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omments1.xml" ContentType="application/vnd.openxmlformats-officedocument.spreadsheetml.comments+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13.xml" ContentType="application/vnd.openxmlformats-officedocument.drawingml.chartshapes+xml"/>
  <Override PartName="/xl/charts/chart13.xml" ContentType="application/vnd.openxmlformats-officedocument.drawingml.chart+xml"/>
  <Override PartName="/xl/drawings/drawing14.xml" ContentType="application/vnd.openxmlformats-officedocument.drawing+xml"/>
  <Override PartName="/xl/ctrlProps/ctrlProp1.xml" ContentType="application/vnd.ms-excel.controlproperties+xml"/>
  <Override PartName="/xl/charts/chart14.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15.xml" ContentType="application/vnd.openxmlformats-officedocument.drawingml.chart+xml"/>
  <Override PartName="/xl/drawings/drawing17.xml" ContentType="application/vnd.openxmlformats-officedocument.drawing+xml"/>
  <Override PartName="/xl/ctrlProps/ctrlProp2.xml" ContentType="application/vnd.ms-excel.controlproperties+xml"/>
  <Override PartName="/xl/drawings/drawing18.xml" ContentType="application/vnd.openxmlformats-officedocument.drawing+xml"/>
  <Override PartName="/xl/charts/chart16.xml" ContentType="application/vnd.openxmlformats-officedocument.drawingml.chart+xml"/>
  <Override PartName="/xl/drawings/drawing19.xml" ContentType="application/vnd.openxmlformats-officedocument.drawingml.chartshapes+xml"/>
  <Override PartName="/xl/charts/chart17.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2.xml" ContentType="application/vnd.openxmlformats-officedocument.drawing+xml"/>
  <Override PartName="/xl/ctrlProps/ctrlProp11.xml" ContentType="application/vnd.ms-excel.controlproperties+xml"/>
  <Override PartName="/xl/drawings/drawing23.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9ED" lockStructure="1"/>
  <bookViews>
    <workbookView xWindow="240" yWindow="60" windowWidth="20115" windowHeight="8010" firstSheet="50" activeTab="50"/>
  </bookViews>
  <sheets>
    <sheet name="WL (25)" sheetId="1" state="hidden" r:id="rId1"/>
    <sheet name="WL (24)" sheetId="2" state="hidden" r:id="rId2"/>
    <sheet name="WL (23)" sheetId="3" state="hidden" r:id="rId3"/>
    <sheet name="WL (22)" sheetId="4" state="hidden" r:id="rId4"/>
    <sheet name="WL (21)" sheetId="5" state="hidden" r:id="rId5"/>
    <sheet name="WL (20)" sheetId="6" state="hidden" r:id="rId6"/>
    <sheet name="WL (19)" sheetId="7" state="hidden" r:id="rId7"/>
    <sheet name="WL (18)" sheetId="8" state="hidden" r:id="rId8"/>
    <sheet name="WL (17)" sheetId="9" state="hidden" r:id="rId9"/>
    <sheet name="WL (16)" sheetId="10" state="hidden" r:id="rId10"/>
    <sheet name="WL (15)" sheetId="11" state="hidden" r:id="rId11"/>
    <sheet name="WL (14)" sheetId="12" state="hidden" r:id="rId12"/>
    <sheet name="WL (13)" sheetId="13" state="hidden" r:id="rId13"/>
    <sheet name="WL (12)" sheetId="14" state="hidden" r:id="rId14"/>
    <sheet name="WL (11)" sheetId="15" state="hidden" r:id="rId15"/>
    <sheet name="WL (10)" sheetId="16" state="hidden" r:id="rId16"/>
    <sheet name="WL (9)" sheetId="17" state="hidden" r:id="rId17"/>
    <sheet name="WL (8)" sheetId="18" state="hidden" r:id="rId18"/>
    <sheet name="WL (7)" sheetId="19" state="hidden" r:id="rId19"/>
    <sheet name="WL (6)" sheetId="20" state="hidden" r:id="rId20"/>
    <sheet name="WL (5)" sheetId="21" state="hidden" r:id="rId21"/>
    <sheet name="WL (4)" sheetId="22" state="hidden" r:id="rId22"/>
    <sheet name="WL (3)" sheetId="23" state="hidden" r:id="rId23"/>
    <sheet name="WL (2)" sheetId="24" state="hidden" r:id="rId24"/>
    <sheet name="WL (1)" sheetId="25" state="hidden" r:id="rId25"/>
    <sheet name="Stn(25)" sheetId="26" state="hidden" r:id="rId26"/>
    <sheet name="Stn(24)" sheetId="27" state="hidden" r:id="rId27"/>
    <sheet name="Stn(23)" sheetId="28" state="hidden" r:id="rId28"/>
    <sheet name="Stn(22)" sheetId="29" state="hidden" r:id="rId29"/>
    <sheet name="Stn(21)" sheetId="30" state="hidden" r:id="rId30"/>
    <sheet name="Stn(20)" sheetId="31" state="hidden" r:id="rId31"/>
    <sheet name="Stn(19)" sheetId="32" state="hidden" r:id="rId32"/>
    <sheet name="Stn(18)" sheetId="33" state="hidden" r:id="rId33"/>
    <sheet name="Stn(17)" sheetId="34" state="hidden" r:id="rId34"/>
    <sheet name="Stn(16)" sheetId="35" state="hidden" r:id="rId35"/>
    <sheet name="Stn(15)" sheetId="36" state="hidden" r:id="rId36"/>
    <sheet name="Stn(14)" sheetId="37" state="hidden" r:id="rId37"/>
    <sheet name="Stn(13)" sheetId="38" state="hidden" r:id="rId38"/>
    <sheet name="Stn(12)" sheetId="39" state="hidden" r:id="rId39"/>
    <sheet name="Stn(11)" sheetId="40" state="hidden" r:id="rId40"/>
    <sheet name="Stn(10)" sheetId="41" state="hidden" r:id="rId41"/>
    <sheet name="Stn(9)" sheetId="42" state="hidden" r:id="rId42"/>
    <sheet name="Stn(8)" sheetId="43" state="hidden" r:id="rId43"/>
    <sheet name="Stn(7)" sheetId="44" state="hidden" r:id="rId44"/>
    <sheet name="Stn(6)" sheetId="45" state="hidden" r:id="rId45"/>
    <sheet name="Stn(5)" sheetId="46" state="hidden" r:id="rId46"/>
    <sheet name="Stn(4)" sheetId="47" state="hidden" r:id="rId47"/>
    <sheet name="Stn(3)" sheetId="48" state="hidden" r:id="rId48"/>
    <sheet name="Stn(2)" sheetId="49" state="hidden" r:id="rId49"/>
    <sheet name="Stn(1)" sheetId="50" state="hidden" r:id="rId50"/>
    <sheet name="Offset" sheetId="52" r:id="rId51"/>
    <sheet name="WL (x)" sheetId="53" state="hidden" r:id="rId52"/>
    <sheet name="Main" sheetId="51" r:id="rId53"/>
    <sheet name="Rise, etc." sheetId="67" r:id="rId54"/>
    <sheet name="Graph tools" sheetId="68" state="hidden" r:id="rId55"/>
    <sheet name="Area" sheetId="54" r:id="rId56"/>
    <sheet name="Moment" sheetId="55" r:id="rId57"/>
    <sheet name="Hydros" sheetId="56" r:id="rId58"/>
    <sheet name="Bonj Calc" sheetId="58" r:id="rId59"/>
    <sheet name="View Bonjean" sheetId="59" state="hidden" r:id="rId60"/>
    <sheet name="Hydros Calc" sheetId="60" r:id="rId61"/>
    <sheet name="Tools" sheetId="61" state="hidden" r:id="rId62"/>
    <sheet name="CAD" sheetId="62" r:id="rId63"/>
    <sheet name="Maxs Tool" sheetId="66" state="hidden" r:id="rId64"/>
    <sheet name="Maxsurf" sheetId="65" r:id="rId65"/>
    <sheet name="Help" sheetId="63" r:id="rId66"/>
    <sheet name="CAD Tools" sheetId="64" state="hidden" r:id="rId67"/>
  </sheets>
  <definedNames>
    <definedName name="aa" localSheetId="24">OFFSET('WL (1)'!K1048548,ROUNDUP(Max_STN_count/2,0),,ROUNDDOWN(Max_STN_count/2,0),1)</definedName>
    <definedName name="aa" localSheetId="15">OFFSET('WL (10)'!K1048548,ROUNDUP(Max_STN_count/2,0),,ROUNDDOWN(Max_STN_count/2,0),1)</definedName>
    <definedName name="aa" localSheetId="14">OFFSET('WL (11)'!K1048548,ROUNDUP(Max_STN_count/2,0),,ROUNDDOWN(Max_STN_count/2,0),1)</definedName>
    <definedName name="aa" localSheetId="13">OFFSET('WL (12)'!K1048548,ROUNDUP(Max_STN_count/2,0),,ROUNDDOWN(Max_STN_count/2,0),1)</definedName>
    <definedName name="aa" localSheetId="12">OFFSET('WL (13)'!K1048548,ROUNDUP(Max_STN_count/2,0),,ROUNDDOWN(Max_STN_count/2,0),1)</definedName>
    <definedName name="aa" localSheetId="11">OFFSET('WL (14)'!K1048548,ROUNDUP(Max_STN_count/2,0),,ROUNDDOWN(Max_STN_count/2,0),1)</definedName>
    <definedName name="aa" localSheetId="10">OFFSET('WL (15)'!K1048548,ROUNDUP(Max_STN_count/2,0),,ROUNDDOWN(Max_STN_count/2,0),1)</definedName>
    <definedName name="aa" localSheetId="9">OFFSET('WL (16)'!K1048548,ROUNDUP(Max_STN_count/2,0),,ROUNDDOWN(Max_STN_count/2,0),1)</definedName>
    <definedName name="aa" localSheetId="8">OFFSET('WL (17)'!K1048548,ROUNDUP(Max_STN_count/2,0),,ROUNDDOWN(Max_STN_count/2,0),1)</definedName>
    <definedName name="aa" localSheetId="7">OFFSET('WL (18)'!K1048548,ROUNDUP(Max_STN_count/2,0),,ROUNDDOWN(Max_STN_count/2,0),1)</definedName>
    <definedName name="aa" localSheetId="6">OFFSET('WL (19)'!K1048548,ROUNDUP(Max_STN_count/2,0),,ROUNDDOWN(Max_STN_count/2,0),1)</definedName>
    <definedName name="aa" localSheetId="23">OFFSET('WL (2)'!K1048548,ROUNDUP(Max_STN_count/2,0),,ROUNDDOWN(Max_STN_count/2,0),1)</definedName>
    <definedName name="aa" localSheetId="5">OFFSET('WL (20)'!K1048548,ROUNDUP(Max_STN_count/2,0),,ROUNDDOWN(Max_STN_count/2,0),1)</definedName>
    <definedName name="aa" localSheetId="4">OFFSET('WL (21)'!K1048548,ROUNDUP(Max_STN_count/2,0),,ROUNDDOWN(Max_STN_count/2,0),1)</definedName>
    <definedName name="aa" localSheetId="3">OFFSET('WL (22)'!K1048548,ROUNDUP(Max_STN_count/2,0),,ROUNDDOWN(Max_STN_count/2,0),1)</definedName>
    <definedName name="aa" localSheetId="2">OFFSET('WL (23)'!K1048548,ROUNDUP(Max_STN_count/2,0),,ROUNDDOWN(Max_STN_count/2,0),1)</definedName>
    <definedName name="aa" localSheetId="1">OFFSET('WL (24)'!K1048548,ROUNDUP(Max_STN_count/2,0),,ROUNDDOWN(Max_STN_count/2,0),1)</definedName>
    <definedName name="aa" localSheetId="0">OFFSET('WL (25)'!K1048548,ROUNDUP(Max_STN_count/2,0),,ROUNDDOWN(Max_STN_count/2,0),1)</definedName>
    <definedName name="aa" localSheetId="22">OFFSET('WL (3)'!K1048548,ROUNDUP(Max_STN_count/2,0),,ROUNDDOWN(Max_STN_count/2,0),1)</definedName>
    <definedName name="aa" localSheetId="21">OFFSET('WL (4)'!K1048548,ROUNDUP(Max_STN_count/2,0),,ROUNDDOWN(Max_STN_count/2,0),1)</definedName>
    <definedName name="aa" localSheetId="20">OFFSET('WL (5)'!K1048548,ROUNDUP(Max_STN_count/2,0),,ROUNDDOWN(Max_STN_count/2,0),1)</definedName>
    <definedName name="aa" localSheetId="19">OFFSET('WL (6)'!K1048548,ROUNDUP(Max_STN_count/2,0),,ROUNDDOWN(Max_STN_count/2,0),1)</definedName>
    <definedName name="aa" localSheetId="18">OFFSET('WL (7)'!K1048548,ROUNDUP(Max_STN_count/2,0),,ROUNDDOWN(Max_STN_count/2,0),1)</definedName>
    <definedName name="aa" localSheetId="17">OFFSET('WL (8)'!K1048548,ROUNDUP(Max_STN_count/2,0),,ROUNDDOWN(Max_STN_count/2,0),1)</definedName>
    <definedName name="aa" localSheetId="16">OFFSET('WL (9)'!K1048548,ROUNDUP(Max_STN_count/2,0),,ROUNDDOWN(Max_STN_count/2,0),1)</definedName>
    <definedName name="aa" localSheetId="51">OFFSET('WL (x)'!K1048548,ROUNDUP(Max_STN_count/2,0),,ROUNDDOWN(Max_STN_count/2,0),1)</definedName>
    <definedName name="ABT">Main!$M$5</definedName>
    <definedName name="AMID">Main!$M$4</definedName>
    <definedName name="AREA_TABLE">Area!$O$2:$AN$27</definedName>
    <definedName name="AS_1" localSheetId="61">OFFSET(Tools!$B$69,1,0,1,Max_WL_count)</definedName>
    <definedName name="AS_10" localSheetId="61">OFFSET(Tools!$B$69,10,0,1,Max_WL_count)</definedName>
    <definedName name="AS_11" localSheetId="61">OFFSET(Tools!$B$69,11,0,1,Max_WL_count)</definedName>
    <definedName name="AS_12" localSheetId="61">OFFSET(Tools!$B$69,12,0,1,Max_WL_count)</definedName>
    <definedName name="AS_13" localSheetId="61">OFFSET(Tools!$B$69,13,0,1,Max_WL_count)</definedName>
    <definedName name="AS_14" localSheetId="61">OFFSET(Tools!$B$69,14,0,1,Max_WL_count)</definedName>
    <definedName name="AS_15" localSheetId="61">OFFSET(Tools!$B$69,15,0,1,Max_WL_count)</definedName>
    <definedName name="AS_16" localSheetId="61">OFFSET(Tools!$B$69,16,0,1,Max_WL_count)</definedName>
    <definedName name="AS_17" localSheetId="61">OFFSET(Tools!$B$69,17,0,1,Max_WL_count)</definedName>
    <definedName name="AS_18" localSheetId="61">OFFSET(Tools!$B$69,18,0,1,Max_WL_count)</definedName>
    <definedName name="AS_19" localSheetId="61">OFFSET(Tools!$B$69,19,0,1,Max_WL_count)</definedName>
    <definedName name="AS_2" localSheetId="61">OFFSET(Tools!$B$69,2,0,1,Max_WL_count)</definedName>
    <definedName name="AS_20" localSheetId="61">OFFSET(Tools!$B$69,20,0,1,Max_WL_count)</definedName>
    <definedName name="AS_21" localSheetId="61">OFFSET(Tools!$B$69,21,0,1,Max_WL_count)</definedName>
    <definedName name="AS_22" localSheetId="61">OFFSET(Tools!$B$69,22,0,1,Max_WL_count)</definedName>
    <definedName name="AS_23" localSheetId="61">OFFSET(Tools!$B$69,23,0,1,Max_WL_count)</definedName>
    <definedName name="AS_24" localSheetId="61">OFFSET(Tools!$B$69,24,0,1,Max_WL_count)</definedName>
    <definedName name="AS_25" localSheetId="61">OFFSET(Tools!$B$69,25,0,1,Max_WL_count)</definedName>
    <definedName name="AS_3" localSheetId="61">OFFSET(Tools!$B$69,3,0,1,Max_WL_count)</definedName>
    <definedName name="AS_4" localSheetId="61">OFFSET(Tools!$B$69,4,0,1,Max_WL_count)</definedName>
    <definedName name="AS_5" localSheetId="61">OFFSET(Tools!$B$69,5,0,1,Max_WL_count)</definedName>
    <definedName name="AS_6" localSheetId="61">OFFSET(Tools!$B$69,6,0,1,Max_WL_count)</definedName>
    <definedName name="AS_7" localSheetId="61">OFFSET(Tools!$B$69,7,0,1,Max_WL_count)</definedName>
    <definedName name="AS_8" localSheetId="61">OFFSET(Tools!$B$69,8,0,1,Max_WL_count)</definedName>
    <definedName name="AS_9" localSheetId="61">OFFSET(Tools!$B$69,9,0,1,Max_WL_count)</definedName>
    <definedName name="AW_1" localSheetId="61">OFFSET(Tools!$A$70,,1,Max_STN_count,1)</definedName>
    <definedName name="AW_10" localSheetId="61">OFFSET(Tools!$A$70,,10,Max_STN_count,1)</definedName>
    <definedName name="AW_11" localSheetId="61">OFFSET(Tools!$A$70,,11,Max_STN_count,1)</definedName>
    <definedName name="AW_12" localSheetId="61">OFFSET(Tools!$A$70,,12,Max_STN_count,1)</definedName>
    <definedName name="AW_13" localSheetId="61">OFFSET(Tools!$A$70,,13,Max_STN_count,1)</definedName>
    <definedName name="AW_14" localSheetId="61">OFFSET(Tools!$A$70,,14,Max_STN_count,1)</definedName>
    <definedName name="AW_15" localSheetId="61">OFFSET(Tools!$A$70,,15,Max_STN_count,1)</definedName>
    <definedName name="AW_16" localSheetId="61">OFFSET(Tools!$A$70,,16,Max_STN_count,1)</definedName>
    <definedName name="AW_17" localSheetId="61">OFFSET(Tools!$A$70,,17,Max_STN_count,1)</definedName>
    <definedName name="AW_18" localSheetId="61">OFFSET(Tools!$A$70,,18,Max_STN_count,1)</definedName>
    <definedName name="AW_19" localSheetId="61">OFFSET(Tools!$A$70,,19,Max_STN_count,1)</definedName>
    <definedName name="AW_2" localSheetId="61">OFFSET(Tools!$A$70,,2,Max_STN_count,1)</definedName>
    <definedName name="AW_20" localSheetId="61">OFFSET(Tools!$A$70,,20,Max_STN_count,1)</definedName>
    <definedName name="AW_21" localSheetId="61">OFFSET(Tools!$A$70,,21,Max_STN_count,1)</definedName>
    <definedName name="AW_22" localSheetId="61">OFFSET(Tools!$A$70,,22,Max_STN_count,1)</definedName>
    <definedName name="AW_23" localSheetId="61">OFFSET(Tools!$A$70,,23,Max_STN_count,1)</definedName>
    <definedName name="AW_24" localSheetId="61">OFFSET(Tools!$A$70,,24,Max_STN_count,1)</definedName>
    <definedName name="AW_25" localSheetId="61">OFFSET(Tools!$A$70,,25,Max_STN_count,1)</definedName>
    <definedName name="AW_3" localSheetId="61">OFFSET(Tools!$A$70,,3,Max_STN_count,1)</definedName>
    <definedName name="AW_4" localSheetId="61">OFFSET(Tools!$A$70,,4,Max_STN_count,1)</definedName>
    <definedName name="AW_5" localSheetId="61">OFFSET(Tools!$A$70,,5,Max_STN_count,1)</definedName>
    <definedName name="AW_6" localSheetId="61">OFFSET(Tools!$A$70,,6,Max_STN_count,1)</definedName>
    <definedName name="AW_7" localSheetId="61">OFFSET(Tools!$A$70,,7,Max_STN_count,1)</definedName>
    <definedName name="AW_8" localSheetId="61">OFFSET(Tools!$A$70,,8,Max_STN_count,1)</definedName>
    <definedName name="AW_9" localSheetId="61">OFFSET(Tools!$A$70,,9,Max_STN_count,1)</definedName>
    <definedName name="AWP" localSheetId="24">'WL (1)'!$S$11</definedName>
    <definedName name="AWP" localSheetId="15">'WL (10)'!$S$11</definedName>
    <definedName name="AWP" localSheetId="14">'WL (11)'!$S$11</definedName>
    <definedName name="AWP" localSheetId="13">'WL (12)'!$S$11</definedName>
    <definedName name="AWP" localSheetId="12">'WL (13)'!$S$11</definedName>
    <definedName name="AWP" localSheetId="11">'WL (14)'!$S$11</definedName>
    <definedName name="AWP" localSheetId="10">'WL (15)'!$S$11</definedName>
    <definedName name="AWP" localSheetId="9">'WL (16)'!$S$11</definedName>
    <definedName name="AWP" localSheetId="8">'WL (17)'!$S$11</definedName>
    <definedName name="AWP" localSheetId="7">'WL (18)'!$S$11</definedName>
    <definedName name="AWP" localSheetId="6">'WL (19)'!$S$11</definedName>
    <definedName name="AWP" localSheetId="23">'WL (2)'!$S$11</definedName>
    <definedName name="AWP" localSheetId="5">'WL (20)'!$S$11</definedName>
    <definedName name="AWP" localSheetId="4">'WL (21)'!$S$11</definedName>
    <definedName name="AWP" localSheetId="3">'WL (22)'!$S$11</definedName>
    <definedName name="AWP" localSheetId="2">'WL (23)'!$S$11</definedName>
    <definedName name="AWP" localSheetId="1">'WL (24)'!$S$11</definedName>
    <definedName name="AWP" localSheetId="0">'WL (25)'!$S$11</definedName>
    <definedName name="AWP" localSheetId="22">'WL (3)'!$S$11</definedName>
    <definedName name="AWP" localSheetId="21">'WL (4)'!$S$11</definedName>
    <definedName name="AWP" localSheetId="20">'WL (5)'!$S$11</definedName>
    <definedName name="AWP" localSheetId="19">'WL (6)'!$S$11</definedName>
    <definedName name="AWP" localSheetId="18">'WL (7)'!$S$11</definedName>
    <definedName name="AWP" localSheetId="17">'WL (8)'!$S$11</definedName>
    <definedName name="AWP" localSheetId="16">'WL (9)'!$S$11</definedName>
    <definedName name="AWP" localSheetId="51">'WL (x)'!$S$40</definedName>
    <definedName name="B" localSheetId="24">'WL (1)'!$S$5</definedName>
    <definedName name="B" localSheetId="15">'WL (10)'!$S$5</definedName>
    <definedName name="B" localSheetId="14">'WL (11)'!$S$5</definedName>
    <definedName name="B" localSheetId="13">'WL (12)'!$S$5</definedName>
    <definedName name="B" localSheetId="12">'WL (13)'!$S$5</definedName>
    <definedName name="B" localSheetId="11">'WL (14)'!$S$5</definedName>
    <definedName name="B" localSheetId="10">'WL (15)'!$S$5</definedName>
    <definedName name="B" localSheetId="9">'WL (16)'!$S$5</definedName>
    <definedName name="B" localSheetId="8">'WL (17)'!$S$5</definedName>
    <definedName name="B" localSheetId="7">'WL (18)'!$S$5</definedName>
    <definedName name="B" localSheetId="6">'WL (19)'!$S$5</definedName>
    <definedName name="B" localSheetId="23">'WL (2)'!$S$5</definedName>
    <definedName name="B" localSheetId="5">'WL (20)'!$S$5</definedName>
    <definedName name="B" localSheetId="4">'WL (21)'!$S$5</definedName>
    <definedName name="B" localSheetId="3">'WL (22)'!$S$5</definedName>
    <definedName name="B" localSheetId="2">'WL (23)'!$S$5</definedName>
    <definedName name="B" localSheetId="1">'WL (24)'!$S$5</definedName>
    <definedName name="B" localSheetId="0">'WL (25)'!$S$5</definedName>
    <definedName name="B" localSheetId="22">'WL (3)'!$S$5</definedName>
    <definedName name="B" localSheetId="21">'WL (4)'!$S$5</definedName>
    <definedName name="B" localSheetId="20">'WL (5)'!$S$5</definedName>
    <definedName name="B" localSheetId="19">'WL (6)'!$S$5</definedName>
    <definedName name="B" localSheetId="18">'WL (7)'!$S$5</definedName>
    <definedName name="B" localSheetId="17">'WL (8)'!$S$5</definedName>
    <definedName name="B" localSheetId="16">'WL (9)'!$S$5</definedName>
    <definedName name="B" localSheetId="51">'WL (x)'!$S$6</definedName>
    <definedName name="B_Area" localSheetId="61">Tools!$A$68:$Z$94</definedName>
    <definedName name="B_Area_Splines" localSheetId="61">Tools!$A$153:$Z$180</definedName>
    <definedName name="B_current" localSheetId="24">'WL (1)'!$S$7</definedName>
    <definedName name="B_current" localSheetId="15">'WL (10)'!$S$7</definedName>
    <definedName name="B_current" localSheetId="14">'WL (11)'!$S$7</definedName>
    <definedName name="B_current" localSheetId="13">'WL (12)'!$S$7</definedName>
    <definedName name="B_current" localSheetId="12">'WL (13)'!$S$7</definedName>
    <definedName name="B_current" localSheetId="11">'WL (14)'!$S$7</definedName>
    <definedName name="B_current" localSheetId="10">'WL (15)'!$S$7</definedName>
    <definedName name="B_current" localSheetId="9">'WL (16)'!$S$7</definedName>
    <definedName name="B_current" localSheetId="8">'WL (17)'!$S$7</definedName>
    <definedName name="B_current" localSheetId="7">'WL (18)'!$S$7</definedName>
    <definedName name="B_current" localSheetId="6">'WL (19)'!$S$7</definedName>
    <definedName name="B_current" localSheetId="23">'WL (2)'!$S$7</definedName>
    <definedName name="B_current" localSheetId="5">'WL (20)'!$S$7</definedName>
    <definedName name="B_current" localSheetId="4">'WL (21)'!$S$7</definedName>
    <definedName name="B_current" localSheetId="3">'WL (22)'!$S$7</definedName>
    <definedName name="B_current" localSheetId="2">'WL (23)'!$S$7</definedName>
    <definedName name="B_current" localSheetId="1">'WL (24)'!$S$7</definedName>
    <definedName name="B_current" localSheetId="0">'WL (25)'!$S$7</definedName>
    <definedName name="B_current" localSheetId="22">'WL (3)'!$S$7</definedName>
    <definedName name="B_current" localSheetId="21">'WL (4)'!$S$7</definedName>
    <definedName name="B_current" localSheetId="20">'WL (5)'!$S$7</definedName>
    <definedName name="B_current" localSheetId="19">'WL (6)'!$S$7</definedName>
    <definedName name="B_current" localSheetId="18">'WL (7)'!$S$7</definedName>
    <definedName name="B_current" localSheetId="17">'WL (8)'!$S$7</definedName>
    <definedName name="B_current" localSheetId="16">'WL (9)'!$S$7</definedName>
    <definedName name="B_current" localSheetId="51">'WL (x)'!$S$8</definedName>
    <definedName name="B_Moment" localSheetId="61">Tools!$AB$68:$BA$94</definedName>
    <definedName name="B_Moment_Splines" localSheetId="61">Tools!$AB$153:$BA$180</definedName>
    <definedName name="BA_Station_Scale_in_x" localSheetId="61">Tools!$G$154</definedName>
    <definedName name="BA_STN_List" localSheetId="61">OFFSET(Tools!$A$70,,,Max_STN_count,1)</definedName>
    <definedName name="BA_WL_List" localSheetId="61">OFFSET(Tools!$B$69,,,1,Max_WL_count)</definedName>
    <definedName name="BA_Y_scale_of_WL" localSheetId="61">Tools!$J$154</definedName>
    <definedName name="BAM_1" localSheetId="61">OFFSET(Tools!$CL$4,1,,1,Max_WL_count)</definedName>
    <definedName name="BAM_10" localSheetId="61">OFFSET(Tools!$CL$4,10,,1,Max_WL_count)</definedName>
    <definedName name="BAM_11" localSheetId="61">OFFSET(Tools!$CL$4,11,,1,Max_WL_count)</definedName>
    <definedName name="BAM_12" localSheetId="61">OFFSET(Tools!$CL$4,12,,1,Max_WL_count)</definedName>
    <definedName name="BAM_13" localSheetId="61">OFFSET(Tools!$CL$4,13,,1,Max_WL_count)</definedName>
    <definedName name="BAM_14" localSheetId="61">OFFSET(Tools!$CL$4,14,,1,Max_WL_count)</definedName>
    <definedName name="BAM_15" localSheetId="61">OFFSET(Tools!$CL$4,15,,1,Max_WL_count)</definedName>
    <definedName name="BAM_16" localSheetId="61">OFFSET(Tools!$CL$4,16,,1,Max_WL_count)</definedName>
    <definedName name="BAM_17" localSheetId="61">OFFSET(Tools!$CL$4,17,,1,Max_WL_count)</definedName>
    <definedName name="BAM_18" localSheetId="61">OFFSET(Tools!$CL$4,18,,1,Max_WL_count)</definedName>
    <definedName name="BAM_19" localSheetId="61">OFFSET(Tools!$CL$4,19,,1,Max_WL_count)</definedName>
    <definedName name="BAM_2" localSheetId="61">OFFSET(Tools!$CL$4,2,,1,Max_WL_count)</definedName>
    <definedName name="BAM_20" localSheetId="61">OFFSET(Tools!$CL$4,20,,1,Max_WL_count)</definedName>
    <definedName name="BAM_21" localSheetId="61">OFFSET(Tools!$CL$4,21,,1,Max_WL_count)</definedName>
    <definedName name="BAM_22" localSheetId="61">OFFSET(Tools!$CL$4,22,,1,Max_WL_count)</definedName>
    <definedName name="BAM_23" localSheetId="61">OFFSET(Tools!$CL$4,23,,1,Max_WL_count)</definedName>
    <definedName name="BAM_24" localSheetId="61">OFFSET(Tools!$CL$4,24,,1,Max_WL_count)</definedName>
    <definedName name="BAM_25" localSheetId="61">OFFSET(Tools!$CL$4,25,,1,Max_WL_count)</definedName>
    <definedName name="BAM_26" localSheetId="61">OFFSET(Tools!$CL$4,26,,1,Max_WL_count)</definedName>
    <definedName name="BAM_27" localSheetId="61">OFFSET(Tools!$CL$4,27,,1,Max_WL_count)</definedName>
    <definedName name="BAM_28" localSheetId="61">OFFSET(Tools!$CL$4,28,,1,Max_WL_count)</definedName>
    <definedName name="BAM_29" localSheetId="61">OFFSET(Tools!$CL$4,29,,1,Max_WL_count)</definedName>
    <definedName name="BAM_3" localSheetId="61">OFFSET(Tools!$CL$4,3,,1,Max_WL_count)</definedName>
    <definedName name="BAM_30" localSheetId="61">OFFSET(Tools!$CL$4,30,,1,Max_WL_count)</definedName>
    <definedName name="BAM_31" localSheetId="61">OFFSET(Tools!$CL$4,31,,1,Max_WL_count)</definedName>
    <definedName name="BAM_32" localSheetId="61">OFFSET(Tools!$CL$4,32,,1,Max_WL_count)</definedName>
    <definedName name="BAM_33" localSheetId="61">OFFSET(Tools!$CL$4,33,,1,Max_WL_count)</definedName>
    <definedName name="BAM_34" localSheetId="61">OFFSET(Tools!$CL$4,34,,1,Max_WL_count)</definedName>
    <definedName name="BAM_35" localSheetId="61">OFFSET(Tools!$CL$4,35,,1,Max_WL_count)</definedName>
    <definedName name="BAM_36" localSheetId="61">OFFSET(Tools!$CL$4,36,,1,Max_WL_count)</definedName>
    <definedName name="BAM_37" localSheetId="61">OFFSET(Tools!$CL$4,37,,1,Max_WL_count)</definedName>
    <definedName name="BAM_38" localSheetId="61">OFFSET(Tools!$CL$4,38,,1,Max_WL_count)</definedName>
    <definedName name="BAM_39" localSheetId="61">OFFSET(Tools!$CL$4,39,,1,Max_WL_count)</definedName>
    <definedName name="BAM_4" localSheetId="61">OFFSET(Tools!$CL$4,4,,1,Max_WL_count)</definedName>
    <definedName name="BAM_40" localSheetId="61">OFFSET(Tools!$CL$4,40,,1,Max_WL_count)</definedName>
    <definedName name="BAM_41" localSheetId="61">OFFSET(Tools!$CL$4,41,,1,Max_WL_count)</definedName>
    <definedName name="BAM_42" localSheetId="61">OFFSET(Tools!$CL$4,42,,1,Max_WL_count)</definedName>
    <definedName name="BAM_43" localSheetId="61">OFFSET(Tools!$CL$4,43,,1,Max_WL_count)</definedName>
    <definedName name="BAM_44" localSheetId="61">OFFSET(Tools!$CL$4,44,,1,Max_WL_count)</definedName>
    <definedName name="BAM_45" localSheetId="61">OFFSET(Tools!$CL$4,45,,1,Max_WL_count)</definedName>
    <definedName name="BAM_46" localSheetId="61">OFFSET(Tools!$CL$4,46,,1,Max_WL_count)</definedName>
    <definedName name="BAM_47" localSheetId="61">OFFSET(Tools!$CL$4,47,,1,Max_WL_count)</definedName>
    <definedName name="BAM_48" localSheetId="61">OFFSET(Tools!$CL$4,48,,1,Max_WL_count)</definedName>
    <definedName name="BAM_49" localSheetId="61">OFFSET(Tools!$CL$4,49,,1,Max_WL_count)</definedName>
    <definedName name="BAM_5" localSheetId="61">OFFSET(Tools!$CL$4,5,,1,Max_WL_count)</definedName>
    <definedName name="BAM_50" localSheetId="61">OFFSET(Tools!$CL$4,50,,1,Max_WL_count)</definedName>
    <definedName name="BAM_6" localSheetId="61">OFFSET(Tools!$CL$4,6,,1,Max_WL_count)</definedName>
    <definedName name="BAM_7" localSheetId="61">OFFSET(Tools!$CL$4,7,,1,Max_WL_count)</definedName>
    <definedName name="BAM_8" localSheetId="61">OFFSET(Tools!$CL$4,8,,1,Max_WL_count)</definedName>
    <definedName name="BAM_9" localSheetId="61">OFFSET(Tools!$CL$4,9,,1,Max_WL_count)</definedName>
    <definedName name="BAM_WL_List" localSheetId="61">OFFSET(Tools!$CL$4,,,1,Max_WL_count)</definedName>
    <definedName name="BML" localSheetId="24">'WL (1)'!$S$21</definedName>
    <definedName name="BML" localSheetId="15">'WL (10)'!$S$21</definedName>
    <definedName name="BML" localSheetId="14">'WL (11)'!$S$21</definedName>
    <definedName name="BML" localSheetId="13">'WL (12)'!$S$21</definedName>
    <definedName name="BML" localSheetId="12">'WL (13)'!$S$21</definedName>
    <definedName name="BML" localSheetId="11">'WL (14)'!$S$21</definedName>
    <definedName name="BML" localSheetId="10">'WL (15)'!$S$21</definedName>
    <definedName name="BML" localSheetId="9">'WL (16)'!$S$21</definedName>
    <definedName name="BML" localSheetId="8">'WL (17)'!$S$21</definedName>
    <definedName name="BML" localSheetId="7">'WL (18)'!$S$21</definedName>
    <definedName name="BML" localSheetId="6">'WL (19)'!$S$21</definedName>
    <definedName name="BML" localSheetId="23">'WL (2)'!$S$21</definedName>
    <definedName name="BML" localSheetId="5">'WL (20)'!$S$21</definedName>
    <definedName name="BML" localSheetId="4">'WL (21)'!$S$21</definedName>
    <definedName name="BML" localSheetId="3">'WL (22)'!$S$21</definedName>
    <definedName name="BML" localSheetId="2">'WL (23)'!$S$21</definedName>
    <definedName name="BML" localSheetId="1">'WL (24)'!$S$21</definedName>
    <definedName name="BML" localSheetId="0">'WL (25)'!$S$21</definedName>
    <definedName name="BML" localSheetId="22">'WL (3)'!$S$21</definedName>
    <definedName name="BML" localSheetId="21">'WL (4)'!$S$21</definedName>
    <definedName name="BML" localSheetId="20">'WL (5)'!$S$21</definedName>
    <definedName name="BML" localSheetId="19">'WL (6)'!$S$21</definedName>
    <definedName name="BML" localSheetId="18">'WL (7)'!$S$21</definedName>
    <definedName name="BML" localSheetId="17">'WL (8)'!$S$21</definedName>
    <definedName name="BML" localSheetId="16">'WL (9)'!$S$21</definedName>
    <definedName name="BML" localSheetId="51">'WL (x)'!$S$50</definedName>
    <definedName name="BMT" localSheetId="24">'WL (1)'!$S$22</definedName>
    <definedName name="BMT" localSheetId="15">'WL (10)'!$S$22</definedName>
    <definedName name="BMT" localSheetId="14">'WL (11)'!$S$22</definedName>
    <definedName name="BMT" localSheetId="13">'WL (12)'!$S$22</definedName>
    <definedName name="BMT" localSheetId="12">'WL (13)'!$S$22</definedName>
    <definedName name="BMT" localSheetId="11">'WL (14)'!$S$22</definedName>
    <definedName name="BMT" localSheetId="10">'WL (15)'!$S$22</definedName>
    <definedName name="BMT" localSheetId="9">'WL (16)'!$S$22</definedName>
    <definedName name="BMT" localSheetId="8">'WL (17)'!$S$22</definedName>
    <definedName name="BMT" localSheetId="7">'WL (18)'!$S$22</definedName>
    <definedName name="BMT" localSheetId="6">'WL (19)'!$S$22</definedName>
    <definedName name="BMT" localSheetId="23">'WL (2)'!$S$22</definedName>
    <definedName name="BMT" localSheetId="5">'WL (20)'!$S$22</definedName>
    <definedName name="BMT" localSheetId="4">'WL (21)'!$S$22</definedName>
    <definedName name="BMT" localSheetId="3">'WL (22)'!$S$22</definedName>
    <definedName name="BMT" localSheetId="2">'WL (23)'!$S$22</definedName>
    <definedName name="BMT" localSheetId="1">'WL (24)'!$S$22</definedName>
    <definedName name="BMT" localSheetId="0">'WL (25)'!$S$22</definedName>
    <definedName name="BMT" localSheetId="22">'WL (3)'!$S$22</definedName>
    <definedName name="BMT" localSheetId="21">'WL (4)'!$S$22</definedName>
    <definedName name="BMT" localSheetId="20">'WL (5)'!$S$22</definedName>
    <definedName name="BMT" localSheetId="19">'WL (6)'!$S$22</definedName>
    <definedName name="BMT" localSheetId="18">'WL (7)'!$S$22</definedName>
    <definedName name="BMT" localSheetId="17">'WL (8)'!$S$22</definedName>
    <definedName name="BMT" localSheetId="16">'WL (9)'!$S$22</definedName>
    <definedName name="BMT" localSheetId="51">'WL (x)'!$S$51</definedName>
    <definedName name="Bodyplan_Spline" localSheetId="61">Tools!$A$96:$BA$122</definedName>
    <definedName name="Bonjean_Area_Scale" localSheetId="61">Tools!$C$154</definedName>
    <definedName name="Bonjean_Moment_Scale" localSheetId="61">Tools!$AD$154</definedName>
    <definedName name="BP_1" localSheetId="61">OFFSET(Tools!$BE$98,,,1,IF(Max_STN_count&lt;1,1,Max_WL_count))</definedName>
    <definedName name="BP_10" localSheetId="61">OFFSET(Tools!$BE$107,,,1,IF(Max_STN_count&lt;10,1,Max_WL_count))</definedName>
    <definedName name="BP_11" localSheetId="61">OFFSET(Tools!$BE$108,,,1,IF(Max_STN_count&lt;11,1,Max_WL_count))</definedName>
    <definedName name="BP_12" localSheetId="61">OFFSET(Tools!$BE$109,,,1,IF(Max_STN_count&lt;12,1,Max_WL_count))</definedName>
    <definedName name="BP_13" localSheetId="61">OFFSET(Tools!$BE$110,,,1,IF(Max_STN_count&lt;13,1,Max_WL_count))</definedName>
    <definedName name="BP_14" localSheetId="61">OFFSET(Tools!$BE$111,,,1,IF(Max_STN_count&lt;14,1,Max_WL_count))</definedName>
    <definedName name="BP_15" localSheetId="61">OFFSET(Tools!$BE$112,,,1,IF(Max_STN_count&lt;15,1,Max_WL_count))</definedName>
    <definedName name="BP_16" localSheetId="61">OFFSET(Tools!$BE$113,,,1,IF(Max_STN_count&lt;16,1,Max_WL_count))</definedName>
    <definedName name="BP_17" localSheetId="61">OFFSET(Tools!$BE$114,,,1,IF(Max_STN_count&lt;17,1,Max_WL_count))</definedName>
    <definedName name="BP_18" localSheetId="61">OFFSET(Tools!$BE$115,,,1,IF(Max_STN_count&lt;18,1,Max_WL_count))</definedName>
    <definedName name="BP_19" localSheetId="61">OFFSET(Tools!$BE$116,,,1,IF(Max_STN_count&lt;19,1,Max_WL_count))</definedName>
    <definedName name="BP_2" localSheetId="61">OFFSET(Tools!$BE$99,,,1,IF(Max_STN_count&lt;2,1,Max_WL_count))</definedName>
    <definedName name="BP_20" localSheetId="61">OFFSET(Tools!$BE$117,,,1,IF(Max_STN_count&lt;20,1,Max_WL_count))</definedName>
    <definedName name="BP_21" localSheetId="61">OFFSET(Tools!$BE$118,,,1,IF(Max_STN_count&lt;21,1,Max_WL_count))</definedName>
    <definedName name="BP_22" localSheetId="61">OFFSET(Tools!$BE$119,,,1,IF(Max_STN_count&lt;22,1,Max_WL_count))</definedName>
    <definedName name="BP_23" localSheetId="61">OFFSET(Tools!$BE$120,,,1,IF(Max_STN_count&lt;23,1,Max_WL_count))</definedName>
    <definedName name="BP_24" localSheetId="61">OFFSET(Tools!$BE$121,,,1,IF(Max_STN_count&lt;24,1,Max_WL_count))</definedName>
    <definedName name="BP_25" localSheetId="61">OFFSET(Tools!$BE$122,,,1,IF(Max_STN_count&lt;25,1,Max_WL_count))</definedName>
    <definedName name="BP_3" localSheetId="61">OFFSET(Tools!$BE$100,,,1,IF(Max_STN_count&lt;3,1,Max_WL_count))</definedName>
    <definedName name="BP_4" localSheetId="61">OFFSET(Tools!$BE$101,,,1,IF(Max_STN_count&lt;4,1,Max_WL_count))</definedName>
    <definedName name="BP_5" localSheetId="61">OFFSET(Tools!$BE$102,,,1,IF(Max_STN_count&lt;5,1,Max_WL_count))</definedName>
    <definedName name="BP_6" localSheetId="61">OFFSET(Tools!$BE$103,,,1,IF(Max_STN_count&lt;6,1,Max_WL_count))</definedName>
    <definedName name="BP_7" localSheetId="61">OFFSET(Tools!$BE$104,,,1,IF(Max_STN_count&lt;7,1,Max_WL_count))</definedName>
    <definedName name="BP_8" localSheetId="61">OFFSET(Tools!$BE$105,,,1,IF(Max_STN_count&lt;8,1,Max_WL_count))</definedName>
    <definedName name="BP_9" localSheetId="61">OFFSET(Tools!$BE$106,,,1,IF(Max_STN_count&lt;9,1,Max_WL_count))</definedName>
    <definedName name="BP_Plan" localSheetId="61">Tools!$BC$97:$CC$122</definedName>
    <definedName name="BREADTH">Tools!$D$43</definedName>
    <definedName name="CB" localSheetId="24">'WL (1)'!$S$31</definedName>
    <definedName name="CB" localSheetId="15">'WL (10)'!$S$31</definedName>
    <definedName name="CB" localSheetId="14">'WL (11)'!$S$31</definedName>
    <definedName name="CB" localSheetId="13">'WL (12)'!$S$31</definedName>
    <definedName name="CB" localSheetId="12">'WL (13)'!$S$31</definedName>
    <definedName name="CB" localSheetId="11">'WL (14)'!$S$31</definedName>
    <definedName name="CB" localSheetId="10">'WL (15)'!$S$31</definedName>
    <definedName name="CB" localSheetId="9">'WL (16)'!$S$31</definedName>
    <definedName name="CB" localSheetId="8">'WL (17)'!$S$31</definedName>
    <definedName name="CB" localSheetId="7">'WL (18)'!$S$31</definedName>
    <definedName name="CB" localSheetId="6">'WL (19)'!$S$31</definedName>
    <definedName name="CB" localSheetId="23">'WL (2)'!$S$31</definedName>
    <definedName name="CB" localSheetId="5">'WL (20)'!$S$31</definedName>
    <definedName name="CB" localSheetId="4">'WL (21)'!$S$31</definedName>
    <definedName name="CB" localSheetId="3">'WL (22)'!$S$31</definedName>
    <definedName name="CB" localSheetId="2">'WL (23)'!$S$31</definedName>
    <definedName name="CB" localSheetId="1">'WL (24)'!$S$31</definedName>
    <definedName name="CB" localSheetId="0">'WL (25)'!$S$31</definedName>
    <definedName name="CB" localSheetId="22">'WL (3)'!$S$31</definedName>
    <definedName name="CB" localSheetId="21">'WL (4)'!$S$31</definedName>
    <definedName name="CB" localSheetId="20">'WL (5)'!$S$31</definedName>
    <definedName name="CB" localSheetId="19">'WL (6)'!$S$31</definedName>
    <definedName name="CB" localSheetId="18">'WL (7)'!$S$31</definedName>
    <definedName name="CB" localSheetId="17">'WL (8)'!$S$31</definedName>
    <definedName name="CB" localSheetId="16">'WL (9)'!$S$31</definedName>
    <definedName name="CB" localSheetId="51">'WL (x)'!$S$60</definedName>
    <definedName name="CB">Main!$M$12</definedName>
    <definedName name="CM" localSheetId="24">'WL (1)'!$S$32</definedName>
    <definedName name="CM" localSheetId="15">'WL (10)'!$S$32</definedName>
    <definedName name="CM" localSheetId="14">'WL (11)'!$S$32</definedName>
    <definedName name="CM" localSheetId="13">'WL (12)'!$S$32</definedName>
    <definedName name="CM" localSheetId="12">'WL (13)'!$S$32</definedName>
    <definedName name="CM" localSheetId="11">'WL (14)'!$S$32</definedName>
    <definedName name="CM" localSheetId="10">'WL (15)'!$S$32</definedName>
    <definedName name="CM" localSheetId="9">'WL (16)'!$S$32</definedName>
    <definedName name="CM" localSheetId="8">'WL (17)'!$S$32</definedName>
    <definedName name="CM" localSheetId="7">'WL (18)'!$S$32</definedName>
    <definedName name="CM" localSheetId="6">'WL (19)'!$S$32</definedName>
    <definedName name="CM" localSheetId="23">'WL (2)'!$S$32</definedName>
    <definedName name="CM" localSheetId="5">'WL (20)'!$S$32</definedName>
    <definedName name="CM" localSheetId="4">'WL (21)'!$S$32</definedName>
    <definedName name="CM" localSheetId="3">'WL (22)'!$S$32</definedName>
    <definedName name="CM" localSheetId="2">'WL (23)'!$S$32</definedName>
    <definedName name="CM" localSheetId="1">'WL (24)'!$S$32</definedName>
    <definedName name="CM" localSheetId="0">'WL (25)'!$S$32</definedName>
    <definedName name="CM" localSheetId="22">'WL (3)'!$S$32</definedName>
    <definedName name="CM" localSheetId="21">'WL (4)'!$S$32</definedName>
    <definedName name="CM" localSheetId="20">'WL (5)'!$S$32</definedName>
    <definedName name="CM" localSheetId="19">'WL (6)'!$S$32</definedName>
    <definedName name="CM" localSheetId="18">'WL (7)'!$S$32</definedName>
    <definedName name="CM" localSheetId="17">'WL (8)'!$S$32</definedName>
    <definedName name="CM" localSheetId="16">'WL (9)'!$S$32</definedName>
    <definedName name="CM" localSheetId="51">'WL (x)'!$S$61</definedName>
    <definedName name="CM">Main!$M$13</definedName>
    <definedName name="Count_STN" localSheetId="49">'Stn(1)'!$N$1</definedName>
    <definedName name="Count_STN" localSheetId="40">'Stn(10)'!$N$1</definedName>
    <definedName name="Count_STN" localSheetId="39">'Stn(11)'!$N$1</definedName>
    <definedName name="Count_STN" localSheetId="38">'Stn(12)'!$N$1</definedName>
    <definedName name="Count_STN" localSheetId="37">'Stn(13)'!$N$1</definedName>
    <definedName name="Count_STN" localSheetId="36">'Stn(14)'!$N$1</definedName>
    <definedName name="Count_STN" localSheetId="35">'Stn(15)'!$N$1</definedName>
    <definedName name="Count_STN" localSheetId="34">'Stn(16)'!$N$1</definedName>
    <definedName name="Count_STN" localSheetId="33">'Stn(17)'!$N$1</definedName>
    <definedName name="Count_STN" localSheetId="32">'Stn(18)'!$N$1</definedName>
    <definedName name="Count_STN" localSheetId="31">'Stn(19)'!$N$1</definedName>
    <definedName name="Count_STN" localSheetId="48">'Stn(2)'!$N$1</definedName>
    <definedName name="Count_STN" localSheetId="30">'Stn(20)'!$N$1</definedName>
    <definedName name="Count_STN" localSheetId="29">'Stn(21)'!$N$1</definedName>
    <definedName name="Count_STN" localSheetId="28">'Stn(22)'!$N$1</definedName>
    <definedName name="Count_STN" localSheetId="27">'Stn(23)'!$N$1</definedName>
    <definedName name="Count_STN" localSheetId="26">'Stn(24)'!$N$1</definedName>
    <definedName name="Count_STN" localSheetId="25">'Stn(25)'!$N$1</definedName>
    <definedName name="Count_STN" localSheetId="47">'Stn(3)'!$N$1</definedName>
    <definedName name="Count_STN" localSheetId="46">'Stn(4)'!$N$1</definedName>
    <definedName name="Count_STN" localSheetId="45">'Stn(5)'!$N$1</definedName>
    <definedName name="Count_STN" localSheetId="44">'Stn(6)'!$N$1</definedName>
    <definedName name="Count_STN" localSheetId="43">'Stn(7)'!$N$1</definedName>
    <definedName name="Count_STN" localSheetId="42">'Stn(8)'!$N$1</definedName>
    <definedName name="Count_STN" localSheetId="41">'Stn(9)'!$N$1</definedName>
    <definedName name="Count_STN" localSheetId="59">'View Bonjean'!#REF!</definedName>
    <definedName name="Count_WL" localSheetId="24">'WL (1)'!$F$1</definedName>
    <definedName name="Count_WL" localSheetId="15">'WL (10)'!$F$1</definedName>
    <definedName name="Count_WL" localSheetId="14">'WL (11)'!$F$1</definedName>
    <definedName name="Count_WL" localSheetId="13">'WL (12)'!$F$1</definedName>
    <definedName name="Count_WL" localSheetId="12">'WL (13)'!$F$1</definedName>
    <definedName name="Count_WL" localSheetId="11">'WL (14)'!$F$1</definedName>
    <definedName name="Count_WL" localSheetId="10">'WL (15)'!$F$1</definedName>
    <definedName name="Count_WL" localSheetId="9">'WL (16)'!$F$1</definedName>
    <definedName name="Count_WL" localSheetId="8">'WL (17)'!$F$1</definedName>
    <definedName name="Count_WL" localSheetId="7">'WL (18)'!$F$1</definedName>
    <definedName name="Count_WL" localSheetId="6">'WL (19)'!$F$1</definedName>
    <definedName name="Count_WL" localSheetId="23">'WL (2)'!$F$1</definedName>
    <definedName name="Count_WL" localSheetId="5">'WL (20)'!$F$1</definedName>
    <definedName name="Count_WL" localSheetId="4">'WL (21)'!$F$1</definedName>
    <definedName name="Count_WL" localSheetId="3">'WL (22)'!$F$1</definedName>
    <definedName name="Count_WL" localSheetId="2">'WL (23)'!$F$1</definedName>
    <definedName name="Count_WL" localSheetId="1">'WL (24)'!$F$1</definedName>
    <definedName name="Count_WL" localSheetId="0">'WL (25)'!$F$1</definedName>
    <definedName name="Count_WL" localSheetId="22">'WL (3)'!$F$1</definedName>
    <definedName name="Count_WL" localSheetId="21">'WL (4)'!$F$1</definedName>
    <definedName name="Count_WL" localSheetId="20">'WL (5)'!$F$1</definedName>
    <definedName name="Count_WL" localSheetId="19">'WL (6)'!$F$1</definedName>
    <definedName name="Count_WL" localSheetId="18">'WL (7)'!$F$1</definedName>
    <definedName name="Count_WL" localSheetId="17">'WL (8)'!$F$1</definedName>
    <definedName name="Count_WL" localSheetId="16">'WL (9)'!$F$1</definedName>
    <definedName name="Count_WL" localSheetId="51">'WL (x)'!$F$1</definedName>
    <definedName name="CP" localSheetId="24">'WL (1)'!$S$33</definedName>
    <definedName name="CP" localSheetId="15">'WL (10)'!$S$33</definedName>
    <definedName name="CP" localSheetId="14">'WL (11)'!$S$33</definedName>
    <definedName name="CP" localSheetId="13">'WL (12)'!$S$33</definedName>
    <definedName name="CP" localSheetId="12">'WL (13)'!$S$33</definedName>
    <definedName name="CP" localSheetId="11">'WL (14)'!$S$33</definedName>
    <definedName name="CP" localSheetId="10">'WL (15)'!$S$33</definedName>
    <definedName name="CP" localSheetId="9">'WL (16)'!$S$33</definedName>
    <definedName name="CP" localSheetId="8">'WL (17)'!$S$33</definedName>
    <definedName name="CP" localSheetId="7">'WL (18)'!$S$33</definedName>
    <definedName name="CP" localSheetId="6">'WL (19)'!$S$33</definedName>
    <definedName name="CP" localSheetId="23">'WL (2)'!$S$33</definedName>
    <definedName name="CP" localSheetId="5">'WL (20)'!$S$33</definedName>
    <definedName name="CP" localSheetId="4">'WL (21)'!$S$33</definedName>
    <definedName name="CP" localSheetId="3">'WL (22)'!$S$33</definedName>
    <definedName name="CP" localSheetId="2">'WL (23)'!$S$33</definedName>
    <definedName name="CP" localSheetId="1">'WL (24)'!$S$33</definedName>
    <definedName name="CP" localSheetId="0">'WL (25)'!$S$33</definedName>
    <definedName name="CP" localSheetId="22">'WL (3)'!$S$33</definedName>
    <definedName name="CP" localSheetId="21">'WL (4)'!$S$33</definedName>
    <definedName name="CP" localSheetId="20">'WL (5)'!$S$33</definedName>
    <definedName name="CP" localSheetId="19">'WL (6)'!$S$33</definedName>
    <definedName name="CP" localSheetId="18">'WL (7)'!$S$33</definedName>
    <definedName name="CP" localSheetId="17">'WL (8)'!$S$33</definedName>
    <definedName name="CP" localSheetId="16">'WL (9)'!$S$33</definedName>
    <definedName name="CP" localSheetId="51">'WL (x)'!$S$62</definedName>
    <definedName name="CP">Main!$M$14</definedName>
    <definedName name="CW" localSheetId="24">'WL (1)'!$S$30</definedName>
    <definedName name="CW" localSheetId="15">'WL (10)'!$S$30</definedName>
    <definedName name="CW" localSheetId="14">'WL (11)'!$S$30</definedName>
    <definedName name="CW" localSheetId="13">'WL (12)'!$S$30</definedName>
    <definedName name="CW" localSheetId="12">'WL (13)'!$S$30</definedName>
    <definedName name="CW" localSheetId="11">'WL (14)'!$S$30</definedName>
    <definedName name="CW" localSheetId="10">'WL (15)'!$S$30</definedName>
    <definedName name="CW" localSheetId="9">'WL (16)'!$S$30</definedName>
    <definedName name="CW" localSheetId="8">'WL (17)'!$S$30</definedName>
    <definedName name="CW" localSheetId="7">'WL (18)'!$S$30</definedName>
    <definedName name="CW" localSheetId="6">'WL (19)'!$S$30</definedName>
    <definedName name="CW" localSheetId="23">'WL (2)'!$S$30</definedName>
    <definedName name="CW" localSheetId="5">'WL (20)'!$S$30</definedName>
    <definedName name="CW" localSheetId="4">'WL (21)'!$S$30</definedName>
    <definedName name="CW" localSheetId="3">'WL (22)'!$S$30</definedName>
    <definedName name="CW" localSheetId="2">'WL (23)'!$S$30</definedName>
    <definedName name="CW" localSheetId="1">'WL (24)'!$S$30</definedName>
    <definedName name="CW" localSheetId="0">'WL (25)'!$S$30</definedName>
    <definedName name="CW" localSheetId="22">'WL (3)'!$S$30</definedName>
    <definedName name="CW" localSheetId="21">'WL (4)'!$S$30</definedName>
    <definedName name="CW" localSheetId="20">'WL (5)'!$S$30</definedName>
    <definedName name="CW" localSheetId="19">'WL (6)'!$S$30</definedName>
    <definedName name="CW" localSheetId="18">'WL (7)'!$S$30</definedName>
    <definedName name="CW" localSheetId="17">'WL (8)'!$S$30</definedName>
    <definedName name="CW" localSheetId="16">'WL (9)'!$S$30</definedName>
    <definedName name="CW" localSheetId="51">'WL (x)'!$S$59</definedName>
    <definedName name="DEPTH">Tools!$D$44</definedName>
    <definedName name="DRAFT">Tools!$D$45</definedName>
    <definedName name="g" localSheetId="61">Tools!$F$2</definedName>
    <definedName name="Grid_AutoCAD" localSheetId="61">Tools!$AR$34:$CD$63</definedName>
    <definedName name="h" localSheetId="61">Tools!$C$3</definedName>
    <definedName name="h" localSheetId="24">'WL (1)'!$S$3</definedName>
    <definedName name="h" localSheetId="15">'WL (10)'!$S$3</definedName>
    <definedName name="h" localSheetId="14">'WL (11)'!$S$3</definedName>
    <definedName name="h" localSheetId="13">'WL (12)'!$S$3</definedName>
    <definedName name="h" localSheetId="12">'WL (13)'!$S$3</definedName>
    <definedName name="h" localSheetId="11">'WL (14)'!$S$3</definedName>
    <definedName name="h" localSheetId="10">'WL (15)'!$S$3</definedName>
    <definedName name="h" localSheetId="9">'WL (16)'!$S$3</definedName>
    <definedName name="h" localSheetId="8">'WL (17)'!$S$3</definedName>
    <definedName name="h" localSheetId="7">'WL (18)'!$S$3</definedName>
    <definedName name="h" localSheetId="6">'WL (19)'!$S$3</definedName>
    <definedName name="h" localSheetId="23">'WL (2)'!$S$3</definedName>
    <definedName name="h" localSheetId="5">'WL (20)'!$S$3</definedName>
    <definedName name="h" localSheetId="4">'WL (21)'!$S$3</definedName>
    <definedName name="h" localSheetId="3">'WL (22)'!$S$3</definedName>
    <definedName name="h" localSheetId="2">'WL (23)'!$S$3</definedName>
    <definedName name="h" localSheetId="1">'WL (24)'!$S$3</definedName>
    <definedName name="h" localSheetId="0">'WL (25)'!$S$3</definedName>
    <definedName name="h" localSheetId="22">'WL (3)'!$S$3</definedName>
    <definedName name="h" localSheetId="21">'WL (4)'!$S$3</definedName>
    <definedName name="h" localSheetId="20">'WL (5)'!$S$3</definedName>
    <definedName name="h" localSheetId="19">'WL (6)'!$S$3</definedName>
    <definedName name="h" localSheetId="18">'WL (7)'!$S$3</definedName>
    <definedName name="h" localSheetId="17">'WL (8)'!$S$3</definedName>
    <definedName name="h" localSheetId="16">'WL (9)'!$S$3</definedName>
    <definedName name="h" localSheetId="51">'WL (x)'!$S$4</definedName>
    <definedName name="H_AWP" localSheetId="61">OFFSET(Tools!$E$211,,,1,Max_WL_count)</definedName>
    <definedName name="H_BML" localSheetId="61">OFFSET(Tools!$E$221,,1,1,Max_WL_count-1)</definedName>
    <definedName name="H_BMT" localSheetId="61">OFFSET(Tools!$E$222,,1,1,Max_WL_count-1)</definedName>
    <definedName name="H_CB" localSheetId="61">OFFSET(Tools!$E$231,,1,1,Max_WL_count-1)</definedName>
    <definedName name="H_CM" localSheetId="61">OFFSET(Tools!$E$232,,1,1,Max_WL_count-1)</definedName>
    <definedName name="H_CP" localSheetId="61">OFFSET(Tools!$E$233,,1,1,Max_WL_count-1)</definedName>
    <definedName name="H_CW" localSheetId="61">OFFSET(Tools!$E$230,,,1,Max_WL_count)</definedName>
    <definedName name="H_IF" localSheetId="61">OFFSET(Tools!$E$216,,,1,Max_WL_count)</definedName>
    <definedName name="H_IL" localSheetId="61">OFFSET(Tools!$E$214,,,1,Max_WL_count)</definedName>
    <definedName name="H_IT" localSheetId="61">OFFSET(Tools!$E$215,,,1,Max_WL_count)</definedName>
    <definedName name="H_KB" localSheetId="61">OFFSET(Tools!$E$223,,1,1,Max_WL_count-1)</definedName>
    <definedName name="H_KML" localSheetId="61">OFFSET(Tools!$E$225,,1,1,Max_WL_count-1)</definedName>
    <definedName name="H_KMT" localSheetId="61">OFFSET(Tools!$E$224,,1,1,Max_WL_count-1)</definedName>
    <definedName name="H_LCB" localSheetId="61">OFFSET(Tools!$E$227,,1,1,Max_WL_count-1)</definedName>
    <definedName name="H_LCF" localSheetId="61">OFFSET(Tools!$E$213,,,1,Max_WL_count)</definedName>
    <definedName name="H_MCT" localSheetId="61">OFFSET(Tools!$E$228,,1,1,Max_WL_count-1)</definedName>
    <definedName name="H_MDisp" localSheetId="61">OFFSET(Tools!$E$218,,,1,Max_WL_count)</definedName>
    <definedName name="H_ML" localSheetId="61">OFFSET(Tools!$E$220,,,1,Max_WL_count)</definedName>
    <definedName name="H_Mmid" localSheetId="61">OFFSET(Tools!$E$212,,,1,Max_WL_count)</definedName>
    <definedName name="H_MT" localSheetId="61">OFFSET(Tools!$E$219,,,1,Max_WL_count)</definedName>
    <definedName name="H_T" localSheetId="61">OFFSET(Tools!$E$229,,,1,Max_WL_count)</definedName>
    <definedName name="H_TPC" localSheetId="61">OFFSET(Tools!$E$226,,,1,Max_WL_count)</definedName>
    <definedName name="H_VDisp" localSheetId="61">OFFSET(Tools!$E$217,,,1,Max_WL_count)</definedName>
    <definedName name="H_WL_List" localSheetId="61">OFFSET(Tools!$E$210,,,1,Max_WL_count)</definedName>
    <definedName name="H_WL_List2" localSheetId="61">OFFSET(Tools!$E$210,,1,1,Max_WL_count-1)</definedName>
    <definedName name="Halfbreadth_Splines" localSheetId="61">Tools!$A$125:$BA$151</definedName>
    <definedName name="HB_1" localSheetId="61">OFFSET(Tools!$AE$3,0,0,Max_STN_count,1)</definedName>
    <definedName name="HB_10" localSheetId="61">OFFSET(Tools!$AE$3,0,9,Max_STN_count,1)</definedName>
    <definedName name="HB_11" localSheetId="61">OFFSET(Tools!$AE$3,0,10,Max_STN_count,1)</definedName>
    <definedName name="HB_12" localSheetId="61">OFFSET(Tools!$AE$3,0,11,Max_STN_count,1)</definedName>
    <definedName name="HB_13" localSheetId="61">OFFSET(Tools!$AE$3,0,12,Max_STN_count,1)</definedName>
    <definedName name="HB_14" localSheetId="61">OFFSET(Tools!$AE$3,0,13,Max_STN_count,1)</definedName>
    <definedName name="HB_15" localSheetId="61">OFFSET(Tools!$AE$3,0,14,Max_STN_count,1)</definedName>
    <definedName name="HB_16" localSheetId="61">OFFSET(Tools!$AE$3,0,15,Max_STN_count,1)</definedName>
    <definedName name="HB_17" localSheetId="61">OFFSET(Tools!$AE$3,0,16,Max_STN_count,1)</definedName>
    <definedName name="HB_18" localSheetId="61">OFFSET(Tools!$AE$3,0,17,Max_STN_count,1)</definedName>
    <definedName name="HB_19" localSheetId="61">OFFSET(Tools!$AE$3,0,18,Max_STN_count,1)</definedName>
    <definedName name="HB_2" localSheetId="61">OFFSET(Tools!$AE$3,0,1,Max_STN_count,1)</definedName>
    <definedName name="HB_20" localSheetId="61">OFFSET(Tools!$AE$3,0,19,Max_STN_count,1)</definedName>
    <definedName name="HB_21" localSheetId="61">OFFSET(Tools!$AE$3,0,20,Max_STN_count,1)</definedName>
    <definedName name="HB_22" localSheetId="61">OFFSET(Tools!$AE$3,0,21,Max_STN_count,1)</definedName>
    <definedName name="HB_23" localSheetId="61">OFFSET(Tools!$AE$3,0,22,Max_STN_count,1)</definedName>
    <definedName name="HB_24" localSheetId="61">OFFSET(Tools!$AE$3,0,23,Max_STN_count,1)</definedName>
    <definedName name="HB_25" localSheetId="61">OFFSET(Tools!$AE$3,0,24,Max_STN_count,1)</definedName>
    <definedName name="HB_3" localSheetId="61">OFFSET(Tools!$AE$3,0,2,Max_STN_count,1)</definedName>
    <definedName name="HB_4" localSheetId="61">OFFSET(Tools!$AE$3,0,3,Max_STN_count,1)</definedName>
    <definedName name="HB_5" localSheetId="61">OFFSET(Tools!$AE$3,0,4,Max_STN_count,1)</definedName>
    <definedName name="HB_6" localSheetId="61">OFFSET(Tools!$AE$3,0,5,Max_STN_count,1)</definedName>
    <definedName name="HB_7" localSheetId="61">OFFSET(Tools!$AE$3,0,6,Max_STN_count,1)</definedName>
    <definedName name="HB_8" localSheetId="61">OFFSET(Tools!$AE$3,0,7,Max_STN_count,1)</definedName>
    <definedName name="HB_9" localSheetId="61">OFFSET(Tools!$AE$3,0,8,Max_STN_count,1)</definedName>
    <definedName name="Hydros" localSheetId="61">Tools!$BC$68:$CB$92</definedName>
    <definedName name="Hydros_Table">Hydros!$A$2:$Z$25</definedName>
    <definedName name="IF" localSheetId="24">'WL (1)'!$S$16</definedName>
    <definedName name="IF" localSheetId="15">'WL (10)'!$S$16</definedName>
    <definedName name="IF" localSheetId="14">'WL (11)'!$S$16</definedName>
    <definedName name="IF" localSheetId="13">'WL (12)'!$S$16</definedName>
    <definedName name="IF" localSheetId="12">'WL (13)'!$S$16</definedName>
    <definedName name="IF" localSheetId="11">'WL (14)'!$S$16</definedName>
    <definedName name="IF" localSheetId="10">'WL (15)'!$S$16</definedName>
    <definedName name="IF" localSheetId="9">'WL (16)'!$S$16</definedName>
    <definedName name="IF" localSheetId="8">'WL (17)'!$S$16</definedName>
    <definedName name="IF" localSheetId="7">'WL (18)'!$S$16</definedName>
    <definedName name="IF" localSheetId="6">'WL (19)'!$S$16</definedName>
    <definedName name="IF" localSheetId="23">'WL (2)'!$S$16</definedName>
    <definedName name="IF" localSheetId="5">'WL (20)'!$S$16</definedName>
    <definedName name="IF" localSheetId="4">'WL (21)'!$S$16</definedName>
    <definedName name="IF" localSheetId="3">'WL (22)'!$S$16</definedName>
    <definedName name="IF" localSheetId="2">'WL (23)'!$S$16</definedName>
    <definedName name="IF" localSheetId="1">'WL (24)'!$S$16</definedName>
    <definedName name="IF" localSheetId="0">'WL (25)'!$S$16</definedName>
    <definedName name="IF" localSheetId="22">'WL (3)'!$S$16</definedName>
    <definedName name="IF" localSheetId="21">'WL (4)'!$S$16</definedName>
    <definedName name="IF" localSheetId="20">'WL (5)'!$S$16</definedName>
    <definedName name="IF" localSheetId="19">'WL (6)'!$S$16</definedName>
    <definedName name="IF" localSheetId="18">'WL (7)'!$S$16</definedName>
    <definedName name="IF" localSheetId="17">'WL (8)'!$S$16</definedName>
    <definedName name="IF" localSheetId="16">'WL (9)'!$S$16</definedName>
    <definedName name="IF" localSheetId="51">'WL (x)'!$S$45</definedName>
    <definedName name="IL" localSheetId="24">'WL (1)'!$S$14</definedName>
    <definedName name="IL" localSheetId="15">'WL (10)'!$S$14</definedName>
    <definedName name="IL" localSheetId="14">'WL (11)'!$S$14</definedName>
    <definedName name="IL" localSheetId="13">'WL (12)'!$S$14</definedName>
    <definedName name="IL" localSheetId="12">'WL (13)'!$S$14</definedName>
    <definedName name="IL" localSheetId="11">'WL (14)'!$S$14</definedName>
    <definedName name="IL" localSheetId="10">'WL (15)'!$S$14</definedName>
    <definedName name="IL" localSheetId="9">'WL (16)'!$S$14</definedName>
    <definedName name="IL" localSheetId="8">'WL (17)'!$S$14</definedName>
    <definedName name="IL" localSheetId="7">'WL (18)'!$S$14</definedName>
    <definedName name="IL" localSheetId="6">'WL (19)'!$S$14</definedName>
    <definedName name="IL" localSheetId="23">'WL (2)'!$S$14</definedName>
    <definedName name="IL" localSheetId="5">'WL (20)'!$S$14</definedName>
    <definedName name="IL" localSheetId="4">'WL (21)'!$S$14</definedName>
    <definedName name="IL" localSheetId="3">'WL (22)'!$S$14</definedName>
    <definedName name="IL" localSheetId="2">'WL (23)'!$S$14</definedName>
    <definedName name="IL" localSheetId="1">'WL (24)'!$S$14</definedName>
    <definedName name="IL" localSheetId="0">'WL (25)'!$S$14</definedName>
    <definedName name="IL" localSheetId="22">'WL (3)'!$S$14</definedName>
    <definedName name="IL" localSheetId="21">'WL (4)'!$S$14</definedName>
    <definedName name="IL" localSheetId="20">'WL (5)'!$S$14</definedName>
    <definedName name="IL" localSheetId="19">'WL (6)'!$S$14</definedName>
    <definedName name="IL" localSheetId="18">'WL (7)'!$S$14</definedName>
    <definedName name="IL" localSheetId="17">'WL (8)'!$S$14</definedName>
    <definedName name="IL" localSheetId="16">'WL (9)'!$S$14</definedName>
    <definedName name="IL" localSheetId="51">'WL (x)'!$S$43</definedName>
    <definedName name="IT" localSheetId="24">'WL (1)'!$S$15</definedName>
    <definedName name="IT" localSheetId="15">'WL (10)'!$S$15</definedName>
    <definedName name="IT" localSheetId="14">'WL (11)'!$S$15</definedName>
    <definedName name="IT" localSheetId="13">'WL (12)'!$S$15</definedName>
    <definedName name="IT" localSheetId="12">'WL (13)'!$S$15</definedName>
    <definedName name="IT" localSheetId="11">'WL (14)'!$S$15</definedName>
    <definedName name="IT" localSheetId="10">'WL (15)'!$S$15</definedName>
    <definedName name="IT" localSheetId="9">'WL (16)'!$S$15</definedName>
    <definedName name="IT" localSheetId="8">'WL (17)'!$S$15</definedName>
    <definedName name="IT" localSheetId="7">'WL (18)'!$S$15</definedName>
    <definedName name="IT" localSheetId="6">'WL (19)'!$S$15</definedName>
    <definedName name="IT" localSheetId="23">'WL (2)'!$S$15</definedName>
    <definedName name="IT" localSheetId="5">'WL (20)'!$S$15</definedName>
    <definedName name="IT" localSheetId="4">'WL (21)'!$S$15</definedName>
    <definedName name="IT" localSheetId="3">'WL (22)'!$S$15</definedName>
    <definedName name="IT" localSheetId="2">'WL (23)'!$S$15</definedName>
    <definedName name="IT" localSheetId="1">'WL (24)'!$S$15</definedName>
    <definedName name="IT" localSheetId="0">'WL (25)'!$S$15</definedName>
    <definedName name="IT" localSheetId="22">'WL (3)'!$S$15</definedName>
    <definedName name="IT" localSheetId="21">'WL (4)'!$S$15</definedName>
    <definedName name="IT" localSheetId="20">'WL (5)'!$S$15</definedName>
    <definedName name="IT" localSheetId="19">'WL (6)'!$S$15</definedName>
    <definedName name="IT" localSheetId="18">'WL (7)'!$S$15</definedName>
    <definedName name="IT" localSheetId="17">'WL (8)'!$S$15</definedName>
    <definedName name="IT" localSheetId="16">'WL (9)'!$S$15</definedName>
    <definedName name="IT" localSheetId="51">'WL (x)'!$S$44</definedName>
    <definedName name="KB" localSheetId="24">'WL (1)'!$S$23</definedName>
    <definedName name="KB" localSheetId="15">'WL (10)'!$S$23</definedName>
    <definedName name="KB" localSheetId="14">'WL (11)'!$S$23</definedName>
    <definedName name="KB" localSheetId="13">'WL (12)'!$S$23</definedName>
    <definedName name="KB" localSheetId="12">'WL (13)'!$S$23</definedName>
    <definedName name="KB" localSheetId="11">'WL (14)'!$S$23</definedName>
    <definedName name="KB" localSheetId="10">'WL (15)'!$S$23</definedName>
    <definedName name="KB" localSheetId="9">'WL (16)'!$S$23</definedName>
    <definedName name="KB" localSheetId="8">'WL (17)'!$S$23</definedName>
    <definedName name="KB" localSheetId="7">'WL (18)'!$S$23</definedName>
    <definedName name="KB" localSheetId="6">'WL (19)'!$S$23</definedName>
    <definedName name="KB" localSheetId="23">'WL (2)'!$S$23</definedName>
    <definedName name="KB" localSheetId="5">'WL (20)'!$S$23</definedName>
    <definedName name="KB" localSheetId="4">'WL (21)'!$S$23</definedName>
    <definedName name="KB" localSheetId="3">'WL (22)'!$S$23</definedName>
    <definedName name="KB" localSheetId="2">'WL (23)'!$S$23</definedName>
    <definedName name="KB" localSheetId="1">'WL (24)'!$S$23</definedName>
    <definedName name="KB" localSheetId="0">'WL (25)'!$S$23</definedName>
    <definedName name="KB" localSheetId="22">'WL (3)'!$S$23</definedName>
    <definedName name="KB" localSheetId="21">'WL (4)'!$S$23</definedName>
    <definedName name="KB" localSheetId="20">'WL (5)'!$S$23</definedName>
    <definedName name="KB" localSheetId="19">'WL (6)'!$S$23</definedName>
    <definedName name="KB" localSheetId="18">'WL (7)'!$S$23</definedName>
    <definedName name="KB" localSheetId="17">'WL (8)'!$S$23</definedName>
    <definedName name="KB" localSheetId="16">'WL (9)'!$S$23</definedName>
    <definedName name="KB" localSheetId="51">'WL (x)'!$S$52</definedName>
    <definedName name="KB">Main!$M$8</definedName>
    <definedName name="KML" localSheetId="24">'WL (1)'!$S$25</definedName>
    <definedName name="KML" localSheetId="15">'WL (10)'!$S$25</definedName>
    <definedName name="KML" localSheetId="14">'WL (11)'!$S$25</definedName>
    <definedName name="KML" localSheetId="13">'WL (12)'!$S$25</definedName>
    <definedName name="KML" localSheetId="12">'WL (13)'!$S$25</definedName>
    <definedName name="KML" localSheetId="11">'WL (14)'!$S$25</definedName>
    <definedName name="KML" localSheetId="10">'WL (15)'!$S$25</definedName>
    <definedName name="KML" localSheetId="9">'WL (16)'!$S$25</definedName>
    <definedName name="KML" localSheetId="8">'WL (17)'!$S$25</definedName>
    <definedName name="KML" localSheetId="7">'WL (18)'!$S$25</definedName>
    <definedName name="KML" localSheetId="6">'WL (19)'!$S$25</definedName>
    <definedName name="KML" localSheetId="23">'WL (2)'!$S$25</definedName>
    <definedName name="KML" localSheetId="5">'WL (20)'!$S$25</definedName>
    <definedName name="KML" localSheetId="4">'WL (21)'!$S$25</definedName>
    <definedName name="KML" localSheetId="3">'WL (22)'!$S$25</definedName>
    <definedName name="KML" localSheetId="2">'WL (23)'!$S$25</definedName>
    <definedName name="KML" localSheetId="1">'WL (24)'!$S$25</definedName>
    <definedName name="KML" localSheetId="0">'WL (25)'!$S$25</definedName>
    <definedName name="KML" localSheetId="22">'WL (3)'!$S$25</definedName>
    <definedName name="KML" localSheetId="21">'WL (4)'!$S$25</definedName>
    <definedName name="KML" localSheetId="20">'WL (5)'!$S$25</definedName>
    <definedName name="KML" localSheetId="19">'WL (6)'!$S$25</definedName>
    <definedName name="KML" localSheetId="18">'WL (7)'!$S$25</definedName>
    <definedName name="KML" localSheetId="17">'WL (8)'!$S$25</definedName>
    <definedName name="KML" localSheetId="16">'WL (9)'!$S$25</definedName>
    <definedName name="KML" localSheetId="51">'WL (x)'!$S$54</definedName>
    <definedName name="KMT" localSheetId="24">'WL (1)'!$S$24</definedName>
    <definedName name="KMT" localSheetId="15">'WL (10)'!$S$24</definedName>
    <definedName name="KMT" localSheetId="14">'WL (11)'!$S$24</definedName>
    <definedName name="KMT" localSheetId="13">'WL (12)'!$S$24</definedName>
    <definedName name="KMT" localSheetId="12">'WL (13)'!$S$24</definedName>
    <definedName name="KMT" localSheetId="11">'WL (14)'!$S$24</definedName>
    <definedName name="KMT" localSheetId="10">'WL (15)'!$S$24</definedName>
    <definedName name="KMT" localSheetId="9">'WL (16)'!$S$24</definedName>
    <definedName name="KMT" localSheetId="8">'WL (17)'!$S$24</definedName>
    <definedName name="KMT" localSheetId="7">'WL (18)'!$S$24</definedName>
    <definedName name="KMT" localSheetId="6">'WL (19)'!$S$24</definedName>
    <definedName name="KMT" localSheetId="23">'WL (2)'!$S$24</definedName>
    <definedName name="KMT" localSheetId="5">'WL (20)'!$S$24</definedName>
    <definedName name="KMT" localSheetId="4">'WL (21)'!$S$24</definedName>
    <definedName name="KMT" localSheetId="3">'WL (22)'!$S$24</definedName>
    <definedName name="KMT" localSheetId="2">'WL (23)'!$S$24</definedName>
    <definedName name="KMT" localSheetId="1">'WL (24)'!$S$24</definedName>
    <definedName name="KMT" localSheetId="0">'WL (25)'!$S$24</definedName>
    <definedName name="KMT" localSheetId="22">'WL (3)'!$S$24</definedName>
    <definedName name="KMT" localSheetId="21">'WL (4)'!$S$24</definedName>
    <definedName name="KMT" localSheetId="20">'WL (5)'!$S$24</definedName>
    <definedName name="KMT" localSheetId="19">'WL (6)'!$S$24</definedName>
    <definedName name="KMT" localSheetId="18">'WL (7)'!$S$24</definedName>
    <definedName name="KMT" localSheetId="17">'WL (8)'!$S$24</definedName>
    <definedName name="KMT" localSheetId="16">'WL (9)'!$S$24</definedName>
    <definedName name="KMT" localSheetId="51">'WL (x)'!$S$53</definedName>
    <definedName name="LBP">Tools!$D$42</definedName>
    <definedName name="LCB" localSheetId="24">'WL (1)'!$S$27</definedName>
    <definedName name="LCB" localSheetId="15">'WL (10)'!$S$27</definedName>
    <definedName name="LCB" localSheetId="14">'WL (11)'!$S$27</definedName>
    <definedName name="LCB" localSheetId="13">'WL (12)'!$S$27</definedName>
    <definedName name="LCB" localSheetId="12">'WL (13)'!$S$27</definedName>
    <definedName name="LCB" localSheetId="11">'WL (14)'!$S$27</definedName>
    <definedName name="LCB" localSheetId="10">'WL (15)'!$S$27</definedName>
    <definedName name="LCB" localSheetId="9">'WL (16)'!$S$27</definedName>
    <definedName name="LCB" localSheetId="8">'WL (17)'!$S$27</definedName>
    <definedName name="LCB" localSheetId="7">'WL (18)'!$S$27</definedName>
    <definedName name="LCB" localSheetId="6">'WL (19)'!$S$27</definedName>
    <definedName name="LCB" localSheetId="23">'WL (2)'!$S$27</definedName>
    <definedName name="LCB" localSheetId="5">'WL (20)'!$S$27</definedName>
    <definedName name="LCB" localSheetId="4">'WL (21)'!$S$27</definedName>
    <definedName name="LCB" localSheetId="3">'WL (22)'!$S$27</definedName>
    <definedName name="LCB" localSheetId="2">'WL (23)'!$S$27</definedName>
    <definedName name="LCB" localSheetId="1">'WL (24)'!$S$27</definedName>
    <definedName name="LCB" localSheetId="0">'WL (25)'!$S$27</definedName>
    <definedName name="LCB" localSheetId="22">'WL (3)'!$S$27</definedName>
    <definedName name="LCB" localSheetId="21">'WL (4)'!$S$27</definedName>
    <definedName name="LCB" localSheetId="20">'WL (5)'!$S$27</definedName>
    <definedName name="LCB" localSheetId="19">'WL (6)'!$S$27</definedName>
    <definedName name="LCB" localSheetId="18">'WL (7)'!$S$27</definedName>
    <definedName name="LCB" localSheetId="17">'WL (8)'!$S$27</definedName>
    <definedName name="LCB" localSheetId="16">'WL (9)'!$S$27</definedName>
    <definedName name="LCB" localSheetId="51">'WL (x)'!$S$56</definedName>
    <definedName name="LCB">Main!$M$10</definedName>
    <definedName name="LCF" localSheetId="24">'WL (1)'!$S$13</definedName>
    <definedName name="LCF" localSheetId="15">'WL (10)'!$S$13</definedName>
    <definedName name="LCF" localSheetId="14">'WL (11)'!$S$13</definedName>
    <definedName name="LCF" localSheetId="13">'WL (12)'!$S$13</definedName>
    <definedName name="LCF" localSheetId="12">'WL (13)'!$S$13</definedName>
    <definedName name="LCF" localSheetId="11">'WL (14)'!$S$13</definedName>
    <definedName name="LCF" localSheetId="10">'WL (15)'!$S$13</definedName>
    <definedName name="LCF" localSheetId="9">'WL (16)'!$S$13</definedName>
    <definedName name="LCF" localSheetId="8">'WL (17)'!$S$13</definedName>
    <definedName name="LCF" localSheetId="7">'WL (18)'!$S$13</definedName>
    <definedName name="LCF" localSheetId="6">'WL (19)'!$S$13</definedName>
    <definedName name="LCF" localSheetId="23">'WL (2)'!$S$13</definedName>
    <definedName name="LCF" localSheetId="5">'WL (20)'!$S$13</definedName>
    <definedName name="LCF" localSheetId="4">'WL (21)'!$S$13</definedName>
    <definedName name="LCF" localSheetId="3">'WL (22)'!$S$13</definedName>
    <definedName name="LCF" localSheetId="2">'WL (23)'!$S$13</definedName>
    <definedName name="LCF" localSheetId="1">'WL (24)'!$S$13</definedName>
    <definedName name="LCF" localSheetId="0">'WL (25)'!$S$13</definedName>
    <definedName name="LCF" localSheetId="22">'WL (3)'!$S$13</definedName>
    <definedName name="LCF" localSheetId="21">'WL (4)'!$S$13</definedName>
    <definedName name="LCF" localSheetId="20">'WL (5)'!$S$13</definedName>
    <definedName name="LCF" localSheetId="19">'WL (6)'!$S$13</definedName>
    <definedName name="LCF" localSheetId="18">'WL (7)'!$S$13</definedName>
    <definedName name="LCF" localSheetId="17">'WL (8)'!$S$13</definedName>
    <definedName name="LCF" localSheetId="16">'WL (9)'!$S$13</definedName>
    <definedName name="LCF" localSheetId="51">'WL (x)'!$S$42</definedName>
    <definedName name="Long_Div">Tools!$D$47</definedName>
    <definedName name="LWL" localSheetId="24">'WL (1)'!$BG$9</definedName>
    <definedName name="LWL" localSheetId="23">'WL (2)'!$BG$9</definedName>
    <definedName name="LWL" localSheetId="22">'WL (3)'!$BG$9</definedName>
    <definedName name="LWL" localSheetId="51">'WL (x)'!$BG$9</definedName>
    <definedName name="LΔ1" localSheetId="61">OFFSET(Tools!#REF!,,,IF(MOD(CP*100,5)=0,1,2),1)</definedName>
    <definedName name="LΔ2" localSheetId="61">OFFSET(Tools!#REF!,,,IF(MOD(CP*100,5)=0,0,IF(AND(MOD(CP*100,1)=0,#REF!=Tools!E1),0,IF(AND(MOD(CP*100,1)=0,#REF!=Tools!E1048576),2,2))),1)</definedName>
    <definedName name="M_Disp" localSheetId="24">'WL (1)'!$S$18</definedName>
    <definedName name="M_Disp" localSheetId="15">'WL (10)'!$S$18</definedName>
    <definedName name="M_Disp" localSheetId="14">'WL (11)'!$S$18</definedName>
    <definedName name="M_Disp" localSheetId="13">'WL (12)'!$S$18</definedName>
    <definedName name="M_Disp" localSheetId="12">'WL (13)'!$S$18</definedName>
    <definedName name="M_Disp" localSheetId="11">'WL (14)'!$S$18</definedName>
    <definedName name="M_Disp" localSheetId="10">'WL (15)'!$S$18</definedName>
    <definedName name="M_Disp" localSheetId="9">'WL (16)'!$S$18</definedName>
    <definedName name="M_Disp" localSheetId="8">'WL (17)'!$S$18</definedName>
    <definedName name="M_Disp" localSheetId="7">'WL (18)'!$S$18</definedName>
    <definedName name="M_Disp" localSheetId="6">'WL (19)'!$S$18</definedName>
    <definedName name="M_Disp" localSheetId="23">'WL (2)'!$S$18</definedName>
    <definedName name="M_Disp" localSheetId="5">'WL (20)'!$S$18</definedName>
    <definedName name="M_Disp" localSheetId="4">'WL (21)'!$S$18</definedName>
    <definedName name="M_Disp" localSheetId="3">'WL (22)'!$S$18</definedName>
    <definedName name="M_Disp" localSheetId="2">'WL (23)'!$S$18</definedName>
    <definedName name="M_Disp" localSheetId="1">'WL (24)'!$S$18</definedName>
    <definedName name="M_Disp" localSheetId="0">'WL (25)'!$S$18</definedName>
    <definedName name="M_Disp" localSheetId="22">'WL (3)'!$S$18</definedName>
    <definedName name="M_Disp" localSheetId="21">'WL (4)'!$S$18</definedName>
    <definedName name="M_Disp" localSheetId="20">'WL (5)'!$S$18</definedName>
    <definedName name="M_Disp" localSheetId="19">'WL (6)'!$S$18</definedName>
    <definedName name="M_Disp" localSheetId="18">'WL (7)'!$S$18</definedName>
    <definedName name="M_Disp" localSheetId="17">'WL (8)'!$S$18</definedName>
    <definedName name="M_Disp" localSheetId="16">'WL (9)'!$S$18</definedName>
    <definedName name="M_Disp" localSheetId="51">'WL (x)'!$S$47</definedName>
    <definedName name="M_Surf_MarkerTable" localSheetId="64">OFFSET(Maxsurf!$B$2,,,Maxsurf!$J$4,4)</definedName>
    <definedName name="MA_STN_List" localSheetId="61">OFFSET(Tools!$AB$70,,,Max_STN_count,1)</definedName>
    <definedName name="MA_WL_List" localSheetId="61">OFFSET(Tools!$AC$69,,,1,Max_WL_count)</definedName>
    <definedName name="Main_Particulars">Main!$C$2:$E$9</definedName>
    <definedName name="Mass_Displacement">Main!$M$7</definedName>
    <definedName name="Max_STN_count">Tools!$C$63</definedName>
    <definedName name="Max_WL_count">Tools!$C$62</definedName>
    <definedName name="MCT" localSheetId="24">'WL (1)'!$S$28</definedName>
    <definedName name="MCT" localSheetId="15">'WL (10)'!$S$28</definedName>
    <definedName name="MCT" localSheetId="14">'WL (11)'!$S$28</definedName>
    <definedName name="MCT" localSheetId="13">'WL (12)'!$S$28</definedName>
    <definedName name="MCT" localSheetId="12">'WL (13)'!$S$28</definedName>
    <definedName name="MCT" localSheetId="11">'WL (14)'!$S$28</definedName>
    <definedName name="MCT" localSheetId="10">'WL (15)'!$S$28</definedName>
    <definedName name="MCT" localSheetId="9">'WL (16)'!$S$28</definedName>
    <definedName name="MCT" localSheetId="8">'WL (17)'!$S$28</definedName>
    <definedName name="MCT" localSheetId="7">'WL (18)'!$S$28</definedName>
    <definedName name="MCT" localSheetId="6">'WL (19)'!$S$28</definedName>
    <definedName name="MCT" localSheetId="23">'WL (2)'!$S$28</definedName>
    <definedName name="MCT" localSheetId="5">'WL (20)'!$S$28</definedName>
    <definedName name="MCT" localSheetId="4">'WL (21)'!$S$28</definedName>
    <definedName name="MCT" localSheetId="3">'WL (22)'!$S$28</definedName>
    <definedName name="MCT" localSheetId="2">'WL (23)'!$S$28</definedName>
    <definedName name="MCT" localSheetId="1">'WL (24)'!$S$28</definedName>
    <definedName name="MCT" localSheetId="0">'WL (25)'!$S$28</definedName>
    <definedName name="MCT" localSheetId="22">'WL (3)'!$S$28</definedName>
    <definedName name="MCT" localSheetId="21">'WL (4)'!$S$28</definedName>
    <definedName name="MCT" localSheetId="20">'WL (5)'!$S$28</definedName>
    <definedName name="MCT" localSheetId="19">'WL (6)'!$S$28</definedName>
    <definedName name="MCT" localSheetId="18">'WL (7)'!$S$28</definedName>
    <definedName name="MCT" localSheetId="17">'WL (8)'!$S$28</definedName>
    <definedName name="MCT" localSheetId="16">'WL (9)'!$S$28</definedName>
    <definedName name="MCT" localSheetId="51">'WL (x)'!$S$57</definedName>
    <definedName name="MCT1cm">Main!$M$11</definedName>
    <definedName name="ML" localSheetId="24">'WL (1)'!$S$20</definedName>
    <definedName name="ML" localSheetId="15">'WL (10)'!$S$20</definedName>
    <definedName name="ML" localSheetId="14">'WL (11)'!$S$20</definedName>
    <definedName name="ML" localSheetId="13">'WL (12)'!$S$20</definedName>
    <definedName name="ML" localSheetId="12">'WL (13)'!$S$20</definedName>
    <definedName name="ML" localSheetId="11">'WL (14)'!$S$20</definedName>
    <definedName name="ML" localSheetId="10">'WL (15)'!$S$20</definedName>
    <definedName name="ML" localSheetId="9">'WL (16)'!$S$20</definedName>
    <definedName name="ML" localSheetId="8">'WL (17)'!$S$20</definedName>
    <definedName name="ML" localSheetId="7">'WL (18)'!$S$20</definedName>
    <definedName name="ML" localSheetId="6">'WL (19)'!$S$20</definedName>
    <definedName name="ML" localSheetId="23">'WL (2)'!$S$20</definedName>
    <definedName name="ML" localSheetId="5">'WL (20)'!$S$20</definedName>
    <definedName name="ML" localSheetId="4">'WL (21)'!$S$20</definedName>
    <definedName name="ML" localSheetId="3">'WL (22)'!$S$20</definedName>
    <definedName name="ML" localSheetId="2">'WL (23)'!$S$20</definedName>
    <definedName name="ML" localSheetId="1">'WL (24)'!$S$20</definedName>
    <definedName name="ML" localSheetId="0">'WL (25)'!$S$20</definedName>
    <definedName name="ML" localSheetId="22">'WL (3)'!$S$20</definedName>
    <definedName name="ML" localSheetId="21">'WL (4)'!$S$20</definedName>
    <definedName name="ML" localSheetId="20">'WL (5)'!$S$20</definedName>
    <definedName name="ML" localSheetId="19">'WL (6)'!$S$20</definedName>
    <definedName name="ML" localSheetId="18">'WL (7)'!$S$20</definedName>
    <definedName name="ML" localSheetId="17">'WL (8)'!$S$20</definedName>
    <definedName name="ML" localSheetId="16">'WL (9)'!$S$20</definedName>
    <definedName name="ML" localSheetId="51">'WL (x)'!$S$49</definedName>
    <definedName name="Mmid" localSheetId="24">'WL (1)'!$S$12</definedName>
    <definedName name="Mmid" localSheetId="15">'WL (10)'!$S$12</definedName>
    <definedName name="Mmid" localSheetId="14">'WL (11)'!$S$12</definedName>
    <definedName name="Mmid" localSheetId="13">'WL (12)'!$S$12</definedName>
    <definedName name="Mmid" localSheetId="12">'WL (13)'!$S$12</definedName>
    <definedName name="Mmid" localSheetId="11">'WL (14)'!$S$12</definedName>
    <definedName name="Mmid" localSheetId="10">'WL (15)'!$S$12</definedName>
    <definedName name="Mmid" localSheetId="9">'WL (16)'!$S$12</definedName>
    <definedName name="Mmid" localSheetId="8">'WL (17)'!$S$12</definedName>
    <definedName name="Mmid" localSheetId="7">'WL (18)'!$S$12</definedName>
    <definedName name="Mmid" localSheetId="6">'WL (19)'!$S$12</definedName>
    <definedName name="Mmid" localSheetId="23">'WL (2)'!$S$12</definedName>
    <definedName name="Mmid" localSheetId="5">'WL (20)'!$S$12</definedName>
    <definedName name="Mmid" localSheetId="4">'WL (21)'!$S$12</definedName>
    <definedName name="Mmid" localSheetId="3">'WL (22)'!$S$12</definedName>
    <definedName name="Mmid" localSheetId="2">'WL (23)'!$S$12</definedName>
    <definedName name="Mmid" localSheetId="1">'WL (24)'!$S$12</definedName>
    <definedName name="Mmid" localSheetId="0">'WL (25)'!$S$12</definedName>
    <definedName name="Mmid" localSheetId="22">'WL (3)'!$S$12</definedName>
    <definedName name="Mmid" localSheetId="21">'WL (4)'!$S$12</definedName>
    <definedName name="Mmid" localSheetId="20">'WL (5)'!$S$12</definedName>
    <definedName name="Mmid" localSheetId="19">'WL (6)'!$S$12</definedName>
    <definedName name="Mmid" localSheetId="18">'WL (7)'!$S$12</definedName>
    <definedName name="Mmid" localSheetId="17">'WL (8)'!$S$12</definedName>
    <definedName name="Mmid" localSheetId="16">'WL (9)'!$S$12</definedName>
    <definedName name="Mmid" localSheetId="51">'WL (x)'!$S$41</definedName>
    <definedName name="MOMENT_TABLE">Moment!$O$2:$AN$27</definedName>
    <definedName name="MS_1" localSheetId="61">OFFSET(Tools!$AC$69,1,0,1,Max_WL_count)</definedName>
    <definedName name="MS_10" localSheetId="61">OFFSET(Tools!$AC$69,10,0,1,Max_WL_count)</definedName>
    <definedName name="MS_11" localSheetId="61">OFFSET(Tools!$AC$69,11,0,1,Max_WL_count)</definedName>
    <definedName name="MS_12" localSheetId="61">OFFSET(Tools!$AC$69,12,0,1,Max_WL_count)</definedName>
    <definedName name="MS_13" localSheetId="61">OFFSET(Tools!$AC$69,13,0,1,Max_WL_count)</definedName>
    <definedName name="MS_14" localSheetId="61">OFFSET(Tools!$AC$69,14,0,1,Max_WL_count)</definedName>
    <definedName name="MS_15" localSheetId="61">OFFSET(Tools!$AC$69,15,0,1,Max_WL_count)</definedName>
    <definedName name="MS_16" localSheetId="61">OFFSET(Tools!$AC$69,16,0,1,Max_WL_count)</definedName>
    <definedName name="MS_17" localSheetId="61">OFFSET(Tools!$AC$69,17,0,1,Max_WL_count)</definedName>
    <definedName name="MS_18" localSheetId="61">OFFSET(Tools!$AC$69,18,0,1,Max_WL_count)</definedName>
    <definedName name="MS_19" localSheetId="61">OFFSET(Tools!$AC$69,19,0,1,Max_WL_count)</definedName>
    <definedName name="MS_2" localSheetId="61">OFFSET(Tools!$AC$69,2,0,1,Max_WL_count)</definedName>
    <definedName name="MS_20" localSheetId="61">OFFSET(Tools!$AC$69,20,0,1,Max_WL_count)</definedName>
    <definedName name="MS_21" localSheetId="61">OFFSET(Tools!$AC$69,21,0,1,Max_WL_count)</definedName>
    <definedName name="MS_22" localSheetId="61">OFFSET(Tools!$AC$69,22,0,1,Max_WL_count)</definedName>
    <definedName name="MS_23" localSheetId="61">OFFSET(Tools!$AC$69,23,0,1,Max_WL_count)</definedName>
    <definedName name="MS_24" localSheetId="61">OFFSET(Tools!$AC$69,24,0,1,Max_WL_count)</definedName>
    <definedName name="MS_25" localSheetId="61">OFFSET(Tools!$AC$69,25,0,1,Max_WL_count)</definedName>
    <definedName name="MS_3" localSheetId="61">OFFSET(Tools!$AC$69,3,0,1,Max_WL_count)</definedName>
    <definedName name="MS_4" localSheetId="61">OFFSET(Tools!$AC$69,4,0,1,Max_WL_count)</definedName>
    <definedName name="MS_5" localSheetId="61">OFFSET(Tools!$AC$69,5,0,1,Max_WL_count)</definedName>
    <definedName name="MS_6" localSheetId="61">OFFSET(Tools!$AC$69,6,0,1,Max_WL_count)</definedName>
    <definedName name="MS_7" localSheetId="61">OFFSET(Tools!$AC$69,7,0,1,Max_WL_count)</definedName>
    <definedName name="MS_8" localSheetId="61">OFFSET(Tools!$AC$69,8,0,1,Max_WL_count)</definedName>
    <definedName name="MS_9" localSheetId="61">OFFSET(Tools!$AC$69,9,0,1,Max_WL_count)</definedName>
    <definedName name="MT" localSheetId="24">'WL (1)'!$S$19</definedName>
    <definedName name="MT" localSheetId="15">'WL (10)'!$S$19</definedName>
    <definedName name="MT" localSheetId="14">'WL (11)'!$S$19</definedName>
    <definedName name="MT" localSheetId="13">'WL (12)'!$S$19</definedName>
    <definedName name="MT" localSheetId="12">'WL (13)'!$S$19</definedName>
    <definedName name="MT" localSheetId="11">'WL (14)'!$S$19</definedName>
    <definedName name="MT" localSheetId="10">'WL (15)'!$S$19</definedName>
    <definedName name="MT" localSheetId="9">'WL (16)'!$S$19</definedName>
    <definedName name="MT" localSheetId="8">'WL (17)'!$S$19</definedName>
    <definedName name="MT" localSheetId="7">'WL (18)'!$S$19</definedName>
    <definedName name="MT" localSheetId="6">'WL (19)'!$S$19</definedName>
    <definedName name="MT" localSheetId="23">'WL (2)'!$S$19</definedName>
    <definedName name="MT" localSheetId="5">'WL (20)'!$S$19</definedName>
    <definedName name="MT" localSheetId="4">'WL (21)'!$S$19</definedName>
    <definedName name="MT" localSheetId="3">'WL (22)'!$S$19</definedName>
    <definedName name="MT" localSheetId="2">'WL (23)'!$S$19</definedName>
    <definedName name="MT" localSheetId="1">'WL (24)'!$S$19</definedName>
    <definedName name="MT" localSheetId="0">'WL (25)'!$S$19</definedName>
    <definedName name="MT" localSheetId="22">'WL (3)'!$S$19</definedName>
    <definedName name="MT" localSheetId="21">'WL (4)'!$S$19</definedName>
    <definedName name="MT" localSheetId="20">'WL (5)'!$S$19</definedName>
    <definedName name="MT" localSheetId="19">'WL (6)'!$S$19</definedName>
    <definedName name="MT" localSheetId="18">'WL (7)'!$S$19</definedName>
    <definedName name="MT" localSheetId="17">'WL (8)'!$S$19</definedName>
    <definedName name="MT" localSheetId="16">'WL (9)'!$S$19</definedName>
    <definedName name="MT" localSheetId="51">'WL (x)'!$S$48</definedName>
    <definedName name="MW_1" localSheetId="61">OFFSET(Tools!$AB$70,,1,Max_STN_count,1)</definedName>
    <definedName name="MW_10" localSheetId="61">OFFSET(Tools!$AB$70,,10,Max_STN_count,1)</definedName>
    <definedName name="MW_11" localSheetId="61">OFFSET(Tools!$AB$70,,11,Max_STN_count,1)</definedName>
    <definedName name="MW_12" localSheetId="61">OFFSET(Tools!$AB$70,,12,Max_STN_count,1)</definedName>
    <definedName name="MW_13" localSheetId="61">OFFSET(Tools!$AB$70,,13,Max_STN_count,1)</definedName>
    <definedName name="MW_14" localSheetId="61">OFFSET(Tools!$AB$70,,14,Max_STN_count,1)</definedName>
    <definedName name="MW_15" localSheetId="61">OFFSET(Tools!$AB$70,,15,Max_STN_count,1)</definedName>
    <definedName name="MW_16" localSheetId="61">OFFSET(Tools!$AB$70,,16,Max_STN_count,1)</definedName>
    <definedName name="MW_17" localSheetId="61">OFFSET(Tools!$AB$70,,17,Max_STN_count,1)</definedName>
    <definedName name="MW_18" localSheetId="61">OFFSET(Tools!$AB$70,,18,Max_STN_count,1)</definedName>
    <definedName name="MW_19" localSheetId="61">OFFSET(Tools!$AB$70,,19,Max_STN_count,1)</definedName>
    <definedName name="MW_2" localSheetId="61">OFFSET(Tools!$AB$70,,2,Max_STN_count,1)</definedName>
    <definedName name="MW_20" localSheetId="61">OFFSET(Tools!$AB$70,,20,Max_STN_count,1)</definedName>
    <definedName name="MW_21" localSheetId="61">OFFSET(Tools!$AB$70,,21,Max_STN_count,1)</definedName>
    <definedName name="MW_22" localSheetId="61">OFFSET(Tools!$AB$70,,22,Max_STN_count,1)</definedName>
    <definedName name="MW_23" localSheetId="61">OFFSET(Tools!$AB$70,,23,Max_STN_count,1)</definedName>
    <definedName name="MW_24" localSheetId="61">OFFSET(Tools!$AB$70,,24,Max_STN_count,1)</definedName>
    <definedName name="MW_25" localSheetId="61">OFFSET(Tools!$AB$70,,25,Max_STN_count,1)</definedName>
    <definedName name="MW_3" localSheetId="61">OFFSET(Tools!$AB$70,,3,Max_STN_count,1)</definedName>
    <definedName name="MW_4" localSheetId="61">OFFSET(Tools!$AB$70,,4,Max_STN_count,1)</definedName>
    <definedName name="MW_5" localSheetId="61">OFFSET(Tools!$AB$70,,5,Max_STN_count,1)</definedName>
    <definedName name="MW_6" localSheetId="61">OFFSET(Tools!$AB$70,,6,Max_STN_count,1)</definedName>
    <definedName name="MW_7" localSheetId="61">OFFSET(Tools!$AB$70,,7,Max_STN_count,1)</definedName>
    <definedName name="MW_8" localSheetId="61">OFFSET(Tools!$AB$70,,8,Max_STN_count,1)</definedName>
    <definedName name="MW_9" localSheetId="61">OFFSET(Tools!$AB$70,,9,Max_STN_count,1)</definedName>
    <definedName name="No_of_BTKs" localSheetId="61">Tools!$P$38</definedName>
    <definedName name="OFFSET_A">Tools!$AD$2:$BC$28</definedName>
    <definedName name="RESULT_TABLE" localSheetId="49">'Stn(1)'!$AO$32:$AU$151</definedName>
    <definedName name="RESULT_TABLE" localSheetId="40">'Stn(10)'!$AO$32:$AU$151</definedName>
    <definedName name="RESULT_TABLE" localSheetId="39">'Stn(11)'!$AO$32:$AU$151</definedName>
    <definedName name="RESULT_TABLE" localSheetId="38">'Stn(12)'!$AO$32:$AU$151</definedName>
    <definedName name="RESULT_TABLE" localSheetId="37">'Stn(13)'!$AO$32:$AU$151</definedName>
    <definedName name="RESULT_TABLE" localSheetId="36">'Stn(14)'!$AO$32:$AU$151</definedName>
    <definedName name="RESULT_TABLE" localSheetId="35">'Stn(15)'!$AO$32:$AU$151</definedName>
    <definedName name="RESULT_TABLE" localSheetId="34">'Stn(16)'!$AO$32:$AU$151</definedName>
    <definedName name="RESULT_TABLE" localSheetId="33">'Stn(17)'!$AO$32:$AU$151</definedName>
    <definedName name="RESULT_TABLE" localSheetId="32">'Stn(18)'!$AO$32:$AU$151</definedName>
    <definedName name="RESULT_TABLE" localSheetId="31">'Stn(19)'!$AO$32:$AU$151</definedName>
    <definedName name="RESULT_TABLE" localSheetId="48">'Stn(2)'!$AO$32:$AU$151</definedName>
    <definedName name="RESULT_TABLE" localSheetId="30">'Stn(20)'!$AO$32:$AU$151</definedName>
    <definedName name="RESULT_TABLE" localSheetId="29">'Stn(21)'!$AO$32:$AU$151</definedName>
    <definedName name="RESULT_TABLE" localSheetId="28">'Stn(22)'!$AO$32:$AU$151</definedName>
    <definedName name="RESULT_TABLE" localSheetId="27">'Stn(23)'!$AO$32:$AU$151</definedName>
    <definedName name="RESULT_TABLE" localSheetId="26">'Stn(24)'!$AO$32:$AU$151</definedName>
    <definedName name="RESULT_TABLE" localSheetId="25">'Stn(25)'!$AO$32:$AU$151</definedName>
    <definedName name="RESULT_TABLE" localSheetId="47">'Stn(3)'!$AO$32:$AU$151</definedName>
    <definedName name="RESULT_TABLE" localSheetId="46">'Stn(4)'!$AO$32:$AU$151</definedName>
    <definedName name="RESULT_TABLE" localSheetId="45">'Stn(5)'!$AO$32:$AU$151</definedName>
    <definedName name="RESULT_TABLE" localSheetId="44">'Stn(6)'!$AO$32:$AU$151</definedName>
    <definedName name="RESULT_TABLE" localSheetId="43">'Stn(7)'!$AO$32:$AU$151</definedName>
    <definedName name="RESULT_TABLE" localSheetId="42">'Stn(8)'!$AO$32:$AU$151</definedName>
    <definedName name="RESULT_TABLE" localSheetId="41">'Stn(9)'!$AO$32:$AU$151</definedName>
    <definedName name="RESULT_TABLE" localSheetId="59">'View Bonjean'!$AQ$34:$AV$176</definedName>
    <definedName name="RFDEEP" localSheetId="61">OFFSET(Tools!#REF!,,,1,ROUNDDOWN(MAX(#REF!),0))</definedName>
    <definedName name="Rise" localSheetId="49">'Stn(1)'!$G$1</definedName>
    <definedName name="Rise" localSheetId="40">'Stn(10)'!$G$1</definedName>
    <definedName name="Rise" localSheetId="39">'Stn(11)'!$G$1</definedName>
    <definedName name="Rise" localSheetId="38">'Stn(12)'!$G$1</definedName>
    <definedName name="Rise" localSheetId="37">'Stn(13)'!$G$1</definedName>
    <definedName name="Rise" localSheetId="36">'Stn(14)'!$G$1</definedName>
    <definedName name="Rise" localSheetId="35">'Stn(15)'!$G$1</definedName>
    <definedName name="Rise" localSheetId="34">'Stn(16)'!$G$1</definedName>
    <definedName name="Rise" localSheetId="33">'Stn(17)'!$G$1</definedName>
    <definedName name="Rise" localSheetId="32">'Stn(18)'!$G$1</definedName>
    <definedName name="Rise" localSheetId="31">'Stn(19)'!$G$1</definedName>
    <definedName name="Rise" localSheetId="48">'Stn(2)'!$G$1</definedName>
    <definedName name="Rise" localSheetId="30">'Stn(20)'!$G$1</definedName>
    <definedName name="Rise" localSheetId="29">'Stn(21)'!$G$1</definedName>
    <definedName name="Rise" localSheetId="28">'Stn(22)'!$G$1</definedName>
    <definedName name="Rise" localSheetId="27">'Stn(23)'!$G$1</definedName>
    <definedName name="Rise" localSheetId="26">'Stn(24)'!$G$1</definedName>
    <definedName name="Rise" localSheetId="25">'Stn(25)'!$G$1</definedName>
    <definedName name="Rise" localSheetId="47">'Stn(3)'!$G$1</definedName>
    <definedName name="Rise" localSheetId="46">'Stn(4)'!$G$1</definedName>
    <definedName name="Rise" localSheetId="45">'Stn(5)'!$G$1</definedName>
    <definedName name="Rise" localSheetId="44">'Stn(6)'!$G$1</definedName>
    <definedName name="Rise" localSheetId="43">'Stn(7)'!$G$1</definedName>
    <definedName name="Rise" localSheetId="42">'Stn(8)'!$G$1</definedName>
    <definedName name="Rise" localSheetId="41">'Stn(9)'!$G$1</definedName>
    <definedName name="Rise" localSheetId="59">'View Bonjean'!$G$1</definedName>
    <definedName name="RISE_CALC">Tools!$BC$127:$BM$152</definedName>
    <definedName name="Rise_Results" localSheetId="49">'Stn(1)'!$K$4:$L$11</definedName>
    <definedName name="Rise_Results" localSheetId="40">'Stn(10)'!$K$4:$L$11</definedName>
    <definedName name="Rise_Results" localSheetId="39">'Stn(11)'!$K$4:$L$11</definedName>
    <definedName name="Rise_Results" localSheetId="38">'Stn(12)'!$K$4:$L$11</definedName>
    <definedName name="Rise_Results" localSheetId="37">'Stn(13)'!$K$4:$L$11</definedName>
    <definedName name="Rise_Results" localSheetId="36">'Stn(14)'!$K$4:$L$11</definedName>
    <definedName name="Rise_Results" localSheetId="35">'Stn(15)'!$K$4:$L$11</definedName>
    <definedName name="Rise_Results" localSheetId="34">'Stn(16)'!$K$4:$L$11</definedName>
    <definedName name="Rise_Results" localSheetId="33">'Stn(17)'!$K$4:$L$11</definedName>
    <definedName name="Rise_Results" localSheetId="32">'Stn(18)'!$K$4:$L$11</definedName>
    <definedName name="Rise_Results" localSheetId="31">'Stn(19)'!$K$4:$L$11</definedName>
    <definedName name="Rise_Results" localSheetId="48">'Stn(2)'!$K$4:$L$11</definedName>
    <definedName name="Rise_Results" localSheetId="30">'Stn(20)'!$K$4:$L$11</definedName>
    <definedName name="Rise_Results" localSheetId="29">'Stn(21)'!$K$4:$L$11</definedName>
    <definedName name="Rise_Results" localSheetId="28">'Stn(22)'!$K$4:$L$11</definedName>
    <definedName name="Rise_Results" localSheetId="27">'Stn(23)'!$K$4:$L$11</definedName>
    <definedName name="Rise_Results" localSheetId="26">'Stn(24)'!$K$4:$L$11</definedName>
    <definedName name="Rise_Results" localSheetId="25">'Stn(25)'!$K$4:$L$11</definedName>
    <definedName name="Rise_Results" localSheetId="47">'Stn(3)'!$K$4:$L$11</definedName>
    <definedName name="Rise_Results" localSheetId="46">'Stn(4)'!$K$4:$L$11</definedName>
    <definedName name="Rise_Results" localSheetId="45">'Stn(5)'!$K$4:$L$11</definedName>
    <definedName name="Rise_Results" localSheetId="44">'Stn(6)'!$K$4:$L$11</definedName>
    <definedName name="Rise_Results" localSheetId="43">'Stn(7)'!$K$4:$L$11</definedName>
    <definedName name="Rise_Results" localSheetId="42">'Stn(8)'!$K$4:$L$11</definedName>
    <definedName name="Rise_Results" localSheetId="41">'Stn(9)'!$K$4:$L$11</definedName>
    <definedName name="Rise_Results" localSheetId="59">'View Bonjean'!$O$4:$P$11</definedName>
    <definedName name="RisePerWLS" localSheetId="49">'Stn(1)'!$H$4</definedName>
    <definedName name="RisePerWLS" localSheetId="40">'Stn(10)'!$H$4</definedName>
    <definedName name="RisePerWLS" localSheetId="39">'Stn(11)'!$H$4</definedName>
    <definedName name="RisePerWLS" localSheetId="38">'Stn(12)'!$H$4</definedName>
    <definedName name="RisePerWLS" localSheetId="37">'Stn(13)'!$H$4</definedName>
    <definedName name="RisePerWLS" localSheetId="36">'Stn(14)'!$H$4</definedName>
    <definedName name="RisePerWLS" localSheetId="35">'Stn(15)'!$H$4</definedName>
    <definedName name="RisePerWLS" localSheetId="34">'Stn(16)'!$H$4</definedName>
    <definedName name="RisePerWLS" localSheetId="33">'Stn(17)'!$H$4</definedName>
    <definedName name="RisePerWLS" localSheetId="32">'Stn(18)'!$H$4</definedName>
    <definedName name="RisePerWLS" localSheetId="31">'Stn(19)'!$H$4</definedName>
    <definedName name="RisePerWLS" localSheetId="48">'Stn(2)'!$H$4</definedName>
    <definedName name="RisePerWLS" localSheetId="30">'Stn(20)'!$H$4</definedName>
    <definedName name="RisePerWLS" localSheetId="29">'Stn(21)'!$H$4</definedName>
    <definedName name="RisePerWLS" localSheetId="28">'Stn(22)'!$H$4</definedName>
    <definedName name="RisePerWLS" localSheetId="27">'Stn(23)'!$H$4</definedName>
    <definedName name="RisePerWLS" localSheetId="26">'Stn(24)'!$H$4</definedName>
    <definedName name="RisePerWLS" localSheetId="25">'Stn(25)'!$H$4</definedName>
    <definedName name="RisePerWLS" localSheetId="47">'Stn(3)'!$H$4</definedName>
    <definedName name="RisePerWLS" localSheetId="46">'Stn(4)'!$H$4</definedName>
    <definedName name="RisePerWLS" localSheetId="45">'Stn(5)'!$H$4</definedName>
    <definedName name="RisePerWLS" localSheetId="44">'Stn(6)'!$H$4</definedName>
    <definedName name="RisePerWLS" localSheetId="43">'Stn(7)'!$H$4</definedName>
    <definedName name="RisePerWLS" localSheetId="42">'Stn(8)'!$H$4</definedName>
    <definedName name="RisePerWLS" localSheetId="41">'Stn(9)'!$H$4</definedName>
    <definedName name="RisePerWLS" localSheetId="59">'View Bonjean'!$L$4</definedName>
    <definedName name="RTDEEP" localSheetId="61">OFFSET(Tools!#REF!,,,1,ROUNDDOWN(MAX(#REF!),0))</definedName>
    <definedName name="RTSHALLOW" localSheetId="61">IF(Tools!#REF!="Yes",OFFSET(Tools!#REF!,,,1,ROUNDDOWN(MAX(#REF!),0)),Tools!#REF!)</definedName>
    <definedName name="S">Main!$M$3</definedName>
    <definedName name="Station_No" localSheetId="49">'Stn(1)'!$C$1</definedName>
    <definedName name="Station_No" localSheetId="40">'Stn(10)'!$C$1</definedName>
    <definedName name="Station_No" localSheetId="39">'Stn(11)'!$C$1</definedName>
    <definedName name="Station_No" localSheetId="38">'Stn(12)'!$C$1</definedName>
    <definedName name="Station_No" localSheetId="37">'Stn(13)'!$C$1</definedName>
    <definedName name="Station_No" localSheetId="36">'Stn(14)'!$C$1</definedName>
    <definedName name="Station_No" localSheetId="35">'Stn(15)'!$C$1</definedName>
    <definedName name="Station_No" localSheetId="34">'Stn(16)'!$C$1</definedName>
    <definedName name="Station_No" localSheetId="33">'Stn(17)'!$C$1</definedName>
    <definedName name="Station_No" localSheetId="32">'Stn(18)'!$C$1</definedName>
    <definedName name="Station_No" localSheetId="31">'Stn(19)'!$C$1</definedName>
    <definedName name="Station_No" localSheetId="48">'Stn(2)'!$C$1</definedName>
    <definedName name="Station_No" localSheetId="30">'Stn(20)'!$C$1</definedName>
    <definedName name="Station_No" localSheetId="29">'Stn(21)'!$C$1</definedName>
    <definedName name="Station_No" localSheetId="28">'Stn(22)'!$C$1</definedName>
    <definedName name="Station_No" localSheetId="27">'Stn(23)'!$C$1</definedName>
    <definedName name="Station_No" localSheetId="26">'Stn(24)'!$C$1</definedName>
    <definedName name="Station_No" localSheetId="25">'Stn(25)'!$C$1</definedName>
    <definedName name="Station_No" localSheetId="47">'Stn(3)'!$C$1</definedName>
    <definedName name="Station_No" localSheetId="46">'Stn(4)'!$C$1</definedName>
    <definedName name="Station_No" localSheetId="45">'Stn(5)'!$C$1</definedName>
    <definedName name="Station_No" localSheetId="44">'Stn(6)'!$C$1</definedName>
    <definedName name="Station_No" localSheetId="43">'Stn(7)'!$C$1</definedName>
    <definedName name="Station_No" localSheetId="42">'Stn(8)'!$C$1</definedName>
    <definedName name="Station_No" localSheetId="41">'Stn(9)'!$C$1</definedName>
    <definedName name="Station_No" localSheetId="59">'View Bonjean'!$C$1</definedName>
    <definedName name="STN_GAP">Tools!$D$48</definedName>
    <definedName name="STN_List" localSheetId="61">OFFSET(Tools!$AD$3,,,Max_STN_count,1)</definedName>
    <definedName name="STN_TABLE" localSheetId="49">'Stn(1)'!$B$3:$E$28</definedName>
    <definedName name="STN_TABLE" localSheetId="40">'Stn(10)'!$B$3:$E$28</definedName>
    <definedName name="STN_TABLE" localSheetId="39">'Stn(11)'!$B$3:$E$28</definedName>
    <definedName name="STN_TABLE" localSheetId="38">'Stn(12)'!$B$3:$E$28</definedName>
    <definedName name="STN_TABLE" localSheetId="37">'Stn(13)'!$B$3:$E$28</definedName>
    <definedName name="STN_TABLE" localSheetId="36">'Stn(14)'!$B$3:$E$28</definedName>
    <definedName name="STN_TABLE" localSheetId="35">'Stn(15)'!$B$3:$E$28</definedName>
    <definedName name="STN_TABLE" localSheetId="34">'Stn(16)'!$B$3:$E$28</definedName>
    <definedName name="STN_TABLE" localSheetId="33">'Stn(17)'!$B$3:$E$28</definedName>
    <definedName name="STN_TABLE" localSheetId="32">'Stn(18)'!$B$3:$E$28</definedName>
    <definedName name="STN_TABLE" localSheetId="31">'Stn(19)'!$B$3:$E$28</definedName>
    <definedName name="STN_TABLE" localSheetId="48">'Stn(2)'!$B$3:$E$28</definedName>
    <definedName name="STN_TABLE" localSheetId="30">'Stn(20)'!$B$3:$E$28</definedName>
    <definedName name="STN_TABLE" localSheetId="29">'Stn(21)'!$B$3:$E$28</definedName>
    <definedName name="STN_TABLE" localSheetId="28">'Stn(22)'!$B$3:$E$28</definedName>
    <definedName name="STN_TABLE" localSheetId="27">'Stn(23)'!$B$3:$E$28</definedName>
    <definedName name="STN_TABLE" localSheetId="26">'Stn(24)'!$B$3:$E$28</definedName>
    <definedName name="STN_TABLE" localSheetId="25">'Stn(25)'!$B$3:$E$28</definedName>
    <definedName name="STN_TABLE" localSheetId="47">'Stn(3)'!$B$3:$E$28</definedName>
    <definedName name="STN_TABLE" localSheetId="46">'Stn(4)'!$B$3:$E$28</definedName>
    <definedName name="STN_TABLE" localSheetId="45">'Stn(5)'!$B$3:$E$28</definedName>
    <definedName name="STN_TABLE" localSheetId="44">'Stn(6)'!$B$3:$E$28</definedName>
    <definedName name="STN_TABLE" localSheetId="43">'Stn(7)'!$B$3:$E$28</definedName>
    <definedName name="STN_TABLE" localSheetId="42">'Stn(8)'!$B$3:$E$28</definedName>
    <definedName name="STN_TABLE" localSheetId="41">'Stn(9)'!$B$3:$E$28</definedName>
    <definedName name="STN_TABLE" localSheetId="59">'View Bonjean'!$B$3:$E$28</definedName>
    <definedName name="STN_TABLE_2" localSheetId="49">'Stn(1)'!$A$3:$E$28</definedName>
    <definedName name="STN_TABLE_2" localSheetId="40">'Stn(10)'!$A$3:$E$28</definedName>
    <definedName name="STN_TABLE_2" localSheetId="39">'Stn(11)'!$A$3:$E$28</definedName>
    <definedName name="STN_TABLE_2" localSheetId="38">'Stn(12)'!$A$3:$E$28</definedName>
    <definedName name="STN_TABLE_2" localSheetId="37">'Stn(13)'!$A$3:$E$28</definedName>
    <definedName name="STN_TABLE_2" localSheetId="36">'Stn(14)'!$A$3:$E$28</definedName>
    <definedName name="STN_TABLE_2" localSheetId="35">'Stn(15)'!$A$3:$E$28</definedName>
    <definedName name="STN_TABLE_2" localSheetId="34">'Stn(16)'!$A$3:$E$28</definedName>
    <definedName name="STN_TABLE_2" localSheetId="33">'Stn(17)'!$A$3:$E$28</definedName>
    <definedName name="STN_TABLE_2" localSheetId="32">'Stn(18)'!$A$3:$E$28</definedName>
    <definedName name="STN_TABLE_2" localSheetId="31">'Stn(19)'!$A$3:$E$28</definedName>
    <definedName name="STN_TABLE_2" localSheetId="48">'Stn(2)'!$A$3:$E$28</definedName>
    <definedName name="STN_TABLE_2" localSheetId="30">'Stn(20)'!$A$3:$E$28</definedName>
    <definedName name="STN_TABLE_2" localSheetId="29">'Stn(21)'!$A$3:$E$28</definedName>
    <definedName name="STN_TABLE_2" localSheetId="28">'Stn(22)'!$A$3:$E$28</definedName>
    <definedName name="STN_TABLE_2" localSheetId="27">'Stn(23)'!$A$3:$E$28</definedName>
    <definedName name="STN_TABLE_2" localSheetId="26">'Stn(24)'!$A$3:$E$28</definedName>
    <definedName name="STN_TABLE_2" localSheetId="25">'Stn(25)'!$A$3:$E$28</definedName>
    <definedName name="STN_TABLE_2" localSheetId="47">'Stn(3)'!$A$3:$E$28</definedName>
    <definedName name="STN_TABLE_2" localSheetId="46">'Stn(4)'!$A$3:$E$28</definedName>
    <definedName name="STN_TABLE_2" localSheetId="45">'Stn(5)'!$A$3:$E$28</definedName>
    <definedName name="STN_TABLE_2" localSheetId="44">'Stn(6)'!$A$3:$E$28</definedName>
    <definedName name="STN_TABLE_2" localSheetId="43">'Stn(7)'!$A$3:$E$28</definedName>
    <definedName name="STN_TABLE_2" localSheetId="42">'Stn(8)'!$A$3:$E$28</definedName>
    <definedName name="STN_TABLE_2" localSheetId="41">'Stn(9)'!$A$3:$E$28</definedName>
    <definedName name="STN_TABLE_2" localSheetId="59">'View Bonjean'!$A$3:$E$28</definedName>
    <definedName name="Stn_WL">Tools!$AD$2</definedName>
    <definedName name="T" localSheetId="24">'WL (1)'!$S$29</definedName>
    <definedName name="T" localSheetId="15">'WL (10)'!$S$29</definedName>
    <definedName name="T" localSheetId="14">'WL (11)'!$S$29</definedName>
    <definedName name="T" localSheetId="13">'WL (12)'!$S$29</definedName>
    <definedName name="T" localSheetId="12">'WL (13)'!$S$29</definedName>
    <definedName name="T" localSheetId="11">'WL (14)'!$S$29</definedName>
    <definedName name="T" localSheetId="10">'WL (15)'!$S$29</definedName>
    <definedName name="T" localSheetId="9">'WL (16)'!$S$29</definedName>
    <definedName name="T" localSheetId="8">'WL (17)'!$S$29</definedName>
    <definedName name="T" localSheetId="7">'WL (18)'!$S$29</definedName>
    <definedName name="T" localSheetId="6">'WL (19)'!$S$29</definedName>
    <definedName name="T" localSheetId="23">'WL (2)'!$S$29</definedName>
    <definedName name="T" localSheetId="5">'WL (20)'!$S$29</definedName>
    <definedName name="T" localSheetId="4">'WL (21)'!$S$29</definedName>
    <definedName name="T" localSheetId="3">'WL (22)'!$S$29</definedName>
    <definedName name="T" localSheetId="2">'WL (23)'!$S$29</definedName>
    <definedName name="T" localSheetId="1">'WL (24)'!$S$29</definedName>
    <definedName name="T" localSheetId="0">'WL (25)'!$S$29</definedName>
    <definedName name="T" localSheetId="22">'WL (3)'!$S$29</definedName>
    <definedName name="T" localSheetId="21">'WL (4)'!$S$29</definedName>
    <definedName name="T" localSheetId="20">'WL (5)'!$S$29</definedName>
    <definedName name="T" localSheetId="19">'WL (6)'!$S$29</definedName>
    <definedName name="T" localSheetId="18">'WL (7)'!$S$29</definedName>
    <definedName name="T" localSheetId="17">'WL (8)'!$S$29</definedName>
    <definedName name="T" localSheetId="16">'WL (9)'!$S$29</definedName>
    <definedName name="T" localSheetId="51">'WL (x)'!$S$58</definedName>
    <definedName name="TPC" localSheetId="24">'WL (1)'!$S$26</definedName>
    <definedName name="TPC" localSheetId="15">'WL (10)'!$S$26</definedName>
    <definedName name="TPC" localSheetId="14">'WL (11)'!$S$26</definedName>
    <definedName name="TPC" localSheetId="13">'WL (12)'!$S$26</definedName>
    <definedName name="TPC" localSheetId="12">'WL (13)'!$S$26</definedName>
    <definedName name="TPC" localSheetId="11">'WL (14)'!$S$26</definedName>
    <definedName name="TPC" localSheetId="10">'WL (15)'!$S$26</definedName>
    <definedName name="TPC" localSheetId="9">'WL (16)'!$S$26</definedName>
    <definedName name="TPC" localSheetId="8">'WL (17)'!$S$26</definedName>
    <definedName name="TPC" localSheetId="7">'WL (18)'!$S$26</definedName>
    <definedName name="TPC" localSheetId="6">'WL (19)'!$S$26</definedName>
    <definedName name="TPC" localSheetId="23">'WL (2)'!$S$26</definedName>
    <definedName name="TPC" localSheetId="5">'WL (20)'!$S$26</definedName>
    <definedName name="TPC" localSheetId="4">'WL (21)'!$S$26</definedName>
    <definedName name="TPC" localSheetId="3">'WL (22)'!$S$26</definedName>
    <definedName name="TPC" localSheetId="2">'WL (23)'!$S$26</definedName>
    <definedName name="TPC" localSheetId="1">'WL (24)'!$S$26</definedName>
    <definedName name="TPC" localSheetId="0">'WL (25)'!$S$26</definedName>
    <definedName name="TPC" localSheetId="22">'WL (3)'!$S$26</definedName>
    <definedName name="TPC" localSheetId="21">'WL (4)'!$S$26</definedName>
    <definedName name="TPC" localSheetId="20">'WL (5)'!$S$26</definedName>
    <definedName name="TPC" localSheetId="19">'WL (6)'!$S$26</definedName>
    <definedName name="TPC" localSheetId="18">'WL (7)'!$S$26</definedName>
    <definedName name="TPC" localSheetId="17">'WL (8)'!$S$26</definedName>
    <definedName name="TPC" localSheetId="16">'WL (9)'!$S$26</definedName>
    <definedName name="TPC" localSheetId="51">'WL (x)'!$S$55</definedName>
    <definedName name="TPC">Main!$M$9</definedName>
    <definedName name="V" localSheetId="61">Tools!$C$2</definedName>
    <definedName name="V_Disp" localSheetId="24">'WL (1)'!$S$17</definedName>
    <definedName name="V_Disp" localSheetId="15">'WL (10)'!$S$17</definedName>
    <definedName name="V_Disp" localSheetId="14">'WL (11)'!$S$17</definedName>
    <definedName name="V_Disp" localSheetId="13">'WL (12)'!$S$17</definedName>
    <definedName name="V_Disp" localSheetId="12">'WL (13)'!$S$17</definedName>
    <definedName name="V_Disp" localSheetId="11">'WL (14)'!$S$17</definedName>
    <definedName name="V_Disp" localSheetId="10">'WL (15)'!$S$17</definedName>
    <definedName name="V_Disp" localSheetId="9">'WL (16)'!$S$17</definedName>
    <definedName name="V_Disp" localSheetId="8">'WL (17)'!$S$17</definedName>
    <definedName name="V_Disp" localSheetId="7">'WL (18)'!$S$17</definedName>
    <definedName name="V_Disp" localSheetId="6">'WL (19)'!$S$17</definedName>
    <definedName name="V_Disp" localSheetId="23">'WL (2)'!$S$17</definedName>
    <definedName name="V_Disp" localSheetId="5">'WL (20)'!$S$17</definedName>
    <definedName name="V_Disp" localSheetId="4">'WL (21)'!$S$17</definedName>
    <definedName name="V_Disp" localSheetId="3">'WL (22)'!$S$17</definedName>
    <definedName name="V_Disp" localSheetId="2">'WL (23)'!$S$17</definedName>
    <definedName name="V_Disp" localSheetId="1">'WL (24)'!$S$17</definedName>
    <definedName name="V_Disp" localSheetId="0">'WL (25)'!$S$17</definedName>
    <definedName name="V_Disp" localSheetId="22">'WL (3)'!$S$17</definedName>
    <definedName name="V_Disp" localSheetId="21">'WL (4)'!$S$17</definedName>
    <definedName name="V_Disp" localSheetId="20">'WL (5)'!$S$17</definedName>
    <definedName name="V_Disp" localSheetId="19">'WL (6)'!$S$17</definedName>
    <definedName name="V_Disp" localSheetId="18">'WL (7)'!$S$17</definedName>
    <definedName name="V_Disp" localSheetId="17">'WL (8)'!$S$17</definedName>
    <definedName name="V_Disp" localSheetId="16">'WL (9)'!$S$17</definedName>
    <definedName name="V_Disp" localSheetId="51">'WL (x)'!$S$46</definedName>
    <definedName name="VH" localSheetId="61">OFFSET(Tools!#REF!,,,1,ROUNDDOWN(MAX(#REF!),0))</definedName>
    <definedName name="VKNOTS" localSheetId="61">OFFSET(Tools!#REF!,,,1,ROUNDDOWN(MAX(#REF!),0))</definedName>
    <definedName name="Volume_Displacement">Main!$M$6</definedName>
    <definedName name="WL_List" localSheetId="61">OFFSET(Tools!$BE$97,,,1,Max_WL_count)</definedName>
    <definedName name="WL_No" localSheetId="24">'WL (1)'!$B$1</definedName>
    <definedName name="WL_No" localSheetId="15">'WL (10)'!$B$1</definedName>
    <definedName name="WL_No" localSheetId="14">'WL (11)'!$B$1</definedName>
    <definedName name="WL_No" localSheetId="13">'WL (12)'!$B$1</definedName>
    <definedName name="WL_No" localSheetId="12">'WL (13)'!$B$1</definedName>
    <definedName name="WL_No" localSheetId="11">'WL (14)'!$B$1</definedName>
    <definedName name="WL_No" localSheetId="10">'WL (15)'!$B$1</definedName>
    <definedName name="WL_No" localSheetId="9">'WL (16)'!$B$1</definedName>
    <definedName name="WL_No" localSheetId="8">'WL (17)'!$B$1</definedName>
    <definedName name="WL_No" localSheetId="7">'WL (18)'!$B$1</definedName>
    <definedName name="WL_No" localSheetId="6">'WL (19)'!$B$1</definedName>
    <definedName name="WL_No" localSheetId="23">'WL (2)'!$B$1</definedName>
    <definedName name="WL_No" localSheetId="5">'WL (20)'!$B$1</definedName>
    <definedName name="WL_No" localSheetId="4">'WL (21)'!$B$1</definedName>
    <definedName name="WL_No" localSheetId="3">'WL (22)'!$B$1</definedName>
    <definedName name="WL_No" localSheetId="2">'WL (23)'!$B$1</definedName>
    <definedName name="WL_No" localSheetId="1">'WL (24)'!$B$1</definedName>
    <definedName name="WL_No" localSheetId="0">'WL (25)'!$B$1</definedName>
    <definedName name="WL_No" localSheetId="22">'WL (3)'!$B$1</definedName>
    <definedName name="WL_No" localSheetId="21">'WL (4)'!$B$1</definedName>
    <definedName name="WL_No" localSheetId="20">'WL (5)'!$B$1</definedName>
    <definedName name="WL_No" localSheetId="19">'WL (6)'!$B$1</definedName>
    <definedName name="WL_No" localSheetId="18">'WL (7)'!$B$1</definedName>
    <definedName name="WL_No" localSheetId="17">'WL (8)'!$B$1</definedName>
    <definedName name="WL_No" localSheetId="16">'WL (9)'!$B$1</definedName>
    <definedName name="WL_No" localSheetId="51">'WL (x)'!$B$1</definedName>
    <definedName name="WLS">Tools!$D$46</definedName>
    <definedName name="X_SHIFT_BP" localSheetId="61">Tools!$BI$36</definedName>
    <definedName name="Y_Shift_HB" localSheetId="61">Tools!$BA$35</definedName>
  </definedNames>
  <calcPr calcId="144525"/>
</workbook>
</file>

<file path=xl/calcChain.xml><?xml version="1.0" encoding="utf-8"?>
<calcChain xmlns="http://schemas.openxmlformats.org/spreadsheetml/2006/main">
  <c r="GQ126" i="61" l="1"/>
  <c r="Q58" i="61" l="1"/>
  <c r="GP150" i="61" l="1"/>
  <c r="GQ150" i="61" s="1"/>
  <c r="GP149" i="61"/>
  <c r="GQ149" i="61" s="1"/>
  <c r="GP148" i="61"/>
  <c r="GQ148" i="61" s="1"/>
  <c r="GP147" i="61"/>
  <c r="GQ147" i="61" s="1"/>
  <c r="GP146" i="61"/>
  <c r="GQ146" i="61" s="1"/>
  <c r="GP145" i="61"/>
  <c r="GQ145" i="61" s="1"/>
  <c r="GP144" i="61"/>
  <c r="GQ144" i="61" s="1"/>
  <c r="GP143" i="61"/>
  <c r="GQ143" i="61" s="1"/>
  <c r="GP142" i="61"/>
  <c r="GQ142" i="61" s="1"/>
  <c r="GP141" i="61"/>
  <c r="GQ141" i="61" s="1"/>
  <c r="GP140" i="61"/>
  <c r="GQ140" i="61" s="1"/>
  <c r="GP139" i="61"/>
  <c r="GQ139" i="61" s="1"/>
  <c r="GP138" i="61"/>
  <c r="GQ138" i="61" s="1"/>
  <c r="GP137" i="61"/>
  <c r="GQ137" i="61" s="1"/>
  <c r="GP136" i="61"/>
  <c r="GQ136" i="61" s="1"/>
  <c r="GP135" i="61"/>
  <c r="GQ135" i="61" s="1"/>
  <c r="GP134" i="61"/>
  <c r="GQ134" i="61" s="1"/>
  <c r="GP133" i="61"/>
  <c r="GQ133" i="61" s="1"/>
  <c r="GP132" i="61"/>
  <c r="GQ132" i="61" s="1"/>
  <c r="GP131" i="61"/>
  <c r="GQ131" i="61" s="1"/>
  <c r="GP130" i="61"/>
  <c r="GQ130" i="61" s="1"/>
  <c r="GP129" i="61"/>
  <c r="GQ129" i="61" s="1"/>
  <c r="GP128" i="61"/>
  <c r="GQ128" i="61" s="1"/>
  <c r="GP127" i="61"/>
  <c r="GQ127" i="61" s="1"/>
  <c r="GP126" i="61"/>
  <c r="N42" i="68" l="1"/>
  <c r="N41" i="68"/>
  <c r="G86" i="68" l="1"/>
  <c r="G85" i="68"/>
  <c r="G84" i="68"/>
  <c r="G83" i="68"/>
  <c r="G82" i="68"/>
  <c r="G81" i="68"/>
  <c r="G80" i="68"/>
  <c r="G79" i="68"/>
  <c r="G78" i="68"/>
  <c r="G77" i="68"/>
  <c r="G76" i="68"/>
  <c r="G75" i="68"/>
  <c r="F87" i="68"/>
  <c r="F86" i="68"/>
  <c r="F85" i="68"/>
  <c r="F84" i="68"/>
  <c r="F83" i="68"/>
  <c r="F82" i="68"/>
  <c r="F81" i="68"/>
  <c r="F80" i="68"/>
  <c r="F79" i="68"/>
  <c r="F78" i="68"/>
  <c r="F77" i="68"/>
  <c r="F76" i="68"/>
  <c r="F75" i="68"/>
  <c r="R28" i="67" l="1"/>
  <c r="R27" i="67"/>
  <c r="R26" i="67"/>
  <c r="R25" i="67"/>
  <c r="R24" i="67"/>
  <c r="R23" i="67"/>
  <c r="R22" i="67"/>
  <c r="R21" i="67"/>
  <c r="R20" i="67"/>
  <c r="R19" i="67"/>
  <c r="R18" i="67"/>
  <c r="R17" i="67"/>
  <c r="R16" i="67"/>
  <c r="R15" i="67"/>
  <c r="R14" i="67"/>
  <c r="R13" i="67"/>
  <c r="R12" i="67"/>
  <c r="R11" i="67"/>
  <c r="R10" i="67"/>
  <c r="R9" i="67"/>
  <c r="R8" i="67"/>
  <c r="R7" i="67"/>
  <c r="R6" i="67"/>
  <c r="R5" i="67"/>
  <c r="R4" i="67"/>
  <c r="I63" i="68" l="1" a="1"/>
  <c r="E63" i="68" a="1"/>
  <c r="B87" i="68"/>
  <c r="B86" i="68"/>
  <c r="B85" i="68"/>
  <c r="B84" i="68"/>
  <c r="B83" i="68"/>
  <c r="B82" i="68"/>
  <c r="B81" i="68"/>
  <c r="B80" i="68"/>
  <c r="B79" i="68"/>
  <c r="B78" i="68"/>
  <c r="B77" i="68"/>
  <c r="B76" i="68"/>
  <c r="B75" i="68"/>
  <c r="B74" i="68"/>
  <c r="B73" i="68"/>
  <c r="B72" i="68"/>
  <c r="B71" i="68"/>
  <c r="B70" i="68"/>
  <c r="B69" i="68"/>
  <c r="B68" i="68"/>
  <c r="B67" i="68"/>
  <c r="B66" i="68"/>
  <c r="B65" i="68"/>
  <c r="B64" i="68"/>
  <c r="B63" i="68"/>
  <c r="A63" i="68" a="1"/>
  <c r="A63" i="68" s="1"/>
  <c r="U4" i="68"/>
  <c r="I63" i="68" l="1"/>
  <c r="K71" i="68"/>
  <c r="G71" i="68" s="1"/>
  <c r="J86" i="68"/>
  <c r="I81" i="68"/>
  <c r="K75" i="68"/>
  <c r="J70" i="68"/>
  <c r="F70" i="68" s="1"/>
  <c r="I65" i="68"/>
  <c r="J85" i="68"/>
  <c r="I80" i="68"/>
  <c r="K74" i="68"/>
  <c r="G74" i="68" s="1"/>
  <c r="J69" i="68"/>
  <c r="F69" i="68" s="1"/>
  <c r="I64" i="68"/>
  <c r="K84" i="68"/>
  <c r="J79" i="68"/>
  <c r="I74" i="68"/>
  <c r="K68" i="68"/>
  <c r="G68" i="68" s="1"/>
  <c r="J63" i="68"/>
  <c r="F63" i="68" s="1"/>
  <c r="J84" i="68"/>
  <c r="I79" i="68"/>
  <c r="K73" i="68"/>
  <c r="G73" i="68" s="1"/>
  <c r="J68" i="68"/>
  <c r="F68" i="68" s="1"/>
  <c r="K83" i="68"/>
  <c r="K67" i="68"/>
  <c r="G67" i="68" s="1"/>
  <c r="K82" i="68"/>
  <c r="I72" i="68"/>
  <c r="J87" i="68"/>
  <c r="K76" i="68"/>
  <c r="I66" i="68"/>
  <c r="K81" i="68"/>
  <c r="J76" i="68"/>
  <c r="K65" i="68"/>
  <c r="G65" i="68" s="1"/>
  <c r="J82" i="68"/>
  <c r="J66" i="68"/>
  <c r="F66" i="68" s="1"/>
  <c r="J81" i="68"/>
  <c r="K70" i="68"/>
  <c r="G70" i="68" s="1"/>
  <c r="K80" i="68"/>
  <c r="I70" i="68"/>
  <c r="K85" i="68"/>
  <c r="I75" i="68"/>
  <c r="J64" i="68"/>
  <c r="F64" i="68" s="1"/>
  <c r="I85" i="68"/>
  <c r="K79" i="68"/>
  <c r="J74" i="68"/>
  <c r="F74" i="68" s="1"/>
  <c r="I69" i="68"/>
  <c r="K63" i="68"/>
  <c r="G63" i="68" s="1"/>
  <c r="I84" i="68"/>
  <c r="K78" i="68"/>
  <c r="J73" i="68"/>
  <c r="F73" i="68" s="1"/>
  <c r="I68" i="68"/>
  <c r="K88" i="68"/>
  <c r="J83" i="68"/>
  <c r="I78" i="68"/>
  <c r="K72" i="68"/>
  <c r="G72" i="68" s="1"/>
  <c r="J67" i="68"/>
  <c r="F67" i="68" s="1"/>
  <c r="J88" i="68"/>
  <c r="I83" i="68"/>
  <c r="K77" i="68"/>
  <c r="J72" i="68"/>
  <c r="F72" i="68" s="1"/>
  <c r="I67" i="68"/>
  <c r="J78" i="68"/>
  <c r="I73" i="68"/>
  <c r="I88" i="68"/>
  <c r="J77" i="68"/>
  <c r="K66" i="68"/>
  <c r="G66" i="68" s="1"/>
  <c r="I82" i="68"/>
  <c r="J71" i="68"/>
  <c r="F71" i="68" s="1"/>
  <c r="I87" i="68"/>
  <c r="I71" i="68"/>
  <c r="K87" i="68"/>
  <c r="G87" i="68" s="1"/>
  <c r="I77" i="68"/>
  <c r="K86" i="68"/>
  <c r="I76" i="68"/>
  <c r="J65" i="68"/>
  <c r="F65" i="68" s="1"/>
  <c r="I86" i="68"/>
  <c r="J75" i="68"/>
  <c r="K64" i="68"/>
  <c r="G64" i="68" s="1"/>
  <c r="J80" i="68"/>
  <c r="K69" i="68"/>
  <c r="G69" i="68" s="1"/>
  <c r="E64" i="68"/>
  <c r="E81" i="68"/>
  <c r="E65" i="68"/>
  <c r="E75" i="68"/>
  <c r="E86" i="68"/>
  <c r="E70" i="68"/>
  <c r="E76" i="68"/>
  <c r="E83" i="68"/>
  <c r="E69" i="68"/>
  <c r="E63" i="68"/>
  <c r="E80" i="68"/>
  <c r="E77" i="68"/>
  <c r="E87" i="68"/>
  <c r="E71" i="68"/>
  <c r="E82" i="68"/>
  <c r="E66" i="68"/>
  <c r="E72" i="68"/>
  <c r="E88" i="68"/>
  <c r="E73" i="68"/>
  <c r="E67" i="68"/>
  <c r="E78" i="68"/>
  <c r="E84" i="68"/>
  <c r="E68" i="68"/>
  <c r="E85" i="68"/>
  <c r="E79" i="68"/>
  <c r="E74" i="68"/>
  <c r="A85" i="68"/>
  <c r="A81" i="68"/>
  <c r="A77" i="68"/>
  <c r="A73" i="68"/>
  <c r="A69" i="68"/>
  <c r="A65" i="68"/>
  <c r="A86" i="68"/>
  <c r="A82" i="68"/>
  <c r="A78" i="68"/>
  <c r="A74" i="68"/>
  <c r="A70" i="68"/>
  <c r="A66" i="68"/>
  <c r="A84" i="68"/>
  <c r="A80" i="68"/>
  <c r="A76" i="68"/>
  <c r="A72" i="68"/>
  <c r="A68" i="68"/>
  <c r="A64" i="68"/>
  <c r="A87" i="68"/>
  <c r="A83" i="68"/>
  <c r="A79" i="68"/>
  <c r="A75" i="68"/>
  <c r="A71" i="68"/>
  <c r="A67" i="68"/>
  <c r="K30" i="68" l="1"/>
  <c r="K29" i="68"/>
  <c r="K28" i="68"/>
  <c r="K27" i="68"/>
  <c r="K26" i="68"/>
  <c r="K25" i="68"/>
  <c r="K24" i="68"/>
  <c r="K23" i="68"/>
  <c r="K22" i="68"/>
  <c r="K21" i="68"/>
  <c r="K20" i="68"/>
  <c r="K19" i="68"/>
  <c r="K18" i="68"/>
  <c r="K17" i="68"/>
  <c r="K16" i="68"/>
  <c r="K15" i="68"/>
  <c r="K14" i="68"/>
  <c r="K13" i="68"/>
  <c r="K12" i="68"/>
  <c r="K11" i="68"/>
  <c r="K10" i="68"/>
  <c r="K9" i="68"/>
  <c r="K8" i="68"/>
  <c r="K7" i="68"/>
  <c r="K6" i="68"/>
  <c r="F30" i="68"/>
  <c r="F29" i="68"/>
  <c r="F28" i="68"/>
  <c r="F27" i="68"/>
  <c r="F26" i="68"/>
  <c r="F25" i="68"/>
  <c r="F24" i="68"/>
  <c r="F23" i="68"/>
  <c r="F22" i="68"/>
  <c r="F21" i="68"/>
  <c r="F20" i="68"/>
  <c r="F19" i="68"/>
  <c r="F18" i="68"/>
  <c r="F17" i="68"/>
  <c r="F16" i="68"/>
  <c r="F15" i="68"/>
  <c r="F14" i="68"/>
  <c r="F13" i="68"/>
  <c r="F12" i="68"/>
  <c r="F11" i="68"/>
  <c r="F10" i="68"/>
  <c r="F9" i="68"/>
  <c r="F8" i="68"/>
  <c r="F7" i="68"/>
  <c r="F6" i="68"/>
  <c r="C30" i="68"/>
  <c r="C29" i="68"/>
  <c r="C28" i="68"/>
  <c r="C27" i="68"/>
  <c r="C26" i="68"/>
  <c r="C25" i="68"/>
  <c r="C24" i="68"/>
  <c r="C23" i="68"/>
  <c r="C22" i="68"/>
  <c r="C21" i="68"/>
  <c r="C20" i="68"/>
  <c r="C19" i="68"/>
  <c r="C18" i="68"/>
  <c r="C17" i="68"/>
  <c r="C16" i="68"/>
  <c r="C15" i="68"/>
  <c r="C14" i="68"/>
  <c r="C13" i="68"/>
  <c r="C12" i="68"/>
  <c r="C11" i="68"/>
  <c r="V50" i="68" s="1"/>
  <c r="C10" i="68"/>
  <c r="C9" i="68"/>
  <c r="V48" i="68" s="1"/>
  <c r="C8" i="68"/>
  <c r="C7" i="68"/>
  <c r="C6" i="68"/>
  <c r="V45" i="68" s="1"/>
  <c r="V51" i="68" l="1"/>
  <c r="V52" i="68" s="1"/>
  <c r="V53" i="68" s="1"/>
  <c r="V54" i="68" s="1"/>
  <c r="V55" i="68" s="1"/>
  <c r="V56" i="68" s="1"/>
  <c r="V57" i="68" s="1"/>
  <c r="V58" i="68" s="1"/>
  <c r="V59" i="68" s="1"/>
  <c r="V60" i="68" s="1"/>
  <c r="V61" i="68" s="1"/>
  <c r="V62" i="68" s="1"/>
  <c r="V63" i="68" s="1"/>
  <c r="V64" i="68" s="1"/>
  <c r="V65" i="68" s="1"/>
  <c r="V66" i="68" s="1"/>
  <c r="V67" i="68" s="1"/>
  <c r="V68" i="68" s="1"/>
  <c r="V69" i="68" s="1"/>
  <c r="V49" i="68"/>
  <c r="V46" i="68"/>
  <c r="L50" i="61"/>
  <c r="L3" i="60" s="1"/>
  <c r="N1" i="56" s="1"/>
  <c r="L54" i="61"/>
  <c r="N31" i="64"/>
  <c r="GI152" i="61"/>
  <c r="O31" i="64" s="1"/>
  <c r="V47" i="68" l="1"/>
  <c r="EL97" i="61"/>
  <c r="F6" i="51" l="1"/>
  <c r="L49" i="61" l="1"/>
  <c r="J154" i="61" l="1"/>
  <c r="G154" i="61"/>
  <c r="BD127" i="61"/>
  <c r="BC127" i="61"/>
  <c r="BD97" i="61"/>
  <c r="A97" i="61"/>
  <c r="CX75" i="61"/>
  <c r="A69" i="61"/>
  <c r="AB69" i="61" s="1"/>
  <c r="C63" i="61"/>
  <c r="C62" i="61"/>
  <c r="CY61" i="61"/>
  <c r="B48" i="61"/>
  <c r="B46" i="61"/>
  <c r="D46" i="61" s="1"/>
  <c r="BG2" i="25" s="1"/>
  <c r="B45" i="61"/>
  <c r="D45" i="61" s="1"/>
  <c r="S235" i="61" s="1"/>
  <c r="T235" i="61" s="1"/>
  <c r="B44" i="61"/>
  <c r="D44" i="61" s="1"/>
  <c r="CG75" i="61" s="1"/>
  <c r="B43" i="61"/>
  <c r="B42" i="61"/>
  <c r="D42" i="61" s="1"/>
  <c r="P38" i="61"/>
  <c r="CI37" i="61"/>
  <c r="CI34" i="61"/>
  <c r="CI31" i="61"/>
  <c r="B31" i="61"/>
  <c r="BC1" i="61"/>
  <c r="BC2" i="61" s="1"/>
  <c r="AT4" i="68" s="1"/>
  <c r="BB1" i="61"/>
  <c r="BA1" i="61"/>
  <c r="AZ1" i="61"/>
  <c r="AZ2" i="61" s="1"/>
  <c r="AQ4" i="68" s="1"/>
  <c r="AY1" i="61"/>
  <c r="AY2" i="61" s="1"/>
  <c r="AP4" i="68" s="1"/>
  <c r="A1" i="61" a="1"/>
  <c r="Z27" i="61" s="1"/>
  <c r="R15" i="60" a="1"/>
  <c r="R21" i="60" s="1"/>
  <c r="A50" i="59"/>
  <c r="A47" i="59"/>
  <c r="O46" i="59"/>
  <c r="O45" i="59"/>
  <c r="A45" i="59"/>
  <c r="A46" i="59" s="1"/>
  <c r="O44" i="59"/>
  <c r="O50" i="59" s="1"/>
  <c r="A41" i="59"/>
  <c r="AC40" i="59"/>
  <c r="AC46" i="59" s="1"/>
  <c r="O40" i="59"/>
  <c r="O41" i="59" s="1"/>
  <c r="A40" i="59"/>
  <c r="O39" i="59"/>
  <c r="AC35" i="59"/>
  <c r="J28" i="59"/>
  <c r="J27" i="59"/>
  <c r="U26" i="59"/>
  <c r="P26" i="59"/>
  <c r="J26" i="59"/>
  <c r="U25" i="59"/>
  <c r="U24" i="59"/>
  <c r="U23" i="59"/>
  <c r="U22" i="59"/>
  <c r="R21" i="59"/>
  <c r="N21" i="59"/>
  <c r="U17" i="59"/>
  <c r="U16" i="59"/>
  <c r="J16" i="59"/>
  <c r="U15" i="59"/>
  <c r="J15" i="59"/>
  <c r="K22" i="59" s="1"/>
  <c r="U14" i="59"/>
  <c r="R14" i="59"/>
  <c r="P14" i="59"/>
  <c r="J14" i="59"/>
  <c r="K21" i="59" s="1"/>
  <c r="AJ13" i="59"/>
  <c r="AJ12" i="59"/>
  <c r="AJ11" i="59"/>
  <c r="AJ10" i="59"/>
  <c r="AJ9" i="59"/>
  <c r="AJ7" i="59"/>
  <c r="U7" i="59"/>
  <c r="AJ6" i="59"/>
  <c r="U6" i="59"/>
  <c r="AJ5" i="59"/>
  <c r="U5" i="59"/>
  <c r="AJ4" i="59"/>
  <c r="U4" i="59"/>
  <c r="AJ3" i="59"/>
  <c r="U3" i="59"/>
  <c r="C1" i="59"/>
  <c r="N14" i="51"/>
  <c r="N12" i="51"/>
  <c r="F7" i="51"/>
  <c r="F3" i="51"/>
  <c r="A46" i="50"/>
  <c r="A51" i="50" s="1"/>
  <c r="A42" i="50"/>
  <c r="A43" i="50" s="1"/>
  <c r="O41" i="50"/>
  <c r="AC39" i="50"/>
  <c r="O39" i="50"/>
  <c r="A39" i="50"/>
  <c r="AC38" i="50"/>
  <c r="AC43" i="50" s="1"/>
  <c r="O38" i="50"/>
  <c r="A38" i="50"/>
  <c r="O37" i="50"/>
  <c r="AC34" i="50"/>
  <c r="G28" i="50"/>
  <c r="G27" i="50"/>
  <c r="L26" i="50"/>
  <c r="G26" i="50"/>
  <c r="Q25" i="50"/>
  <c r="Q24" i="50"/>
  <c r="Q23" i="50"/>
  <c r="Q22" i="50"/>
  <c r="H22" i="50"/>
  <c r="Q21" i="50"/>
  <c r="L21" i="50"/>
  <c r="Q16" i="50"/>
  <c r="G16" i="50"/>
  <c r="Q15" i="50"/>
  <c r="G15" i="50"/>
  <c r="Q14" i="50"/>
  <c r="N14" i="50"/>
  <c r="L14" i="50"/>
  <c r="G14" i="50"/>
  <c r="H21" i="50" s="1"/>
  <c r="AE13" i="50"/>
  <c r="Q13" i="50"/>
  <c r="AE12" i="50"/>
  <c r="AE11" i="50"/>
  <c r="AE10" i="50"/>
  <c r="AE9" i="50"/>
  <c r="AE7" i="50"/>
  <c r="AE6" i="50"/>
  <c r="Q6" i="50"/>
  <c r="AE5" i="50"/>
  <c r="Q5" i="50"/>
  <c r="AE4" i="50"/>
  <c r="Q4" i="50"/>
  <c r="AE3" i="50"/>
  <c r="Q3" i="50"/>
  <c r="Q2" i="50"/>
  <c r="A46" i="49"/>
  <c r="A51" i="49" s="1"/>
  <c r="A42" i="49"/>
  <c r="A43" i="49" s="1"/>
  <c r="O41" i="49"/>
  <c r="O42" i="49" s="1"/>
  <c r="AC39" i="49"/>
  <c r="AC38" i="49"/>
  <c r="AC43" i="49" s="1"/>
  <c r="A38" i="49"/>
  <c r="A39" i="49" s="1"/>
  <c r="O37" i="49"/>
  <c r="O38" i="49" s="1"/>
  <c r="AC34" i="49"/>
  <c r="G28" i="49"/>
  <c r="G27" i="49"/>
  <c r="L26" i="49"/>
  <c r="G26" i="49"/>
  <c r="Q25" i="49"/>
  <c r="Q24" i="49"/>
  <c r="Q23" i="49"/>
  <c r="Q22" i="49"/>
  <c r="Q21" i="49"/>
  <c r="L21" i="49"/>
  <c r="Q16" i="49"/>
  <c r="G16" i="49"/>
  <c r="Q15" i="49"/>
  <c r="G15" i="49"/>
  <c r="H22" i="49" s="1"/>
  <c r="Q14" i="49"/>
  <c r="N14" i="49"/>
  <c r="L14" i="49"/>
  <c r="G14" i="49"/>
  <c r="H21" i="49" s="1"/>
  <c r="AE13" i="49"/>
  <c r="Q13" i="49"/>
  <c r="AE12" i="49"/>
  <c r="AE11" i="49"/>
  <c r="AE10" i="49"/>
  <c r="AE9" i="49"/>
  <c r="AE7" i="49"/>
  <c r="AE6" i="49"/>
  <c r="Q6" i="49"/>
  <c r="AE5" i="49"/>
  <c r="Q5" i="49"/>
  <c r="AE4" i="49"/>
  <c r="Q4" i="49"/>
  <c r="AE3" i="49"/>
  <c r="Q3" i="49"/>
  <c r="Q2" i="49"/>
  <c r="A46" i="48"/>
  <c r="O42" i="48"/>
  <c r="A42" i="48"/>
  <c r="O41" i="48"/>
  <c r="O46" i="48" s="1"/>
  <c r="AC38" i="48"/>
  <c r="AC43" i="48" s="1"/>
  <c r="A38" i="48"/>
  <c r="A39" i="48" s="1"/>
  <c r="O37" i="48"/>
  <c r="AC34" i="48"/>
  <c r="G28" i="48"/>
  <c r="G27" i="48"/>
  <c r="L26" i="48"/>
  <c r="G26" i="48"/>
  <c r="Q25" i="48"/>
  <c r="Q24" i="48"/>
  <c r="Q23" i="48"/>
  <c r="Q22" i="48"/>
  <c r="Q21" i="48"/>
  <c r="L21" i="48"/>
  <c r="Q16" i="48"/>
  <c r="G16" i="48"/>
  <c r="Q15" i="48"/>
  <c r="G15" i="48"/>
  <c r="H22" i="48" s="1"/>
  <c r="Q14" i="48"/>
  <c r="N14" i="48"/>
  <c r="L14" i="48"/>
  <c r="G14" i="48"/>
  <c r="H21" i="48" s="1"/>
  <c r="AE13" i="48"/>
  <c r="Q13" i="48"/>
  <c r="AE12" i="48"/>
  <c r="AE11" i="48"/>
  <c r="AE10" i="48"/>
  <c r="AE9" i="48"/>
  <c r="AE7" i="48"/>
  <c r="AE6" i="48"/>
  <c r="Q6" i="48"/>
  <c r="AE5" i="48"/>
  <c r="Q5" i="48"/>
  <c r="AE4" i="48"/>
  <c r="Q4" i="48"/>
  <c r="AE3" i="48"/>
  <c r="Q3" i="48"/>
  <c r="Q2" i="48"/>
  <c r="A46" i="47"/>
  <c r="A51" i="47" s="1"/>
  <c r="A42" i="47"/>
  <c r="A43" i="47" s="1"/>
  <c r="O41" i="47"/>
  <c r="O46" i="47" s="1"/>
  <c r="A39" i="47"/>
  <c r="AC38" i="47"/>
  <c r="AC39" i="47" s="1"/>
  <c r="O38" i="47"/>
  <c r="A38" i="47"/>
  <c r="O37" i="47"/>
  <c r="AC34" i="47"/>
  <c r="G28" i="47"/>
  <c r="G27" i="47"/>
  <c r="L26" i="47"/>
  <c r="G26" i="47"/>
  <c r="Q25" i="47"/>
  <c r="Q24" i="47"/>
  <c r="Q23" i="47"/>
  <c r="Q22" i="47"/>
  <c r="H22" i="47"/>
  <c r="Q21" i="47"/>
  <c r="L21" i="47"/>
  <c r="H21" i="47"/>
  <c r="Q16" i="47"/>
  <c r="G16" i="47"/>
  <c r="Q15" i="47"/>
  <c r="G15" i="47"/>
  <c r="Q14" i="47"/>
  <c r="N14" i="47"/>
  <c r="L14" i="47"/>
  <c r="G14" i="47"/>
  <c r="AE13" i="47"/>
  <c r="Q13" i="47"/>
  <c r="AE12" i="47"/>
  <c r="AE11" i="47"/>
  <c r="AE10" i="47"/>
  <c r="AE9" i="47"/>
  <c r="AE7" i="47"/>
  <c r="AE6" i="47"/>
  <c r="Q6" i="47"/>
  <c r="AE5" i="47"/>
  <c r="Q5" i="47"/>
  <c r="AE4" i="47"/>
  <c r="Q4" i="47"/>
  <c r="AE3" i="47"/>
  <c r="Q3" i="47"/>
  <c r="Q2" i="47"/>
  <c r="AC59" i="46"/>
  <c r="AC54" i="46"/>
  <c r="AC49" i="46"/>
  <c r="A46" i="46"/>
  <c r="A47" i="46" s="1"/>
  <c r="AC44" i="46"/>
  <c r="A42" i="46"/>
  <c r="O41" i="46"/>
  <c r="AC39" i="46"/>
  <c r="AC38" i="46"/>
  <c r="AC43" i="46" s="1"/>
  <c r="AC48" i="46" s="1"/>
  <c r="AC53" i="46" s="1"/>
  <c r="AC58" i="46" s="1"/>
  <c r="AC63" i="46" s="1"/>
  <c r="A38" i="46"/>
  <c r="O37" i="46"/>
  <c r="AC34" i="46"/>
  <c r="G28" i="46"/>
  <c r="G27" i="46"/>
  <c r="L26" i="46"/>
  <c r="G26" i="46"/>
  <c r="Q25" i="46"/>
  <c r="Q24" i="46"/>
  <c r="Q23" i="46"/>
  <c r="Q22" i="46"/>
  <c r="Q21" i="46"/>
  <c r="L21" i="46"/>
  <c r="Q16" i="46"/>
  <c r="G16" i="46"/>
  <c r="Q15" i="46"/>
  <c r="G15" i="46"/>
  <c r="H22" i="46" s="1"/>
  <c r="Q14" i="46"/>
  <c r="N14" i="46"/>
  <c r="L14" i="46"/>
  <c r="G14" i="46"/>
  <c r="H21" i="46" s="1"/>
  <c r="AE13" i="46"/>
  <c r="Q13" i="46"/>
  <c r="AE12" i="46"/>
  <c r="AE11" i="46"/>
  <c r="AE10" i="46"/>
  <c r="AE9" i="46"/>
  <c r="AE7" i="46"/>
  <c r="AE6" i="46"/>
  <c r="Q6" i="46"/>
  <c r="AE5" i="46"/>
  <c r="Q5" i="46"/>
  <c r="AE4" i="46"/>
  <c r="Q4" i="46"/>
  <c r="AE3" i="46"/>
  <c r="Q3" i="46"/>
  <c r="Q2" i="46"/>
  <c r="A46" i="45"/>
  <c r="O42" i="45"/>
  <c r="O43" i="45" s="1"/>
  <c r="A42" i="45"/>
  <c r="O41" i="45"/>
  <c r="AC39" i="45"/>
  <c r="AC38" i="45"/>
  <c r="AC43" i="45" s="1"/>
  <c r="A38" i="45"/>
  <c r="A39" i="45" s="1"/>
  <c r="O37" i="45"/>
  <c r="O38" i="45" s="1"/>
  <c r="AC34" i="45"/>
  <c r="G28" i="45"/>
  <c r="G27" i="45"/>
  <c r="L26" i="45"/>
  <c r="G26" i="45"/>
  <c r="Q25" i="45"/>
  <c r="Q24" i="45"/>
  <c r="Q23" i="45"/>
  <c r="Q22" i="45"/>
  <c r="Q21" i="45"/>
  <c r="L21" i="45"/>
  <c r="Q16" i="45"/>
  <c r="G16" i="45"/>
  <c r="Q15" i="45"/>
  <c r="G15" i="45"/>
  <c r="H22" i="45" s="1"/>
  <c r="Q14" i="45"/>
  <c r="N14" i="45"/>
  <c r="L14" i="45"/>
  <c r="G14" i="45"/>
  <c r="H21" i="45" s="1"/>
  <c r="AE13" i="45"/>
  <c r="Q13" i="45"/>
  <c r="AE12" i="45"/>
  <c r="AE11" i="45"/>
  <c r="AE10" i="45"/>
  <c r="AE9" i="45"/>
  <c r="AE7" i="45"/>
  <c r="AE6" i="45"/>
  <c r="Q6" i="45"/>
  <c r="AE5" i="45"/>
  <c r="Q5" i="45"/>
  <c r="AE4" i="45"/>
  <c r="Q4" i="45"/>
  <c r="AE3" i="45"/>
  <c r="Q3" i="45"/>
  <c r="Q2" i="45"/>
  <c r="A46" i="44"/>
  <c r="A51" i="44" s="1"/>
  <c r="A42" i="44"/>
  <c r="A43" i="44" s="1"/>
  <c r="O41" i="44"/>
  <c r="O42" i="44" s="1"/>
  <c r="A39" i="44"/>
  <c r="AC38" i="44"/>
  <c r="AC39" i="44" s="1"/>
  <c r="O38" i="44"/>
  <c r="A38" i="44"/>
  <c r="O37" i="44"/>
  <c r="AC34" i="44"/>
  <c r="G28" i="44"/>
  <c r="G27" i="44"/>
  <c r="L26" i="44"/>
  <c r="G26" i="44"/>
  <c r="Q25" i="44"/>
  <c r="Q24" i="44"/>
  <c r="Q23" i="44"/>
  <c r="Q22" i="44"/>
  <c r="H22" i="44"/>
  <c r="Q21" i="44"/>
  <c r="L21" i="44"/>
  <c r="H21" i="44"/>
  <c r="Q16" i="44"/>
  <c r="G16" i="44"/>
  <c r="Q15" i="44"/>
  <c r="G15" i="44"/>
  <c r="Q14" i="44"/>
  <c r="N14" i="44"/>
  <c r="L14" i="44"/>
  <c r="G14" i="44"/>
  <c r="AE13" i="44"/>
  <c r="Q13" i="44"/>
  <c r="AE12" i="44"/>
  <c r="AE11" i="44"/>
  <c r="AE10" i="44"/>
  <c r="AE9" i="44"/>
  <c r="AE7" i="44"/>
  <c r="AE6" i="44"/>
  <c r="Q6" i="44"/>
  <c r="AE5" i="44"/>
  <c r="Q5" i="44"/>
  <c r="AE4" i="44"/>
  <c r="Q4" i="44"/>
  <c r="AE3" i="44"/>
  <c r="Q3" i="44"/>
  <c r="Q2" i="44"/>
  <c r="AC49" i="43"/>
  <c r="A47" i="43"/>
  <c r="A46" i="43"/>
  <c r="AC44" i="43"/>
  <c r="A42" i="43"/>
  <c r="O41" i="43"/>
  <c r="AC39" i="43"/>
  <c r="AC38" i="43"/>
  <c r="AC43" i="43" s="1"/>
  <c r="AC48" i="43" s="1"/>
  <c r="AC53" i="43" s="1"/>
  <c r="AC58" i="43" s="1"/>
  <c r="AC63" i="43" s="1"/>
  <c r="AC68" i="43" s="1"/>
  <c r="AC73" i="43" s="1"/>
  <c r="AC78" i="43" s="1"/>
  <c r="AC83" i="43" s="1"/>
  <c r="AC88" i="43" s="1"/>
  <c r="AC93" i="43" s="1"/>
  <c r="AC98" i="43" s="1"/>
  <c r="AC103" i="43" s="1"/>
  <c r="AC108" i="43" s="1"/>
  <c r="AC113" i="43" s="1"/>
  <c r="AC118" i="43" s="1"/>
  <c r="AC123" i="43" s="1"/>
  <c r="A38" i="43"/>
  <c r="O37" i="43"/>
  <c r="AC34" i="43"/>
  <c r="G28" i="43"/>
  <c r="G27" i="43"/>
  <c r="L26" i="43"/>
  <c r="G26" i="43"/>
  <c r="Q25" i="43"/>
  <c r="Q24" i="43"/>
  <c r="Q23" i="43"/>
  <c r="Q22" i="43"/>
  <c r="Q21" i="43"/>
  <c r="L21" i="43"/>
  <c r="Q16" i="43"/>
  <c r="G16" i="43"/>
  <c r="Q15" i="43"/>
  <c r="G15" i="43"/>
  <c r="H22" i="43" s="1"/>
  <c r="Q14" i="43"/>
  <c r="N14" i="43"/>
  <c r="L14" i="43"/>
  <c r="G14" i="43"/>
  <c r="H21" i="43" s="1"/>
  <c r="AE13" i="43"/>
  <c r="Q13" i="43"/>
  <c r="AE12" i="43"/>
  <c r="AE11" i="43"/>
  <c r="AE10" i="43"/>
  <c r="AE9" i="43"/>
  <c r="AE7" i="43"/>
  <c r="AE6" i="43"/>
  <c r="Q6" i="43"/>
  <c r="AE5" i="43"/>
  <c r="Q5" i="43"/>
  <c r="AE4" i="43"/>
  <c r="Q4" i="43"/>
  <c r="AE3" i="43"/>
  <c r="Q3" i="43"/>
  <c r="Q2" i="43"/>
  <c r="A46" i="42"/>
  <c r="A51" i="42" s="1"/>
  <c r="O43" i="42"/>
  <c r="O42" i="42"/>
  <c r="A42" i="42"/>
  <c r="A43" i="42" s="1"/>
  <c r="O41" i="42"/>
  <c r="O46" i="42" s="1"/>
  <c r="A39" i="42"/>
  <c r="AC38" i="42"/>
  <c r="AC43" i="42" s="1"/>
  <c r="O38" i="42"/>
  <c r="A38" i="42"/>
  <c r="O37" i="42"/>
  <c r="AC34" i="42"/>
  <c r="G28" i="42"/>
  <c r="G27" i="42"/>
  <c r="L26" i="42"/>
  <c r="G26" i="42"/>
  <c r="Q25" i="42"/>
  <c r="Q24" i="42"/>
  <c r="Q23" i="42"/>
  <c r="Q22" i="42"/>
  <c r="Q21" i="42"/>
  <c r="L21" i="42"/>
  <c r="Q16" i="42"/>
  <c r="G16" i="42"/>
  <c r="Q15" i="42"/>
  <c r="G15" i="42"/>
  <c r="H22" i="42" s="1"/>
  <c r="Q14" i="42"/>
  <c r="N14" i="42"/>
  <c r="L14" i="42"/>
  <c r="G14" i="42"/>
  <c r="H21" i="42" s="1"/>
  <c r="AE13" i="42"/>
  <c r="Q13" i="42"/>
  <c r="AE12" i="42"/>
  <c r="AE11" i="42"/>
  <c r="AE10" i="42"/>
  <c r="AE9" i="42"/>
  <c r="AE7" i="42"/>
  <c r="AE6" i="42"/>
  <c r="Q6" i="42"/>
  <c r="AE5" i="42"/>
  <c r="Q5" i="42"/>
  <c r="AE4" i="42"/>
  <c r="Q4" i="42"/>
  <c r="AE3" i="42"/>
  <c r="Q3" i="42"/>
  <c r="Q2" i="42"/>
  <c r="A46" i="41"/>
  <c r="A51" i="41" s="1"/>
  <c r="A42" i="41"/>
  <c r="A43" i="41" s="1"/>
  <c r="O41" i="41"/>
  <c r="O46" i="41" s="1"/>
  <c r="A39" i="41"/>
  <c r="AC38" i="41"/>
  <c r="AC39" i="41" s="1"/>
  <c r="A38" i="41"/>
  <c r="O37" i="41"/>
  <c r="O38" i="41" s="1"/>
  <c r="AC34" i="41"/>
  <c r="G28" i="41"/>
  <c r="G27" i="41"/>
  <c r="L26" i="41"/>
  <c r="G26" i="41"/>
  <c r="Q25" i="41"/>
  <c r="Q24" i="41"/>
  <c r="Q23" i="41"/>
  <c r="Q22" i="41"/>
  <c r="H22" i="41"/>
  <c r="Q21" i="41"/>
  <c r="L21" i="41"/>
  <c r="Q16" i="41"/>
  <c r="G16" i="41"/>
  <c r="Q15" i="41"/>
  <c r="G15" i="41"/>
  <c r="Q14" i="41"/>
  <c r="N14" i="41"/>
  <c r="L14" i="41"/>
  <c r="G14" i="41"/>
  <c r="H21" i="41" s="1"/>
  <c r="AE13" i="41"/>
  <c r="Q13" i="41"/>
  <c r="AE12" i="41"/>
  <c r="AE11" i="41"/>
  <c r="AE10" i="41"/>
  <c r="AE9" i="41"/>
  <c r="AE7" i="41"/>
  <c r="AE6" i="41"/>
  <c r="Q6" i="41"/>
  <c r="AE5" i="41"/>
  <c r="Q5" i="41"/>
  <c r="AE4" i="41"/>
  <c r="Q4" i="41"/>
  <c r="AE3" i="41"/>
  <c r="Q3" i="41"/>
  <c r="Q2" i="41"/>
  <c r="A46" i="40"/>
  <c r="A51" i="40" s="1"/>
  <c r="AC44" i="40"/>
  <c r="A42" i="40"/>
  <c r="A43" i="40" s="1"/>
  <c r="O41" i="40"/>
  <c r="O40" i="40"/>
  <c r="AC39" i="40"/>
  <c r="O39" i="40"/>
  <c r="A39" i="40"/>
  <c r="AC38" i="40"/>
  <c r="AC43" i="40" s="1"/>
  <c r="AC48" i="40" s="1"/>
  <c r="AC53" i="40" s="1"/>
  <c r="O38" i="40"/>
  <c r="A38" i="40"/>
  <c r="O37" i="40"/>
  <c r="AC34" i="40"/>
  <c r="G28" i="40"/>
  <c r="G27" i="40"/>
  <c r="L26" i="40"/>
  <c r="G26" i="40"/>
  <c r="Q25" i="40"/>
  <c r="Q24" i="40"/>
  <c r="Q23" i="40"/>
  <c r="Q22" i="40"/>
  <c r="H22" i="40"/>
  <c r="Q21" i="40"/>
  <c r="L21" i="40"/>
  <c r="H21" i="40"/>
  <c r="Q16" i="40"/>
  <c r="G16" i="40"/>
  <c r="Q15" i="40"/>
  <c r="G15" i="40"/>
  <c r="Q14" i="40"/>
  <c r="N14" i="40"/>
  <c r="L14" i="40"/>
  <c r="G14" i="40"/>
  <c r="AE13" i="40"/>
  <c r="Q13" i="40"/>
  <c r="AE12" i="40"/>
  <c r="AE11" i="40"/>
  <c r="AE10" i="40"/>
  <c r="AE9" i="40"/>
  <c r="AE7" i="40"/>
  <c r="AE6" i="40"/>
  <c r="Q6" i="40"/>
  <c r="AE5" i="40"/>
  <c r="Q5" i="40"/>
  <c r="AE4" i="40"/>
  <c r="Q4" i="40"/>
  <c r="AE3" i="40"/>
  <c r="Q3" i="40"/>
  <c r="Q2" i="40"/>
  <c r="A46" i="39"/>
  <c r="O42" i="39"/>
  <c r="A42" i="39"/>
  <c r="O41" i="39"/>
  <c r="AC39" i="39"/>
  <c r="AC38" i="39"/>
  <c r="AC43" i="39" s="1"/>
  <c r="A38" i="39"/>
  <c r="A39" i="39" s="1"/>
  <c r="O37" i="39"/>
  <c r="AC34" i="39"/>
  <c r="G28" i="39"/>
  <c r="G27" i="39"/>
  <c r="L26" i="39"/>
  <c r="G26" i="39"/>
  <c r="Q25" i="39"/>
  <c r="Q24" i="39"/>
  <c r="Q23" i="39"/>
  <c r="Q22" i="39"/>
  <c r="Q21" i="39"/>
  <c r="L21" i="39"/>
  <c r="Q16" i="39"/>
  <c r="G16" i="39"/>
  <c r="Q15" i="39"/>
  <c r="G15" i="39"/>
  <c r="H22" i="39" s="1"/>
  <c r="Q14" i="39"/>
  <c r="N14" i="39"/>
  <c r="L14" i="39"/>
  <c r="G14" i="39"/>
  <c r="H21" i="39" s="1"/>
  <c r="AE13" i="39"/>
  <c r="Q13" i="39"/>
  <c r="AE12" i="39"/>
  <c r="AE11" i="39"/>
  <c r="AE10" i="39"/>
  <c r="AE9" i="39"/>
  <c r="AE7" i="39"/>
  <c r="AE6" i="39"/>
  <c r="Q6" i="39"/>
  <c r="AE5" i="39"/>
  <c r="Q5" i="39"/>
  <c r="AE4" i="39"/>
  <c r="Q4" i="39"/>
  <c r="AE3" i="39"/>
  <c r="Q3" i="39"/>
  <c r="Q2" i="39"/>
  <c r="A46" i="38"/>
  <c r="A51" i="38" s="1"/>
  <c r="O43" i="38"/>
  <c r="O44" i="38" s="1"/>
  <c r="O42" i="38"/>
  <c r="A42" i="38"/>
  <c r="A43" i="38" s="1"/>
  <c r="O41" i="38"/>
  <c r="O46" i="38" s="1"/>
  <c r="A39" i="38"/>
  <c r="AC38" i="38"/>
  <c r="AC39" i="38" s="1"/>
  <c r="O38" i="38"/>
  <c r="O39" i="38" s="1"/>
  <c r="A38" i="38"/>
  <c r="O37" i="38"/>
  <c r="AC34" i="38"/>
  <c r="G28" i="38"/>
  <c r="G27" i="38"/>
  <c r="L26" i="38"/>
  <c r="G26" i="38"/>
  <c r="Q25" i="38"/>
  <c r="Q24" i="38"/>
  <c r="Q23" i="38"/>
  <c r="Q22" i="38"/>
  <c r="H22" i="38"/>
  <c r="Q21" i="38"/>
  <c r="L21" i="38"/>
  <c r="H21" i="38"/>
  <c r="Q16" i="38"/>
  <c r="G16" i="38"/>
  <c r="Q15" i="38"/>
  <c r="G15" i="38"/>
  <c r="Q14" i="38"/>
  <c r="N14" i="38"/>
  <c r="L14" i="38"/>
  <c r="G14" i="38"/>
  <c r="AE13" i="38"/>
  <c r="Q13" i="38"/>
  <c r="AE12" i="38"/>
  <c r="AE11" i="38"/>
  <c r="AE10" i="38"/>
  <c r="AE9" i="38"/>
  <c r="AE7" i="38"/>
  <c r="AE6" i="38"/>
  <c r="Q6" i="38"/>
  <c r="AE5" i="38"/>
  <c r="Q5" i="38"/>
  <c r="AE4" i="38"/>
  <c r="Q4" i="38"/>
  <c r="AE3" i="38"/>
  <c r="Q3" i="38"/>
  <c r="Q2" i="38"/>
  <c r="A46" i="37"/>
  <c r="A42" i="37"/>
  <c r="O41" i="37"/>
  <c r="AC39" i="37"/>
  <c r="AC38" i="37"/>
  <c r="AC43" i="37" s="1"/>
  <c r="A38" i="37"/>
  <c r="A39" i="37" s="1"/>
  <c r="O37" i="37"/>
  <c r="O38" i="37" s="1"/>
  <c r="AC34" i="37"/>
  <c r="G28" i="37"/>
  <c r="G27" i="37"/>
  <c r="L26" i="37"/>
  <c r="G26" i="37"/>
  <c r="Q25" i="37"/>
  <c r="Q24" i="37"/>
  <c r="Q23" i="37"/>
  <c r="Q22" i="37"/>
  <c r="Q21" i="37"/>
  <c r="L21" i="37"/>
  <c r="Q16" i="37"/>
  <c r="G16" i="37"/>
  <c r="Q15" i="37"/>
  <c r="G15" i="37"/>
  <c r="H22" i="37" s="1"/>
  <c r="Q14" i="37"/>
  <c r="N14" i="37"/>
  <c r="L14" i="37"/>
  <c r="G14" i="37"/>
  <c r="H21" i="37" s="1"/>
  <c r="AE13" i="37"/>
  <c r="Q13" i="37"/>
  <c r="AE12" i="37"/>
  <c r="AE11" i="37"/>
  <c r="AE10" i="37"/>
  <c r="AE9" i="37"/>
  <c r="AE7" i="37"/>
  <c r="AE6" i="37"/>
  <c r="Q6" i="37"/>
  <c r="AE5" i="37"/>
  <c r="Q5" i="37"/>
  <c r="AE4" i="37"/>
  <c r="Q4" i="37"/>
  <c r="AE3" i="37"/>
  <c r="Q3" i="37"/>
  <c r="Q2" i="37"/>
  <c r="A46" i="36"/>
  <c r="O42" i="36"/>
  <c r="A42" i="36"/>
  <c r="O41" i="36"/>
  <c r="O46" i="36" s="1"/>
  <c r="AC38" i="36"/>
  <c r="AC43" i="36" s="1"/>
  <c r="A38" i="36"/>
  <c r="A39" i="36" s="1"/>
  <c r="O37" i="36"/>
  <c r="AC34" i="36"/>
  <c r="G28" i="36"/>
  <c r="G27" i="36"/>
  <c r="L26" i="36"/>
  <c r="G26" i="36"/>
  <c r="Q25" i="36"/>
  <c r="Q24" i="36"/>
  <c r="Q23" i="36"/>
  <c r="Q22" i="36"/>
  <c r="Q21" i="36"/>
  <c r="L21" i="36"/>
  <c r="Q16" i="36"/>
  <c r="G16" i="36"/>
  <c r="Q15" i="36"/>
  <c r="G15" i="36"/>
  <c r="H22" i="36" s="1"/>
  <c r="Q14" i="36"/>
  <c r="N14" i="36"/>
  <c r="L14" i="36"/>
  <c r="G14" i="36"/>
  <c r="H21" i="36" s="1"/>
  <c r="AE13" i="36"/>
  <c r="Q13" i="36"/>
  <c r="AE12" i="36"/>
  <c r="AE11" i="36"/>
  <c r="AE10" i="36"/>
  <c r="AE9" i="36"/>
  <c r="AE7" i="36"/>
  <c r="AE6" i="36"/>
  <c r="Q6" i="36"/>
  <c r="AE5" i="36"/>
  <c r="Q5" i="36"/>
  <c r="AE4" i="36"/>
  <c r="Q4" i="36"/>
  <c r="AE3" i="36"/>
  <c r="Q3" i="36"/>
  <c r="Q2" i="36"/>
  <c r="A46" i="35"/>
  <c r="A51" i="35" s="1"/>
  <c r="O42" i="35"/>
  <c r="O43" i="35" s="1"/>
  <c r="A42" i="35"/>
  <c r="A43" i="35" s="1"/>
  <c r="O41" i="35"/>
  <c r="O46" i="35" s="1"/>
  <c r="A39" i="35"/>
  <c r="AC38" i="35"/>
  <c r="AC39" i="35" s="1"/>
  <c r="A38" i="35"/>
  <c r="O37" i="35"/>
  <c r="O38" i="35" s="1"/>
  <c r="AC34" i="35"/>
  <c r="G28" i="35"/>
  <c r="G27" i="35"/>
  <c r="L26" i="35"/>
  <c r="G26" i="35"/>
  <c r="Q25" i="35"/>
  <c r="Q24" i="35"/>
  <c r="Q23" i="35"/>
  <c r="Q22" i="35"/>
  <c r="H22" i="35"/>
  <c r="Q21" i="35"/>
  <c r="L21" i="35"/>
  <c r="Q16" i="35"/>
  <c r="G16" i="35"/>
  <c r="Q15" i="35"/>
  <c r="G15" i="35"/>
  <c r="Q14" i="35"/>
  <c r="N14" i="35"/>
  <c r="L14" i="35"/>
  <c r="G14" i="35"/>
  <c r="H21" i="35" s="1"/>
  <c r="AE13" i="35"/>
  <c r="Q13" i="35"/>
  <c r="AE12" i="35"/>
  <c r="AE11" i="35"/>
  <c r="AE10" i="35"/>
  <c r="AE9" i="35"/>
  <c r="AE7" i="35"/>
  <c r="AE6" i="35"/>
  <c r="Q6" i="35"/>
  <c r="AE5" i="35"/>
  <c r="Q5" i="35"/>
  <c r="AE4" i="35"/>
  <c r="Q4" i="35"/>
  <c r="AE3" i="35"/>
  <c r="Q3" i="35"/>
  <c r="Q2" i="35"/>
  <c r="A46" i="34"/>
  <c r="A51" i="34" s="1"/>
  <c r="A42" i="34"/>
  <c r="A43" i="34" s="1"/>
  <c r="O41" i="34"/>
  <c r="AC39" i="34"/>
  <c r="O39" i="34"/>
  <c r="A39" i="34"/>
  <c r="AC38" i="34"/>
  <c r="AC43" i="34" s="1"/>
  <c r="O38" i="34"/>
  <c r="A38" i="34"/>
  <c r="O37" i="34"/>
  <c r="AC34" i="34"/>
  <c r="G28" i="34"/>
  <c r="G27" i="34"/>
  <c r="L26" i="34"/>
  <c r="G26" i="34"/>
  <c r="Q25" i="34"/>
  <c r="Q24" i="34"/>
  <c r="Q23" i="34"/>
  <c r="Q22" i="34"/>
  <c r="H22" i="34"/>
  <c r="Q21" i="34"/>
  <c r="L21" i="34"/>
  <c r="H21" i="34"/>
  <c r="Q16" i="34"/>
  <c r="G16" i="34"/>
  <c r="Q15" i="34"/>
  <c r="G15" i="34"/>
  <c r="Q14" i="34"/>
  <c r="N14" i="34"/>
  <c r="L14" i="34"/>
  <c r="G14" i="34"/>
  <c r="AE13" i="34"/>
  <c r="Q13" i="34"/>
  <c r="AE12" i="34"/>
  <c r="AE11" i="34"/>
  <c r="AE10" i="34"/>
  <c r="AE9" i="34"/>
  <c r="AE7" i="34"/>
  <c r="AE6" i="34"/>
  <c r="Q6" i="34"/>
  <c r="AE5" i="34"/>
  <c r="Q5" i="34"/>
  <c r="AE4" i="34"/>
  <c r="Q4" i="34"/>
  <c r="AE3" i="34"/>
  <c r="Q3" i="34"/>
  <c r="Q2" i="34"/>
  <c r="A46" i="33"/>
  <c r="A51" i="33" s="1"/>
  <c r="A42" i="33"/>
  <c r="A43" i="33" s="1"/>
  <c r="O41" i="33"/>
  <c r="O42" i="33" s="1"/>
  <c r="AC39" i="33"/>
  <c r="AC38" i="33"/>
  <c r="AC43" i="33" s="1"/>
  <c r="O38" i="33"/>
  <c r="A38" i="33"/>
  <c r="A39" i="33" s="1"/>
  <c r="O37" i="33"/>
  <c r="AC34" i="33"/>
  <c r="G28" i="33"/>
  <c r="G27" i="33"/>
  <c r="L26" i="33"/>
  <c r="G26" i="33"/>
  <c r="Q25" i="33"/>
  <c r="Q24" i="33"/>
  <c r="Q23" i="33"/>
  <c r="Q22" i="33"/>
  <c r="Q21" i="33"/>
  <c r="L21" i="33"/>
  <c r="H21" i="33"/>
  <c r="Q16" i="33"/>
  <c r="G16" i="33"/>
  <c r="Q15" i="33"/>
  <c r="G15" i="33"/>
  <c r="H22" i="33" s="1"/>
  <c r="Q14" i="33"/>
  <c r="N14" i="33"/>
  <c r="L14" i="33"/>
  <c r="G14" i="33"/>
  <c r="AE13" i="33"/>
  <c r="Q13" i="33"/>
  <c r="AE12" i="33"/>
  <c r="AE11" i="33"/>
  <c r="AE10" i="33"/>
  <c r="AE9" i="33"/>
  <c r="AE7" i="33"/>
  <c r="AE6" i="33"/>
  <c r="Q6" i="33"/>
  <c r="AE5" i="33"/>
  <c r="Q5" i="33"/>
  <c r="AE4" i="33"/>
  <c r="Q4" i="33"/>
  <c r="AE3" i="33"/>
  <c r="Q3" i="33"/>
  <c r="Q2" i="33"/>
  <c r="A47" i="32"/>
  <c r="A48" i="32" s="1"/>
  <c r="A46" i="32"/>
  <c r="A51" i="32" s="1"/>
  <c r="O42" i="32"/>
  <c r="A42" i="32"/>
  <c r="A43" i="32" s="1"/>
  <c r="O41" i="32"/>
  <c r="O46" i="32" s="1"/>
  <c r="O51" i="32" s="1"/>
  <c r="O56" i="32" s="1"/>
  <c r="O61" i="32" s="1"/>
  <c r="O66" i="32" s="1"/>
  <c r="AC38" i="32"/>
  <c r="AC43" i="32" s="1"/>
  <c r="O38" i="32"/>
  <c r="O39" i="32" s="1"/>
  <c r="O40" i="32" s="1"/>
  <c r="A38" i="32"/>
  <c r="A39" i="32" s="1"/>
  <c r="O37" i="32"/>
  <c r="AC34" i="32"/>
  <c r="G28" i="32"/>
  <c r="G27" i="32"/>
  <c r="L26" i="32"/>
  <c r="G26" i="32"/>
  <c r="Q25" i="32"/>
  <c r="Q24" i="32"/>
  <c r="Q23" i="32"/>
  <c r="Q22" i="32"/>
  <c r="Q21" i="32"/>
  <c r="L21" i="32"/>
  <c r="Q16" i="32"/>
  <c r="G16" i="32"/>
  <c r="Q15" i="32"/>
  <c r="G15" i="32"/>
  <c r="H22" i="32" s="1"/>
  <c r="Q14" i="32"/>
  <c r="N14" i="32"/>
  <c r="L14" i="32"/>
  <c r="G14" i="32"/>
  <c r="H21" i="32" s="1"/>
  <c r="AE13" i="32"/>
  <c r="Q13" i="32"/>
  <c r="AE12" i="32"/>
  <c r="AE11" i="32"/>
  <c r="AE10" i="32"/>
  <c r="AE9" i="32"/>
  <c r="AE7" i="32"/>
  <c r="AE6" i="32"/>
  <c r="Q6" i="32"/>
  <c r="AE5" i="32"/>
  <c r="Q5" i="32"/>
  <c r="AE4" i="32"/>
  <c r="Q4" i="32"/>
  <c r="AE3" i="32"/>
  <c r="Q3" i="32"/>
  <c r="Q2" i="32"/>
  <c r="A46" i="31"/>
  <c r="A51" i="31" s="1"/>
  <c r="A42" i="31"/>
  <c r="A43" i="31" s="1"/>
  <c r="O41" i="31"/>
  <c r="O42" i="31" s="1"/>
  <c r="AC39" i="31"/>
  <c r="AC38" i="31"/>
  <c r="AC43" i="31" s="1"/>
  <c r="O38" i="31"/>
  <c r="A38" i="31"/>
  <c r="A39" i="31" s="1"/>
  <c r="O37" i="31"/>
  <c r="AC34" i="31"/>
  <c r="G28" i="31"/>
  <c r="G27" i="31"/>
  <c r="L26" i="31"/>
  <c r="G26" i="31"/>
  <c r="Q25" i="31"/>
  <c r="Q24" i="31"/>
  <c r="Q23" i="31"/>
  <c r="Q22" i="31"/>
  <c r="Q21" i="31"/>
  <c r="L21" i="31"/>
  <c r="H21" i="31"/>
  <c r="Q16" i="31"/>
  <c r="G16" i="31"/>
  <c r="Q15" i="31"/>
  <c r="G15" i="31"/>
  <c r="H22" i="31" s="1"/>
  <c r="Q14" i="31"/>
  <c r="N14" i="31"/>
  <c r="L14" i="31"/>
  <c r="G14" i="31"/>
  <c r="AE13" i="31"/>
  <c r="Q13" i="31"/>
  <c r="AE12" i="31"/>
  <c r="AE11" i="31"/>
  <c r="AE10" i="31"/>
  <c r="AE9" i="31"/>
  <c r="AE7" i="31"/>
  <c r="AE6" i="31"/>
  <c r="Q6" i="31"/>
  <c r="AE5" i="31"/>
  <c r="Q5" i="31"/>
  <c r="AE4" i="31"/>
  <c r="Q4" i="31"/>
  <c r="AE3" i="31"/>
  <c r="Q3" i="31"/>
  <c r="Q2" i="31"/>
  <c r="A46" i="30"/>
  <c r="O42" i="30"/>
  <c r="A42" i="30"/>
  <c r="O41" i="30"/>
  <c r="O46" i="30" s="1"/>
  <c r="AC38" i="30"/>
  <c r="AC43" i="30" s="1"/>
  <c r="A38" i="30"/>
  <c r="A39" i="30" s="1"/>
  <c r="O37" i="30"/>
  <c r="AC34" i="30"/>
  <c r="G28" i="30"/>
  <c r="G27" i="30"/>
  <c r="L26" i="30"/>
  <c r="G26" i="30"/>
  <c r="Q25" i="30"/>
  <c r="Q24" i="30"/>
  <c r="Q23" i="30"/>
  <c r="Q22" i="30"/>
  <c r="Q21" i="30"/>
  <c r="L21" i="30"/>
  <c r="Q16" i="30"/>
  <c r="G16" i="30"/>
  <c r="Q15" i="30"/>
  <c r="G15" i="30"/>
  <c r="H22" i="30" s="1"/>
  <c r="Q14" i="30"/>
  <c r="N14" i="30"/>
  <c r="L14" i="30"/>
  <c r="G14" i="30"/>
  <c r="H21" i="30" s="1"/>
  <c r="AE13" i="30"/>
  <c r="Q13" i="30"/>
  <c r="AE12" i="30"/>
  <c r="AE11" i="30"/>
  <c r="AE10" i="30"/>
  <c r="AE9" i="30"/>
  <c r="AE7" i="30"/>
  <c r="AE6" i="30"/>
  <c r="Q6" i="30"/>
  <c r="AE5" i="30"/>
  <c r="Q5" i="30"/>
  <c r="AE4" i="30"/>
  <c r="Q4" i="30"/>
  <c r="AE3" i="30"/>
  <c r="Q3" i="30"/>
  <c r="Q2" i="30"/>
  <c r="A46" i="29"/>
  <c r="A51" i="29" s="1"/>
  <c r="O42" i="29"/>
  <c r="O43" i="29" s="1"/>
  <c r="A42" i="29"/>
  <c r="A43" i="29" s="1"/>
  <c r="O41" i="29"/>
  <c r="O46" i="29" s="1"/>
  <c r="A39" i="29"/>
  <c r="AC38" i="29"/>
  <c r="AC39" i="29" s="1"/>
  <c r="A38" i="29"/>
  <c r="O37" i="29"/>
  <c r="O38" i="29" s="1"/>
  <c r="AC34" i="29"/>
  <c r="G28" i="29"/>
  <c r="G27" i="29"/>
  <c r="L26" i="29"/>
  <c r="G26" i="29"/>
  <c r="Q25" i="29"/>
  <c r="Q24" i="29"/>
  <c r="Q23" i="29"/>
  <c r="Q22" i="29"/>
  <c r="H22" i="29"/>
  <c r="Q21" i="29"/>
  <c r="L21" i="29"/>
  <c r="Q16" i="29"/>
  <c r="G16" i="29"/>
  <c r="Q15" i="29"/>
  <c r="G15" i="29"/>
  <c r="Q14" i="29"/>
  <c r="N14" i="29"/>
  <c r="L14" i="29"/>
  <c r="G14" i="29"/>
  <c r="H21" i="29" s="1"/>
  <c r="AE13" i="29"/>
  <c r="Q13" i="29"/>
  <c r="AE12" i="29"/>
  <c r="AE11" i="29"/>
  <c r="AE10" i="29"/>
  <c r="AE9" i="29"/>
  <c r="AE7" i="29"/>
  <c r="AE6" i="29"/>
  <c r="Q6" i="29"/>
  <c r="AE5" i="29"/>
  <c r="Q5" i="29"/>
  <c r="AE4" i="29"/>
  <c r="Q4" i="29"/>
  <c r="AE3" i="29"/>
  <c r="Q3" i="29"/>
  <c r="Q2" i="29"/>
  <c r="A46" i="28"/>
  <c r="A51" i="28" s="1"/>
  <c r="A42" i="28"/>
  <c r="A43" i="28" s="1"/>
  <c r="O41" i="28"/>
  <c r="AC39" i="28"/>
  <c r="O39" i="28"/>
  <c r="A39" i="28"/>
  <c r="AC38" i="28"/>
  <c r="AC43" i="28" s="1"/>
  <c r="O38" i="28"/>
  <c r="A38" i="28"/>
  <c r="O37" i="28"/>
  <c r="AC34" i="28"/>
  <c r="G28" i="28"/>
  <c r="G27" i="28"/>
  <c r="L26" i="28"/>
  <c r="G26" i="28"/>
  <c r="Q25" i="28"/>
  <c r="Q24" i="28"/>
  <c r="Q23" i="28"/>
  <c r="Q22" i="28"/>
  <c r="H22" i="28"/>
  <c r="Q21" i="28"/>
  <c r="L21" i="28"/>
  <c r="H21" i="28"/>
  <c r="Q16" i="28"/>
  <c r="G16" i="28"/>
  <c r="Q15" i="28"/>
  <c r="G15" i="28"/>
  <c r="Q14" i="28"/>
  <c r="N14" i="28"/>
  <c r="L14" i="28"/>
  <c r="G14" i="28"/>
  <c r="AE13" i="28"/>
  <c r="Q13" i="28"/>
  <c r="AE12" i="28"/>
  <c r="AE11" i="28"/>
  <c r="AE10" i="28"/>
  <c r="AE9" i="28"/>
  <c r="AE7" i="28"/>
  <c r="AE6" i="28"/>
  <c r="Q6" i="28"/>
  <c r="AE5" i="28"/>
  <c r="Q5" i="28"/>
  <c r="AE4" i="28"/>
  <c r="Q4" i="28"/>
  <c r="AE3" i="28"/>
  <c r="Q3" i="28"/>
  <c r="Q2" i="28"/>
  <c r="A46" i="27"/>
  <c r="A51" i="27" s="1"/>
  <c r="A42" i="27"/>
  <c r="A43" i="27" s="1"/>
  <c r="O41" i="27"/>
  <c r="O42" i="27" s="1"/>
  <c r="AC39" i="27"/>
  <c r="AC38" i="27"/>
  <c r="AC43" i="27" s="1"/>
  <c r="O38" i="27"/>
  <c r="A38" i="27"/>
  <c r="A39" i="27" s="1"/>
  <c r="O37" i="27"/>
  <c r="AC34" i="27"/>
  <c r="G28" i="27"/>
  <c r="G27" i="27"/>
  <c r="L26" i="27"/>
  <c r="G26" i="27"/>
  <c r="Q25" i="27"/>
  <c r="Q24" i="27"/>
  <c r="Q23" i="27"/>
  <c r="Q22" i="27"/>
  <c r="Q21" i="27"/>
  <c r="L21" i="27"/>
  <c r="H21" i="27"/>
  <c r="Q16" i="27"/>
  <c r="G16" i="27"/>
  <c r="Q15" i="27"/>
  <c r="G15" i="27"/>
  <c r="H22" i="27" s="1"/>
  <c r="Q14" i="27"/>
  <c r="N14" i="27"/>
  <c r="L14" i="27"/>
  <c r="G14" i="27"/>
  <c r="AE13" i="27"/>
  <c r="Q13" i="27"/>
  <c r="AE12" i="27"/>
  <c r="AE11" i="27"/>
  <c r="AE10" i="27"/>
  <c r="AE9" i="27"/>
  <c r="AE7" i="27"/>
  <c r="AE6" i="27"/>
  <c r="Q6" i="27"/>
  <c r="AE5" i="27"/>
  <c r="Q5" i="27"/>
  <c r="AE4" i="27"/>
  <c r="Q4" i="27"/>
  <c r="AE3" i="27"/>
  <c r="Q3" i="27"/>
  <c r="Q2" i="27"/>
  <c r="A46" i="26"/>
  <c r="O42" i="26"/>
  <c r="A42" i="26"/>
  <c r="O41" i="26"/>
  <c r="O46" i="26" s="1"/>
  <c r="AC38" i="26"/>
  <c r="AC43" i="26" s="1"/>
  <c r="A38" i="26"/>
  <c r="O37" i="26"/>
  <c r="AC34" i="26"/>
  <c r="G28" i="26"/>
  <c r="G27" i="26"/>
  <c r="L26" i="26"/>
  <c r="G26" i="26"/>
  <c r="Q25" i="26"/>
  <c r="Q24" i="26"/>
  <c r="Q23" i="26"/>
  <c r="Q22" i="26"/>
  <c r="Q21" i="26"/>
  <c r="L21" i="26"/>
  <c r="Q16" i="26"/>
  <c r="G16" i="26"/>
  <c r="Q15" i="26"/>
  <c r="G15" i="26"/>
  <c r="H22" i="26" s="1"/>
  <c r="Q14" i="26"/>
  <c r="N14" i="26"/>
  <c r="L14" i="26"/>
  <c r="G14" i="26"/>
  <c r="H21" i="26" s="1"/>
  <c r="AE13" i="26"/>
  <c r="Q13" i="26"/>
  <c r="AE12" i="26"/>
  <c r="AE11" i="26"/>
  <c r="AE10" i="26"/>
  <c r="AE9" i="26"/>
  <c r="AE7" i="26"/>
  <c r="AE6" i="26"/>
  <c r="Q6" i="26"/>
  <c r="AE5" i="26"/>
  <c r="Q5" i="26"/>
  <c r="AE4" i="26"/>
  <c r="Q4" i="26"/>
  <c r="AE3" i="26"/>
  <c r="Q3" i="26"/>
  <c r="Q2" i="26"/>
  <c r="S4" i="25"/>
  <c r="S4" i="24"/>
  <c r="S4" i="23"/>
  <c r="BG6" i="22"/>
  <c r="BG4" i="22"/>
  <c r="BG4" i="21"/>
  <c r="BG4" i="20"/>
  <c r="BG4" i="19"/>
  <c r="S6" i="18"/>
  <c r="S2" i="18"/>
  <c r="S2" i="17"/>
  <c r="S2" i="16"/>
  <c r="S2" i="15"/>
  <c r="BG6" i="14"/>
  <c r="BG2" i="14"/>
  <c r="BG2" i="13"/>
  <c r="BG2" i="12"/>
  <c r="BG2" i="11"/>
  <c r="S6" i="10"/>
  <c r="S4" i="10"/>
  <c r="S4" i="9"/>
  <c r="S4" i="8"/>
  <c r="S4" i="7"/>
  <c r="BG6" i="6"/>
  <c r="BG4" i="6"/>
  <c r="BG4" i="5"/>
  <c r="BG4" i="4"/>
  <c r="BG4" i="3"/>
  <c r="S6" i="2"/>
  <c r="S2" i="2"/>
  <c r="S2" i="1"/>
  <c r="AP31" i="68" l="1"/>
  <c r="AP5" i="68"/>
  <c r="AT31" i="68"/>
  <c r="AT5" i="68"/>
  <c r="AQ5" i="68"/>
  <c r="AQ31" i="68"/>
  <c r="GD125" i="61"/>
  <c r="J4" i="65"/>
  <c r="O623" i="66"/>
  <c r="O619" i="66"/>
  <c r="O615" i="66"/>
  <c r="O611" i="66"/>
  <c r="O607" i="66"/>
  <c r="O603" i="66"/>
  <c r="O599" i="66"/>
  <c r="O595" i="66"/>
  <c r="O591" i="66"/>
  <c r="O587" i="66"/>
  <c r="O583" i="66"/>
  <c r="O579" i="66"/>
  <c r="O575" i="66"/>
  <c r="O571" i="66"/>
  <c r="O567" i="66"/>
  <c r="O563" i="66"/>
  <c r="O559" i="66"/>
  <c r="O555" i="66"/>
  <c r="O551" i="66"/>
  <c r="O547" i="66"/>
  <c r="O543" i="66"/>
  <c r="O539" i="66"/>
  <c r="O535" i="66"/>
  <c r="O531" i="66"/>
  <c r="O527" i="66"/>
  <c r="O523" i="66"/>
  <c r="O519" i="66"/>
  <c r="O515" i="66"/>
  <c r="O511" i="66"/>
  <c r="O507" i="66"/>
  <c r="O503" i="66"/>
  <c r="O499" i="66"/>
  <c r="O495" i="66"/>
  <c r="O491" i="66"/>
  <c r="O487" i="66"/>
  <c r="O483" i="66"/>
  <c r="O479" i="66"/>
  <c r="O475" i="66"/>
  <c r="O471" i="66"/>
  <c r="O467" i="66"/>
  <c r="O463" i="66"/>
  <c r="O459" i="66"/>
  <c r="O455" i="66"/>
  <c r="O451" i="66"/>
  <c r="O447" i="66"/>
  <c r="O443" i="66"/>
  <c r="O439" i="66"/>
  <c r="O435" i="66"/>
  <c r="O431" i="66"/>
  <c r="O427" i="66"/>
  <c r="O423" i="66"/>
  <c r="O419" i="66"/>
  <c r="O415" i="66"/>
  <c r="O411" i="66"/>
  <c r="O407" i="66"/>
  <c r="O403" i="66"/>
  <c r="O399" i="66"/>
  <c r="O395" i="66"/>
  <c r="O391" i="66"/>
  <c r="O387" i="66"/>
  <c r="O383" i="66"/>
  <c r="O379" i="66"/>
  <c r="O375" i="66"/>
  <c r="O371" i="66"/>
  <c r="O367" i="66"/>
  <c r="O363" i="66"/>
  <c r="O359" i="66"/>
  <c r="O355" i="66"/>
  <c r="O351" i="66"/>
  <c r="O347" i="66"/>
  <c r="O343" i="66"/>
  <c r="O339" i="66"/>
  <c r="O335" i="66"/>
  <c r="O331" i="66"/>
  <c r="O327" i="66"/>
  <c r="O323" i="66"/>
  <c r="O319" i="66"/>
  <c r="O315" i="66"/>
  <c r="O311" i="66"/>
  <c r="O307" i="66"/>
  <c r="O303" i="66"/>
  <c r="O299" i="66"/>
  <c r="O295" i="66"/>
  <c r="O291" i="66"/>
  <c r="O287" i="66"/>
  <c r="O283" i="66"/>
  <c r="O279" i="66"/>
  <c r="O275" i="66"/>
  <c r="O271" i="66"/>
  <c r="O267" i="66"/>
  <c r="O263" i="66"/>
  <c r="O259" i="66"/>
  <c r="O255" i="66"/>
  <c r="O251" i="66"/>
  <c r="O247" i="66"/>
  <c r="O243" i="66"/>
  <c r="O239" i="66"/>
  <c r="O235" i="66"/>
  <c r="O231" i="66"/>
  <c r="O227" i="66"/>
  <c r="O223" i="66"/>
  <c r="O219" i="66"/>
  <c r="O215" i="66"/>
  <c r="O211" i="66"/>
  <c r="O207" i="66"/>
  <c r="O203" i="66"/>
  <c r="O199" i="66"/>
  <c r="O195" i="66"/>
  <c r="O191" i="66"/>
  <c r="O187" i="66"/>
  <c r="O183" i="66"/>
  <c r="O179" i="66"/>
  <c r="O175" i="66"/>
  <c r="O171" i="66"/>
  <c r="O167" i="66"/>
  <c r="O163" i="66"/>
  <c r="O159" i="66"/>
  <c r="O155" i="66"/>
  <c r="O151" i="66"/>
  <c r="O147" i="66"/>
  <c r="O143" i="66"/>
  <c r="O139" i="66"/>
  <c r="O135" i="66"/>
  <c r="O131" i="66"/>
  <c r="O127" i="66"/>
  <c r="O123" i="66"/>
  <c r="O119" i="66"/>
  <c r="O115" i="66"/>
  <c r="O111" i="66"/>
  <c r="O107" i="66"/>
  <c r="O103" i="66"/>
  <c r="O99" i="66"/>
  <c r="O95" i="66"/>
  <c r="O91" i="66"/>
  <c r="O87" i="66"/>
  <c r="O83" i="66"/>
  <c r="O79" i="66"/>
  <c r="O75" i="66"/>
  <c r="O71" i="66"/>
  <c r="O67" i="66"/>
  <c r="O63" i="66"/>
  <c r="O59" i="66"/>
  <c r="O55" i="66"/>
  <c r="O51" i="66"/>
  <c r="O47" i="66"/>
  <c r="O43" i="66"/>
  <c r="O39" i="66"/>
  <c r="O35" i="66"/>
  <c r="O31" i="66"/>
  <c r="O27" i="66"/>
  <c r="O23" i="66"/>
  <c r="O19" i="66"/>
  <c r="O15" i="66"/>
  <c r="O11" i="66"/>
  <c r="O7" i="66"/>
  <c r="O3" i="66"/>
  <c r="N624" i="66"/>
  <c r="N620" i="66"/>
  <c r="N616" i="66"/>
  <c r="N612" i="66"/>
  <c r="N608" i="66"/>
  <c r="N604" i="66"/>
  <c r="N600" i="66"/>
  <c r="N596" i="66"/>
  <c r="N592" i="66"/>
  <c r="N588" i="66"/>
  <c r="N584" i="66"/>
  <c r="N580" i="66"/>
  <c r="N576" i="66"/>
  <c r="N572" i="66"/>
  <c r="N568" i="66"/>
  <c r="N564" i="66"/>
  <c r="N560" i="66"/>
  <c r="N556" i="66"/>
  <c r="N552" i="66"/>
  <c r="N548" i="66"/>
  <c r="N544" i="66"/>
  <c r="N540" i="66"/>
  <c r="N536" i="66"/>
  <c r="N532" i="66"/>
  <c r="N528" i="66"/>
  <c r="N524" i="66"/>
  <c r="N520" i="66"/>
  <c r="N516" i="66"/>
  <c r="N512" i="66"/>
  <c r="N508" i="66"/>
  <c r="N504" i="66"/>
  <c r="N500" i="66"/>
  <c r="N496" i="66"/>
  <c r="N492" i="66"/>
  <c r="N488" i="66"/>
  <c r="N484" i="66"/>
  <c r="N480" i="66"/>
  <c r="N476" i="66"/>
  <c r="N472" i="66"/>
  <c r="N468" i="66"/>
  <c r="N464" i="66"/>
  <c r="N460" i="66"/>
  <c r="N456" i="66"/>
  <c r="N452" i="66"/>
  <c r="N448" i="66"/>
  <c r="N444" i="66"/>
  <c r="N440" i="66"/>
  <c r="N436" i="66"/>
  <c r="N432" i="66"/>
  <c r="N428" i="66"/>
  <c r="N424" i="66"/>
  <c r="N420" i="66"/>
  <c r="N416" i="66"/>
  <c r="N412" i="66"/>
  <c r="N408" i="66"/>
  <c r="N404" i="66"/>
  <c r="N400" i="66"/>
  <c r="N396" i="66"/>
  <c r="N392" i="66"/>
  <c r="N388" i="66"/>
  <c r="N384" i="66"/>
  <c r="N380" i="66"/>
  <c r="N376" i="66"/>
  <c r="N372" i="66"/>
  <c r="N368" i="66"/>
  <c r="N364" i="66"/>
  <c r="N360" i="66"/>
  <c r="N356" i="66"/>
  <c r="N352" i="66"/>
  <c r="N348" i="66"/>
  <c r="N344" i="66"/>
  <c r="N340" i="66"/>
  <c r="N336" i="66"/>
  <c r="N332" i="66"/>
  <c r="N328" i="66"/>
  <c r="N324" i="66"/>
  <c r="N320" i="66"/>
  <c r="N316" i="66"/>
  <c r="N312" i="66"/>
  <c r="N308" i="66"/>
  <c r="N304" i="66"/>
  <c r="N300" i="66"/>
  <c r="N296" i="66"/>
  <c r="N292" i="66"/>
  <c r="N288" i="66"/>
  <c r="N284" i="66"/>
  <c r="N280" i="66"/>
  <c r="N276" i="66"/>
  <c r="N272" i="66"/>
  <c r="N268" i="66"/>
  <c r="N264" i="66"/>
  <c r="N260" i="66"/>
  <c r="N256" i="66"/>
  <c r="N252" i="66"/>
  <c r="N248" i="66"/>
  <c r="N244" i="66"/>
  <c r="N240" i="66"/>
  <c r="N236" i="66"/>
  <c r="N232" i="66"/>
  <c r="N228" i="66"/>
  <c r="N224" i="66"/>
  <c r="N220" i="66"/>
  <c r="N216" i="66"/>
  <c r="N212" i="66"/>
  <c r="N208" i="66"/>
  <c r="N204" i="66"/>
  <c r="N200" i="66"/>
  <c r="N196" i="66"/>
  <c r="N192" i="66"/>
  <c r="N188" i="66"/>
  <c r="N184" i="66"/>
  <c r="N180" i="66"/>
  <c r="N176" i="66"/>
  <c r="N172" i="66"/>
  <c r="N168" i="66"/>
  <c r="N164" i="66"/>
  <c r="N160" i="66"/>
  <c r="N156" i="66"/>
  <c r="N152" i="66"/>
  <c r="N148" i="66"/>
  <c r="N144" i="66"/>
  <c r="N140" i="66"/>
  <c r="N136" i="66"/>
  <c r="N132" i="66"/>
  <c r="N128" i="66"/>
  <c r="N124" i="66"/>
  <c r="N120" i="66"/>
  <c r="N116" i="66"/>
  <c r="N112" i="66"/>
  <c r="N108" i="66"/>
  <c r="N104" i="66"/>
  <c r="O626" i="66"/>
  <c r="O622" i="66"/>
  <c r="O618" i="66"/>
  <c r="O614" i="66"/>
  <c r="O610" i="66"/>
  <c r="O606" i="66"/>
  <c r="O602" i="66"/>
  <c r="O598" i="66"/>
  <c r="O594" i="66"/>
  <c r="O590" i="66"/>
  <c r="O586" i="66"/>
  <c r="O582" i="66"/>
  <c r="O578" i="66"/>
  <c r="O574" i="66"/>
  <c r="O570" i="66"/>
  <c r="O566" i="66"/>
  <c r="O562" i="66"/>
  <c r="O558" i="66"/>
  <c r="O554" i="66"/>
  <c r="O550" i="66"/>
  <c r="O546" i="66"/>
  <c r="O542" i="66"/>
  <c r="O538" i="66"/>
  <c r="O534" i="66"/>
  <c r="O530" i="66"/>
  <c r="O526" i="66"/>
  <c r="O522" i="66"/>
  <c r="O518" i="66"/>
  <c r="O514" i="66"/>
  <c r="O510" i="66"/>
  <c r="O506" i="66"/>
  <c r="O502" i="66"/>
  <c r="O498" i="66"/>
  <c r="O494" i="66"/>
  <c r="O490" i="66"/>
  <c r="O486" i="66"/>
  <c r="O482" i="66"/>
  <c r="O478" i="66"/>
  <c r="O474" i="66"/>
  <c r="O470" i="66"/>
  <c r="O466" i="66"/>
  <c r="O462" i="66"/>
  <c r="O458" i="66"/>
  <c r="O454" i="66"/>
  <c r="O450" i="66"/>
  <c r="O446" i="66"/>
  <c r="O442" i="66"/>
  <c r="O438" i="66"/>
  <c r="O434" i="66"/>
  <c r="O430" i="66"/>
  <c r="O426" i="66"/>
  <c r="O422" i="66"/>
  <c r="O418" i="66"/>
  <c r="O414" i="66"/>
  <c r="O410" i="66"/>
  <c r="O406" i="66"/>
  <c r="O402" i="66"/>
  <c r="O398" i="66"/>
  <c r="O394" i="66"/>
  <c r="O390" i="66"/>
  <c r="O386" i="66"/>
  <c r="O382" i="66"/>
  <c r="O378" i="66"/>
  <c r="O374" i="66"/>
  <c r="O370" i="66"/>
  <c r="O366" i="66"/>
  <c r="O362" i="66"/>
  <c r="O358" i="66"/>
  <c r="O354" i="66"/>
  <c r="O350" i="66"/>
  <c r="O346" i="66"/>
  <c r="O342" i="66"/>
  <c r="O338" i="66"/>
  <c r="O334" i="66"/>
  <c r="O330" i="66"/>
  <c r="O326" i="66"/>
  <c r="O322" i="66"/>
  <c r="O318" i="66"/>
  <c r="O314" i="66"/>
  <c r="O310" i="66"/>
  <c r="O306" i="66"/>
  <c r="O302" i="66"/>
  <c r="O298" i="66"/>
  <c r="O294" i="66"/>
  <c r="O290" i="66"/>
  <c r="O286" i="66"/>
  <c r="O282" i="66"/>
  <c r="O278" i="66"/>
  <c r="O274" i="66"/>
  <c r="O270" i="66"/>
  <c r="O266" i="66"/>
  <c r="O262" i="66"/>
  <c r="O258" i="66"/>
  <c r="O254" i="66"/>
  <c r="O250" i="66"/>
  <c r="O246" i="66"/>
  <c r="O242" i="66"/>
  <c r="O238" i="66"/>
  <c r="O234" i="66"/>
  <c r="O230" i="66"/>
  <c r="O226" i="66"/>
  <c r="O222" i="66"/>
  <c r="O218" i="66"/>
  <c r="O214" i="66"/>
  <c r="O210" i="66"/>
  <c r="O206" i="66"/>
  <c r="O202" i="66"/>
  <c r="O198" i="66"/>
  <c r="O194" i="66"/>
  <c r="O190" i="66"/>
  <c r="O186" i="66"/>
  <c r="O182" i="66"/>
  <c r="O178" i="66"/>
  <c r="O174" i="66"/>
  <c r="O170" i="66"/>
  <c r="O166" i="66"/>
  <c r="O162" i="66"/>
  <c r="O158" i="66"/>
  <c r="O154" i="66"/>
  <c r="O150" i="66"/>
  <c r="O146" i="66"/>
  <c r="O142" i="66"/>
  <c r="O138" i="66"/>
  <c r="O134" i="66"/>
  <c r="O130" i="66"/>
  <c r="O126" i="66"/>
  <c r="O122" i="66"/>
  <c r="O118" i="66"/>
  <c r="O114" i="66"/>
  <c r="O110" i="66"/>
  <c r="O106" i="66"/>
  <c r="O102" i="66"/>
  <c r="O98" i="66"/>
  <c r="O94" i="66"/>
  <c r="O90" i="66"/>
  <c r="O86" i="66"/>
  <c r="O82" i="66"/>
  <c r="O78" i="66"/>
  <c r="O74" i="66"/>
  <c r="O70" i="66"/>
  <c r="O66" i="66"/>
  <c r="O62" i="66"/>
  <c r="O58" i="66"/>
  <c r="O54" i="66"/>
  <c r="O50" i="66"/>
  <c r="O46" i="66"/>
  <c r="O42" i="66"/>
  <c r="O38" i="66"/>
  <c r="O34" i="66"/>
  <c r="O30" i="66"/>
  <c r="O26" i="66"/>
  <c r="O22" i="66"/>
  <c r="O18" i="66"/>
  <c r="O14" i="66"/>
  <c r="O10" i="66"/>
  <c r="O6" i="66"/>
  <c r="O2" i="66"/>
  <c r="N623" i="66"/>
  <c r="N619" i="66"/>
  <c r="N615" i="66"/>
  <c r="N611" i="66"/>
  <c r="N607" i="66"/>
  <c r="N603" i="66"/>
  <c r="N599" i="66"/>
  <c r="N595" i="66"/>
  <c r="N591" i="66"/>
  <c r="N587" i="66"/>
  <c r="N583" i="66"/>
  <c r="N579" i="66"/>
  <c r="N575" i="66"/>
  <c r="N571" i="66"/>
  <c r="N567" i="66"/>
  <c r="N563" i="66"/>
  <c r="N559" i="66"/>
  <c r="N555" i="66"/>
  <c r="N551" i="66"/>
  <c r="N547" i="66"/>
  <c r="N543" i="66"/>
  <c r="N539" i="66"/>
  <c r="N535" i="66"/>
  <c r="N531" i="66"/>
  <c r="N527" i="66"/>
  <c r="N523" i="66"/>
  <c r="N519" i="66"/>
  <c r="N515" i="66"/>
  <c r="N511" i="66"/>
  <c r="N507" i="66"/>
  <c r="N503" i="66"/>
  <c r="N499" i="66"/>
  <c r="N495" i="66"/>
  <c r="N491" i="66"/>
  <c r="N487" i="66"/>
  <c r="N483" i="66"/>
  <c r="N479" i="66"/>
  <c r="N475" i="66"/>
  <c r="N471" i="66"/>
  <c r="N467" i="66"/>
  <c r="N463" i="66"/>
  <c r="N459" i="66"/>
  <c r="N455" i="66"/>
  <c r="N451" i="66"/>
  <c r="N447" i="66"/>
  <c r="N443" i="66"/>
  <c r="N439" i="66"/>
  <c r="N435" i="66"/>
  <c r="N431" i="66"/>
  <c r="N427" i="66"/>
  <c r="N423" i="66"/>
  <c r="N419" i="66"/>
  <c r="N415" i="66"/>
  <c r="N411" i="66"/>
  <c r="N407" i="66"/>
  <c r="N403" i="66"/>
  <c r="N399" i="66"/>
  <c r="N395" i="66"/>
  <c r="N391" i="66"/>
  <c r="N387" i="66"/>
  <c r="N383" i="66"/>
  <c r="N379" i="66"/>
  <c r="N375" i="66"/>
  <c r="N371" i="66"/>
  <c r="N367" i="66"/>
  <c r="N363" i="66"/>
  <c r="N359" i="66"/>
  <c r="N355" i="66"/>
  <c r="N351" i="66"/>
  <c r="N347" i="66"/>
  <c r="N343" i="66"/>
  <c r="N339" i="66"/>
  <c r="N335" i="66"/>
  <c r="N331" i="66"/>
  <c r="N327" i="66"/>
  <c r="N323" i="66"/>
  <c r="N319" i="66"/>
  <c r="N315" i="66"/>
  <c r="N311" i="66"/>
  <c r="N307" i="66"/>
  <c r="N303" i="66"/>
  <c r="N299" i="66"/>
  <c r="N295" i="66"/>
  <c r="N291" i="66"/>
  <c r="N287" i="66"/>
  <c r="N283" i="66"/>
  <c r="N279" i="66"/>
  <c r="N275" i="66"/>
  <c r="N271" i="66"/>
  <c r="N267" i="66"/>
  <c r="N263" i="66"/>
  <c r="N259" i="66"/>
  <c r="N255" i="66"/>
  <c r="N251" i="66"/>
  <c r="N247" i="66"/>
  <c r="N243" i="66"/>
  <c r="N239" i="66"/>
  <c r="N235" i="66"/>
  <c r="N231" i="66"/>
  <c r="N227" i="66"/>
  <c r="N223" i="66"/>
  <c r="N219" i="66"/>
  <c r="O625" i="66"/>
  <c r="O621" i="66"/>
  <c r="O617" i="66"/>
  <c r="O613" i="66"/>
  <c r="O609" i="66"/>
  <c r="O605" i="66"/>
  <c r="O601" i="66"/>
  <c r="O597" i="66"/>
  <c r="O593" i="66"/>
  <c r="O589" i="66"/>
  <c r="O585" i="66"/>
  <c r="O581" i="66"/>
  <c r="O577" i="66"/>
  <c r="O573" i="66"/>
  <c r="O569" i="66"/>
  <c r="O565" i="66"/>
  <c r="O561" i="66"/>
  <c r="O557" i="66"/>
  <c r="O553" i="66"/>
  <c r="O549" i="66"/>
  <c r="O545" i="66"/>
  <c r="O541" i="66"/>
  <c r="O537" i="66"/>
  <c r="O533" i="66"/>
  <c r="O529" i="66"/>
  <c r="O525" i="66"/>
  <c r="O521" i="66"/>
  <c r="O517" i="66"/>
  <c r="O513" i="66"/>
  <c r="O509" i="66"/>
  <c r="O505" i="66"/>
  <c r="O501" i="66"/>
  <c r="O497" i="66"/>
  <c r="O493" i="66"/>
  <c r="O489" i="66"/>
  <c r="O485" i="66"/>
  <c r="O481" i="66"/>
  <c r="O477" i="66"/>
  <c r="O473" i="66"/>
  <c r="O469" i="66"/>
  <c r="O465" i="66"/>
  <c r="O461" i="66"/>
  <c r="O457" i="66"/>
  <c r="O453" i="66"/>
  <c r="O449" i="66"/>
  <c r="O445" i="66"/>
  <c r="O441" i="66"/>
  <c r="O437" i="66"/>
  <c r="O433" i="66"/>
  <c r="O429" i="66"/>
  <c r="O425" i="66"/>
  <c r="O421" i="66"/>
  <c r="O417" i="66"/>
  <c r="O413" i="66"/>
  <c r="O409" i="66"/>
  <c r="O405" i="66"/>
  <c r="O401" i="66"/>
  <c r="O397" i="66"/>
  <c r="O393" i="66"/>
  <c r="O389" i="66"/>
  <c r="O385" i="66"/>
  <c r="O381" i="66"/>
  <c r="O377" i="66"/>
  <c r="O373" i="66"/>
  <c r="O369" i="66"/>
  <c r="O365" i="66"/>
  <c r="O361" i="66"/>
  <c r="O357" i="66"/>
  <c r="O353" i="66"/>
  <c r="O349" i="66"/>
  <c r="O345" i="66"/>
  <c r="O341" i="66"/>
  <c r="O337" i="66"/>
  <c r="O333" i="66"/>
  <c r="O329" i="66"/>
  <c r="O325" i="66"/>
  <c r="O321" i="66"/>
  <c r="O317" i="66"/>
  <c r="O313" i="66"/>
  <c r="O309" i="66"/>
  <c r="O305" i="66"/>
  <c r="O301" i="66"/>
  <c r="O297" i="66"/>
  <c r="O293" i="66"/>
  <c r="O289" i="66"/>
  <c r="O285" i="66"/>
  <c r="O281" i="66"/>
  <c r="O277" i="66"/>
  <c r="O273" i="66"/>
  <c r="O269" i="66"/>
  <c r="O265" i="66"/>
  <c r="O261" i="66"/>
  <c r="O257" i="66"/>
  <c r="O253" i="66"/>
  <c r="O249" i="66"/>
  <c r="O245" i="66"/>
  <c r="O241" i="66"/>
  <c r="O237" i="66"/>
  <c r="O233" i="66"/>
  <c r="O229" i="66"/>
  <c r="O225" i="66"/>
  <c r="O221" i="66"/>
  <c r="O217" i="66"/>
  <c r="O213" i="66"/>
  <c r="O209" i="66"/>
  <c r="O205" i="66"/>
  <c r="O201" i="66"/>
  <c r="O197" i="66"/>
  <c r="O193" i="66"/>
  <c r="O189" i="66"/>
  <c r="O185" i="66"/>
  <c r="O181" i="66"/>
  <c r="O177" i="66"/>
  <c r="O173" i="66"/>
  <c r="O169" i="66"/>
  <c r="O165" i="66"/>
  <c r="O161" i="66"/>
  <c r="O157" i="66"/>
  <c r="O153" i="66"/>
  <c r="O149" i="66"/>
  <c r="O145" i="66"/>
  <c r="O141" i="66"/>
  <c r="O137" i="66"/>
  <c r="O133" i="66"/>
  <c r="O129" i="66"/>
  <c r="O125" i="66"/>
  <c r="O121" i="66"/>
  <c r="O117" i="66"/>
  <c r="O113" i="66"/>
  <c r="O109" i="66"/>
  <c r="O105" i="66"/>
  <c r="O101" i="66"/>
  <c r="O97" i="66"/>
  <c r="O93" i="66"/>
  <c r="O89" i="66"/>
  <c r="O85" i="66"/>
  <c r="O81" i="66"/>
  <c r="O77" i="66"/>
  <c r="O73" i="66"/>
  <c r="O69" i="66"/>
  <c r="O65" i="66"/>
  <c r="O61" i="66"/>
  <c r="O57" i="66"/>
  <c r="O53" i="66"/>
  <c r="O49" i="66"/>
  <c r="O45" i="66"/>
  <c r="O41" i="66"/>
  <c r="O37" i="66"/>
  <c r="O33" i="66"/>
  <c r="O29" i="66"/>
  <c r="O25" i="66"/>
  <c r="O21" i="66"/>
  <c r="O17" i="66"/>
  <c r="O13" i="66"/>
  <c r="O9" i="66"/>
  <c r="O5" i="66"/>
  <c r="N626" i="66"/>
  <c r="N622" i="66"/>
  <c r="N618" i="66"/>
  <c r="N614" i="66"/>
  <c r="N610" i="66"/>
  <c r="N606" i="66"/>
  <c r="N602" i="66"/>
  <c r="N598" i="66"/>
  <c r="N594" i="66"/>
  <c r="N590" i="66"/>
  <c r="N586" i="66"/>
  <c r="N582" i="66"/>
  <c r="N578" i="66"/>
  <c r="N574" i="66"/>
  <c r="N570" i="66"/>
  <c r="N566" i="66"/>
  <c r="N562" i="66"/>
  <c r="N558" i="66"/>
  <c r="N554" i="66"/>
  <c r="N550" i="66"/>
  <c r="N546" i="66"/>
  <c r="N542" i="66"/>
  <c r="N538" i="66"/>
  <c r="N534" i="66"/>
  <c r="N530" i="66"/>
  <c r="N526" i="66"/>
  <c r="N522" i="66"/>
  <c r="N518" i="66"/>
  <c r="N514" i="66"/>
  <c r="N510" i="66"/>
  <c r="N506" i="66"/>
  <c r="N502" i="66"/>
  <c r="N498" i="66"/>
  <c r="N494" i="66"/>
  <c r="N490" i="66"/>
  <c r="N486" i="66"/>
  <c r="N482" i="66"/>
  <c r="N478" i="66"/>
  <c r="N474" i="66"/>
  <c r="N470" i="66"/>
  <c r="N466" i="66"/>
  <c r="N462" i="66"/>
  <c r="N458" i="66"/>
  <c r="N454" i="66"/>
  <c r="N450" i="66"/>
  <c r="N446" i="66"/>
  <c r="N442" i="66"/>
  <c r="N438" i="66"/>
  <c r="N434" i="66"/>
  <c r="N430" i="66"/>
  <c r="N426" i="66"/>
  <c r="N422" i="66"/>
  <c r="N418" i="66"/>
  <c r="N414" i="66"/>
  <c r="N410" i="66"/>
  <c r="N406" i="66"/>
  <c r="N402" i="66"/>
  <c r="N398" i="66"/>
  <c r="N394" i="66"/>
  <c r="N390" i="66"/>
  <c r="N386" i="66"/>
  <c r="N382" i="66"/>
  <c r="N378" i="66"/>
  <c r="N374" i="66"/>
  <c r="N370" i="66"/>
  <c r="N366" i="66"/>
  <c r="N362" i="66"/>
  <c r="N358" i="66"/>
  <c r="N354" i="66"/>
  <c r="N350" i="66"/>
  <c r="N346" i="66"/>
  <c r="N342" i="66"/>
  <c r="N338" i="66"/>
  <c r="N334" i="66"/>
  <c r="N330" i="66"/>
  <c r="N326" i="66"/>
  <c r="N322" i="66"/>
  <c r="N318" i="66"/>
  <c r="N314" i="66"/>
  <c r="N310" i="66"/>
  <c r="N306" i="66"/>
  <c r="N302" i="66"/>
  <c r="N298" i="66"/>
  <c r="N294" i="66"/>
  <c r="N290" i="66"/>
  <c r="N286" i="66"/>
  <c r="N282" i="66"/>
  <c r="N278" i="66"/>
  <c r="N274" i="66"/>
  <c r="N270" i="66"/>
  <c r="N266" i="66"/>
  <c r="N262" i="66"/>
  <c r="N258" i="66"/>
  <c r="N254" i="66"/>
  <c r="N250" i="66"/>
  <c r="N246" i="66"/>
  <c r="N242" i="66"/>
  <c r="N238" i="66"/>
  <c r="N234" i="66"/>
  <c r="N230" i="66"/>
  <c r="N226" i="66"/>
  <c r="N222" i="66"/>
  <c r="N218" i="66"/>
  <c r="N214" i="66"/>
  <c r="N210" i="66"/>
  <c r="O624" i="66"/>
  <c r="O620" i="66"/>
  <c r="O616" i="66"/>
  <c r="O612" i="66"/>
  <c r="O608" i="66"/>
  <c r="O604" i="66"/>
  <c r="O600" i="66"/>
  <c r="O596" i="66"/>
  <c r="O592" i="66"/>
  <c r="O588" i="66"/>
  <c r="O584" i="66"/>
  <c r="O580" i="66"/>
  <c r="O576" i="66"/>
  <c r="O572" i="66"/>
  <c r="O568" i="66"/>
  <c r="O564" i="66"/>
  <c r="O560" i="66"/>
  <c r="O556" i="66"/>
  <c r="O552" i="66"/>
  <c r="O548" i="66"/>
  <c r="O544" i="66"/>
  <c r="O540" i="66"/>
  <c r="O536" i="66"/>
  <c r="O532" i="66"/>
  <c r="O528" i="66"/>
  <c r="O524" i="66"/>
  <c r="O520" i="66"/>
  <c r="O516" i="66"/>
  <c r="O512" i="66"/>
  <c r="O508" i="66"/>
  <c r="O504" i="66"/>
  <c r="O500" i="66"/>
  <c r="O496" i="66"/>
  <c r="O492" i="66"/>
  <c r="O488" i="66"/>
  <c r="O484" i="66"/>
  <c r="O480" i="66"/>
  <c r="O476" i="66"/>
  <c r="O472" i="66"/>
  <c r="O468" i="66"/>
  <c r="O464" i="66"/>
  <c r="O460" i="66"/>
  <c r="O456" i="66"/>
  <c r="O452" i="66"/>
  <c r="O448" i="66"/>
  <c r="O444" i="66"/>
  <c r="O440" i="66"/>
  <c r="O436" i="66"/>
  <c r="O432" i="66"/>
  <c r="O428" i="66"/>
  <c r="O424" i="66"/>
  <c r="O420" i="66"/>
  <c r="O416" i="66"/>
  <c r="O412" i="66"/>
  <c r="O408" i="66"/>
  <c r="O404" i="66"/>
  <c r="O400" i="66"/>
  <c r="O396" i="66"/>
  <c r="O392" i="66"/>
  <c r="O388" i="66"/>
  <c r="O384" i="66"/>
  <c r="O380" i="66"/>
  <c r="O376" i="66"/>
  <c r="O372" i="66"/>
  <c r="O368" i="66"/>
  <c r="O364" i="66"/>
  <c r="O360" i="66"/>
  <c r="O356" i="66"/>
  <c r="O352" i="66"/>
  <c r="O348" i="66"/>
  <c r="O344" i="66"/>
  <c r="O340" i="66"/>
  <c r="O336" i="66"/>
  <c r="O332" i="66"/>
  <c r="O328" i="66"/>
  <c r="O324" i="66"/>
  <c r="O320" i="66"/>
  <c r="O316" i="66"/>
  <c r="O312" i="66"/>
  <c r="O308" i="66"/>
  <c r="O304" i="66"/>
  <c r="O300" i="66"/>
  <c r="O296" i="66"/>
  <c r="O292" i="66"/>
  <c r="O288" i="66"/>
  <c r="O284" i="66"/>
  <c r="O280" i="66"/>
  <c r="O276" i="66"/>
  <c r="O272" i="66"/>
  <c r="O268" i="66"/>
  <c r="O264" i="66"/>
  <c r="O260" i="66"/>
  <c r="O256" i="66"/>
  <c r="O252" i="66"/>
  <c r="O248" i="66"/>
  <c r="O244" i="66"/>
  <c r="O240" i="66"/>
  <c r="O236" i="66"/>
  <c r="O232" i="66"/>
  <c r="O228" i="66"/>
  <c r="O224" i="66"/>
  <c r="O220" i="66"/>
  <c r="O216" i="66"/>
  <c r="O212" i="66"/>
  <c r="O208" i="66"/>
  <c r="O204" i="66"/>
  <c r="O200" i="66"/>
  <c r="O196" i="66"/>
  <c r="O192" i="66"/>
  <c r="O188" i="66"/>
  <c r="O184" i="66"/>
  <c r="O180" i="66"/>
  <c r="O176" i="66"/>
  <c r="O172" i="66"/>
  <c r="O168" i="66"/>
  <c r="O164" i="66"/>
  <c r="O160" i="66"/>
  <c r="O156" i="66"/>
  <c r="O152" i="66"/>
  <c r="O148" i="66"/>
  <c r="O144" i="66"/>
  <c r="O140" i="66"/>
  <c r="O136" i="66"/>
  <c r="O132" i="66"/>
  <c r="O128" i="66"/>
  <c r="O124" i="66"/>
  <c r="O120" i="66"/>
  <c r="O116" i="66"/>
  <c r="O112" i="66"/>
  <c r="O108" i="66"/>
  <c r="O104" i="66"/>
  <c r="O100" i="66"/>
  <c r="O96" i="66"/>
  <c r="O92" i="66"/>
  <c r="O88" i="66"/>
  <c r="O84" i="66"/>
  <c r="O80" i="66"/>
  <c r="O76" i="66"/>
  <c r="O72" i="66"/>
  <c r="O68" i="66"/>
  <c r="O64" i="66"/>
  <c r="O60" i="66"/>
  <c r="O56" i="66"/>
  <c r="O52" i="66"/>
  <c r="O48" i="66"/>
  <c r="O44" i="66"/>
  <c r="O40" i="66"/>
  <c r="O36" i="66"/>
  <c r="O32" i="66"/>
  <c r="O28" i="66"/>
  <c r="O24" i="66"/>
  <c r="O20" i="66"/>
  <c r="O16" i="66"/>
  <c r="O12" i="66"/>
  <c r="O8" i="66"/>
  <c r="O4" i="66"/>
  <c r="N625" i="66"/>
  <c r="N621" i="66"/>
  <c r="N617" i="66"/>
  <c r="N613" i="66"/>
  <c r="N609" i="66"/>
  <c r="N605" i="66"/>
  <c r="N601" i="66"/>
  <c r="N597" i="66"/>
  <c r="N593" i="66"/>
  <c r="N589" i="66"/>
  <c r="N585" i="66"/>
  <c r="N581" i="66"/>
  <c r="N577" i="66"/>
  <c r="N573" i="66"/>
  <c r="N569" i="66"/>
  <c r="N565" i="66"/>
  <c r="N561" i="66"/>
  <c r="N557" i="66"/>
  <c r="N553" i="66"/>
  <c r="N549" i="66"/>
  <c r="N545" i="66"/>
  <c r="N541" i="66"/>
  <c r="N537" i="66"/>
  <c r="N533" i="66"/>
  <c r="N529" i="66"/>
  <c r="N525" i="66"/>
  <c r="N521" i="66"/>
  <c r="N517" i="66"/>
  <c r="N513" i="66"/>
  <c r="N509" i="66"/>
  <c r="N505" i="66"/>
  <c r="N501" i="66"/>
  <c r="N497" i="66"/>
  <c r="N493" i="66"/>
  <c r="N489" i="66"/>
  <c r="N485" i="66"/>
  <c r="N481" i="66"/>
  <c r="N477" i="66"/>
  <c r="N473" i="66"/>
  <c r="N469" i="66"/>
  <c r="N465" i="66"/>
  <c r="N461" i="66"/>
  <c r="N457" i="66"/>
  <c r="N453" i="66"/>
  <c r="N449" i="66"/>
  <c r="N445" i="66"/>
  <c r="N441" i="66"/>
  <c r="N437" i="66"/>
  <c r="N433" i="66"/>
  <c r="N429" i="66"/>
  <c r="N425" i="66"/>
  <c r="N421" i="66"/>
  <c r="N417" i="66"/>
  <c r="N413" i="66"/>
  <c r="N409" i="66"/>
  <c r="N405" i="66"/>
  <c r="N401" i="66"/>
  <c r="N397" i="66"/>
  <c r="N393" i="66"/>
  <c r="N389" i="66"/>
  <c r="N385" i="66"/>
  <c r="N381" i="66"/>
  <c r="N377" i="66"/>
  <c r="N373" i="66"/>
  <c r="N369" i="66"/>
  <c r="N365" i="66"/>
  <c r="N361" i="66"/>
  <c r="N357" i="66"/>
  <c r="N353" i="66"/>
  <c r="N349" i="66"/>
  <c r="N345" i="66"/>
  <c r="N341" i="66"/>
  <c r="N337" i="66"/>
  <c r="N333" i="66"/>
  <c r="N329" i="66"/>
  <c r="N325" i="66"/>
  <c r="N321" i="66"/>
  <c r="N317" i="66"/>
  <c r="N313" i="66"/>
  <c r="N309" i="66"/>
  <c r="N305" i="66"/>
  <c r="N301" i="66"/>
  <c r="N297" i="66"/>
  <c r="N293" i="66"/>
  <c r="N289" i="66"/>
  <c r="N285" i="66"/>
  <c r="N281" i="66"/>
  <c r="N277" i="66"/>
  <c r="N273" i="66"/>
  <c r="N269" i="66"/>
  <c r="N265" i="66"/>
  <c r="N261" i="66"/>
  <c r="N257" i="66"/>
  <c r="N253" i="66"/>
  <c r="N249" i="66"/>
  <c r="N245" i="66"/>
  <c r="N241" i="66"/>
  <c r="N237" i="66"/>
  <c r="N233" i="66"/>
  <c r="N229" i="66"/>
  <c r="N225" i="66"/>
  <c r="N221" i="66"/>
  <c r="N217" i="66"/>
  <c r="N213" i="66"/>
  <c r="N209" i="66"/>
  <c r="N205" i="66"/>
  <c r="N201" i="66"/>
  <c r="N197" i="66"/>
  <c r="N193" i="66"/>
  <c r="N189" i="66"/>
  <c r="N185" i="66"/>
  <c r="N181" i="66"/>
  <c r="N177" i="66"/>
  <c r="N173" i="66"/>
  <c r="N169" i="66"/>
  <c r="N165" i="66"/>
  <c r="N161" i="66"/>
  <c r="N157" i="66"/>
  <c r="N153" i="66"/>
  <c r="N149" i="66"/>
  <c r="N145" i="66"/>
  <c r="N141" i="66"/>
  <c r="N137" i="66"/>
  <c r="N133" i="66"/>
  <c r="N129" i="66"/>
  <c r="N125" i="66"/>
  <c r="N121" i="66"/>
  <c r="N117" i="66"/>
  <c r="N113" i="66"/>
  <c r="N109" i="66"/>
  <c r="N105" i="66"/>
  <c r="N101" i="66"/>
  <c r="N97" i="66"/>
  <c r="N93" i="66"/>
  <c r="N89" i="66"/>
  <c r="N85" i="66"/>
  <c r="N81" i="66"/>
  <c r="N77" i="66"/>
  <c r="N73" i="66"/>
  <c r="N69" i="66"/>
  <c r="N65" i="66"/>
  <c r="N61" i="66"/>
  <c r="N57" i="66"/>
  <c r="N53" i="66"/>
  <c r="N49" i="66"/>
  <c r="N45" i="66"/>
  <c r="N41" i="66"/>
  <c r="N37" i="66"/>
  <c r="N33" i="66"/>
  <c r="N29" i="66"/>
  <c r="N25" i="66"/>
  <c r="N21" i="66"/>
  <c r="N17" i="66"/>
  <c r="N13" i="66"/>
  <c r="N9" i="66"/>
  <c r="N5" i="66"/>
  <c r="N215" i="66"/>
  <c r="N203" i="66"/>
  <c r="N195" i="66"/>
  <c r="N187" i="66"/>
  <c r="N179" i="66"/>
  <c r="N171" i="66"/>
  <c r="N163" i="66"/>
  <c r="N155" i="66"/>
  <c r="N147" i="66"/>
  <c r="N139" i="66"/>
  <c r="N131" i="66"/>
  <c r="N123" i="66"/>
  <c r="N115" i="66"/>
  <c r="N107" i="66"/>
  <c r="N100" i="66"/>
  <c r="N95" i="66"/>
  <c r="N90" i="66"/>
  <c r="N84" i="66"/>
  <c r="N79" i="66"/>
  <c r="N74" i="66"/>
  <c r="N68" i="66"/>
  <c r="N63" i="66"/>
  <c r="N58" i="66"/>
  <c r="N52" i="66"/>
  <c r="N47" i="66"/>
  <c r="N42" i="66"/>
  <c r="N36" i="66"/>
  <c r="N31" i="66"/>
  <c r="N26" i="66"/>
  <c r="N20" i="66"/>
  <c r="N15" i="66"/>
  <c r="N10" i="66"/>
  <c r="N4" i="66"/>
  <c r="D625" i="66"/>
  <c r="D623" i="66"/>
  <c r="D620" i="66"/>
  <c r="D613" i="66"/>
  <c r="D606" i="66"/>
  <c r="D599" i="66"/>
  <c r="D597" i="66"/>
  <c r="D595" i="66"/>
  <c r="D592" i="66"/>
  <c r="D590" i="66"/>
  <c r="D588" i="66"/>
  <c r="D586" i="66"/>
  <c r="D583" i="66"/>
  <c r="D581" i="66"/>
  <c r="D578" i="66"/>
  <c r="D575" i="66"/>
  <c r="D573" i="66"/>
  <c r="D570" i="66"/>
  <c r="D562" i="66"/>
  <c r="D560" i="66"/>
  <c r="D558" i="66"/>
  <c r="D556" i="66"/>
  <c r="D552" i="66"/>
  <c r="D547" i="66"/>
  <c r="D544" i="66"/>
  <c r="D542" i="66"/>
  <c r="D539" i="66"/>
  <c r="D537" i="66"/>
  <c r="D534" i="66"/>
  <c r="D532" i="66"/>
  <c r="D530" i="66"/>
  <c r="D528" i="66"/>
  <c r="D526" i="66"/>
  <c r="D524" i="66"/>
  <c r="D510" i="66"/>
  <c r="D502" i="66"/>
  <c r="N211" i="66"/>
  <c r="N202" i="66"/>
  <c r="N194" i="66"/>
  <c r="N186" i="66"/>
  <c r="N178" i="66"/>
  <c r="N170" i="66"/>
  <c r="N162" i="66"/>
  <c r="N154" i="66"/>
  <c r="N146" i="66"/>
  <c r="N138" i="66"/>
  <c r="N130" i="66"/>
  <c r="N122" i="66"/>
  <c r="N114" i="66"/>
  <c r="N106" i="66"/>
  <c r="N99" i="66"/>
  <c r="N94" i="66"/>
  <c r="N88" i="66"/>
  <c r="N83" i="66"/>
  <c r="N78" i="66"/>
  <c r="N72" i="66"/>
  <c r="N67" i="66"/>
  <c r="N62" i="66"/>
  <c r="N56" i="66"/>
  <c r="N51" i="66"/>
  <c r="N46" i="66"/>
  <c r="N40" i="66"/>
  <c r="N35" i="66"/>
  <c r="N30" i="66"/>
  <c r="N24" i="66"/>
  <c r="N19" i="66"/>
  <c r="N14" i="66"/>
  <c r="N8" i="66"/>
  <c r="N3" i="66"/>
  <c r="D621" i="66"/>
  <c r="D618" i="66"/>
  <c r="D616" i="66"/>
  <c r="D611" i="66"/>
  <c r="D609" i="66"/>
  <c r="D607" i="66"/>
  <c r="D604" i="66"/>
  <c r="D602" i="66"/>
  <c r="D593" i="66"/>
  <c r="D579" i="66"/>
  <c r="D571" i="66"/>
  <c r="D568" i="66"/>
  <c r="D566" i="66"/>
  <c r="D563" i="66"/>
  <c r="D553" i="66"/>
  <c r="D550" i="66"/>
  <c r="D548" i="66"/>
  <c r="D540" i="66"/>
  <c r="D535" i="66"/>
  <c r="D522" i="66"/>
  <c r="D520" i="66"/>
  <c r="D518" i="66"/>
  <c r="D516" i="66"/>
  <c r="D513" i="66"/>
  <c r="D511" i="66"/>
  <c r="D508" i="66"/>
  <c r="D505" i="66"/>
  <c r="D503" i="66"/>
  <c r="N207" i="66"/>
  <c r="N199" i="66"/>
  <c r="N191" i="66"/>
  <c r="N183" i="66"/>
  <c r="N175" i="66"/>
  <c r="N167" i="66"/>
  <c r="N159" i="66"/>
  <c r="N151" i="66"/>
  <c r="N143" i="66"/>
  <c r="N135" i="66"/>
  <c r="N127" i="66"/>
  <c r="N119" i="66"/>
  <c r="N111" i="66"/>
  <c r="N103" i="66"/>
  <c r="N98" i="66"/>
  <c r="N92" i="66"/>
  <c r="N87" i="66"/>
  <c r="N82" i="66"/>
  <c r="N76" i="66"/>
  <c r="N71" i="66"/>
  <c r="N66" i="66"/>
  <c r="N60" i="66"/>
  <c r="N55" i="66"/>
  <c r="N50" i="66"/>
  <c r="N44" i="66"/>
  <c r="N39" i="66"/>
  <c r="N34" i="66"/>
  <c r="N28" i="66"/>
  <c r="N23" i="66"/>
  <c r="N18" i="66"/>
  <c r="N12" i="66"/>
  <c r="N7" i="66"/>
  <c r="N2" i="66"/>
  <c r="D626" i="66"/>
  <c r="D624" i="66"/>
  <c r="D614" i="66"/>
  <c r="D612" i="66"/>
  <c r="D600" i="66"/>
  <c r="D598" i="66"/>
  <c r="D596" i="66"/>
  <c r="D594" i="66"/>
  <c r="D591" i="66"/>
  <c r="D589" i="66"/>
  <c r="D587" i="66"/>
  <c r="D584" i="66"/>
  <c r="D582" i="66"/>
  <c r="D580" i="66"/>
  <c r="D576" i="66"/>
  <c r="D574" i="66"/>
  <c r="D572" i="66"/>
  <c r="D564" i="66"/>
  <c r="D561" i="66"/>
  <c r="D559" i="66"/>
  <c r="D557" i="66"/>
  <c r="D554" i="66"/>
  <c r="D551" i="66"/>
  <c r="D545" i="66"/>
  <c r="D543" i="66"/>
  <c r="D541" i="66"/>
  <c r="D538" i="66"/>
  <c r="D536" i="66"/>
  <c r="D533" i="66"/>
  <c r="D531" i="66"/>
  <c r="D529" i="66"/>
  <c r="D527" i="66"/>
  <c r="D525" i="66"/>
  <c r="D514" i="66"/>
  <c r="D506" i="66"/>
  <c r="N206" i="66"/>
  <c r="N198" i="66"/>
  <c r="N190" i="66"/>
  <c r="N182" i="66"/>
  <c r="N174" i="66"/>
  <c r="N166" i="66"/>
  <c r="N158" i="66"/>
  <c r="N150" i="66"/>
  <c r="N142" i="66"/>
  <c r="N134" i="66"/>
  <c r="N126" i="66"/>
  <c r="N118" i="66"/>
  <c r="N110" i="66"/>
  <c r="N102" i="66"/>
  <c r="N96" i="66"/>
  <c r="N91" i="66"/>
  <c r="N86" i="66"/>
  <c r="N80" i="66"/>
  <c r="N75" i="66"/>
  <c r="N70" i="66"/>
  <c r="N64" i="66"/>
  <c r="N59" i="66"/>
  <c r="N54" i="66"/>
  <c r="N48" i="66"/>
  <c r="N43" i="66"/>
  <c r="N38" i="66"/>
  <c r="N32" i="66"/>
  <c r="N27" i="66"/>
  <c r="N22" i="66"/>
  <c r="N16" i="66"/>
  <c r="N11" i="66"/>
  <c r="N6" i="66"/>
  <c r="D622" i="66"/>
  <c r="D619" i="66"/>
  <c r="D617" i="66"/>
  <c r="D615" i="66"/>
  <c r="D610" i="66"/>
  <c r="D608" i="66"/>
  <c r="D605" i="66"/>
  <c r="D603" i="66"/>
  <c r="D601" i="66"/>
  <c r="D585" i="66"/>
  <c r="D577" i="66"/>
  <c r="D569" i="66"/>
  <c r="D567" i="66"/>
  <c r="D565" i="66"/>
  <c r="D555" i="66"/>
  <c r="D549" i="66"/>
  <c r="D546" i="66"/>
  <c r="D523" i="66"/>
  <c r="D521" i="66"/>
  <c r="D519" i="66"/>
  <c r="D517" i="66"/>
  <c r="D515" i="66"/>
  <c r="D512" i="66"/>
  <c r="D509" i="66"/>
  <c r="D507" i="66"/>
  <c r="D504" i="66"/>
  <c r="S4" i="22"/>
  <c r="BG2" i="1"/>
  <c r="BG2" i="2"/>
  <c r="S2" i="3"/>
  <c r="S2" i="4"/>
  <c r="S2" i="5"/>
  <c r="S2" i="6"/>
  <c r="BG4" i="7"/>
  <c r="BG4" i="8"/>
  <c r="BG4" i="9"/>
  <c r="BG4" i="10"/>
  <c r="S4" i="11"/>
  <c r="S4" i="12"/>
  <c r="S4" i="13"/>
  <c r="S4" i="14"/>
  <c r="BG2" i="15"/>
  <c r="BG2" i="16"/>
  <c r="BG2" i="17"/>
  <c r="BG2" i="18"/>
  <c r="S2" i="19"/>
  <c r="S2" i="20"/>
  <c r="S2" i="21"/>
  <c r="S2" i="22"/>
  <c r="BG4" i="23"/>
  <c r="BG4" i="24"/>
  <c r="BG4" i="25"/>
  <c r="S4" i="1"/>
  <c r="S4" i="2"/>
  <c r="BG2" i="3"/>
  <c r="BG2" i="4"/>
  <c r="BG2" i="5"/>
  <c r="BG2" i="6"/>
  <c r="S2" i="7"/>
  <c r="S2" i="8"/>
  <c r="S2" i="9"/>
  <c r="S2" i="10"/>
  <c r="BG4" i="11"/>
  <c r="BG4" i="12"/>
  <c r="BG4" i="13"/>
  <c r="BG4" i="14"/>
  <c r="S4" i="15"/>
  <c r="S4" i="16"/>
  <c r="S4" i="17"/>
  <c r="S4" i="18"/>
  <c r="BG2" i="19"/>
  <c r="BG2" i="20"/>
  <c r="BG2" i="21"/>
  <c r="BG2" i="22"/>
  <c r="S2" i="23"/>
  <c r="S2" i="24"/>
  <c r="S2" i="25"/>
  <c r="BY97" i="61"/>
  <c r="EE97" i="61" s="1"/>
  <c r="FX125" i="61" s="1"/>
  <c r="CC97" i="61"/>
  <c r="EI97" i="61" s="1"/>
  <c r="GB125" i="61" s="1"/>
  <c r="BG4" i="1"/>
  <c r="BG4" i="2"/>
  <c r="S4" i="3"/>
  <c r="S4" i="4"/>
  <c r="S4" i="5"/>
  <c r="S4" i="6"/>
  <c r="BG2" i="7"/>
  <c r="BG2" i="8"/>
  <c r="BG2" i="9"/>
  <c r="BG2" i="10"/>
  <c r="S2" i="11"/>
  <c r="S2" i="12"/>
  <c r="S2" i="13"/>
  <c r="S2" i="14"/>
  <c r="BG4" i="15"/>
  <c r="BG4" i="16"/>
  <c r="BG4" i="17"/>
  <c r="BG4" i="18"/>
  <c r="S4" i="19"/>
  <c r="S4" i="20"/>
  <c r="S4" i="21"/>
  <c r="BG2" i="23"/>
  <c r="BG2" i="24"/>
  <c r="BZ97" i="61"/>
  <c r="EF97" i="61" s="1"/>
  <c r="FY125" i="61" s="1"/>
  <c r="BG6" i="2"/>
  <c r="BG6" i="10"/>
  <c r="BG6" i="18"/>
  <c r="S6" i="6"/>
  <c r="S6" i="14"/>
  <c r="S6" i="22"/>
  <c r="S6" i="4"/>
  <c r="S6" i="8"/>
  <c r="S6" i="12"/>
  <c r="S6" i="16"/>
  <c r="S6" i="20"/>
  <c r="S6" i="24"/>
  <c r="BG6" i="4"/>
  <c r="BG6" i="8"/>
  <c r="BG6" i="12"/>
  <c r="BG6" i="16"/>
  <c r="BG6" i="20"/>
  <c r="BG6" i="24"/>
  <c r="B34" i="61"/>
  <c r="A11" i="64"/>
  <c r="S6" i="7"/>
  <c r="S6" i="9"/>
  <c r="S6" i="11"/>
  <c r="S6" i="13"/>
  <c r="S6" i="15"/>
  <c r="S6" i="17"/>
  <c r="S6" i="19"/>
  <c r="S6" i="21"/>
  <c r="S6" i="23"/>
  <c r="S6" i="25"/>
  <c r="S6" i="1"/>
  <c r="S6" i="3"/>
  <c r="S6" i="5"/>
  <c r="BG6" i="1"/>
  <c r="BG6" i="3"/>
  <c r="BG6" i="5"/>
  <c r="BG6" i="7"/>
  <c r="BG6" i="9"/>
  <c r="BG6" i="11"/>
  <c r="BG6" i="13"/>
  <c r="BG6" i="15"/>
  <c r="BG6" i="17"/>
  <c r="BG6" i="19"/>
  <c r="BG6" i="21"/>
  <c r="BG6" i="23"/>
  <c r="BG6" i="25"/>
  <c r="CD72" i="61"/>
  <c r="CE69" i="61"/>
  <c r="R1" i="55"/>
  <c r="CI4" i="61"/>
  <c r="BG3" i="53"/>
  <c r="BG7" i="53"/>
  <c r="S3" i="53"/>
  <c r="S7" i="53"/>
  <c r="BG5" i="53"/>
  <c r="B32" i="61"/>
  <c r="B36" i="61"/>
  <c r="S5" i="53"/>
  <c r="B35" i="61"/>
  <c r="Z2" i="61"/>
  <c r="I5" i="61"/>
  <c r="S7" i="61"/>
  <c r="B10" i="61"/>
  <c r="E1" i="61"/>
  <c r="AH1" i="61" s="1"/>
  <c r="AH2" i="61" s="1"/>
  <c r="O3" i="61"/>
  <c r="Y5" i="61"/>
  <c r="H8" i="61"/>
  <c r="R10" i="61"/>
  <c r="U1" i="61"/>
  <c r="AX1" i="61" s="1"/>
  <c r="AX2" i="61" s="1"/>
  <c r="D4" i="61"/>
  <c r="N6" i="61"/>
  <c r="X8" i="61"/>
  <c r="J2" i="61"/>
  <c r="T4" i="61"/>
  <c r="C7" i="61"/>
  <c r="M9" i="61"/>
  <c r="G11" i="61"/>
  <c r="W11" i="61"/>
  <c r="L12" i="61"/>
  <c r="A13" i="61"/>
  <c r="AD14" i="61" s="1"/>
  <c r="Q13" i="61"/>
  <c r="F14" i="61"/>
  <c r="V14" i="61"/>
  <c r="K15" i="61"/>
  <c r="AA15" i="61"/>
  <c r="P16" i="61"/>
  <c r="E17" i="61"/>
  <c r="U17" i="61"/>
  <c r="J18" i="61"/>
  <c r="Z18" i="61"/>
  <c r="O19" i="61"/>
  <c r="D20" i="61"/>
  <c r="T20" i="61"/>
  <c r="I21" i="61"/>
  <c r="Y21" i="61"/>
  <c r="N22" i="61"/>
  <c r="C23" i="61"/>
  <c r="S23" i="61"/>
  <c r="H24" i="61"/>
  <c r="X24" i="61"/>
  <c r="M25" i="61"/>
  <c r="B26" i="61"/>
  <c r="R26" i="61"/>
  <c r="G27" i="61"/>
  <c r="W27" i="61"/>
  <c r="I1" i="61"/>
  <c r="AL1" i="61" s="1"/>
  <c r="AL2" i="61" s="1"/>
  <c r="Y1" i="61"/>
  <c r="N2" i="61"/>
  <c r="C3" i="61"/>
  <c r="S3" i="61"/>
  <c r="H4" i="61"/>
  <c r="X4" i="61"/>
  <c r="M5" i="61"/>
  <c r="B6" i="61"/>
  <c r="R6" i="61"/>
  <c r="G7" i="61"/>
  <c r="W7" i="61"/>
  <c r="L8" i="61"/>
  <c r="A9" i="61"/>
  <c r="AD10" i="61" s="1"/>
  <c r="Q9" i="61"/>
  <c r="F10" i="61"/>
  <c r="V10" i="61"/>
  <c r="K11" i="61"/>
  <c r="AA11" i="61"/>
  <c r="P12" i="61"/>
  <c r="E13" i="61"/>
  <c r="U13" i="61"/>
  <c r="J14" i="61"/>
  <c r="Z14" i="61"/>
  <c r="O15" i="61"/>
  <c r="D16" i="61"/>
  <c r="T16" i="61"/>
  <c r="I17" i="61"/>
  <c r="Y17" i="61"/>
  <c r="N18" i="61"/>
  <c r="C19" i="61"/>
  <c r="S19" i="61"/>
  <c r="H20" i="61"/>
  <c r="X20" i="61"/>
  <c r="M21" i="61"/>
  <c r="B22" i="61"/>
  <c r="R22" i="61"/>
  <c r="G23" i="61"/>
  <c r="W23" i="61"/>
  <c r="L24" i="61"/>
  <c r="A25" i="61"/>
  <c r="AD26" i="61" s="1"/>
  <c r="Q25" i="61"/>
  <c r="F26" i="61"/>
  <c r="V26" i="61"/>
  <c r="K27" i="61"/>
  <c r="AA27" i="61"/>
  <c r="M1" i="61"/>
  <c r="AP1" i="61" s="1"/>
  <c r="AP2" i="61" s="1"/>
  <c r="B2" i="61"/>
  <c r="R2" i="61"/>
  <c r="G3" i="61"/>
  <c r="W3" i="61"/>
  <c r="L4" i="61"/>
  <c r="A5" i="61"/>
  <c r="AD6" i="61" s="1"/>
  <c r="Q5" i="61"/>
  <c r="F6" i="61"/>
  <c r="V6" i="61"/>
  <c r="K7" i="61"/>
  <c r="AA7" i="61"/>
  <c r="P8" i="61"/>
  <c r="E9" i="61"/>
  <c r="U9" i="61"/>
  <c r="J10" i="61"/>
  <c r="Z10" i="61"/>
  <c r="O11" i="61"/>
  <c r="D12" i="61"/>
  <c r="T12" i="61"/>
  <c r="I13" i="61"/>
  <c r="Y13" i="61"/>
  <c r="N14" i="61"/>
  <c r="C15" i="61"/>
  <c r="S15" i="61"/>
  <c r="H16" i="61"/>
  <c r="X16" i="61"/>
  <c r="M17" i="61"/>
  <c r="B18" i="61"/>
  <c r="R18" i="61"/>
  <c r="G19" i="61"/>
  <c r="W19" i="61"/>
  <c r="L20" i="61"/>
  <c r="A21" i="61"/>
  <c r="AD22" i="61" s="1"/>
  <c r="Q21" i="61"/>
  <c r="F22" i="61"/>
  <c r="V22" i="61"/>
  <c r="K23" i="61"/>
  <c r="AA23" i="61"/>
  <c r="P24" i="61"/>
  <c r="E25" i="61"/>
  <c r="U25" i="61"/>
  <c r="J26" i="61"/>
  <c r="Z26" i="61"/>
  <c r="O27" i="61"/>
  <c r="A1" i="61"/>
  <c r="Q1" i="61"/>
  <c r="AT1" i="61" s="1"/>
  <c r="AT2" i="61" s="1"/>
  <c r="F2" i="61"/>
  <c r="V2" i="61"/>
  <c r="K3" i="61"/>
  <c r="AA3" i="61"/>
  <c r="P4" i="61"/>
  <c r="E5" i="61"/>
  <c r="U5" i="61"/>
  <c r="J6" i="61"/>
  <c r="Z6" i="61"/>
  <c r="O7" i="61"/>
  <c r="D8" i="61"/>
  <c r="T8" i="61"/>
  <c r="I9" i="61"/>
  <c r="Y9" i="61"/>
  <c r="N10" i="61"/>
  <c r="C11" i="61"/>
  <c r="S11" i="61"/>
  <c r="H12" i="61"/>
  <c r="X12" i="61"/>
  <c r="M13" i="61"/>
  <c r="B14" i="61"/>
  <c r="R14" i="61"/>
  <c r="G15" i="61"/>
  <c r="W15" i="61"/>
  <c r="L16" i="61"/>
  <c r="A17" i="61"/>
  <c r="AD18" i="61" s="1"/>
  <c r="Q17" i="61"/>
  <c r="F18" i="61"/>
  <c r="V18" i="61"/>
  <c r="K19" i="61"/>
  <c r="AA19" i="61"/>
  <c r="P20" i="61"/>
  <c r="E21" i="61"/>
  <c r="U21" i="61"/>
  <c r="J22" i="61"/>
  <c r="Z22" i="61"/>
  <c r="O23" i="61"/>
  <c r="D24" i="61"/>
  <c r="T24" i="61"/>
  <c r="I25" i="61"/>
  <c r="Y25" i="61"/>
  <c r="N26" i="61"/>
  <c r="C27" i="61"/>
  <c r="S27" i="61"/>
  <c r="R17" i="60"/>
  <c r="B28" i="49"/>
  <c r="B28" i="48"/>
  <c r="B28" i="46"/>
  <c r="B28" i="39"/>
  <c r="B28" i="38"/>
  <c r="B28" i="34"/>
  <c r="B28" i="47"/>
  <c r="B28" i="45"/>
  <c r="B28" i="40"/>
  <c r="B28" i="30"/>
  <c r="B28" i="27"/>
  <c r="B28" i="59"/>
  <c r="Z2" i="56"/>
  <c r="AE186" i="61" s="1"/>
  <c r="AC210" i="61" s="1"/>
  <c r="B28" i="44"/>
  <c r="B28" i="37"/>
  <c r="B28" i="36"/>
  <c r="B28" i="32"/>
  <c r="B28" i="29"/>
  <c r="B28" i="28"/>
  <c r="B28" i="50"/>
  <c r="B28" i="43"/>
  <c r="B28" i="42"/>
  <c r="B28" i="41"/>
  <c r="B28" i="35"/>
  <c r="B28" i="33"/>
  <c r="B28" i="31"/>
  <c r="B28" i="26"/>
  <c r="B1" i="1"/>
  <c r="I57" i="1" s="1"/>
  <c r="R18" i="60"/>
  <c r="B25" i="48"/>
  <c r="B25" i="45"/>
  <c r="B25" i="43"/>
  <c r="B25" i="35"/>
  <c r="B25" i="31"/>
  <c r="B25" i="50"/>
  <c r="B25" i="42"/>
  <c r="B25" i="40"/>
  <c r="B25" i="39"/>
  <c r="B25" i="37"/>
  <c r="B25" i="29"/>
  <c r="B25" i="26"/>
  <c r="B25" i="47"/>
  <c r="B25" i="46"/>
  <c r="B25" i="44"/>
  <c r="B25" i="41"/>
  <c r="B25" i="38"/>
  <c r="B25" i="36"/>
  <c r="B25" i="34"/>
  <c r="B25" i="33"/>
  <c r="B25" i="32"/>
  <c r="B25" i="28"/>
  <c r="B25" i="27"/>
  <c r="B25" i="59"/>
  <c r="W2" i="56"/>
  <c r="AB186" i="61" s="1"/>
  <c r="Z210" i="61" s="1"/>
  <c r="B25" i="49"/>
  <c r="B25" i="30"/>
  <c r="B1" i="4"/>
  <c r="I38" i="4" s="1"/>
  <c r="V2" i="56"/>
  <c r="AA186" i="61" s="1"/>
  <c r="Y210" i="61" s="1"/>
  <c r="B24" i="47"/>
  <c r="B24" i="46"/>
  <c r="B24" i="44"/>
  <c r="B24" i="41"/>
  <c r="B24" i="38"/>
  <c r="B24" i="36"/>
  <c r="B24" i="34"/>
  <c r="B24" i="33"/>
  <c r="B24" i="32"/>
  <c r="B24" i="28"/>
  <c r="B24" i="27"/>
  <c r="B1" i="5"/>
  <c r="BG15" i="5" s="1"/>
  <c r="B24" i="59"/>
  <c r="B24" i="49"/>
  <c r="B24" i="30"/>
  <c r="B24" i="48"/>
  <c r="B24" i="45"/>
  <c r="B24" i="43"/>
  <c r="B24" i="35"/>
  <c r="B24" i="31"/>
  <c r="B24" i="50"/>
  <c r="B24" i="42"/>
  <c r="B24" i="40"/>
  <c r="B24" i="39"/>
  <c r="B24" i="37"/>
  <c r="B24" i="29"/>
  <c r="B24" i="26"/>
  <c r="CK4" i="61"/>
  <c r="CG4" i="61" s="1"/>
  <c r="A39" i="26"/>
  <c r="AC48" i="26"/>
  <c r="AC44" i="26"/>
  <c r="O51" i="26"/>
  <c r="A51" i="26"/>
  <c r="AC44" i="27"/>
  <c r="AC48" i="27"/>
  <c r="A56" i="27"/>
  <c r="A52" i="27"/>
  <c r="AC44" i="28"/>
  <c r="AC48" i="28"/>
  <c r="O44" i="29"/>
  <c r="O43" i="31"/>
  <c r="AC44" i="32"/>
  <c r="AC48" i="32"/>
  <c r="A52" i="32"/>
  <c r="A56" i="32"/>
  <c r="A43" i="26"/>
  <c r="A47" i="26"/>
  <c r="A44" i="28"/>
  <c r="A56" i="29"/>
  <c r="A52" i="29"/>
  <c r="A44" i="31"/>
  <c r="A49" i="32"/>
  <c r="O38" i="26"/>
  <c r="O43" i="27"/>
  <c r="A56" i="28"/>
  <c r="A52" i="28"/>
  <c r="O39" i="29"/>
  <c r="O51" i="29"/>
  <c r="O47" i="29"/>
  <c r="AC48" i="30"/>
  <c r="AC44" i="30"/>
  <c r="AC44" i="31"/>
  <c r="AC48" i="31"/>
  <c r="A56" i="31"/>
  <c r="A52" i="31"/>
  <c r="A44" i="32"/>
  <c r="O43" i="26"/>
  <c r="O47" i="26"/>
  <c r="A44" i="27"/>
  <c r="A44" i="29"/>
  <c r="O47" i="30"/>
  <c r="O51" i="30"/>
  <c r="AC39" i="26"/>
  <c r="O42" i="28"/>
  <c r="A47" i="28"/>
  <c r="AC39" i="30"/>
  <c r="O43" i="32"/>
  <c r="AC44" i="33"/>
  <c r="AC48" i="33"/>
  <c r="A56" i="33"/>
  <c r="A52" i="33"/>
  <c r="AC44" i="34"/>
  <c r="AC48" i="34"/>
  <c r="A44" i="35"/>
  <c r="O47" i="36"/>
  <c r="O51" i="36"/>
  <c r="O39" i="27"/>
  <c r="O46" i="27"/>
  <c r="A47" i="29"/>
  <c r="O38" i="30"/>
  <c r="O43" i="30"/>
  <c r="O39" i="31"/>
  <c r="O46" i="31"/>
  <c r="O71" i="32"/>
  <c r="O47" i="32"/>
  <c r="O52" i="32"/>
  <c r="O57" i="32"/>
  <c r="A44" i="34"/>
  <c r="O44" i="35"/>
  <c r="O40" i="28"/>
  <c r="O46" i="28"/>
  <c r="AC43" i="29"/>
  <c r="A43" i="30"/>
  <c r="A47" i="30"/>
  <c r="A51" i="30"/>
  <c r="O62" i="32"/>
  <c r="O43" i="33"/>
  <c r="A56" i="34"/>
  <c r="A52" i="34"/>
  <c r="A56" i="35"/>
  <c r="A52" i="35"/>
  <c r="A47" i="27"/>
  <c r="A47" i="31"/>
  <c r="AC39" i="32"/>
  <c r="O67" i="32"/>
  <c r="A44" i="33"/>
  <c r="O39" i="35"/>
  <c r="O51" i="35"/>
  <c r="O47" i="35"/>
  <c r="AC48" i="36"/>
  <c r="AC44" i="36"/>
  <c r="O42" i="34"/>
  <c r="A47" i="34"/>
  <c r="AC39" i="36"/>
  <c r="AC44" i="37"/>
  <c r="AC48" i="37"/>
  <c r="AC48" i="39"/>
  <c r="AC44" i="39"/>
  <c r="O39" i="33"/>
  <c r="O46" i="33"/>
  <c r="A47" i="35"/>
  <c r="O38" i="36"/>
  <c r="O43" i="36"/>
  <c r="O45" i="38"/>
  <c r="O40" i="34"/>
  <c r="O46" i="34"/>
  <c r="AC43" i="35"/>
  <c r="A43" i="36"/>
  <c r="A47" i="36"/>
  <c r="A51" i="36"/>
  <c r="O39" i="37"/>
  <c r="O51" i="38"/>
  <c r="O47" i="38"/>
  <c r="A56" i="38"/>
  <c r="A52" i="38"/>
  <c r="A47" i="33"/>
  <c r="O40" i="38"/>
  <c r="A44" i="38"/>
  <c r="O42" i="37"/>
  <c r="A43" i="37"/>
  <c r="A47" i="37"/>
  <c r="A51" i="37"/>
  <c r="O46" i="39"/>
  <c r="O42" i="40"/>
  <c r="A44" i="42"/>
  <c r="A47" i="38"/>
  <c r="O38" i="39"/>
  <c r="O43" i="39"/>
  <c r="A44" i="40"/>
  <c r="A56" i="40"/>
  <c r="A52" i="40"/>
  <c r="AC49" i="40"/>
  <c r="O39" i="41"/>
  <c r="O51" i="41"/>
  <c r="O47" i="41"/>
  <c r="AC48" i="42"/>
  <c r="AC44" i="42"/>
  <c r="O46" i="37"/>
  <c r="AC43" i="38"/>
  <c r="A43" i="39"/>
  <c r="A47" i="39"/>
  <c r="A51" i="39"/>
  <c r="O46" i="40"/>
  <c r="A44" i="41"/>
  <c r="AC54" i="40"/>
  <c r="AC58" i="40"/>
  <c r="A56" i="41"/>
  <c r="A52" i="41"/>
  <c r="O47" i="42"/>
  <c r="O51" i="42"/>
  <c r="A56" i="42"/>
  <c r="A52" i="42"/>
  <c r="A47" i="40"/>
  <c r="O39" i="42"/>
  <c r="AC39" i="42"/>
  <c r="O44" i="42"/>
  <c r="A51" i="43"/>
  <c r="A56" i="44"/>
  <c r="A52" i="44"/>
  <c r="A48" i="46"/>
  <c r="O42" i="41"/>
  <c r="A47" i="41"/>
  <c r="O46" i="43"/>
  <c r="AC89" i="43"/>
  <c r="AC94" i="43"/>
  <c r="AC99" i="43"/>
  <c r="AC104" i="43"/>
  <c r="AC109" i="43"/>
  <c r="AC114" i="43"/>
  <c r="AC119" i="43"/>
  <c r="AC44" i="45"/>
  <c r="AC48" i="45"/>
  <c r="O44" i="45"/>
  <c r="AC43" i="41"/>
  <c r="A47" i="42"/>
  <c r="AC128" i="43"/>
  <c r="AC124" i="43"/>
  <c r="O42" i="43"/>
  <c r="A43" i="43"/>
  <c r="A48" i="43"/>
  <c r="O43" i="44"/>
  <c r="O38" i="43"/>
  <c r="A39" i="43"/>
  <c r="AC54" i="43"/>
  <c r="AC59" i="43"/>
  <c r="AC64" i="43"/>
  <c r="AC69" i="43"/>
  <c r="AC74" i="43"/>
  <c r="AC79" i="43"/>
  <c r="AC84" i="43"/>
  <c r="A44" i="44"/>
  <c r="O39" i="45"/>
  <c r="AC43" i="44"/>
  <c r="A43" i="45"/>
  <c r="A47" i="45"/>
  <c r="A51" i="45"/>
  <c r="O46" i="46"/>
  <c r="O51" i="47"/>
  <c r="O47" i="47"/>
  <c r="O39" i="44"/>
  <c r="O46" i="44"/>
  <c r="AC64" i="46"/>
  <c r="AC68" i="46"/>
  <c r="O42" i="46"/>
  <c r="A43" i="46"/>
  <c r="O39" i="47"/>
  <c r="O46" i="45"/>
  <c r="O38" i="46"/>
  <c r="A39" i="46"/>
  <c r="A44" i="47"/>
  <c r="A56" i="47"/>
  <c r="A52" i="47"/>
  <c r="A47" i="44"/>
  <c r="A51" i="46"/>
  <c r="O42" i="47"/>
  <c r="A47" i="47"/>
  <c r="O39" i="49"/>
  <c r="O43" i="49"/>
  <c r="AC43" i="47"/>
  <c r="AC48" i="48"/>
  <c r="AC44" i="48"/>
  <c r="A44" i="49"/>
  <c r="O47" i="48"/>
  <c r="O51" i="48"/>
  <c r="AC44" i="49"/>
  <c r="AC48" i="49"/>
  <c r="A56" i="49"/>
  <c r="A52" i="49"/>
  <c r="AC39" i="48"/>
  <c r="O38" i="48"/>
  <c r="O43" i="48"/>
  <c r="O46" i="49"/>
  <c r="AC44" i="50"/>
  <c r="AC48" i="50"/>
  <c r="A43" i="48"/>
  <c r="A47" i="48"/>
  <c r="A51" i="48"/>
  <c r="A44" i="50"/>
  <c r="A47" i="49"/>
  <c r="A56" i="50"/>
  <c r="A52" i="50"/>
  <c r="O42" i="50"/>
  <c r="A47" i="50"/>
  <c r="O40" i="50"/>
  <c r="O46" i="50"/>
  <c r="O42" i="59"/>
  <c r="AC52" i="59"/>
  <c r="AC47" i="59"/>
  <c r="O56" i="59"/>
  <c r="O51" i="59"/>
  <c r="A48" i="59"/>
  <c r="O47" i="59"/>
  <c r="AC41" i="59"/>
  <c r="A56" i="59"/>
  <c r="R24" i="60"/>
  <c r="R20" i="60"/>
  <c r="R16" i="60"/>
  <c r="R23" i="60"/>
  <c r="R19" i="60"/>
  <c r="R15" i="60"/>
  <c r="R22" i="60"/>
  <c r="F32" i="61"/>
  <c r="G32" i="61"/>
  <c r="BC105" i="61"/>
  <c r="DH105" i="61" s="1"/>
  <c r="A77" i="61"/>
  <c r="A51" i="59"/>
  <c r="BC117" i="61"/>
  <c r="DH117" i="61" s="1"/>
  <c r="A89" i="61"/>
  <c r="DB81" i="61"/>
  <c r="CN85" i="61"/>
  <c r="CN81" i="61"/>
  <c r="AD1" i="61"/>
  <c r="BA2" i="61"/>
  <c r="W69" i="61"/>
  <c r="DG4" i="61" s="1"/>
  <c r="BY69" i="61"/>
  <c r="H235" i="61"/>
  <c r="L235" i="61" s="1"/>
  <c r="O235" i="61" s="1"/>
  <c r="P235" i="61" s="1"/>
  <c r="O185" i="61"/>
  <c r="CD59" i="61"/>
  <c r="CD47" i="61"/>
  <c r="CD46" i="61"/>
  <c r="CD42" i="61"/>
  <c r="CD40" i="61"/>
  <c r="CD57" i="61"/>
  <c r="CD55" i="61"/>
  <c r="CD54" i="61"/>
  <c r="CD53" i="61"/>
  <c r="CD52" i="61"/>
  <c r="CD51" i="61"/>
  <c r="CD50" i="61"/>
  <c r="CD45" i="61"/>
  <c r="CD41" i="61"/>
  <c r="CH38" i="61"/>
  <c r="CI38" i="61" s="1"/>
  <c r="CH32" i="61"/>
  <c r="CI32" i="61" s="1"/>
  <c r="CD49" i="61"/>
  <c r="CD44" i="61"/>
  <c r="CX61" i="61"/>
  <c r="CZ61" i="61" s="1"/>
  <c r="CD58" i="61"/>
  <c r="CD56" i="61"/>
  <c r="CD48" i="61"/>
  <c r="CD43" i="61"/>
  <c r="CD39" i="61"/>
  <c r="B1" i="61"/>
  <c r="AE1" i="61" s="1"/>
  <c r="F1" i="61"/>
  <c r="AI1" i="61" s="1"/>
  <c r="J1" i="61"/>
  <c r="AM1" i="61" s="1"/>
  <c r="N1" i="61"/>
  <c r="R1" i="61"/>
  <c r="V1" i="61"/>
  <c r="CN82" i="61" s="1"/>
  <c r="Z1" i="61"/>
  <c r="CN86" i="61" s="1"/>
  <c r="C2" i="61"/>
  <c r="G2" i="61"/>
  <c r="K2" i="61"/>
  <c r="O2" i="61"/>
  <c r="S2" i="61"/>
  <c r="W2" i="61"/>
  <c r="AA2" i="61"/>
  <c r="D3" i="61"/>
  <c r="H3" i="61"/>
  <c r="L3" i="61"/>
  <c r="P3" i="61"/>
  <c r="T3" i="61"/>
  <c r="X3" i="61"/>
  <c r="A4" i="61"/>
  <c r="AD5" i="61" s="1"/>
  <c r="E4" i="61"/>
  <c r="I4" i="61"/>
  <c r="M4" i="61"/>
  <c r="Q4" i="61"/>
  <c r="U4" i="61"/>
  <c r="Y4" i="61"/>
  <c r="B5" i="61"/>
  <c r="F5" i="61"/>
  <c r="J5" i="61"/>
  <c r="N5" i="61"/>
  <c r="R5" i="61"/>
  <c r="V5" i="61"/>
  <c r="Z5" i="61"/>
  <c r="C6" i="61"/>
  <c r="G6" i="61"/>
  <c r="K6" i="61"/>
  <c r="O6" i="61"/>
  <c r="S6" i="61"/>
  <c r="W6" i="61"/>
  <c r="AA6" i="61"/>
  <c r="D7" i="61"/>
  <c r="H7" i="61"/>
  <c r="L7" i="61"/>
  <c r="P7" i="61"/>
  <c r="T7" i="61"/>
  <c r="X7" i="61"/>
  <c r="A8" i="61"/>
  <c r="AD9" i="61" s="1"/>
  <c r="E8" i="61"/>
  <c r="I8" i="61"/>
  <c r="M8" i="61"/>
  <c r="Q8" i="61"/>
  <c r="U8" i="61"/>
  <c r="Y8" i="61"/>
  <c r="B9" i="61"/>
  <c r="F9" i="61"/>
  <c r="J9" i="61"/>
  <c r="N9" i="61"/>
  <c r="R9" i="61"/>
  <c r="V9" i="61"/>
  <c r="Z9" i="61"/>
  <c r="C10" i="61"/>
  <c r="G10" i="61"/>
  <c r="K10" i="61"/>
  <c r="O10" i="61"/>
  <c r="S10" i="61"/>
  <c r="W10" i="61"/>
  <c r="AA10" i="61"/>
  <c r="D11" i="61"/>
  <c r="H11" i="61"/>
  <c r="L11" i="61"/>
  <c r="P11" i="61"/>
  <c r="T11" i="61"/>
  <c r="X11" i="61"/>
  <c r="A12" i="61"/>
  <c r="AD13" i="61" s="1"/>
  <c r="E12" i="61"/>
  <c r="I12" i="61"/>
  <c r="M12" i="61"/>
  <c r="Q12" i="61"/>
  <c r="U12" i="61"/>
  <c r="Y12" i="61"/>
  <c r="B13" i="61"/>
  <c r="F13" i="61"/>
  <c r="J13" i="61"/>
  <c r="N13" i="61"/>
  <c r="R13" i="61"/>
  <c r="V13" i="61"/>
  <c r="Z13" i="61"/>
  <c r="C14" i="61"/>
  <c r="G14" i="61"/>
  <c r="K14" i="61"/>
  <c r="O14" i="61"/>
  <c r="S14" i="61"/>
  <c r="W14" i="61"/>
  <c r="AA14" i="61"/>
  <c r="D15" i="61"/>
  <c r="H15" i="61"/>
  <c r="L15" i="61"/>
  <c r="P15" i="61"/>
  <c r="T15" i="61"/>
  <c r="X15" i="61"/>
  <c r="A16" i="61"/>
  <c r="AD17" i="61" s="1"/>
  <c r="E16" i="61"/>
  <c r="I16" i="61"/>
  <c r="M16" i="61"/>
  <c r="Q16" i="61"/>
  <c r="U16" i="61"/>
  <c r="Y16" i="61"/>
  <c r="B17" i="61"/>
  <c r="F17" i="61"/>
  <c r="J17" i="61"/>
  <c r="N17" i="61"/>
  <c r="R17" i="61"/>
  <c r="V17" i="61"/>
  <c r="Z17" i="61"/>
  <c r="C18" i="61"/>
  <c r="G18" i="61"/>
  <c r="K18" i="61"/>
  <c r="O18" i="61"/>
  <c r="S18" i="61"/>
  <c r="W18" i="61"/>
  <c r="AA18" i="61"/>
  <c r="D19" i="61"/>
  <c r="H19" i="61"/>
  <c r="L19" i="61"/>
  <c r="P19" i="61"/>
  <c r="T19" i="61"/>
  <c r="X19" i="61"/>
  <c r="A20" i="61"/>
  <c r="AD21" i="61" s="1"/>
  <c r="E20" i="61"/>
  <c r="I20" i="61"/>
  <c r="M20" i="61"/>
  <c r="Q20" i="61"/>
  <c r="U20" i="61"/>
  <c r="Y20" i="61"/>
  <c r="B21" i="61"/>
  <c r="F21" i="61"/>
  <c r="J21" i="61"/>
  <c r="N21" i="61"/>
  <c r="R21" i="61"/>
  <c r="V21" i="61"/>
  <c r="Z21" i="61"/>
  <c r="C22" i="61"/>
  <c r="G22" i="61"/>
  <c r="K22" i="61"/>
  <c r="O22" i="61"/>
  <c r="S22" i="61"/>
  <c r="W22" i="61"/>
  <c r="AA22" i="61"/>
  <c r="D23" i="61"/>
  <c r="H23" i="61"/>
  <c r="L23" i="61"/>
  <c r="P23" i="61"/>
  <c r="T23" i="61"/>
  <c r="X23" i="61"/>
  <c r="A24" i="61"/>
  <c r="AD25" i="61" s="1"/>
  <c r="E24" i="61"/>
  <c r="I24" i="61"/>
  <c r="M24" i="61"/>
  <c r="Q24" i="61"/>
  <c r="U24" i="61"/>
  <c r="Y24" i="61"/>
  <c r="B25" i="61"/>
  <c r="F25" i="61"/>
  <c r="J25" i="61"/>
  <c r="N25" i="61"/>
  <c r="R25" i="61"/>
  <c r="V25" i="61"/>
  <c r="Z25" i="61"/>
  <c r="C26" i="61"/>
  <c r="G26" i="61"/>
  <c r="K26" i="61"/>
  <c r="O26" i="61"/>
  <c r="S26" i="61"/>
  <c r="W26" i="61"/>
  <c r="AA26" i="61"/>
  <c r="D27" i="61"/>
  <c r="H27" i="61"/>
  <c r="L27" i="61"/>
  <c r="P27" i="61"/>
  <c r="T27" i="61"/>
  <c r="X27" i="61"/>
  <c r="M154" i="61"/>
  <c r="C1" i="61"/>
  <c r="AF1" i="61" s="1"/>
  <c r="G1" i="61"/>
  <c r="AJ1" i="61" s="1"/>
  <c r="K1" i="61"/>
  <c r="AN1" i="61" s="1"/>
  <c r="O1" i="61"/>
  <c r="S1" i="61"/>
  <c r="W1" i="61"/>
  <c r="CN83" i="61" s="1"/>
  <c r="AA1" i="61"/>
  <c r="D2" i="61"/>
  <c r="H2" i="61"/>
  <c r="L2" i="61"/>
  <c r="P2" i="61"/>
  <c r="T2" i="61"/>
  <c r="X2" i="61"/>
  <c r="A3" i="61"/>
  <c r="AD4" i="61" s="1"/>
  <c r="E3" i="61"/>
  <c r="I3" i="61"/>
  <c r="M3" i="61"/>
  <c r="Q3" i="61"/>
  <c r="U3" i="61"/>
  <c r="Y3" i="61"/>
  <c r="B4" i="61"/>
  <c r="F4" i="61"/>
  <c r="J4" i="61"/>
  <c r="N4" i="61"/>
  <c r="R4" i="61"/>
  <c r="V4" i="61"/>
  <c r="Z4" i="61"/>
  <c r="C5" i="61"/>
  <c r="G5" i="61"/>
  <c r="K5" i="61"/>
  <c r="O5" i="61"/>
  <c r="S5" i="61"/>
  <c r="W5" i="61"/>
  <c r="AA5" i="61"/>
  <c r="D6" i="61"/>
  <c r="H6" i="61"/>
  <c r="L6" i="61"/>
  <c r="P6" i="61"/>
  <c r="T6" i="61"/>
  <c r="X6" i="61"/>
  <c r="A7" i="61"/>
  <c r="AD8" i="61" s="1"/>
  <c r="E7" i="61"/>
  <c r="I7" i="61"/>
  <c r="M7" i="61"/>
  <c r="Q7" i="61"/>
  <c r="U7" i="61"/>
  <c r="Y7" i="61"/>
  <c r="B8" i="61"/>
  <c r="F8" i="61"/>
  <c r="J8" i="61"/>
  <c r="N8" i="61"/>
  <c r="R8" i="61"/>
  <c r="V8" i="61"/>
  <c r="Z8" i="61"/>
  <c r="C9" i="61"/>
  <c r="G9" i="61"/>
  <c r="K9" i="61"/>
  <c r="O9" i="61"/>
  <c r="S9" i="61"/>
  <c r="W9" i="61"/>
  <c r="AA9" i="61"/>
  <c r="D10" i="61"/>
  <c r="H10" i="61"/>
  <c r="L10" i="61"/>
  <c r="P10" i="61"/>
  <c r="T10" i="61"/>
  <c r="X10" i="61"/>
  <c r="A11" i="61"/>
  <c r="AD12" i="61" s="1"/>
  <c r="E11" i="61"/>
  <c r="I11" i="61"/>
  <c r="M11" i="61"/>
  <c r="Q11" i="61"/>
  <c r="U11" i="61"/>
  <c r="Y11" i="61"/>
  <c r="B12" i="61"/>
  <c r="F12" i="61"/>
  <c r="J12" i="61"/>
  <c r="N12" i="61"/>
  <c r="R12" i="61"/>
  <c r="V12" i="61"/>
  <c r="Z12" i="61"/>
  <c r="C13" i="61"/>
  <c r="G13" i="61"/>
  <c r="K13" i="61"/>
  <c r="O13" i="61"/>
  <c r="S13" i="61"/>
  <c r="W13" i="61"/>
  <c r="AA13" i="61"/>
  <c r="D14" i="61"/>
  <c r="H14" i="61"/>
  <c r="L14" i="61"/>
  <c r="P14" i="61"/>
  <c r="T14" i="61"/>
  <c r="X14" i="61"/>
  <c r="A15" i="61"/>
  <c r="AD16" i="61" s="1"/>
  <c r="E15" i="61"/>
  <c r="I15" i="61"/>
  <c r="M15" i="61"/>
  <c r="Q15" i="61"/>
  <c r="U15" i="61"/>
  <c r="Y15" i="61"/>
  <c r="B16" i="61"/>
  <c r="F16" i="61"/>
  <c r="J16" i="61"/>
  <c r="N16" i="61"/>
  <c r="R16" i="61"/>
  <c r="V16" i="61"/>
  <c r="Z16" i="61"/>
  <c r="C17" i="61"/>
  <c r="G17" i="61"/>
  <c r="K17" i="61"/>
  <c r="O17" i="61"/>
  <c r="S17" i="61"/>
  <c r="W17" i="61"/>
  <c r="AA17" i="61"/>
  <c r="D18" i="61"/>
  <c r="H18" i="61"/>
  <c r="L18" i="61"/>
  <c r="P18" i="61"/>
  <c r="T18" i="61"/>
  <c r="X18" i="61"/>
  <c r="A19" i="61"/>
  <c r="AD20" i="61" s="1"/>
  <c r="E19" i="61"/>
  <c r="I19" i="61"/>
  <c r="M19" i="61"/>
  <c r="Q19" i="61"/>
  <c r="U19" i="61"/>
  <c r="Y19" i="61"/>
  <c r="B20" i="61"/>
  <c r="F20" i="61"/>
  <c r="J20" i="61"/>
  <c r="N20" i="61"/>
  <c r="R20" i="61"/>
  <c r="V20" i="61"/>
  <c r="Z20" i="61"/>
  <c r="C21" i="61"/>
  <c r="G21" i="61"/>
  <c r="K21" i="61"/>
  <c r="O21" i="61"/>
  <c r="S21" i="61"/>
  <c r="W21" i="61"/>
  <c r="AA21" i="61"/>
  <c r="D22" i="61"/>
  <c r="H22" i="61"/>
  <c r="L22" i="61"/>
  <c r="P22" i="61"/>
  <c r="T22" i="61"/>
  <c r="X22" i="61"/>
  <c r="A23" i="61"/>
  <c r="AD24" i="61" s="1"/>
  <c r="E23" i="61"/>
  <c r="I23" i="61"/>
  <c r="M23" i="61"/>
  <c r="Q23" i="61"/>
  <c r="U23" i="61"/>
  <c r="Y23" i="61"/>
  <c r="B24" i="61"/>
  <c r="F24" i="61"/>
  <c r="J24" i="61"/>
  <c r="N24" i="61"/>
  <c r="R24" i="61"/>
  <c r="V24" i="61"/>
  <c r="Z24" i="61"/>
  <c r="C25" i="61"/>
  <c r="G25" i="61"/>
  <c r="K25" i="61"/>
  <c r="O25" i="61"/>
  <c r="S25" i="61"/>
  <c r="W25" i="61"/>
  <c r="AA25" i="61"/>
  <c r="D26" i="61"/>
  <c r="H26" i="61"/>
  <c r="L26" i="61"/>
  <c r="P26" i="61"/>
  <c r="T26" i="61"/>
  <c r="X26" i="61"/>
  <c r="A27" i="61"/>
  <c r="E27" i="61"/>
  <c r="I27" i="61"/>
  <c r="M27" i="61"/>
  <c r="Q27" i="61"/>
  <c r="U27" i="61"/>
  <c r="Y27" i="61"/>
  <c r="BB2" i="61"/>
  <c r="D1" i="61"/>
  <c r="AG1" i="61" s="1"/>
  <c r="H1" i="61"/>
  <c r="AK1" i="61" s="1"/>
  <c r="L1" i="61"/>
  <c r="AO1" i="61" s="1"/>
  <c r="P1" i="61"/>
  <c r="T1" i="61"/>
  <c r="X1" i="61"/>
  <c r="CN84" i="61" s="1"/>
  <c r="A2" i="61"/>
  <c r="E2" i="61"/>
  <c r="I2" i="61"/>
  <c r="M2" i="61"/>
  <c r="Q2" i="61"/>
  <c r="U2" i="61"/>
  <c r="Y2" i="61"/>
  <c r="B3" i="61"/>
  <c r="F3" i="61"/>
  <c r="J3" i="61"/>
  <c r="N3" i="61"/>
  <c r="R3" i="61"/>
  <c r="V3" i="61"/>
  <c r="Z3" i="61"/>
  <c r="C4" i="61"/>
  <c r="G4" i="61"/>
  <c r="K4" i="61"/>
  <c r="O4" i="61"/>
  <c r="S4" i="61"/>
  <c r="W4" i="61"/>
  <c r="AA4" i="61"/>
  <c r="D5" i="61"/>
  <c r="H5" i="61"/>
  <c r="L5" i="61"/>
  <c r="P5" i="61"/>
  <c r="T5" i="61"/>
  <c r="X5" i="61"/>
  <c r="A6" i="61"/>
  <c r="AD7" i="61" s="1"/>
  <c r="E6" i="61"/>
  <c r="I6" i="61"/>
  <c r="M6" i="61"/>
  <c r="Q6" i="61"/>
  <c r="U6" i="61"/>
  <c r="Y6" i="61"/>
  <c r="B7" i="61"/>
  <c r="F7" i="61"/>
  <c r="J7" i="61"/>
  <c r="N7" i="61"/>
  <c r="R7" i="61"/>
  <c r="V7" i="61"/>
  <c r="Z7" i="61"/>
  <c r="C8" i="61"/>
  <c r="G8" i="61"/>
  <c r="K8" i="61"/>
  <c r="O8" i="61"/>
  <c r="S8" i="61"/>
  <c r="W8" i="61"/>
  <c r="AA8" i="61"/>
  <c r="D9" i="61"/>
  <c r="H9" i="61"/>
  <c r="L9" i="61"/>
  <c r="P9" i="61"/>
  <c r="T9" i="61"/>
  <c r="X9" i="61"/>
  <c r="A10" i="61"/>
  <c r="AD11" i="61" s="1"/>
  <c r="E10" i="61"/>
  <c r="I10" i="61"/>
  <c r="M10" i="61"/>
  <c r="Q10" i="61"/>
  <c r="U10" i="61"/>
  <c r="Y10" i="61"/>
  <c r="B11" i="61"/>
  <c r="F11" i="61"/>
  <c r="J11" i="61"/>
  <c r="N11" i="61"/>
  <c r="R11" i="61"/>
  <c r="V11" i="61"/>
  <c r="Z11" i="61"/>
  <c r="C12" i="61"/>
  <c r="G12" i="61"/>
  <c r="K12" i="61"/>
  <c r="O12" i="61"/>
  <c r="S12" i="61"/>
  <c r="W12" i="61"/>
  <c r="AA12" i="61"/>
  <c r="D13" i="61"/>
  <c r="H13" i="61"/>
  <c r="L13" i="61"/>
  <c r="P13" i="61"/>
  <c r="T13" i="61"/>
  <c r="X13" i="61"/>
  <c r="A14" i="61"/>
  <c r="AD15" i="61" s="1"/>
  <c r="E14" i="61"/>
  <c r="I14" i="61"/>
  <c r="M14" i="61"/>
  <c r="Q14" i="61"/>
  <c r="U14" i="61"/>
  <c r="Y14" i="61"/>
  <c r="B15" i="61"/>
  <c r="F15" i="61"/>
  <c r="J15" i="61"/>
  <c r="N15" i="61"/>
  <c r="R15" i="61"/>
  <c r="V15" i="61"/>
  <c r="Z15" i="61"/>
  <c r="C16" i="61"/>
  <c r="G16" i="61"/>
  <c r="K16" i="61"/>
  <c r="O16" i="61"/>
  <c r="S16" i="61"/>
  <c r="W16" i="61"/>
  <c r="AA16" i="61"/>
  <c r="D17" i="61"/>
  <c r="H17" i="61"/>
  <c r="L17" i="61"/>
  <c r="P17" i="61"/>
  <c r="T17" i="61"/>
  <c r="X17" i="61"/>
  <c r="A18" i="61"/>
  <c r="AD19" i="61" s="1"/>
  <c r="E18" i="61"/>
  <c r="I18" i="61"/>
  <c r="M18" i="61"/>
  <c r="Q18" i="61"/>
  <c r="U18" i="61"/>
  <c r="Y18" i="61"/>
  <c r="B19" i="61"/>
  <c r="F19" i="61"/>
  <c r="J19" i="61"/>
  <c r="N19" i="61"/>
  <c r="R19" i="61"/>
  <c r="V19" i="61"/>
  <c r="Z19" i="61"/>
  <c r="C20" i="61"/>
  <c r="G20" i="61"/>
  <c r="K20" i="61"/>
  <c r="O20" i="61"/>
  <c r="S20" i="61"/>
  <c r="W20" i="61"/>
  <c r="AA20" i="61"/>
  <c r="D21" i="61"/>
  <c r="H21" i="61"/>
  <c r="L21" i="61"/>
  <c r="P21" i="61"/>
  <c r="T21" i="61"/>
  <c r="X21" i="61"/>
  <c r="A22" i="61"/>
  <c r="AD23" i="61" s="1"/>
  <c r="E22" i="61"/>
  <c r="I22" i="61"/>
  <c r="M22" i="61"/>
  <c r="Q22" i="61"/>
  <c r="U22" i="61"/>
  <c r="Y22" i="61"/>
  <c r="B23" i="61"/>
  <c r="F23" i="61"/>
  <c r="J23" i="61"/>
  <c r="N23" i="61"/>
  <c r="R23" i="61"/>
  <c r="V23" i="61"/>
  <c r="Z23" i="61"/>
  <c r="C24" i="61"/>
  <c r="G24" i="61"/>
  <c r="K24" i="61"/>
  <c r="O24" i="61"/>
  <c r="S24" i="61"/>
  <c r="W24" i="61"/>
  <c r="AA24" i="61"/>
  <c r="D25" i="61"/>
  <c r="H25" i="61"/>
  <c r="L25" i="61"/>
  <c r="P25" i="61"/>
  <c r="T25" i="61"/>
  <c r="X25" i="61"/>
  <c r="A26" i="61"/>
  <c r="AD27" i="61" s="1"/>
  <c r="E26" i="61"/>
  <c r="I26" i="61"/>
  <c r="M26" i="61"/>
  <c r="Q26" i="61"/>
  <c r="U26" i="61"/>
  <c r="Y26" i="61"/>
  <c r="B27" i="61"/>
  <c r="F27" i="61"/>
  <c r="J27" i="61"/>
  <c r="N27" i="61"/>
  <c r="R27" i="61"/>
  <c r="V27" i="61"/>
  <c r="BX69" i="61"/>
  <c r="V69" i="61"/>
  <c r="DF4" i="61" s="1"/>
  <c r="CB69" i="61"/>
  <c r="Z69" i="61"/>
  <c r="DJ4" i="61" s="1"/>
  <c r="CH35" i="61"/>
  <c r="CI35" i="61" s="1"/>
  <c r="CU83" i="61"/>
  <c r="CV83" i="61" s="1"/>
  <c r="CW83" i="61" s="1"/>
  <c r="CU85" i="61"/>
  <c r="CV85" i="61" s="1"/>
  <c r="CW85" i="61" s="1"/>
  <c r="CU81" i="61"/>
  <c r="CV81" i="61" s="1"/>
  <c r="CW81" i="61" s="1"/>
  <c r="CU70" i="61"/>
  <c r="CV70" i="61" s="1"/>
  <c r="CU66" i="61"/>
  <c r="CV66" i="61" s="1"/>
  <c r="CU82" i="61"/>
  <c r="CV82" i="61" s="1"/>
  <c r="CW82" i="61" s="1"/>
  <c r="CU67" i="61"/>
  <c r="CV67" i="61" s="1"/>
  <c r="CU63" i="61"/>
  <c r="CV63" i="61" s="1"/>
  <c r="CU62" i="61"/>
  <c r="CV62" i="61" s="1"/>
  <c r="CU71" i="61"/>
  <c r="CV71" i="61" s="1"/>
  <c r="CU69" i="61"/>
  <c r="CV69" i="61" s="1"/>
  <c r="CU68" i="61"/>
  <c r="CV68" i="61" s="1"/>
  <c r="CU64" i="61"/>
  <c r="CV64" i="61" s="1"/>
  <c r="CU84" i="61"/>
  <c r="CV84" i="61" s="1"/>
  <c r="CW84" i="61" s="1"/>
  <c r="CU80" i="61"/>
  <c r="CV80" i="61" s="1"/>
  <c r="CW80" i="61" s="1"/>
  <c r="CU79" i="61"/>
  <c r="CV79" i="61" s="1"/>
  <c r="CU78" i="61"/>
  <c r="CV78" i="61" s="1"/>
  <c r="CU77" i="61"/>
  <c r="CV77" i="61" s="1"/>
  <c r="CU76" i="61"/>
  <c r="CV76" i="61" s="1"/>
  <c r="CU65" i="61"/>
  <c r="CV65" i="61" s="1"/>
  <c r="A155" i="61"/>
  <c r="AB155" i="61"/>
  <c r="O28" i="67" l="1"/>
  <c r="E33" i="68"/>
  <c r="O24" i="67"/>
  <c r="E37" i="68"/>
  <c r="O8" i="67"/>
  <c r="I37" i="68"/>
  <c r="O25" i="67"/>
  <c r="E36" i="68"/>
  <c r="O9" i="67"/>
  <c r="I38" i="68"/>
  <c r="O26" i="67"/>
  <c r="E35" i="68"/>
  <c r="O10" i="67"/>
  <c r="I39" i="68"/>
  <c r="O19" i="67"/>
  <c r="E42" i="68"/>
  <c r="O15" i="67"/>
  <c r="I44" i="68"/>
  <c r="E46" i="68"/>
  <c r="O12" i="67"/>
  <c r="I41" i="68"/>
  <c r="O13" i="67"/>
  <c r="I42" i="68"/>
  <c r="O14" i="67"/>
  <c r="E47" i="68"/>
  <c r="I43" i="68"/>
  <c r="O11" i="67"/>
  <c r="I40" i="68"/>
  <c r="O16" i="67"/>
  <c r="I45" i="68"/>
  <c r="E45" i="68"/>
  <c r="O17" i="67"/>
  <c r="I46" i="68"/>
  <c r="E44" i="68"/>
  <c r="O18" i="67"/>
  <c r="E43" i="68"/>
  <c r="I47" i="68"/>
  <c r="O7" i="67"/>
  <c r="I36" i="68"/>
  <c r="O27" i="67"/>
  <c r="E34" i="68"/>
  <c r="O20" i="67"/>
  <c r="E41" i="68"/>
  <c r="O21" i="67"/>
  <c r="E40" i="68"/>
  <c r="O5" i="67"/>
  <c r="I34" i="68"/>
  <c r="O22" i="67"/>
  <c r="E39" i="68"/>
  <c r="O6" i="67"/>
  <c r="I35" i="68"/>
  <c r="O23" i="67"/>
  <c r="E38" i="68"/>
  <c r="J26" i="68"/>
  <c r="U26" i="68"/>
  <c r="J10" i="68"/>
  <c r="U10" i="68"/>
  <c r="J27" i="68"/>
  <c r="U27" i="68"/>
  <c r="J11" i="68"/>
  <c r="U11" i="68"/>
  <c r="J28" i="68"/>
  <c r="U28" i="68"/>
  <c r="J12" i="68"/>
  <c r="U12" i="68"/>
  <c r="CA97" i="61"/>
  <c r="EG97" i="61" s="1"/>
  <c r="FZ125" i="61" s="1"/>
  <c r="AR4" i="68"/>
  <c r="J21" i="68"/>
  <c r="U21" i="68"/>
  <c r="BP97" i="61"/>
  <c r="DV97" i="61" s="1"/>
  <c r="FO125" i="61" s="1"/>
  <c r="AG4" i="68"/>
  <c r="J17" i="68"/>
  <c r="U17" i="68"/>
  <c r="BH97" i="61"/>
  <c r="DN97" i="61" s="1"/>
  <c r="FG125" i="61" s="1"/>
  <c r="Y4" i="68"/>
  <c r="J30" i="68"/>
  <c r="U30" i="68"/>
  <c r="J14" i="68"/>
  <c r="U14" i="68"/>
  <c r="J15" i="68"/>
  <c r="U15" i="68"/>
  <c r="J16" i="68"/>
  <c r="U16" i="68"/>
  <c r="J13" i="68"/>
  <c r="U13" i="68"/>
  <c r="J18" i="68"/>
  <c r="U18" i="68"/>
  <c r="CB97" i="61"/>
  <c r="EH97" i="61" s="1"/>
  <c r="GA125" i="61" s="1"/>
  <c r="AS4" i="68"/>
  <c r="J19" i="68"/>
  <c r="U19" i="68"/>
  <c r="J20" i="68"/>
  <c r="U20" i="68"/>
  <c r="BT97" i="61"/>
  <c r="DZ97" i="61" s="1"/>
  <c r="FS125" i="61" s="1"/>
  <c r="AK4" i="68"/>
  <c r="J9" i="68"/>
  <c r="U9" i="68"/>
  <c r="J29" i="68"/>
  <c r="U29" i="68"/>
  <c r="BL97" i="61"/>
  <c r="DR97" i="61" s="1"/>
  <c r="FK125" i="61" s="1"/>
  <c r="AC4" i="68"/>
  <c r="J22" i="68"/>
  <c r="U22" i="68"/>
  <c r="J23" i="68"/>
  <c r="U23" i="68"/>
  <c r="J7" i="68"/>
  <c r="U7" i="68"/>
  <c r="J24" i="68"/>
  <c r="U24" i="68"/>
  <c r="J8" i="68"/>
  <c r="U8" i="68"/>
  <c r="J25" i="68"/>
  <c r="U25" i="68"/>
  <c r="BX97" i="61"/>
  <c r="ED97" i="61" s="1"/>
  <c r="FW125" i="61" s="1"/>
  <c r="AO4" i="68"/>
  <c r="A81" i="61"/>
  <c r="CN65" i="61"/>
  <c r="CN69" i="61"/>
  <c r="CN77" i="61"/>
  <c r="DB69" i="61"/>
  <c r="K4" i="64"/>
  <c r="GH125" i="61"/>
  <c r="N4" i="64" s="1"/>
  <c r="BG13" i="1"/>
  <c r="I54" i="1"/>
  <c r="EN125" i="61"/>
  <c r="FI97" i="61"/>
  <c r="DY125" i="61"/>
  <c r="ET97" i="61"/>
  <c r="EO125" i="61"/>
  <c r="FJ97" i="61"/>
  <c r="EC125" i="61"/>
  <c r="EX97" i="61"/>
  <c r="EP97" i="61"/>
  <c r="EM125" i="61"/>
  <c r="FH97" i="61"/>
  <c r="EP125" i="61"/>
  <c r="FK97" i="61"/>
  <c r="EL125" i="61"/>
  <c r="FG97" i="61"/>
  <c r="I53" i="1"/>
  <c r="BG18" i="1"/>
  <c r="I46" i="1"/>
  <c r="CN79" i="61"/>
  <c r="AV1" i="61"/>
  <c r="AV2" i="61" s="1"/>
  <c r="AM4" i="68" s="1"/>
  <c r="E507" i="66"/>
  <c r="B507" i="66"/>
  <c r="A507" i="66"/>
  <c r="B517" i="66"/>
  <c r="A517" i="66"/>
  <c r="E517" i="66"/>
  <c r="B546" i="66"/>
  <c r="A546" i="66"/>
  <c r="E546" i="66"/>
  <c r="E567" i="66"/>
  <c r="B567" i="66"/>
  <c r="A567" i="66"/>
  <c r="B601" i="66"/>
  <c r="A601" i="66"/>
  <c r="E601" i="66"/>
  <c r="B610" i="66"/>
  <c r="A610" i="66"/>
  <c r="E610" i="66"/>
  <c r="B622" i="66"/>
  <c r="E622" i="66"/>
  <c r="A622" i="66"/>
  <c r="B506" i="66"/>
  <c r="A506" i="66"/>
  <c r="E506" i="66"/>
  <c r="E529" i="66"/>
  <c r="B529" i="66"/>
  <c r="A529" i="66"/>
  <c r="B538" i="66"/>
  <c r="A538" i="66"/>
  <c r="E538" i="66"/>
  <c r="B551" i="66"/>
  <c r="E551" i="66"/>
  <c r="A551" i="66"/>
  <c r="B561" i="66"/>
  <c r="E561" i="66"/>
  <c r="A561" i="66"/>
  <c r="B576" i="66"/>
  <c r="E576" i="66"/>
  <c r="A576" i="66"/>
  <c r="E587" i="66"/>
  <c r="B587" i="66"/>
  <c r="A587" i="66"/>
  <c r="B596" i="66"/>
  <c r="E596" i="66"/>
  <c r="A596" i="66"/>
  <c r="B614" i="66"/>
  <c r="E614" i="66"/>
  <c r="A614" i="66"/>
  <c r="E503" i="66"/>
  <c r="A503" i="66"/>
  <c r="B503" i="66"/>
  <c r="E513" i="66"/>
  <c r="B513" i="66"/>
  <c r="A513" i="66"/>
  <c r="B522" i="66"/>
  <c r="A522" i="66"/>
  <c r="E522" i="66"/>
  <c r="E550" i="66"/>
  <c r="B550" i="66"/>
  <c r="A550" i="66"/>
  <c r="E568" i="66"/>
  <c r="B568" i="66"/>
  <c r="A568" i="66"/>
  <c r="B602" i="66"/>
  <c r="A602" i="66"/>
  <c r="E602" i="66"/>
  <c r="E611" i="66"/>
  <c r="B611" i="66"/>
  <c r="A611" i="66"/>
  <c r="B502" i="66"/>
  <c r="A502" i="66"/>
  <c r="E502" i="66"/>
  <c r="E528" i="66"/>
  <c r="B528" i="66"/>
  <c r="A528" i="66"/>
  <c r="B537" i="66"/>
  <c r="E537" i="66"/>
  <c r="A537" i="66"/>
  <c r="E547" i="66"/>
  <c r="B547" i="66"/>
  <c r="A547" i="66"/>
  <c r="E560" i="66"/>
  <c r="A560" i="66"/>
  <c r="B560" i="66"/>
  <c r="E575" i="66"/>
  <c r="B575" i="66"/>
  <c r="A575" i="66"/>
  <c r="B586" i="66"/>
  <c r="A586" i="66"/>
  <c r="E586" i="66"/>
  <c r="E595" i="66"/>
  <c r="B595" i="66"/>
  <c r="A595" i="66"/>
  <c r="B613" i="66"/>
  <c r="A613" i="66"/>
  <c r="E613" i="66"/>
  <c r="CN80" i="61"/>
  <c r="AW1" i="61"/>
  <c r="AW2" i="61" s="1"/>
  <c r="CN78" i="61"/>
  <c r="AU1" i="61"/>
  <c r="AU2" i="61" s="1"/>
  <c r="AL4" i="68" s="1"/>
  <c r="E509" i="66"/>
  <c r="B509" i="66"/>
  <c r="A509" i="66"/>
  <c r="B519" i="66"/>
  <c r="E519" i="66"/>
  <c r="A519" i="66"/>
  <c r="B549" i="66"/>
  <c r="E549" i="66"/>
  <c r="A549" i="66"/>
  <c r="B569" i="66"/>
  <c r="A569" i="66"/>
  <c r="E569" i="66"/>
  <c r="E603" i="66"/>
  <c r="B603" i="66"/>
  <c r="A603" i="66"/>
  <c r="E615" i="66"/>
  <c r="B615" i="66"/>
  <c r="A615" i="66"/>
  <c r="B514" i="66"/>
  <c r="A514" i="66"/>
  <c r="E514" i="66"/>
  <c r="B531" i="66"/>
  <c r="A531" i="66"/>
  <c r="E531" i="66"/>
  <c r="B541" i="66"/>
  <c r="E541" i="66"/>
  <c r="A541" i="66"/>
  <c r="B554" i="66"/>
  <c r="A554" i="66"/>
  <c r="E554" i="66"/>
  <c r="B564" i="66"/>
  <c r="A564" i="66"/>
  <c r="E564" i="66"/>
  <c r="E580" i="66"/>
  <c r="B580" i="66"/>
  <c r="A580" i="66"/>
  <c r="B589" i="66"/>
  <c r="E589" i="66"/>
  <c r="A589" i="66"/>
  <c r="B598" i="66"/>
  <c r="A598" i="66"/>
  <c r="E598" i="66"/>
  <c r="B624" i="66"/>
  <c r="E624" i="66"/>
  <c r="A624" i="66"/>
  <c r="E505" i="66"/>
  <c r="B505" i="66"/>
  <c r="A505" i="66"/>
  <c r="E516" i="66"/>
  <c r="B516" i="66"/>
  <c r="A516" i="66"/>
  <c r="B535" i="66"/>
  <c r="E535" i="66"/>
  <c r="A535" i="66"/>
  <c r="B553" i="66"/>
  <c r="A553" i="66"/>
  <c r="E553" i="66"/>
  <c r="E571" i="66"/>
  <c r="B571" i="66"/>
  <c r="A571" i="66"/>
  <c r="B604" i="66"/>
  <c r="A604" i="66"/>
  <c r="E604" i="66"/>
  <c r="B616" i="66"/>
  <c r="E616" i="66"/>
  <c r="A616" i="66"/>
  <c r="B510" i="66"/>
  <c r="A510" i="66"/>
  <c r="E510" i="66"/>
  <c r="B530" i="66"/>
  <c r="E530" i="66"/>
  <c r="A530" i="66"/>
  <c r="B539" i="66"/>
  <c r="E539" i="66"/>
  <c r="A539" i="66"/>
  <c r="B552" i="66"/>
  <c r="E552" i="66"/>
  <c r="A552" i="66"/>
  <c r="B562" i="66"/>
  <c r="E562" i="66"/>
  <c r="A562" i="66"/>
  <c r="B578" i="66"/>
  <c r="A578" i="66"/>
  <c r="E578" i="66"/>
  <c r="B588" i="66"/>
  <c r="A588" i="66"/>
  <c r="E588" i="66"/>
  <c r="B597" i="66"/>
  <c r="A597" i="66"/>
  <c r="E597" i="66"/>
  <c r="B620" i="66"/>
  <c r="A620" i="66"/>
  <c r="E620" i="66"/>
  <c r="B512" i="66"/>
  <c r="A512" i="66"/>
  <c r="E512" i="66"/>
  <c r="E521" i="66"/>
  <c r="A521" i="66"/>
  <c r="B521" i="66"/>
  <c r="E555" i="66"/>
  <c r="B555" i="66"/>
  <c r="A555" i="66"/>
  <c r="B577" i="66"/>
  <c r="A577" i="66"/>
  <c r="E577" i="66"/>
  <c r="B605" i="66"/>
  <c r="E605" i="66"/>
  <c r="A605" i="66"/>
  <c r="B617" i="66"/>
  <c r="A617" i="66"/>
  <c r="E617" i="66"/>
  <c r="B525" i="66"/>
  <c r="A525" i="66"/>
  <c r="E525" i="66"/>
  <c r="B533" i="66"/>
  <c r="A533" i="66"/>
  <c r="E533" i="66"/>
  <c r="E543" i="66"/>
  <c r="B543" i="66"/>
  <c r="A543" i="66"/>
  <c r="B557" i="66"/>
  <c r="A557" i="66"/>
  <c r="E557" i="66"/>
  <c r="E572" i="66"/>
  <c r="B572" i="66"/>
  <c r="A572" i="66"/>
  <c r="B582" i="66"/>
  <c r="E582" i="66"/>
  <c r="A582" i="66"/>
  <c r="E591" i="66"/>
  <c r="B591" i="66"/>
  <c r="A591" i="66"/>
  <c r="B600" i="66"/>
  <c r="E600" i="66"/>
  <c r="A600" i="66"/>
  <c r="E626" i="66"/>
  <c r="B626" i="66"/>
  <c r="A626" i="66"/>
  <c r="B508" i="66"/>
  <c r="E508" i="66"/>
  <c r="A508" i="66"/>
  <c r="B518" i="66"/>
  <c r="E518" i="66"/>
  <c r="A518" i="66"/>
  <c r="B540" i="66"/>
  <c r="E540" i="66"/>
  <c r="A540" i="66"/>
  <c r="E563" i="66"/>
  <c r="B563" i="66"/>
  <c r="A563" i="66"/>
  <c r="E579" i="66"/>
  <c r="B579" i="66"/>
  <c r="A579" i="66"/>
  <c r="E607" i="66"/>
  <c r="B607" i="66"/>
  <c r="A607" i="66"/>
  <c r="B618" i="66"/>
  <c r="E618" i="66"/>
  <c r="A618" i="66"/>
  <c r="E524" i="66"/>
  <c r="B524" i="66"/>
  <c r="A524" i="66"/>
  <c r="B532" i="66"/>
  <c r="E532" i="66"/>
  <c r="A532" i="66"/>
  <c r="B542" i="66"/>
  <c r="A542" i="66"/>
  <c r="E542" i="66"/>
  <c r="E556" i="66"/>
  <c r="B556" i="66"/>
  <c r="A556" i="66"/>
  <c r="B570" i="66"/>
  <c r="A570" i="66"/>
  <c r="E570" i="66"/>
  <c r="B581" i="66"/>
  <c r="A581" i="66"/>
  <c r="E581" i="66"/>
  <c r="B590" i="66"/>
  <c r="E590" i="66"/>
  <c r="A590" i="66"/>
  <c r="E599" i="66"/>
  <c r="B599" i="66"/>
  <c r="A599" i="66"/>
  <c r="E623" i="66"/>
  <c r="B623" i="66"/>
  <c r="A623" i="66"/>
  <c r="CN76" i="61"/>
  <c r="AS1" i="61"/>
  <c r="AS2" i="61" s="1"/>
  <c r="B504" i="66"/>
  <c r="A504" i="66"/>
  <c r="E504" i="66"/>
  <c r="B515" i="66"/>
  <c r="E515" i="66"/>
  <c r="A515" i="66"/>
  <c r="B523" i="66"/>
  <c r="E523" i="66"/>
  <c r="A523" i="66"/>
  <c r="B565" i="66"/>
  <c r="E565" i="66"/>
  <c r="A565" i="66"/>
  <c r="B585" i="66"/>
  <c r="A585" i="66"/>
  <c r="E585" i="66"/>
  <c r="B608" i="66"/>
  <c r="A608" i="66"/>
  <c r="E608" i="66"/>
  <c r="E619" i="66"/>
  <c r="B619" i="66"/>
  <c r="A619" i="66"/>
  <c r="B527" i="66"/>
  <c r="E527" i="66"/>
  <c r="A527" i="66"/>
  <c r="E536" i="66"/>
  <c r="B536" i="66"/>
  <c r="A536" i="66"/>
  <c r="E545" i="66"/>
  <c r="A545" i="66"/>
  <c r="B545" i="66"/>
  <c r="E559" i="66"/>
  <c r="B559" i="66"/>
  <c r="A559" i="66"/>
  <c r="B574" i="66"/>
  <c r="A574" i="66"/>
  <c r="E574" i="66"/>
  <c r="B584" i="66"/>
  <c r="E584" i="66"/>
  <c r="A584" i="66"/>
  <c r="B594" i="66"/>
  <c r="A594" i="66"/>
  <c r="E594" i="66"/>
  <c r="B612" i="66"/>
  <c r="A612" i="66"/>
  <c r="E612" i="66"/>
  <c r="E511" i="66"/>
  <c r="B511" i="66"/>
  <c r="A511" i="66"/>
  <c r="B520" i="66"/>
  <c r="A520" i="66"/>
  <c r="E520" i="66"/>
  <c r="E548" i="66"/>
  <c r="B548" i="66"/>
  <c r="A548" i="66"/>
  <c r="B566" i="66"/>
  <c r="A566" i="66"/>
  <c r="E566" i="66"/>
  <c r="B593" i="66"/>
  <c r="A593" i="66"/>
  <c r="E593" i="66"/>
  <c r="B609" i="66"/>
  <c r="A609" i="66"/>
  <c r="E609" i="66"/>
  <c r="B621" i="66"/>
  <c r="E621" i="66"/>
  <c r="A621" i="66"/>
  <c r="B526" i="66"/>
  <c r="A526" i="66"/>
  <c r="E526" i="66"/>
  <c r="B534" i="66"/>
  <c r="E534" i="66"/>
  <c r="A534" i="66"/>
  <c r="B544" i="66"/>
  <c r="E544" i="66"/>
  <c r="A544" i="66"/>
  <c r="B558" i="66"/>
  <c r="A558" i="66"/>
  <c r="E558" i="66"/>
  <c r="B573" i="66"/>
  <c r="A573" i="66"/>
  <c r="E573" i="66"/>
  <c r="E583" i="66"/>
  <c r="B583" i="66"/>
  <c r="A583" i="66"/>
  <c r="B592" i="66"/>
  <c r="E592" i="66"/>
  <c r="A592" i="66"/>
  <c r="B606" i="66"/>
  <c r="A606" i="66"/>
  <c r="E606" i="66"/>
  <c r="B625" i="66"/>
  <c r="A625" i="66"/>
  <c r="E625" i="66"/>
  <c r="BG30" i="1"/>
  <c r="S29" i="1" s="1"/>
  <c r="CB88" i="61" s="1"/>
  <c r="BG20" i="1"/>
  <c r="I52" i="1"/>
  <c r="BG27" i="1"/>
  <c r="I47" i="1"/>
  <c r="H27" i="62"/>
  <c r="H11" i="62"/>
  <c r="H20" i="62"/>
  <c r="H21" i="62"/>
  <c r="BC142" i="61"/>
  <c r="H10" i="62"/>
  <c r="H30" i="62"/>
  <c r="BC151" i="61"/>
  <c r="H19" i="62"/>
  <c r="H31" i="62"/>
  <c r="H15" i="62"/>
  <c r="BC136" i="61"/>
  <c r="H24" i="62"/>
  <c r="BC145" i="61"/>
  <c r="H8" i="62"/>
  <c r="H25" i="62"/>
  <c r="H9" i="62"/>
  <c r="H26" i="62"/>
  <c r="BC147" i="61"/>
  <c r="H28" i="62"/>
  <c r="H12" i="62"/>
  <c r="BC133" i="61"/>
  <c r="H29" i="62"/>
  <c r="H13" i="62"/>
  <c r="H22" i="62"/>
  <c r="BC143" i="61"/>
  <c r="H18" i="62"/>
  <c r="BC139" i="61"/>
  <c r="H23" i="62"/>
  <c r="H16" i="62"/>
  <c r="H17" i="62"/>
  <c r="H14" i="62"/>
  <c r="E4" i="51"/>
  <c r="FG120" i="61"/>
  <c r="FG121" i="61"/>
  <c r="FG117" i="61"/>
  <c r="FG113" i="61"/>
  <c r="FG109" i="61"/>
  <c r="FG105" i="61"/>
  <c r="FG101" i="61"/>
  <c r="FG122" i="61"/>
  <c r="FG118" i="61"/>
  <c r="FG115" i="61"/>
  <c r="FG102" i="61"/>
  <c r="FG100" i="61"/>
  <c r="FG119" i="61"/>
  <c r="FG116" i="61"/>
  <c r="FG110" i="61"/>
  <c r="FG107" i="61"/>
  <c r="FG104" i="61"/>
  <c r="FG114" i="61"/>
  <c r="FG111" i="61"/>
  <c r="FG108" i="61"/>
  <c r="FG98" i="61"/>
  <c r="FG112" i="61"/>
  <c r="FG99" i="61"/>
  <c r="FG106" i="61"/>
  <c r="FG103" i="61"/>
  <c r="FI122" i="61"/>
  <c r="FI121" i="61"/>
  <c r="FI115" i="61"/>
  <c r="FI111" i="61"/>
  <c r="FI107" i="61"/>
  <c r="FI103" i="61"/>
  <c r="FI99" i="61"/>
  <c r="FI119" i="61"/>
  <c r="FI117" i="61"/>
  <c r="FI114" i="61"/>
  <c r="FI101" i="61"/>
  <c r="FI120" i="61"/>
  <c r="FI118" i="61"/>
  <c r="FI108" i="61"/>
  <c r="FI105" i="61"/>
  <c r="FI102" i="61"/>
  <c r="FI113" i="61"/>
  <c r="FI100" i="61"/>
  <c r="FI112" i="61"/>
  <c r="FI109" i="61"/>
  <c r="FI106" i="61"/>
  <c r="FI116" i="61"/>
  <c r="FI110" i="61"/>
  <c r="FI104" i="61"/>
  <c r="FI98" i="61"/>
  <c r="EX121" i="61"/>
  <c r="EX122" i="61"/>
  <c r="EX118" i="61"/>
  <c r="EX114" i="61"/>
  <c r="EX110" i="61"/>
  <c r="EX106" i="61"/>
  <c r="EX102" i="61"/>
  <c r="EX98" i="61"/>
  <c r="EX119" i="61"/>
  <c r="EX113" i="61"/>
  <c r="EX100" i="61"/>
  <c r="EX104" i="61"/>
  <c r="EX101" i="61"/>
  <c r="EX117" i="61"/>
  <c r="EX111" i="61"/>
  <c r="EX108" i="61"/>
  <c r="EX105" i="61"/>
  <c r="EX120" i="61"/>
  <c r="EX116" i="61"/>
  <c r="EX115" i="61"/>
  <c r="EX112" i="61"/>
  <c r="EX109" i="61"/>
  <c r="EX99" i="61"/>
  <c r="EX103" i="61"/>
  <c r="EX107" i="61"/>
  <c r="EP121" i="61"/>
  <c r="EP122" i="61"/>
  <c r="EP120" i="61"/>
  <c r="EP118" i="61"/>
  <c r="EP114" i="61"/>
  <c r="EP110" i="61"/>
  <c r="EP106" i="61"/>
  <c r="EP102" i="61"/>
  <c r="EP98" i="61"/>
  <c r="EP111" i="61"/>
  <c r="EP115" i="61"/>
  <c r="EP112" i="61"/>
  <c r="EP109" i="61"/>
  <c r="EP119" i="61"/>
  <c r="EP116" i="61"/>
  <c r="EP113" i="61"/>
  <c r="EP103" i="61"/>
  <c r="EP100" i="61"/>
  <c r="EP105" i="61"/>
  <c r="EP117" i="61"/>
  <c r="EP107" i="61"/>
  <c r="EP104" i="61"/>
  <c r="EP101" i="61"/>
  <c r="EP108" i="61"/>
  <c r="EP99" i="61"/>
  <c r="FJ121" i="61"/>
  <c r="FJ120" i="61"/>
  <c r="FJ122" i="61"/>
  <c r="FJ119" i="61"/>
  <c r="FJ118" i="61"/>
  <c r="FJ114" i="61"/>
  <c r="FJ110" i="61"/>
  <c r="FJ106" i="61"/>
  <c r="FJ102" i="61"/>
  <c r="FJ98" i="61"/>
  <c r="FJ117" i="61"/>
  <c r="FJ107" i="61"/>
  <c r="FJ111" i="61"/>
  <c r="FJ108" i="61"/>
  <c r="FJ115" i="61"/>
  <c r="FJ112" i="61"/>
  <c r="FJ109" i="61"/>
  <c r="FJ99" i="61"/>
  <c r="FJ101" i="61"/>
  <c r="FJ105" i="61"/>
  <c r="FJ116" i="61"/>
  <c r="FJ113" i="61"/>
  <c r="FJ103" i="61"/>
  <c r="FJ100" i="61"/>
  <c r="FJ104" i="61"/>
  <c r="FF121" i="61"/>
  <c r="FF122" i="61"/>
  <c r="FF120" i="61"/>
  <c r="FF118" i="61"/>
  <c r="FF114" i="61"/>
  <c r="FF110" i="61"/>
  <c r="FF106" i="61"/>
  <c r="FF102" i="61"/>
  <c r="FF98" i="61"/>
  <c r="FF108" i="61"/>
  <c r="FF115" i="61"/>
  <c r="FF112" i="61"/>
  <c r="FF109" i="61"/>
  <c r="FF99" i="61"/>
  <c r="FF119" i="61"/>
  <c r="FF116" i="61"/>
  <c r="FF113" i="61"/>
  <c r="FF103" i="61"/>
  <c r="FF100" i="61"/>
  <c r="FF117" i="61"/>
  <c r="FF107" i="61"/>
  <c r="FF104" i="61"/>
  <c r="FF101" i="61"/>
  <c r="FF111" i="61"/>
  <c r="FF105" i="61"/>
  <c r="FH119" i="61"/>
  <c r="FH122" i="61"/>
  <c r="FH121" i="61"/>
  <c r="FH116" i="61"/>
  <c r="FH112" i="61"/>
  <c r="FH108" i="61"/>
  <c r="FH104" i="61"/>
  <c r="FH100" i="61"/>
  <c r="FH113" i="61"/>
  <c r="FH110" i="61"/>
  <c r="FH107" i="61"/>
  <c r="FH117" i="61"/>
  <c r="FH114" i="61"/>
  <c r="FH111" i="61"/>
  <c r="FH101" i="61"/>
  <c r="FH98" i="61"/>
  <c r="FH109" i="61"/>
  <c r="FH103" i="61"/>
  <c r="FH120" i="61"/>
  <c r="FH118" i="61"/>
  <c r="FH115" i="61"/>
  <c r="FH105" i="61"/>
  <c r="FH102" i="61"/>
  <c r="FH99" i="61"/>
  <c r="FH106" i="61"/>
  <c r="FB121" i="61"/>
  <c r="FB118" i="61"/>
  <c r="FB114" i="61"/>
  <c r="FB110" i="61"/>
  <c r="FB106" i="61"/>
  <c r="FB102" i="61"/>
  <c r="FB98" i="61"/>
  <c r="FB112" i="61"/>
  <c r="FB109" i="61"/>
  <c r="FB99" i="61"/>
  <c r="FB122" i="61"/>
  <c r="FB119" i="61"/>
  <c r="FB116" i="61"/>
  <c r="FB113" i="61"/>
  <c r="FB103" i="61"/>
  <c r="FB120" i="61"/>
  <c r="FB117" i="61"/>
  <c r="FB107" i="61"/>
  <c r="FB104" i="61"/>
  <c r="FB101" i="61"/>
  <c r="FB115" i="61"/>
  <c r="FB111" i="61"/>
  <c r="FB108" i="61"/>
  <c r="FB105" i="61"/>
  <c r="FB100" i="61"/>
  <c r="ET121" i="61"/>
  <c r="ET122" i="61"/>
  <c r="ET118" i="61"/>
  <c r="ET114" i="61"/>
  <c r="ET110" i="61"/>
  <c r="ET106" i="61"/>
  <c r="ET102" i="61"/>
  <c r="ET98" i="61"/>
  <c r="ET104" i="61"/>
  <c r="ET101" i="61"/>
  <c r="ET111" i="61"/>
  <c r="ET120" i="61"/>
  <c r="ET115" i="61"/>
  <c r="ET112" i="61"/>
  <c r="ET109" i="61"/>
  <c r="ET99" i="61"/>
  <c r="ET117" i="61"/>
  <c r="ET108" i="61"/>
  <c r="ET119" i="61"/>
  <c r="ET116" i="61"/>
  <c r="ET113" i="61"/>
  <c r="ET103" i="61"/>
  <c r="ET100" i="61"/>
  <c r="ET107" i="61"/>
  <c r="ET105" i="61"/>
  <c r="FK120" i="61"/>
  <c r="FK122" i="61"/>
  <c r="FK117" i="61"/>
  <c r="FK113" i="61"/>
  <c r="FK109" i="61"/>
  <c r="FK105" i="61"/>
  <c r="FK101" i="61"/>
  <c r="FK121" i="61"/>
  <c r="FK114" i="61"/>
  <c r="FK111" i="61"/>
  <c r="FK99" i="61"/>
  <c r="FK118" i="61"/>
  <c r="FK115" i="61"/>
  <c r="FK112" i="61"/>
  <c r="FK116" i="61"/>
  <c r="FK106" i="61"/>
  <c r="FK103" i="61"/>
  <c r="FK100" i="61"/>
  <c r="FK119" i="61"/>
  <c r="FK110" i="61"/>
  <c r="FK107" i="61"/>
  <c r="FK104" i="61"/>
  <c r="FK108" i="61"/>
  <c r="FK98" i="61"/>
  <c r="FK102" i="61"/>
  <c r="I41" i="1"/>
  <c r="S17" i="1" s="1"/>
  <c r="CB76" i="61" s="1"/>
  <c r="BG21" i="1"/>
  <c r="I40" i="1"/>
  <c r="I50" i="1"/>
  <c r="I38" i="1"/>
  <c r="BG29" i="1"/>
  <c r="I41" i="4"/>
  <c r="I37" i="1"/>
  <c r="BG19" i="1"/>
  <c r="BG24" i="1"/>
  <c r="I44" i="1"/>
  <c r="BG31" i="1"/>
  <c r="S30" i="1" s="1"/>
  <c r="CB89" i="61" s="1"/>
  <c r="BG26" i="1"/>
  <c r="A85" i="61"/>
  <c r="CN73" i="61"/>
  <c r="BC113" i="61"/>
  <c r="DH113" i="61" s="1"/>
  <c r="DB73" i="61"/>
  <c r="DD73" i="61" s="1"/>
  <c r="DE73" i="61" s="1"/>
  <c r="DB65" i="61"/>
  <c r="A93" i="61"/>
  <c r="A73" i="61"/>
  <c r="DB85" i="61"/>
  <c r="DC85" i="61" s="1"/>
  <c r="BC101" i="61"/>
  <c r="DH101" i="61" s="1"/>
  <c r="BC121" i="61"/>
  <c r="DH121" i="61" s="1"/>
  <c r="BG28" i="5"/>
  <c r="I40" i="5"/>
  <c r="I42" i="5"/>
  <c r="I55" i="5"/>
  <c r="I39" i="5"/>
  <c r="BG20" i="5"/>
  <c r="BG34" i="4"/>
  <c r="BG21" i="4"/>
  <c r="BG28" i="4"/>
  <c r="BC109" i="61"/>
  <c r="DH109" i="61" s="1"/>
  <c r="I49" i="1"/>
  <c r="BG33" i="1"/>
  <c r="BG25" i="1"/>
  <c r="BG17" i="1"/>
  <c r="I56" i="1"/>
  <c r="I35" i="1"/>
  <c r="I39" i="1"/>
  <c r="I48" i="1"/>
  <c r="S24" i="1" s="1"/>
  <c r="CB83" i="61" s="1"/>
  <c r="BG16" i="1"/>
  <c r="I42" i="1"/>
  <c r="BG22" i="1"/>
  <c r="DB77" i="61"/>
  <c r="DD77" i="61" s="1"/>
  <c r="DE77" i="61" s="1"/>
  <c r="I45" i="1"/>
  <c r="BG32" i="1"/>
  <c r="BG23" i="1"/>
  <c r="BG15" i="1"/>
  <c r="I51" i="1"/>
  <c r="BG28" i="1"/>
  <c r="I55" i="1"/>
  <c r="BG34" i="1"/>
  <c r="I43" i="1"/>
  <c r="BG14" i="1"/>
  <c r="I36" i="1"/>
  <c r="S12" i="1" s="1"/>
  <c r="CB71" i="61" s="1"/>
  <c r="BG12" i="1"/>
  <c r="BG33" i="4"/>
  <c r="BG17" i="4"/>
  <c r="I52" i="4"/>
  <c r="I55" i="4"/>
  <c r="BG20" i="4"/>
  <c r="BG30" i="4"/>
  <c r="BG13" i="4"/>
  <c r="I44" i="4"/>
  <c r="I39" i="4"/>
  <c r="BG16" i="4"/>
  <c r="I49" i="4"/>
  <c r="BG25" i="4"/>
  <c r="BG31" i="4"/>
  <c r="I36" i="4"/>
  <c r="I47" i="4"/>
  <c r="BG24" i="4"/>
  <c r="I50" i="4"/>
  <c r="I42" i="4"/>
  <c r="F45" i="61"/>
  <c r="F5" i="51" s="1"/>
  <c r="I45" i="4"/>
  <c r="BG32" i="4"/>
  <c r="BG23" i="4"/>
  <c r="BG15" i="4"/>
  <c r="S14" i="4" s="1"/>
  <c r="BY73" i="61" s="1"/>
  <c r="I56" i="4"/>
  <c r="I40" i="4"/>
  <c r="I43" i="4"/>
  <c r="BG29" i="4"/>
  <c r="BG22" i="4"/>
  <c r="I46" i="4"/>
  <c r="I53" i="4"/>
  <c r="I37" i="4"/>
  <c r="BG27" i="4"/>
  <c r="BG19" i="4"/>
  <c r="I48" i="4"/>
  <c r="I51" i="4"/>
  <c r="S27" i="4" s="1"/>
  <c r="BY86" i="61" s="1"/>
  <c r="I35" i="4"/>
  <c r="BG26" i="4"/>
  <c r="BG18" i="4"/>
  <c r="I54" i="4"/>
  <c r="CN75" i="61"/>
  <c r="AR1" i="61"/>
  <c r="AR2" i="61" s="1"/>
  <c r="CN74" i="61"/>
  <c r="AQ1" i="61"/>
  <c r="AQ2" i="61" s="1"/>
  <c r="I52" i="5"/>
  <c r="I36" i="5"/>
  <c r="I51" i="5"/>
  <c r="I35" i="5"/>
  <c r="BG26" i="5"/>
  <c r="I54" i="5"/>
  <c r="I38" i="5"/>
  <c r="S14" i="5" s="1"/>
  <c r="BX73" i="61" s="1"/>
  <c r="I48" i="5"/>
  <c r="I47" i="5"/>
  <c r="BG31" i="5"/>
  <c r="BG24" i="5"/>
  <c r="I50" i="5"/>
  <c r="BG34" i="5"/>
  <c r="I44" i="5"/>
  <c r="I43" i="5"/>
  <c r="BG29" i="5"/>
  <c r="BG22" i="5"/>
  <c r="I46" i="5"/>
  <c r="I49" i="5"/>
  <c r="BG33" i="5"/>
  <c r="BG21" i="5"/>
  <c r="I41" i="5"/>
  <c r="BG19" i="5"/>
  <c r="BG27" i="5"/>
  <c r="I53" i="5"/>
  <c r="BG30" i="5"/>
  <c r="BG17" i="5"/>
  <c r="I57" i="5"/>
  <c r="I37" i="5"/>
  <c r="BG25" i="5"/>
  <c r="BG13" i="5"/>
  <c r="AO19" i="53"/>
  <c r="A19" i="53"/>
  <c r="C1" i="35"/>
  <c r="AO19" i="25"/>
  <c r="AO19" i="24"/>
  <c r="AO19" i="23"/>
  <c r="AO19" i="22"/>
  <c r="AO19" i="21"/>
  <c r="AO19" i="20"/>
  <c r="AO19" i="19"/>
  <c r="AO19" i="18"/>
  <c r="AO19" i="17"/>
  <c r="AO19" i="16"/>
  <c r="AO19" i="15"/>
  <c r="AO19" i="14"/>
  <c r="AO19" i="13"/>
  <c r="AO19" i="12"/>
  <c r="AO19" i="11"/>
  <c r="AO19" i="10"/>
  <c r="AO19" i="9"/>
  <c r="AO19" i="8"/>
  <c r="AO19" i="7"/>
  <c r="AO19" i="6"/>
  <c r="AO19" i="5"/>
  <c r="AO19" i="4"/>
  <c r="AO19" i="3"/>
  <c r="AO19" i="2"/>
  <c r="AO19" i="1"/>
  <c r="A19" i="19"/>
  <c r="A19" i="17"/>
  <c r="A19" i="12"/>
  <c r="A19" i="9"/>
  <c r="A19" i="7"/>
  <c r="A19" i="6"/>
  <c r="A19" i="4"/>
  <c r="A19" i="2"/>
  <c r="A19" i="25"/>
  <c r="A19" i="23"/>
  <c r="A19" i="21"/>
  <c r="A19" i="15"/>
  <c r="A19" i="14"/>
  <c r="A19" i="5"/>
  <c r="A19" i="24"/>
  <c r="A19" i="22"/>
  <c r="A19" i="20"/>
  <c r="A19" i="18"/>
  <c r="A19" i="16"/>
  <c r="A19" i="13"/>
  <c r="A19" i="11"/>
  <c r="A19" i="10"/>
  <c r="A19" i="8"/>
  <c r="A19" i="3"/>
  <c r="A19" i="1"/>
  <c r="AO15" i="25"/>
  <c r="AO15" i="24"/>
  <c r="AO15" i="23"/>
  <c r="AO15" i="22"/>
  <c r="AO15" i="21"/>
  <c r="AO15" i="20"/>
  <c r="AO15" i="19"/>
  <c r="AO15" i="18"/>
  <c r="AO15" i="17"/>
  <c r="AO15" i="16"/>
  <c r="C1" i="39"/>
  <c r="AO15" i="53"/>
  <c r="A15" i="53"/>
  <c r="A15" i="24"/>
  <c r="A15" i="22"/>
  <c r="A15" i="20"/>
  <c r="A15" i="18"/>
  <c r="A15" i="16"/>
  <c r="A15" i="25"/>
  <c r="A15" i="23"/>
  <c r="A15" i="21"/>
  <c r="A15" i="19"/>
  <c r="A15" i="17"/>
  <c r="AO15" i="15"/>
  <c r="AO15" i="14"/>
  <c r="AO15" i="13"/>
  <c r="AO15" i="12"/>
  <c r="AO15" i="11"/>
  <c r="AO15" i="10"/>
  <c r="AO15" i="9"/>
  <c r="AO15" i="8"/>
  <c r="AO15" i="7"/>
  <c r="AO15" i="6"/>
  <c r="AO15" i="5"/>
  <c r="AO15" i="4"/>
  <c r="AO15" i="3"/>
  <c r="AO15" i="2"/>
  <c r="AO15" i="1"/>
  <c r="A15" i="15"/>
  <c r="A15" i="14"/>
  <c r="A15" i="13"/>
  <c r="A15" i="12"/>
  <c r="A15" i="11"/>
  <c r="A15" i="10"/>
  <c r="A15" i="9"/>
  <c r="A15" i="8"/>
  <c r="A15" i="7"/>
  <c r="A15" i="6"/>
  <c r="A15" i="5"/>
  <c r="A15" i="4"/>
  <c r="A15" i="3"/>
  <c r="A15" i="2"/>
  <c r="A15" i="1"/>
  <c r="AO11" i="53"/>
  <c r="C1" i="43"/>
  <c r="A11" i="53"/>
  <c r="BC135" i="61"/>
  <c r="AO11" i="25"/>
  <c r="AO11" i="24"/>
  <c r="AO11" i="23"/>
  <c r="AO11" i="22"/>
  <c r="AO11" i="21"/>
  <c r="AO11" i="20"/>
  <c r="AO11" i="19"/>
  <c r="AO11" i="18"/>
  <c r="AO11" i="17"/>
  <c r="AO11" i="16"/>
  <c r="AO11" i="15"/>
  <c r="AO11" i="14"/>
  <c r="AO11" i="13"/>
  <c r="AO11" i="12"/>
  <c r="AO11" i="11"/>
  <c r="AO11" i="10"/>
  <c r="AO11" i="9"/>
  <c r="AO11" i="8"/>
  <c r="AO11" i="7"/>
  <c r="AO11" i="6"/>
  <c r="AO11" i="5"/>
  <c r="AO11" i="4"/>
  <c r="AO11" i="3"/>
  <c r="AO11" i="2"/>
  <c r="A11" i="14"/>
  <c r="A11" i="13"/>
  <c r="A11" i="11"/>
  <c r="A11" i="3"/>
  <c r="A11" i="24"/>
  <c r="A11" i="22"/>
  <c r="A11" i="20"/>
  <c r="A11" i="18"/>
  <c r="A11" i="16"/>
  <c r="A11" i="10"/>
  <c r="A11" i="4"/>
  <c r="A11" i="8"/>
  <c r="A11" i="1"/>
  <c r="A11" i="25"/>
  <c r="A11" i="23"/>
  <c r="A11" i="21"/>
  <c r="A11" i="19"/>
  <c r="A11" i="17"/>
  <c r="AO11" i="1"/>
  <c r="A11" i="15"/>
  <c r="A11" i="12"/>
  <c r="A11" i="9"/>
  <c r="A11" i="7"/>
  <c r="A11" i="6"/>
  <c r="A11" i="5"/>
  <c r="A11" i="2"/>
  <c r="C1" i="47"/>
  <c r="AO7" i="25"/>
  <c r="AO7" i="24"/>
  <c r="AO7" i="23"/>
  <c r="AO7" i="22"/>
  <c r="AO7" i="21"/>
  <c r="AO7" i="20"/>
  <c r="AO7" i="19"/>
  <c r="AO7" i="18"/>
  <c r="AO7" i="17"/>
  <c r="A7" i="53"/>
  <c r="AO7" i="53"/>
  <c r="BC131" i="61"/>
  <c r="A7" i="25"/>
  <c r="A7" i="23"/>
  <c r="A7" i="21"/>
  <c r="A7" i="19"/>
  <c r="A7" i="17"/>
  <c r="A7" i="24"/>
  <c r="A7" i="22"/>
  <c r="A7" i="20"/>
  <c r="A7" i="18"/>
  <c r="AO7" i="16"/>
  <c r="AO7" i="15"/>
  <c r="AO7" i="14"/>
  <c r="AO7" i="13"/>
  <c r="AO7" i="12"/>
  <c r="AO7" i="11"/>
  <c r="AO7" i="10"/>
  <c r="AO7" i="9"/>
  <c r="AO7" i="8"/>
  <c r="AO7" i="7"/>
  <c r="AO7" i="6"/>
  <c r="AO7" i="5"/>
  <c r="AO7" i="4"/>
  <c r="AO7" i="3"/>
  <c r="AO7" i="2"/>
  <c r="AO7" i="1"/>
  <c r="A7" i="16"/>
  <c r="A7" i="15"/>
  <c r="A7" i="14"/>
  <c r="A7" i="13"/>
  <c r="A7" i="12"/>
  <c r="A7" i="11"/>
  <c r="A7" i="10"/>
  <c r="A7" i="9"/>
  <c r="A7" i="8"/>
  <c r="A7" i="7"/>
  <c r="A7" i="6"/>
  <c r="A7" i="5"/>
  <c r="A7" i="4"/>
  <c r="A7" i="3"/>
  <c r="A7" i="2"/>
  <c r="A7" i="1"/>
  <c r="AO27" i="53"/>
  <c r="A27" i="53"/>
  <c r="AO27" i="25"/>
  <c r="AO27" i="24"/>
  <c r="AO27" i="23"/>
  <c r="AO27" i="22"/>
  <c r="AO27" i="21"/>
  <c r="AO27" i="20"/>
  <c r="AO27" i="19"/>
  <c r="AO27" i="18"/>
  <c r="AO27" i="17"/>
  <c r="AO27" i="16"/>
  <c r="C1" i="27"/>
  <c r="AO27" i="15"/>
  <c r="AO27" i="14"/>
  <c r="AO27" i="13"/>
  <c r="AO27" i="12"/>
  <c r="AO27" i="11"/>
  <c r="AO27" i="10"/>
  <c r="AO27" i="9"/>
  <c r="AO27" i="8"/>
  <c r="AO27" i="7"/>
  <c r="AO27" i="6"/>
  <c r="AO27" i="5"/>
  <c r="AO27" i="4"/>
  <c r="AO27" i="3"/>
  <c r="AO27" i="2"/>
  <c r="A27" i="15"/>
  <c r="A27" i="10"/>
  <c r="A27" i="8"/>
  <c r="A27" i="5"/>
  <c r="A27" i="1"/>
  <c r="A27" i="24"/>
  <c r="A27" i="22"/>
  <c r="A27" i="20"/>
  <c r="A27" i="14"/>
  <c r="A27" i="7"/>
  <c r="A27" i="18"/>
  <c r="A27" i="16"/>
  <c r="A27" i="13"/>
  <c r="A27" i="12"/>
  <c r="A27" i="11"/>
  <c r="A27" i="9"/>
  <c r="A27" i="6"/>
  <c r="A27" i="4"/>
  <c r="A27" i="3"/>
  <c r="A27" i="2"/>
  <c r="A27" i="25"/>
  <c r="A27" i="23"/>
  <c r="A27" i="21"/>
  <c r="A27" i="19"/>
  <c r="A27" i="17"/>
  <c r="AO27" i="1"/>
  <c r="AO23" i="25"/>
  <c r="AO23" i="24"/>
  <c r="AO23" i="23"/>
  <c r="AO23" i="22"/>
  <c r="AO23" i="21"/>
  <c r="AO23" i="20"/>
  <c r="AO23" i="19"/>
  <c r="AO23" i="18"/>
  <c r="AO23" i="17"/>
  <c r="AO23" i="16"/>
  <c r="C1" i="31"/>
  <c r="AO23" i="53"/>
  <c r="A23" i="53"/>
  <c r="A23" i="25"/>
  <c r="A23" i="23"/>
  <c r="A23" i="21"/>
  <c r="A23" i="19"/>
  <c r="A23" i="17"/>
  <c r="A23" i="24"/>
  <c r="A23" i="22"/>
  <c r="A23" i="20"/>
  <c r="A23" i="18"/>
  <c r="A23" i="16"/>
  <c r="AO23" i="15"/>
  <c r="AO23" i="14"/>
  <c r="AO23" i="13"/>
  <c r="AO23" i="12"/>
  <c r="AO23" i="11"/>
  <c r="AO23" i="10"/>
  <c r="AO23" i="9"/>
  <c r="AO23" i="8"/>
  <c r="AO23" i="7"/>
  <c r="AO23" i="6"/>
  <c r="AO23" i="5"/>
  <c r="AO23" i="4"/>
  <c r="AO23" i="3"/>
  <c r="AO23" i="2"/>
  <c r="AO23" i="1"/>
  <c r="A23" i="15"/>
  <c r="A23" i="14"/>
  <c r="A23" i="13"/>
  <c r="A23" i="12"/>
  <c r="A23" i="11"/>
  <c r="A23" i="10"/>
  <c r="A23" i="9"/>
  <c r="A23" i="8"/>
  <c r="A23" i="7"/>
  <c r="A23" i="6"/>
  <c r="A23" i="5"/>
  <c r="A23" i="4"/>
  <c r="A23" i="3"/>
  <c r="A23" i="2"/>
  <c r="A23" i="1"/>
  <c r="S33" i="1"/>
  <c r="CB92" i="61" s="1"/>
  <c r="CC38" i="61"/>
  <c r="CG76" i="61" s="1"/>
  <c r="S22" i="1"/>
  <c r="CB81" i="61" s="1"/>
  <c r="I45" i="5"/>
  <c r="BG32" i="5"/>
  <c r="BG23" i="5"/>
  <c r="I57" i="4"/>
  <c r="BG14" i="4"/>
  <c r="BG12" i="4"/>
  <c r="I56" i="5"/>
  <c r="BG18" i="5"/>
  <c r="BG14" i="5"/>
  <c r="BG16" i="5"/>
  <c r="BG12" i="5"/>
  <c r="V155" i="61"/>
  <c r="AW155" i="61"/>
  <c r="AW69" i="61"/>
  <c r="BC122" i="61"/>
  <c r="DH122" i="61" s="1"/>
  <c r="A94" i="61"/>
  <c r="DB86" i="61"/>
  <c r="A28" i="53"/>
  <c r="AO28" i="53"/>
  <c r="BC152" i="61"/>
  <c r="C1" i="26"/>
  <c r="A28" i="25"/>
  <c r="AO28" i="25"/>
  <c r="A28" i="24"/>
  <c r="AO28" i="21"/>
  <c r="A28" i="20"/>
  <c r="AO28" i="17"/>
  <c r="A28" i="16"/>
  <c r="AO28" i="13"/>
  <c r="A28" i="12"/>
  <c r="A28" i="23"/>
  <c r="AO28" i="20"/>
  <c r="A28" i="19"/>
  <c r="AO28" i="16"/>
  <c r="A28" i="15"/>
  <c r="AO28" i="12"/>
  <c r="A28" i="11"/>
  <c r="AO28" i="8"/>
  <c r="AO28" i="23"/>
  <c r="A28" i="22"/>
  <c r="AO28" i="19"/>
  <c r="A28" i="18"/>
  <c r="AO28" i="15"/>
  <c r="A28" i="14"/>
  <c r="AO28" i="11"/>
  <c r="A28" i="10"/>
  <c r="AO28" i="7"/>
  <c r="AO28" i="24"/>
  <c r="AO28" i="22"/>
  <c r="A28" i="21"/>
  <c r="AO28" i="18"/>
  <c r="A28" i="17"/>
  <c r="AO28" i="14"/>
  <c r="A28" i="13"/>
  <c r="AO28" i="10"/>
  <c r="A28" i="9"/>
  <c r="AO28" i="6"/>
  <c r="AO28" i="4"/>
  <c r="A28" i="3"/>
  <c r="AO28" i="3"/>
  <c r="A28" i="2"/>
  <c r="A28" i="6"/>
  <c r="A28" i="5"/>
  <c r="AO28" i="2"/>
  <c r="A28" i="1"/>
  <c r="AO28" i="9"/>
  <c r="A28" i="8"/>
  <c r="A28" i="7"/>
  <c r="AO28" i="5"/>
  <c r="A28" i="4"/>
  <c r="AO28" i="1"/>
  <c r="BC106" i="61"/>
  <c r="DH106" i="61" s="1"/>
  <c r="DB70" i="61"/>
  <c r="A78" i="61"/>
  <c r="AO12" i="53"/>
  <c r="A12" i="53"/>
  <c r="C1" i="42"/>
  <c r="A12" i="25"/>
  <c r="AO12" i="25"/>
  <c r="A12" i="24"/>
  <c r="AO12" i="21"/>
  <c r="A12" i="20"/>
  <c r="AO12" i="17"/>
  <c r="A12" i="16"/>
  <c r="AO12" i="13"/>
  <c r="A12" i="12"/>
  <c r="A12" i="23"/>
  <c r="AO12" i="20"/>
  <c r="A12" i="19"/>
  <c r="AO12" i="16"/>
  <c r="A12" i="15"/>
  <c r="AO12" i="12"/>
  <c r="A12" i="11"/>
  <c r="AO12" i="8"/>
  <c r="AO12" i="23"/>
  <c r="A12" i="22"/>
  <c r="AO12" i="19"/>
  <c r="A12" i="18"/>
  <c r="AO12" i="15"/>
  <c r="A12" i="14"/>
  <c r="AO12" i="11"/>
  <c r="A12" i="10"/>
  <c r="AO12" i="7"/>
  <c r="AO12" i="24"/>
  <c r="AO12" i="22"/>
  <c r="A12" i="21"/>
  <c r="AO12" i="18"/>
  <c r="A12" i="17"/>
  <c r="AO12" i="14"/>
  <c r="A12" i="13"/>
  <c r="AO12" i="10"/>
  <c r="A12" i="9"/>
  <c r="AO12" i="4"/>
  <c r="A12" i="3"/>
  <c r="A12" i="6"/>
  <c r="AO12" i="3"/>
  <c r="A12" i="2"/>
  <c r="AO12" i="6"/>
  <c r="A12" i="5"/>
  <c r="AO12" i="2"/>
  <c r="AO12" i="9"/>
  <c r="A12" i="8"/>
  <c r="A12" i="7"/>
  <c r="AO12" i="5"/>
  <c r="A12" i="4"/>
  <c r="AO12" i="1"/>
  <c r="A12" i="1"/>
  <c r="AG2" i="61"/>
  <c r="BC115" i="61"/>
  <c r="DH115" i="61" s="1"/>
  <c r="A87" i="61"/>
  <c r="DB79" i="61"/>
  <c r="A21" i="53"/>
  <c r="AO21" i="53"/>
  <c r="C1" i="33"/>
  <c r="A21" i="25"/>
  <c r="A21" i="24"/>
  <c r="AO21" i="23"/>
  <c r="A21" i="22"/>
  <c r="AO21" i="19"/>
  <c r="A21" i="18"/>
  <c r="AO21" i="15"/>
  <c r="A21" i="14"/>
  <c r="AO21" i="11"/>
  <c r="A21" i="10"/>
  <c r="AO21" i="24"/>
  <c r="AO21" i="22"/>
  <c r="A21" i="21"/>
  <c r="AO21" i="18"/>
  <c r="A21" i="17"/>
  <c r="AO21" i="14"/>
  <c r="A21" i="13"/>
  <c r="AO21" i="10"/>
  <c r="A21" i="9"/>
  <c r="AO21" i="25"/>
  <c r="AO21" i="21"/>
  <c r="A21" i="20"/>
  <c r="AO21" i="17"/>
  <c r="A21" i="16"/>
  <c r="AO21" i="13"/>
  <c r="A21" i="12"/>
  <c r="AO21" i="9"/>
  <c r="A21" i="8"/>
  <c r="A21" i="23"/>
  <c r="AO21" i="20"/>
  <c r="A21" i="19"/>
  <c r="AO21" i="16"/>
  <c r="A21" i="15"/>
  <c r="AO21" i="12"/>
  <c r="A21" i="11"/>
  <c r="AO21" i="8"/>
  <c r="A21" i="7"/>
  <c r="AO21" i="6"/>
  <c r="A21" i="5"/>
  <c r="AO21" i="2"/>
  <c r="A21" i="1"/>
  <c r="AO21" i="1"/>
  <c r="AO21" i="5"/>
  <c r="A21" i="4"/>
  <c r="AO21" i="7"/>
  <c r="AO21" i="4"/>
  <c r="A21" i="3"/>
  <c r="A21" i="6"/>
  <c r="AO21" i="3"/>
  <c r="A21" i="2"/>
  <c r="BC99" i="61"/>
  <c r="DH99" i="61" s="1"/>
  <c r="A71" i="61"/>
  <c r="DB63" i="61"/>
  <c r="A5" i="53"/>
  <c r="BC129" i="61"/>
  <c r="AO5" i="53"/>
  <c r="C1" i="49"/>
  <c r="AO5" i="25"/>
  <c r="A5" i="25"/>
  <c r="AO5" i="22"/>
  <c r="A5" i="21"/>
  <c r="AO5" i="18"/>
  <c r="A5" i="17"/>
  <c r="AO5" i="14"/>
  <c r="A5" i="13"/>
  <c r="AO5" i="10"/>
  <c r="A5" i="24"/>
  <c r="AO5" i="21"/>
  <c r="A5" i="20"/>
  <c r="AO5" i="17"/>
  <c r="A5" i="16"/>
  <c r="AO5" i="13"/>
  <c r="A5" i="12"/>
  <c r="AO5" i="9"/>
  <c r="AO5" i="24"/>
  <c r="A5" i="23"/>
  <c r="AO5" i="20"/>
  <c r="A5" i="19"/>
  <c r="AO5" i="16"/>
  <c r="A5" i="15"/>
  <c r="AO5" i="12"/>
  <c r="A5" i="11"/>
  <c r="AO5" i="8"/>
  <c r="AO5" i="23"/>
  <c r="A5" i="22"/>
  <c r="AO5" i="19"/>
  <c r="A5" i="18"/>
  <c r="AO5" i="15"/>
  <c r="A5" i="14"/>
  <c r="AO5" i="11"/>
  <c r="A5" i="10"/>
  <c r="AO5" i="7"/>
  <c r="AO5" i="5"/>
  <c r="A5" i="4"/>
  <c r="AO5" i="1"/>
  <c r="A5" i="7"/>
  <c r="AO5" i="4"/>
  <c r="A5" i="3"/>
  <c r="A5" i="8"/>
  <c r="A5" i="6"/>
  <c r="AO5" i="3"/>
  <c r="A5" i="2"/>
  <c r="A5" i="9"/>
  <c r="AO5" i="6"/>
  <c r="A5" i="5"/>
  <c r="AO5" i="2"/>
  <c r="A5" i="1"/>
  <c r="AJ2" i="61"/>
  <c r="BC112" i="61"/>
  <c r="DH112" i="61" s="1"/>
  <c r="A84" i="61"/>
  <c r="DB76" i="61"/>
  <c r="A18" i="53"/>
  <c r="AO18" i="53"/>
  <c r="C1" i="36"/>
  <c r="A18" i="25"/>
  <c r="AO18" i="25"/>
  <c r="A18" i="24"/>
  <c r="AO18" i="24"/>
  <c r="AO18" i="21"/>
  <c r="A18" i="20"/>
  <c r="AO18" i="17"/>
  <c r="A18" i="16"/>
  <c r="AO18" i="13"/>
  <c r="A18" i="12"/>
  <c r="A18" i="23"/>
  <c r="AO18" i="20"/>
  <c r="A18" i="19"/>
  <c r="AO18" i="16"/>
  <c r="A18" i="15"/>
  <c r="AO18" i="12"/>
  <c r="A18" i="11"/>
  <c r="AO18" i="8"/>
  <c r="AO18" i="23"/>
  <c r="A18" i="22"/>
  <c r="AO18" i="19"/>
  <c r="A18" i="18"/>
  <c r="AO18" i="15"/>
  <c r="A18" i="14"/>
  <c r="AO18" i="11"/>
  <c r="A18" i="10"/>
  <c r="AO18" i="7"/>
  <c r="AO18" i="22"/>
  <c r="A18" i="21"/>
  <c r="AO18" i="18"/>
  <c r="A18" i="17"/>
  <c r="AO18" i="14"/>
  <c r="A18" i="13"/>
  <c r="AO18" i="10"/>
  <c r="A18" i="9"/>
  <c r="AO18" i="6"/>
  <c r="AO18" i="9"/>
  <c r="A18" i="8"/>
  <c r="A18" i="7"/>
  <c r="AO18" i="4"/>
  <c r="A18" i="3"/>
  <c r="A18" i="6"/>
  <c r="AO18" i="3"/>
  <c r="A18" i="2"/>
  <c r="A18" i="1"/>
  <c r="A18" i="5"/>
  <c r="AO18" i="2"/>
  <c r="AO18" i="5"/>
  <c r="A18" i="4"/>
  <c r="AO18" i="1"/>
  <c r="AI2" i="61"/>
  <c r="T69" i="61"/>
  <c r="DD4" i="61" s="1"/>
  <c r="BV69" i="61"/>
  <c r="B22" i="59"/>
  <c r="T2" i="56"/>
  <c r="Y186" i="61" s="1"/>
  <c r="W210" i="61" s="1"/>
  <c r="B22" i="50"/>
  <c r="B22" i="48"/>
  <c r="B22" i="49"/>
  <c r="B22" i="47"/>
  <c r="B22" i="46"/>
  <c r="B22" i="43"/>
  <c r="AD119" i="43" s="1"/>
  <c r="B22" i="45"/>
  <c r="B22" i="44"/>
  <c r="B22" i="42"/>
  <c r="B22" i="41"/>
  <c r="B22" i="40"/>
  <c r="B22" i="39"/>
  <c r="B22" i="38"/>
  <c r="B22" i="37"/>
  <c r="B22" i="36"/>
  <c r="B22" i="35"/>
  <c r="B22" i="34"/>
  <c r="B22" i="33"/>
  <c r="B22" i="32"/>
  <c r="B22" i="30"/>
  <c r="B22" i="26"/>
  <c r="B22" i="29"/>
  <c r="B22" i="28"/>
  <c r="B22" i="31"/>
  <c r="B22" i="27"/>
  <c r="B1" i="7"/>
  <c r="DC77" i="61"/>
  <c r="CN71" i="61"/>
  <c r="CN72" i="61"/>
  <c r="A52" i="59"/>
  <c r="DD85" i="61"/>
  <c r="DE85" i="61" s="1"/>
  <c r="DD69" i="61"/>
  <c r="DE69" i="61" s="1"/>
  <c r="DC69" i="61"/>
  <c r="A167" i="61"/>
  <c r="AB167" i="61"/>
  <c r="AB81" i="61"/>
  <c r="CK41" i="61"/>
  <c r="CG16" i="61"/>
  <c r="CH16" i="61" s="1"/>
  <c r="CI16" i="61" s="1"/>
  <c r="CK16" i="61"/>
  <c r="A45" i="50"/>
  <c r="A48" i="48"/>
  <c r="A53" i="49"/>
  <c r="AC53" i="48"/>
  <c r="AC49" i="48"/>
  <c r="O44" i="49"/>
  <c r="O40" i="44"/>
  <c r="O48" i="47"/>
  <c r="A56" i="45"/>
  <c r="A52" i="45"/>
  <c r="A45" i="44"/>
  <c r="O39" i="43"/>
  <c r="A49" i="43"/>
  <c r="A48" i="42"/>
  <c r="AC49" i="45"/>
  <c r="AC53" i="45"/>
  <c r="O47" i="43"/>
  <c r="O51" i="43"/>
  <c r="A61" i="44"/>
  <c r="A57" i="44"/>
  <c r="A52" i="43"/>
  <c r="A56" i="43"/>
  <c r="O40" i="42"/>
  <c r="O52" i="42"/>
  <c r="O56" i="42"/>
  <c r="A53" i="41"/>
  <c r="A56" i="39"/>
  <c r="A52" i="39"/>
  <c r="O51" i="37"/>
  <c r="O47" i="37"/>
  <c r="O48" i="41"/>
  <c r="O43" i="40"/>
  <c r="A56" i="37"/>
  <c r="A52" i="37"/>
  <c r="A44" i="36"/>
  <c r="O47" i="33"/>
  <c r="O51" i="33"/>
  <c r="A53" i="35"/>
  <c r="O63" i="32"/>
  <c r="A56" i="30"/>
  <c r="A52" i="30"/>
  <c r="O51" i="28"/>
  <c r="O47" i="28"/>
  <c r="O53" i="32"/>
  <c r="O47" i="31"/>
  <c r="O51" i="31"/>
  <c r="A48" i="29"/>
  <c r="AC49" i="34"/>
  <c r="AC53" i="34"/>
  <c r="A45" i="29"/>
  <c r="A45" i="27"/>
  <c r="O44" i="26"/>
  <c r="O48" i="29"/>
  <c r="O39" i="26"/>
  <c r="A48" i="26"/>
  <c r="A57" i="32"/>
  <c r="A61" i="32"/>
  <c r="A61" i="27"/>
  <c r="A57" i="27"/>
  <c r="A52" i="26"/>
  <c r="A56" i="26"/>
  <c r="Z155" i="61"/>
  <c r="BA155" i="61"/>
  <c r="BA69" i="61"/>
  <c r="BC110" i="61"/>
  <c r="DH110" i="61" s="1"/>
  <c r="DB74" i="61"/>
  <c r="A82" i="61"/>
  <c r="A16" i="53"/>
  <c r="AO16" i="53"/>
  <c r="BC140" i="61"/>
  <c r="C1" i="38"/>
  <c r="A16" i="25"/>
  <c r="AO16" i="25"/>
  <c r="A16" i="24"/>
  <c r="AO16" i="21"/>
  <c r="A16" i="20"/>
  <c r="AO16" i="17"/>
  <c r="A16" i="16"/>
  <c r="AO16" i="13"/>
  <c r="A16" i="12"/>
  <c r="AO16" i="24"/>
  <c r="A16" i="23"/>
  <c r="AO16" i="20"/>
  <c r="A16" i="19"/>
  <c r="AO16" i="16"/>
  <c r="A16" i="15"/>
  <c r="AO16" i="12"/>
  <c r="A16" i="11"/>
  <c r="AO16" i="8"/>
  <c r="AO16" i="23"/>
  <c r="A16" i="22"/>
  <c r="AO16" i="19"/>
  <c r="A16" i="18"/>
  <c r="AO16" i="15"/>
  <c r="A16" i="14"/>
  <c r="AO16" i="11"/>
  <c r="A16" i="10"/>
  <c r="AO16" i="7"/>
  <c r="AO16" i="22"/>
  <c r="A16" i="21"/>
  <c r="AO16" i="18"/>
  <c r="A16" i="17"/>
  <c r="AO16" i="14"/>
  <c r="A16" i="13"/>
  <c r="AO16" i="10"/>
  <c r="A16" i="9"/>
  <c r="AO16" i="4"/>
  <c r="A16" i="3"/>
  <c r="A16" i="6"/>
  <c r="AO16" i="3"/>
  <c r="A16" i="2"/>
  <c r="A16" i="1"/>
  <c r="A16" i="7"/>
  <c r="AO16" i="6"/>
  <c r="A16" i="5"/>
  <c r="AO16" i="2"/>
  <c r="AO16" i="9"/>
  <c r="A16" i="8"/>
  <c r="AO16" i="5"/>
  <c r="A16" i="4"/>
  <c r="AO16" i="1"/>
  <c r="Y69" i="61"/>
  <c r="DI4" i="61" s="1"/>
  <c r="CA69" i="61"/>
  <c r="B27" i="59"/>
  <c r="Y2" i="56"/>
  <c r="AD186" i="61" s="1"/>
  <c r="AB210" i="61" s="1"/>
  <c r="B27" i="50"/>
  <c r="B27" i="49"/>
  <c r="B27" i="48"/>
  <c r="B27" i="47"/>
  <c r="B27" i="44"/>
  <c r="B27" i="46"/>
  <c r="B27" i="45"/>
  <c r="B27" i="43"/>
  <c r="B27" i="42"/>
  <c r="B27" i="41"/>
  <c r="B27" i="40"/>
  <c r="B27" i="39"/>
  <c r="B27" i="38"/>
  <c r="B27" i="37"/>
  <c r="B27" i="33"/>
  <c r="B27" i="36"/>
  <c r="B27" i="35"/>
  <c r="B27" i="34"/>
  <c r="B27" i="31"/>
  <c r="B27" i="27"/>
  <c r="B27" i="30"/>
  <c r="B27" i="32"/>
  <c r="B27" i="29"/>
  <c r="B27" i="28"/>
  <c r="B27" i="26"/>
  <c r="B1" i="2"/>
  <c r="BC119" i="61"/>
  <c r="DH119" i="61" s="1"/>
  <c r="A91" i="61"/>
  <c r="DB83" i="61"/>
  <c r="AO25" i="53"/>
  <c r="BC149" i="61"/>
  <c r="A25" i="53"/>
  <c r="A25" i="25"/>
  <c r="C1" i="29"/>
  <c r="AO25" i="23"/>
  <c r="A25" i="22"/>
  <c r="AO25" i="19"/>
  <c r="A25" i="18"/>
  <c r="AO25" i="15"/>
  <c r="A25" i="14"/>
  <c r="AO25" i="11"/>
  <c r="A25" i="10"/>
  <c r="AO25" i="22"/>
  <c r="A25" i="21"/>
  <c r="AO25" i="18"/>
  <c r="A25" i="17"/>
  <c r="AO25" i="14"/>
  <c r="A25" i="13"/>
  <c r="AO25" i="10"/>
  <c r="A25" i="9"/>
  <c r="A25" i="24"/>
  <c r="AO25" i="21"/>
  <c r="A25" i="20"/>
  <c r="AO25" i="17"/>
  <c r="A25" i="16"/>
  <c r="AO25" i="13"/>
  <c r="A25" i="12"/>
  <c r="AO25" i="9"/>
  <c r="A25" i="8"/>
  <c r="AO25" i="25"/>
  <c r="AO25" i="24"/>
  <c r="A25" i="23"/>
  <c r="AO25" i="20"/>
  <c r="A25" i="19"/>
  <c r="AO25" i="16"/>
  <c r="A25" i="15"/>
  <c r="AO25" i="12"/>
  <c r="A25" i="11"/>
  <c r="AO25" i="8"/>
  <c r="A25" i="7"/>
  <c r="A25" i="5"/>
  <c r="AO25" i="2"/>
  <c r="AO25" i="7"/>
  <c r="A25" i="6"/>
  <c r="AO25" i="5"/>
  <c r="A25" i="4"/>
  <c r="AO25" i="1"/>
  <c r="AO25" i="6"/>
  <c r="AO25" i="4"/>
  <c r="A25" i="3"/>
  <c r="AO25" i="3"/>
  <c r="A25" i="2"/>
  <c r="A25" i="1"/>
  <c r="BC103" i="61"/>
  <c r="DH103" i="61" s="1"/>
  <c r="A75" i="61"/>
  <c r="DB67" i="61"/>
  <c r="A9" i="53"/>
  <c r="AO9" i="53"/>
  <c r="C1" i="45"/>
  <c r="A9" i="25"/>
  <c r="AO9" i="24"/>
  <c r="AO9" i="23"/>
  <c r="A9" i="21"/>
  <c r="AO9" i="19"/>
  <c r="A9" i="17"/>
  <c r="AO9" i="15"/>
  <c r="A9" i="13"/>
  <c r="AO9" i="11"/>
  <c r="AO9" i="22"/>
  <c r="A9" i="20"/>
  <c r="AO9" i="18"/>
  <c r="A9" i="16"/>
  <c r="AO9" i="14"/>
  <c r="A9" i="12"/>
  <c r="AO9" i="10"/>
  <c r="A9" i="8"/>
  <c r="A9" i="24"/>
  <c r="A9" i="23"/>
  <c r="AO9" i="21"/>
  <c r="A9" i="19"/>
  <c r="AO9" i="17"/>
  <c r="A9" i="15"/>
  <c r="AO9" i="13"/>
  <c r="A9" i="11"/>
  <c r="AO9" i="9"/>
  <c r="A9" i="7"/>
  <c r="AO9" i="25"/>
  <c r="A9" i="22"/>
  <c r="AO9" i="20"/>
  <c r="A9" i="18"/>
  <c r="AO9" i="16"/>
  <c r="A9" i="14"/>
  <c r="AO9" i="12"/>
  <c r="A9" i="10"/>
  <c r="AO9" i="8"/>
  <c r="AO9" i="7"/>
  <c r="AO9" i="6"/>
  <c r="A9" i="4"/>
  <c r="AO9" i="2"/>
  <c r="AO9" i="1"/>
  <c r="A9" i="9"/>
  <c r="AO9" i="5"/>
  <c r="A9" i="3"/>
  <c r="A9" i="6"/>
  <c r="AO9" i="4"/>
  <c r="A9" i="2"/>
  <c r="A9" i="5"/>
  <c r="AO9" i="3"/>
  <c r="A9" i="1"/>
  <c r="AF2" i="61"/>
  <c r="A88" i="61"/>
  <c r="BC116" i="61"/>
  <c r="DH116" i="61" s="1"/>
  <c r="DB80" i="61"/>
  <c r="A22" i="53"/>
  <c r="AO22" i="53"/>
  <c r="BC146" i="61"/>
  <c r="C1" i="32"/>
  <c r="A22" i="25"/>
  <c r="AO22" i="25"/>
  <c r="A22" i="24"/>
  <c r="AO22" i="21"/>
  <c r="A22" i="20"/>
  <c r="AO22" i="17"/>
  <c r="A22" i="16"/>
  <c r="AO22" i="13"/>
  <c r="A22" i="12"/>
  <c r="A22" i="23"/>
  <c r="AO22" i="20"/>
  <c r="A22" i="19"/>
  <c r="AO22" i="16"/>
  <c r="A22" i="15"/>
  <c r="AO22" i="12"/>
  <c r="A22" i="11"/>
  <c r="AO22" i="8"/>
  <c r="AO22" i="24"/>
  <c r="AO22" i="23"/>
  <c r="A22" i="22"/>
  <c r="AO22" i="19"/>
  <c r="A22" i="18"/>
  <c r="AO22" i="15"/>
  <c r="A22" i="14"/>
  <c r="AO22" i="11"/>
  <c r="A22" i="10"/>
  <c r="AO22" i="7"/>
  <c r="AO22" i="22"/>
  <c r="A22" i="21"/>
  <c r="AO22" i="18"/>
  <c r="A22" i="17"/>
  <c r="AO22" i="14"/>
  <c r="A22" i="13"/>
  <c r="AO22" i="10"/>
  <c r="A22" i="9"/>
  <c r="AO22" i="6"/>
  <c r="AO22" i="9"/>
  <c r="A22" i="8"/>
  <c r="AO22" i="4"/>
  <c r="A22" i="3"/>
  <c r="A22" i="6"/>
  <c r="AO22" i="3"/>
  <c r="A22" i="2"/>
  <c r="A22" i="1"/>
  <c r="A22" i="5"/>
  <c r="AO22" i="2"/>
  <c r="A22" i="7"/>
  <c r="AO22" i="5"/>
  <c r="A22" i="4"/>
  <c r="AO22" i="1"/>
  <c r="BC100" i="61"/>
  <c r="DH100" i="61" s="1"/>
  <c r="A72" i="61"/>
  <c r="DB64" i="61"/>
  <c r="AO6" i="53"/>
  <c r="BC130" i="61"/>
  <c r="A6" i="53"/>
  <c r="C1" i="48"/>
  <c r="AO6" i="25"/>
  <c r="AO6" i="24"/>
  <c r="A6" i="23"/>
  <c r="AO6" i="20"/>
  <c r="A6" i="19"/>
  <c r="AO6" i="16"/>
  <c r="A6" i="15"/>
  <c r="AO6" i="12"/>
  <c r="A6" i="11"/>
  <c r="A6" i="25"/>
  <c r="AO6" i="23"/>
  <c r="A6" i="22"/>
  <c r="AO6" i="19"/>
  <c r="A6" i="18"/>
  <c r="AO6" i="15"/>
  <c r="A6" i="14"/>
  <c r="AO6" i="11"/>
  <c r="A6" i="10"/>
  <c r="A6" i="24"/>
  <c r="AO6" i="22"/>
  <c r="A6" i="21"/>
  <c r="AO6" i="18"/>
  <c r="A6" i="17"/>
  <c r="AO6" i="14"/>
  <c r="A6" i="13"/>
  <c r="AO6" i="10"/>
  <c r="A6" i="9"/>
  <c r="AO6" i="21"/>
  <c r="A6" i="20"/>
  <c r="AO6" i="17"/>
  <c r="A6" i="16"/>
  <c r="AO6" i="13"/>
  <c r="A6" i="12"/>
  <c r="AO6" i="9"/>
  <c r="A6" i="8"/>
  <c r="AO6" i="7"/>
  <c r="A6" i="6"/>
  <c r="AO6" i="3"/>
  <c r="A6" i="2"/>
  <c r="AO6" i="6"/>
  <c r="A6" i="5"/>
  <c r="AO6" i="2"/>
  <c r="A6" i="1"/>
  <c r="AO6" i="8"/>
  <c r="A6" i="7"/>
  <c r="AO6" i="5"/>
  <c r="A6" i="4"/>
  <c r="AO6" i="1"/>
  <c r="AO6" i="4"/>
  <c r="A6" i="3"/>
  <c r="AE2" i="61"/>
  <c r="V4" i="68" s="1"/>
  <c r="AB171" i="61"/>
  <c r="A171" i="61"/>
  <c r="AB85" i="61"/>
  <c r="CK45" i="61"/>
  <c r="CK20" i="61"/>
  <c r="CG20" i="61"/>
  <c r="CH20" i="61" s="1"/>
  <c r="CI20" i="61" s="1"/>
  <c r="CN68" i="61"/>
  <c r="CN62" i="61"/>
  <c r="I69" i="61"/>
  <c r="CS4" i="61" s="1"/>
  <c r="BK69" i="61"/>
  <c r="B11" i="59"/>
  <c r="I2" i="56"/>
  <c r="N186" i="61" s="1"/>
  <c r="L210" i="61" s="1"/>
  <c r="B11" i="50"/>
  <c r="B11" i="49"/>
  <c r="B11" i="48"/>
  <c r="B11" i="47"/>
  <c r="B11" i="45"/>
  <c r="B11" i="44"/>
  <c r="B11" i="46"/>
  <c r="AD68" i="46" s="1"/>
  <c r="B11" i="41"/>
  <c r="B11" i="43"/>
  <c r="AD64" i="43" s="1"/>
  <c r="B11" i="42"/>
  <c r="B11" i="40"/>
  <c r="B11" i="38"/>
  <c r="B11" i="37"/>
  <c r="B11" i="39"/>
  <c r="B11" i="35"/>
  <c r="B11" i="34"/>
  <c r="B11" i="33"/>
  <c r="B11" i="36"/>
  <c r="B11" i="32"/>
  <c r="P67" i="32" s="1"/>
  <c r="B11" i="29"/>
  <c r="B11" i="28"/>
  <c r="B11" i="31"/>
  <c r="B11" i="27"/>
  <c r="B11" i="30"/>
  <c r="B11" i="26"/>
  <c r="B1" i="18"/>
  <c r="O52" i="59"/>
  <c r="AC58" i="59"/>
  <c r="AC53" i="59"/>
  <c r="O51" i="50"/>
  <c r="O47" i="50"/>
  <c r="A53" i="50"/>
  <c r="A44" i="48"/>
  <c r="O47" i="49"/>
  <c r="O51" i="49"/>
  <c r="A61" i="49"/>
  <c r="A57" i="49"/>
  <c r="O52" i="48"/>
  <c r="O56" i="48"/>
  <c r="A45" i="49"/>
  <c r="O40" i="49"/>
  <c r="A48" i="47"/>
  <c r="A53" i="47"/>
  <c r="A45" i="47"/>
  <c r="O40" i="47"/>
  <c r="AC69" i="46"/>
  <c r="AC73" i="46"/>
  <c r="O56" i="47"/>
  <c r="O52" i="47"/>
  <c r="A48" i="45"/>
  <c r="O44" i="44"/>
  <c r="AC44" i="41"/>
  <c r="AC48" i="41"/>
  <c r="A49" i="46"/>
  <c r="A53" i="42"/>
  <c r="A61" i="41"/>
  <c r="A57" i="41"/>
  <c r="O47" i="40"/>
  <c r="O51" i="40"/>
  <c r="A48" i="39"/>
  <c r="O56" i="41"/>
  <c r="O52" i="41"/>
  <c r="O44" i="39"/>
  <c r="A48" i="38"/>
  <c r="A48" i="37"/>
  <c r="A45" i="38"/>
  <c r="O40" i="37"/>
  <c r="AC44" i="35"/>
  <c r="AC48" i="35"/>
  <c r="O44" i="36"/>
  <c r="O40" i="33"/>
  <c r="AC53" i="39"/>
  <c r="AC49" i="39"/>
  <c r="O40" i="35"/>
  <c r="O68" i="32"/>
  <c r="A48" i="27"/>
  <c r="A61" i="35"/>
  <c r="A57" i="35"/>
  <c r="A53" i="34"/>
  <c r="O44" i="33"/>
  <c r="A48" i="30"/>
  <c r="O45" i="35"/>
  <c r="O48" i="32"/>
  <c r="O40" i="31"/>
  <c r="O47" i="27"/>
  <c r="O51" i="27"/>
  <c r="O48" i="36"/>
  <c r="A45" i="35"/>
  <c r="A53" i="33"/>
  <c r="O52" i="30"/>
  <c r="O56" i="30"/>
  <c r="A53" i="31"/>
  <c r="AC53" i="30"/>
  <c r="AC49" i="30"/>
  <c r="O56" i="29"/>
  <c r="O52" i="29"/>
  <c r="A53" i="28"/>
  <c r="O44" i="27"/>
  <c r="A53" i="29"/>
  <c r="A44" i="26"/>
  <c r="O45" i="29"/>
  <c r="AC49" i="27"/>
  <c r="AC53" i="27"/>
  <c r="BC114" i="61"/>
  <c r="DH114" i="61" s="1"/>
  <c r="A86" i="61"/>
  <c r="DB78" i="61"/>
  <c r="A20" i="53"/>
  <c r="AO20" i="53"/>
  <c r="BC144" i="61"/>
  <c r="C1" i="34"/>
  <c r="A20" i="25"/>
  <c r="AO20" i="25"/>
  <c r="A20" i="24"/>
  <c r="AO20" i="21"/>
  <c r="A20" i="20"/>
  <c r="AO20" i="17"/>
  <c r="A20" i="16"/>
  <c r="AO20" i="13"/>
  <c r="A20" i="12"/>
  <c r="A20" i="23"/>
  <c r="AO20" i="20"/>
  <c r="A20" i="19"/>
  <c r="AO20" i="16"/>
  <c r="A20" i="15"/>
  <c r="AO20" i="12"/>
  <c r="A20" i="11"/>
  <c r="AO20" i="8"/>
  <c r="AO20" i="23"/>
  <c r="A20" i="22"/>
  <c r="AO20" i="19"/>
  <c r="A20" i="18"/>
  <c r="AO20" i="15"/>
  <c r="A20" i="14"/>
  <c r="AO20" i="11"/>
  <c r="A20" i="10"/>
  <c r="AO20" i="7"/>
  <c r="AO20" i="24"/>
  <c r="AO20" i="22"/>
  <c r="A20" i="21"/>
  <c r="AO20" i="18"/>
  <c r="A20" i="17"/>
  <c r="AO20" i="14"/>
  <c r="A20" i="13"/>
  <c r="AO20" i="10"/>
  <c r="A20" i="9"/>
  <c r="AO20" i="6"/>
  <c r="AO20" i="4"/>
  <c r="A20" i="3"/>
  <c r="A20" i="1"/>
  <c r="A20" i="7"/>
  <c r="AO20" i="3"/>
  <c r="A20" i="2"/>
  <c r="A20" i="6"/>
  <c r="A20" i="5"/>
  <c r="AO20" i="2"/>
  <c r="AO20" i="9"/>
  <c r="A20" i="8"/>
  <c r="AO20" i="5"/>
  <c r="A20" i="4"/>
  <c r="AO20" i="1"/>
  <c r="D47" i="61"/>
  <c r="AD3" i="61"/>
  <c r="AO2" i="61"/>
  <c r="U69" i="61"/>
  <c r="DE4" i="61" s="1"/>
  <c r="BW69" i="61"/>
  <c r="B23" i="59"/>
  <c r="U2" i="56"/>
  <c r="Z186" i="61" s="1"/>
  <c r="X210" i="61" s="1"/>
  <c r="B23" i="50"/>
  <c r="B23" i="49"/>
  <c r="B23" i="48"/>
  <c r="B23" i="46"/>
  <c r="B23" i="45"/>
  <c r="B23" i="44"/>
  <c r="B23" i="47"/>
  <c r="B23" i="43"/>
  <c r="AD124" i="43" s="1"/>
  <c r="B23" i="40"/>
  <c r="B23" i="42"/>
  <c r="B23" i="41"/>
  <c r="B23" i="37"/>
  <c r="B23" i="39"/>
  <c r="B23" i="38"/>
  <c r="B23" i="34"/>
  <c r="B23" i="33"/>
  <c r="B23" i="36"/>
  <c r="B23" i="35"/>
  <c r="B23" i="32"/>
  <c r="B23" i="28"/>
  <c r="B23" i="31"/>
  <c r="B23" i="27"/>
  <c r="B23" i="30"/>
  <c r="B23" i="26"/>
  <c r="B23" i="29"/>
  <c r="B1" i="6"/>
  <c r="BC107" i="61"/>
  <c r="DH107" i="61" s="1"/>
  <c r="DB71" i="61"/>
  <c r="A79" i="61"/>
  <c r="A13" i="53"/>
  <c r="AO13" i="53"/>
  <c r="BC137" i="61"/>
  <c r="C1" i="41"/>
  <c r="A13" i="25"/>
  <c r="AO13" i="25"/>
  <c r="A13" i="24"/>
  <c r="AO13" i="23"/>
  <c r="A13" i="22"/>
  <c r="AO13" i="19"/>
  <c r="A13" i="18"/>
  <c r="AO13" i="15"/>
  <c r="A13" i="14"/>
  <c r="AO13" i="11"/>
  <c r="A13" i="10"/>
  <c r="AO13" i="24"/>
  <c r="AO13" i="22"/>
  <c r="A13" i="21"/>
  <c r="AO13" i="18"/>
  <c r="A13" i="17"/>
  <c r="AO13" i="14"/>
  <c r="A13" i="13"/>
  <c r="AO13" i="10"/>
  <c r="A13" i="9"/>
  <c r="AO13" i="21"/>
  <c r="A13" i="20"/>
  <c r="AO13" i="17"/>
  <c r="A13" i="16"/>
  <c r="AO13" i="13"/>
  <c r="A13" i="12"/>
  <c r="AO13" i="9"/>
  <c r="A13" i="8"/>
  <c r="A13" i="23"/>
  <c r="AO13" i="20"/>
  <c r="A13" i="19"/>
  <c r="AO13" i="16"/>
  <c r="A13" i="15"/>
  <c r="AO13" i="12"/>
  <c r="A13" i="11"/>
  <c r="AO13" i="8"/>
  <c r="A13" i="7"/>
  <c r="AO13" i="7"/>
  <c r="AO13" i="6"/>
  <c r="A13" i="5"/>
  <c r="AO13" i="2"/>
  <c r="AO13" i="5"/>
  <c r="A13" i="4"/>
  <c r="AO13" i="4"/>
  <c r="A13" i="3"/>
  <c r="A13" i="6"/>
  <c r="AO13" i="3"/>
  <c r="A13" i="2"/>
  <c r="A13" i="1"/>
  <c r="AO13" i="1"/>
  <c r="BC120" i="61"/>
  <c r="DH120" i="61" s="1"/>
  <c r="A92" i="61"/>
  <c r="DB84" i="61"/>
  <c r="A26" i="53"/>
  <c r="AO26" i="53"/>
  <c r="BC150" i="61"/>
  <c r="C1" i="28"/>
  <c r="A26" i="25"/>
  <c r="AO26" i="25"/>
  <c r="A26" i="24"/>
  <c r="AO26" i="24"/>
  <c r="AO26" i="21"/>
  <c r="A26" i="20"/>
  <c r="AO26" i="17"/>
  <c r="A26" i="16"/>
  <c r="AO26" i="13"/>
  <c r="A26" i="12"/>
  <c r="A26" i="23"/>
  <c r="AO26" i="20"/>
  <c r="A26" i="19"/>
  <c r="AO26" i="16"/>
  <c r="A26" i="15"/>
  <c r="AO26" i="12"/>
  <c r="A26" i="11"/>
  <c r="AO26" i="8"/>
  <c r="AO26" i="23"/>
  <c r="A26" i="22"/>
  <c r="AO26" i="19"/>
  <c r="A26" i="18"/>
  <c r="AO26" i="15"/>
  <c r="A26" i="14"/>
  <c r="AO26" i="11"/>
  <c r="A26" i="10"/>
  <c r="AO26" i="7"/>
  <c r="AO26" i="22"/>
  <c r="A26" i="21"/>
  <c r="AO26" i="18"/>
  <c r="A26" i="17"/>
  <c r="AO26" i="14"/>
  <c r="A26" i="13"/>
  <c r="AO26" i="10"/>
  <c r="A26" i="9"/>
  <c r="AO26" i="6"/>
  <c r="AO26" i="9"/>
  <c r="A26" i="8"/>
  <c r="AO26" i="4"/>
  <c r="A26" i="3"/>
  <c r="AO26" i="3"/>
  <c r="A26" i="2"/>
  <c r="A26" i="1"/>
  <c r="A26" i="7"/>
  <c r="A26" i="5"/>
  <c r="AO26" i="2"/>
  <c r="A26" i="6"/>
  <c r="AO26" i="5"/>
  <c r="A26" i="4"/>
  <c r="AO26" i="1"/>
  <c r="BC104" i="61"/>
  <c r="DH104" i="61" s="1"/>
  <c r="DB68" i="61"/>
  <c r="A76" i="61"/>
  <c r="BC134" i="61"/>
  <c r="A10" i="53"/>
  <c r="AO10" i="53"/>
  <c r="C1" i="44"/>
  <c r="A10" i="25"/>
  <c r="AO10" i="25"/>
  <c r="AO10" i="23"/>
  <c r="A10" i="21"/>
  <c r="AO10" i="19"/>
  <c r="A10" i="17"/>
  <c r="AO10" i="15"/>
  <c r="A10" i="13"/>
  <c r="AO10" i="11"/>
  <c r="A10" i="24"/>
  <c r="AO10" i="22"/>
  <c r="A10" i="20"/>
  <c r="AO10" i="18"/>
  <c r="A10" i="16"/>
  <c r="AO10" i="14"/>
  <c r="A10" i="12"/>
  <c r="AO10" i="10"/>
  <c r="A10" i="8"/>
  <c r="A10" i="23"/>
  <c r="AO10" i="21"/>
  <c r="A10" i="19"/>
  <c r="AO10" i="17"/>
  <c r="A10" i="15"/>
  <c r="AO10" i="13"/>
  <c r="A10" i="11"/>
  <c r="AO10" i="9"/>
  <c r="A10" i="7"/>
  <c r="AO10" i="24"/>
  <c r="A10" i="22"/>
  <c r="AO10" i="20"/>
  <c r="A10" i="18"/>
  <c r="AO10" i="16"/>
  <c r="A10" i="14"/>
  <c r="AO10" i="12"/>
  <c r="A10" i="10"/>
  <c r="AO10" i="8"/>
  <c r="AO10" i="6"/>
  <c r="A10" i="4"/>
  <c r="AO10" i="2"/>
  <c r="AO10" i="5"/>
  <c r="A10" i="3"/>
  <c r="AO10" i="1"/>
  <c r="A10" i="9"/>
  <c r="AO10" i="7"/>
  <c r="A10" i="6"/>
  <c r="AO10" i="4"/>
  <c r="A10" i="2"/>
  <c r="A10" i="5"/>
  <c r="AO10" i="3"/>
  <c r="A10" i="1"/>
  <c r="F31" i="61"/>
  <c r="G31" i="61"/>
  <c r="G34" i="61" s="1"/>
  <c r="AX155" i="61"/>
  <c r="W155" i="61"/>
  <c r="AX69" i="61"/>
  <c r="X69" i="61"/>
  <c r="DH4" i="61" s="1"/>
  <c r="BZ69" i="61"/>
  <c r="B26" i="59"/>
  <c r="X2" i="56"/>
  <c r="AC186" i="61" s="1"/>
  <c r="AA210" i="61" s="1"/>
  <c r="B26" i="50"/>
  <c r="B26" i="49"/>
  <c r="B26" i="48"/>
  <c r="B26" i="47"/>
  <c r="B26" i="46"/>
  <c r="B26" i="45"/>
  <c r="B26" i="44"/>
  <c r="B26" i="43"/>
  <c r="B26" i="41"/>
  <c r="B26" i="42"/>
  <c r="B26" i="38"/>
  <c r="B26" i="37"/>
  <c r="B26" i="40"/>
  <c r="B26" i="39"/>
  <c r="B26" i="35"/>
  <c r="B26" i="34"/>
  <c r="B26" i="33"/>
  <c r="B26" i="36"/>
  <c r="B26" i="32"/>
  <c r="B26" i="29"/>
  <c r="B26" i="28"/>
  <c r="B26" i="31"/>
  <c r="B26" i="27"/>
  <c r="B26" i="30"/>
  <c r="B26" i="26"/>
  <c r="B1" i="3"/>
  <c r="P69" i="61"/>
  <c r="CZ4" i="61" s="1"/>
  <c r="BR69" i="61"/>
  <c r="B18" i="59"/>
  <c r="P2" i="56"/>
  <c r="U186" i="61" s="1"/>
  <c r="S210" i="61" s="1"/>
  <c r="B18" i="50"/>
  <c r="B18" i="49"/>
  <c r="B18" i="48"/>
  <c r="B18" i="47"/>
  <c r="B18" i="46"/>
  <c r="B18" i="45"/>
  <c r="B18" i="44"/>
  <c r="B18" i="41"/>
  <c r="B18" i="43"/>
  <c r="AD99" i="43" s="1"/>
  <c r="B18" i="42"/>
  <c r="B18" i="38"/>
  <c r="B18" i="40"/>
  <c r="B18" i="37"/>
  <c r="B18" i="39"/>
  <c r="B18" i="35"/>
  <c r="B18" i="34"/>
  <c r="B18" i="33"/>
  <c r="B18" i="36"/>
  <c r="B18" i="32"/>
  <c r="B18" i="29"/>
  <c r="B18" i="28"/>
  <c r="B18" i="31"/>
  <c r="B18" i="27"/>
  <c r="B18" i="30"/>
  <c r="B18" i="26"/>
  <c r="B1" i="11"/>
  <c r="CN64" i="61"/>
  <c r="CN63" i="61"/>
  <c r="CN66" i="61"/>
  <c r="DC81" i="61"/>
  <c r="DD81" i="61"/>
  <c r="DE81" i="61" s="1"/>
  <c r="DC65" i="61"/>
  <c r="DD65" i="61"/>
  <c r="DE65" i="61" s="1"/>
  <c r="M69" i="61"/>
  <c r="CW4" i="61" s="1"/>
  <c r="BO69" i="61"/>
  <c r="B15" i="59"/>
  <c r="M2" i="56"/>
  <c r="R186" i="61" s="1"/>
  <c r="P210" i="61" s="1"/>
  <c r="B15" i="50"/>
  <c r="B15" i="49"/>
  <c r="B15" i="48"/>
  <c r="B15" i="47"/>
  <c r="B15" i="44"/>
  <c r="B15" i="46"/>
  <c r="B15" i="45"/>
  <c r="B15" i="42"/>
  <c r="B15" i="43"/>
  <c r="AD84" i="43" s="1"/>
  <c r="B15" i="41"/>
  <c r="B15" i="40"/>
  <c r="B15" i="39"/>
  <c r="B15" i="38"/>
  <c r="B15" i="37"/>
  <c r="B15" i="33"/>
  <c r="B15" i="36"/>
  <c r="B15" i="35"/>
  <c r="B15" i="34"/>
  <c r="B15" i="31"/>
  <c r="B15" i="27"/>
  <c r="B15" i="30"/>
  <c r="B15" i="29"/>
  <c r="B15" i="32"/>
  <c r="B15" i="28"/>
  <c r="B15" i="26"/>
  <c r="B1" i="14"/>
  <c r="A57" i="59"/>
  <c r="A62" i="59"/>
  <c r="O48" i="59"/>
  <c r="O62" i="59"/>
  <c r="O57" i="59"/>
  <c r="A48" i="50"/>
  <c r="A61" i="50"/>
  <c r="A57" i="50"/>
  <c r="O44" i="48"/>
  <c r="AC49" i="49"/>
  <c r="AC53" i="49"/>
  <c r="AC44" i="47"/>
  <c r="AC48" i="47"/>
  <c r="O43" i="47"/>
  <c r="A48" i="44"/>
  <c r="A61" i="47"/>
  <c r="A57" i="47"/>
  <c r="O51" i="45"/>
  <c r="O47" i="45"/>
  <c r="A44" i="46"/>
  <c r="A44" i="45"/>
  <c r="O40" i="45"/>
  <c r="A44" i="43"/>
  <c r="A48" i="41"/>
  <c r="O45" i="42"/>
  <c r="A48" i="40"/>
  <c r="A61" i="42"/>
  <c r="A57" i="42"/>
  <c r="O48" i="42"/>
  <c r="AC59" i="40"/>
  <c r="AC63" i="40"/>
  <c r="A45" i="41"/>
  <c r="A44" i="39"/>
  <c r="A53" i="40"/>
  <c r="O39" i="39"/>
  <c r="A44" i="37"/>
  <c r="A53" i="38"/>
  <c r="O48" i="38"/>
  <c r="A56" i="36"/>
  <c r="A52" i="36"/>
  <c r="O51" i="34"/>
  <c r="O47" i="34"/>
  <c r="O39" i="36"/>
  <c r="A48" i="34"/>
  <c r="O48" i="35"/>
  <c r="A45" i="33"/>
  <c r="A48" i="31"/>
  <c r="A61" i="34"/>
  <c r="A57" i="34"/>
  <c r="A44" i="30"/>
  <c r="A45" i="34"/>
  <c r="O76" i="32"/>
  <c r="O72" i="32"/>
  <c r="O44" i="30"/>
  <c r="O40" i="27"/>
  <c r="A61" i="33"/>
  <c r="A57" i="33"/>
  <c r="A48" i="28"/>
  <c r="A45" i="32"/>
  <c r="A61" i="31"/>
  <c r="A57" i="31"/>
  <c r="A61" i="28"/>
  <c r="A57" i="28"/>
  <c r="A50" i="32"/>
  <c r="A61" i="29"/>
  <c r="A57" i="29"/>
  <c r="A53" i="32"/>
  <c r="O44" i="31"/>
  <c r="AC49" i="28"/>
  <c r="AC53" i="28"/>
  <c r="O56" i="26"/>
  <c r="O52" i="26"/>
  <c r="AC53" i="26"/>
  <c r="AC49" i="26"/>
  <c r="BC118" i="61"/>
  <c r="DH118" i="61" s="1"/>
  <c r="A90" i="61"/>
  <c r="DB82" i="61"/>
  <c r="A24" i="53"/>
  <c r="BC148" i="61"/>
  <c r="AO24" i="53"/>
  <c r="C1" i="30"/>
  <c r="A24" i="25"/>
  <c r="AO24" i="25"/>
  <c r="A24" i="24"/>
  <c r="AO24" i="21"/>
  <c r="A24" i="20"/>
  <c r="AO24" i="17"/>
  <c r="A24" i="16"/>
  <c r="AO24" i="13"/>
  <c r="A24" i="12"/>
  <c r="AO24" i="24"/>
  <c r="A24" i="23"/>
  <c r="AO24" i="20"/>
  <c r="A24" i="19"/>
  <c r="AO24" i="16"/>
  <c r="A24" i="15"/>
  <c r="AO24" i="12"/>
  <c r="A24" i="11"/>
  <c r="AO24" i="8"/>
  <c r="AO24" i="23"/>
  <c r="A24" i="22"/>
  <c r="AO24" i="19"/>
  <c r="A24" i="18"/>
  <c r="AO24" i="15"/>
  <c r="A24" i="14"/>
  <c r="AO24" i="11"/>
  <c r="A24" i="10"/>
  <c r="AO24" i="7"/>
  <c r="AO24" i="22"/>
  <c r="A24" i="21"/>
  <c r="AO24" i="18"/>
  <c r="A24" i="17"/>
  <c r="AO24" i="14"/>
  <c r="A24" i="13"/>
  <c r="AO24" i="10"/>
  <c r="A24" i="9"/>
  <c r="AO24" i="6"/>
  <c r="A24" i="7"/>
  <c r="A24" i="6"/>
  <c r="AO24" i="4"/>
  <c r="A24" i="3"/>
  <c r="AO24" i="3"/>
  <c r="A24" i="2"/>
  <c r="A24" i="5"/>
  <c r="AO24" i="2"/>
  <c r="AO24" i="9"/>
  <c r="A24" i="8"/>
  <c r="AO24" i="5"/>
  <c r="A24" i="4"/>
  <c r="AO24" i="1"/>
  <c r="A24" i="1"/>
  <c r="BC102" i="61"/>
  <c r="DH102" i="61" s="1"/>
  <c r="A74" i="61"/>
  <c r="DB66" i="61"/>
  <c r="BC132" i="61"/>
  <c r="A8" i="53"/>
  <c r="AO8" i="53"/>
  <c r="C1" i="46"/>
  <c r="AO8" i="25"/>
  <c r="A8" i="23"/>
  <c r="AO8" i="21"/>
  <c r="A8" i="19"/>
  <c r="AO8" i="17"/>
  <c r="A8" i="15"/>
  <c r="AO8" i="13"/>
  <c r="A8" i="11"/>
  <c r="A8" i="24"/>
  <c r="A8" i="22"/>
  <c r="AO8" i="20"/>
  <c r="A8" i="18"/>
  <c r="AO8" i="16"/>
  <c r="A8" i="14"/>
  <c r="AO8" i="12"/>
  <c r="A8" i="10"/>
  <c r="AO8" i="8"/>
  <c r="A8" i="25"/>
  <c r="AO8" i="24"/>
  <c r="AO8" i="23"/>
  <c r="A8" i="21"/>
  <c r="AO8" i="19"/>
  <c r="A8" i="17"/>
  <c r="AO8" i="15"/>
  <c r="A8" i="13"/>
  <c r="AO8" i="11"/>
  <c r="A8" i="9"/>
  <c r="AO8" i="7"/>
  <c r="AO8" i="22"/>
  <c r="A8" i="20"/>
  <c r="AO8" i="18"/>
  <c r="A8" i="16"/>
  <c r="AO8" i="14"/>
  <c r="A8" i="12"/>
  <c r="AO8" i="10"/>
  <c r="A8" i="8"/>
  <c r="A8" i="6"/>
  <c r="AO8" i="4"/>
  <c r="A8" i="2"/>
  <c r="AO8" i="9"/>
  <c r="A8" i="5"/>
  <c r="AO8" i="3"/>
  <c r="A8" i="7"/>
  <c r="AO8" i="6"/>
  <c r="A8" i="4"/>
  <c r="AO8" i="2"/>
  <c r="AO8" i="5"/>
  <c r="A8" i="3"/>
  <c r="AO8" i="1"/>
  <c r="A8" i="1"/>
  <c r="AK2" i="61"/>
  <c r="Q69" i="61"/>
  <c r="DA4" i="61" s="1"/>
  <c r="BS69" i="61"/>
  <c r="B19" i="59"/>
  <c r="Q2" i="56"/>
  <c r="V186" i="61" s="1"/>
  <c r="T210" i="61" s="1"/>
  <c r="B19" i="50"/>
  <c r="B19" i="49"/>
  <c r="B19" i="48"/>
  <c r="B19" i="47"/>
  <c r="B19" i="44"/>
  <c r="B19" i="46"/>
  <c r="B19" i="45"/>
  <c r="B19" i="43"/>
  <c r="B19" i="42"/>
  <c r="B19" i="41"/>
  <c r="B19" i="40"/>
  <c r="B19" i="39"/>
  <c r="B19" i="38"/>
  <c r="B19" i="37"/>
  <c r="B19" i="33"/>
  <c r="B19" i="36"/>
  <c r="B19" i="35"/>
  <c r="B19" i="34"/>
  <c r="B19" i="31"/>
  <c r="B19" i="27"/>
  <c r="B19" i="30"/>
  <c r="B19" i="29"/>
  <c r="B19" i="32"/>
  <c r="B19" i="28"/>
  <c r="B19" i="26"/>
  <c r="B1" i="10"/>
  <c r="BC111" i="61"/>
  <c r="DH111" i="61" s="1"/>
  <c r="A83" i="61"/>
  <c r="DB75" i="61"/>
  <c r="AO17" i="53"/>
  <c r="BC141" i="61"/>
  <c r="A17" i="53"/>
  <c r="C1" i="37"/>
  <c r="A17" i="25"/>
  <c r="AO17" i="23"/>
  <c r="A17" i="22"/>
  <c r="AO17" i="19"/>
  <c r="A17" i="18"/>
  <c r="AO17" i="15"/>
  <c r="A17" i="14"/>
  <c r="AO17" i="11"/>
  <c r="A17" i="10"/>
  <c r="AO17" i="25"/>
  <c r="AO17" i="22"/>
  <c r="A17" i="21"/>
  <c r="AO17" i="18"/>
  <c r="A17" i="17"/>
  <c r="AO17" i="14"/>
  <c r="A17" i="13"/>
  <c r="AO17" i="10"/>
  <c r="A17" i="9"/>
  <c r="A17" i="24"/>
  <c r="AO17" i="21"/>
  <c r="A17" i="20"/>
  <c r="AO17" i="17"/>
  <c r="A17" i="16"/>
  <c r="AO17" i="13"/>
  <c r="A17" i="12"/>
  <c r="AO17" i="9"/>
  <c r="A17" i="8"/>
  <c r="AO17" i="24"/>
  <c r="A17" i="23"/>
  <c r="AO17" i="20"/>
  <c r="A17" i="19"/>
  <c r="AO17" i="16"/>
  <c r="A17" i="15"/>
  <c r="AO17" i="12"/>
  <c r="A17" i="11"/>
  <c r="AO17" i="8"/>
  <c r="A17" i="7"/>
  <c r="AO17" i="6"/>
  <c r="A17" i="5"/>
  <c r="AO17" i="2"/>
  <c r="AO17" i="5"/>
  <c r="A17" i="4"/>
  <c r="AO17" i="4"/>
  <c r="A17" i="3"/>
  <c r="AO17" i="7"/>
  <c r="A17" i="6"/>
  <c r="AO17" i="3"/>
  <c r="A17" i="2"/>
  <c r="A17" i="1"/>
  <c r="AO17" i="1"/>
  <c r="AN2" i="61"/>
  <c r="BC108" i="61"/>
  <c r="DH108" i="61" s="1"/>
  <c r="DB72" i="61"/>
  <c r="A80" i="61"/>
  <c r="A14" i="53"/>
  <c r="BC138" i="61"/>
  <c r="AO14" i="53"/>
  <c r="C1" i="40"/>
  <c r="A14" i="25"/>
  <c r="AO14" i="25"/>
  <c r="A14" i="24"/>
  <c r="AO14" i="21"/>
  <c r="A14" i="20"/>
  <c r="AO14" i="17"/>
  <c r="A14" i="16"/>
  <c r="AO14" i="13"/>
  <c r="A14" i="12"/>
  <c r="A14" i="23"/>
  <c r="AO14" i="20"/>
  <c r="A14" i="19"/>
  <c r="AO14" i="16"/>
  <c r="A14" i="15"/>
  <c r="AO14" i="12"/>
  <c r="A14" i="11"/>
  <c r="AO14" i="8"/>
  <c r="AO14" i="24"/>
  <c r="AO14" i="23"/>
  <c r="A14" i="22"/>
  <c r="AO14" i="19"/>
  <c r="A14" i="18"/>
  <c r="AO14" i="15"/>
  <c r="A14" i="14"/>
  <c r="AO14" i="11"/>
  <c r="A14" i="10"/>
  <c r="AO14" i="7"/>
  <c r="AO14" i="22"/>
  <c r="A14" i="21"/>
  <c r="AO14" i="18"/>
  <c r="A14" i="17"/>
  <c r="AO14" i="14"/>
  <c r="A14" i="13"/>
  <c r="AO14" i="10"/>
  <c r="A14" i="9"/>
  <c r="AO14" i="9"/>
  <c r="A14" i="8"/>
  <c r="AO14" i="4"/>
  <c r="A14" i="3"/>
  <c r="A14" i="7"/>
  <c r="A14" i="6"/>
  <c r="AO14" i="3"/>
  <c r="A14" i="2"/>
  <c r="AO14" i="6"/>
  <c r="A14" i="5"/>
  <c r="AO14" i="2"/>
  <c r="A14" i="1"/>
  <c r="AO14" i="5"/>
  <c r="A14" i="4"/>
  <c r="AO14" i="1"/>
  <c r="AM2" i="61"/>
  <c r="CN67" i="61"/>
  <c r="CN70" i="61"/>
  <c r="AB175" i="61"/>
  <c r="A175" i="61"/>
  <c r="AB89" i="61"/>
  <c r="CK24" i="61"/>
  <c r="CK49" i="61"/>
  <c r="CG24" i="61"/>
  <c r="CH24" i="61" s="1"/>
  <c r="CI24" i="61" s="1"/>
  <c r="AB159" i="61"/>
  <c r="A159" i="61"/>
  <c r="AB73" i="61"/>
  <c r="CK33" i="61"/>
  <c r="CG8" i="61"/>
  <c r="CH8" i="61" s="1"/>
  <c r="CI8" i="61" s="1"/>
  <c r="CK8" i="61"/>
  <c r="AB179" i="61"/>
  <c r="A179" i="61"/>
  <c r="AB93" i="61"/>
  <c r="CK53" i="61"/>
  <c r="CG28" i="61"/>
  <c r="CH28" i="61" s="1"/>
  <c r="CI28" i="61" s="1"/>
  <c r="CK28" i="61"/>
  <c r="AB163" i="61"/>
  <c r="A163" i="61"/>
  <c r="AB77" i="61"/>
  <c r="CK37" i="61"/>
  <c r="CG12" i="61"/>
  <c r="CH12" i="61" s="1"/>
  <c r="CI12" i="61" s="1"/>
  <c r="CK12" i="61"/>
  <c r="DC73" i="61"/>
  <c r="E69" i="61"/>
  <c r="CO4" i="61" s="1"/>
  <c r="BG69" i="61"/>
  <c r="E2" i="56"/>
  <c r="J186" i="61" s="1"/>
  <c r="H210" i="61" s="1"/>
  <c r="B7" i="59"/>
  <c r="AD47" i="59" s="1"/>
  <c r="B7" i="50"/>
  <c r="AD48" i="50" s="1"/>
  <c r="B7" i="49"/>
  <c r="B7" i="48"/>
  <c r="AD48" i="48" s="1"/>
  <c r="B7" i="47"/>
  <c r="P47" i="47" s="1"/>
  <c r="B7" i="45"/>
  <c r="B7" i="46"/>
  <c r="B7" i="44"/>
  <c r="B7" i="41"/>
  <c r="P47" i="41" s="1"/>
  <c r="B7" i="43"/>
  <c r="B7" i="42"/>
  <c r="AD44" i="42" s="1"/>
  <c r="B7" i="38"/>
  <c r="P47" i="38" s="1"/>
  <c r="B7" i="37"/>
  <c r="AD48" i="37" s="1"/>
  <c r="B7" i="40"/>
  <c r="B7" i="39"/>
  <c r="B7" i="35"/>
  <c r="P47" i="35" s="1"/>
  <c r="B7" i="34"/>
  <c r="B7" i="33"/>
  <c r="P39" i="33" s="1"/>
  <c r="B7" i="36"/>
  <c r="P47" i="36" s="1"/>
  <c r="B7" i="32"/>
  <c r="P47" i="32" s="1"/>
  <c r="B7" i="29"/>
  <c r="P47" i="29" s="1"/>
  <c r="B7" i="28"/>
  <c r="B7" i="31"/>
  <c r="P43" i="31" s="1"/>
  <c r="Q43" i="31" s="1"/>
  <c r="B7" i="27"/>
  <c r="P39" i="27" s="1"/>
  <c r="B7" i="30"/>
  <c r="P51" i="30" s="1"/>
  <c r="B7" i="26"/>
  <c r="P51" i="26" s="1"/>
  <c r="B1" i="22"/>
  <c r="O43" i="50"/>
  <c r="A48" i="49"/>
  <c r="A56" i="48"/>
  <c r="A52" i="48"/>
  <c r="AC49" i="50"/>
  <c r="AC53" i="50"/>
  <c r="O39" i="48"/>
  <c r="O48" i="48"/>
  <c r="A56" i="46"/>
  <c r="A52" i="46"/>
  <c r="O39" i="46"/>
  <c r="O43" i="46"/>
  <c r="O47" i="44"/>
  <c r="O51" i="44"/>
  <c r="O47" i="46"/>
  <c r="O51" i="46"/>
  <c r="AC44" i="44"/>
  <c r="AC48" i="44"/>
  <c r="O43" i="43"/>
  <c r="AC133" i="43"/>
  <c r="AC129" i="43"/>
  <c r="AD129" i="43" s="1"/>
  <c r="O45" i="45"/>
  <c r="O43" i="41"/>
  <c r="A53" i="44"/>
  <c r="AC44" i="38"/>
  <c r="AC48" i="38"/>
  <c r="AC53" i="42"/>
  <c r="AC49" i="42"/>
  <c r="O40" i="41"/>
  <c r="A61" i="40"/>
  <c r="A57" i="40"/>
  <c r="A45" i="40"/>
  <c r="A45" i="42"/>
  <c r="O47" i="39"/>
  <c r="O51" i="39"/>
  <c r="O43" i="37"/>
  <c r="A48" i="33"/>
  <c r="A61" i="38"/>
  <c r="A57" i="38"/>
  <c r="O56" i="38"/>
  <c r="O52" i="38"/>
  <c r="A48" i="36"/>
  <c r="A48" i="35"/>
  <c r="AC49" i="37"/>
  <c r="AC53" i="37"/>
  <c r="O43" i="34"/>
  <c r="AC53" i="36"/>
  <c r="AC49" i="36"/>
  <c r="O56" i="35"/>
  <c r="O52" i="35"/>
  <c r="AC44" i="29"/>
  <c r="AC48" i="29"/>
  <c r="O58" i="32"/>
  <c r="O39" i="30"/>
  <c r="O52" i="36"/>
  <c r="O56" i="36"/>
  <c r="AC49" i="33"/>
  <c r="AC53" i="33"/>
  <c r="O44" i="32"/>
  <c r="O43" i="28"/>
  <c r="O48" i="30"/>
  <c r="O48" i="26"/>
  <c r="AC49" i="31"/>
  <c r="AC53" i="31"/>
  <c r="O40" i="29"/>
  <c r="A45" i="31"/>
  <c r="A45" i="28"/>
  <c r="AC49" i="32"/>
  <c r="AC53" i="32"/>
  <c r="A53" i="27"/>
  <c r="O4" i="67" l="1"/>
  <c r="I33" i="68"/>
  <c r="DU125" i="61"/>
  <c r="FB97" i="61"/>
  <c r="FF97" i="61"/>
  <c r="EK125" i="61"/>
  <c r="EG125" i="61"/>
  <c r="S16" i="1"/>
  <c r="CB75" i="61" s="1"/>
  <c r="BN97" i="61"/>
  <c r="DT97" i="61" s="1"/>
  <c r="FM125" i="61" s="1"/>
  <c r="AE4" i="68"/>
  <c r="BK97" i="61"/>
  <c r="DQ97" i="61" s="1"/>
  <c r="FJ125" i="61" s="1"/>
  <c r="AB4" i="68"/>
  <c r="BO97" i="61"/>
  <c r="DU97" i="61" s="1"/>
  <c r="FN125" i="61" s="1"/>
  <c r="AF4" i="68"/>
  <c r="AR5" i="68"/>
  <c r="AR31" i="68"/>
  <c r="J6" i="68"/>
  <c r="U6" i="68"/>
  <c r="BG97" i="61"/>
  <c r="DM97" i="61" s="1"/>
  <c r="FF125" i="61" s="1"/>
  <c r="X4" i="68"/>
  <c r="BR97" i="61"/>
  <c r="DX97" i="61" s="1"/>
  <c r="FQ125" i="61" s="1"/>
  <c r="AI4" i="68"/>
  <c r="BW97" i="61"/>
  <c r="EC97" i="61" s="1"/>
  <c r="EJ125" i="61" s="1"/>
  <c r="AN4" i="68"/>
  <c r="AO31" i="68"/>
  <c r="AO5" i="68"/>
  <c r="BM97" i="61"/>
  <c r="DS97" i="61" s="1"/>
  <c r="FL125" i="61" s="1"/>
  <c r="AD4" i="68"/>
  <c r="BF97" i="61"/>
  <c r="DL97" i="61" s="1"/>
  <c r="FE125" i="61" s="1"/>
  <c r="W4" i="68"/>
  <c r="BI97" i="61"/>
  <c r="DO97" i="61" s="1"/>
  <c r="FH125" i="61" s="1"/>
  <c r="Z4" i="68"/>
  <c r="Y31" i="68"/>
  <c r="Y5" i="68"/>
  <c r="V31" i="68"/>
  <c r="V5" i="68"/>
  <c r="BJ97" i="61"/>
  <c r="DP97" i="61" s="1"/>
  <c r="FI125" i="61" s="1"/>
  <c r="AA4" i="68"/>
  <c r="BQ97" i="61"/>
  <c r="DW97" i="61" s="1"/>
  <c r="FP125" i="61" s="1"/>
  <c r="AH4" i="68"/>
  <c r="BS97" i="61"/>
  <c r="DY97" i="61" s="1"/>
  <c r="FA100" i="61" s="1"/>
  <c r="AJ4" i="68"/>
  <c r="AL31" i="68"/>
  <c r="AL5" i="68"/>
  <c r="AM5" i="68"/>
  <c r="AM31" i="68"/>
  <c r="AC31" i="68"/>
  <c r="AC5" i="68"/>
  <c r="AK31" i="68"/>
  <c r="AK5" i="68"/>
  <c r="AS31" i="68"/>
  <c r="AS5" i="68"/>
  <c r="AG31" i="68"/>
  <c r="AG5" i="68"/>
  <c r="BE97" i="61"/>
  <c r="DK97" i="61" s="1"/>
  <c r="FD125" i="61" s="1"/>
  <c r="S18" i="5"/>
  <c r="BX77" i="61" s="1"/>
  <c r="S21" i="5"/>
  <c r="BX80" i="61" s="1"/>
  <c r="FA115" i="61"/>
  <c r="S33" i="5"/>
  <c r="BX92" i="61" s="1"/>
  <c r="ER97" i="61"/>
  <c r="EW97" i="61"/>
  <c r="S19" i="1"/>
  <c r="CB78" i="61" s="1"/>
  <c r="S33" i="4"/>
  <c r="BY92" i="61" s="1"/>
  <c r="S20" i="4"/>
  <c r="BY79" i="61" s="1"/>
  <c r="S32" i="5"/>
  <c r="BX91" i="61" s="1"/>
  <c r="S19" i="5"/>
  <c r="BX78" i="61" s="1"/>
  <c r="S15" i="4"/>
  <c r="BY74" i="61" s="1"/>
  <c r="S25" i="5"/>
  <c r="BX84" i="61" s="1"/>
  <c r="S27" i="5"/>
  <c r="BX86" i="61" s="1"/>
  <c r="S18" i="1"/>
  <c r="CB77" i="61" s="1"/>
  <c r="S20" i="5"/>
  <c r="BX79" i="61" s="1"/>
  <c r="S25" i="1"/>
  <c r="CB84" i="61" s="1"/>
  <c r="S23" i="4"/>
  <c r="BY82" i="61" s="1"/>
  <c r="S19" i="4"/>
  <c r="BY78" i="61" s="1"/>
  <c r="S12" i="4"/>
  <c r="BY71" i="61" s="1"/>
  <c r="S32" i="4"/>
  <c r="BY91" i="61" s="1"/>
  <c r="S29" i="5"/>
  <c r="BX88" i="61" s="1"/>
  <c r="S29" i="4"/>
  <c r="BY88" i="61" s="1"/>
  <c r="S26" i="1"/>
  <c r="CB85" i="61" s="1"/>
  <c r="S11" i="5"/>
  <c r="BX70" i="61" s="1"/>
  <c r="S11" i="4"/>
  <c r="BY70" i="61" s="1"/>
  <c r="S15" i="1"/>
  <c r="CB74" i="61" s="1"/>
  <c r="S15" i="5"/>
  <c r="BX74" i="61" s="1"/>
  <c r="S20" i="1"/>
  <c r="CB79" i="61" s="1"/>
  <c r="S17" i="4"/>
  <c r="BY76" i="61" s="1"/>
  <c r="S11" i="1"/>
  <c r="CB70" i="61" s="1"/>
  <c r="S17" i="5"/>
  <c r="BX76" i="61" s="1"/>
  <c r="S12" i="5"/>
  <c r="BX71" i="61" s="1"/>
  <c r="S14" i="1"/>
  <c r="CB73" i="61" s="1"/>
  <c r="BU97" i="61"/>
  <c r="EA97" i="61" s="1"/>
  <c r="FT125" i="61" s="1"/>
  <c r="B20" i="37"/>
  <c r="B20" i="27"/>
  <c r="B20" i="42"/>
  <c r="B20" i="50"/>
  <c r="B20" i="44"/>
  <c r="B20" i="33"/>
  <c r="R2" i="56"/>
  <c r="W186" i="61" s="1"/>
  <c r="U210" i="61" s="1"/>
  <c r="R69" i="61"/>
  <c r="B20" i="36"/>
  <c r="B20" i="59"/>
  <c r="B20" i="40"/>
  <c r="B20" i="49"/>
  <c r="B20" i="41"/>
  <c r="B20" i="31"/>
  <c r="B20" i="45"/>
  <c r="B20" i="34"/>
  <c r="B20" i="47"/>
  <c r="B20" i="29"/>
  <c r="B20" i="48"/>
  <c r="B20" i="39"/>
  <c r="B20" i="28"/>
  <c r="B20" i="30"/>
  <c r="B20" i="38"/>
  <c r="B20" i="32"/>
  <c r="B20" i="43"/>
  <c r="B20" i="26"/>
  <c r="B20" i="46"/>
  <c r="B20" i="35"/>
  <c r="B1" i="9"/>
  <c r="BT69" i="61"/>
  <c r="B21" i="42"/>
  <c r="B21" i="31"/>
  <c r="B21" i="46"/>
  <c r="B21" i="59"/>
  <c r="B21" i="33"/>
  <c r="B21" i="47"/>
  <c r="B21" i="38"/>
  <c r="BU69" i="61"/>
  <c r="B21" i="39"/>
  <c r="B21" i="26"/>
  <c r="B21" i="36"/>
  <c r="B21" i="49"/>
  <c r="B21" i="30"/>
  <c r="B21" i="45"/>
  <c r="B21" i="34"/>
  <c r="BV97" i="61"/>
  <c r="EB97" i="61" s="1"/>
  <c r="FU125" i="61" s="1"/>
  <c r="B21" i="37"/>
  <c r="S2" i="56"/>
  <c r="X186" i="61" s="1"/>
  <c r="V210" i="61" s="1"/>
  <c r="B21" i="32"/>
  <c r="B21" i="41"/>
  <c r="B21" i="27"/>
  <c r="B21" i="44"/>
  <c r="B21" i="28"/>
  <c r="B21" i="35"/>
  <c r="B21" i="50"/>
  <c r="B21" i="29"/>
  <c r="B21" i="40"/>
  <c r="B21" i="48"/>
  <c r="B21" i="43"/>
  <c r="B1" i="8"/>
  <c r="S69" i="61"/>
  <c r="S27" i="1"/>
  <c r="CB86" i="61" s="1"/>
  <c r="S21" i="1"/>
  <c r="CB80" i="61" s="1"/>
  <c r="S18" i="4"/>
  <c r="BY77" i="61" s="1"/>
  <c r="S28" i="1"/>
  <c r="CB87" i="61" s="1"/>
  <c r="S30" i="5"/>
  <c r="BX89" i="61" s="1"/>
  <c r="S32" i="1"/>
  <c r="CB91" i="61" s="1"/>
  <c r="S23" i="5"/>
  <c r="BX82" i="61" s="1"/>
  <c r="S28" i="5"/>
  <c r="BX87" i="61" s="1"/>
  <c r="S24" i="4"/>
  <c r="BY83" i="61" s="1"/>
  <c r="S16" i="4"/>
  <c r="BY75" i="61" s="1"/>
  <c r="S26" i="4"/>
  <c r="BY85" i="61" s="1"/>
  <c r="S25" i="4"/>
  <c r="BY84" i="61" s="1"/>
  <c r="S31" i="4"/>
  <c r="BY90" i="61" s="1"/>
  <c r="S16" i="5"/>
  <c r="BX75" i="61" s="1"/>
  <c r="S13" i="1"/>
  <c r="CB72" i="61" s="1"/>
  <c r="S23" i="1"/>
  <c r="CB82" i="61" s="1"/>
  <c r="S26" i="5"/>
  <c r="BX85" i="61" s="1"/>
  <c r="S24" i="5"/>
  <c r="BX83" i="61" s="1"/>
  <c r="S30" i="4"/>
  <c r="BY89" i="61" s="1"/>
  <c r="S22" i="4"/>
  <c r="BY81" i="61" s="1"/>
  <c r="S21" i="4"/>
  <c r="BY80" i="61" s="1"/>
  <c r="S28" i="4"/>
  <c r="BY87" i="61" s="1"/>
  <c r="H7" i="62"/>
  <c r="EZ122" i="61"/>
  <c r="EZ116" i="61"/>
  <c r="EZ112" i="61"/>
  <c r="EZ108" i="61"/>
  <c r="EZ104" i="61"/>
  <c r="EZ100" i="61"/>
  <c r="EZ117" i="61"/>
  <c r="EZ102" i="61"/>
  <c r="EZ118" i="61"/>
  <c r="EZ115" i="61"/>
  <c r="EZ105" i="61"/>
  <c r="EZ121" i="61"/>
  <c r="EZ119" i="61"/>
  <c r="EZ109" i="61"/>
  <c r="EZ106" i="61"/>
  <c r="EZ103" i="61"/>
  <c r="EZ98" i="61"/>
  <c r="EZ120" i="61"/>
  <c r="EZ113" i="61"/>
  <c r="EZ110" i="61"/>
  <c r="EZ107" i="61"/>
  <c r="EZ114" i="61"/>
  <c r="EZ111" i="61"/>
  <c r="EZ101" i="61"/>
  <c r="EZ99" i="61"/>
  <c r="EV121" i="61"/>
  <c r="EV120" i="61"/>
  <c r="EV116" i="61"/>
  <c r="EV112" i="61"/>
  <c r="EV108" i="61"/>
  <c r="EV104" i="61"/>
  <c r="EV100" i="61"/>
  <c r="EV103" i="61"/>
  <c r="EV119" i="61"/>
  <c r="EV109" i="61"/>
  <c r="EV106" i="61"/>
  <c r="EV122" i="61"/>
  <c r="EV113" i="61"/>
  <c r="EV110" i="61"/>
  <c r="EV107" i="61"/>
  <c r="EV102" i="61"/>
  <c r="EV117" i="61"/>
  <c r="EV114" i="61"/>
  <c r="EV111" i="61"/>
  <c r="EV101" i="61"/>
  <c r="EV98" i="61"/>
  <c r="EV118" i="61"/>
  <c r="EV115" i="61"/>
  <c r="EV105" i="61"/>
  <c r="EV99" i="61"/>
  <c r="ES122" i="61"/>
  <c r="ES121" i="61"/>
  <c r="ES119" i="61"/>
  <c r="ES115" i="61"/>
  <c r="ES111" i="61"/>
  <c r="ES107" i="61"/>
  <c r="ES103" i="61"/>
  <c r="ES99" i="61"/>
  <c r="ES110" i="61"/>
  <c r="ES117" i="61"/>
  <c r="ES114" i="61"/>
  <c r="ES118" i="61"/>
  <c r="ES108" i="61"/>
  <c r="ES105" i="61"/>
  <c r="ES102" i="61"/>
  <c r="ES120" i="61"/>
  <c r="ES112" i="61"/>
  <c r="ES109" i="61"/>
  <c r="ES106" i="61"/>
  <c r="ES116" i="61"/>
  <c r="ES113" i="61"/>
  <c r="ES100" i="61"/>
  <c r="ES104" i="61"/>
  <c r="ES101" i="61"/>
  <c r="ES98" i="61"/>
  <c r="EN121" i="61"/>
  <c r="EN122" i="61"/>
  <c r="EN116" i="61"/>
  <c r="EN112" i="61"/>
  <c r="EN108" i="61"/>
  <c r="EN104" i="61"/>
  <c r="EN100" i="61"/>
  <c r="EN107" i="61"/>
  <c r="EN117" i="61"/>
  <c r="EN114" i="61"/>
  <c r="EN111" i="61"/>
  <c r="EN101" i="61"/>
  <c r="EN120" i="61"/>
  <c r="EN118" i="61"/>
  <c r="EN115" i="61"/>
  <c r="EN105" i="61"/>
  <c r="EN102" i="61"/>
  <c r="EN99" i="61"/>
  <c r="EN113" i="61"/>
  <c r="EN119" i="61"/>
  <c r="EN109" i="61"/>
  <c r="EN106" i="61"/>
  <c r="EN103" i="61"/>
  <c r="EN110" i="61"/>
  <c r="EN98" i="61"/>
  <c r="EQ120" i="61"/>
  <c r="EQ117" i="61"/>
  <c r="EQ113" i="61"/>
  <c r="EQ109" i="61"/>
  <c r="EQ105" i="61"/>
  <c r="EQ101" i="61"/>
  <c r="EQ121" i="61"/>
  <c r="EQ119" i="61"/>
  <c r="EQ116" i="61"/>
  <c r="EQ110" i="61"/>
  <c r="EQ107" i="61"/>
  <c r="EQ104" i="61"/>
  <c r="EQ118" i="61"/>
  <c r="EQ99" i="61"/>
  <c r="EQ103" i="61"/>
  <c r="EQ122" i="61"/>
  <c r="EQ114" i="61"/>
  <c r="EQ111" i="61"/>
  <c r="EQ108" i="61"/>
  <c r="EQ98" i="61"/>
  <c r="EQ115" i="61"/>
  <c r="EQ112" i="61"/>
  <c r="EQ102" i="61"/>
  <c r="EQ106" i="61"/>
  <c r="EQ100" i="61"/>
  <c r="EW122" i="61"/>
  <c r="EW121" i="61"/>
  <c r="EW119" i="61"/>
  <c r="EW115" i="61"/>
  <c r="EW111" i="61"/>
  <c r="EW107" i="61"/>
  <c r="EW103" i="61"/>
  <c r="EW99" i="61"/>
  <c r="EW106" i="61"/>
  <c r="EW120" i="61"/>
  <c r="EW116" i="61"/>
  <c r="EW113" i="61"/>
  <c r="EW110" i="61"/>
  <c r="EW117" i="61"/>
  <c r="EW114" i="61"/>
  <c r="EW104" i="61"/>
  <c r="EW101" i="61"/>
  <c r="EW98" i="61"/>
  <c r="EW112" i="61"/>
  <c r="EW100" i="61"/>
  <c r="EW118" i="61"/>
  <c r="EW108" i="61"/>
  <c r="EW105" i="61"/>
  <c r="EW102" i="61"/>
  <c r="EW109" i="61"/>
  <c r="EO122" i="61"/>
  <c r="EO119" i="61"/>
  <c r="EO115" i="61"/>
  <c r="EO111" i="61"/>
  <c r="EO107" i="61"/>
  <c r="EO103" i="61"/>
  <c r="EO99" i="61"/>
  <c r="EO121" i="61"/>
  <c r="EO120" i="61"/>
  <c r="EO118" i="61"/>
  <c r="EO108" i="61"/>
  <c r="EO112" i="61"/>
  <c r="EO109" i="61"/>
  <c r="EO106" i="61"/>
  <c r="EO105" i="61"/>
  <c r="EO116" i="61"/>
  <c r="EO113" i="61"/>
  <c r="EO110" i="61"/>
  <c r="EO100" i="61"/>
  <c r="EO117" i="61"/>
  <c r="EO114" i="61"/>
  <c r="EO104" i="61"/>
  <c r="EO101" i="61"/>
  <c r="EO98" i="61"/>
  <c r="EO102" i="61"/>
  <c r="EY120" i="61"/>
  <c r="EY121" i="61"/>
  <c r="EY122" i="61"/>
  <c r="EY117" i="61"/>
  <c r="EY113" i="61"/>
  <c r="EY109" i="61"/>
  <c r="EY105" i="61"/>
  <c r="EY101" i="61"/>
  <c r="EY114" i="61"/>
  <c r="EY111" i="61"/>
  <c r="EY108" i="61"/>
  <c r="EY118" i="61"/>
  <c r="EY115" i="61"/>
  <c r="EY112" i="61"/>
  <c r="EY102" i="61"/>
  <c r="EY99" i="61"/>
  <c r="EY107" i="61"/>
  <c r="EY104" i="61"/>
  <c r="EY119" i="61"/>
  <c r="EY116" i="61"/>
  <c r="EY106" i="61"/>
  <c r="EY103" i="61"/>
  <c r="EY100" i="61"/>
  <c r="EY110" i="61"/>
  <c r="EY98" i="61"/>
  <c r="EU120" i="61"/>
  <c r="EU122" i="61"/>
  <c r="EU117" i="61"/>
  <c r="EU113" i="61"/>
  <c r="EU109" i="61"/>
  <c r="EU105" i="61"/>
  <c r="EU101" i="61"/>
  <c r="EU114" i="61"/>
  <c r="EU98" i="61"/>
  <c r="EU118" i="61"/>
  <c r="EU115" i="61"/>
  <c r="EU112" i="61"/>
  <c r="EU119" i="61"/>
  <c r="EU116" i="61"/>
  <c r="EU106" i="61"/>
  <c r="EU103" i="61"/>
  <c r="EU100" i="61"/>
  <c r="EU111" i="61"/>
  <c r="EU108" i="61"/>
  <c r="EU102" i="61"/>
  <c r="EU121" i="61"/>
  <c r="EU110" i="61"/>
  <c r="EU107" i="61"/>
  <c r="EU104" i="61"/>
  <c r="EU99" i="61"/>
  <c r="ER122" i="61"/>
  <c r="ER121" i="61"/>
  <c r="ER116" i="61"/>
  <c r="ER112" i="61"/>
  <c r="ER108" i="61"/>
  <c r="ER104" i="61"/>
  <c r="ER100" i="61"/>
  <c r="ER120" i="61"/>
  <c r="ER119" i="61"/>
  <c r="ER113" i="61"/>
  <c r="ER110" i="61"/>
  <c r="ER107" i="61"/>
  <c r="ER117" i="61"/>
  <c r="ER114" i="61"/>
  <c r="ER111" i="61"/>
  <c r="ER101" i="61"/>
  <c r="ER98" i="61"/>
  <c r="ER109" i="61"/>
  <c r="ER103" i="61"/>
  <c r="ER118" i="61"/>
  <c r="ER115" i="61"/>
  <c r="ER105" i="61"/>
  <c r="ER102" i="61"/>
  <c r="ER99" i="61"/>
  <c r="ER106" i="61"/>
  <c r="S31" i="5"/>
  <c r="BX90" i="61" s="1"/>
  <c r="S31" i="1"/>
  <c r="CB90" i="61" s="1"/>
  <c r="S13" i="4"/>
  <c r="BY72" i="61" s="1"/>
  <c r="S22" i="5"/>
  <c r="BX81" i="61" s="1"/>
  <c r="B33" i="61"/>
  <c r="F4" i="51"/>
  <c r="D43" i="61"/>
  <c r="B17" i="41"/>
  <c r="B17" i="27"/>
  <c r="B17" i="45"/>
  <c r="B17" i="34"/>
  <c r="B17" i="39"/>
  <c r="B17" i="26"/>
  <c r="B17" i="36"/>
  <c r="O69" i="61"/>
  <c r="CY4" i="61" s="1"/>
  <c r="B17" i="40"/>
  <c r="B17" i="59"/>
  <c r="B17" i="44"/>
  <c r="B17" i="28"/>
  <c r="B17" i="37"/>
  <c r="O2" i="56"/>
  <c r="T186" i="61" s="1"/>
  <c r="R210" i="61" s="1"/>
  <c r="B17" i="32"/>
  <c r="BQ69" i="61"/>
  <c r="B17" i="33"/>
  <c r="B17" i="48"/>
  <c r="B17" i="43"/>
  <c r="B1" i="12"/>
  <c r="B17" i="35"/>
  <c r="B17" i="50"/>
  <c r="B17" i="29"/>
  <c r="B17" i="49"/>
  <c r="B17" i="30"/>
  <c r="B17" i="47"/>
  <c r="B17" i="38"/>
  <c r="B17" i="42"/>
  <c r="B17" i="31"/>
  <c r="B17" i="46"/>
  <c r="N2" i="56"/>
  <c r="S186" i="61" s="1"/>
  <c r="Q210" i="61" s="1"/>
  <c r="B16" i="44"/>
  <c r="B16" i="28"/>
  <c r="B16" i="37"/>
  <c r="B16" i="50"/>
  <c r="B16" i="29"/>
  <c r="B16" i="33"/>
  <c r="B16" i="48"/>
  <c r="B16" i="43"/>
  <c r="B1" i="13"/>
  <c r="B16" i="35"/>
  <c r="B16" i="46"/>
  <c r="B16" i="49"/>
  <c r="B16" i="30"/>
  <c r="BP69" i="61"/>
  <c r="B16" i="47"/>
  <c r="B16" i="38"/>
  <c r="B16" i="42"/>
  <c r="B16" i="31"/>
  <c r="B16" i="36"/>
  <c r="B16" i="41"/>
  <c r="B16" i="27"/>
  <c r="N69" i="61"/>
  <c r="CX4" i="61" s="1"/>
  <c r="B16" i="59"/>
  <c r="B16" i="45"/>
  <c r="B16" i="34"/>
  <c r="B16" i="39"/>
  <c r="B16" i="26"/>
  <c r="B16" i="32"/>
  <c r="B16" i="40"/>
  <c r="S13" i="5"/>
  <c r="BX72" i="61" s="1"/>
  <c r="AD48" i="31"/>
  <c r="AJ50" i="31" s="1"/>
  <c r="AD128" i="43"/>
  <c r="AI127" i="43" s="1"/>
  <c r="P39" i="41"/>
  <c r="B45" i="31"/>
  <c r="C44" i="31" s="1"/>
  <c r="P43" i="32"/>
  <c r="Q43" i="32" s="1"/>
  <c r="AA44" i="32" s="1"/>
  <c r="AO44" i="32" s="1"/>
  <c r="P51" i="36"/>
  <c r="AD48" i="36"/>
  <c r="AJ49" i="36" s="1"/>
  <c r="AD48" i="32"/>
  <c r="AJ49" i="32" s="1"/>
  <c r="AD44" i="27"/>
  <c r="AL44" i="27" s="1"/>
  <c r="P71" i="32"/>
  <c r="P51" i="35"/>
  <c r="P51" i="38"/>
  <c r="P39" i="29"/>
  <c r="AD44" i="38"/>
  <c r="P47" i="30"/>
  <c r="AD44" i="29"/>
  <c r="AH45" i="29" s="1"/>
  <c r="P47" i="48"/>
  <c r="AD44" i="48"/>
  <c r="AH45" i="48" s="1"/>
  <c r="AD48" i="33"/>
  <c r="AJ49" i="33" s="1"/>
  <c r="AD44" i="44"/>
  <c r="AH44" i="44" s="1"/>
  <c r="AD48" i="27"/>
  <c r="AJ50" i="27" s="1"/>
  <c r="P39" i="35"/>
  <c r="B45" i="32"/>
  <c r="C44" i="32" s="1"/>
  <c r="B45" i="38"/>
  <c r="C44" i="38" s="1"/>
  <c r="P51" i="41"/>
  <c r="AD52" i="59"/>
  <c r="AL54" i="59" s="1"/>
  <c r="P51" i="59"/>
  <c r="P43" i="48"/>
  <c r="Q43" i="48" s="1"/>
  <c r="AA44" i="48" s="1"/>
  <c r="AO44" i="48" s="1"/>
  <c r="AD48" i="30"/>
  <c r="AJ49" i="30" s="1"/>
  <c r="B45" i="41"/>
  <c r="AD44" i="32"/>
  <c r="AH44" i="32" s="1"/>
  <c r="AD44" i="35"/>
  <c r="AL45" i="35" s="1"/>
  <c r="AJ49" i="48"/>
  <c r="AJ50" i="48"/>
  <c r="AJ50" i="50"/>
  <c r="AJ49" i="50"/>
  <c r="AN48" i="59"/>
  <c r="AJ48" i="59"/>
  <c r="AN47" i="59"/>
  <c r="AJ47" i="59"/>
  <c r="AJ70" i="46"/>
  <c r="AJ69" i="46"/>
  <c r="O49" i="30"/>
  <c r="O53" i="36"/>
  <c r="O44" i="34"/>
  <c r="P43" i="34"/>
  <c r="Q43" i="34" s="1"/>
  <c r="O61" i="38"/>
  <c r="O57" i="38"/>
  <c r="O44" i="37"/>
  <c r="P43" i="37"/>
  <c r="Q43" i="37" s="1"/>
  <c r="B57" i="40"/>
  <c r="A58" i="40"/>
  <c r="AC54" i="50"/>
  <c r="AC58" i="50"/>
  <c r="P39" i="28"/>
  <c r="P43" i="45"/>
  <c r="Q43" i="45" s="1"/>
  <c r="C14" i="1"/>
  <c r="C15" i="1"/>
  <c r="E14" i="1"/>
  <c r="C14" i="9"/>
  <c r="E14" i="9"/>
  <c r="C15" i="9"/>
  <c r="W15" i="15"/>
  <c r="AS14" i="15"/>
  <c r="W14" i="15"/>
  <c r="Z14" i="15"/>
  <c r="AS14" i="20"/>
  <c r="W14" i="20"/>
  <c r="Z14" i="20"/>
  <c r="W15" i="20"/>
  <c r="AS14" i="53"/>
  <c r="W15" i="53"/>
  <c r="Z14" i="53"/>
  <c r="W14" i="53"/>
  <c r="AS17" i="2"/>
  <c r="W17" i="2"/>
  <c r="Z17" i="2"/>
  <c r="AS8" i="1"/>
  <c r="W8" i="1"/>
  <c r="Z8" i="1"/>
  <c r="E8" i="6"/>
  <c r="C8" i="6"/>
  <c r="AS8" i="8"/>
  <c r="W8" i="8"/>
  <c r="Z8" i="8"/>
  <c r="E24" i="3"/>
  <c r="C24" i="3"/>
  <c r="AC54" i="31"/>
  <c r="AC58" i="31"/>
  <c r="P47" i="26"/>
  <c r="AC54" i="33"/>
  <c r="AC58" i="33"/>
  <c r="O59" i="32"/>
  <c r="O61" i="35"/>
  <c r="O57" i="35"/>
  <c r="AJ50" i="37"/>
  <c r="AJ49" i="37"/>
  <c r="O53" i="38"/>
  <c r="P47" i="39"/>
  <c r="O48" i="39"/>
  <c r="AC58" i="42"/>
  <c r="AC54" i="42"/>
  <c r="AL130" i="43"/>
  <c r="AH130" i="43"/>
  <c r="AL129" i="43"/>
  <c r="AH129" i="43"/>
  <c r="AD64" i="46"/>
  <c r="P39" i="46"/>
  <c r="O40" i="46"/>
  <c r="A53" i="48"/>
  <c r="A49" i="49"/>
  <c r="I53" i="22"/>
  <c r="BG30" i="22"/>
  <c r="P43" i="42"/>
  <c r="Q43" i="42" s="1"/>
  <c r="AD48" i="46"/>
  <c r="AD44" i="46"/>
  <c r="BL69" i="61"/>
  <c r="J69" i="61"/>
  <c r="CT4" i="61" s="1"/>
  <c r="J2" i="56"/>
  <c r="O186" i="61" s="1"/>
  <c r="M210" i="61" s="1"/>
  <c r="B12" i="59"/>
  <c r="B12" i="50"/>
  <c r="B12" i="49"/>
  <c r="B12" i="48"/>
  <c r="B12" i="46"/>
  <c r="AD69" i="46" s="1"/>
  <c r="B12" i="45"/>
  <c r="B12" i="47"/>
  <c r="B12" i="44"/>
  <c r="B12" i="43"/>
  <c r="B12" i="40"/>
  <c r="B12" i="42"/>
  <c r="B12" i="41"/>
  <c r="B12" i="37"/>
  <c r="B12" i="39"/>
  <c r="B12" i="38"/>
  <c r="B12" i="34"/>
  <c r="B12" i="33"/>
  <c r="B12" i="36"/>
  <c r="B12" i="35"/>
  <c r="B12" i="28"/>
  <c r="B12" i="31"/>
  <c r="B12" i="27"/>
  <c r="B12" i="32"/>
  <c r="P76" i="32" s="1"/>
  <c r="B12" i="30"/>
  <c r="B12" i="26"/>
  <c r="B12" i="29"/>
  <c r="B1" i="17"/>
  <c r="Z14" i="5"/>
  <c r="W15" i="5"/>
  <c r="AS14" i="5"/>
  <c r="W14" i="5"/>
  <c r="W15" i="6"/>
  <c r="AS14" i="6"/>
  <c r="W14" i="6"/>
  <c r="Z14" i="6"/>
  <c r="C14" i="7"/>
  <c r="C15" i="7"/>
  <c r="E14" i="7"/>
  <c r="Z14" i="9"/>
  <c r="W15" i="9"/>
  <c r="W14" i="9"/>
  <c r="AS14" i="9"/>
  <c r="Z14" i="14"/>
  <c r="W15" i="14"/>
  <c r="AS14" i="14"/>
  <c r="W14" i="14"/>
  <c r="Z14" i="22"/>
  <c r="W15" i="22"/>
  <c r="AS14" i="22"/>
  <c r="W14" i="22"/>
  <c r="C14" i="14"/>
  <c r="E14" i="14"/>
  <c r="C15" i="14"/>
  <c r="C14" i="22"/>
  <c r="E14" i="22"/>
  <c r="C15" i="22"/>
  <c r="C15" i="11"/>
  <c r="E14" i="11"/>
  <c r="C14" i="11"/>
  <c r="C15" i="19"/>
  <c r="E14" i="19"/>
  <c r="C14" i="19"/>
  <c r="AS14" i="13"/>
  <c r="W14" i="13"/>
  <c r="Z14" i="13"/>
  <c r="W15" i="13"/>
  <c r="AS14" i="21"/>
  <c r="W14" i="21"/>
  <c r="Z14" i="21"/>
  <c r="W15" i="21"/>
  <c r="E17" i="1"/>
  <c r="C17" i="1"/>
  <c r="AS17" i="7"/>
  <c r="Z17" i="7"/>
  <c r="W17" i="7"/>
  <c r="AS17" i="5"/>
  <c r="W17" i="5"/>
  <c r="Z17" i="5"/>
  <c r="E17" i="7"/>
  <c r="C17" i="7"/>
  <c r="C17" i="15"/>
  <c r="E17" i="15"/>
  <c r="C17" i="23"/>
  <c r="E17" i="23"/>
  <c r="C17" i="12"/>
  <c r="E17" i="12"/>
  <c r="C17" i="20"/>
  <c r="E17" i="20"/>
  <c r="AS17" i="10"/>
  <c r="W17" i="10"/>
  <c r="Z17" i="10"/>
  <c r="AS17" i="18"/>
  <c r="W17" i="18"/>
  <c r="Z17" i="18"/>
  <c r="E17" i="10"/>
  <c r="C17" i="10"/>
  <c r="E17" i="18"/>
  <c r="C17" i="18"/>
  <c r="E17" i="25"/>
  <c r="C17" i="25"/>
  <c r="Z17" i="53"/>
  <c r="W17" i="53"/>
  <c r="AS17" i="53"/>
  <c r="AD108" i="43"/>
  <c r="Q155" i="61"/>
  <c r="AR155" i="61"/>
  <c r="AR69" i="61"/>
  <c r="E8" i="1"/>
  <c r="C8" i="1"/>
  <c r="AS8" i="2"/>
  <c r="W8" i="2"/>
  <c r="Z8" i="2"/>
  <c r="AS8" i="3"/>
  <c r="W8" i="3"/>
  <c r="Z8" i="3"/>
  <c r="AS8" i="4"/>
  <c r="W8" i="4"/>
  <c r="Z8" i="4"/>
  <c r="C8" i="12"/>
  <c r="E8" i="12"/>
  <c r="C8" i="20"/>
  <c r="E8" i="20"/>
  <c r="AS8" i="11"/>
  <c r="W8" i="11"/>
  <c r="Z8" i="11"/>
  <c r="AS8" i="19"/>
  <c r="W8" i="19"/>
  <c r="Z8" i="19"/>
  <c r="C8" i="25"/>
  <c r="E8" i="25"/>
  <c r="E8" i="14"/>
  <c r="C8" i="14"/>
  <c r="E8" i="22"/>
  <c r="C8" i="22"/>
  <c r="E8" i="15"/>
  <c r="C8" i="15"/>
  <c r="E8" i="23"/>
  <c r="C8" i="23"/>
  <c r="C8" i="53"/>
  <c r="E8" i="53"/>
  <c r="AB160" i="61"/>
  <c r="A160" i="61"/>
  <c r="AB74" i="61"/>
  <c r="CK34" i="61"/>
  <c r="CG9" i="61"/>
  <c r="CH9" i="61" s="1"/>
  <c r="CI9" i="61" s="1"/>
  <c r="CK9" i="61"/>
  <c r="Z24" i="1"/>
  <c r="AS24" i="1"/>
  <c r="W24" i="1"/>
  <c r="Z24" i="9"/>
  <c r="AS24" i="9"/>
  <c r="W24" i="9"/>
  <c r="AS24" i="3"/>
  <c r="W24" i="3"/>
  <c r="Z24" i="3"/>
  <c r="C24" i="7"/>
  <c r="E24" i="7"/>
  <c r="C24" i="13"/>
  <c r="E24" i="13"/>
  <c r="C24" i="21"/>
  <c r="E24" i="21"/>
  <c r="AS24" i="11"/>
  <c r="W24" i="11"/>
  <c r="Z24" i="11"/>
  <c r="AS24" i="19"/>
  <c r="W24" i="19"/>
  <c r="Z24" i="19"/>
  <c r="E24" i="11"/>
  <c r="C24" i="11"/>
  <c r="E24" i="19"/>
  <c r="C24" i="19"/>
  <c r="E24" i="12"/>
  <c r="C24" i="12"/>
  <c r="E24" i="20"/>
  <c r="C24" i="20"/>
  <c r="C24" i="25"/>
  <c r="E24" i="25"/>
  <c r="E24" i="53"/>
  <c r="C24" i="53"/>
  <c r="O45" i="31"/>
  <c r="B57" i="29"/>
  <c r="A58" i="29"/>
  <c r="A58" i="33"/>
  <c r="B57" i="33"/>
  <c r="O81" i="32"/>
  <c r="O77" i="32"/>
  <c r="B45" i="33"/>
  <c r="A49" i="34"/>
  <c r="A53" i="36"/>
  <c r="A45" i="37"/>
  <c r="B45" i="37" s="1"/>
  <c r="B61" i="42"/>
  <c r="A66" i="42"/>
  <c r="A62" i="42"/>
  <c r="AL100" i="43"/>
  <c r="AH100" i="43"/>
  <c r="AL99" i="43"/>
  <c r="AH99" i="43"/>
  <c r="O48" i="45"/>
  <c r="P47" i="45"/>
  <c r="B61" i="47"/>
  <c r="A66" i="47"/>
  <c r="A62" i="47"/>
  <c r="O44" i="47"/>
  <c r="P43" i="47"/>
  <c r="Q43" i="47" s="1"/>
  <c r="AD44" i="47"/>
  <c r="O45" i="48"/>
  <c r="P56" i="59"/>
  <c r="A58" i="59"/>
  <c r="M155" i="61"/>
  <c r="AN155" i="61"/>
  <c r="AN69" i="61"/>
  <c r="Z10" i="3"/>
  <c r="W11" i="3"/>
  <c r="AS10" i="3"/>
  <c r="W10" i="3"/>
  <c r="C10" i="6"/>
  <c r="E10" i="6"/>
  <c r="C11" i="6"/>
  <c r="E10" i="3"/>
  <c r="C10" i="3"/>
  <c r="C11" i="3"/>
  <c r="AS10" i="6"/>
  <c r="W10" i="6"/>
  <c r="Z10" i="6"/>
  <c r="W11" i="6"/>
  <c r="C11" i="14"/>
  <c r="C10" i="14"/>
  <c r="E10" i="14"/>
  <c r="C11" i="22"/>
  <c r="C10" i="22"/>
  <c r="E10" i="22"/>
  <c r="C11" i="11"/>
  <c r="C10" i="11"/>
  <c r="E10" i="11"/>
  <c r="C11" i="19"/>
  <c r="C10" i="19"/>
  <c r="E10" i="19"/>
  <c r="W11" i="10"/>
  <c r="AS10" i="10"/>
  <c r="W10" i="10"/>
  <c r="Z10" i="10"/>
  <c r="W11" i="18"/>
  <c r="AS10" i="18"/>
  <c r="W10" i="18"/>
  <c r="Z10" i="18"/>
  <c r="AS10" i="11"/>
  <c r="W10" i="11"/>
  <c r="Z10" i="11"/>
  <c r="W11" i="11"/>
  <c r="AS10" i="19"/>
  <c r="W10" i="19"/>
  <c r="Z10" i="19"/>
  <c r="W11" i="19"/>
  <c r="E10" i="25"/>
  <c r="C11" i="25"/>
  <c r="C10" i="25"/>
  <c r="Z26" i="5"/>
  <c r="W27" i="5"/>
  <c r="AS26" i="5"/>
  <c r="W26" i="5"/>
  <c r="C26" i="7"/>
  <c r="E26" i="7"/>
  <c r="C27" i="7"/>
  <c r="E26" i="3"/>
  <c r="C26" i="3"/>
  <c r="C27" i="3"/>
  <c r="AS26" i="6"/>
  <c r="W26" i="6"/>
  <c r="W27" i="6"/>
  <c r="Z26" i="6"/>
  <c r="Z26" i="14"/>
  <c r="W27" i="14"/>
  <c r="AS26" i="14"/>
  <c r="W26" i="14"/>
  <c r="Z26" i="22"/>
  <c r="W27" i="22"/>
  <c r="AS26" i="22"/>
  <c r="W26" i="22"/>
  <c r="C26" i="14"/>
  <c r="E26" i="14"/>
  <c r="C27" i="14"/>
  <c r="C26" i="22"/>
  <c r="E26" i="22"/>
  <c r="C27" i="22"/>
  <c r="AS26" i="12"/>
  <c r="W26" i="12"/>
  <c r="Z26" i="12"/>
  <c r="W27" i="12"/>
  <c r="AS26" i="20"/>
  <c r="W26" i="20"/>
  <c r="Z26" i="20"/>
  <c r="W27" i="20"/>
  <c r="C27" i="16"/>
  <c r="E26" i="16"/>
  <c r="C26" i="16"/>
  <c r="W26" i="24"/>
  <c r="AS26" i="24"/>
  <c r="W27" i="24"/>
  <c r="Z26" i="24"/>
  <c r="Z13" i="3"/>
  <c r="AS13" i="3"/>
  <c r="W13" i="3"/>
  <c r="E13" i="4"/>
  <c r="C13" i="4"/>
  <c r="AS13" i="6"/>
  <c r="W13" i="6"/>
  <c r="Z13" i="6"/>
  <c r="C13" i="11"/>
  <c r="E13" i="11"/>
  <c r="C13" i="19"/>
  <c r="E13" i="19"/>
  <c r="AS13" i="9"/>
  <c r="W13" i="9"/>
  <c r="Z13" i="9"/>
  <c r="AS13" i="17"/>
  <c r="W13" i="17"/>
  <c r="Z13" i="17"/>
  <c r="AS13" i="10"/>
  <c r="W13" i="10"/>
  <c r="Z13" i="10"/>
  <c r="AS13" i="18"/>
  <c r="W13" i="18"/>
  <c r="Z13" i="18"/>
  <c r="E13" i="10"/>
  <c r="C13" i="10"/>
  <c r="E13" i="18"/>
  <c r="C13" i="18"/>
  <c r="C13" i="24"/>
  <c r="E13" i="24"/>
  <c r="A165" i="61"/>
  <c r="AB165" i="61"/>
  <c r="AB79" i="61"/>
  <c r="CK39" i="61"/>
  <c r="CK14" i="61"/>
  <c r="CG14" i="61"/>
  <c r="CH14" i="61" s="1"/>
  <c r="CI14" i="61" s="1"/>
  <c r="I53" i="6"/>
  <c r="BG30" i="6"/>
  <c r="L69" i="61"/>
  <c r="CV4" i="61" s="1"/>
  <c r="BN69" i="61"/>
  <c r="B14" i="59"/>
  <c r="L2" i="56"/>
  <c r="Q186" i="61" s="1"/>
  <c r="O210" i="61" s="1"/>
  <c r="B14" i="50"/>
  <c r="B14" i="49"/>
  <c r="B14" i="48"/>
  <c r="B14" i="47"/>
  <c r="B14" i="44"/>
  <c r="B14" i="46"/>
  <c r="B14" i="45"/>
  <c r="B14" i="43"/>
  <c r="B14" i="42"/>
  <c r="B14" i="41"/>
  <c r="B14" i="40"/>
  <c r="B14" i="39"/>
  <c r="B14" i="38"/>
  <c r="B14" i="37"/>
  <c r="B14" i="33"/>
  <c r="B14" i="36"/>
  <c r="B14" i="35"/>
  <c r="B14" i="34"/>
  <c r="B14" i="31"/>
  <c r="B14" i="27"/>
  <c r="B14" i="30"/>
  <c r="B14" i="29"/>
  <c r="B14" i="32"/>
  <c r="B14" i="28"/>
  <c r="B14" i="26"/>
  <c r="B1" i="15"/>
  <c r="AS20" i="1"/>
  <c r="W20" i="1"/>
  <c r="Z20" i="1"/>
  <c r="Z20" i="9"/>
  <c r="AS20" i="9"/>
  <c r="W20" i="9"/>
  <c r="E20" i="2"/>
  <c r="C20" i="2"/>
  <c r="E20" i="3"/>
  <c r="C20" i="3"/>
  <c r="Z20" i="10"/>
  <c r="AS20" i="10"/>
  <c r="W20" i="10"/>
  <c r="Z20" i="18"/>
  <c r="AS20" i="18"/>
  <c r="W20" i="18"/>
  <c r="AS20" i="7"/>
  <c r="W20" i="7"/>
  <c r="Z20" i="7"/>
  <c r="AS20" i="15"/>
  <c r="W20" i="15"/>
  <c r="Z20" i="15"/>
  <c r="AS20" i="23"/>
  <c r="W20" i="23"/>
  <c r="Z20" i="23"/>
  <c r="E20" i="15"/>
  <c r="C20" i="15"/>
  <c r="E20" i="23"/>
  <c r="C20" i="23"/>
  <c r="AS20" i="17"/>
  <c r="W20" i="17"/>
  <c r="Z20" i="17"/>
  <c r="Z20" i="25"/>
  <c r="AS20" i="25"/>
  <c r="W20" i="25"/>
  <c r="W20" i="53"/>
  <c r="AS20" i="53"/>
  <c r="Z20" i="53"/>
  <c r="AB172" i="61"/>
  <c r="A172" i="61"/>
  <c r="AB86" i="61"/>
  <c r="CG21" i="61"/>
  <c r="CH21" i="61" s="1"/>
  <c r="CI21" i="61" s="1"/>
  <c r="CK21" i="61"/>
  <c r="CK46" i="61"/>
  <c r="AC54" i="27"/>
  <c r="AC58" i="27"/>
  <c r="A54" i="29"/>
  <c r="B53" i="29"/>
  <c r="A54" i="28"/>
  <c r="B53" i="28"/>
  <c r="O61" i="29"/>
  <c r="O57" i="29"/>
  <c r="AD44" i="31"/>
  <c r="O49" i="36"/>
  <c r="O48" i="27"/>
  <c r="P47" i="27"/>
  <c r="A49" i="30"/>
  <c r="A54" i="34"/>
  <c r="B53" i="34"/>
  <c r="AD48" i="39"/>
  <c r="A49" i="38"/>
  <c r="A49" i="39"/>
  <c r="A54" i="42"/>
  <c r="B53" i="42"/>
  <c r="AD104" i="43"/>
  <c r="AL64" i="43"/>
  <c r="AH65" i="43"/>
  <c r="AH64" i="43"/>
  <c r="AL65" i="43"/>
  <c r="P51" i="47"/>
  <c r="P39" i="49"/>
  <c r="P51" i="48"/>
  <c r="A66" i="49"/>
  <c r="A62" i="49"/>
  <c r="B61" i="49"/>
  <c r="O48" i="49"/>
  <c r="P47" i="49"/>
  <c r="A54" i="50"/>
  <c r="B53" i="50"/>
  <c r="O53" i="59"/>
  <c r="I155" i="61"/>
  <c r="AJ155" i="61"/>
  <c r="AJ69" i="61"/>
  <c r="C6" i="3"/>
  <c r="E6" i="3"/>
  <c r="C7" i="3"/>
  <c r="W7" i="5"/>
  <c r="AS6" i="5"/>
  <c r="W6" i="5"/>
  <c r="Z6" i="5"/>
  <c r="AS6" i="2"/>
  <c r="W6" i="2"/>
  <c r="Z6" i="2"/>
  <c r="W7" i="2"/>
  <c r="AS6" i="3"/>
  <c r="W6" i="3"/>
  <c r="Z6" i="3"/>
  <c r="W7" i="3"/>
  <c r="W7" i="9"/>
  <c r="AS6" i="9"/>
  <c r="W6" i="9"/>
  <c r="Z6" i="9"/>
  <c r="Z6" i="17"/>
  <c r="W7" i="17"/>
  <c r="AS6" i="17"/>
  <c r="W6" i="17"/>
  <c r="W7" i="10"/>
  <c r="AS6" i="10"/>
  <c r="W6" i="10"/>
  <c r="Z6" i="10"/>
  <c r="W7" i="18"/>
  <c r="AS6" i="18"/>
  <c r="W6" i="18"/>
  <c r="Z6" i="18"/>
  <c r="C7" i="10"/>
  <c r="E6" i="10"/>
  <c r="C6" i="10"/>
  <c r="C7" i="18"/>
  <c r="E6" i="18"/>
  <c r="C6" i="18"/>
  <c r="C6" i="25"/>
  <c r="E6" i="25"/>
  <c r="C7" i="25"/>
  <c r="AS6" i="16"/>
  <c r="W6" i="16"/>
  <c r="Z6" i="16"/>
  <c r="W7" i="16"/>
  <c r="AS6" i="24"/>
  <c r="W6" i="24"/>
  <c r="W7" i="24"/>
  <c r="Z6" i="24"/>
  <c r="AB158" i="61"/>
  <c r="A158" i="61"/>
  <c r="AB72" i="61"/>
  <c r="CK32" i="61"/>
  <c r="CK7" i="61"/>
  <c r="CG7" i="61"/>
  <c r="CH7" i="61" s="1"/>
  <c r="CI7" i="61" s="1"/>
  <c r="C22" i="4"/>
  <c r="E22" i="4"/>
  <c r="C23" i="4"/>
  <c r="C22" i="5"/>
  <c r="C23" i="5"/>
  <c r="E22" i="5"/>
  <c r="C23" i="6"/>
  <c r="E22" i="6"/>
  <c r="C22" i="6"/>
  <c r="Z22" i="9"/>
  <c r="W23" i="9"/>
  <c r="W22" i="9"/>
  <c r="AS22" i="9"/>
  <c r="C22" i="13"/>
  <c r="E22" i="13"/>
  <c r="C23" i="13"/>
  <c r="C22" i="21"/>
  <c r="E22" i="21"/>
  <c r="C23" i="21"/>
  <c r="W23" i="11"/>
  <c r="AS22" i="11"/>
  <c r="W22" i="11"/>
  <c r="Z22" i="11"/>
  <c r="W23" i="19"/>
  <c r="AS22" i="19"/>
  <c r="W22" i="19"/>
  <c r="Z22" i="19"/>
  <c r="AS22" i="8"/>
  <c r="W22" i="8"/>
  <c r="Z22" i="8"/>
  <c r="W23" i="8"/>
  <c r="AS22" i="16"/>
  <c r="W22" i="16"/>
  <c r="Z22" i="16"/>
  <c r="W23" i="16"/>
  <c r="C23" i="12"/>
  <c r="E22" i="12"/>
  <c r="C22" i="12"/>
  <c r="C23" i="20"/>
  <c r="E22" i="20"/>
  <c r="C22" i="20"/>
  <c r="C22" i="25"/>
  <c r="C23" i="25"/>
  <c r="E22" i="25"/>
  <c r="E22" i="53"/>
  <c r="C22" i="53"/>
  <c r="C23" i="53"/>
  <c r="A174" i="61"/>
  <c r="AB174" i="61"/>
  <c r="AB88" i="61"/>
  <c r="CK48" i="61"/>
  <c r="CG23" i="61"/>
  <c r="CH23" i="61" s="1"/>
  <c r="CI23" i="61" s="1"/>
  <c r="CK23" i="61"/>
  <c r="C69" i="61"/>
  <c r="CM4" i="61" s="1"/>
  <c r="BE69" i="61"/>
  <c r="C2" i="56"/>
  <c r="H186" i="61" s="1"/>
  <c r="F210" i="61" s="1"/>
  <c r="B5" i="59"/>
  <c r="B5" i="50"/>
  <c r="B5" i="49"/>
  <c r="B5" i="48"/>
  <c r="B5" i="46"/>
  <c r="B5" i="45"/>
  <c r="B5" i="47"/>
  <c r="B5" i="44"/>
  <c r="B5" i="43"/>
  <c r="B5" i="42"/>
  <c r="B5" i="41"/>
  <c r="B5" i="40"/>
  <c r="B5" i="37"/>
  <c r="B5" i="39"/>
  <c r="B5" i="38"/>
  <c r="B5" i="34"/>
  <c r="B5" i="33"/>
  <c r="B5" i="36"/>
  <c r="B5" i="35"/>
  <c r="B5" i="32"/>
  <c r="B5" i="28"/>
  <c r="B5" i="31"/>
  <c r="B5" i="27"/>
  <c r="B5" i="30"/>
  <c r="B5" i="26"/>
  <c r="B5" i="29"/>
  <c r="B1" i="24"/>
  <c r="C9" i="5"/>
  <c r="E9" i="5"/>
  <c r="E9" i="3"/>
  <c r="C9" i="3"/>
  <c r="AS9" i="2"/>
  <c r="W9" i="2"/>
  <c r="Z9" i="2"/>
  <c r="AS9" i="8"/>
  <c r="W9" i="8"/>
  <c r="Z9" i="8"/>
  <c r="Z9" i="16"/>
  <c r="AS9" i="16"/>
  <c r="W9" i="16"/>
  <c r="Z9" i="25"/>
  <c r="AS9" i="25"/>
  <c r="W9" i="25"/>
  <c r="AS9" i="13"/>
  <c r="W9" i="13"/>
  <c r="Z9" i="13"/>
  <c r="AS9" i="21"/>
  <c r="W9" i="21"/>
  <c r="Z9" i="21"/>
  <c r="AS9" i="10"/>
  <c r="W9" i="10"/>
  <c r="Z9" i="10"/>
  <c r="AS9" i="18"/>
  <c r="W9" i="18"/>
  <c r="Z9" i="18"/>
  <c r="E9" i="13"/>
  <c r="C9" i="13"/>
  <c r="E9" i="21"/>
  <c r="C9" i="21"/>
  <c r="C25" i="3"/>
  <c r="E25" i="3"/>
  <c r="E25" i="4"/>
  <c r="C25" i="4"/>
  <c r="AS25" i="2"/>
  <c r="W25" i="2"/>
  <c r="Z25" i="2"/>
  <c r="C25" i="11"/>
  <c r="E25" i="11"/>
  <c r="C25" i="19"/>
  <c r="E25" i="19"/>
  <c r="Z25" i="25"/>
  <c r="AS25" i="25"/>
  <c r="W25" i="25"/>
  <c r="AS25" i="13"/>
  <c r="W25" i="13"/>
  <c r="Z25" i="13"/>
  <c r="AS25" i="21"/>
  <c r="W25" i="21"/>
  <c r="Z25" i="21"/>
  <c r="E25" i="13"/>
  <c r="C25" i="13"/>
  <c r="E25" i="21"/>
  <c r="C25" i="21"/>
  <c r="E25" i="14"/>
  <c r="C25" i="14"/>
  <c r="E25" i="22"/>
  <c r="C25" i="22"/>
  <c r="C25" i="53"/>
  <c r="E25" i="53"/>
  <c r="DD83" i="61"/>
  <c r="DE83" i="61" s="1"/>
  <c r="DC83" i="61"/>
  <c r="I55" i="2"/>
  <c r="I51" i="2"/>
  <c r="I47" i="2"/>
  <c r="I43" i="2"/>
  <c r="I39" i="2"/>
  <c r="I35" i="2"/>
  <c r="BG31" i="2"/>
  <c r="BG29" i="2"/>
  <c r="BG28" i="2"/>
  <c r="BG26" i="2"/>
  <c r="BG24" i="2"/>
  <c r="BG22" i="2"/>
  <c r="BG20" i="2"/>
  <c r="BG18" i="2"/>
  <c r="BG16" i="2"/>
  <c r="BG14" i="2"/>
  <c r="BG12" i="2"/>
  <c r="I54" i="2"/>
  <c r="I50" i="2"/>
  <c r="I46" i="2"/>
  <c r="I42" i="2"/>
  <c r="I38" i="2"/>
  <c r="BG34" i="2"/>
  <c r="I57" i="2"/>
  <c r="I53" i="2"/>
  <c r="I49" i="2"/>
  <c r="S25" i="2" s="1"/>
  <c r="CA84" i="61" s="1"/>
  <c r="I45" i="2"/>
  <c r="I41" i="2"/>
  <c r="I37" i="2"/>
  <c r="BG33" i="2"/>
  <c r="BG32" i="2"/>
  <c r="BG30" i="2"/>
  <c r="BG27" i="2"/>
  <c r="BG25" i="2"/>
  <c r="BG23" i="2"/>
  <c r="BG21" i="2"/>
  <c r="BG19" i="2"/>
  <c r="BG17" i="2"/>
  <c r="BG15" i="2"/>
  <c r="BG13" i="2"/>
  <c r="I56" i="2"/>
  <c r="I52" i="2"/>
  <c r="I48" i="2"/>
  <c r="I44" i="2"/>
  <c r="S20" i="2" s="1"/>
  <c r="CA79" i="61" s="1"/>
  <c r="I40" i="2"/>
  <c r="I36" i="2"/>
  <c r="AS16" i="1"/>
  <c r="W16" i="1"/>
  <c r="Z16" i="1"/>
  <c r="Z16" i="9"/>
  <c r="AS16" i="9"/>
  <c r="W16" i="9"/>
  <c r="C16" i="7"/>
  <c r="E16" i="7"/>
  <c r="E16" i="6"/>
  <c r="C16" i="6"/>
  <c r="Z16" i="10"/>
  <c r="AS16" i="10"/>
  <c r="W16" i="10"/>
  <c r="Z16" i="18"/>
  <c r="AS16" i="18"/>
  <c r="W16" i="18"/>
  <c r="C16" i="10"/>
  <c r="E16" i="10"/>
  <c r="C16" i="18"/>
  <c r="E16" i="18"/>
  <c r="AS16" i="8"/>
  <c r="W16" i="8"/>
  <c r="Z16" i="8"/>
  <c r="AS16" i="16"/>
  <c r="W16" i="16"/>
  <c r="Z16" i="16"/>
  <c r="W16" i="24"/>
  <c r="AS16" i="24"/>
  <c r="Z16" i="24"/>
  <c r="AS16" i="17"/>
  <c r="W16" i="17"/>
  <c r="Z16" i="17"/>
  <c r="Z16" i="25"/>
  <c r="AS16" i="25"/>
  <c r="W16" i="25"/>
  <c r="Z16" i="53"/>
  <c r="W16" i="53"/>
  <c r="AS16" i="53"/>
  <c r="DD74" i="61"/>
  <c r="DE74" i="61" s="1"/>
  <c r="DC74" i="61"/>
  <c r="AD44" i="28"/>
  <c r="A49" i="26"/>
  <c r="O49" i="29"/>
  <c r="O45" i="26"/>
  <c r="B45" i="29"/>
  <c r="A49" i="29"/>
  <c r="O48" i="31"/>
  <c r="P47" i="31"/>
  <c r="P51" i="28"/>
  <c r="O56" i="28"/>
  <c r="O52" i="28"/>
  <c r="O48" i="33"/>
  <c r="P47" i="33"/>
  <c r="A61" i="37"/>
  <c r="A57" i="37"/>
  <c r="O49" i="41"/>
  <c r="P51" i="42"/>
  <c r="A57" i="43"/>
  <c r="A61" i="43"/>
  <c r="A58" i="44"/>
  <c r="B57" i="44"/>
  <c r="A49" i="42"/>
  <c r="B45" i="44"/>
  <c r="O49" i="47"/>
  <c r="O45" i="49"/>
  <c r="AC58" i="48"/>
  <c r="AC54" i="48"/>
  <c r="A49" i="48"/>
  <c r="W19" i="2"/>
  <c r="AS18" i="2"/>
  <c r="W18" i="2"/>
  <c r="Z18" i="2"/>
  <c r="AS18" i="3"/>
  <c r="W18" i="3"/>
  <c r="Z18" i="3"/>
  <c r="W19" i="3"/>
  <c r="C18" i="7"/>
  <c r="E18" i="7"/>
  <c r="C19" i="7"/>
  <c r="C18" i="9"/>
  <c r="E18" i="9"/>
  <c r="C19" i="9"/>
  <c r="C18" i="17"/>
  <c r="E18" i="17"/>
  <c r="C19" i="17"/>
  <c r="AS18" i="7"/>
  <c r="W18" i="7"/>
  <c r="Z18" i="7"/>
  <c r="W19" i="7"/>
  <c r="W19" i="15"/>
  <c r="AS18" i="15"/>
  <c r="W18" i="15"/>
  <c r="Z18" i="15"/>
  <c r="W19" i="23"/>
  <c r="AS18" i="23"/>
  <c r="W18" i="23"/>
  <c r="Z18" i="23"/>
  <c r="C19" i="15"/>
  <c r="E18" i="15"/>
  <c r="C18" i="15"/>
  <c r="C19" i="23"/>
  <c r="E18" i="23"/>
  <c r="C18" i="23"/>
  <c r="AS18" i="17"/>
  <c r="W18" i="17"/>
  <c r="Z18" i="17"/>
  <c r="W19" i="17"/>
  <c r="E18" i="24"/>
  <c r="C18" i="24"/>
  <c r="C19" i="24"/>
  <c r="DD76" i="61"/>
  <c r="DE76" i="61" s="1"/>
  <c r="DC76" i="61"/>
  <c r="G69" i="61"/>
  <c r="CQ4" i="61" s="1"/>
  <c r="BI69" i="61"/>
  <c r="G2" i="56"/>
  <c r="L186" i="61" s="1"/>
  <c r="J210" i="61" s="1"/>
  <c r="B9" i="59"/>
  <c r="P48" i="59" s="1"/>
  <c r="B9" i="50"/>
  <c r="B9" i="48"/>
  <c r="B9" i="49"/>
  <c r="B9" i="47"/>
  <c r="B9" i="46"/>
  <c r="B9" i="43"/>
  <c r="B9" i="45"/>
  <c r="P45" i="45" s="1"/>
  <c r="B9" i="44"/>
  <c r="B9" i="42"/>
  <c r="P45" i="42" s="1"/>
  <c r="B9" i="41"/>
  <c r="B9" i="40"/>
  <c r="B9" i="39"/>
  <c r="B9" i="38"/>
  <c r="B9" i="37"/>
  <c r="B9" i="36"/>
  <c r="B9" i="35"/>
  <c r="P45" i="35" s="1"/>
  <c r="B9" i="34"/>
  <c r="B9" i="33"/>
  <c r="B9" i="32"/>
  <c r="P53" i="32" s="1"/>
  <c r="Q53" i="32" s="1"/>
  <c r="B9" i="30"/>
  <c r="B9" i="26"/>
  <c r="B9" i="29"/>
  <c r="B9" i="28"/>
  <c r="B9" i="31"/>
  <c r="B9" i="27"/>
  <c r="B1" i="20"/>
  <c r="E5" i="5"/>
  <c r="AS5" i="3"/>
  <c r="AS5" i="4"/>
  <c r="AS5" i="5"/>
  <c r="E5" i="14"/>
  <c r="E5" i="22"/>
  <c r="AS5" i="12"/>
  <c r="AS5" i="20"/>
  <c r="E5" i="12"/>
  <c r="E5" i="20"/>
  <c r="E5" i="13"/>
  <c r="E5" i="21"/>
  <c r="C21" i="3"/>
  <c r="E21" i="3"/>
  <c r="AS21" i="5"/>
  <c r="W21" i="5"/>
  <c r="Z21" i="5"/>
  <c r="E21" i="5"/>
  <c r="C21" i="5"/>
  <c r="C21" i="11"/>
  <c r="E21" i="11"/>
  <c r="C21" i="19"/>
  <c r="E21" i="19"/>
  <c r="AS21" i="9"/>
  <c r="W21" i="9"/>
  <c r="Z21" i="9"/>
  <c r="AS21" i="17"/>
  <c r="W21" i="17"/>
  <c r="Z21" i="17"/>
  <c r="E21" i="9"/>
  <c r="C21" i="9"/>
  <c r="E21" i="17"/>
  <c r="C21" i="17"/>
  <c r="Z21" i="24"/>
  <c r="W21" i="24"/>
  <c r="AS21" i="24"/>
  <c r="AS21" i="15"/>
  <c r="W21" i="15"/>
  <c r="Z21" i="15"/>
  <c r="AS21" i="23"/>
  <c r="W21" i="23"/>
  <c r="Z21" i="23"/>
  <c r="Z21" i="53"/>
  <c r="W21" i="53"/>
  <c r="AS21" i="53"/>
  <c r="DD79" i="61"/>
  <c r="DE79" i="61" s="1"/>
  <c r="DC79" i="61"/>
  <c r="D69" i="61"/>
  <c r="CN4" i="61" s="1"/>
  <c r="BF69" i="61"/>
  <c r="B6" i="59"/>
  <c r="B57" i="59" s="1"/>
  <c r="D2" i="56"/>
  <c r="I186" i="61" s="1"/>
  <c r="G210" i="61" s="1"/>
  <c r="B6" i="50"/>
  <c r="B48" i="50" s="1"/>
  <c r="B6" i="48"/>
  <c r="B56" i="48" s="1"/>
  <c r="B6" i="49"/>
  <c r="B48" i="49" s="1"/>
  <c r="B6" i="47"/>
  <c r="B6" i="46"/>
  <c r="B56" i="46" s="1"/>
  <c r="B6" i="43"/>
  <c r="B52" i="43" s="1"/>
  <c r="B6" i="45"/>
  <c r="B52" i="45" s="1"/>
  <c r="B6" i="44"/>
  <c r="B48" i="44" s="1"/>
  <c r="B6" i="42"/>
  <c r="B6" i="41"/>
  <c r="B48" i="41" s="1"/>
  <c r="B6" i="39"/>
  <c r="B52" i="39" s="1"/>
  <c r="B6" i="40"/>
  <c r="B48" i="40" s="1"/>
  <c r="B6" i="38"/>
  <c r="B6" i="37"/>
  <c r="B44" i="37" s="1"/>
  <c r="B6" i="36"/>
  <c r="B52" i="36" s="1"/>
  <c r="B6" i="35"/>
  <c r="B48" i="35" s="1"/>
  <c r="B6" i="34"/>
  <c r="B6" i="33"/>
  <c r="B48" i="33" s="1"/>
  <c r="B6" i="32"/>
  <c r="B6" i="30"/>
  <c r="B44" i="30" s="1"/>
  <c r="B6" i="26"/>
  <c r="B56" i="26" s="1"/>
  <c r="B6" i="29"/>
  <c r="B48" i="29" s="1"/>
  <c r="B6" i="28"/>
  <c r="B48" i="28" s="1"/>
  <c r="B6" i="31"/>
  <c r="B48" i="31" s="1"/>
  <c r="B6" i="27"/>
  <c r="B48" i="27" s="1"/>
  <c r="B1" i="23"/>
  <c r="C12" i="4"/>
  <c r="E12" i="4"/>
  <c r="Z12" i="9"/>
  <c r="AS12" i="9"/>
  <c r="W12" i="9"/>
  <c r="E12" i="2"/>
  <c r="C12" i="2"/>
  <c r="AS12" i="4"/>
  <c r="W12" i="4"/>
  <c r="Z12" i="4"/>
  <c r="Z12" i="14"/>
  <c r="AS12" i="14"/>
  <c r="W12" i="14"/>
  <c r="Z12" i="22"/>
  <c r="AS12" i="22"/>
  <c r="W12" i="22"/>
  <c r="AS12" i="11"/>
  <c r="W12" i="11"/>
  <c r="Z12" i="11"/>
  <c r="AS12" i="19"/>
  <c r="W12" i="19"/>
  <c r="Z12" i="19"/>
  <c r="E12" i="11"/>
  <c r="C12" i="11"/>
  <c r="E12" i="19"/>
  <c r="C12" i="19"/>
  <c r="AS12" i="13"/>
  <c r="W12" i="13"/>
  <c r="Z12" i="13"/>
  <c r="AS12" i="21"/>
  <c r="W12" i="21"/>
  <c r="Z12" i="21"/>
  <c r="C28" i="7"/>
  <c r="E28" i="7"/>
  <c r="AC28" i="2"/>
  <c r="AS28" i="2"/>
  <c r="W28" i="2"/>
  <c r="Z28" i="2"/>
  <c r="AS28" i="3"/>
  <c r="W28" i="3"/>
  <c r="Z28" i="3"/>
  <c r="AC28" i="3"/>
  <c r="C28" i="9"/>
  <c r="E28" i="9"/>
  <c r="C28" i="17"/>
  <c r="E28" i="17"/>
  <c r="AS28" i="24"/>
  <c r="Z28" i="24"/>
  <c r="AC28" i="24"/>
  <c r="AC27" i="24" s="1"/>
  <c r="AC26" i="24" s="1"/>
  <c r="AC25" i="24" s="1"/>
  <c r="AC24" i="24" s="1"/>
  <c r="AC23" i="24" s="1"/>
  <c r="AC22" i="24" s="1"/>
  <c r="AC21" i="24" s="1"/>
  <c r="AC20" i="24" s="1"/>
  <c r="AC19" i="24" s="1"/>
  <c r="AC18" i="24" s="1"/>
  <c r="AC17" i="24" s="1"/>
  <c r="W28" i="24"/>
  <c r="C28" i="14"/>
  <c r="E28" i="14"/>
  <c r="C28" i="22"/>
  <c r="E28" i="22"/>
  <c r="AS28" i="12"/>
  <c r="W28" i="12"/>
  <c r="Z28" i="12"/>
  <c r="AC28" i="12"/>
  <c r="AS28" i="20"/>
  <c r="W28" i="20"/>
  <c r="Z28" i="20"/>
  <c r="AC28" i="20"/>
  <c r="E28" i="16"/>
  <c r="C28" i="16"/>
  <c r="E28" i="24"/>
  <c r="C28" i="24"/>
  <c r="DC86" i="61"/>
  <c r="DD86" i="61"/>
  <c r="DE86" i="61" s="1"/>
  <c r="AC138" i="43"/>
  <c r="AC134" i="43"/>
  <c r="AD134" i="43" s="1"/>
  <c r="AD133" i="43"/>
  <c r="O52" i="44"/>
  <c r="P51" i="44"/>
  <c r="O56" i="44"/>
  <c r="AD48" i="40"/>
  <c r="AD44" i="40"/>
  <c r="P39" i="40"/>
  <c r="C15" i="2"/>
  <c r="E14" i="2"/>
  <c r="C14" i="2"/>
  <c r="C14" i="17"/>
  <c r="E14" i="17"/>
  <c r="C15" i="17"/>
  <c r="AS14" i="12"/>
  <c r="W14" i="12"/>
  <c r="Z14" i="12"/>
  <c r="W15" i="12"/>
  <c r="E14" i="24"/>
  <c r="C14" i="24"/>
  <c r="C15" i="24"/>
  <c r="C17" i="3"/>
  <c r="E17" i="3"/>
  <c r="Z17" i="16"/>
  <c r="AS17" i="16"/>
  <c r="W17" i="16"/>
  <c r="AS17" i="13"/>
  <c r="W17" i="13"/>
  <c r="Z17" i="13"/>
  <c r="AS17" i="21"/>
  <c r="W17" i="21"/>
  <c r="Z17" i="21"/>
  <c r="E17" i="21"/>
  <c r="C17" i="21"/>
  <c r="AS17" i="19"/>
  <c r="W17" i="19"/>
  <c r="Z17" i="19"/>
  <c r="C8" i="4"/>
  <c r="E8" i="4"/>
  <c r="Z8" i="22"/>
  <c r="AS8" i="22"/>
  <c r="W8" i="22"/>
  <c r="C8" i="21"/>
  <c r="E8" i="21"/>
  <c r="E8" i="24"/>
  <c r="C8" i="24"/>
  <c r="Z8" i="25"/>
  <c r="AS8" i="25"/>
  <c r="W8" i="25"/>
  <c r="C24" i="4"/>
  <c r="E24" i="4"/>
  <c r="Z24" i="14"/>
  <c r="AS24" i="14"/>
  <c r="W24" i="14"/>
  <c r="C24" i="14"/>
  <c r="E24" i="14"/>
  <c r="AS24" i="20"/>
  <c r="W24" i="20"/>
  <c r="Z24" i="20"/>
  <c r="AS24" i="13"/>
  <c r="W24" i="13"/>
  <c r="Z24" i="13"/>
  <c r="AS24" i="21"/>
  <c r="W24" i="21"/>
  <c r="Z24" i="21"/>
  <c r="AA45" i="31"/>
  <c r="AO45" i="31" s="1"/>
  <c r="W45" i="31"/>
  <c r="AA44" i="31"/>
  <c r="AO44" i="31" s="1"/>
  <c r="W44" i="31"/>
  <c r="A49" i="28"/>
  <c r="A45" i="30"/>
  <c r="B45" i="30" s="1"/>
  <c r="O49" i="35"/>
  <c r="P39" i="39"/>
  <c r="O40" i="39"/>
  <c r="P51" i="45"/>
  <c r="O56" i="45"/>
  <c r="O52" i="45"/>
  <c r="AC54" i="49"/>
  <c r="AC58" i="49"/>
  <c r="A49" i="50"/>
  <c r="I54" i="3"/>
  <c r="I50" i="3"/>
  <c r="I46" i="3"/>
  <c r="I42" i="3"/>
  <c r="I38" i="3"/>
  <c r="BG34" i="3"/>
  <c r="I57" i="3"/>
  <c r="I53" i="3"/>
  <c r="I49" i="3"/>
  <c r="I45" i="3"/>
  <c r="I41" i="3"/>
  <c r="I37" i="3"/>
  <c r="BG33" i="3"/>
  <c r="BG32" i="3"/>
  <c r="BG30" i="3"/>
  <c r="BG27" i="3"/>
  <c r="BG25" i="3"/>
  <c r="BG23" i="3"/>
  <c r="BG21" i="3"/>
  <c r="BG19" i="3"/>
  <c r="BG17" i="3"/>
  <c r="BG15" i="3"/>
  <c r="BG13" i="3"/>
  <c r="I56" i="3"/>
  <c r="I52" i="3"/>
  <c r="I48" i="3"/>
  <c r="I44" i="3"/>
  <c r="S20" i="3" s="1"/>
  <c r="BZ79" i="61" s="1"/>
  <c r="I40" i="3"/>
  <c r="I36" i="3"/>
  <c r="I55" i="3"/>
  <c r="S31" i="3" s="1"/>
  <c r="BZ90" i="61" s="1"/>
  <c r="I51" i="3"/>
  <c r="I47" i="3"/>
  <c r="I43" i="3"/>
  <c r="I39" i="3"/>
  <c r="I35" i="3"/>
  <c r="BG31" i="3"/>
  <c r="BG29" i="3"/>
  <c r="BG28" i="3"/>
  <c r="BG26" i="3"/>
  <c r="BG24" i="3"/>
  <c r="BG22" i="3"/>
  <c r="BG20" i="3"/>
  <c r="BG18" i="3"/>
  <c r="BG16" i="3"/>
  <c r="BG14" i="3"/>
  <c r="BG12" i="3"/>
  <c r="Z13" i="12"/>
  <c r="AS13" i="12"/>
  <c r="W13" i="12"/>
  <c r="E13" i="21"/>
  <c r="C13" i="21"/>
  <c r="DD71" i="61"/>
  <c r="DE71" i="61" s="1"/>
  <c r="DC71" i="61"/>
  <c r="C20" i="21"/>
  <c r="E20" i="21"/>
  <c r="E20" i="12"/>
  <c r="C20" i="12"/>
  <c r="O45" i="36"/>
  <c r="AC49" i="41"/>
  <c r="AD48" i="41"/>
  <c r="AC53" i="41"/>
  <c r="AD44" i="50"/>
  <c r="C7" i="19"/>
  <c r="E6" i="19"/>
  <c r="C6" i="19"/>
  <c r="C23" i="1"/>
  <c r="E22" i="1"/>
  <c r="C22" i="1"/>
  <c r="Z22" i="14"/>
  <c r="W23" i="14"/>
  <c r="AS22" i="14"/>
  <c r="W22" i="14"/>
  <c r="C22" i="22"/>
  <c r="E22" i="22"/>
  <c r="C23" i="22"/>
  <c r="C23" i="19"/>
  <c r="E22" i="19"/>
  <c r="C22" i="19"/>
  <c r="AS22" i="13"/>
  <c r="W22" i="13"/>
  <c r="Z22" i="13"/>
  <c r="W23" i="13"/>
  <c r="AS22" i="21"/>
  <c r="W22" i="21"/>
  <c r="Z22" i="21"/>
  <c r="W23" i="21"/>
  <c r="C9" i="2"/>
  <c r="E9" i="2"/>
  <c r="AS9" i="5"/>
  <c r="W9" i="5"/>
  <c r="Z9" i="5"/>
  <c r="E9" i="4"/>
  <c r="C9" i="4"/>
  <c r="C9" i="10"/>
  <c r="E9" i="10"/>
  <c r="C9" i="18"/>
  <c r="E9" i="18"/>
  <c r="E9" i="7"/>
  <c r="C9" i="7"/>
  <c r="C9" i="15"/>
  <c r="E9" i="15"/>
  <c r="C9" i="23"/>
  <c r="E9" i="23"/>
  <c r="E9" i="12"/>
  <c r="C9" i="12"/>
  <c r="E9" i="20"/>
  <c r="C9" i="20"/>
  <c r="AS9" i="15"/>
  <c r="W9" i="15"/>
  <c r="Z9" i="15"/>
  <c r="AS9" i="23"/>
  <c r="W9" i="23"/>
  <c r="Z9" i="23"/>
  <c r="DD67" i="61"/>
  <c r="DE67" i="61" s="1"/>
  <c r="DC67" i="61"/>
  <c r="E25" i="1"/>
  <c r="C25" i="1"/>
  <c r="AS25" i="4"/>
  <c r="W25" i="4"/>
  <c r="Z25" i="4"/>
  <c r="AS25" i="5"/>
  <c r="W25" i="5"/>
  <c r="Z25" i="5"/>
  <c r="E25" i="5"/>
  <c r="C25" i="5"/>
  <c r="Z25" i="12"/>
  <c r="AS25" i="12"/>
  <c r="W25" i="12"/>
  <c r="Z25" i="20"/>
  <c r="AS25" i="20"/>
  <c r="W25" i="20"/>
  <c r="E25" i="8"/>
  <c r="C25" i="8"/>
  <c r="C25" i="16"/>
  <c r="E25" i="16"/>
  <c r="C25" i="24"/>
  <c r="E25" i="24"/>
  <c r="AS25" i="14"/>
  <c r="W25" i="14"/>
  <c r="Z25" i="14"/>
  <c r="AS25" i="22"/>
  <c r="W25" i="22"/>
  <c r="Z25" i="22"/>
  <c r="AS25" i="15"/>
  <c r="W25" i="15"/>
  <c r="Z25" i="15"/>
  <c r="AS25" i="23"/>
  <c r="W25" i="23"/>
  <c r="Z25" i="23"/>
  <c r="AB177" i="61"/>
  <c r="A177" i="61"/>
  <c r="AB91" i="61"/>
  <c r="CK51" i="61"/>
  <c r="CG26" i="61"/>
  <c r="CH26" i="61" s="1"/>
  <c r="CI26" i="61" s="1"/>
  <c r="CK26" i="61"/>
  <c r="C16" i="4"/>
  <c r="E16" i="4"/>
  <c r="AS16" i="2"/>
  <c r="W16" i="2"/>
  <c r="Z16" i="2"/>
  <c r="E16" i="1"/>
  <c r="C16" i="1"/>
  <c r="E16" i="3"/>
  <c r="C16" i="3"/>
  <c r="C16" i="13"/>
  <c r="E16" i="13"/>
  <c r="C16" i="21"/>
  <c r="E16" i="21"/>
  <c r="AS16" i="11"/>
  <c r="W16" i="11"/>
  <c r="Z16" i="11"/>
  <c r="AS16" i="19"/>
  <c r="W16" i="19"/>
  <c r="Z16" i="19"/>
  <c r="E16" i="11"/>
  <c r="C16" i="11"/>
  <c r="E16" i="19"/>
  <c r="C16" i="19"/>
  <c r="E16" i="12"/>
  <c r="C16" i="12"/>
  <c r="E16" i="20"/>
  <c r="C16" i="20"/>
  <c r="C16" i="25"/>
  <c r="E16" i="25"/>
  <c r="E16" i="53"/>
  <c r="C16" i="53"/>
  <c r="B61" i="32"/>
  <c r="A62" i="32"/>
  <c r="A66" i="32"/>
  <c r="AC54" i="34"/>
  <c r="AC58" i="34"/>
  <c r="O54" i="32"/>
  <c r="O64" i="32"/>
  <c r="P63" i="32"/>
  <c r="Q63" i="32" s="1"/>
  <c r="AD44" i="39"/>
  <c r="A53" i="39"/>
  <c r="A54" i="41"/>
  <c r="B53" i="41"/>
  <c r="O53" i="42"/>
  <c r="A53" i="43"/>
  <c r="A66" i="44"/>
  <c r="A62" i="44"/>
  <c r="B61" i="44"/>
  <c r="AC54" i="45"/>
  <c r="AC58" i="45"/>
  <c r="P39" i="43"/>
  <c r="O40" i="43"/>
  <c r="A53" i="45"/>
  <c r="P43" i="49"/>
  <c r="Q43" i="49" s="1"/>
  <c r="AD44" i="49"/>
  <c r="I53" i="7"/>
  <c r="BG30" i="7"/>
  <c r="AD123" i="43"/>
  <c r="AI122" i="43" s="1"/>
  <c r="Z18" i="1"/>
  <c r="AS18" i="1"/>
  <c r="W18" i="1"/>
  <c r="W19" i="1"/>
  <c r="C18" i="5"/>
  <c r="C19" i="5"/>
  <c r="E18" i="5"/>
  <c r="E18" i="6"/>
  <c r="C18" i="6"/>
  <c r="C19" i="6"/>
  <c r="C18" i="8"/>
  <c r="C19" i="8"/>
  <c r="E18" i="8"/>
  <c r="Z18" i="10"/>
  <c r="W19" i="10"/>
  <c r="AS18" i="10"/>
  <c r="W18" i="10"/>
  <c r="Z18" i="18"/>
  <c r="W19" i="18"/>
  <c r="AS18" i="18"/>
  <c r="W18" i="18"/>
  <c r="C18" i="10"/>
  <c r="E18" i="10"/>
  <c r="C19" i="10"/>
  <c r="C18" i="18"/>
  <c r="E18" i="18"/>
  <c r="C19" i="18"/>
  <c r="AS18" i="8"/>
  <c r="W18" i="8"/>
  <c r="Z18" i="8"/>
  <c r="W19" i="8"/>
  <c r="AS18" i="16"/>
  <c r="W18" i="16"/>
  <c r="Z18" i="16"/>
  <c r="W19" i="16"/>
  <c r="C19" i="12"/>
  <c r="E18" i="12"/>
  <c r="C18" i="12"/>
  <c r="C19" i="20"/>
  <c r="E18" i="20"/>
  <c r="C18" i="20"/>
  <c r="Z18" i="25"/>
  <c r="AS18" i="25"/>
  <c r="W18" i="25"/>
  <c r="W19" i="25"/>
  <c r="W18" i="53"/>
  <c r="AS18" i="53"/>
  <c r="W19" i="53"/>
  <c r="Z18" i="53"/>
  <c r="AB170" i="61"/>
  <c r="A170" i="61"/>
  <c r="AB84" i="61"/>
  <c r="CK44" i="61"/>
  <c r="CG19" i="61"/>
  <c r="CH19" i="61" s="1"/>
  <c r="CI19" i="61" s="1"/>
  <c r="CK19" i="61"/>
  <c r="AS5" i="6"/>
  <c r="E5" i="6"/>
  <c r="E5" i="7"/>
  <c r="AS5" i="7"/>
  <c r="AS5" i="15"/>
  <c r="AS5" i="23"/>
  <c r="E5" i="15"/>
  <c r="E5" i="23"/>
  <c r="AS5" i="13"/>
  <c r="AS5" i="21"/>
  <c r="AS5" i="14"/>
  <c r="AS5" i="22"/>
  <c r="AS5" i="53"/>
  <c r="DD63" i="61"/>
  <c r="DE63" i="61" s="1"/>
  <c r="DC63" i="61"/>
  <c r="C21" i="2"/>
  <c r="E21" i="2"/>
  <c r="AS21" i="4"/>
  <c r="W21" i="4"/>
  <c r="Z21" i="4"/>
  <c r="Z21" i="1"/>
  <c r="AS21" i="1"/>
  <c r="W21" i="1"/>
  <c r="W21" i="6"/>
  <c r="AS21" i="6"/>
  <c r="Z21" i="6"/>
  <c r="Z21" i="12"/>
  <c r="AS21" i="12"/>
  <c r="W21" i="12"/>
  <c r="Z21" i="20"/>
  <c r="AS21" i="20"/>
  <c r="W21" i="20"/>
  <c r="C21" i="12"/>
  <c r="E21" i="12"/>
  <c r="C21" i="20"/>
  <c r="E21" i="20"/>
  <c r="AS21" i="10"/>
  <c r="W21" i="10"/>
  <c r="Z21" i="10"/>
  <c r="AS21" i="18"/>
  <c r="W21" i="18"/>
  <c r="Z21" i="18"/>
  <c r="E21" i="10"/>
  <c r="C21" i="10"/>
  <c r="E21" i="18"/>
  <c r="C21" i="18"/>
  <c r="C21" i="24"/>
  <c r="E21" i="24"/>
  <c r="C21" i="53"/>
  <c r="E21" i="53"/>
  <c r="A173" i="61"/>
  <c r="AB173" i="61"/>
  <c r="AB87" i="61"/>
  <c r="CG22" i="61"/>
  <c r="CH22" i="61" s="1"/>
  <c r="CI22" i="61" s="1"/>
  <c r="CK22" i="61"/>
  <c r="CK47" i="61"/>
  <c r="Z12" i="5"/>
  <c r="AS12" i="5"/>
  <c r="W12" i="5"/>
  <c r="AS12" i="2"/>
  <c r="W12" i="2"/>
  <c r="Z12" i="2"/>
  <c r="AS12" i="3"/>
  <c r="W12" i="3"/>
  <c r="Z12" i="3"/>
  <c r="C12" i="9"/>
  <c r="E12" i="9"/>
  <c r="C12" i="17"/>
  <c r="E12" i="17"/>
  <c r="AS12" i="24"/>
  <c r="Z12" i="24"/>
  <c r="W12" i="24"/>
  <c r="C12" i="14"/>
  <c r="E12" i="14"/>
  <c r="C12" i="22"/>
  <c r="E12" i="22"/>
  <c r="AS12" i="12"/>
  <c r="W12" i="12"/>
  <c r="Z12" i="12"/>
  <c r="AS12" i="20"/>
  <c r="W12" i="20"/>
  <c r="Z12" i="20"/>
  <c r="E12" i="16"/>
  <c r="C12" i="16"/>
  <c r="E12" i="24"/>
  <c r="C12" i="24"/>
  <c r="C12" i="53"/>
  <c r="E12" i="53"/>
  <c r="A164" i="61"/>
  <c r="AB164" i="61"/>
  <c r="AB78" i="61"/>
  <c r="CK38" i="61"/>
  <c r="CK13" i="61"/>
  <c r="CG13" i="61"/>
  <c r="CH13" i="61" s="1"/>
  <c r="CI13" i="61" s="1"/>
  <c r="AC28" i="1"/>
  <c r="AS28" i="1"/>
  <c r="W28" i="1"/>
  <c r="Z28" i="1"/>
  <c r="C28" i="8"/>
  <c r="E28" i="8"/>
  <c r="C28" i="5"/>
  <c r="E28" i="5"/>
  <c r="E28" i="3"/>
  <c r="C28" i="3"/>
  <c r="Z28" i="10"/>
  <c r="AC28" i="10"/>
  <c r="AS28" i="10"/>
  <c r="W28" i="10"/>
  <c r="Z28" i="18"/>
  <c r="AC28" i="18"/>
  <c r="AS28" i="18"/>
  <c r="W28" i="18"/>
  <c r="AS28" i="7"/>
  <c r="W28" i="7"/>
  <c r="Z28" i="7"/>
  <c r="AC28" i="7"/>
  <c r="AC27" i="7" s="1"/>
  <c r="AC26" i="7" s="1"/>
  <c r="AC25" i="7" s="1"/>
  <c r="AC24" i="7" s="1"/>
  <c r="AC23" i="7" s="1"/>
  <c r="AC22" i="7" s="1"/>
  <c r="AC21" i="7" s="1"/>
  <c r="AC20" i="7" s="1"/>
  <c r="AC19" i="7" s="1"/>
  <c r="AC18" i="7" s="1"/>
  <c r="AC17" i="7" s="1"/>
  <c r="AC28" i="15"/>
  <c r="AC27" i="15" s="1"/>
  <c r="AC26" i="15" s="1"/>
  <c r="AC25" i="15" s="1"/>
  <c r="AC24" i="15" s="1"/>
  <c r="AC23" i="15" s="1"/>
  <c r="AC22" i="15" s="1"/>
  <c r="AC21" i="15" s="1"/>
  <c r="AC20" i="15" s="1"/>
  <c r="AC19" i="15" s="1"/>
  <c r="AC18" i="15" s="1"/>
  <c r="AC17" i="15" s="1"/>
  <c r="AS28" i="15"/>
  <c r="W28" i="15"/>
  <c r="Z28" i="15"/>
  <c r="AC28" i="23"/>
  <c r="AS28" i="23"/>
  <c r="W28" i="23"/>
  <c r="Z28" i="23"/>
  <c r="E28" i="15"/>
  <c r="C28" i="15"/>
  <c r="E28" i="23"/>
  <c r="C28" i="23"/>
  <c r="AS28" i="17"/>
  <c r="W28" i="17"/>
  <c r="Z28" i="17"/>
  <c r="AC28" i="17"/>
  <c r="AC27" i="17" s="1"/>
  <c r="AC26" i="17" s="1"/>
  <c r="AC25" i="17" s="1"/>
  <c r="AC24" i="17" s="1"/>
  <c r="AC23" i="17" s="1"/>
  <c r="AC22" i="17" s="1"/>
  <c r="AC21" i="17" s="1"/>
  <c r="AC20" i="17" s="1"/>
  <c r="AC19" i="17" s="1"/>
  <c r="AC18" i="17" s="1"/>
  <c r="AC17" i="17" s="1"/>
  <c r="Z28" i="25"/>
  <c r="AS28" i="25"/>
  <c r="W28" i="25"/>
  <c r="AC28" i="25"/>
  <c r="AC28" i="53"/>
  <c r="AC27" i="53" s="1"/>
  <c r="AC26" i="53" s="1"/>
  <c r="AC25" i="53" s="1"/>
  <c r="AC24" i="53" s="1"/>
  <c r="AC23" i="53" s="1"/>
  <c r="AC22" i="53" s="1"/>
  <c r="AC21" i="53" s="1"/>
  <c r="AC20" i="53" s="1"/>
  <c r="AC19" i="53" s="1"/>
  <c r="AC18" i="53" s="1"/>
  <c r="AC17" i="53" s="1"/>
  <c r="W28" i="53"/>
  <c r="AS28" i="53"/>
  <c r="Z28" i="53"/>
  <c r="AB180" i="61"/>
  <c r="A180" i="61"/>
  <c r="AB94" i="61"/>
  <c r="CK54" i="61"/>
  <c r="CG29" i="61"/>
  <c r="CH29" i="61" s="1"/>
  <c r="CI29" i="61" s="1"/>
  <c r="CK29" i="61"/>
  <c r="O44" i="28"/>
  <c r="P43" i="28"/>
  <c r="Q43" i="28" s="1"/>
  <c r="A49" i="36"/>
  <c r="AL45" i="44"/>
  <c r="O49" i="48"/>
  <c r="AD48" i="43"/>
  <c r="AD44" i="43"/>
  <c r="E14" i="3"/>
  <c r="C14" i="3"/>
  <c r="C15" i="3"/>
  <c r="W15" i="23"/>
  <c r="AS14" i="23"/>
  <c r="W14" i="23"/>
  <c r="Z14" i="23"/>
  <c r="K69" i="61"/>
  <c r="CU4" i="61" s="1"/>
  <c r="BM69" i="61"/>
  <c r="K2" i="56"/>
  <c r="P186" i="61" s="1"/>
  <c r="N210" i="61" s="1"/>
  <c r="B13" i="59"/>
  <c r="B13" i="50"/>
  <c r="B13" i="49"/>
  <c r="B13" i="48"/>
  <c r="B13" i="46"/>
  <c r="B13" i="45"/>
  <c r="B13" i="44"/>
  <c r="B13" i="43"/>
  <c r="B13" i="47"/>
  <c r="B13" i="40"/>
  <c r="B13" i="42"/>
  <c r="B13" i="41"/>
  <c r="B13" i="37"/>
  <c r="B13" i="39"/>
  <c r="B13" i="38"/>
  <c r="B13" i="34"/>
  <c r="B13" i="33"/>
  <c r="B13" i="36"/>
  <c r="B13" i="35"/>
  <c r="B13" i="32"/>
  <c r="B13" i="28"/>
  <c r="B13" i="31"/>
  <c r="B13" i="27"/>
  <c r="B13" i="30"/>
  <c r="B13" i="26"/>
  <c r="B13" i="29"/>
  <c r="B1" i="16"/>
  <c r="AS17" i="8"/>
  <c r="W17" i="8"/>
  <c r="Z17" i="8"/>
  <c r="E8" i="5"/>
  <c r="C8" i="5"/>
  <c r="C8" i="13"/>
  <c r="E8" i="13"/>
  <c r="AS8" i="16"/>
  <c r="W8" i="16"/>
  <c r="Z8" i="16"/>
  <c r="AS8" i="17"/>
  <c r="W8" i="17"/>
  <c r="Z8" i="17"/>
  <c r="AS24" i="6"/>
  <c r="W24" i="6"/>
  <c r="Z24" i="6"/>
  <c r="C24" i="22"/>
  <c r="E24" i="22"/>
  <c r="AC54" i="28"/>
  <c r="AC58" i="28"/>
  <c r="B61" i="29"/>
  <c r="A66" i="29"/>
  <c r="A62" i="29"/>
  <c r="A58" i="31"/>
  <c r="B57" i="31"/>
  <c r="A66" i="33"/>
  <c r="A62" i="33"/>
  <c r="B61" i="33"/>
  <c r="O45" i="30"/>
  <c r="O48" i="34"/>
  <c r="P47" i="34"/>
  <c r="A54" i="38"/>
  <c r="B53" i="38"/>
  <c r="AL45" i="42"/>
  <c r="AH45" i="42"/>
  <c r="AL44" i="42"/>
  <c r="AH44" i="42"/>
  <c r="O49" i="42"/>
  <c r="I53" i="11"/>
  <c r="BG30" i="11"/>
  <c r="C11" i="5"/>
  <c r="C10" i="5"/>
  <c r="E10" i="5"/>
  <c r="W11" i="5"/>
  <c r="AS10" i="5"/>
  <c r="W10" i="5"/>
  <c r="Z10" i="5"/>
  <c r="Z10" i="16"/>
  <c r="W11" i="16"/>
  <c r="AS10" i="16"/>
  <c r="W10" i="16"/>
  <c r="W11" i="21"/>
  <c r="AS10" i="21"/>
  <c r="W10" i="21"/>
  <c r="Z10" i="21"/>
  <c r="E26" i="6"/>
  <c r="C26" i="6"/>
  <c r="C27" i="6"/>
  <c r="AS26" i="4"/>
  <c r="W26" i="4"/>
  <c r="Z26" i="4"/>
  <c r="W27" i="4"/>
  <c r="C26" i="17"/>
  <c r="E26" i="17"/>
  <c r="C27" i="17"/>
  <c r="W27" i="15"/>
  <c r="AS26" i="15"/>
  <c r="W26" i="15"/>
  <c r="Z26" i="15"/>
  <c r="C27" i="15"/>
  <c r="E26" i="15"/>
  <c r="C26" i="15"/>
  <c r="AS26" i="17"/>
  <c r="W26" i="17"/>
  <c r="Z26" i="17"/>
  <c r="W27" i="17"/>
  <c r="DD84" i="61"/>
  <c r="DE84" i="61" s="1"/>
  <c r="DC84" i="61"/>
  <c r="C13" i="6"/>
  <c r="E13" i="6"/>
  <c r="W13" i="7"/>
  <c r="AS13" i="7"/>
  <c r="Z13" i="7"/>
  <c r="C13" i="12"/>
  <c r="E13" i="12"/>
  <c r="E13" i="13"/>
  <c r="C13" i="13"/>
  <c r="AS13" i="19"/>
  <c r="W13" i="19"/>
  <c r="Z13" i="19"/>
  <c r="Z13" i="25"/>
  <c r="W13" i="25"/>
  <c r="AS13" i="25"/>
  <c r="AS20" i="2"/>
  <c r="W20" i="2"/>
  <c r="Z20" i="2"/>
  <c r="AS20" i="4"/>
  <c r="W20" i="4"/>
  <c r="Z20" i="4"/>
  <c r="C20" i="10"/>
  <c r="E20" i="10"/>
  <c r="AS20" i="8"/>
  <c r="W20" i="8"/>
  <c r="Z20" i="8"/>
  <c r="E20" i="20"/>
  <c r="C20" i="20"/>
  <c r="E20" i="53"/>
  <c r="C20" i="53"/>
  <c r="O53" i="30"/>
  <c r="A54" i="33"/>
  <c r="B53" i="33"/>
  <c r="B57" i="41"/>
  <c r="A58" i="41"/>
  <c r="AL85" i="43"/>
  <c r="AL84" i="43"/>
  <c r="AH85" i="43"/>
  <c r="AH84" i="43"/>
  <c r="O53" i="47"/>
  <c r="AL53" i="59"/>
  <c r="C7" i="7"/>
  <c r="C6" i="7"/>
  <c r="E6" i="7"/>
  <c r="E6" i="6"/>
  <c r="C6" i="6"/>
  <c r="C7" i="6"/>
  <c r="C6" i="20"/>
  <c r="E6" i="20"/>
  <c r="C7" i="20"/>
  <c r="C6" i="21"/>
  <c r="E6" i="21"/>
  <c r="C7" i="21"/>
  <c r="AS6" i="19"/>
  <c r="W6" i="19"/>
  <c r="Z6" i="19"/>
  <c r="W7" i="19"/>
  <c r="W7" i="25"/>
  <c r="AS6" i="25"/>
  <c r="W6" i="25"/>
  <c r="Z6" i="25"/>
  <c r="E22" i="3"/>
  <c r="C22" i="3"/>
  <c r="C23" i="3"/>
  <c r="C22" i="14"/>
  <c r="E22" i="14"/>
  <c r="C23" i="14"/>
  <c r="A54" i="27"/>
  <c r="B53" i="27"/>
  <c r="W45" i="32"/>
  <c r="P39" i="30"/>
  <c r="O40" i="30"/>
  <c r="AC49" i="29"/>
  <c r="AD48" i="29"/>
  <c r="AC53" i="29"/>
  <c r="A49" i="35"/>
  <c r="B57" i="38"/>
  <c r="A58" i="38"/>
  <c r="A49" i="33"/>
  <c r="O52" i="39"/>
  <c r="P51" i="39"/>
  <c r="O56" i="39"/>
  <c r="B45" i="42"/>
  <c r="B61" i="40"/>
  <c r="A66" i="40"/>
  <c r="A62" i="40"/>
  <c r="AD48" i="42"/>
  <c r="A54" i="44"/>
  <c r="B53" i="44"/>
  <c r="P43" i="43"/>
  <c r="Q43" i="43" s="1"/>
  <c r="O44" i="43"/>
  <c r="P51" i="46"/>
  <c r="O52" i="46"/>
  <c r="O56" i="46"/>
  <c r="P43" i="46"/>
  <c r="Q43" i="46" s="1"/>
  <c r="O44" i="46"/>
  <c r="A61" i="46"/>
  <c r="A57" i="46"/>
  <c r="O44" i="50"/>
  <c r="P43" i="50"/>
  <c r="Q43" i="50" s="1"/>
  <c r="P43" i="29"/>
  <c r="Q43" i="29" s="1"/>
  <c r="P39" i="34"/>
  <c r="P41" i="59"/>
  <c r="P46" i="59"/>
  <c r="Q46" i="59" s="1"/>
  <c r="E155" i="61"/>
  <c r="AF155" i="61"/>
  <c r="AF69" i="61"/>
  <c r="Z14" i="1"/>
  <c r="AS14" i="1"/>
  <c r="W14" i="1"/>
  <c r="W15" i="1"/>
  <c r="W15" i="2"/>
  <c r="AS14" i="2"/>
  <c r="W14" i="2"/>
  <c r="Z14" i="2"/>
  <c r="AS14" i="3"/>
  <c r="W14" i="3"/>
  <c r="Z14" i="3"/>
  <c r="W15" i="3"/>
  <c r="AS14" i="4"/>
  <c r="W14" i="4"/>
  <c r="Z14" i="4"/>
  <c r="W15" i="4"/>
  <c r="Z14" i="10"/>
  <c r="W15" i="10"/>
  <c r="AS14" i="10"/>
  <c r="W14" i="10"/>
  <c r="Z14" i="18"/>
  <c r="W15" i="18"/>
  <c r="AS14" i="18"/>
  <c r="W14" i="18"/>
  <c r="C14" i="10"/>
  <c r="E14" i="10"/>
  <c r="C15" i="10"/>
  <c r="C14" i="18"/>
  <c r="E14" i="18"/>
  <c r="C15" i="18"/>
  <c r="W15" i="24"/>
  <c r="Z14" i="24"/>
  <c r="W14" i="24"/>
  <c r="AS14" i="24"/>
  <c r="C15" i="15"/>
  <c r="E14" i="15"/>
  <c r="C14" i="15"/>
  <c r="C15" i="23"/>
  <c r="E14" i="23"/>
  <c r="C14" i="23"/>
  <c r="AS14" i="17"/>
  <c r="W14" i="17"/>
  <c r="Z14" i="17"/>
  <c r="W15" i="17"/>
  <c r="Z14" i="25"/>
  <c r="AS14" i="25"/>
  <c r="W14" i="25"/>
  <c r="W15" i="25"/>
  <c r="DD72" i="61"/>
  <c r="DE72" i="61" s="1"/>
  <c r="DC72" i="61"/>
  <c r="Z17" i="3"/>
  <c r="AS17" i="3"/>
  <c r="W17" i="3"/>
  <c r="AS17" i="4"/>
  <c r="W17" i="4"/>
  <c r="Z17" i="4"/>
  <c r="E17" i="5"/>
  <c r="C17" i="5"/>
  <c r="C17" i="11"/>
  <c r="E17" i="11"/>
  <c r="C17" i="19"/>
  <c r="E17" i="19"/>
  <c r="E17" i="8"/>
  <c r="C17" i="8"/>
  <c r="C17" i="16"/>
  <c r="E17" i="16"/>
  <c r="C17" i="24"/>
  <c r="E17" i="24"/>
  <c r="AS17" i="14"/>
  <c r="W17" i="14"/>
  <c r="Z17" i="14"/>
  <c r="AS17" i="22"/>
  <c r="W17" i="22"/>
  <c r="Z17" i="22"/>
  <c r="E17" i="14"/>
  <c r="C17" i="14"/>
  <c r="E17" i="22"/>
  <c r="C17" i="22"/>
  <c r="C17" i="53"/>
  <c r="E17" i="53"/>
  <c r="DD75" i="61"/>
  <c r="DE75" i="61" s="1"/>
  <c r="DC75" i="61"/>
  <c r="I53" i="10"/>
  <c r="BG30" i="10"/>
  <c r="H69" i="61"/>
  <c r="CR4" i="61" s="1"/>
  <c r="BJ69" i="61"/>
  <c r="B10" i="59"/>
  <c r="H2" i="56"/>
  <c r="M186" i="61" s="1"/>
  <c r="K210" i="61" s="1"/>
  <c r="B10" i="50"/>
  <c r="B10" i="49"/>
  <c r="B10" i="48"/>
  <c r="B10" i="46"/>
  <c r="B10" i="45"/>
  <c r="B10" i="44"/>
  <c r="B10" i="47"/>
  <c r="B10" i="43"/>
  <c r="B10" i="40"/>
  <c r="AD63" i="40" s="1"/>
  <c r="B10" i="42"/>
  <c r="B10" i="41"/>
  <c r="B10" i="37"/>
  <c r="B10" i="39"/>
  <c r="B10" i="38"/>
  <c r="B10" i="34"/>
  <c r="B10" i="33"/>
  <c r="B10" i="36"/>
  <c r="B10" i="35"/>
  <c r="B10" i="32"/>
  <c r="P58" i="32" s="1"/>
  <c r="Q58" i="32" s="1"/>
  <c r="B10" i="28"/>
  <c r="B10" i="31"/>
  <c r="B10" i="27"/>
  <c r="B10" i="30"/>
  <c r="B10" i="26"/>
  <c r="B10" i="29"/>
  <c r="B1" i="19"/>
  <c r="C8" i="3"/>
  <c r="E8" i="3"/>
  <c r="AS8" i="6"/>
  <c r="W8" i="6"/>
  <c r="Z8" i="6"/>
  <c r="Z8" i="9"/>
  <c r="AS8" i="9"/>
  <c r="W8" i="9"/>
  <c r="C8" i="8"/>
  <c r="E8" i="8"/>
  <c r="C8" i="16"/>
  <c r="E8" i="16"/>
  <c r="AS8" i="7"/>
  <c r="W8" i="7"/>
  <c r="Z8" i="7"/>
  <c r="AS8" i="15"/>
  <c r="W8" i="15"/>
  <c r="Z8" i="15"/>
  <c r="AS8" i="23"/>
  <c r="W8" i="23"/>
  <c r="Z8" i="23"/>
  <c r="E8" i="10"/>
  <c r="C8" i="10"/>
  <c r="E8" i="18"/>
  <c r="C8" i="18"/>
  <c r="E8" i="11"/>
  <c r="C8" i="11"/>
  <c r="E8" i="19"/>
  <c r="C8" i="19"/>
  <c r="Z24" i="5"/>
  <c r="AS24" i="5"/>
  <c r="W24" i="5"/>
  <c r="C24" i="5"/>
  <c r="E24" i="5"/>
  <c r="AS24" i="4"/>
  <c r="W24" i="4"/>
  <c r="Z24" i="4"/>
  <c r="C24" i="9"/>
  <c r="E24" i="9"/>
  <c r="C24" i="17"/>
  <c r="E24" i="17"/>
  <c r="AS24" i="7"/>
  <c r="W24" i="7"/>
  <c r="Z24" i="7"/>
  <c r="AS24" i="15"/>
  <c r="W24" i="15"/>
  <c r="Z24" i="15"/>
  <c r="AS24" i="23"/>
  <c r="W24" i="23"/>
  <c r="Z24" i="23"/>
  <c r="E24" i="15"/>
  <c r="C24" i="15"/>
  <c r="E24" i="23"/>
  <c r="C24" i="23"/>
  <c r="E24" i="16"/>
  <c r="C24" i="16"/>
  <c r="E24" i="24"/>
  <c r="C24" i="24"/>
  <c r="Z24" i="53"/>
  <c r="W24" i="53"/>
  <c r="AS24" i="53"/>
  <c r="DD82" i="61"/>
  <c r="DE82" i="61" s="1"/>
  <c r="DC82" i="61"/>
  <c r="O53" i="26"/>
  <c r="AD48" i="28"/>
  <c r="B61" i="28"/>
  <c r="A66" i="28"/>
  <c r="A62" i="28"/>
  <c r="A66" i="31"/>
  <c r="A62" i="31"/>
  <c r="B61" i="31"/>
  <c r="AD44" i="34"/>
  <c r="P43" i="30"/>
  <c r="Q43" i="30" s="1"/>
  <c r="B57" i="34"/>
  <c r="A58" i="34"/>
  <c r="A49" i="31"/>
  <c r="P39" i="36"/>
  <c r="O40" i="36"/>
  <c r="P51" i="34"/>
  <c r="O56" i="34"/>
  <c r="O52" i="34"/>
  <c r="AC64" i="40"/>
  <c r="AD64" i="40" s="1"/>
  <c r="AC68" i="40"/>
  <c r="P47" i="42"/>
  <c r="A49" i="40"/>
  <c r="A49" i="41"/>
  <c r="AD44" i="45"/>
  <c r="AC49" i="47"/>
  <c r="AD48" i="47"/>
  <c r="AC53" i="47"/>
  <c r="AD48" i="49"/>
  <c r="B57" i="50"/>
  <c r="A58" i="50"/>
  <c r="O68" i="59"/>
  <c r="O63" i="59"/>
  <c r="I53" i="14"/>
  <c r="BG30" i="14"/>
  <c r="AD103" i="43"/>
  <c r="C10" i="2"/>
  <c r="E10" i="2"/>
  <c r="C11" i="2"/>
  <c r="C10" i="9"/>
  <c r="E10" i="9"/>
  <c r="C11" i="9"/>
  <c r="AS10" i="2"/>
  <c r="W10" i="2"/>
  <c r="Z10" i="2"/>
  <c r="W11" i="2"/>
  <c r="C11" i="10"/>
  <c r="C10" i="10"/>
  <c r="E10" i="10"/>
  <c r="C11" i="18"/>
  <c r="C10" i="18"/>
  <c r="E10" i="18"/>
  <c r="E10" i="7"/>
  <c r="C10" i="7"/>
  <c r="C11" i="7"/>
  <c r="C11" i="15"/>
  <c r="C10" i="15"/>
  <c r="E10" i="15"/>
  <c r="C11" i="23"/>
  <c r="C10" i="23"/>
  <c r="E10" i="23"/>
  <c r="W11" i="14"/>
  <c r="AS10" i="14"/>
  <c r="W10" i="14"/>
  <c r="Z10" i="14"/>
  <c r="W11" i="22"/>
  <c r="AS10" i="22"/>
  <c r="W10" i="22"/>
  <c r="Z10" i="22"/>
  <c r="AS10" i="15"/>
  <c r="W10" i="15"/>
  <c r="Z10" i="15"/>
  <c r="W11" i="15"/>
  <c r="AS10" i="23"/>
  <c r="W10" i="23"/>
  <c r="Z10" i="23"/>
  <c r="W11" i="23"/>
  <c r="W11" i="53"/>
  <c r="AS10" i="53"/>
  <c r="Z10" i="53"/>
  <c r="W10" i="53"/>
  <c r="AB162" i="61"/>
  <c r="A162" i="61"/>
  <c r="AB76" i="61"/>
  <c r="CK36" i="61"/>
  <c r="CK11" i="61"/>
  <c r="CG11" i="61"/>
  <c r="CH11" i="61" s="1"/>
  <c r="CI11" i="61" s="1"/>
  <c r="W27" i="1"/>
  <c r="AS26" i="1"/>
  <c r="W26" i="1"/>
  <c r="Z26" i="1"/>
  <c r="W27" i="2"/>
  <c r="AS26" i="2"/>
  <c r="W26" i="2"/>
  <c r="Z26" i="2"/>
  <c r="C27" i="2"/>
  <c r="E26" i="2"/>
  <c r="C26" i="2"/>
  <c r="C26" i="8"/>
  <c r="C27" i="8"/>
  <c r="E26" i="8"/>
  <c r="Z26" i="10"/>
  <c r="W27" i="10"/>
  <c r="AS26" i="10"/>
  <c r="W26" i="10"/>
  <c r="Z26" i="18"/>
  <c r="W27" i="18"/>
  <c r="AS26" i="18"/>
  <c r="W26" i="18"/>
  <c r="C26" i="10"/>
  <c r="E26" i="10"/>
  <c r="C27" i="10"/>
  <c r="C26" i="18"/>
  <c r="E26" i="18"/>
  <c r="C27" i="18"/>
  <c r="AS26" i="8"/>
  <c r="W26" i="8"/>
  <c r="Z26" i="8"/>
  <c r="W27" i="8"/>
  <c r="AS26" i="16"/>
  <c r="W26" i="16"/>
  <c r="Z26" i="16"/>
  <c r="W27" i="16"/>
  <c r="C27" i="12"/>
  <c r="E26" i="12"/>
  <c r="C26" i="12"/>
  <c r="C27" i="20"/>
  <c r="E26" i="20"/>
  <c r="C26" i="20"/>
  <c r="Z26" i="25"/>
  <c r="AS26" i="25"/>
  <c r="W26" i="25"/>
  <c r="W27" i="25"/>
  <c r="W26" i="53"/>
  <c r="AS26" i="53"/>
  <c r="W27" i="53"/>
  <c r="Z26" i="53"/>
  <c r="AB178" i="61"/>
  <c r="A178" i="61"/>
  <c r="AB92" i="61"/>
  <c r="CK52" i="61"/>
  <c r="CG27" i="61"/>
  <c r="CH27" i="61" s="1"/>
  <c r="CI27" i="61" s="1"/>
  <c r="CK27" i="61"/>
  <c r="E13" i="1"/>
  <c r="C13" i="1"/>
  <c r="C13" i="3"/>
  <c r="E13" i="3"/>
  <c r="AS13" i="2"/>
  <c r="W13" i="2"/>
  <c r="Z13" i="2"/>
  <c r="E13" i="7"/>
  <c r="C13" i="7"/>
  <c r="C13" i="15"/>
  <c r="E13" i="15"/>
  <c r="C13" i="23"/>
  <c r="E13" i="23"/>
  <c r="AS13" i="13"/>
  <c r="W13" i="13"/>
  <c r="Z13" i="13"/>
  <c r="AS13" i="21"/>
  <c r="W13" i="21"/>
  <c r="Z13" i="21"/>
  <c r="AS13" i="14"/>
  <c r="W13" i="14"/>
  <c r="Z13" i="14"/>
  <c r="AS13" i="22"/>
  <c r="W13" i="22"/>
  <c r="Z13" i="22"/>
  <c r="E13" i="14"/>
  <c r="C13" i="14"/>
  <c r="E13" i="22"/>
  <c r="C13" i="22"/>
  <c r="E13" i="25"/>
  <c r="C13" i="25"/>
  <c r="C13" i="53"/>
  <c r="E13" i="53"/>
  <c r="U155" i="61"/>
  <c r="AV155" i="61"/>
  <c r="AV69" i="61"/>
  <c r="BC98" i="61"/>
  <c r="A70" i="61"/>
  <c r="DB62" i="61"/>
  <c r="AO4" i="53"/>
  <c r="BD134" i="61"/>
  <c r="C1" i="50"/>
  <c r="A4" i="53"/>
  <c r="AO4" i="24"/>
  <c r="W5" i="24" s="1"/>
  <c r="A4" i="23"/>
  <c r="C5" i="23" s="1"/>
  <c r="AO4" i="20"/>
  <c r="Z5" i="20" s="1"/>
  <c r="A4" i="19"/>
  <c r="C5" i="19" s="1"/>
  <c r="AO4" i="16"/>
  <c r="W5" i="16" s="1"/>
  <c r="A4" i="15"/>
  <c r="C5" i="15" s="1"/>
  <c r="AO4" i="12"/>
  <c r="Z5" i="12" s="1"/>
  <c r="A4" i="11"/>
  <c r="C5" i="11" s="1"/>
  <c r="AO4" i="25"/>
  <c r="W5" i="25" s="1"/>
  <c r="A4" i="25"/>
  <c r="C5" i="25" s="1"/>
  <c r="AO4" i="23"/>
  <c r="A4" i="22"/>
  <c r="AO4" i="19"/>
  <c r="Z5" i="19" s="1"/>
  <c r="A4" i="18"/>
  <c r="C5" i="18" s="1"/>
  <c r="AO4" i="15"/>
  <c r="A4" i="14"/>
  <c r="C5" i="14" s="1"/>
  <c r="AO4" i="11"/>
  <c r="Z5" i="11" s="1"/>
  <c r="A4" i="10"/>
  <c r="C5" i="10" s="1"/>
  <c r="AO4" i="22"/>
  <c r="Z5" i="22" s="1"/>
  <c r="A4" i="21"/>
  <c r="AO4" i="18"/>
  <c r="Z5" i="18" s="1"/>
  <c r="A4" i="17"/>
  <c r="C5" i="17" s="1"/>
  <c r="AO4" i="14"/>
  <c r="Z5" i="14" s="1"/>
  <c r="A4" i="13"/>
  <c r="AO4" i="10"/>
  <c r="W5" i="10" s="1"/>
  <c r="A4" i="9"/>
  <c r="C5" i="9" s="1"/>
  <c r="A4" i="24"/>
  <c r="C5" i="24" s="1"/>
  <c r="AO4" i="21"/>
  <c r="A4" i="20"/>
  <c r="C5" i="20" s="1"/>
  <c r="AO4" i="17"/>
  <c r="A4" i="16"/>
  <c r="C5" i="16" s="1"/>
  <c r="AO4" i="13"/>
  <c r="A4" i="12"/>
  <c r="AO4" i="9"/>
  <c r="A4" i="8"/>
  <c r="C5" i="8" s="1"/>
  <c r="A4" i="7"/>
  <c r="C5" i="7" s="1"/>
  <c r="A4" i="6"/>
  <c r="AO4" i="3"/>
  <c r="A4" i="2"/>
  <c r="A4" i="1"/>
  <c r="C5" i="1" s="1"/>
  <c r="AO4" i="1"/>
  <c r="W5" i="1" s="1"/>
  <c r="AO4" i="7"/>
  <c r="Z5" i="7" s="1"/>
  <c r="AO4" i="6"/>
  <c r="A4" i="5"/>
  <c r="C5" i="5" s="1"/>
  <c r="AO4" i="2"/>
  <c r="Z5" i="2" s="1"/>
  <c r="AO4" i="8"/>
  <c r="Z5" i="8" s="1"/>
  <c r="AO4" i="5"/>
  <c r="Z5" i="5" s="1"/>
  <c r="A4" i="4"/>
  <c r="C5" i="4" s="1"/>
  <c r="AO4" i="4"/>
  <c r="Z5" i="4" s="1"/>
  <c r="A4" i="3"/>
  <c r="Z20" i="5"/>
  <c r="AS20" i="5"/>
  <c r="W20" i="5"/>
  <c r="C20" i="5"/>
  <c r="E20" i="5"/>
  <c r="C20" i="7"/>
  <c r="E20" i="7"/>
  <c r="AS20" i="6"/>
  <c r="W20" i="6"/>
  <c r="Z20" i="6"/>
  <c r="Z20" i="14"/>
  <c r="AS20" i="14"/>
  <c r="W20" i="14"/>
  <c r="Z20" i="22"/>
  <c r="AS20" i="22"/>
  <c r="W20" i="22"/>
  <c r="AS20" i="11"/>
  <c r="W20" i="11"/>
  <c r="Z20" i="11"/>
  <c r="AS20" i="19"/>
  <c r="W20" i="19"/>
  <c r="Z20" i="19"/>
  <c r="E20" i="11"/>
  <c r="C20" i="11"/>
  <c r="E20" i="19"/>
  <c r="C20" i="19"/>
  <c r="AS20" i="13"/>
  <c r="W20" i="13"/>
  <c r="Z20" i="13"/>
  <c r="AS20" i="21"/>
  <c r="W20" i="21"/>
  <c r="Z20" i="21"/>
  <c r="O45" i="27"/>
  <c r="P51" i="29"/>
  <c r="A54" i="31"/>
  <c r="B53" i="31"/>
  <c r="O52" i="27"/>
  <c r="P51" i="27"/>
  <c r="O56" i="27"/>
  <c r="P39" i="31"/>
  <c r="O45" i="33"/>
  <c r="B57" i="35"/>
  <c r="A58" i="35"/>
  <c r="A49" i="27"/>
  <c r="AC58" i="39"/>
  <c r="AC54" i="39"/>
  <c r="P43" i="36"/>
  <c r="Q43" i="36" s="1"/>
  <c r="A49" i="37"/>
  <c r="O45" i="39"/>
  <c r="P45" i="39" s="1"/>
  <c r="O53" i="41"/>
  <c r="P51" i="40"/>
  <c r="O56" i="40"/>
  <c r="O52" i="40"/>
  <c r="B61" i="41"/>
  <c r="A66" i="41"/>
  <c r="A62" i="41"/>
  <c r="O45" i="44"/>
  <c r="P45" i="44" s="1"/>
  <c r="A49" i="45"/>
  <c r="O61" i="47"/>
  <c r="O57" i="47"/>
  <c r="P39" i="47"/>
  <c r="B45" i="47"/>
  <c r="B45" i="49"/>
  <c r="O52" i="49"/>
  <c r="P51" i="49"/>
  <c r="O56" i="49"/>
  <c r="O48" i="50"/>
  <c r="P47" i="50"/>
  <c r="I53" i="18"/>
  <c r="BG30" i="18"/>
  <c r="BD69" i="61"/>
  <c r="B69" i="61"/>
  <c r="CL4" i="61" s="1"/>
  <c r="AP39" i="61" a="1"/>
  <c r="AE3" i="61"/>
  <c r="GI126" i="61" s="1"/>
  <c r="O5" i="64" s="1"/>
  <c r="B2" i="56"/>
  <c r="G186" i="61" s="1"/>
  <c r="E210" i="61" s="1"/>
  <c r="B4" i="59"/>
  <c r="B4" i="50"/>
  <c r="F1" i="53"/>
  <c r="B4" i="49"/>
  <c r="B4" i="48"/>
  <c r="B4" i="46"/>
  <c r="B4" i="45"/>
  <c r="B4" i="47"/>
  <c r="B4" i="44"/>
  <c r="B4" i="43"/>
  <c r="B4" i="42"/>
  <c r="B4" i="41"/>
  <c r="B4" i="40"/>
  <c r="B4" i="37"/>
  <c r="B4" i="39"/>
  <c r="B4" i="38"/>
  <c r="B4" i="34"/>
  <c r="B4" i="33"/>
  <c r="B4" i="36"/>
  <c r="B4" i="35"/>
  <c r="B4" i="28"/>
  <c r="B4" i="31"/>
  <c r="B4" i="27"/>
  <c r="B4" i="32"/>
  <c r="B4" i="30"/>
  <c r="B4" i="26"/>
  <c r="B4" i="29"/>
  <c r="B1" i="25"/>
  <c r="W7" i="1"/>
  <c r="AS6" i="1"/>
  <c r="W6" i="1"/>
  <c r="Z6" i="1"/>
  <c r="W7" i="8"/>
  <c r="AS6" i="8"/>
  <c r="Z6" i="8"/>
  <c r="W6" i="8"/>
  <c r="AS6" i="6"/>
  <c r="W6" i="6"/>
  <c r="Z6" i="6"/>
  <c r="W7" i="6"/>
  <c r="W7" i="7"/>
  <c r="Z6" i="7"/>
  <c r="AS6" i="7"/>
  <c r="W6" i="7"/>
  <c r="Z6" i="13"/>
  <c r="W7" i="13"/>
  <c r="AS6" i="13"/>
  <c r="W6" i="13"/>
  <c r="Z6" i="21"/>
  <c r="W7" i="21"/>
  <c r="AS6" i="21"/>
  <c r="W6" i="21"/>
  <c r="W7" i="14"/>
  <c r="AS6" i="14"/>
  <c r="W6" i="14"/>
  <c r="Z6" i="14"/>
  <c r="W7" i="22"/>
  <c r="AS6" i="22"/>
  <c r="W6" i="22"/>
  <c r="Z6" i="22"/>
  <c r="C7" i="14"/>
  <c r="E6" i="14"/>
  <c r="C6" i="14"/>
  <c r="C7" i="22"/>
  <c r="E6" i="22"/>
  <c r="C6" i="22"/>
  <c r="AS6" i="12"/>
  <c r="W6" i="12"/>
  <c r="Z6" i="12"/>
  <c r="W7" i="12"/>
  <c r="AS6" i="20"/>
  <c r="W6" i="20"/>
  <c r="Z6" i="20"/>
  <c r="W7" i="20"/>
  <c r="C22" i="7"/>
  <c r="E22" i="7"/>
  <c r="C23" i="7"/>
  <c r="C23" i="2"/>
  <c r="E22" i="2"/>
  <c r="C22" i="2"/>
  <c r="AS22" i="4"/>
  <c r="W22" i="4"/>
  <c r="Z22" i="4"/>
  <c r="W23" i="4"/>
  <c r="C22" i="9"/>
  <c r="E22" i="9"/>
  <c r="C23" i="9"/>
  <c r="C22" i="17"/>
  <c r="E22" i="17"/>
  <c r="C23" i="17"/>
  <c r="AS22" i="7"/>
  <c r="W22" i="7"/>
  <c r="Z22" i="7"/>
  <c r="W23" i="7"/>
  <c r="W23" i="15"/>
  <c r="AS22" i="15"/>
  <c r="W22" i="15"/>
  <c r="Z22" i="15"/>
  <c r="W23" i="23"/>
  <c r="AS22" i="23"/>
  <c r="W22" i="23"/>
  <c r="Z22" i="23"/>
  <c r="AS22" i="12"/>
  <c r="W22" i="12"/>
  <c r="Z22" i="12"/>
  <c r="W23" i="12"/>
  <c r="AS22" i="20"/>
  <c r="W22" i="20"/>
  <c r="Z22" i="20"/>
  <c r="W23" i="20"/>
  <c r="C23" i="16"/>
  <c r="E22" i="16"/>
  <c r="C22" i="16"/>
  <c r="E22" i="24"/>
  <c r="C22" i="24"/>
  <c r="C23" i="24"/>
  <c r="DD80" i="61"/>
  <c r="DE80" i="61" s="1"/>
  <c r="DC80" i="61"/>
  <c r="C9" i="1"/>
  <c r="E9" i="1"/>
  <c r="AS9" i="4"/>
  <c r="W9" i="4"/>
  <c r="Z9" i="4"/>
  <c r="C9" i="9"/>
  <c r="E9" i="9"/>
  <c r="AS9" i="6"/>
  <c r="W9" i="6"/>
  <c r="Z9" i="6"/>
  <c r="Z9" i="12"/>
  <c r="AS9" i="12"/>
  <c r="W9" i="12"/>
  <c r="Z9" i="20"/>
  <c r="AS9" i="20"/>
  <c r="W9" i="20"/>
  <c r="AS9" i="9"/>
  <c r="W9" i="9"/>
  <c r="Z9" i="9"/>
  <c r="AS9" i="17"/>
  <c r="W9" i="17"/>
  <c r="Z9" i="17"/>
  <c r="C9" i="24"/>
  <c r="E9" i="24"/>
  <c r="AS9" i="14"/>
  <c r="W9" i="14"/>
  <c r="Z9" i="14"/>
  <c r="AS9" i="22"/>
  <c r="W9" i="22"/>
  <c r="Z9" i="22"/>
  <c r="E9" i="17"/>
  <c r="C9" i="17"/>
  <c r="Z9" i="24"/>
  <c r="W9" i="24"/>
  <c r="AS9" i="24"/>
  <c r="W9" i="53"/>
  <c r="AS9" i="53"/>
  <c r="Z9" i="53"/>
  <c r="AB161" i="61"/>
  <c r="A161" i="61"/>
  <c r="AB75" i="61"/>
  <c r="CK35" i="61"/>
  <c r="CK10" i="61"/>
  <c r="CG10" i="61"/>
  <c r="CH10" i="61" s="1"/>
  <c r="CI10" i="61" s="1"/>
  <c r="C25" i="2"/>
  <c r="E25" i="2"/>
  <c r="Z25" i="6"/>
  <c r="W25" i="6"/>
  <c r="AS25" i="6"/>
  <c r="C25" i="6"/>
  <c r="E25" i="6"/>
  <c r="E25" i="7"/>
  <c r="C25" i="7"/>
  <c r="C25" i="15"/>
  <c r="E25" i="15"/>
  <c r="C25" i="23"/>
  <c r="E25" i="23"/>
  <c r="AS25" i="9"/>
  <c r="W25" i="9"/>
  <c r="Z25" i="9"/>
  <c r="AS25" i="17"/>
  <c r="W25" i="17"/>
  <c r="Z25" i="17"/>
  <c r="E25" i="9"/>
  <c r="C25" i="9"/>
  <c r="E25" i="17"/>
  <c r="C25" i="17"/>
  <c r="E25" i="10"/>
  <c r="C25" i="10"/>
  <c r="E25" i="18"/>
  <c r="C25" i="18"/>
  <c r="Z25" i="53"/>
  <c r="W25" i="53"/>
  <c r="AS25" i="53"/>
  <c r="Y155" i="61"/>
  <c r="AZ155" i="61"/>
  <c r="AZ69" i="61"/>
  <c r="Z16" i="5"/>
  <c r="AS16" i="5"/>
  <c r="W16" i="5"/>
  <c r="C16" i="5"/>
  <c r="E16" i="5"/>
  <c r="E16" i="2"/>
  <c r="C16" i="2"/>
  <c r="AS16" i="4"/>
  <c r="W16" i="4"/>
  <c r="Z16" i="4"/>
  <c r="Z16" i="14"/>
  <c r="AS16" i="14"/>
  <c r="W16" i="14"/>
  <c r="Z16" i="22"/>
  <c r="AS16" i="22"/>
  <c r="W16" i="22"/>
  <c r="C16" i="14"/>
  <c r="E16" i="14"/>
  <c r="C16" i="22"/>
  <c r="E16" i="22"/>
  <c r="AS16" i="12"/>
  <c r="W16" i="12"/>
  <c r="Z16" i="12"/>
  <c r="AS16" i="20"/>
  <c r="W16" i="20"/>
  <c r="Z16" i="20"/>
  <c r="AS16" i="13"/>
  <c r="W16" i="13"/>
  <c r="Z16" i="13"/>
  <c r="AS16" i="21"/>
  <c r="W16" i="21"/>
  <c r="Z16" i="21"/>
  <c r="A57" i="26"/>
  <c r="A61" i="26"/>
  <c r="A58" i="27"/>
  <c r="B57" i="27"/>
  <c r="AD44" i="30"/>
  <c r="B45" i="27"/>
  <c r="AD48" i="34"/>
  <c r="O52" i="31"/>
  <c r="P51" i="31"/>
  <c r="O56" i="31"/>
  <c r="A53" i="30"/>
  <c r="O52" i="33"/>
  <c r="P51" i="33"/>
  <c r="O56" i="33"/>
  <c r="A45" i="36"/>
  <c r="B45" i="36" s="1"/>
  <c r="O48" i="37"/>
  <c r="P47" i="37"/>
  <c r="A61" i="39"/>
  <c r="A57" i="39"/>
  <c r="P51" i="43"/>
  <c r="O52" i="43"/>
  <c r="O56" i="43"/>
  <c r="AD48" i="45"/>
  <c r="A61" i="45"/>
  <c r="A57" i="45"/>
  <c r="C18" i="4"/>
  <c r="E18" i="4"/>
  <c r="C19" i="4"/>
  <c r="C18" i="1"/>
  <c r="C19" i="1"/>
  <c r="E18" i="1"/>
  <c r="E18" i="3"/>
  <c r="C18" i="3"/>
  <c r="C19" i="3"/>
  <c r="Z18" i="9"/>
  <c r="W19" i="9"/>
  <c r="W18" i="9"/>
  <c r="AS18" i="9"/>
  <c r="C18" i="13"/>
  <c r="E18" i="13"/>
  <c r="C19" i="13"/>
  <c r="C18" i="21"/>
  <c r="E18" i="21"/>
  <c r="C19" i="21"/>
  <c r="W19" i="11"/>
  <c r="AS18" i="11"/>
  <c r="W18" i="11"/>
  <c r="Z18" i="11"/>
  <c r="W19" i="19"/>
  <c r="AS18" i="19"/>
  <c r="W18" i="19"/>
  <c r="Z18" i="19"/>
  <c r="C19" i="11"/>
  <c r="E18" i="11"/>
  <c r="C18" i="11"/>
  <c r="C19" i="19"/>
  <c r="E18" i="19"/>
  <c r="C18" i="19"/>
  <c r="AS18" i="13"/>
  <c r="W18" i="13"/>
  <c r="Z18" i="13"/>
  <c r="W19" i="13"/>
  <c r="AS18" i="21"/>
  <c r="W18" i="21"/>
  <c r="Z18" i="21"/>
  <c r="W19" i="21"/>
  <c r="C18" i="25"/>
  <c r="C19" i="25"/>
  <c r="E18" i="25"/>
  <c r="E18" i="53"/>
  <c r="C18" i="53"/>
  <c r="C19" i="53"/>
  <c r="E5" i="1"/>
  <c r="E5" i="9"/>
  <c r="E5" i="8"/>
  <c r="AS5" i="1"/>
  <c r="E5" i="10"/>
  <c r="E5" i="18"/>
  <c r="AS5" i="8"/>
  <c r="AS5" i="16"/>
  <c r="AS5" i="24"/>
  <c r="E5" i="16"/>
  <c r="E5" i="24"/>
  <c r="E5" i="17"/>
  <c r="E5" i="25"/>
  <c r="AB157" i="61"/>
  <c r="A157" i="61"/>
  <c r="AB71" i="61"/>
  <c r="CK31" i="61"/>
  <c r="CG6" i="61"/>
  <c r="CH6" i="61" s="1"/>
  <c r="CI6" i="61" s="1"/>
  <c r="CK6" i="61"/>
  <c r="Z21" i="3"/>
  <c r="AS21" i="3"/>
  <c r="W21" i="3"/>
  <c r="AS21" i="7"/>
  <c r="Z21" i="7"/>
  <c r="W21" i="7"/>
  <c r="E21" i="1"/>
  <c r="C21" i="1"/>
  <c r="E21" i="7"/>
  <c r="C21" i="7"/>
  <c r="C21" i="15"/>
  <c r="E21" i="15"/>
  <c r="C21" i="23"/>
  <c r="E21" i="23"/>
  <c r="AS21" i="13"/>
  <c r="W21" i="13"/>
  <c r="Z21" i="13"/>
  <c r="AS21" i="21"/>
  <c r="W21" i="21"/>
  <c r="Z21" i="21"/>
  <c r="E21" i="13"/>
  <c r="C21" i="13"/>
  <c r="E21" i="21"/>
  <c r="C21" i="21"/>
  <c r="AS21" i="11"/>
  <c r="W21" i="11"/>
  <c r="Z21" i="11"/>
  <c r="AS21" i="19"/>
  <c r="W21" i="19"/>
  <c r="Z21" i="19"/>
  <c r="E21" i="25"/>
  <c r="C21" i="25"/>
  <c r="C12" i="1"/>
  <c r="E12" i="1"/>
  <c r="C12" i="7"/>
  <c r="E12" i="7"/>
  <c r="C12" i="5"/>
  <c r="E12" i="5"/>
  <c r="E12" i="6"/>
  <c r="C12" i="6"/>
  <c r="Z12" i="10"/>
  <c r="AS12" i="10"/>
  <c r="W12" i="10"/>
  <c r="Z12" i="18"/>
  <c r="AS12" i="18"/>
  <c r="W12" i="18"/>
  <c r="AS12" i="7"/>
  <c r="W12" i="7"/>
  <c r="Z12" i="7"/>
  <c r="AS12" i="15"/>
  <c r="W12" i="15"/>
  <c r="Z12" i="15"/>
  <c r="AS12" i="23"/>
  <c r="W12" i="23"/>
  <c r="Z12" i="23"/>
  <c r="E12" i="15"/>
  <c r="C12" i="15"/>
  <c r="E12" i="23"/>
  <c r="C12" i="23"/>
  <c r="AS12" i="17"/>
  <c r="W12" i="17"/>
  <c r="Z12" i="17"/>
  <c r="Z12" i="25"/>
  <c r="AS12" i="25"/>
  <c r="W12" i="25"/>
  <c r="DD70" i="61"/>
  <c r="DE70" i="61" s="1"/>
  <c r="DC70" i="61"/>
  <c r="C28" i="4"/>
  <c r="E28" i="4"/>
  <c r="Z28" i="9"/>
  <c r="AC28" i="9"/>
  <c r="AC27" i="9" s="1"/>
  <c r="AC26" i="9" s="1"/>
  <c r="AC25" i="9" s="1"/>
  <c r="AC24" i="9" s="1"/>
  <c r="AC23" i="9" s="1"/>
  <c r="AC22" i="9" s="1"/>
  <c r="AC21" i="9" s="1"/>
  <c r="AC20" i="9" s="1"/>
  <c r="AC19" i="9" s="1"/>
  <c r="AC18" i="9" s="1"/>
  <c r="AC17" i="9" s="1"/>
  <c r="AS28" i="9"/>
  <c r="W28" i="9"/>
  <c r="C28" i="6"/>
  <c r="E28" i="6"/>
  <c r="AS28" i="4"/>
  <c r="W28" i="4"/>
  <c r="Z28" i="4"/>
  <c r="AC28" i="4"/>
  <c r="AC27" i="4" s="1"/>
  <c r="AC26" i="4" s="1"/>
  <c r="AC25" i="4" s="1"/>
  <c r="AC24" i="4" s="1"/>
  <c r="AC23" i="4" s="1"/>
  <c r="AC22" i="4" s="1"/>
  <c r="AC21" i="4" s="1"/>
  <c r="AC20" i="4" s="1"/>
  <c r="AC19" i="4" s="1"/>
  <c r="AC18" i="4" s="1"/>
  <c r="AC17" i="4" s="1"/>
  <c r="C28" i="13"/>
  <c r="E28" i="13"/>
  <c r="C28" i="21"/>
  <c r="E28" i="21"/>
  <c r="C28" i="10"/>
  <c r="E28" i="10"/>
  <c r="C28" i="18"/>
  <c r="E28" i="18"/>
  <c r="AS28" i="8"/>
  <c r="W28" i="8"/>
  <c r="Z28" i="8"/>
  <c r="AC28" i="8"/>
  <c r="AC27" i="8" s="1"/>
  <c r="AC26" i="8" s="1"/>
  <c r="AC25" i="8" s="1"/>
  <c r="AC24" i="8" s="1"/>
  <c r="AC23" i="8" s="1"/>
  <c r="AC22" i="8" s="1"/>
  <c r="AC21" i="8" s="1"/>
  <c r="AC20" i="8" s="1"/>
  <c r="AC19" i="8" s="1"/>
  <c r="AC18" i="8" s="1"/>
  <c r="AC17" i="8" s="1"/>
  <c r="AS28" i="16"/>
  <c r="W28" i="16"/>
  <c r="Z28" i="16"/>
  <c r="AC28" i="16"/>
  <c r="AC27" i="16" s="1"/>
  <c r="AC26" i="16" s="1"/>
  <c r="AC25" i="16" s="1"/>
  <c r="AC24" i="16" s="1"/>
  <c r="AC23" i="16" s="1"/>
  <c r="AC22" i="16" s="1"/>
  <c r="AC21" i="16" s="1"/>
  <c r="AC20" i="16" s="1"/>
  <c r="AC19" i="16" s="1"/>
  <c r="AC18" i="16" s="1"/>
  <c r="AC17" i="16" s="1"/>
  <c r="E28" i="12"/>
  <c r="C28" i="12"/>
  <c r="E28" i="20"/>
  <c r="C28" i="20"/>
  <c r="C28" i="25"/>
  <c r="E28" i="25"/>
  <c r="E28" i="53"/>
  <c r="C28" i="53"/>
  <c r="AC49" i="38"/>
  <c r="AD48" i="38"/>
  <c r="AC53" i="38"/>
  <c r="A53" i="46"/>
  <c r="A61" i="48"/>
  <c r="A57" i="48"/>
  <c r="P39" i="50"/>
  <c r="AS14" i="7"/>
  <c r="W14" i="7"/>
  <c r="Z14" i="7"/>
  <c r="W15" i="7"/>
  <c r="C15" i="16"/>
  <c r="E14" i="16"/>
  <c r="C14" i="16"/>
  <c r="A166" i="61"/>
  <c r="AB166" i="61"/>
  <c r="AB80" i="61"/>
  <c r="CK40" i="61"/>
  <c r="CK15" i="61"/>
  <c r="CG15" i="61"/>
  <c r="CH15" i="61" s="1"/>
  <c r="CI15" i="61" s="1"/>
  <c r="C17" i="2"/>
  <c r="E17" i="2"/>
  <c r="Z17" i="24"/>
  <c r="AS17" i="24"/>
  <c r="W17" i="24"/>
  <c r="E17" i="13"/>
  <c r="C17" i="13"/>
  <c r="AS17" i="11"/>
  <c r="W17" i="11"/>
  <c r="Z17" i="11"/>
  <c r="Z8" i="14"/>
  <c r="AS8" i="14"/>
  <c r="W8" i="14"/>
  <c r="AS24" i="2"/>
  <c r="W24" i="2"/>
  <c r="Z24" i="2"/>
  <c r="Z24" i="22"/>
  <c r="AS24" i="22"/>
  <c r="W24" i="22"/>
  <c r="AS24" i="12"/>
  <c r="W24" i="12"/>
  <c r="Z24" i="12"/>
  <c r="AC58" i="26"/>
  <c r="AC54" i="26"/>
  <c r="B57" i="28"/>
  <c r="A58" i="28"/>
  <c r="A61" i="36"/>
  <c r="A57" i="36"/>
  <c r="C44" i="41"/>
  <c r="AL120" i="43"/>
  <c r="AH120" i="43"/>
  <c r="AL119" i="43"/>
  <c r="AH119" i="43"/>
  <c r="A45" i="43"/>
  <c r="B45" i="43" s="1"/>
  <c r="A45" i="45"/>
  <c r="B45" i="45" s="1"/>
  <c r="W45" i="48"/>
  <c r="O58" i="59"/>
  <c r="W11" i="7"/>
  <c r="AS10" i="7"/>
  <c r="Z10" i="7"/>
  <c r="W10" i="7"/>
  <c r="W11" i="8"/>
  <c r="AS10" i="8"/>
  <c r="W10" i="8"/>
  <c r="Z10" i="8"/>
  <c r="Z10" i="24"/>
  <c r="AS10" i="24"/>
  <c r="W11" i="24"/>
  <c r="W10" i="24"/>
  <c r="W11" i="13"/>
  <c r="AS10" i="13"/>
  <c r="W10" i="13"/>
  <c r="Z10" i="13"/>
  <c r="E10" i="12"/>
  <c r="C10" i="12"/>
  <c r="C11" i="12"/>
  <c r="E10" i="20"/>
  <c r="C10" i="20"/>
  <c r="C11" i="20"/>
  <c r="E10" i="13"/>
  <c r="C10" i="13"/>
  <c r="C11" i="13"/>
  <c r="E10" i="21"/>
  <c r="C10" i="21"/>
  <c r="C11" i="21"/>
  <c r="C26" i="1"/>
  <c r="C27" i="1"/>
  <c r="E26" i="1"/>
  <c r="C26" i="9"/>
  <c r="E26" i="9"/>
  <c r="C27" i="9"/>
  <c r="AS26" i="7"/>
  <c r="W26" i="7"/>
  <c r="Z26" i="7"/>
  <c r="W27" i="7"/>
  <c r="W27" i="23"/>
  <c r="AS26" i="23"/>
  <c r="W26" i="23"/>
  <c r="Z26" i="23"/>
  <c r="C27" i="23"/>
  <c r="E26" i="23"/>
  <c r="C26" i="23"/>
  <c r="E26" i="24"/>
  <c r="C26" i="24"/>
  <c r="C27" i="24"/>
  <c r="AS13" i="1"/>
  <c r="W13" i="1"/>
  <c r="Z13" i="1"/>
  <c r="AS13" i="5"/>
  <c r="W13" i="5"/>
  <c r="Z13" i="5"/>
  <c r="Z13" i="20"/>
  <c r="AS13" i="20"/>
  <c r="W13" i="20"/>
  <c r="C13" i="20"/>
  <c r="E13" i="20"/>
  <c r="AS13" i="11"/>
  <c r="W13" i="11"/>
  <c r="Z13" i="11"/>
  <c r="Z13" i="53"/>
  <c r="W13" i="53"/>
  <c r="AS13" i="53"/>
  <c r="C20" i="4"/>
  <c r="E20" i="4"/>
  <c r="AS20" i="3"/>
  <c r="W20" i="3"/>
  <c r="Z20" i="3"/>
  <c r="C20" i="13"/>
  <c r="E20" i="13"/>
  <c r="C20" i="18"/>
  <c r="E20" i="18"/>
  <c r="AS20" i="16"/>
  <c r="W20" i="16"/>
  <c r="Z20" i="16"/>
  <c r="C20" i="25"/>
  <c r="E20" i="25"/>
  <c r="AL44" i="32"/>
  <c r="AL45" i="32"/>
  <c r="AH44" i="35"/>
  <c r="A49" i="47"/>
  <c r="B48" i="47"/>
  <c r="O53" i="48"/>
  <c r="Z6" i="4"/>
  <c r="W7" i="4"/>
  <c r="AS6" i="4"/>
  <c r="W6" i="4"/>
  <c r="C7" i="5"/>
  <c r="E6" i="5"/>
  <c r="C6" i="5"/>
  <c r="C6" i="12"/>
  <c r="E6" i="12"/>
  <c r="C7" i="12"/>
  <c r="C6" i="13"/>
  <c r="E6" i="13"/>
  <c r="C7" i="13"/>
  <c r="AS6" i="11"/>
  <c r="W6" i="11"/>
  <c r="Z6" i="11"/>
  <c r="W7" i="11"/>
  <c r="C7" i="11"/>
  <c r="E6" i="11"/>
  <c r="C6" i="11"/>
  <c r="Z6" i="53"/>
  <c r="W7" i="53"/>
  <c r="W6" i="53"/>
  <c r="AS6" i="53"/>
  <c r="Z22" i="5"/>
  <c r="W23" i="5"/>
  <c r="AS22" i="5"/>
  <c r="W22" i="5"/>
  <c r="AS22" i="6"/>
  <c r="W22" i="6"/>
  <c r="W23" i="6"/>
  <c r="Z22" i="6"/>
  <c r="Z22" i="22"/>
  <c r="W23" i="22"/>
  <c r="AS22" i="22"/>
  <c r="W22" i="22"/>
  <c r="C23" i="11"/>
  <c r="E22" i="11"/>
  <c r="C22" i="11"/>
  <c r="AC54" i="32"/>
  <c r="AD54" i="32" s="1"/>
  <c r="AC58" i="32"/>
  <c r="B45" i="28"/>
  <c r="O49" i="26"/>
  <c r="O45" i="32"/>
  <c r="P45" i="32" s="1"/>
  <c r="O57" i="36"/>
  <c r="O61" i="36"/>
  <c r="O53" i="35"/>
  <c r="AC58" i="36"/>
  <c r="AC54" i="36"/>
  <c r="AC54" i="37"/>
  <c r="AC58" i="37"/>
  <c r="B61" i="38"/>
  <c r="A66" i="38"/>
  <c r="A62" i="38"/>
  <c r="B45" i="40"/>
  <c r="AL44" i="38"/>
  <c r="AH44" i="38"/>
  <c r="AL45" i="38"/>
  <c r="AH45" i="38"/>
  <c r="O44" i="41"/>
  <c r="P43" i="41"/>
  <c r="Q43" i="41" s="1"/>
  <c r="AJ129" i="43"/>
  <c r="AJ130" i="43"/>
  <c r="AC49" i="44"/>
  <c r="AD48" i="44"/>
  <c r="AC53" i="44"/>
  <c r="O48" i="46"/>
  <c r="P47" i="46"/>
  <c r="O48" i="44"/>
  <c r="P47" i="44"/>
  <c r="P39" i="48"/>
  <c r="O40" i="48"/>
  <c r="P51" i="32"/>
  <c r="P39" i="32"/>
  <c r="P43" i="35"/>
  <c r="Q43" i="35" s="1"/>
  <c r="P39" i="38"/>
  <c r="P43" i="38"/>
  <c r="Q43" i="38" s="1"/>
  <c r="C14" i="4"/>
  <c r="E14" i="4"/>
  <c r="C15" i="4"/>
  <c r="C14" i="5"/>
  <c r="C15" i="5"/>
  <c r="E14" i="5"/>
  <c r="C15" i="6"/>
  <c r="E14" i="6"/>
  <c r="C14" i="6"/>
  <c r="C14" i="8"/>
  <c r="C15" i="8"/>
  <c r="E14" i="8"/>
  <c r="C14" i="13"/>
  <c r="E14" i="13"/>
  <c r="C15" i="13"/>
  <c r="C14" i="21"/>
  <c r="E14" i="21"/>
  <c r="C15" i="21"/>
  <c r="W15" i="11"/>
  <c r="AS14" i="11"/>
  <c r="W14" i="11"/>
  <c r="Z14" i="11"/>
  <c r="W15" i="19"/>
  <c r="AS14" i="19"/>
  <c r="W14" i="19"/>
  <c r="Z14" i="19"/>
  <c r="AS14" i="8"/>
  <c r="W14" i="8"/>
  <c r="Z14" i="8"/>
  <c r="W15" i="8"/>
  <c r="AS14" i="16"/>
  <c r="W14" i="16"/>
  <c r="Z14" i="16"/>
  <c r="W15" i="16"/>
  <c r="C15" i="12"/>
  <c r="E14" i="12"/>
  <c r="C14" i="12"/>
  <c r="C15" i="20"/>
  <c r="E14" i="20"/>
  <c r="C14" i="20"/>
  <c r="C14" i="25"/>
  <c r="C15" i="25"/>
  <c r="E14" i="25"/>
  <c r="E14" i="53"/>
  <c r="C14" i="53"/>
  <c r="C15" i="53"/>
  <c r="AS17" i="1"/>
  <c r="Z17" i="1"/>
  <c r="W17" i="1"/>
  <c r="C17" i="6"/>
  <c r="E17" i="6"/>
  <c r="E17" i="4"/>
  <c r="C17" i="4"/>
  <c r="AS17" i="6"/>
  <c r="W17" i="6"/>
  <c r="Z17" i="6"/>
  <c r="Z17" i="12"/>
  <c r="AS17" i="12"/>
  <c r="W17" i="12"/>
  <c r="Z17" i="20"/>
  <c r="AS17" i="20"/>
  <c r="W17" i="20"/>
  <c r="AS17" i="9"/>
  <c r="W17" i="9"/>
  <c r="Z17" i="9"/>
  <c r="AS17" i="17"/>
  <c r="W17" i="17"/>
  <c r="Z17" i="17"/>
  <c r="E17" i="9"/>
  <c r="C17" i="9"/>
  <c r="E17" i="17"/>
  <c r="C17" i="17"/>
  <c r="Z17" i="25"/>
  <c r="AS17" i="25"/>
  <c r="W17" i="25"/>
  <c r="AS17" i="15"/>
  <c r="W17" i="15"/>
  <c r="Z17" i="15"/>
  <c r="AS17" i="23"/>
  <c r="W17" i="23"/>
  <c r="Z17" i="23"/>
  <c r="AB169" i="61"/>
  <c r="A169" i="61"/>
  <c r="AB83" i="61"/>
  <c r="CK43" i="61"/>
  <c r="CK18" i="61"/>
  <c r="CG18" i="61"/>
  <c r="CH18" i="61" s="1"/>
  <c r="CI18" i="61" s="1"/>
  <c r="Z8" i="5"/>
  <c r="AS8" i="5"/>
  <c r="W8" i="5"/>
  <c r="C8" i="7"/>
  <c r="E8" i="7"/>
  <c r="E8" i="2"/>
  <c r="C8" i="2"/>
  <c r="Z8" i="10"/>
  <c r="AS8" i="10"/>
  <c r="W8" i="10"/>
  <c r="Z8" i="18"/>
  <c r="AS8" i="18"/>
  <c r="W8" i="18"/>
  <c r="E8" i="9"/>
  <c r="C8" i="9"/>
  <c r="C8" i="17"/>
  <c r="E8" i="17"/>
  <c r="Z8" i="24"/>
  <c r="W8" i="24"/>
  <c r="AS8" i="24"/>
  <c r="AS8" i="12"/>
  <c r="W8" i="12"/>
  <c r="Z8" i="12"/>
  <c r="AS8" i="20"/>
  <c r="W8" i="20"/>
  <c r="Z8" i="20"/>
  <c r="AS8" i="13"/>
  <c r="W8" i="13"/>
  <c r="Z8" i="13"/>
  <c r="AS8" i="21"/>
  <c r="W8" i="21"/>
  <c r="Z8" i="21"/>
  <c r="Z8" i="53"/>
  <c r="AS8" i="53"/>
  <c r="W8" i="53"/>
  <c r="DD66" i="61"/>
  <c r="DE66" i="61" s="1"/>
  <c r="DC66" i="61"/>
  <c r="C24" i="1"/>
  <c r="E24" i="1"/>
  <c r="C24" i="8"/>
  <c r="E24" i="8"/>
  <c r="E24" i="2"/>
  <c r="C24" i="2"/>
  <c r="E24" i="6"/>
  <c r="C24" i="6"/>
  <c r="Z24" i="10"/>
  <c r="AS24" i="10"/>
  <c r="W24" i="10"/>
  <c r="Z24" i="18"/>
  <c r="AS24" i="18"/>
  <c r="W24" i="18"/>
  <c r="C24" i="10"/>
  <c r="E24" i="10"/>
  <c r="C24" i="18"/>
  <c r="E24" i="18"/>
  <c r="AS24" i="8"/>
  <c r="W24" i="8"/>
  <c r="Z24" i="8"/>
  <c r="AS24" i="16"/>
  <c r="W24" i="16"/>
  <c r="Z24" i="16"/>
  <c r="W24" i="24"/>
  <c r="AS24" i="24"/>
  <c r="Z24" i="24"/>
  <c r="AS24" i="17"/>
  <c r="W24" i="17"/>
  <c r="Z24" i="17"/>
  <c r="Z24" i="25"/>
  <c r="AS24" i="25"/>
  <c r="W24" i="25"/>
  <c r="AB176" i="61"/>
  <c r="A176" i="61"/>
  <c r="AB90" i="61"/>
  <c r="CK50" i="61"/>
  <c r="CG25" i="61"/>
  <c r="CH25" i="61" s="1"/>
  <c r="CI25" i="61" s="1"/>
  <c r="CK25" i="61"/>
  <c r="AD48" i="26"/>
  <c r="O61" i="26"/>
  <c r="O57" i="26"/>
  <c r="A54" i="32"/>
  <c r="B53" i="32"/>
  <c r="B49" i="32"/>
  <c r="P72" i="32"/>
  <c r="O73" i="32"/>
  <c r="B45" i="34"/>
  <c r="B61" i="34"/>
  <c r="A66" i="34"/>
  <c r="A62" i="34"/>
  <c r="AD44" i="36"/>
  <c r="O49" i="38"/>
  <c r="A54" i="40"/>
  <c r="B53" i="40"/>
  <c r="A45" i="39"/>
  <c r="B45" i="39" s="1"/>
  <c r="B44" i="39"/>
  <c r="B57" i="42"/>
  <c r="A58" i="42"/>
  <c r="AL125" i="43"/>
  <c r="AH125" i="43"/>
  <c r="AL124" i="43"/>
  <c r="AH124" i="43"/>
  <c r="P39" i="45"/>
  <c r="A45" i="46"/>
  <c r="B45" i="46" s="1"/>
  <c r="B44" i="46"/>
  <c r="B57" i="47"/>
  <c r="A58" i="47"/>
  <c r="A49" i="44"/>
  <c r="B61" i="50"/>
  <c r="A66" i="50"/>
  <c r="A62" i="50"/>
  <c r="B48" i="59"/>
  <c r="A68" i="59"/>
  <c r="A63" i="59"/>
  <c r="AD88" i="43"/>
  <c r="AQ155" i="61"/>
  <c r="P155" i="61"/>
  <c r="AQ69" i="61"/>
  <c r="AY155" i="61"/>
  <c r="X155" i="61"/>
  <c r="AY69" i="61"/>
  <c r="C10" i="1"/>
  <c r="C11" i="1"/>
  <c r="E10" i="1"/>
  <c r="W11" i="4"/>
  <c r="AS10" i="4"/>
  <c r="W10" i="4"/>
  <c r="Z10" i="4"/>
  <c r="AS10" i="1"/>
  <c r="Z10" i="1"/>
  <c r="W10" i="1"/>
  <c r="W11" i="1"/>
  <c r="E10" i="4"/>
  <c r="C11" i="4"/>
  <c r="C10" i="4"/>
  <c r="Z10" i="12"/>
  <c r="W11" i="12"/>
  <c r="AS10" i="12"/>
  <c r="W10" i="12"/>
  <c r="Z10" i="20"/>
  <c r="W11" i="20"/>
  <c r="AS10" i="20"/>
  <c r="W10" i="20"/>
  <c r="W11" i="9"/>
  <c r="AS10" i="9"/>
  <c r="W10" i="9"/>
  <c r="Z10" i="9"/>
  <c r="W11" i="17"/>
  <c r="AS10" i="17"/>
  <c r="W10" i="17"/>
  <c r="Z10" i="17"/>
  <c r="E10" i="8"/>
  <c r="C10" i="8"/>
  <c r="C11" i="8"/>
  <c r="E10" i="16"/>
  <c r="C10" i="16"/>
  <c r="C11" i="16"/>
  <c r="C10" i="24"/>
  <c r="E10" i="24"/>
  <c r="C11" i="24"/>
  <c r="E10" i="17"/>
  <c r="C10" i="17"/>
  <c r="C11" i="17"/>
  <c r="W11" i="25"/>
  <c r="Z10" i="25"/>
  <c r="W10" i="25"/>
  <c r="AS10" i="25"/>
  <c r="C10" i="53"/>
  <c r="E10" i="53"/>
  <c r="C11" i="53"/>
  <c r="DD68" i="61"/>
  <c r="DE68" i="61" s="1"/>
  <c r="DC68" i="61"/>
  <c r="C26" i="4"/>
  <c r="E26" i="4"/>
  <c r="C27" i="4"/>
  <c r="C26" i="5"/>
  <c r="C27" i="5"/>
  <c r="E26" i="5"/>
  <c r="AS26" i="3"/>
  <c r="W26" i="3"/>
  <c r="Z26" i="3"/>
  <c r="W27" i="3"/>
  <c r="Z26" i="9"/>
  <c r="W27" i="9"/>
  <c r="W26" i="9"/>
  <c r="AS26" i="9"/>
  <c r="C26" i="13"/>
  <c r="E26" i="13"/>
  <c r="C27" i="13"/>
  <c r="C26" i="21"/>
  <c r="E26" i="21"/>
  <c r="C27" i="21"/>
  <c r="W27" i="11"/>
  <c r="AS26" i="11"/>
  <c r="W26" i="11"/>
  <c r="Z26" i="11"/>
  <c r="W27" i="19"/>
  <c r="AS26" i="19"/>
  <c r="W26" i="19"/>
  <c r="Z26" i="19"/>
  <c r="C27" i="11"/>
  <c r="E26" i="11"/>
  <c r="C26" i="11"/>
  <c r="C27" i="19"/>
  <c r="E26" i="19"/>
  <c r="C26" i="19"/>
  <c r="AS26" i="13"/>
  <c r="W26" i="13"/>
  <c r="Z26" i="13"/>
  <c r="W27" i="13"/>
  <c r="AS26" i="21"/>
  <c r="W26" i="21"/>
  <c r="Z26" i="21"/>
  <c r="W27" i="21"/>
  <c r="C26" i="25"/>
  <c r="C27" i="25"/>
  <c r="E26" i="25"/>
  <c r="E26" i="53"/>
  <c r="C26" i="53"/>
  <c r="C27" i="53"/>
  <c r="C13" i="2"/>
  <c r="E13" i="2"/>
  <c r="AS13" i="4"/>
  <c r="W13" i="4"/>
  <c r="Z13" i="4"/>
  <c r="E13" i="5"/>
  <c r="C13" i="5"/>
  <c r="AS13" i="8"/>
  <c r="W13" i="8"/>
  <c r="Z13" i="8"/>
  <c r="Z13" i="16"/>
  <c r="AS13" i="16"/>
  <c r="W13" i="16"/>
  <c r="E13" i="8"/>
  <c r="C13" i="8"/>
  <c r="C13" i="16"/>
  <c r="E13" i="16"/>
  <c r="E13" i="9"/>
  <c r="C13" i="9"/>
  <c r="E13" i="17"/>
  <c r="C13" i="17"/>
  <c r="Z13" i="24"/>
  <c r="W13" i="24"/>
  <c r="AS13" i="24"/>
  <c r="AS13" i="15"/>
  <c r="W13" i="15"/>
  <c r="Z13" i="15"/>
  <c r="AS13" i="23"/>
  <c r="W13" i="23"/>
  <c r="Z13" i="23"/>
  <c r="AS23" i="53"/>
  <c r="AS15" i="53"/>
  <c r="AS7" i="53"/>
  <c r="E27" i="53"/>
  <c r="E19" i="53"/>
  <c r="Z11" i="53"/>
  <c r="Z7" i="53"/>
  <c r="AS19" i="25"/>
  <c r="E23" i="24"/>
  <c r="E15" i="24"/>
  <c r="E7" i="24"/>
  <c r="Z11" i="23"/>
  <c r="Z7" i="23"/>
  <c r="Z27" i="20"/>
  <c r="Z23" i="20"/>
  <c r="Z19" i="20"/>
  <c r="Z15" i="20"/>
  <c r="Z11" i="19"/>
  <c r="Z7" i="19"/>
  <c r="Z27" i="16"/>
  <c r="Z23" i="16"/>
  <c r="Z19" i="16"/>
  <c r="Z15" i="16"/>
  <c r="Z11" i="15"/>
  <c r="Z7" i="15"/>
  <c r="Z27" i="12"/>
  <c r="Z23" i="12"/>
  <c r="Z19" i="12"/>
  <c r="Z15" i="12"/>
  <c r="Z11" i="11"/>
  <c r="Z7" i="11"/>
  <c r="AC27" i="20"/>
  <c r="AC26" i="20" s="1"/>
  <c r="AC25" i="20" s="1"/>
  <c r="AC24" i="20" s="1"/>
  <c r="AC23" i="20" s="1"/>
  <c r="AC22" i="20" s="1"/>
  <c r="AC21" i="20" s="1"/>
  <c r="AC20" i="20" s="1"/>
  <c r="AC19" i="20" s="1"/>
  <c r="AC18" i="20" s="1"/>
  <c r="AC17" i="20" s="1"/>
  <c r="AC27" i="12"/>
  <c r="AC26" i="12" s="1"/>
  <c r="AC25" i="12" s="1"/>
  <c r="AC24" i="12" s="1"/>
  <c r="AC23" i="12" s="1"/>
  <c r="AC22" i="12" s="1"/>
  <c r="AC21" i="12" s="1"/>
  <c r="AC20" i="12" s="1"/>
  <c r="AC19" i="12" s="1"/>
  <c r="AC18" i="12" s="1"/>
  <c r="AC17" i="12" s="1"/>
  <c r="Z7" i="25"/>
  <c r="E27" i="24"/>
  <c r="E19" i="24"/>
  <c r="AS11" i="24"/>
  <c r="AS15" i="25"/>
  <c r="Z11" i="25"/>
  <c r="AS27" i="24"/>
  <c r="AS19" i="24"/>
  <c r="Z11" i="24"/>
  <c r="E7" i="8"/>
  <c r="AS27" i="7"/>
  <c r="AS23" i="6"/>
  <c r="Z11" i="6"/>
  <c r="Z7" i="6"/>
  <c r="Z27" i="3"/>
  <c r="Z23" i="3"/>
  <c r="Z19" i="3"/>
  <c r="Z15" i="3"/>
  <c r="Z11" i="2"/>
  <c r="Z7" i="2"/>
  <c r="Z19" i="1"/>
  <c r="Z15" i="1"/>
  <c r="Z27" i="7"/>
  <c r="AS23" i="7"/>
  <c r="Z11" i="7"/>
  <c r="Z7" i="7"/>
  <c r="E27" i="6"/>
  <c r="Z23" i="6"/>
  <c r="E19" i="6"/>
  <c r="Z15" i="6"/>
  <c r="Z11" i="5"/>
  <c r="Z7" i="5"/>
  <c r="AC27" i="3"/>
  <c r="AC26" i="3" s="1"/>
  <c r="AC25" i="3" s="1"/>
  <c r="AC24" i="3" s="1"/>
  <c r="AC23" i="3" s="1"/>
  <c r="AC22" i="3" s="1"/>
  <c r="AC21" i="3" s="1"/>
  <c r="AC20" i="3" s="1"/>
  <c r="AC19" i="3" s="1"/>
  <c r="AC18" i="3" s="1"/>
  <c r="AC17" i="3" s="1"/>
  <c r="Z27" i="2"/>
  <c r="Z23" i="2"/>
  <c r="Z19" i="2"/>
  <c r="Z15" i="2"/>
  <c r="Z11" i="1"/>
  <c r="E11" i="9"/>
  <c r="Z23" i="7"/>
  <c r="Z19" i="5"/>
  <c r="Z15" i="5"/>
  <c r="Z11" i="4"/>
  <c r="Z7" i="4"/>
  <c r="AC27" i="2"/>
  <c r="AC26" i="2" s="1"/>
  <c r="AC25" i="2" s="1"/>
  <c r="AC24" i="2" s="1"/>
  <c r="AC23" i="2" s="1"/>
  <c r="AC22" i="2" s="1"/>
  <c r="AC21" i="2" s="1"/>
  <c r="AC20" i="2" s="1"/>
  <c r="AC19" i="2" s="1"/>
  <c r="AC18" i="2" s="1"/>
  <c r="AC17" i="2" s="1"/>
  <c r="Z27" i="1"/>
  <c r="Z27" i="8"/>
  <c r="Z23" i="8"/>
  <c r="Z19" i="8"/>
  <c r="Z15" i="8"/>
  <c r="Z7" i="1"/>
  <c r="Z23" i="1"/>
  <c r="E15" i="2"/>
  <c r="E7" i="5"/>
  <c r="E23" i="6"/>
  <c r="AS27" i="3"/>
  <c r="E11" i="1"/>
  <c r="AS7" i="6"/>
  <c r="E19" i="2"/>
  <c r="E11" i="5"/>
  <c r="AS19" i="7"/>
  <c r="AS7" i="1"/>
  <c r="E27" i="1"/>
  <c r="E7" i="7"/>
  <c r="Z19" i="7"/>
  <c r="AS23" i="8"/>
  <c r="AS11" i="9"/>
  <c r="E11" i="11"/>
  <c r="AS15" i="12"/>
  <c r="E23" i="13"/>
  <c r="E7" i="15"/>
  <c r="E15" i="16"/>
  <c r="E23" i="17"/>
  <c r="E7" i="19"/>
  <c r="E15" i="20"/>
  <c r="E23" i="21"/>
  <c r="E7" i="23"/>
  <c r="E11" i="2"/>
  <c r="E19" i="3"/>
  <c r="AS27" i="4"/>
  <c r="AS27" i="6"/>
  <c r="E27" i="7"/>
  <c r="AS11" i="10"/>
  <c r="AS19" i="11"/>
  <c r="E27" i="12"/>
  <c r="AS7" i="14"/>
  <c r="AS15" i="15"/>
  <c r="AS23" i="16"/>
  <c r="AS7" i="18"/>
  <c r="AS15" i="19"/>
  <c r="AS23" i="20"/>
  <c r="AS7" i="22"/>
  <c r="AS15" i="23"/>
  <c r="AS7" i="4"/>
  <c r="E23" i="4"/>
  <c r="AS15" i="5"/>
  <c r="AS23" i="5"/>
  <c r="AS7" i="9"/>
  <c r="E7" i="11"/>
  <c r="AS19" i="12"/>
  <c r="E27" i="13"/>
  <c r="E11" i="15"/>
  <c r="E19" i="16"/>
  <c r="E27" i="17"/>
  <c r="E11" i="19"/>
  <c r="E19" i="20"/>
  <c r="E27" i="21"/>
  <c r="E11" i="23"/>
  <c r="AS19" i="1"/>
  <c r="Z15" i="7"/>
  <c r="E23" i="8"/>
  <c r="AS7" i="10"/>
  <c r="AS15" i="11"/>
  <c r="E23" i="12"/>
  <c r="AS11" i="14"/>
  <c r="AS19" i="15"/>
  <c r="AS27" i="16"/>
  <c r="AS11" i="18"/>
  <c r="AS19" i="19"/>
  <c r="AS27" i="20"/>
  <c r="AS11" i="22"/>
  <c r="AS19" i="23"/>
  <c r="Z7" i="8"/>
  <c r="Z11" i="8"/>
  <c r="Z15" i="9"/>
  <c r="Z19" i="9"/>
  <c r="Z23" i="9"/>
  <c r="Z27" i="9"/>
  <c r="E7" i="25"/>
  <c r="Z11" i="9"/>
  <c r="Z15" i="10"/>
  <c r="Z19" i="10"/>
  <c r="Z23" i="10"/>
  <c r="Z27" i="10"/>
  <c r="Z7" i="13"/>
  <c r="Z11" i="13"/>
  <c r="Z7" i="24"/>
  <c r="E23" i="25"/>
  <c r="Z19" i="11"/>
  <c r="Z15" i="15"/>
  <c r="Z15" i="19"/>
  <c r="AS23" i="22"/>
  <c r="Z23" i="23"/>
  <c r="AS7" i="24"/>
  <c r="Z23" i="53"/>
  <c r="AS27" i="53"/>
  <c r="D48" i="61"/>
  <c r="AS11" i="6"/>
  <c r="E23" i="2"/>
  <c r="E23" i="5"/>
  <c r="AS11" i="1"/>
  <c r="AS7" i="2"/>
  <c r="AS15" i="3"/>
  <c r="AS15" i="6"/>
  <c r="E27" i="2"/>
  <c r="E15" i="5"/>
  <c r="AS19" i="2"/>
  <c r="AS11" i="5"/>
  <c r="E15" i="1"/>
  <c r="E23" i="1"/>
  <c r="E11" i="7"/>
  <c r="AS11" i="8"/>
  <c r="AS27" i="8"/>
  <c r="AS15" i="9"/>
  <c r="AS23" i="9"/>
  <c r="E11" i="10"/>
  <c r="E19" i="11"/>
  <c r="AS23" i="12"/>
  <c r="E7" i="14"/>
  <c r="E15" i="15"/>
  <c r="E23" i="16"/>
  <c r="E7" i="18"/>
  <c r="E15" i="19"/>
  <c r="E23" i="20"/>
  <c r="E7" i="22"/>
  <c r="E15" i="23"/>
  <c r="AS7" i="3"/>
  <c r="E23" i="3"/>
  <c r="AS23" i="4"/>
  <c r="Z27" i="5"/>
  <c r="AS7" i="7"/>
  <c r="AS7" i="8"/>
  <c r="AS19" i="10"/>
  <c r="AS27" i="11"/>
  <c r="AS7" i="13"/>
  <c r="AS15" i="14"/>
  <c r="AS23" i="15"/>
  <c r="AS7" i="17"/>
  <c r="AS15" i="18"/>
  <c r="AS23" i="19"/>
  <c r="AS15" i="22"/>
  <c r="AS23" i="23"/>
  <c r="AS23" i="1"/>
  <c r="AS11" i="4"/>
  <c r="E27" i="4"/>
  <c r="AS19" i="5"/>
  <c r="E7" i="10"/>
  <c r="E15" i="11"/>
  <c r="AS27" i="12"/>
  <c r="E11" i="14"/>
  <c r="E19" i="15"/>
  <c r="E27" i="16"/>
  <c r="E11" i="18"/>
  <c r="E19" i="19"/>
  <c r="E27" i="20"/>
  <c r="E11" i="22"/>
  <c r="E19" i="23"/>
  <c r="E11" i="8"/>
  <c r="E27" i="8"/>
  <c r="E15" i="9"/>
  <c r="E23" i="9"/>
  <c r="AS15" i="10"/>
  <c r="AS23" i="11"/>
  <c r="AS11" i="13"/>
  <c r="AS19" i="14"/>
  <c r="AS27" i="15"/>
  <c r="AS11" i="17"/>
  <c r="AS19" i="18"/>
  <c r="AS27" i="19"/>
  <c r="AS11" i="21"/>
  <c r="AS27" i="23"/>
  <c r="AC27" i="18"/>
  <c r="AC26" i="18" s="1"/>
  <c r="AC25" i="18" s="1"/>
  <c r="AC24" i="18" s="1"/>
  <c r="AC23" i="18" s="1"/>
  <c r="AC22" i="18" s="1"/>
  <c r="AC21" i="18" s="1"/>
  <c r="AC20" i="18" s="1"/>
  <c r="AC19" i="18" s="1"/>
  <c r="AC18" i="18" s="1"/>
  <c r="AC17" i="18" s="1"/>
  <c r="Z7" i="20"/>
  <c r="Z11" i="20"/>
  <c r="Z15" i="21"/>
  <c r="Z19" i="21"/>
  <c r="Z23" i="21"/>
  <c r="Z27" i="21"/>
  <c r="AS11" i="25"/>
  <c r="Z27" i="25"/>
  <c r="Z7" i="9"/>
  <c r="Z15" i="14"/>
  <c r="Z19" i="14"/>
  <c r="Z23" i="14"/>
  <c r="Z27" i="14"/>
  <c r="Z7" i="21"/>
  <c r="Z11" i="21"/>
  <c r="Z15" i="22"/>
  <c r="Z19" i="22"/>
  <c r="Z23" i="22"/>
  <c r="Z27" i="22"/>
  <c r="Z19" i="24"/>
  <c r="Z15" i="11"/>
  <c r="Z11" i="14"/>
  <c r="Z27" i="15"/>
  <c r="Z11" i="18"/>
  <c r="Z27" i="19"/>
  <c r="AS7" i="21"/>
  <c r="AS27" i="22"/>
  <c r="Z19" i="23"/>
  <c r="AS23" i="24"/>
  <c r="Z19" i="25"/>
  <c r="AS23" i="25"/>
  <c r="Z23" i="24"/>
  <c r="E11" i="53"/>
  <c r="E23" i="53"/>
  <c r="AS11" i="2"/>
  <c r="E19" i="1"/>
  <c r="AS15" i="2"/>
  <c r="AS23" i="3"/>
  <c r="AS7" i="5"/>
  <c r="E19" i="5"/>
  <c r="AS19" i="3"/>
  <c r="AC27" i="1"/>
  <c r="AC26" i="1" s="1"/>
  <c r="AC25" i="1" s="1"/>
  <c r="AC24" i="1" s="1"/>
  <c r="AC23" i="1" s="1"/>
  <c r="AC22" i="1" s="1"/>
  <c r="AC21" i="1" s="1"/>
  <c r="AC20" i="1" s="1"/>
  <c r="AC19" i="1" s="1"/>
  <c r="AC18" i="1" s="1"/>
  <c r="AC17" i="1" s="1"/>
  <c r="E23" i="7"/>
  <c r="AS15" i="8"/>
  <c r="E19" i="10"/>
  <c r="E27" i="11"/>
  <c r="E7" i="13"/>
  <c r="E15" i="14"/>
  <c r="E23" i="15"/>
  <c r="E7" i="17"/>
  <c r="E15" i="18"/>
  <c r="E23" i="19"/>
  <c r="E7" i="21"/>
  <c r="E15" i="22"/>
  <c r="E23" i="23"/>
  <c r="AS11" i="3"/>
  <c r="E27" i="3"/>
  <c r="AS19" i="4"/>
  <c r="Z23" i="5"/>
  <c r="E7" i="6"/>
  <c r="AS19" i="6"/>
  <c r="AS11" i="7"/>
  <c r="AS27" i="10"/>
  <c r="E11" i="12"/>
  <c r="AS15" i="13"/>
  <c r="AS23" i="14"/>
  <c r="AS7" i="16"/>
  <c r="AS15" i="17"/>
  <c r="AS23" i="18"/>
  <c r="AS7" i="20"/>
  <c r="AS15" i="21"/>
  <c r="AS27" i="1"/>
  <c r="E7" i="3"/>
  <c r="E15" i="4"/>
  <c r="E15" i="10"/>
  <c r="E23" i="11"/>
  <c r="E11" i="13"/>
  <c r="E19" i="14"/>
  <c r="E27" i="15"/>
  <c r="E11" i="17"/>
  <c r="E19" i="18"/>
  <c r="E27" i="19"/>
  <c r="E11" i="21"/>
  <c r="E19" i="22"/>
  <c r="E27" i="23"/>
  <c r="E19" i="7"/>
  <c r="E15" i="8"/>
  <c r="AS23" i="10"/>
  <c r="E7" i="12"/>
  <c r="AS19" i="13"/>
  <c r="AS27" i="14"/>
  <c r="AS11" i="16"/>
  <c r="AS19" i="17"/>
  <c r="AS27" i="18"/>
  <c r="AS11" i="20"/>
  <c r="AS19" i="21"/>
  <c r="AC27" i="10"/>
  <c r="AC26" i="10" s="1"/>
  <c r="AC25" i="10" s="1"/>
  <c r="AC24" i="10" s="1"/>
  <c r="AC23" i="10" s="1"/>
  <c r="AC22" i="10" s="1"/>
  <c r="AC21" i="10" s="1"/>
  <c r="AC20" i="10" s="1"/>
  <c r="AC19" i="10" s="1"/>
  <c r="AC18" i="10" s="1"/>
  <c r="AC17" i="10" s="1"/>
  <c r="Z7" i="12"/>
  <c r="Z11" i="12"/>
  <c r="E27" i="25"/>
  <c r="AC27" i="25"/>
  <c r="AC26" i="25" s="1"/>
  <c r="AC25" i="25" s="1"/>
  <c r="AC24" i="25" s="1"/>
  <c r="AC23" i="25" s="1"/>
  <c r="AC22" i="25" s="1"/>
  <c r="AC21" i="25" s="1"/>
  <c r="AC20" i="25" s="1"/>
  <c r="AC19" i="25" s="1"/>
  <c r="AC18" i="25" s="1"/>
  <c r="AC17" i="25" s="1"/>
  <c r="Z27" i="24"/>
  <c r="Z11" i="10"/>
  <c r="Z27" i="11"/>
  <c r="Z7" i="14"/>
  <c r="Z23" i="15"/>
  <c r="Z7" i="18"/>
  <c r="Z23" i="19"/>
  <c r="Z11" i="22"/>
  <c r="Z15" i="23"/>
  <c r="AS15" i="24"/>
  <c r="E19" i="25"/>
  <c r="Z15" i="24"/>
  <c r="E11" i="25"/>
  <c r="Z15" i="25"/>
  <c r="Z27" i="53"/>
  <c r="AS11" i="53"/>
  <c r="Z15" i="53"/>
  <c r="AS19" i="53"/>
  <c r="AS27" i="2"/>
  <c r="E15" i="6"/>
  <c r="AS23" i="2"/>
  <c r="E7" i="4"/>
  <c r="E27" i="5"/>
  <c r="E7" i="1"/>
  <c r="E11" i="4"/>
  <c r="AS15" i="1"/>
  <c r="Z7" i="3"/>
  <c r="Z11" i="3"/>
  <c r="Z15" i="4"/>
  <c r="Z19" i="4"/>
  <c r="Z23" i="4"/>
  <c r="Z27" i="4"/>
  <c r="Z19" i="6"/>
  <c r="Z27" i="6"/>
  <c r="AS15" i="7"/>
  <c r="AS19" i="8"/>
  <c r="AS19" i="9"/>
  <c r="AS27" i="9"/>
  <c r="E27" i="10"/>
  <c r="AS7" i="12"/>
  <c r="E15" i="13"/>
  <c r="E23" i="14"/>
  <c r="E7" i="16"/>
  <c r="E15" i="17"/>
  <c r="E23" i="18"/>
  <c r="E7" i="20"/>
  <c r="E15" i="21"/>
  <c r="E23" i="22"/>
  <c r="E7" i="2"/>
  <c r="E15" i="3"/>
  <c r="AS15" i="4"/>
  <c r="E11" i="6"/>
  <c r="AS11" i="11"/>
  <c r="E19" i="12"/>
  <c r="AS23" i="13"/>
  <c r="AS7" i="15"/>
  <c r="AS15" i="16"/>
  <c r="AS23" i="17"/>
  <c r="AS7" i="19"/>
  <c r="AS15" i="20"/>
  <c r="AS23" i="21"/>
  <c r="AS7" i="23"/>
  <c r="E11" i="3"/>
  <c r="E19" i="4"/>
  <c r="AS27" i="5"/>
  <c r="E15" i="7"/>
  <c r="E23" i="10"/>
  <c r="AS11" i="12"/>
  <c r="E19" i="13"/>
  <c r="E27" i="14"/>
  <c r="E11" i="16"/>
  <c r="E19" i="17"/>
  <c r="E27" i="18"/>
  <c r="E11" i="20"/>
  <c r="E19" i="21"/>
  <c r="E27" i="22"/>
  <c r="E11" i="24"/>
  <c r="E19" i="8"/>
  <c r="E7" i="9"/>
  <c r="E19" i="9"/>
  <c r="E27" i="9"/>
  <c r="AS7" i="11"/>
  <c r="E15" i="12"/>
  <c r="AS27" i="13"/>
  <c r="AS11" i="15"/>
  <c r="AS19" i="16"/>
  <c r="AS27" i="17"/>
  <c r="AS11" i="19"/>
  <c r="AS19" i="20"/>
  <c r="AS27" i="21"/>
  <c r="AS11" i="23"/>
  <c r="Z15" i="13"/>
  <c r="Z19" i="13"/>
  <c r="Z23" i="13"/>
  <c r="Z27" i="13"/>
  <c r="Z7" i="16"/>
  <c r="Z11" i="16"/>
  <c r="Z15" i="17"/>
  <c r="Z19" i="17"/>
  <c r="Z23" i="17"/>
  <c r="Z27" i="17"/>
  <c r="Z7" i="17"/>
  <c r="Z11" i="17"/>
  <c r="Z15" i="18"/>
  <c r="Z19" i="18"/>
  <c r="Z23" i="18"/>
  <c r="Z27" i="18"/>
  <c r="AC27" i="23"/>
  <c r="AC26" i="23" s="1"/>
  <c r="AC25" i="23" s="1"/>
  <c r="AC24" i="23" s="1"/>
  <c r="AC23" i="23" s="1"/>
  <c r="AC22" i="23" s="1"/>
  <c r="AC21" i="23" s="1"/>
  <c r="AC20" i="23" s="1"/>
  <c r="AC19" i="23" s="1"/>
  <c r="AC18" i="23" s="1"/>
  <c r="AC17" i="23" s="1"/>
  <c r="AS7" i="25"/>
  <c r="Z23" i="25"/>
  <c r="AS27" i="25"/>
  <c r="Z7" i="10"/>
  <c r="Z23" i="11"/>
  <c r="Z19" i="15"/>
  <c r="Z19" i="19"/>
  <c r="Z7" i="22"/>
  <c r="AS19" i="22"/>
  <c r="Z27" i="23"/>
  <c r="E15" i="25"/>
  <c r="Z19" i="53"/>
  <c r="E7" i="53"/>
  <c r="E15" i="53"/>
  <c r="C20" i="8"/>
  <c r="E20" i="8"/>
  <c r="C20" i="6"/>
  <c r="E20" i="6"/>
  <c r="E20" i="1"/>
  <c r="C20" i="1"/>
  <c r="C20" i="9"/>
  <c r="E20" i="9"/>
  <c r="C20" i="17"/>
  <c r="E20" i="17"/>
  <c r="AS20" i="24"/>
  <c r="Z20" i="24"/>
  <c r="W20" i="24"/>
  <c r="C20" i="14"/>
  <c r="E20" i="14"/>
  <c r="C20" i="22"/>
  <c r="E20" i="22"/>
  <c r="AS20" i="12"/>
  <c r="W20" i="12"/>
  <c r="Z20" i="12"/>
  <c r="AS20" i="20"/>
  <c r="W20" i="20"/>
  <c r="Z20" i="20"/>
  <c r="E20" i="16"/>
  <c r="C20" i="16"/>
  <c r="E20" i="24"/>
  <c r="C20" i="24"/>
  <c r="BD144" i="61"/>
  <c r="DD78" i="61"/>
  <c r="DE78" i="61" s="1"/>
  <c r="DC78" i="61"/>
  <c r="AD44" i="26"/>
  <c r="A45" i="26"/>
  <c r="B45" i="26" s="1"/>
  <c r="B44" i="26"/>
  <c r="P43" i="27"/>
  <c r="Q43" i="27" s="1"/>
  <c r="O53" i="29"/>
  <c r="AC58" i="30"/>
  <c r="AC54" i="30"/>
  <c r="AD54" i="30" s="1"/>
  <c r="O57" i="30"/>
  <c r="O61" i="30"/>
  <c r="AD44" i="33"/>
  <c r="B45" i="35"/>
  <c r="O49" i="32"/>
  <c r="P43" i="33"/>
  <c r="Q43" i="33" s="1"/>
  <c r="B61" i="35"/>
  <c r="A66" i="35"/>
  <c r="A62" i="35"/>
  <c r="O69" i="32"/>
  <c r="P68" i="32"/>
  <c r="Q68" i="32" s="1"/>
  <c r="AD44" i="37"/>
  <c r="AC49" i="35"/>
  <c r="AD48" i="35"/>
  <c r="AC53" i="35"/>
  <c r="P39" i="37"/>
  <c r="P43" i="39"/>
  <c r="Q43" i="39" s="1"/>
  <c r="O61" i="41"/>
  <c r="O57" i="41"/>
  <c r="O48" i="40"/>
  <c r="P47" i="40"/>
  <c r="A50" i="46"/>
  <c r="B49" i="46"/>
  <c r="AD44" i="41"/>
  <c r="P43" i="44"/>
  <c r="Q43" i="44" s="1"/>
  <c r="AC74" i="46"/>
  <c r="AD73" i="46"/>
  <c r="AC78" i="46"/>
  <c r="A54" i="47"/>
  <c r="B53" i="47"/>
  <c r="O57" i="48"/>
  <c r="O61" i="48"/>
  <c r="A58" i="49"/>
  <c r="B57" i="49"/>
  <c r="A45" i="48"/>
  <c r="B45" i="48" s="1"/>
  <c r="P51" i="50"/>
  <c r="O56" i="50"/>
  <c r="O52" i="50"/>
  <c r="AC64" i="59"/>
  <c r="AC59" i="59"/>
  <c r="AD68" i="43"/>
  <c r="C6" i="4"/>
  <c r="C7" i="4"/>
  <c r="E6" i="4"/>
  <c r="C7" i="1"/>
  <c r="E6" i="1"/>
  <c r="C6" i="1"/>
  <c r="E6" i="2"/>
  <c r="C6" i="2"/>
  <c r="C7" i="2"/>
  <c r="E6" i="8"/>
  <c r="C6" i="8"/>
  <c r="C7" i="8"/>
  <c r="C6" i="16"/>
  <c r="E6" i="16"/>
  <c r="C7" i="16"/>
  <c r="E6" i="9"/>
  <c r="C6" i="9"/>
  <c r="C7" i="9"/>
  <c r="C6" i="17"/>
  <c r="E6" i="17"/>
  <c r="C7" i="17"/>
  <c r="C6" i="24"/>
  <c r="C7" i="24"/>
  <c r="E6" i="24"/>
  <c r="AS6" i="15"/>
  <c r="W6" i="15"/>
  <c r="Z6" i="15"/>
  <c r="W7" i="15"/>
  <c r="AS6" i="23"/>
  <c r="W6" i="23"/>
  <c r="Z6" i="23"/>
  <c r="W7" i="23"/>
  <c r="C7" i="15"/>
  <c r="E6" i="15"/>
  <c r="C6" i="15"/>
  <c r="C7" i="23"/>
  <c r="E6" i="23"/>
  <c r="C6" i="23"/>
  <c r="C6" i="53"/>
  <c r="C7" i="53"/>
  <c r="E6" i="53"/>
  <c r="DD64" i="61"/>
  <c r="DE64" i="61" s="1"/>
  <c r="DC64" i="61"/>
  <c r="W23" i="1"/>
  <c r="AS22" i="1"/>
  <c r="W22" i="1"/>
  <c r="Z22" i="1"/>
  <c r="W23" i="2"/>
  <c r="AS22" i="2"/>
  <c r="W22" i="2"/>
  <c r="Z22" i="2"/>
  <c r="AS22" i="3"/>
  <c r="W22" i="3"/>
  <c r="Z22" i="3"/>
  <c r="W23" i="3"/>
  <c r="C22" i="8"/>
  <c r="C23" i="8"/>
  <c r="E22" i="8"/>
  <c r="Z22" i="10"/>
  <c r="W23" i="10"/>
  <c r="AS22" i="10"/>
  <c r="W22" i="10"/>
  <c r="Z22" i="18"/>
  <c r="W23" i="18"/>
  <c r="AS22" i="18"/>
  <c r="W22" i="18"/>
  <c r="C22" i="10"/>
  <c r="E22" i="10"/>
  <c r="C23" i="10"/>
  <c r="C22" i="18"/>
  <c r="E22" i="18"/>
  <c r="C23" i="18"/>
  <c r="W23" i="24"/>
  <c r="Z22" i="24"/>
  <c r="W22" i="24"/>
  <c r="AS22" i="24"/>
  <c r="C23" i="15"/>
  <c r="E22" i="15"/>
  <c r="C22" i="15"/>
  <c r="C23" i="23"/>
  <c r="E22" i="23"/>
  <c r="C22" i="23"/>
  <c r="AS22" i="17"/>
  <c r="W22" i="17"/>
  <c r="Z22" i="17"/>
  <c r="W23" i="17"/>
  <c r="Z22" i="25"/>
  <c r="AS22" i="25"/>
  <c r="W22" i="25"/>
  <c r="W23" i="25"/>
  <c r="AS22" i="53"/>
  <c r="W23" i="53"/>
  <c r="Z22" i="53"/>
  <c r="W22" i="53"/>
  <c r="Z9" i="3"/>
  <c r="AS9" i="3"/>
  <c r="W9" i="3"/>
  <c r="C9" i="6"/>
  <c r="E9" i="6"/>
  <c r="Z9" i="1"/>
  <c r="AS9" i="1"/>
  <c r="W9" i="1"/>
  <c r="W9" i="7"/>
  <c r="AS9" i="7"/>
  <c r="Z9" i="7"/>
  <c r="C9" i="14"/>
  <c r="E9" i="14"/>
  <c r="C9" i="22"/>
  <c r="E9" i="22"/>
  <c r="C9" i="11"/>
  <c r="E9" i="11"/>
  <c r="C9" i="19"/>
  <c r="E9" i="19"/>
  <c r="E9" i="8"/>
  <c r="C9" i="8"/>
  <c r="E9" i="16"/>
  <c r="C9" i="16"/>
  <c r="AS9" i="11"/>
  <c r="W9" i="11"/>
  <c r="Z9" i="11"/>
  <c r="AS9" i="19"/>
  <c r="W9" i="19"/>
  <c r="Z9" i="19"/>
  <c r="E9" i="25"/>
  <c r="C9" i="25"/>
  <c r="E9" i="53"/>
  <c r="C9" i="53"/>
  <c r="Z25" i="3"/>
  <c r="AS25" i="3"/>
  <c r="W25" i="3"/>
  <c r="Z25" i="1"/>
  <c r="AS25" i="1"/>
  <c r="W25" i="1"/>
  <c r="Z25" i="7"/>
  <c r="W25" i="7"/>
  <c r="AS25" i="7"/>
  <c r="AS25" i="8"/>
  <c r="W25" i="8"/>
  <c r="Z25" i="8"/>
  <c r="Z25" i="16"/>
  <c r="AS25" i="16"/>
  <c r="W25" i="16"/>
  <c r="Z25" i="24"/>
  <c r="AS25" i="24"/>
  <c r="W25" i="24"/>
  <c r="C25" i="12"/>
  <c r="E25" i="12"/>
  <c r="C25" i="20"/>
  <c r="E25" i="20"/>
  <c r="AS25" i="10"/>
  <c r="W25" i="10"/>
  <c r="Z25" i="10"/>
  <c r="AS25" i="18"/>
  <c r="W25" i="18"/>
  <c r="Z25" i="18"/>
  <c r="AS25" i="11"/>
  <c r="W25" i="11"/>
  <c r="Z25" i="11"/>
  <c r="AS25" i="19"/>
  <c r="W25" i="19"/>
  <c r="Z25" i="19"/>
  <c r="E25" i="25"/>
  <c r="C25" i="25"/>
  <c r="C16" i="8"/>
  <c r="E16" i="8"/>
  <c r="AS16" i="6"/>
  <c r="W16" i="6"/>
  <c r="Z16" i="6"/>
  <c r="AS16" i="3"/>
  <c r="W16" i="3"/>
  <c r="Z16" i="3"/>
  <c r="C16" i="9"/>
  <c r="E16" i="9"/>
  <c r="C16" i="17"/>
  <c r="E16" i="17"/>
  <c r="AS16" i="7"/>
  <c r="W16" i="7"/>
  <c r="Z16" i="7"/>
  <c r="AS16" i="15"/>
  <c r="W16" i="15"/>
  <c r="Z16" i="15"/>
  <c r="AS16" i="23"/>
  <c r="W16" i="23"/>
  <c r="Z16" i="23"/>
  <c r="E16" i="15"/>
  <c r="C16" i="15"/>
  <c r="E16" i="23"/>
  <c r="C16" i="23"/>
  <c r="E16" i="16"/>
  <c r="C16" i="16"/>
  <c r="E16" i="24"/>
  <c r="C16" i="24"/>
  <c r="BD140" i="61"/>
  <c r="AB168" i="61"/>
  <c r="A168" i="61"/>
  <c r="AB82" i="61"/>
  <c r="CK42" i="61"/>
  <c r="CK17" i="61"/>
  <c r="CG17" i="61"/>
  <c r="CH17" i="61" s="1"/>
  <c r="CI17" i="61" s="1"/>
  <c r="B52" i="26"/>
  <c r="A53" i="26"/>
  <c r="A66" i="27"/>
  <c r="A62" i="27"/>
  <c r="B61" i="27"/>
  <c r="A58" i="32"/>
  <c r="B57" i="32"/>
  <c r="P39" i="26"/>
  <c r="O40" i="26"/>
  <c r="P43" i="26"/>
  <c r="Q43" i="26" s="1"/>
  <c r="O48" i="28"/>
  <c r="P47" i="28"/>
  <c r="A61" i="30"/>
  <c r="A57" i="30"/>
  <c r="A54" i="35"/>
  <c r="B53" i="35"/>
  <c r="A53" i="37"/>
  <c r="P43" i="40"/>
  <c r="Q43" i="40" s="1"/>
  <c r="O44" i="40"/>
  <c r="P51" i="37"/>
  <c r="O56" i="37"/>
  <c r="O52" i="37"/>
  <c r="O57" i="42"/>
  <c r="O61" i="42"/>
  <c r="P39" i="42"/>
  <c r="P47" i="43"/>
  <c r="O48" i="43"/>
  <c r="A50" i="43"/>
  <c r="B49" i="43"/>
  <c r="P39" i="44"/>
  <c r="A54" i="49"/>
  <c r="B53" i="49"/>
  <c r="B45" i="50"/>
  <c r="A53" i="59"/>
  <c r="AU155" i="61"/>
  <c r="T155" i="61"/>
  <c r="AU69" i="61"/>
  <c r="BH69" i="61"/>
  <c r="F69" i="61"/>
  <c r="CP4" i="61" s="1"/>
  <c r="F2" i="56"/>
  <c r="K186" i="61" s="1"/>
  <c r="I210" i="61" s="1"/>
  <c r="B8" i="59"/>
  <c r="AD58" i="59" s="1"/>
  <c r="B8" i="50"/>
  <c r="AD49" i="50" s="1"/>
  <c r="B8" i="49"/>
  <c r="AD53" i="49" s="1"/>
  <c r="B8" i="48"/>
  <c r="P44" i="48" s="1"/>
  <c r="B8" i="47"/>
  <c r="P40" i="47" s="1"/>
  <c r="B8" i="46"/>
  <c r="B8" i="45"/>
  <c r="AD53" i="45" s="1"/>
  <c r="B8" i="44"/>
  <c r="P44" i="44" s="1"/>
  <c r="B8" i="41"/>
  <c r="P56" i="41" s="1"/>
  <c r="B8" i="43"/>
  <c r="B8" i="42"/>
  <c r="P52" i="42" s="1"/>
  <c r="B8" i="38"/>
  <c r="P48" i="38" s="1"/>
  <c r="Q48" i="38" s="1"/>
  <c r="B8" i="37"/>
  <c r="B8" i="40"/>
  <c r="B8" i="39"/>
  <c r="P44" i="39" s="1"/>
  <c r="B8" i="35"/>
  <c r="P48" i="35" s="1"/>
  <c r="Q48" i="35" s="1"/>
  <c r="B8" i="34"/>
  <c r="AD49" i="34" s="1"/>
  <c r="B8" i="33"/>
  <c r="P44" i="33" s="1"/>
  <c r="B8" i="36"/>
  <c r="P48" i="36" s="1"/>
  <c r="Q48" i="36" s="1"/>
  <c r="B8" i="32"/>
  <c r="B50" i="32" s="1"/>
  <c r="B8" i="29"/>
  <c r="P56" i="29" s="1"/>
  <c r="B8" i="28"/>
  <c r="B8" i="31"/>
  <c r="P40" i="31" s="1"/>
  <c r="B8" i="27"/>
  <c r="AD53" i="27" s="1"/>
  <c r="B8" i="30"/>
  <c r="P52" i="30" s="1"/>
  <c r="B8" i="26"/>
  <c r="B1" i="21"/>
  <c r="Z18" i="5"/>
  <c r="W19" i="5"/>
  <c r="AS18" i="5"/>
  <c r="W18" i="5"/>
  <c r="C19" i="2"/>
  <c r="E18" i="2"/>
  <c r="C18" i="2"/>
  <c r="AS18" i="4"/>
  <c r="W18" i="4"/>
  <c r="Z18" i="4"/>
  <c r="W19" i="4"/>
  <c r="AS18" i="6"/>
  <c r="W18" i="6"/>
  <c r="W19" i="6"/>
  <c r="Z18" i="6"/>
  <c r="Z18" i="14"/>
  <c r="W19" i="14"/>
  <c r="AS18" i="14"/>
  <c r="W18" i="14"/>
  <c r="Z18" i="22"/>
  <c r="W19" i="22"/>
  <c r="AS18" i="22"/>
  <c r="W18" i="22"/>
  <c r="C18" i="14"/>
  <c r="E18" i="14"/>
  <c r="C19" i="14"/>
  <c r="C18" i="22"/>
  <c r="E18" i="22"/>
  <c r="C19" i="22"/>
  <c r="AS18" i="12"/>
  <c r="W18" i="12"/>
  <c r="Z18" i="12"/>
  <c r="W19" i="12"/>
  <c r="AS18" i="20"/>
  <c r="W18" i="20"/>
  <c r="Z18" i="20"/>
  <c r="W19" i="20"/>
  <c r="C19" i="16"/>
  <c r="E18" i="16"/>
  <c r="C18" i="16"/>
  <c r="W18" i="24"/>
  <c r="AS18" i="24"/>
  <c r="W19" i="24"/>
  <c r="Z18" i="24"/>
  <c r="AS5" i="2"/>
  <c r="W5" i="2"/>
  <c r="C5" i="2"/>
  <c r="E5" i="2"/>
  <c r="E5" i="3"/>
  <c r="C5" i="3"/>
  <c r="E5" i="4"/>
  <c r="AS5" i="11"/>
  <c r="W5" i="11"/>
  <c r="AS5" i="19"/>
  <c r="E5" i="11"/>
  <c r="E5" i="19"/>
  <c r="AS5" i="9"/>
  <c r="W5" i="9"/>
  <c r="Z5" i="9"/>
  <c r="AS5" i="17"/>
  <c r="W5" i="17"/>
  <c r="Z5" i="17"/>
  <c r="AS5" i="10"/>
  <c r="AS5" i="18"/>
  <c r="W5" i="18"/>
  <c r="AS5" i="25"/>
  <c r="Z5" i="25"/>
  <c r="E5" i="53"/>
  <c r="C5" i="53"/>
  <c r="E21" i="6"/>
  <c r="C21" i="6"/>
  <c r="E21" i="4"/>
  <c r="C21" i="4"/>
  <c r="AS21" i="2"/>
  <c r="W21" i="2"/>
  <c r="Z21" i="2"/>
  <c r="AS21" i="8"/>
  <c r="W21" i="8"/>
  <c r="Z21" i="8"/>
  <c r="Z21" i="16"/>
  <c r="AS21" i="16"/>
  <c r="W21" i="16"/>
  <c r="E21" i="8"/>
  <c r="C21" i="8"/>
  <c r="C21" i="16"/>
  <c r="E21" i="16"/>
  <c r="Z21" i="25"/>
  <c r="AS21" i="25"/>
  <c r="W21" i="25"/>
  <c r="AS21" i="14"/>
  <c r="W21" i="14"/>
  <c r="Z21" i="14"/>
  <c r="AS21" i="22"/>
  <c r="W21" i="22"/>
  <c r="Z21" i="22"/>
  <c r="E21" i="14"/>
  <c r="C21" i="14"/>
  <c r="E21" i="22"/>
  <c r="C21" i="22"/>
  <c r="Z12" i="1"/>
  <c r="AS12" i="1"/>
  <c r="W12" i="1"/>
  <c r="C12" i="8"/>
  <c r="E12" i="8"/>
  <c r="AS12" i="6"/>
  <c r="W12" i="6"/>
  <c r="Z12" i="6"/>
  <c r="E12" i="3"/>
  <c r="C12" i="3"/>
  <c r="C12" i="13"/>
  <c r="E12" i="13"/>
  <c r="C12" i="21"/>
  <c r="E12" i="21"/>
  <c r="C12" i="10"/>
  <c r="E12" i="10"/>
  <c r="C12" i="18"/>
  <c r="E12" i="18"/>
  <c r="AS12" i="8"/>
  <c r="W12" i="8"/>
  <c r="Z12" i="8"/>
  <c r="AS12" i="16"/>
  <c r="W12" i="16"/>
  <c r="Z12" i="16"/>
  <c r="E12" i="12"/>
  <c r="C12" i="12"/>
  <c r="E12" i="20"/>
  <c r="C12" i="20"/>
  <c r="C12" i="25"/>
  <c r="E12" i="25"/>
  <c r="AS12" i="53"/>
  <c r="W12" i="53"/>
  <c r="Z12" i="53"/>
  <c r="Z28" i="5"/>
  <c r="AC28" i="5"/>
  <c r="AC27" i="5" s="1"/>
  <c r="AC26" i="5" s="1"/>
  <c r="AC25" i="5" s="1"/>
  <c r="AC24" i="5" s="1"/>
  <c r="AC23" i="5" s="1"/>
  <c r="AC22" i="5" s="1"/>
  <c r="AC21" i="5" s="1"/>
  <c r="AC20" i="5" s="1"/>
  <c r="AC19" i="5" s="1"/>
  <c r="AC18" i="5" s="1"/>
  <c r="AC17" i="5" s="1"/>
  <c r="AS28" i="5"/>
  <c r="W28" i="5"/>
  <c r="C28" i="1"/>
  <c r="E28" i="1"/>
  <c r="E28" i="2"/>
  <c r="C28" i="2"/>
  <c r="AS28" i="6"/>
  <c r="W28" i="6"/>
  <c r="Z28" i="6"/>
  <c r="AC28" i="6"/>
  <c r="AC27" i="6" s="1"/>
  <c r="AC26" i="6" s="1"/>
  <c r="AC25" i="6" s="1"/>
  <c r="AC24" i="6" s="1"/>
  <c r="AC23" i="6" s="1"/>
  <c r="AC22" i="6" s="1"/>
  <c r="AC21" i="6" s="1"/>
  <c r="AC20" i="6" s="1"/>
  <c r="AC19" i="6" s="1"/>
  <c r="AC18" i="6" s="1"/>
  <c r="AC17" i="6" s="1"/>
  <c r="Z28" i="14"/>
  <c r="AC28" i="14"/>
  <c r="AC27" i="14" s="1"/>
  <c r="AC26" i="14" s="1"/>
  <c r="AC25" i="14" s="1"/>
  <c r="AC24" i="14" s="1"/>
  <c r="AC23" i="14" s="1"/>
  <c r="AC22" i="14" s="1"/>
  <c r="AC21" i="14" s="1"/>
  <c r="AC20" i="14" s="1"/>
  <c r="AC19" i="14" s="1"/>
  <c r="AC18" i="14" s="1"/>
  <c r="AC17" i="14" s="1"/>
  <c r="AS28" i="14"/>
  <c r="W28" i="14"/>
  <c r="Z28" i="22"/>
  <c r="AC28" i="22"/>
  <c r="AC27" i="22" s="1"/>
  <c r="AC26" i="22" s="1"/>
  <c r="AC25" i="22" s="1"/>
  <c r="AC24" i="22" s="1"/>
  <c r="AC23" i="22" s="1"/>
  <c r="AC22" i="22" s="1"/>
  <c r="AC21" i="22" s="1"/>
  <c r="AC20" i="22" s="1"/>
  <c r="AC19" i="22" s="1"/>
  <c r="AC18" i="22" s="1"/>
  <c r="AC17" i="22" s="1"/>
  <c r="AS28" i="22"/>
  <c r="W28" i="22"/>
  <c r="AC28" i="11"/>
  <c r="AC27" i="11" s="1"/>
  <c r="AC26" i="11" s="1"/>
  <c r="AC25" i="11" s="1"/>
  <c r="AC24" i="11" s="1"/>
  <c r="AC23" i="11" s="1"/>
  <c r="AC22" i="11" s="1"/>
  <c r="AC21" i="11" s="1"/>
  <c r="AC20" i="11" s="1"/>
  <c r="AC19" i="11" s="1"/>
  <c r="AC18" i="11" s="1"/>
  <c r="AC17" i="11" s="1"/>
  <c r="AS28" i="11"/>
  <c r="W28" i="11"/>
  <c r="Z28" i="11"/>
  <c r="AC28" i="19"/>
  <c r="AC27" i="19" s="1"/>
  <c r="AC26" i="19" s="1"/>
  <c r="AC25" i="19" s="1"/>
  <c r="AC24" i="19" s="1"/>
  <c r="AC23" i="19" s="1"/>
  <c r="AC22" i="19" s="1"/>
  <c r="AC21" i="19" s="1"/>
  <c r="AC20" i="19" s="1"/>
  <c r="AC19" i="19" s="1"/>
  <c r="AC18" i="19" s="1"/>
  <c r="AC17" i="19" s="1"/>
  <c r="AS28" i="19"/>
  <c r="W28" i="19"/>
  <c r="Z28" i="19"/>
  <c r="E28" i="11"/>
  <c r="C28" i="11"/>
  <c r="E28" i="19"/>
  <c r="C28" i="19"/>
  <c r="AS28" i="13"/>
  <c r="W28" i="13"/>
  <c r="Z28" i="13"/>
  <c r="AC28" i="13"/>
  <c r="AC27" i="13" s="1"/>
  <c r="AC26" i="13" s="1"/>
  <c r="AC25" i="13" s="1"/>
  <c r="AC24" i="13" s="1"/>
  <c r="AC23" i="13" s="1"/>
  <c r="AC22" i="13" s="1"/>
  <c r="AC21" i="13" s="1"/>
  <c r="AC20" i="13" s="1"/>
  <c r="AC19" i="13" s="1"/>
  <c r="AC18" i="13" s="1"/>
  <c r="AC17" i="13" s="1"/>
  <c r="AS28" i="21"/>
  <c r="W28" i="21"/>
  <c r="Z28" i="21"/>
  <c r="AC28" i="21"/>
  <c r="AC27" i="21" s="1"/>
  <c r="AC26" i="21" s="1"/>
  <c r="AC25" i="21" s="1"/>
  <c r="AC24" i="21" s="1"/>
  <c r="AC23" i="21" s="1"/>
  <c r="AC22" i="21" s="1"/>
  <c r="AC21" i="21" s="1"/>
  <c r="AC20" i="21" s="1"/>
  <c r="AC19" i="21" s="1"/>
  <c r="AC18" i="21" s="1"/>
  <c r="AC17" i="21" s="1"/>
  <c r="FA114" i="61" l="1"/>
  <c r="Q33" i="68"/>
  <c r="Q48" i="68"/>
  <c r="Q52" i="68"/>
  <c r="Q39" i="68"/>
  <c r="Q46" i="68"/>
  <c r="Q36" i="68"/>
  <c r="Q44" i="68"/>
  <c r="Q50" i="68"/>
  <c r="Q40" i="68"/>
  <c r="Q41" i="68"/>
  <c r="Q32" i="68"/>
  <c r="Q34" i="68"/>
  <c r="Q53" i="68"/>
  <c r="Q38" i="68"/>
  <c r="Q37" i="68"/>
  <c r="Q30" i="68"/>
  <c r="Q49" i="68"/>
  <c r="Q51" i="68"/>
  <c r="Q54" i="68"/>
  <c r="Q31" i="68"/>
  <c r="Q42" i="68"/>
  <c r="Q47" i="68"/>
  <c r="Q45" i="68"/>
  <c r="Q43" i="68"/>
  <c r="Q35" i="68"/>
  <c r="CP125" i="61" a="1"/>
  <c r="DH98" i="61"/>
  <c r="EO97" i="61"/>
  <c r="EN97" i="61"/>
  <c r="EV97" i="61"/>
  <c r="DE104" i="61"/>
  <c r="FA105" i="61"/>
  <c r="ES97" i="61"/>
  <c r="FE97" i="61"/>
  <c r="FA104" i="61"/>
  <c r="FA118" i="61"/>
  <c r="EQ97" i="61"/>
  <c r="EZ97" i="61"/>
  <c r="DZ125" i="61"/>
  <c r="FA98" i="61"/>
  <c r="DV125" i="61"/>
  <c r="DX125" i="61"/>
  <c r="EE125" i="61"/>
  <c r="EY97" i="61"/>
  <c r="FA107" i="61"/>
  <c r="FA122" i="61"/>
  <c r="FA119" i="61"/>
  <c r="FA97" i="61"/>
  <c r="EB125" i="61"/>
  <c r="EA125" i="61"/>
  <c r="DT125" i="61"/>
  <c r="EU97" i="61"/>
  <c r="DW125" i="61"/>
  <c r="FA116" i="61"/>
  <c r="FA112" i="61"/>
  <c r="FV125" i="61"/>
  <c r="FE115" i="61"/>
  <c r="FE99" i="61"/>
  <c r="FE109" i="61"/>
  <c r="FE113" i="61"/>
  <c r="FE117" i="61"/>
  <c r="FE108" i="61"/>
  <c r="FE111" i="61"/>
  <c r="FE121" i="61"/>
  <c r="FE106" i="61"/>
  <c r="FE110" i="61"/>
  <c r="FE104" i="61"/>
  <c r="FE105" i="61"/>
  <c r="FE122" i="61"/>
  <c r="FE107" i="61"/>
  <c r="FE118" i="61"/>
  <c r="FE114" i="61"/>
  <c r="FE100" i="61"/>
  <c r="FE101" i="61"/>
  <c r="FE102" i="61"/>
  <c r="FE119" i="61"/>
  <c r="FE103" i="61"/>
  <c r="FE112" i="61"/>
  <c r="FE116" i="61"/>
  <c r="FE120" i="61"/>
  <c r="FE98" i="61"/>
  <c r="AB5" i="68"/>
  <c r="AB31" i="68"/>
  <c r="G11" i="68"/>
  <c r="G20" i="68"/>
  <c r="G13" i="68"/>
  <c r="G19" i="68"/>
  <c r="G8" i="68"/>
  <c r="G24" i="68"/>
  <c r="G21" i="68"/>
  <c r="G6" i="68"/>
  <c r="G22" i="68"/>
  <c r="G23" i="68"/>
  <c r="G12" i="68"/>
  <c r="G28" i="68"/>
  <c r="G17" i="68"/>
  <c r="G25" i="68"/>
  <c r="G10" i="68"/>
  <c r="G7" i="68"/>
  <c r="G16" i="68"/>
  <c r="G29" i="68"/>
  <c r="G9" i="68"/>
  <c r="G14" i="68"/>
  <c r="G30" i="68"/>
  <c r="G15" i="68"/>
  <c r="D6" i="68"/>
  <c r="G18" i="68"/>
  <c r="G27" i="68"/>
  <c r="G26" i="68"/>
  <c r="E29" i="68"/>
  <c r="E8" i="68"/>
  <c r="E30" i="68"/>
  <c r="E24" i="68"/>
  <c r="E28" i="68"/>
  <c r="E7" i="68"/>
  <c r="E22" i="68"/>
  <c r="E6" i="68"/>
  <c r="E18" i="68"/>
  <c r="E21" i="68"/>
  <c r="E9" i="68"/>
  <c r="E23" i="68"/>
  <c r="E12" i="68"/>
  <c r="E14" i="68"/>
  <c r="E20" i="68"/>
  <c r="E15" i="68"/>
  <c r="E26" i="68"/>
  <c r="E25" i="68"/>
  <c r="E11" i="68"/>
  <c r="E13" i="68"/>
  <c r="E27" i="68"/>
  <c r="E17" i="68"/>
  <c r="E16" i="68"/>
  <c r="E19" i="68"/>
  <c r="E10" i="68"/>
  <c r="FA110" i="61"/>
  <c r="AJ5" i="68"/>
  <c r="AJ31" i="68"/>
  <c r="AA5" i="68"/>
  <c r="AA31" i="68"/>
  <c r="W5" i="68"/>
  <c r="W31" i="68"/>
  <c r="AI5" i="68"/>
  <c r="AI31" i="68"/>
  <c r="FR125" i="61"/>
  <c r="FA113" i="61"/>
  <c r="FA111" i="61"/>
  <c r="FA101" i="61"/>
  <c r="FA103" i="61"/>
  <c r="FA108" i="61"/>
  <c r="FA109" i="61"/>
  <c r="AF5" i="68"/>
  <c r="AF31" i="68"/>
  <c r="AE5" i="68"/>
  <c r="AE31" i="68"/>
  <c r="EF125" i="61"/>
  <c r="DS125" i="61"/>
  <c r="ED125" i="61"/>
  <c r="FA120" i="61"/>
  <c r="FA117" i="61"/>
  <c r="FA99" i="61"/>
  <c r="FA102" i="61"/>
  <c r="FA121" i="61"/>
  <c r="FA106" i="61"/>
  <c r="AH31" i="68"/>
  <c r="AH5" i="68"/>
  <c r="Z31" i="68"/>
  <c r="Z5" i="68"/>
  <c r="AD31" i="68"/>
  <c r="AD5" i="68"/>
  <c r="AN5" i="68"/>
  <c r="AN31" i="68"/>
  <c r="X5" i="68"/>
  <c r="X31" i="68"/>
  <c r="DE114" i="61"/>
  <c r="DE110" i="61"/>
  <c r="Q26" i="68"/>
  <c r="Q22" i="68"/>
  <c r="Q18" i="68"/>
  <c r="Q14" i="68"/>
  <c r="Q10" i="68"/>
  <c r="Q6" i="68"/>
  <c r="I6" i="68"/>
  <c r="Q25" i="68"/>
  <c r="Q21" i="68"/>
  <c r="Q17" i="68"/>
  <c r="Q13" i="68"/>
  <c r="Q9" i="68"/>
  <c r="Q5" i="68"/>
  <c r="Q28" i="68"/>
  <c r="Q24" i="68"/>
  <c r="Q20" i="68"/>
  <c r="Q16" i="68"/>
  <c r="Q12" i="68"/>
  <c r="Q8" i="68"/>
  <c r="Q29" i="68"/>
  <c r="Q27" i="68"/>
  <c r="Q23" i="68"/>
  <c r="Q19" i="68"/>
  <c r="Q15" i="68"/>
  <c r="Q11" i="68"/>
  <c r="Q7" i="68"/>
  <c r="Q76" i="68"/>
  <c r="Q60" i="68"/>
  <c r="Q79" i="68"/>
  <c r="Q63" i="68"/>
  <c r="Q70" i="68"/>
  <c r="Q73" i="68"/>
  <c r="Q57" i="68"/>
  <c r="Q72" i="68"/>
  <c r="Q56" i="68"/>
  <c r="Q75" i="68"/>
  <c r="Q59" i="68"/>
  <c r="Q66" i="68"/>
  <c r="Q69" i="68"/>
  <c r="Q68" i="68"/>
  <c r="Q71" i="68"/>
  <c r="Q55" i="68"/>
  <c r="Q78" i="68"/>
  <c r="Q62" i="68"/>
  <c r="Q65" i="68"/>
  <c r="Q64" i="68"/>
  <c r="Q67" i="68"/>
  <c r="Q74" i="68"/>
  <c r="Q58" i="68"/>
  <c r="Q77" i="68"/>
  <c r="Q61" i="68"/>
  <c r="DR125" i="61"/>
  <c r="EM97" i="61"/>
  <c r="D2" i="66"/>
  <c r="A2" i="66" s="1"/>
  <c r="ES125" i="61"/>
  <c r="GE125" i="61"/>
  <c r="FB150" i="61"/>
  <c r="FB146" i="61"/>
  <c r="FB142" i="61"/>
  <c r="FB138" i="61"/>
  <c r="FB134" i="61"/>
  <c r="FB130" i="61"/>
  <c r="FB126" i="61"/>
  <c r="FB148" i="61"/>
  <c r="FB144" i="61"/>
  <c r="FB140" i="61"/>
  <c r="FB136" i="61"/>
  <c r="FB132" i="61"/>
  <c r="FB128" i="61"/>
  <c r="FB147" i="61"/>
  <c r="FB139" i="61"/>
  <c r="FB131" i="61"/>
  <c r="FB145" i="61"/>
  <c r="FB137" i="61"/>
  <c r="FB129" i="61"/>
  <c r="FB143" i="61"/>
  <c r="FB135" i="61"/>
  <c r="FB127" i="61"/>
  <c r="FB149" i="61"/>
  <c r="FB141" i="61"/>
  <c r="FB133" i="61"/>
  <c r="DP126" i="61"/>
  <c r="EH125" i="61"/>
  <c r="FC97" i="61"/>
  <c r="DP147" i="61"/>
  <c r="DP150" i="61"/>
  <c r="DP146" i="61"/>
  <c r="DP142" i="61"/>
  <c r="DP138" i="61"/>
  <c r="DP134" i="61"/>
  <c r="DP130" i="61"/>
  <c r="DP145" i="61"/>
  <c r="DP141" i="61"/>
  <c r="DP137" i="61"/>
  <c r="DP133" i="61"/>
  <c r="DP149" i="61"/>
  <c r="DP129" i="61"/>
  <c r="DP148" i="61"/>
  <c r="DP144" i="61"/>
  <c r="DP140" i="61"/>
  <c r="DP136" i="61"/>
  <c r="DP132" i="61"/>
  <c r="DP128" i="61"/>
  <c r="DP143" i="61"/>
  <c r="DP139" i="61"/>
  <c r="DP135" i="61"/>
  <c r="DP131" i="61"/>
  <c r="DP127" i="61"/>
  <c r="EI125" i="61"/>
  <c r="FD97" i="61"/>
  <c r="EL110" i="61"/>
  <c r="EM110" i="61" s="1"/>
  <c r="S29" i="7"/>
  <c r="BV88" i="61" s="1"/>
  <c r="S29" i="6"/>
  <c r="BW88" i="61" s="1"/>
  <c r="S12" i="2"/>
  <c r="CA71" i="61" s="1"/>
  <c r="S28" i="2"/>
  <c r="CA87" i="61" s="1"/>
  <c r="S11" i="2"/>
  <c r="CA70" i="61" s="1"/>
  <c r="S19" i="2"/>
  <c r="CA78" i="61" s="1"/>
  <c r="S17" i="2"/>
  <c r="CA76" i="61" s="1"/>
  <c r="S11" i="3"/>
  <c r="BZ70" i="61" s="1"/>
  <c r="B2" i="66"/>
  <c r="C619" i="66"/>
  <c r="C608" i="66"/>
  <c r="C585" i="66"/>
  <c r="C565" i="66"/>
  <c r="C523" i="66"/>
  <c r="C515" i="66"/>
  <c r="C504" i="66"/>
  <c r="C494" i="66"/>
  <c r="C482" i="66"/>
  <c r="C471" i="66"/>
  <c r="C462" i="66"/>
  <c r="C450" i="66"/>
  <c r="C439" i="66"/>
  <c r="C430" i="66"/>
  <c r="C418" i="66"/>
  <c r="C407" i="66"/>
  <c r="C398" i="66"/>
  <c r="C386" i="66"/>
  <c r="C375" i="66"/>
  <c r="C366" i="66"/>
  <c r="C351" i="66"/>
  <c r="C343" i="66"/>
  <c r="C334" i="66"/>
  <c r="C326" i="66"/>
  <c r="C303" i="66"/>
  <c r="C291" i="66"/>
  <c r="C281" i="66"/>
  <c r="C261" i="66"/>
  <c r="C248" i="66"/>
  <c r="C239" i="66"/>
  <c r="C625" i="66"/>
  <c r="C606" i="66"/>
  <c r="C592" i="66"/>
  <c r="C583" i="66"/>
  <c r="C573" i="66"/>
  <c r="C558" i="66"/>
  <c r="C544" i="66"/>
  <c r="C534" i="66"/>
  <c r="C526" i="66"/>
  <c r="C492" i="66"/>
  <c r="C460" i="66"/>
  <c r="C428" i="66"/>
  <c r="C396" i="66"/>
  <c r="C362" i="66"/>
  <c r="C319" i="66"/>
  <c r="C310" i="66"/>
  <c r="C294" i="66"/>
  <c r="C271" i="66"/>
  <c r="C262" i="66"/>
  <c r="C251" i="66"/>
  <c r="C621" i="66"/>
  <c r="C609" i="66"/>
  <c r="C593" i="66"/>
  <c r="C566" i="66"/>
  <c r="C548" i="66"/>
  <c r="C520" i="66"/>
  <c r="C511" i="66"/>
  <c r="C500" i="66"/>
  <c r="C488" i="66"/>
  <c r="C479" i="66"/>
  <c r="C467" i="66"/>
  <c r="C456" i="66"/>
  <c r="C447" i="66"/>
  <c r="C435" i="66"/>
  <c r="C424" i="66"/>
  <c r="C415" i="66"/>
  <c r="C403" i="66"/>
  <c r="C392" i="66"/>
  <c r="C383" i="66"/>
  <c r="C371" i="66"/>
  <c r="C363" i="66"/>
  <c r="C350" i="66"/>
  <c r="C342" i="66"/>
  <c r="C333" i="66"/>
  <c r="C325" i="66"/>
  <c r="C290" i="66"/>
  <c r="C275" i="66"/>
  <c r="C257" i="66"/>
  <c r="C245" i="66"/>
  <c r="C232" i="66"/>
  <c r="C222" i="66"/>
  <c r="C190" i="66"/>
  <c r="C182" i="66"/>
  <c r="C124" i="66"/>
  <c r="C612" i="66"/>
  <c r="C594" i="66"/>
  <c r="C584" i="66"/>
  <c r="C574" i="66"/>
  <c r="C559" i="66"/>
  <c r="C545" i="66"/>
  <c r="C536" i="66"/>
  <c r="C527" i="66"/>
  <c r="C498" i="66"/>
  <c r="C470" i="66"/>
  <c r="C438" i="66"/>
  <c r="C406" i="66"/>
  <c r="C374" i="66"/>
  <c r="C321" i="66"/>
  <c r="C314" i="66"/>
  <c r="C307" i="66"/>
  <c r="C297" i="66"/>
  <c r="C273" i="66"/>
  <c r="C263" i="66"/>
  <c r="C233" i="66"/>
  <c r="C218" i="66"/>
  <c r="C210" i="66"/>
  <c r="C201" i="66"/>
  <c r="C178" i="66"/>
  <c r="C167" i="66"/>
  <c r="C159" i="66"/>
  <c r="C148" i="66"/>
  <c r="C137" i="66"/>
  <c r="C129" i="66"/>
  <c r="C118" i="66"/>
  <c r="C110" i="66"/>
  <c r="C99" i="66"/>
  <c r="C88" i="66"/>
  <c r="C211" i="66"/>
  <c r="C175" i="66"/>
  <c r="C153" i="66"/>
  <c r="C136" i="66"/>
  <c r="C113" i="66"/>
  <c r="C81" i="66"/>
  <c r="C25" i="66"/>
  <c r="C224" i="66"/>
  <c r="C184" i="66"/>
  <c r="C115" i="66"/>
  <c r="C89" i="66"/>
  <c r="C209" i="66"/>
  <c r="C181" i="66"/>
  <c r="C164" i="66"/>
  <c r="C143" i="66"/>
  <c r="C122" i="66"/>
  <c r="C104" i="66"/>
  <c r="C82" i="66"/>
  <c r="C71" i="66"/>
  <c r="C63" i="66"/>
  <c r="C52" i="66"/>
  <c r="C41" i="66"/>
  <c r="C33" i="66"/>
  <c r="C22" i="66"/>
  <c r="C14" i="66"/>
  <c r="C3" i="66"/>
  <c r="C79" i="66"/>
  <c r="C51" i="66"/>
  <c r="C30" i="66"/>
  <c r="C59" i="66"/>
  <c r="C193" i="66"/>
  <c r="C139" i="66"/>
  <c r="C107" i="66"/>
  <c r="C75" i="66"/>
  <c r="C42" i="66"/>
  <c r="C77" i="66"/>
  <c r="C55" i="66"/>
  <c r="C32" i="66"/>
  <c r="C8" i="66"/>
  <c r="K12" i="66"/>
  <c r="K76" i="66"/>
  <c r="K2" i="66"/>
  <c r="K66" i="66"/>
  <c r="K143" i="66"/>
  <c r="K207" i="66"/>
  <c r="K271" i="66"/>
  <c r="K335" i="66"/>
  <c r="K399" i="66"/>
  <c r="K463" i="66"/>
  <c r="K527" i="66"/>
  <c r="K591" i="66"/>
  <c r="K115" i="66"/>
  <c r="K236" i="66"/>
  <c r="K300" i="66"/>
  <c r="K364" i="66"/>
  <c r="K428" i="66"/>
  <c r="K492" i="66"/>
  <c r="K556" i="66"/>
  <c r="K620" i="66"/>
  <c r="K184" i="66"/>
  <c r="K69" i="66"/>
  <c r="K133" i="66"/>
  <c r="K197" i="66"/>
  <c r="K273" i="66"/>
  <c r="K337" i="66"/>
  <c r="K401" i="66"/>
  <c r="K457" i="66"/>
  <c r="K513" i="66"/>
  <c r="K569" i="66"/>
  <c r="K75" i="66"/>
  <c r="K194" i="66"/>
  <c r="K266" i="66"/>
  <c r="K322" i="66"/>
  <c r="K386" i="66"/>
  <c r="K446" i="66"/>
  <c r="K506" i="66"/>
  <c r="K562" i="66"/>
  <c r="K626" i="66"/>
  <c r="K200" i="66"/>
  <c r="K64" i="66"/>
  <c r="K128" i="66"/>
  <c r="K54" i="66"/>
  <c r="K3" i="66"/>
  <c r="K179" i="66"/>
  <c r="K243" i="66"/>
  <c r="K307" i="66"/>
  <c r="K371" i="66"/>
  <c r="K435" i="66"/>
  <c r="K499" i="66"/>
  <c r="K563" i="66"/>
  <c r="K19" i="66"/>
  <c r="K190" i="66"/>
  <c r="K272" i="66"/>
  <c r="K336" i="66"/>
  <c r="K400" i="66"/>
  <c r="K464" i="66"/>
  <c r="K528" i="66"/>
  <c r="K592" i="66"/>
  <c r="K122" i="66"/>
  <c r="K25" i="66"/>
  <c r="K73" i="66"/>
  <c r="K137" i="66"/>
  <c r="K201" i="66"/>
  <c r="K261" i="66"/>
  <c r="K325" i="66"/>
  <c r="K389" i="66"/>
  <c r="K449" i="66"/>
  <c r="K517" i="66"/>
  <c r="K581" i="66"/>
  <c r="K91" i="66"/>
  <c r="K198" i="66"/>
  <c r="K270" i="66"/>
  <c r="K342" i="66"/>
  <c r="K406" i="66"/>
  <c r="K478" i="66"/>
  <c r="K538" i="66"/>
  <c r="K598" i="66"/>
  <c r="K140" i="66"/>
  <c r="K20" i="66"/>
  <c r="K84" i="66"/>
  <c r="K10" i="66"/>
  <c r="K74" i="66"/>
  <c r="K135" i="66"/>
  <c r="K199" i="66"/>
  <c r="K263" i="66"/>
  <c r="K327" i="66"/>
  <c r="K391" i="66"/>
  <c r="K455" i="66"/>
  <c r="K519" i="66"/>
  <c r="K583" i="66"/>
  <c r="K99" i="66"/>
  <c r="K228" i="66"/>
  <c r="K292" i="66"/>
  <c r="K356" i="66"/>
  <c r="K420" i="66"/>
  <c r="K484" i="66"/>
  <c r="K548" i="66"/>
  <c r="K612" i="66"/>
  <c r="K168" i="66"/>
  <c r="K41" i="66"/>
  <c r="K89" i="66"/>
  <c r="K157" i="66"/>
  <c r="K221" i="66"/>
  <c r="K281" i="66"/>
  <c r="K345" i="66"/>
  <c r="K409" i="66"/>
  <c r="K477" i="66"/>
  <c r="K553" i="66"/>
  <c r="K617" i="66"/>
  <c r="K170" i="66"/>
  <c r="K234" i="66"/>
  <c r="K294" i="66"/>
  <c r="K362" i="66"/>
  <c r="K422" i="66"/>
  <c r="K482" i="66"/>
  <c r="K554" i="66"/>
  <c r="K618" i="66"/>
  <c r="K180" i="66"/>
  <c r="K56" i="66"/>
  <c r="K120" i="66"/>
  <c r="K62" i="66"/>
  <c r="K139" i="66"/>
  <c r="K203" i="66"/>
  <c r="K267" i="66"/>
  <c r="K331" i="66"/>
  <c r="K395" i="66"/>
  <c r="K459" i="66"/>
  <c r="K523" i="66"/>
  <c r="K587" i="66"/>
  <c r="K110" i="66"/>
  <c r="K232" i="66"/>
  <c r="K296" i="66"/>
  <c r="K360" i="66"/>
  <c r="K424" i="66"/>
  <c r="K488" i="66"/>
  <c r="K552" i="66"/>
  <c r="K616" i="66"/>
  <c r="K176" i="66"/>
  <c r="K81" i="66"/>
  <c r="K145" i="66"/>
  <c r="K209" i="66"/>
  <c r="K269" i="66"/>
  <c r="K333" i="66"/>
  <c r="K397" i="66"/>
  <c r="K465" i="66"/>
  <c r="K533" i="66"/>
  <c r="K597" i="66"/>
  <c r="K146" i="66"/>
  <c r="K238" i="66"/>
  <c r="K286" i="66"/>
  <c r="K350" i="66"/>
  <c r="K414" i="66"/>
  <c r="K486" i="66"/>
  <c r="K558" i="66"/>
  <c r="K622" i="66"/>
  <c r="K188" i="66"/>
  <c r="C617" i="66"/>
  <c r="C605" i="66"/>
  <c r="C577" i="66"/>
  <c r="C555" i="66"/>
  <c r="C521" i="66"/>
  <c r="C512" i="66"/>
  <c r="C501" i="66"/>
  <c r="C489" i="66"/>
  <c r="C480" i="66"/>
  <c r="C468" i="66"/>
  <c r="C457" i="66"/>
  <c r="C448" i="66"/>
  <c r="C436" i="66"/>
  <c r="C425" i="66"/>
  <c r="C416" i="66"/>
  <c r="C404" i="66"/>
  <c r="C393" i="66"/>
  <c r="C384" i="66"/>
  <c r="C372" i="66"/>
  <c r="C364" i="66"/>
  <c r="C349" i="66"/>
  <c r="C340" i="66"/>
  <c r="C332" i="66"/>
  <c r="C324" i="66"/>
  <c r="C301" i="66"/>
  <c r="C289" i="66"/>
  <c r="C279" i="66"/>
  <c r="C258" i="66"/>
  <c r="C246" i="66"/>
  <c r="C236" i="66"/>
  <c r="C623" i="66"/>
  <c r="C599" i="66"/>
  <c r="C590" i="66"/>
  <c r="C581" i="66"/>
  <c r="C570" i="66"/>
  <c r="C556" i="66"/>
  <c r="C542" i="66"/>
  <c r="C532" i="66"/>
  <c r="C524" i="66"/>
  <c r="C490" i="66"/>
  <c r="C458" i="66"/>
  <c r="C426" i="66"/>
  <c r="C394" i="66"/>
  <c r="C360" i="66"/>
  <c r="C317" i="66"/>
  <c r="C306" i="66"/>
  <c r="C287" i="66"/>
  <c r="C269" i="66"/>
  <c r="C256" i="66"/>
  <c r="C237" i="66"/>
  <c r="C618" i="66"/>
  <c r="C607" i="66"/>
  <c r="C579" i="66"/>
  <c r="C563" i="66"/>
  <c r="C540" i="66"/>
  <c r="C518" i="66"/>
  <c r="C508" i="66"/>
  <c r="C497" i="66"/>
  <c r="C485" i="66"/>
  <c r="C477" i="66"/>
  <c r="C465" i="66"/>
  <c r="C453" i="66"/>
  <c r="C445" i="66"/>
  <c r="C433" i="66"/>
  <c r="C421" i="66"/>
  <c r="C413" i="66"/>
  <c r="C401" i="66"/>
  <c r="C389" i="66"/>
  <c r="C381" i="66"/>
  <c r="C369" i="66"/>
  <c r="C356" i="66"/>
  <c r="C348" i="66"/>
  <c r="C339" i="66"/>
  <c r="C331" i="66"/>
  <c r="C323" i="66"/>
  <c r="C282" i="66"/>
  <c r="C272" i="66"/>
  <c r="C254" i="66"/>
  <c r="C242" i="66"/>
  <c r="C229" i="66"/>
  <c r="C196" i="66"/>
  <c r="C188" i="66"/>
  <c r="C156" i="66"/>
  <c r="C626" i="66"/>
  <c r="C600" i="66"/>
  <c r="C591" i="66"/>
  <c r="C582" i="66"/>
  <c r="C572" i="66"/>
  <c r="C557" i="66"/>
  <c r="C543" i="66"/>
  <c r="C533" i="66"/>
  <c r="C525" i="66"/>
  <c r="C491" i="66"/>
  <c r="C459" i="66"/>
  <c r="C427" i="66"/>
  <c r="C395" i="66"/>
  <c r="C361" i="66"/>
  <c r="C320" i="66"/>
  <c r="C311" i="66"/>
  <c r="C305" i="66"/>
  <c r="C295" i="66"/>
  <c r="C270" i="66"/>
  <c r="C260" i="66"/>
  <c r="C230" i="66"/>
  <c r="C216" i="66"/>
  <c r="C207" i="66"/>
  <c r="C199" i="66"/>
  <c r="C176" i="66"/>
  <c r="C165" i="66"/>
  <c r="C157" i="66"/>
  <c r="C146" i="66"/>
  <c r="C135" i="66"/>
  <c r="C127" i="66"/>
  <c r="C116" i="66"/>
  <c r="C105" i="66"/>
  <c r="C97" i="66"/>
  <c r="C226" i="66"/>
  <c r="C204" i="66"/>
  <c r="C166" i="66"/>
  <c r="C149" i="66"/>
  <c r="C132" i="66"/>
  <c r="C108" i="66"/>
  <c r="C64" i="66"/>
  <c r="C15" i="66"/>
  <c r="C195" i="66"/>
  <c r="C171" i="66"/>
  <c r="C102" i="66"/>
  <c r="C60" i="66"/>
  <c r="C206" i="66"/>
  <c r="C177" i="66"/>
  <c r="C160" i="66"/>
  <c r="C134" i="66"/>
  <c r="C117" i="66"/>
  <c r="C96" i="66"/>
  <c r="C80" i="66"/>
  <c r="C69" i="66"/>
  <c r="C61" i="66"/>
  <c r="C50" i="66"/>
  <c r="C39" i="66"/>
  <c r="C31" i="66"/>
  <c r="C20" i="66"/>
  <c r="C9" i="66"/>
  <c r="C12" i="66"/>
  <c r="C70" i="66"/>
  <c r="C47" i="66"/>
  <c r="C23" i="66"/>
  <c r="C26" i="66"/>
  <c r="C189" i="66"/>
  <c r="C123" i="66"/>
  <c r="C98" i="66"/>
  <c r="C74" i="66"/>
  <c r="C11" i="66"/>
  <c r="C72" i="66"/>
  <c r="C53" i="66"/>
  <c r="C21" i="66"/>
  <c r="C2" i="66"/>
  <c r="K28" i="66"/>
  <c r="K92" i="66"/>
  <c r="K18" i="66"/>
  <c r="K82" i="66"/>
  <c r="K159" i="66"/>
  <c r="K223" i="66"/>
  <c r="K287" i="66"/>
  <c r="K351" i="66"/>
  <c r="K415" i="66"/>
  <c r="K479" i="66"/>
  <c r="K543" i="66"/>
  <c r="K607" i="66"/>
  <c r="K150" i="66"/>
  <c r="K252" i="66"/>
  <c r="K316" i="66"/>
  <c r="K380" i="66"/>
  <c r="K444" i="66"/>
  <c r="K508" i="66"/>
  <c r="K572" i="66"/>
  <c r="K47" i="66"/>
  <c r="K5" i="66"/>
  <c r="K93" i="66"/>
  <c r="K149" i="66"/>
  <c r="K213" i="66"/>
  <c r="K289" i="66"/>
  <c r="K353" i="66"/>
  <c r="K413" i="66"/>
  <c r="K469" i="66"/>
  <c r="K525" i="66"/>
  <c r="K589" i="66"/>
  <c r="K123" i="66"/>
  <c r="K218" i="66"/>
  <c r="K278" i="66"/>
  <c r="K338" i="66"/>
  <c r="K402" i="66"/>
  <c r="K458" i="66"/>
  <c r="K518" i="66"/>
  <c r="K578" i="66"/>
  <c r="K71" i="66"/>
  <c r="K16" i="66"/>
  <c r="K80" i="66"/>
  <c r="K6" i="66"/>
  <c r="K70" i="66"/>
  <c r="K131" i="66"/>
  <c r="K195" i="66"/>
  <c r="K259" i="66"/>
  <c r="K323" i="66"/>
  <c r="K387" i="66"/>
  <c r="K451" i="66"/>
  <c r="K515" i="66"/>
  <c r="K579" i="66"/>
  <c r="K83" i="66"/>
  <c r="K224" i="66"/>
  <c r="K288" i="66"/>
  <c r="K352" i="66"/>
  <c r="K416" i="66"/>
  <c r="K480" i="66"/>
  <c r="K544" i="66"/>
  <c r="K608" i="66"/>
  <c r="K160" i="66"/>
  <c r="K37" i="66"/>
  <c r="K85" i="66"/>
  <c r="K153" i="66"/>
  <c r="K217" i="66"/>
  <c r="K277" i="66"/>
  <c r="K341" i="66"/>
  <c r="K405" i="66"/>
  <c r="K473" i="66"/>
  <c r="K529" i="66"/>
  <c r="K593" i="66"/>
  <c r="K130" i="66"/>
  <c r="K210" i="66"/>
  <c r="K290" i="66"/>
  <c r="K358" i="66"/>
  <c r="K438" i="66"/>
  <c r="K494" i="66"/>
  <c r="K550" i="66"/>
  <c r="K614" i="66"/>
  <c r="K172" i="66"/>
  <c r="K36" i="66"/>
  <c r="K100" i="66"/>
  <c r="K26" i="66"/>
  <c r="K90" i="66"/>
  <c r="K151" i="66"/>
  <c r="K215" i="66"/>
  <c r="K279" i="66"/>
  <c r="K343" i="66"/>
  <c r="K407" i="66"/>
  <c r="K471" i="66"/>
  <c r="K535" i="66"/>
  <c r="K599" i="66"/>
  <c r="K134" i="66"/>
  <c r="K244" i="66"/>
  <c r="K308" i="66"/>
  <c r="K372" i="66"/>
  <c r="K436" i="66"/>
  <c r="K500" i="66"/>
  <c r="K564" i="66"/>
  <c r="K15" i="66"/>
  <c r="K208" i="66"/>
  <c r="K53" i="66"/>
  <c r="K109" i="66"/>
  <c r="K173" i="66"/>
  <c r="K237" i="66"/>
  <c r="K297" i="66"/>
  <c r="K361" i="66"/>
  <c r="K429" i="66"/>
  <c r="K493" i="66"/>
  <c r="K573" i="66"/>
  <c r="K43" i="66"/>
  <c r="K212" i="66"/>
  <c r="K246" i="66"/>
  <c r="K314" i="66"/>
  <c r="K378" i="66"/>
  <c r="K430" i="66"/>
  <c r="K498" i="66"/>
  <c r="K570" i="66"/>
  <c r="K39" i="66"/>
  <c r="K8" i="66"/>
  <c r="K72" i="66"/>
  <c r="K14" i="66"/>
  <c r="K78" i="66"/>
  <c r="K155" i="66"/>
  <c r="K219" i="66"/>
  <c r="K283" i="66"/>
  <c r="K347" i="66"/>
  <c r="K411" i="66"/>
  <c r="K475" i="66"/>
  <c r="K539" i="66"/>
  <c r="K603" i="66"/>
  <c r="K142" i="66"/>
  <c r="K248" i="66"/>
  <c r="K312" i="66"/>
  <c r="K376" i="66"/>
  <c r="K440" i="66"/>
  <c r="K504" i="66"/>
  <c r="K568" i="66"/>
  <c r="K31" i="66"/>
  <c r="K17" i="66"/>
  <c r="K101" i="66"/>
  <c r="K161" i="66"/>
  <c r="K225" i="66"/>
  <c r="K285" i="66"/>
  <c r="K349" i="66"/>
  <c r="K421" i="66"/>
  <c r="K481" i="66"/>
  <c r="K545" i="66"/>
  <c r="K609" i="66"/>
  <c r="K178" i="66"/>
  <c r="K250" i="66"/>
  <c r="K306" i="66"/>
  <c r="K366" i="66"/>
  <c r="K434" i="66"/>
  <c r="K502" i="66"/>
  <c r="K574" i="66"/>
  <c r="K55" i="66"/>
  <c r="C615" i="66"/>
  <c r="C603" i="66"/>
  <c r="C569" i="66"/>
  <c r="C549" i="66"/>
  <c r="C519" i="66"/>
  <c r="C509" i="66"/>
  <c r="C499" i="66"/>
  <c r="C487" i="66"/>
  <c r="C478" i="66"/>
  <c r="C466" i="66"/>
  <c r="C455" i="66"/>
  <c r="C446" i="66"/>
  <c r="C434" i="66"/>
  <c r="C423" i="66"/>
  <c r="C414" i="66"/>
  <c r="C402" i="66"/>
  <c r="C391" i="66"/>
  <c r="C382" i="66"/>
  <c r="C370" i="66"/>
  <c r="C355" i="66"/>
  <c r="C347" i="66"/>
  <c r="C338" i="66"/>
  <c r="C330" i="66"/>
  <c r="C322" i="66"/>
  <c r="C293" i="66"/>
  <c r="C284" i="66"/>
  <c r="C276" i="66"/>
  <c r="C255" i="66"/>
  <c r="C244" i="66"/>
  <c r="C223" i="66"/>
  <c r="C620" i="66"/>
  <c r="C597" i="66"/>
  <c r="C588" i="66"/>
  <c r="C578" i="66"/>
  <c r="C562" i="66"/>
  <c r="C552" i="66"/>
  <c r="C539" i="66"/>
  <c r="C530" i="66"/>
  <c r="C510" i="66"/>
  <c r="C476" i="66"/>
  <c r="C444" i="66"/>
  <c r="C412" i="66"/>
  <c r="C380" i="66"/>
  <c r="C358" i="66"/>
  <c r="C315" i="66"/>
  <c r="C298" i="66"/>
  <c r="C285" i="66"/>
  <c r="C267" i="66"/>
  <c r="C253" i="66"/>
  <c r="C234" i="66"/>
  <c r="C616" i="66"/>
  <c r="C604" i="66"/>
  <c r="C571" i="66"/>
  <c r="C553" i="66"/>
  <c r="C535" i="66"/>
  <c r="C516" i="66"/>
  <c r="C505" i="66"/>
  <c r="C495" i="66"/>
  <c r="C483" i="66"/>
  <c r="C472" i="66"/>
  <c r="C463" i="66"/>
  <c r="C451" i="66"/>
  <c r="C440" i="66"/>
  <c r="C431" i="66"/>
  <c r="C419" i="66"/>
  <c r="C408" i="66"/>
  <c r="C399" i="66"/>
  <c r="C387" i="66"/>
  <c r="C376" i="66"/>
  <c r="C367" i="66"/>
  <c r="C354" i="66"/>
  <c r="C346" i="66"/>
  <c r="C337" i="66"/>
  <c r="C329" i="66"/>
  <c r="C304" i="66"/>
  <c r="C280" i="66"/>
  <c r="C265" i="66"/>
  <c r="C249" i="66"/>
  <c r="C240" i="66"/>
  <c r="C228" i="66"/>
  <c r="C194" i="66"/>
  <c r="C185" i="66"/>
  <c r="C155" i="66"/>
  <c r="C624" i="66"/>
  <c r="C598" i="66"/>
  <c r="C589" i="66"/>
  <c r="C580" i="66"/>
  <c r="C564" i="66"/>
  <c r="C554" i="66"/>
  <c r="C541" i="66"/>
  <c r="C531" i="66"/>
  <c r="C514" i="66"/>
  <c r="C486" i="66"/>
  <c r="C454" i="66"/>
  <c r="C422" i="66"/>
  <c r="C390" i="66"/>
  <c r="C359" i="66"/>
  <c r="C318" i="66"/>
  <c r="C309" i="66"/>
  <c r="C300" i="66"/>
  <c r="C288" i="66"/>
  <c r="C268" i="66"/>
  <c r="C243" i="66"/>
  <c r="C225" i="66"/>
  <c r="C214" i="66"/>
  <c r="C205" i="66"/>
  <c r="C186" i="66"/>
  <c r="C174" i="66"/>
  <c r="C163" i="66"/>
  <c r="C152" i="66"/>
  <c r="C144" i="66"/>
  <c r="C133" i="66"/>
  <c r="C125" i="66"/>
  <c r="C114" i="66"/>
  <c r="C103" i="66"/>
  <c r="C95" i="66"/>
  <c r="C219" i="66"/>
  <c r="C200" i="66"/>
  <c r="C162" i="66"/>
  <c r="C145" i="66"/>
  <c r="C128" i="66"/>
  <c r="C100" i="66"/>
  <c r="C45" i="66"/>
  <c r="C6" i="66"/>
  <c r="C191" i="66"/>
  <c r="C140" i="66"/>
  <c r="C94" i="66"/>
  <c r="C217" i="66"/>
  <c r="C202" i="66"/>
  <c r="C173" i="66"/>
  <c r="C151" i="66"/>
  <c r="C130" i="66"/>
  <c r="C109" i="66"/>
  <c r="C86" i="66"/>
  <c r="C78" i="66"/>
  <c r="C67" i="66"/>
  <c r="C56" i="66"/>
  <c r="C48" i="66"/>
  <c r="C37" i="66"/>
  <c r="C29" i="66"/>
  <c r="C18" i="66"/>
  <c r="C7" i="66"/>
  <c r="C91" i="66"/>
  <c r="C66" i="66"/>
  <c r="C40" i="66"/>
  <c r="C19" i="66"/>
  <c r="C208" i="66"/>
  <c r="C172" i="66"/>
  <c r="C119" i="66"/>
  <c r="C90" i="66"/>
  <c r="C44" i="66"/>
  <c r="C10" i="66"/>
  <c r="C68" i="66"/>
  <c r="C49" i="66"/>
  <c r="C17" i="66"/>
  <c r="C58" i="66"/>
  <c r="K44" i="66"/>
  <c r="K108" i="66"/>
  <c r="K34" i="66"/>
  <c r="K98" i="66"/>
  <c r="K175" i="66"/>
  <c r="K239" i="66"/>
  <c r="K303" i="66"/>
  <c r="K367" i="66"/>
  <c r="K431" i="66"/>
  <c r="K495" i="66"/>
  <c r="K559" i="66"/>
  <c r="K623" i="66"/>
  <c r="K182" i="66"/>
  <c r="K268" i="66"/>
  <c r="K332" i="66"/>
  <c r="K396" i="66"/>
  <c r="K460" i="66"/>
  <c r="K524" i="66"/>
  <c r="K588" i="66"/>
  <c r="K111" i="66"/>
  <c r="K21" i="66"/>
  <c r="K105" i="66"/>
  <c r="K165" i="66"/>
  <c r="K229" i="66"/>
  <c r="K305" i="66"/>
  <c r="K369" i="66"/>
  <c r="K425" i="66"/>
  <c r="K485" i="66"/>
  <c r="K537" i="66"/>
  <c r="K601" i="66"/>
  <c r="K154" i="66"/>
  <c r="K230" i="66"/>
  <c r="K298" i="66"/>
  <c r="K354" i="66"/>
  <c r="K418" i="66"/>
  <c r="K474" i="66"/>
  <c r="K534" i="66"/>
  <c r="K594" i="66"/>
  <c r="K119" i="66"/>
  <c r="K32" i="66"/>
  <c r="K96" i="66"/>
  <c r="K22" i="66"/>
  <c r="K86" i="66"/>
  <c r="K147" i="66"/>
  <c r="K211" i="66"/>
  <c r="K275" i="66"/>
  <c r="K339" i="66"/>
  <c r="K403" i="66"/>
  <c r="K467" i="66"/>
  <c r="K531" i="66"/>
  <c r="K595" i="66"/>
  <c r="K126" i="66"/>
  <c r="K240" i="66"/>
  <c r="K304" i="66"/>
  <c r="K368" i="66"/>
  <c r="K432" i="66"/>
  <c r="K496" i="66"/>
  <c r="K560" i="66"/>
  <c r="K624" i="66"/>
  <c r="K192" i="66"/>
  <c r="K49" i="66"/>
  <c r="K97" i="66"/>
  <c r="K169" i="66"/>
  <c r="K233" i="66"/>
  <c r="K293" i="66"/>
  <c r="K357" i="66"/>
  <c r="K417" i="66"/>
  <c r="K489" i="66"/>
  <c r="K549" i="66"/>
  <c r="K613" i="66"/>
  <c r="K162" i="66"/>
  <c r="K222" i="66"/>
  <c r="K302" i="66"/>
  <c r="K374" i="66"/>
  <c r="K450" i="66"/>
  <c r="K510" i="66"/>
  <c r="K566" i="66"/>
  <c r="K23" i="66"/>
  <c r="K625" i="66"/>
  <c r="K52" i="66"/>
  <c r="K116" i="66"/>
  <c r="K42" i="66"/>
  <c r="K106" i="66"/>
  <c r="K167" i="66"/>
  <c r="K231" i="66"/>
  <c r="K295" i="66"/>
  <c r="K359" i="66"/>
  <c r="K423" i="66"/>
  <c r="K487" i="66"/>
  <c r="K551" i="66"/>
  <c r="K615" i="66"/>
  <c r="K166" i="66"/>
  <c r="K260" i="66"/>
  <c r="K324" i="66"/>
  <c r="K388" i="66"/>
  <c r="K452" i="66"/>
  <c r="K516" i="66"/>
  <c r="K580" i="66"/>
  <c r="K79" i="66"/>
  <c r="K13" i="66"/>
  <c r="K65" i="66"/>
  <c r="K125" i="66"/>
  <c r="K189" i="66"/>
  <c r="K249" i="66"/>
  <c r="K313" i="66"/>
  <c r="K377" i="66"/>
  <c r="K441" i="66"/>
  <c r="K521" i="66"/>
  <c r="K585" i="66"/>
  <c r="K107" i="66"/>
  <c r="K202" i="66"/>
  <c r="K258" i="66"/>
  <c r="K330" i="66"/>
  <c r="K394" i="66"/>
  <c r="K442" i="66"/>
  <c r="K526" i="66"/>
  <c r="K586" i="66"/>
  <c r="K103" i="66"/>
  <c r="K24" i="66"/>
  <c r="K88" i="66"/>
  <c r="K30" i="66"/>
  <c r="K94" i="66"/>
  <c r="K171" i="66"/>
  <c r="K235" i="66"/>
  <c r="K299" i="66"/>
  <c r="K363" i="66"/>
  <c r="K427" i="66"/>
  <c r="K491" i="66"/>
  <c r="K555" i="66"/>
  <c r="K619" i="66"/>
  <c r="K174" i="66"/>
  <c r="K264" i="66"/>
  <c r="K328" i="66"/>
  <c r="K392" i="66"/>
  <c r="K456" i="66"/>
  <c r="K520" i="66"/>
  <c r="K584" i="66"/>
  <c r="K95" i="66"/>
  <c r="K33" i="66"/>
  <c r="K113" i="66"/>
  <c r="K177" i="66"/>
  <c r="K241" i="66"/>
  <c r="K301" i="66"/>
  <c r="K365" i="66"/>
  <c r="K433" i="66"/>
  <c r="K497" i="66"/>
  <c r="K565" i="66"/>
  <c r="K59" i="66"/>
  <c r="K206" i="66"/>
  <c r="K262" i="66"/>
  <c r="K318" i="66"/>
  <c r="K382" i="66"/>
  <c r="K454" i="66"/>
  <c r="K514" i="66"/>
  <c r="K590" i="66"/>
  <c r="K114" i="66"/>
  <c r="C622" i="66"/>
  <c r="C610" i="66"/>
  <c r="C601" i="66"/>
  <c r="C567" i="66"/>
  <c r="C546" i="66"/>
  <c r="C517" i="66"/>
  <c r="C507" i="66"/>
  <c r="C496" i="66"/>
  <c r="C484" i="66"/>
  <c r="C473" i="66"/>
  <c r="C464" i="66"/>
  <c r="C452" i="66"/>
  <c r="C441" i="66"/>
  <c r="C432" i="66"/>
  <c r="C420" i="66"/>
  <c r="C409" i="66"/>
  <c r="C400" i="66"/>
  <c r="C388" i="66"/>
  <c r="C377" i="66"/>
  <c r="C368" i="66"/>
  <c r="C353" i="66"/>
  <c r="C345" i="66"/>
  <c r="C336" i="66"/>
  <c r="C328" i="66"/>
  <c r="C312" i="66"/>
  <c r="C292" i="66"/>
  <c r="C283" i="66"/>
  <c r="C274" i="66"/>
  <c r="C250" i="66"/>
  <c r="C241" i="66"/>
  <c r="C221" i="66"/>
  <c r="C613" i="66"/>
  <c r="C595" i="66"/>
  <c r="C586" i="66"/>
  <c r="C575" i="66"/>
  <c r="C560" i="66"/>
  <c r="C547" i="66"/>
  <c r="C537" i="66"/>
  <c r="C528" i="66"/>
  <c r="C502" i="66"/>
  <c r="C474" i="66"/>
  <c r="C442" i="66"/>
  <c r="C410" i="66"/>
  <c r="C378" i="66"/>
  <c r="C341" i="66"/>
  <c r="C313" i="66"/>
  <c r="C296" i="66"/>
  <c r="C277" i="66"/>
  <c r="C264" i="66"/>
  <c r="C252" i="66"/>
  <c r="C231" i="66"/>
  <c r="C611" i="66"/>
  <c r="C602" i="66"/>
  <c r="C568" i="66"/>
  <c r="C550" i="66"/>
  <c r="C522" i="66"/>
  <c r="C513" i="66"/>
  <c r="C503" i="66"/>
  <c r="C493" i="66"/>
  <c r="C481" i="66"/>
  <c r="C469" i="66"/>
  <c r="C461" i="66"/>
  <c r="C449" i="66"/>
  <c r="C437" i="66"/>
  <c r="C429" i="66"/>
  <c r="C417" i="66"/>
  <c r="C405" i="66"/>
  <c r="C397" i="66"/>
  <c r="C385" i="66"/>
  <c r="C373" i="66"/>
  <c r="C365" i="66"/>
  <c r="C352" i="66"/>
  <c r="C344" i="66"/>
  <c r="C335" i="66"/>
  <c r="C327" i="66"/>
  <c r="C302" i="66"/>
  <c r="C278" i="66"/>
  <c r="C259" i="66"/>
  <c r="C247" i="66"/>
  <c r="C238" i="66"/>
  <c r="C227" i="66"/>
  <c r="C192" i="66"/>
  <c r="C183" i="66"/>
  <c r="C154" i="66"/>
  <c r="C614" i="66"/>
  <c r="C596" i="66"/>
  <c r="C587" i="66"/>
  <c r="C576" i="66"/>
  <c r="C561" i="66"/>
  <c r="C551" i="66"/>
  <c r="C538" i="66"/>
  <c r="C529" i="66"/>
  <c r="C506" i="66"/>
  <c r="C475" i="66"/>
  <c r="C443" i="66"/>
  <c r="C411" i="66"/>
  <c r="C379" i="66"/>
  <c r="C357" i="66"/>
  <c r="C316" i="66"/>
  <c r="C308" i="66"/>
  <c r="C299" i="66"/>
  <c r="C286" i="66"/>
  <c r="C266" i="66"/>
  <c r="C235" i="66"/>
  <c r="C220" i="66"/>
  <c r="C212" i="66"/>
  <c r="C203" i="66"/>
  <c r="C180" i="66"/>
  <c r="C169" i="66"/>
  <c r="C161" i="66"/>
  <c r="C150" i="66"/>
  <c r="C142" i="66"/>
  <c r="C131" i="66"/>
  <c r="C120" i="66"/>
  <c r="C112" i="66"/>
  <c r="C101" i="66"/>
  <c r="C93" i="66"/>
  <c r="C215" i="66"/>
  <c r="C179" i="66"/>
  <c r="C158" i="66"/>
  <c r="C141" i="66"/>
  <c r="C121" i="66"/>
  <c r="C87" i="66"/>
  <c r="C34" i="66"/>
  <c r="C28" i="66"/>
  <c r="C187" i="66"/>
  <c r="C138" i="66"/>
  <c r="C92" i="66"/>
  <c r="C213" i="66"/>
  <c r="C198" i="66"/>
  <c r="C168" i="66"/>
  <c r="C147" i="66"/>
  <c r="C126" i="66"/>
  <c r="C106" i="66"/>
  <c r="C84" i="66"/>
  <c r="C73" i="66"/>
  <c r="C65" i="66"/>
  <c r="C54" i="66"/>
  <c r="C46" i="66"/>
  <c r="C35" i="66"/>
  <c r="C24" i="66"/>
  <c r="C16" i="66"/>
  <c r="C5" i="66"/>
  <c r="C85" i="66"/>
  <c r="C57" i="66"/>
  <c r="C36" i="66"/>
  <c r="C4" i="66"/>
  <c r="C197" i="66"/>
  <c r="C170" i="66"/>
  <c r="C111" i="66"/>
  <c r="C76" i="66"/>
  <c r="C43" i="66"/>
  <c r="C83" i="66"/>
  <c r="C62" i="66"/>
  <c r="C38" i="66"/>
  <c r="C13" i="66"/>
  <c r="C27" i="66"/>
  <c r="K60" i="66"/>
  <c r="K124" i="66"/>
  <c r="K50" i="66"/>
  <c r="K127" i="66"/>
  <c r="K191" i="66"/>
  <c r="K255" i="66"/>
  <c r="K319" i="66"/>
  <c r="K383" i="66"/>
  <c r="K447" i="66"/>
  <c r="K511" i="66"/>
  <c r="K575" i="66"/>
  <c r="K67" i="66"/>
  <c r="K220" i="66"/>
  <c r="K284" i="66"/>
  <c r="K348" i="66"/>
  <c r="K412" i="66"/>
  <c r="K476" i="66"/>
  <c r="K540" i="66"/>
  <c r="K604" i="66"/>
  <c r="K152" i="66"/>
  <c r="K45" i="66"/>
  <c r="K117" i="66"/>
  <c r="K181" i="66"/>
  <c r="K257" i="66"/>
  <c r="K321" i="66"/>
  <c r="K385" i="66"/>
  <c r="K445" i="66"/>
  <c r="K501" i="66"/>
  <c r="K557" i="66"/>
  <c r="K621" i="66"/>
  <c r="K186" i="66"/>
  <c r="K254" i="66"/>
  <c r="K310" i="66"/>
  <c r="K370" i="66"/>
  <c r="K426" i="66"/>
  <c r="K490" i="66"/>
  <c r="K546" i="66"/>
  <c r="K610" i="66"/>
  <c r="K164" i="66"/>
  <c r="K48" i="66"/>
  <c r="K112" i="66"/>
  <c r="K38" i="66"/>
  <c r="K102" i="66"/>
  <c r="K163" i="66"/>
  <c r="K227" i="66"/>
  <c r="K291" i="66"/>
  <c r="K355" i="66"/>
  <c r="K419" i="66"/>
  <c r="K483" i="66"/>
  <c r="K547" i="66"/>
  <c r="K611" i="66"/>
  <c r="K158" i="66"/>
  <c r="K256" i="66"/>
  <c r="K320" i="66"/>
  <c r="K384" i="66"/>
  <c r="K448" i="66"/>
  <c r="K512" i="66"/>
  <c r="K576" i="66"/>
  <c r="K63" i="66"/>
  <c r="K9" i="66"/>
  <c r="K61" i="66"/>
  <c r="K121" i="66"/>
  <c r="K185" i="66"/>
  <c r="K245" i="66"/>
  <c r="K309" i="66"/>
  <c r="K373" i="66"/>
  <c r="K437" i="66"/>
  <c r="K505" i="66"/>
  <c r="K561" i="66"/>
  <c r="K27" i="66"/>
  <c r="K196" i="66"/>
  <c r="K242" i="66"/>
  <c r="K326" i="66"/>
  <c r="K390" i="66"/>
  <c r="K462" i="66"/>
  <c r="K522" i="66"/>
  <c r="K582" i="66"/>
  <c r="K87" i="66"/>
  <c r="K4" i="66"/>
  <c r="K68" i="66"/>
  <c r="K132" i="66"/>
  <c r="K58" i="66"/>
  <c r="K7" i="66"/>
  <c r="K183" i="66"/>
  <c r="K247" i="66"/>
  <c r="K311" i="66"/>
  <c r="K375" i="66"/>
  <c r="K439" i="66"/>
  <c r="K503" i="66"/>
  <c r="K567" i="66"/>
  <c r="K35" i="66"/>
  <c r="K204" i="66"/>
  <c r="K276" i="66"/>
  <c r="K340" i="66"/>
  <c r="K404" i="66"/>
  <c r="K468" i="66"/>
  <c r="K532" i="66"/>
  <c r="K596" i="66"/>
  <c r="K136" i="66"/>
  <c r="K29" i="66"/>
  <c r="K77" i="66"/>
  <c r="K141" i="66"/>
  <c r="K205" i="66"/>
  <c r="K265" i="66"/>
  <c r="K329" i="66"/>
  <c r="K393" i="66"/>
  <c r="K461" i="66"/>
  <c r="K541" i="66"/>
  <c r="K605" i="66"/>
  <c r="K138" i="66"/>
  <c r="K214" i="66"/>
  <c r="K282" i="66"/>
  <c r="K346" i="66"/>
  <c r="K410" i="66"/>
  <c r="K466" i="66"/>
  <c r="K542" i="66"/>
  <c r="K602" i="66"/>
  <c r="K148" i="66"/>
  <c r="K40" i="66"/>
  <c r="K104" i="66"/>
  <c r="K46" i="66"/>
  <c r="K11" i="66"/>
  <c r="K187" i="66"/>
  <c r="K251" i="66"/>
  <c r="K315" i="66"/>
  <c r="K379" i="66"/>
  <c r="K443" i="66"/>
  <c r="K507" i="66"/>
  <c r="K571" i="66"/>
  <c r="K51" i="66"/>
  <c r="K216" i="66"/>
  <c r="K280" i="66"/>
  <c r="K344" i="66"/>
  <c r="K408" i="66"/>
  <c r="K472" i="66"/>
  <c r="K536" i="66"/>
  <c r="K600" i="66"/>
  <c r="K144" i="66"/>
  <c r="K57" i="66"/>
  <c r="K129" i="66"/>
  <c r="K193" i="66"/>
  <c r="K253" i="66"/>
  <c r="K317" i="66"/>
  <c r="K381" i="66"/>
  <c r="K453" i="66"/>
  <c r="K509" i="66"/>
  <c r="K577" i="66"/>
  <c r="K118" i="66"/>
  <c r="K226" i="66"/>
  <c r="K274" i="66"/>
  <c r="K334" i="66"/>
  <c r="K398" i="66"/>
  <c r="K470" i="66"/>
  <c r="K530" i="66"/>
  <c r="K606" i="66"/>
  <c r="K156" i="66"/>
  <c r="DC4" i="61"/>
  <c r="AT69" i="61"/>
  <c r="AT155" i="61"/>
  <c r="S155" i="61"/>
  <c r="S29" i="14"/>
  <c r="BO88" i="61" s="1"/>
  <c r="W44" i="32"/>
  <c r="AJ49" i="27"/>
  <c r="S15" i="3"/>
  <c r="BZ74" i="61" s="1"/>
  <c r="S14" i="2"/>
  <c r="CA73" i="61" s="1"/>
  <c r="S30" i="2"/>
  <c r="CA89" i="61" s="1"/>
  <c r="S29" i="22"/>
  <c r="BG88" i="61" s="1"/>
  <c r="I53" i="8"/>
  <c r="BG30" i="8"/>
  <c r="S17" i="3"/>
  <c r="BZ76" i="61" s="1"/>
  <c r="W5" i="19"/>
  <c r="B44" i="48"/>
  <c r="Z5" i="10"/>
  <c r="B52" i="37"/>
  <c r="S29" i="18"/>
  <c r="BK88" i="61" s="1"/>
  <c r="S29" i="10"/>
  <c r="BS88" i="61" s="1"/>
  <c r="S19" i="3"/>
  <c r="BZ78" i="61" s="1"/>
  <c r="S12" i="3"/>
  <c r="BZ71" i="61" s="1"/>
  <c r="S14" i="3"/>
  <c r="BZ73" i="61" s="1"/>
  <c r="S13" i="2"/>
  <c r="CA72" i="61" s="1"/>
  <c r="S29" i="2"/>
  <c r="CA88" i="61" s="1"/>
  <c r="S15" i="2"/>
  <c r="CA74" i="61" s="1"/>
  <c r="AD118" i="43"/>
  <c r="AD114" i="43"/>
  <c r="BG30" i="9"/>
  <c r="I53" i="9"/>
  <c r="AD113" i="43"/>
  <c r="AD109" i="43"/>
  <c r="AI107" i="43" s="1"/>
  <c r="AD54" i="36"/>
  <c r="AH55" i="36" s="1"/>
  <c r="S29" i="11"/>
  <c r="BR88" i="61" s="1"/>
  <c r="S29" i="3"/>
  <c r="BZ88" i="61" s="1"/>
  <c r="S33" i="2"/>
  <c r="CA92" i="61" s="1"/>
  <c r="FD116" i="61"/>
  <c r="FD100" i="61"/>
  <c r="FD111" i="61"/>
  <c r="FD102" i="61"/>
  <c r="FD119" i="61"/>
  <c r="FD113" i="61"/>
  <c r="FD112" i="61"/>
  <c r="FD120" i="61"/>
  <c r="FD118" i="61"/>
  <c r="FD99" i="61"/>
  <c r="FD109" i="61"/>
  <c r="FD107" i="61"/>
  <c r="FD121" i="61"/>
  <c r="FD108" i="61"/>
  <c r="FD117" i="61"/>
  <c r="FD115" i="61"/>
  <c r="FD110" i="61"/>
  <c r="FD106" i="61"/>
  <c r="FD98" i="61"/>
  <c r="FD122" i="61"/>
  <c r="FD104" i="61"/>
  <c r="FD114" i="61"/>
  <c r="FD105" i="61"/>
  <c r="FD101" i="61"/>
  <c r="FD103" i="61"/>
  <c r="DB4" i="61"/>
  <c r="AS69" i="61"/>
  <c r="R155" i="61"/>
  <c r="AS155" i="61"/>
  <c r="FC121" i="61"/>
  <c r="FC105" i="61"/>
  <c r="FC110" i="61"/>
  <c r="FC111" i="61"/>
  <c r="FC118" i="61"/>
  <c r="FC99" i="61"/>
  <c r="FC117" i="61"/>
  <c r="FC101" i="61"/>
  <c r="FC107" i="61"/>
  <c r="FC108" i="61"/>
  <c r="FC115" i="61"/>
  <c r="FC103" i="61"/>
  <c r="FC120" i="61"/>
  <c r="FC113" i="61"/>
  <c r="FC119" i="61"/>
  <c r="FC104" i="61"/>
  <c r="FC98" i="61"/>
  <c r="FC112" i="61"/>
  <c r="FC100" i="61"/>
  <c r="FC122" i="61"/>
  <c r="FC109" i="61"/>
  <c r="FC116" i="61"/>
  <c r="FC114" i="61"/>
  <c r="FC106" i="61"/>
  <c r="FC102" i="61"/>
  <c r="S16" i="3"/>
  <c r="BZ75" i="61" s="1"/>
  <c r="S32" i="3"/>
  <c r="BZ91" i="61" s="1"/>
  <c r="S24" i="3"/>
  <c r="BZ83" i="61" s="1"/>
  <c r="P45" i="36"/>
  <c r="CP125" i="61"/>
  <c r="CW125" i="61"/>
  <c r="DE125" i="61"/>
  <c r="DM125" i="61"/>
  <c r="CS125" i="61"/>
  <c r="DA125" i="61"/>
  <c r="DI125" i="61"/>
  <c r="CV125" i="61"/>
  <c r="DL125" i="61"/>
  <c r="CZ125" i="61"/>
  <c r="DD125" i="61"/>
  <c r="CR125" i="61"/>
  <c r="DH125" i="61"/>
  <c r="DB125" i="61"/>
  <c r="DC125" i="61"/>
  <c r="DN125" i="61"/>
  <c r="CX125" i="61"/>
  <c r="DK125" i="61"/>
  <c r="CU125" i="61"/>
  <c r="DF125" i="61"/>
  <c r="CQ125" i="61"/>
  <c r="CY125" i="61"/>
  <c r="DJ125" i="61"/>
  <c r="CT125" i="61"/>
  <c r="DG125" i="61"/>
  <c r="DJ104" i="61"/>
  <c r="DJ110" i="61"/>
  <c r="DJ114" i="61"/>
  <c r="Z5" i="24"/>
  <c r="AE4" i="61"/>
  <c r="C4" i="49" s="1"/>
  <c r="BD141" i="61"/>
  <c r="A12" i="64"/>
  <c r="AH45" i="32"/>
  <c r="AJ50" i="33"/>
  <c r="B48" i="45"/>
  <c r="AD54" i="37"/>
  <c r="AH54" i="37" s="1"/>
  <c r="AL44" i="35"/>
  <c r="AA45" i="48"/>
  <c r="AO45" i="48" s="1"/>
  <c r="B52" i="30"/>
  <c r="B56" i="30"/>
  <c r="AD74" i="46"/>
  <c r="AH45" i="35"/>
  <c r="W44" i="48"/>
  <c r="AL44" i="44"/>
  <c r="B62" i="59"/>
  <c r="B56" i="45"/>
  <c r="P45" i="27"/>
  <c r="AD54" i="39"/>
  <c r="AH55" i="39" s="1"/>
  <c r="B44" i="43"/>
  <c r="BD148" i="61"/>
  <c r="BD145" i="61"/>
  <c r="BI145" i="61" s="1"/>
  <c r="AJ49" i="31"/>
  <c r="B48" i="36"/>
  <c r="BD129" i="61"/>
  <c r="S6" i="53"/>
  <c r="BG5" i="22"/>
  <c r="BG5" i="18"/>
  <c r="BG5" i="14"/>
  <c r="BG5" i="10"/>
  <c r="BG5" i="6"/>
  <c r="BG5" i="2"/>
  <c r="S5" i="23"/>
  <c r="S5" i="19"/>
  <c r="S5" i="15"/>
  <c r="S5" i="11"/>
  <c r="S5" i="7"/>
  <c r="S5" i="3"/>
  <c r="CQ61" i="61"/>
  <c r="DE61" i="61"/>
  <c r="BG5" i="25"/>
  <c r="BG5" i="21"/>
  <c r="BG5" i="17"/>
  <c r="BG5" i="13"/>
  <c r="BG5" i="9"/>
  <c r="BG5" i="5"/>
  <c r="BG5" i="1"/>
  <c r="S5" i="22"/>
  <c r="S5" i="18"/>
  <c r="S5" i="14"/>
  <c r="S5" i="10"/>
  <c r="S5" i="6"/>
  <c r="S5" i="2"/>
  <c r="BA35" i="61"/>
  <c r="BD63" i="61" s="1"/>
  <c r="CY71" i="61"/>
  <c r="CZ71" i="61" s="1"/>
  <c r="CY69" i="61"/>
  <c r="CZ69" i="61" s="1"/>
  <c r="BG5" i="24"/>
  <c r="BG5" i="20"/>
  <c r="BG5" i="16"/>
  <c r="BG5" i="12"/>
  <c r="BG5" i="8"/>
  <c r="BG5" i="4"/>
  <c r="S5" i="25"/>
  <c r="S5" i="21"/>
  <c r="S5" i="17"/>
  <c r="S5" i="13"/>
  <c r="S5" i="9"/>
  <c r="S5" i="5"/>
  <c r="S5" i="1"/>
  <c r="BG6" i="53"/>
  <c r="BG5" i="23"/>
  <c r="BG5" i="19"/>
  <c r="BG5" i="15"/>
  <c r="BG5" i="11"/>
  <c r="BG5" i="7"/>
  <c r="BG5" i="3"/>
  <c r="S5" i="24"/>
  <c r="S5" i="20"/>
  <c r="S5" i="16"/>
  <c r="S5" i="12"/>
  <c r="S5" i="8"/>
  <c r="S5" i="4"/>
  <c r="BI36" i="61"/>
  <c r="A13" i="64" s="1"/>
  <c r="CW62" i="61"/>
  <c r="CX62" i="61" s="1"/>
  <c r="CW78" i="61"/>
  <c r="CX78" i="61" s="1"/>
  <c r="CY68" i="61"/>
  <c r="CZ68" i="61" s="1"/>
  <c r="CW66" i="61"/>
  <c r="CX66" i="61" s="1"/>
  <c r="CR61" i="61"/>
  <c r="CW69" i="61"/>
  <c r="CX69" i="61" s="1"/>
  <c r="CW65" i="61"/>
  <c r="CX65" i="61" s="1"/>
  <c r="CW68" i="61"/>
  <c r="CX68" i="61" s="1"/>
  <c r="CW71" i="61"/>
  <c r="CX71" i="61" s="1"/>
  <c r="CW77" i="61"/>
  <c r="CX77" i="61" s="1"/>
  <c r="CY63" i="61"/>
  <c r="CZ63" i="61" s="1"/>
  <c r="CW79" i="61"/>
  <c r="CX79" i="61" s="1"/>
  <c r="CW63" i="61"/>
  <c r="CX63" i="61" s="1"/>
  <c r="CY65" i="61"/>
  <c r="CZ65" i="61" s="1"/>
  <c r="CW76" i="61"/>
  <c r="CX76" i="61" s="1"/>
  <c r="CY70" i="61"/>
  <c r="CZ70" i="61" s="1"/>
  <c r="CW67" i="61"/>
  <c r="CX67" i="61" s="1"/>
  <c r="CY62" i="61"/>
  <c r="CZ62" i="61" s="1"/>
  <c r="CW64" i="61"/>
  <c r="CX64" i="61" s="1"/>
  <c r="CW70" i="61"/>
  <c r="CX70" i="61" s="1"/>
  <c r="CY67" i="61"/>
  <c r="CZ67" i="61" s="1"/>
  <c r="CY66" i="61"/>
  <c r="CZ66" i="61" s="1"/>
  <c r="CY64" i="61"/>
  <c r="CZ64" i="61" s="1"/>
  <c r="W5" i="8"/>
  <c r="BD146" i="61"/>
  <c r="C37" i="61"/>
  <c r="B14" i="51" s="1"/>
  <c r="C38" i="61"/>
  <c r="B15" i="51" s="1"/>
  <c r="AA45" i="32"/>
  <c r="AO45" i="32" s="1"/>
  <c r="AD59" i="59"/>
  <c r="P45" i="30"/>
  <c r="AH45" i="44"/>
  <c r="B48" i="37"/>
  <c r="P45" i="33"/>
  <c r="AL45" i="48"/>
  <c r="AJ50" i="32"/>
  <c r="AL45" i="29"/>
  <c r="AL44" i="29"/>
  <c r="AH45" i="27"/>
  <c r="BG30" i="12"/>
  <c r="I53" i="12"/>
  <c r="AP155" i="61"/>
  <c r="O155" i="61"/>
  <c r="AP69" i="61"/>
  <c r="N155" i="61"/>
  <c r="AO155" i="61"/>
  <c r="AO69" i="61"/>
  <c r="AD98" i="43"/>
  <c r="AD94" i="43"/>
  <c r="I53" i="13"/>
  <c r="BG30" i="13"/>
  <c r="AD93" i="43"/>
  <c r="AD89" i="43"/>
  <c r="AI87" i="43" s="1"/>
  <c r="B52" i="46"/>
  <c r="AH44" i="48"/>
  <c r="AL45" i="27"/>
  <c r="AL44" i="48"/>
  <c r="AH44" i="27"/>
  <c r="B52" i="59"/>
  <c r="B44" i="45"/>
  <c r="B56" i="36"/>
  <c r="B44" i="36"/>
  <c r="AJ50" i="30"/>
  <c r="B56" i="39"/>
  <c r="AD54" i="26"/>
  <c r="AL55" i="26" s="1"/>
  <c r="AD54" i="34"/>
  <c r="AH44" i="29"/>
  <c r="AJ50" i="36"/>
  <c r="BD132" i="61"/>
  <c r="BD136" i="61"/>
  <c r="Z5" i="16"/>
  <c r="Z5" i="1"/>
  <c r="AD54" i="49"/>
  <c r="AH55" i="49" s="1"/>
  <c r="AD54" i="28"/>
  <c r="AH54" i="28" s="1"/>
  <c r="AD54" i="45"/>
  <c r="AL55" i="45" s="1"/>
  <c r="S21" i="2"/>
  <c r="CA80" i="61" s="1"/>
  <c r="P56" i="42"/>
  <c r="AD54" i="48"/>
  <c r="S33" i="3"/>
  <c r="BZ92" i="61" s="1"/>
  <c r="S16" i="2"/>
  <c r="CA75" i="61" s="1"/>
  <c r="S32" i="2"/>
  <c r="CA91" i="61" s="1"/>
  <c r="S21" i="3"/>
  <c r="BZ80" i="61" s="1"/>
  <c r="S26" i="3"/>
  <c r="BZ85" i="61" s="1"/>
  <c r="S22" i="2"/>
  <c r="CA81" i="61" s="1"/>
  <c r="S28" i="3"/>
  <c r="BZ87" i="61" s="1"/>
  <c r="S25" i="3"/>
  <c r="BZ84" i="61" s="1"/>
  <c r="S30" i="3"/>
  <c r="BZ89" i="61" s="1"/>
  <c r="S24" i="2"/>
  <c r="CA83" i="61" s="1"/>
  <c r="S26" i="2"/>
  <c r="CA85" i="61" s="1"/>
  <c r="S23" i="2"/>
  <c r="CA82" i="61" s="1"/>
  <c r="S23" i="3"/>
  <c r="BZ82" i="61" s="1"/>
  <c r="S13" i="3"/>
  <c r="BZ72" i="61" s="1"/>
  <c r="S18" i="3"/>
  <c r="BZ77" i="61" s="1"/>
  <c r="S27" i="2"/>
  <c r="CA86" i="61" s="1"/>
  <c r="S27" i="3"/>
  <c r="BZ86" i="61" s="1"/>
  <c r="S22" i="3"/>
  <c r="BZ81" i="61" s="1"/>
  <c r="S18" i="2"/>
  <c r="CA77" i="61" s="1"/>
  <c r="S31" i="2"/>
  <c r="CA90" i="61" s="1"/>
  <c r="AI47" i="50"/>
  <c r="AL49" i="50"/>
  <c r="AH49" i="50"/>
  <c r="AL50" i="50"/>
  <c r="AH50" i="50"/>
  <c r="AJ54" i="27"/>
  <c r="AJ55" i="27"/>
  <c r="C49" i="32"/>
  <c r="AA50" i="35"/>
  <c r="AO50" i="35" s="1"/>
  <c r="W50" i="35"/>
  <c r="AA49" i="35"/>
  <c r="AO49" i="35" s="1"/>
  <c r="W49" i="35"/>
  <c r="AA50" i="38"/>
  <c r="AO50" i="38" s="1"/>
  <c r="W50" i="38"/>
  <c r="AA49" i="38"/>
  <c r="AO49" i="38" s="1"/>
  <c r="W49" i="38"/>
  <c r="W60" i="32"/>
  <c r="AA59" i="32"/>
  <c r="AO59" i="32" s="1"/>
  <c r="AA60" i="32"/>
  <c r="AO60" i="32" s="1"/>
  <c r="W59" i="32"/>
  <c r="AA50" i="36"/>
  <c r="AO50" i="36" s="1"/>
  <c r="W50" i="36"/>
  <c r="AA49" i="36"/>
  <c r="AO49" i="36" s="1"/>
  <c r="W49" i="36"/>
  <c r="AJ55" i="45"/>
  <c r="AJ54" i="45"/>
  <c r="AJ54" i="49"/>
  <c r="AJ55" i="49"/>
  <c r="BE134" i="61"/>
  <c r="P40" i="28"/>
  <c r="AD53" i="40"/>
  <c r="P40" i="40"/>
  <c r="AD49" i="40"/>
  <c r="AD53" i="46"/>
  <c r="AD49" i="46"/>
  <c r="F155" i="61"/>
  <c r="AG155" i="61"/>
  <c r="AG69" i="61"/>
  <c r="A55" i="49"/>
  <c r="B55" i="49" s="1"/>
  <c r="B54" i="49"/>
  <c r="O53" i="37"/>
  <c r="P52" i="37"/>
  <c r="A55" i="35"/>
  <c r="B55" i="35" s="1"/>
  <c r="B54" i="35"/>
  <c r="AL60" i="59"/>
  <c r="AL59" i="59"/>
  <c r="O62" i="48"/>
  <c r="P61" i="48"/>
  <c r="O66" i="48"/>
  <c r="AJ75" i="46"/>
  <c r="AJ74" i="46"/>
  <c r="P40" i="33"/>
  <c r="B62" i="35"/>
  <c r="A63" i="35"/>
  <c r="P48" i="32"/>
  <c r="Q48" i="32" s="1"/>
  <c r="O62" i="30"/>
  <c r="P61" i="30"/>
  <c r="O66" i="30"/>
  <c r="AL55" i="30"/>
  <c r="AH55" i="30"/>
  <c r="AL54" i="30"/>
  <c r="AH54" i="30"/>
  <c r="AA45" i="27"/>
  <c r="AO45" i="27" s="1"/>
  <c r="W45" i="27"/>
  <c r="AA44" i="27"/>
  <c r="AO44" i="27" s="1"/>
  <c r="W44" i="27"/>
  <c r="BT63" i="61"/>
  <c r="AS63" i="61"/>
  <c r="BT62" i="61"/>
  <c r="AS62" i="61"/>
  <c r="AR61" i="61"/>
  <c r="AR60" i="61"/>
  <c r="BU59" i="61"/>
  <c r="AR63" i="61"/>
  <c r="AR62" i="61"/>
  <c r="AS59" i="61"/>
  <c r="BT57" i="61"/>
  <c r="AS57" i="61"/>
  <c r="BT55" i="61"/>
  <c r="AS55" i="61"/>
  <c r="BT54" i="61"/>
  <c r="AS54" i="61"/>
  <c r="BT53" i="61"/>
  <c r="AS53" i="61"/>
  <c r="BT52" i="61"/>
  <c r="AS52" i="61"/>
  <c r="BT51" i="61"/>
  <c r="AS51" i="61"/>
  <c r="BT50" i="61"/>
  <c r="AS50" i="61"/>
  <c r="BU49" i="61"/>
  <c r="AR47" i="61"/>
  <c r="AR46" i="61"/>
  <c r="BT45" i="61"/>
  <c r="AS45" i="61"/>
  <c r="BU44" i="61"/>
  <c r="AR42" i="61"/>
  <c r="BT41" i="61"/>
  <c r="AS41" i="61"/>
  <c r="AR40" i="61"/>
  <c r="BU62" i="61"/>
  <c r="BU61" i="61"/>
  <c r="AS61" i="61"/>
  <c r="BT59" i="61"/>
  <c r="AR59" i="61"/>
  <c r="BU58" i="61"/>
  <c r="AR57" i="61"/>
  <c r="BU56" i="61"/>
  <c r="AR55" i="61"/>
  <c r="AR54" i="61"/>
  <c r="AR53" i="61"/>
  <c r="AR52" i="61"/>
  <c r="AR51" i="61"/>
  <c r="AR50" i="61"/>
  <c r="BT49" i="61"/>
  <c r="AS49" i="61"/>
  <c r="BU48" i="61"/>
  <c r="AR45" i="61"/>
  <c r="BT44" i="61"/>
  <c r="AS44" i="61"/>
  <c r="BU43" i="61"/>
  <c r="AR41" i="61"/>
  <c r="BU39" i="61"/>
  <c r="BT61" i="61"/>
  <c r="BU60" i="61"/>
  <c r="AS60" i="61"/>
  <c r="BT58" i="61"/>
  <c r="AS58" i="61"/>
  <c r="BT56" i="61"/>
  <c r="AS56" i="61"/>
  <c r="AR49" i="61"/>
  <c r="BT48" i="61"/>
  <c r="AS48" i="61"/>
  <c r="BU47" i="61"/>
  <c r="BU46" i="61"/>
  <c r="AR44" i="61"/>
  <c r="BT43" i="61"/>
  <c r="AS43" i="61"/>
  <c r="BU42" i="61"/>
  <c r="BU40" i="61"/>
  <c r="BT39" i="61"/>
  <c r="AS39" i="61"/>
  <c r="BU63" i="61"/>
  <c r="BT60" i="61"/>
  <c r="AR58" i="61"/>
  <c r="BU57" i="61"/>
  <c r="AR56" i="61"/>
  <c r="BU55" i="61"/>
  <c r="BU54" i="61"/>
  <c r="BU53" i="61"/>
  <c r="BU52" i="61"/>
  <c r="BU51" i="61"/>
  <c r="BU50" i="61"/>
  <c r="AR48" i="61"/>
  <c r="BT47" i="61"/>
  <c r="AS47" i="61"/>
  <c r="BT46" i="61"/>
  <c r="AS46" i="61"/>
  <c r="BU45" i="61"/>
  <c r="AR43" i="61"/>
  <c r="BT42" i="61"/>
  <c r="AS42" i="61"/>
  <c r="BU41" i="61"/>
  <c r="BT40" i="61"/>
  <c r="AS40" i="61"/>
  <c r="AR39" i="61"/>
  <c r="S4" i="53"/>
  <c r="BG4" i="53"/>
  <c r="M2" i="51"/>
  <c r="S3" i="25"/>
  <c r="BG3" i="24"/>
  <c r="S3" i="21"/>
  <c r="BG3" i="20"/>
  <c r="S3" i="17"/>
  <c r="BG3" i="16"/>
  <c r="S3" i="13"/>
  <c r="BG3" i="12"/>
  <c r="S3" i="24"/>
  <c r="BG3" i="23"/>
  <c r="S3" i="20"/>
  <c r="BG3" i="19"/>
  <c r="S3" i="16"/>
  <c r="BG3" i="15"/>
  <c r="S3" i="12"/>
  <c r="BG3" i="11"/>
  <c r="BG3" i="25"/>
  <c r="S3" i="23"/>
  <c r="BG3" i="22"/>
  <c r="S3" i="19"/>
  <c r="BG3" i="18"/>
  <c r="S3" i="15"/>
  <c r="BG3" i="14"/>
  <c r="S3" i="11"/>
  <c r="BG3" i="10"/>
  <c r="S3" i="22"/>
  <c r="BG3" i="21"/>
  <c r="S3" i="18"/>
  <c r="BG3" i="17"/>
  <c r="S3" i="14"/>
  <c r="BG3" i="13"/>
  <c r="S3" i="10"/>
  <c r="BG3" i="9"/>
  <c r="S3" i="9"/>
  <c r="S3" i="4"/>
  <c r="BG3" i="3"/>
  <c r="BG3" i="7"/>
  <c r="BG3" i="6"/>
  <c r="S3" i="3"/>
  <c r="BG3" i="2"/>
  <c r="BG3" i="8"/>
  <c r="S3" i="7"/>
  <c r="S3" i="6"/>
  <c r="BG3" i="5"/>
  <c r="S3" i="2"/>
  <c r="S3" i="8"/>
  <c r="S3" i="5"/>
  <c r="BG3" i="4"/>
  <c r="S3" i="1"/>
  <c r="BG3" i="1"/>
  <c r="BD109" i="61"/>
  <c r="BD105" i="61"/>
  <c r="BD113" i="61"/>
  <c r="BD121" i="61"/>
  <c r="BD101" i="61"/>
  <c r="BD117" i="61"/>
  <c r="BD122" i="61"/>
  <c r="BD115" i="61"/>
  <c r="BD112" i="61"/>
  <c r="BD119" i="61"/>
  <c r="BD104" i="61"/>
  <c r="BD118" i="61"/>
  <c r="BD100" i="61"/>
  <c r="BD107" i="61"/>
  <c r="BD116" i="61"/>
  <c r="BD102" i="61"/>
  <c r="BD110" i="61"/>
  <c r="BD114" i="61"/>
  <c r="BD111" i="61"/>
  <c r="BD106" i="61"/>
  <c r="BD99" i="61"/>
  <c r="BD103" i="61"/>
  <c r="BD120" i="61"/>
  <c r="BD108" i="61"/>
  <c r="A69" i="59"/>
  <c r="A74" i="59"/>
  <c r="B68" i="59"/>
  <c r="A59" i="47"/>
  <c r="B58" i="47"/>
  <c r="A55" i="40"/>
  <c r="B55" i="40" s="1"/>
  <c r="B54" i="40"/>
  <c r="B62" i="34"/>
  <c r="A63" i="34"/>
  <c r="O74" i="32"/>
  <c r="P73" i="32"/>
  <c r="Q73" i="32" s="1"/>
  <c r="P61" i="26"/>
  <c r="O66" i="26"/>
  <c r="O62" i="26"/>
  <c r="AC1" i="25"/>
  <c r="P48" i="44"/>
  <c r="Q48" i="44" s="1"/>
  <c r="O49" i="44"/>
  <c r="AJ49" i="44"/>
  <c r="AJ50" i="44"/>
  <c r="B66" i="38"/>
  <c r="A71" i="38"/>
  <c r="A67" i="38"/>
  <c r="O54" i="35"/>
  <c r="P53" i="35"/>
  <c r="Q53" i="35" s="1"/>
  <c r="P57" i="36"/>
  <c r="O58" i="36"/>
  <c r="P49" i="26"/>
  <c r="O50" i="26"/>
  <c r="P50" i="26" s="1"/>
  <c r="AD53" i="32"/>
  <c r="AI52" i="32" s="1"/>
  <c r="P53" i="48"/>
  <c r="Q53" i="48" s="1"/>
  <c r="O54" i="48"/>
  <c r="B57" i="36"/>
  <c r="A58" i="36"/>
  <c r="B61" i="48"/>
  <c r="A66" i="48"/>
  <c r="A62" i="48"/>
  <c r="AC54" i="38"/>
  <c r="AD54" i="38" s="1"/>
  <c r="AD53" i="38"/>
  <c r="AC58" i="38"/>
  <c r="P40" i="44"/>
  <c r="AJ50" i="45"/>
  <c r="AJ49" i="45"/>
  <c r="P40" i="42"/>
  <c r="O57" i="33"/>
  <c r="P56" i="33"/>
  <c r="O61" i="33"/>
  <c r="AJ50" i="34"/>
  <c r="AJ49" i="34"/>
  <c r="A59" i="27"/>
  <c r="B58" i="27"/>
  <c r="B37" i="30"/>
  <c r="C37" i="30" s="1"/>
  <c r="Q32" i="30"/>
  <c r="P36" i="30"/>
  <c r="AK60" i="30"/>
  <c r="AD33" i="30"/>
  <c r="B46" i="30"/>
  <c r="B42" i="30"/>
  <c r="AK60" i="28"/>
  <c r="AD33" i="28"/>
  <c r="B46" i="28"/>
  <c r="B42" i="28"/>
  <c r="B37" i="28"/>
  <c r="C37" i="28" s="1"/>
  <c r="Q32" i="28"/>
  <c r="P36" i="28"/>
  <c r="AK60" i="34"/>
  <c r="AD33" i="34"/>
  <c r="B46" i="34"/>
  <c r="B42" i="34"/>
  <c r="B37" i="34"/>
  <c r="C37" i="34" s="1"/>
  <c r="Q32" i="34"/>
  <c r="P36" i="34"/>
  <c r="AK60" i="40"/>
  <c r="AD33" i="40"/>
  <c r="B46" i="40"/>
  <c r="B42" i="40"/>
  <c r="B37" i="40"/>
  <c r="C37" i="40" s="1"/>
  <c r="Q32" i="40"/>
  <c r="P36" i="40"/>
  <c r="P36" i="44"/>
  <c r="AK60" i="44"/>
  <c r="AD33" i="44"/>
  <c r="B46" i="44"/>
  <c r="B42" i="44"/>
  <c r="B37" i="44"/>
  <c r="C37" i="44" s="1"/>
  <c r="Q32" i="44"/>
  <c r="B37" i="48"/>
  <c r="C37" i="48" s="1"/>
  <c r="Q32" i="48"/>
  <c r="P36" i="48"/>
  <c r="AK60" i="48"/>
  <c r="AD33" i="48"/>
  <c r="B42" i="48"/>
  <c r="B46" i="48"/>
  <c r="B39" i="59"/>
  <c r="C39" i="59" s="1"/>
  <c r="P38" i="59"/>
  <c r="AD34" i="59"/>
  <c r="Q33" i="59"/>
  <c r="B45" i="59"/>
  <c r="B50" i="59"/>
  <c r="B155" i="61"/>
  <c r="AC155" i="61"/>
  <c r="AC69" i="61"/>
  <c r="CH4" i="61"/>
  <c r="O49" i="50"/>
  <c r="P48" i="50"/>
  <c r="Q48" i="50" s="1"/>
  <c r="C44" i="49"/>
  <c r="P57" i="47"/>
  <c r="O58" i="47"/>
  <c r="O54" i="41"/>
  <c r="P53" i="41"/>
  <c r="Q53" i="41" s="1"/>
  <c r="AD53" i="39"/>
  <c r="O57" i="27"/>
  <c r="P56" i="27"/>
  <c r="O61" i="27"/>
  <c r="A55" i="31"/>
  <c r="B55" i="31" s="1"/>
  <c r="B54" i="31"/>
  <c r="C4" i="3"/>
  <c r="E4" i="3"/>
  <c r="AS4" i="6"/>
  <c r="W4" i="6"/>
  <c r="Z4" i="6"/>
  <c r="AC4" i="6"/>
  <c r="AC5" i="6" s="1"/>
  <c r="AC6" i="6" s="1"/>
  <c r="AC7" i="6" s="1"/>
  <c r="AC8" i="6" s="1"/>
  <c r="AC9" i="6" s="1"/>
  <c r="AC10" i="6" s="1"/>
  <c r="AC11" i="6" s="1"/>
  <c r="AC12" i="6" s="1"/>
  <c r="AC13" i="6" s="1"/>
  <c r="AC14" i="6" s="1"/>
  <c r="AC15" i="6" s="1"/>
  <c r="AC16" i="6" s="1"/>
  <c r="C4" i="2"/>
  <c r="E4" i="2"/>
  <c r="Z4" i="13"/>
  <c r="AC4" i="13"/>
  <c r="AC5" i="13" s="1"/>
  <c r="AC6" i="13" s="1"/>
  <c r="AC7" i="13" s="1"/>
  <c r="AC8" i="13" s="1"/>
  <c r="AC9" i="13" s="1"/>
  <c r="AC10" i="13" s="1"/>
  <c r="AC11" i="13" s="1"/>
  <c r="AC12" i="13" s="1"/>
  <c r="AC13" i="13" s="1"/>
  <c r="AC14" i="13" s="1"/>
  <c r="AC15" i="13" s="1"/>
  <c r="AC16" i="13" s="1"/>
  <c r="AS4" i="13"/>
  <c r="W4" i="13"/>
  <c r="Z4" i="21"/>
  <c r="AC4" i="21"/>
  <c r="AC5" i="21" s="1"/>
  <c r="AC6" i="21" s="1"/>
  <c r="AC7" i="21" s="1"/>
  <c r="AC8" i="21" s="1"/>
  <c r="AC9" i="21" s="1"/>
  <c r="AC10" i="21" s="1"/>
  <c r="AC11" i="21" s="1"/>
  <c r="AC12" i="21" s="1"/>
  <c r="AC13" i="21" s="1"/>
  <c r="AC14" i="21" s="1"/>
  <c r="AC15" i="21" s="1"/>
  <c r="AC16" i="21" s="1"/>
  <c r="AS4" i="21"/>
  <c r="W4" i="21"/>
  <c r="E4" i="9"/>
  <c r="C4" i="9"/>
  <c r="C4" i="17"/>
  <c r="E4" i="17"/>
  <c r="AS4" i="15"/>
  <c r="W4" i="15"/>
  <c r="Z4" i="15"/>
  <c r="AC4" i="15"/>
  <c r="AC5" i="15" s="1"/>
  <c r="AC6" i="15" s="1"/>
  <c r="AC7" i="15" s="1"/>
  <c r="AC8" i="15" s="1"/>
  <c r="AC9" i="15" s="1"/>
  <c r="AC10" i="15" s="1"/>
  <c r="AC11" i="15" s="1"/>
  <c r="AC12" i="15" s="1"/>
  <c r="AC13" i="15" s="1"/>
  <c r="AC14" i="15" s="1"/>
  <c r="AC15" i="15" s="1"/>
  <c r="AC16" i="15" s="1"/>
  <c r="AS4" i="23"/>
  <c r="W4" i="23"/>
  <c r="Z4" i="23"/>
  <c r="AC4" i="23"/>
  <c r="AC5" i="23" s="1"/>
  <c r="AC6" i="23" s="1"/>
  <c r="AC7" i="23" s="1"/>
  <c r="AC8" i="23" s="1"/>
  <c r="AC9" i="23" s="1"/>
  <c r="AC10" i="23" s="1"/>
  <c r="AC11" i="23" s="1"/>
  <c r="AC12" i="23" s="1"/>
  <c r="AC13" i="23" s="1"/>
  <c r="AC14" i="23" s="1"/>
  <c r="AC15" i="23" s="1"/>
  <c r="AC16" i="23" s="1"/>
  <c r="AC4" i="25"/>
  <c r="AC5" i="25" s="1"/>
  <c r="AC6" i="25" s="1"/>
  <c r="AC7" i="25" s="1"/>
  <c r="AC8" i="25" s="1"/>
  <c r="AC9" i="25" s="1"/>
  <c r="AC10" i="25" s="1"/>
  <c r="AC11" i="25" s="1"/>
  <c r="AC12" i="25" s="1"/>
  <c r="AC13" i="25" s="1"/>
  <c r="AC14" i="25" s="1"/>
  <c r="AC15" i="25" s="1"/>
  <c r="AC16" i="25" s="1"/>
  <c r="Z4" i="25"/>
  <c r="W1" i="25" s="1"/>
  <c r="AP4" i="25"/>
  <c r="W4" i="25"/>
  <c r="AS4" i="25"/>
  <c r="AS4" i="16"/>
  <c r="W4" i="16"/>
  <c r="Z4" i="16"/>
  <c r="AC4" i="16"/>
  <c r="AC5" i="16" s="1"/>
  <c r="AC6" i="16" s="1"/>
  <c r="AC7" i="16" s="1"/>
  <c r="AC8" i="16" s="1"/>
  <c r="AC9" i="16" s="1"/>
  <c r="AC10" i="16" s="1"/>
  <c r="AC11" i="16" s="1"/>
  <c r="AC12" i="16" s="1"/>
  <c r="AC13" i="16" s="1"/>
  <c r="AC14" i="16" s="1"/>
  <c r="AC15" i="16" s="1"/>
  <c r="AC16" i="16" s="1"/>
  <c r="AS4" i="53"/>
  <c r="W4" i="53"/>
  <c r="Z4" i="53"/>
  <c r="AC4" i="53"/>
  <c r="AC5" i="53" s="1"/>
  <c r="AC6" i="53" s="1"/>
  <c r="AC7" i="53" s="1"/>
  <c r="AC8" i="53" s="1"/>
  <c r="AC9" i="53" s="1"/>
  <c r="AC10" i="53" s="1"/>
  <c r="AC11" i="53" s="1"/>
  <c r="AC12" i="53" s="1"/>
  <c r="AC13" i="53" s="1"/>
  <c r="AC14" i="53" s="1"/>
  <c r="AC15" i="53" s="1"/>
  <c r="AC16" i="53" s="1"/>
  <c r="DD62" i="61"/>
  <c r="DE62" i="61" s="1"/>
  <c r="DC62" i="61"/>
  <c r="O64" i="59"/>
  <c r="P63" i="59"/>
  <c r="AD49" i="47"/>
  <c r="A50" i="41"/>
  <c r="B50" i="41" s="1"/>
  <c r="B49" i="41"/>
  <c r="AC69" i="40"/>
  <c r="AD69" i="40" s="1"/>
  <c r="AD68" i="40"/>
  <c r="AC73" i="40"/>
  <c r="P56" i="34"/>
  <c r="O61" i="34"/>
  <c r="O57" i="34"/>
  <c r="AA45" i="30"/>
  <c r="AO45" i="30" s="1"/>
  <c r="W45" i="30"/>
  <c r="AA44" i="30"/>
  <c r="AO44" i="30" s="1"/>
  <c r="W44" i="30"/>
  <c r="A71" i="31"/>
  <c r="A67" i="31"/>
  <c r="B66" i="31"/>
  <c r="AJ50" i="28"/>
  <c r="AJ49" i="28"/>
  <c r="I53" i="19"/>
  <c r="BG30" i="19"/>
  <c r="P44" i="50"/>
  <c r="O45" i="50"/>
  <c r="P45" i="50" s="1"/>
  <c r="P44" i="46"/>
  <c r="O45" i="46"/>
  <c r="P45" i="46" s="1"/>
  <c r="A55" i="44"/>
  <c r="B55" i="44" s="1"/>
  <c r="B54" i="44"/>
  <c r="P52" i="39"/>
  <c r="O53" i="39"/>
  <c r="AC54" i="29"/>
  <c r="AD54" i="29" s="1"/>
  <c r="AD53" i="29"/>
  <c r="AC58" i="29"/>
  <c r="O54" i="47"/>
  <c r="P53" i="47"/>
  <c r="Q53" i="47" s="1"/>
  <c r="A59" i="41"/>
  <c r="B58" i="41"/>
  <c r="AD49" i="39"/>
  <c r="P48" i="42"/>
  <c r="Q48" i="42" s="1"/>
  <c r="A55" i="38"/>
  <c r="B55" i="38" s="1"/>
  <c r="B54" i="38"/>
  <c r="AD78" i="43"/>
  <c r="AD74" i="43"/>
  <c r="AL44" i="43"/>
  <c r="AH45" i="43"/>
  <c r="AH44" i="43"/>
  <c r="AL45" i="43"/>
  <c r="A50" i="36"/>
  <c r="B50" i="36" s="1"/>
  <c r="B49" i="36"/>
  <c r="M44" i="31"/>
  <c r="I44" i="31"/>
  <c r="M45" i="31"/>
  <c r="I45" i="31"/>
  <c r="G44" i="31"/>
  <c r="Z5" i="53"/>
  <c r="W5" i="6"/>
  <c r="AA45" i="49"/>
  <c r="AO45" i="49" s="1"/>
  <c r="W45" i="49"/>
  <c r="AA44" i="49"/>
  <c r="AO44" i="49" s="1"/>
  <c r="W44" i="49"/>
  <c r="A55" i="41"/>
  <c r="B55" i="41" s="1"/>
  <c r="B54" i="41"/>
  <c r="W65" i="32"/>
  <c r="AA64" i="32"/>
  <c r="AO64" i="32" s="1"/>
  <c r="W64" i="32"/>
  <c r="AA65" i="32"/>
  <c r="AO65" i="32" s="1"/>
  <c r="AC59" i="34"/>
  <c r="AD59" i="34" s="1"/>
  <c r="AD58" i="34"/>
  <c r="AC63" i="34"/>
  <c r="B62" i="32"/>
  <c r="A63" i="32"/>
  <c r="AJ50" i="41"/>
  <c r="AJ49" i="41"/>
  <c r="A50" i="50"/>
  <c r="B50" i="50" s="1"/>
  <c r="B49" i="50"/>
  <c r="O53" i="45"/>
  <c r="P52" i="45"/>
  <c r="P40" i="39"/>
  <c r="AC1" i="19"/>
  <c r="AC1" i="16"/>
  <c r="AL45" i="40"/>
  <c r="AH45" i="40"/>
  <c r="AL44" i="40"/>
  <c r="AH44" i="40"/>
  <c r="O57" i="44"/>
  <c r="P56" i="44"/>
  <c r="O61" i="44"/>
  <c r="AL135" i="43"/>
  <c r="AH135" i="43"/>
  <c r="AI132" i="43"/>
  <c r="AL134" i="43"/>
  <c r="AH134" i="43"/>
  <c r="AD39" i="27"/>
  <c r="Q34" i="27"/>
  <c r="AD43" i="27"/>
  <c r="B39" i="27"/>
  <c r="C39" i="27" s="1"/>
  <c r="P38" i="27"/>
  <c r="P42" i="27"/>
  <c r="P46" i="27"/>
  <c r="B44" i="27"/>
  <c r="B56" i="27"/>
  <c r="B52" i="27"/>
  <c r="Q34" i="26"/>
  <c r="P46" i="26"/>
  <c r="P42" i="26"/>
  <c r="AD43" i="26"/>
  <c r="AI42" i="26" s="1"/>
  <c r="AD39" i="26"/>
  <c r="P38" i="26"/>
  <c r="Q38" i="26" s="1"/>
  <c r="B39" i="26"/>
  <c r="C39" i="26" s="1"/>
  <c r="B39" i="34"/>
  <c r="C39" i="34" s="1"/>
  <c r="Q34" i="34"/>
  <c r="AD43" i="34"/>
  <c r="AI42" i="34" s="1"/>
  <c r="P38" i="34"/>
  <c r="Q38" i="34" s="1"/>
  <c r="AD39" i="34"/>
  <c r="P46" i="34"/>
  <c r="B44" i="34"/>
  <c r="B52" i="34"/>
  <c r="B56" i="34"/>
  <c r="P42" i="34"/>
  <c r="Q34" i="38"/>
  <c r="P42" i="38"/>
  <c r="AD39" i="38"/>
  <c r="B39" i="38"/>
  <c r="C39" i="38" s="1"/>
  <c r="P38" i="38"/>
  <c r="Q38" i="38" s="1"/>
  <c r="P46" i="38"/>
  <c r="B52" i="38"/>
  <c r="AD43" i="38"/>
  <c r="B44" i="38"/>
  <c r="B56" i="38"/>
  <c r="P42" i="42"/>
  <c r="Q34" i="42"/>
  <c r="B39" i="42"/>
  <c r="C39" i="42" s="1"/>
  <c r="AD43" i="42"/>
  <c r="P46" i="42"/>
  <c r="P38" i="42"/>
  <c r="Q38" i="42" s="1"/>
  <c r="B52" i="42"/>
  <c r="B44" i="42"/>
  <c r="B56" i="42"/>
  <c r="AD39" i="42"/>
  <c r="Q34" i="46"/>
  <c r="AD43" i="46"/>
  <c r="AI42" i="46" s="1"/>
  <c r="AD39" i="46"/>
  <c r="P38" i="46"/>
  <c r="Q38" i="46" s="1"/>
  <c r="B48" i="46"/>
  <c r="B39" i="46"/>
  <c r="C39" i="46" s="1"/>
  <c r="P46" i="46"/>
  <c r="P42" i="46"/>
  <c r="B39" i="50"/>
  <c r="C39" i="50" s="1"/>
  <c r="Q34" i="50"/>
  <c r="P38" i="50"/>
  <c r="Q38" i="50" s="1"/>
  <c r="AD39" i="50"/>
  <c r="AD43" i="50"/>
  <c r="AI42" i="50" s="1"/>
  <c r="B52" i="50"/>
  <c r="B44" i="50"/>
  <c r="P42" i="50"/>
  <c r="P46" i="50"/>
  <c r="B56" i="50"/>
  <c r="P45" i="38"/>
  <c r="AD58" i="46"/>
  <c r="AD54" i="46"/>
  <c r="A50" i="48"/>
  <c r="B50" i="48" s="1"/>
  <c r="B49" i="48"/>
  <c r="P44" i="49"/>
  <c r="C44" i="44"/>
  <c r="A59" i="44"/>
  <c r="B58" i="44"/>
  <c r="B61" i="37"/>
  <c r="A66" i="37"/>
  <c r="A62" i="37"/>
  <c r="O53" i="28"/>
  <c r="P52" i="28"/>
  <c r="P48" i="31"/>
  <c r="Q48" i="31" s="1"/>
  <c r="O49" i="31"/>
  <c r="P45" i="26"/>
  <c r="B48" i="26"/>
  <c r="B38" i="29"/>
  <c r="C38" i="29" s="1"/>
  <c r="P37" i="29"/>
  <c r="AD34" i="29"/>
  <c r="Q33" i="29"/>
  <c r="B51" i="29"/>
  <c r="B43" i="29"/>
  <c r="AD38" i="29"/>
  <c r="P41" i="29"/>
  <c r="B47" i="29"/>
  <c r="P41" i="31"/>
  <c r="Q33" i="31"/>
  <c r="AD38" i="31"/>
  <c r="B43" i="31"/>
  <c r="AD34" i="31"/>
  <c r="P37" i="31"/>
  <c r="B38" i="31"/>
  <c r="C38" i="31" s="1"/>
  <c r="B51" i="31"/>
  <c r="B47" i="31"/>
  <c r="P41" i="36"/>
  <c r="Q33" i="36"/>
  <c r="AD34" i="36"/>
  <c r="B38" i="36"/>
  <c r="C38" i="36" s="1"/>
  <c r="P37" i="36"/>
  <c r="AD38" i="36"/>
  <c r="B51" i="36"/>
  <c r="B47" i="36"/>
  <c r="B43" i="36"/>
  <c r="Q33" i="39"/>
  <c r="AD38" i="39"/>
  <c r="AD34" i="39"/>
  <c r="P37" i="39"/>
  <c r="P41" i="39"/>
  <c r="B38" i="39"/>
  <c r="C38" i="39" s="1"/>
  <c r="B51" i="39"/>
  <c r="B43" i="39"/>
  <c r="B47" i="39"/>
  <c r="B38" i="42"/>
  <c r="C38" i="42" s="1"/>
  <c r="P37" i="42"/>
  <c r="AD34" i="42"/>
  <c r="P41" i="42"/>
  <c r="Q33" i="42"/>
  <c r="B51" i="42"/>
  <c r="B43" i="42"/>
  <c r="AD38" i="42"/>
  <c r="B47" i="42"/>
  <c r="Q33" i="45"/>
  <c r="AD38" i="45"/>
  <c r="P37" i="45"/>
  <c r="AD34" i="45"/>
  <c r="B38" i="45"/>
  <c r="C38" i="45" s="1"/>
  <c r="P41" i="45"/>
  <c r="B51" i="45"/>
  <c r="B47" i="45"/>
  <c r="B43" i="45"/>
  <c r="Q33" i="50"/>
  <c r="AD38" i="50"/>
  <c r="B38" i="50"/>
  <c r="C38" i="50" s="1"/>
  <c r="P37" i="50"/>
  <c r="AD34" i="50"/>
  <c r="B43" i="50"/>
  <c r="B51" i="50"/>
  <c r="P41" i="50"/>
  <c r="B47" i="50"/>
  <c r="A55" i="50"/>
  <c r="B55" i="50" s="1"/>
  <c r="B54" i="50"/>
  <c r="A63" i="49"/>
  <c r="B62" i="49"/>
  <c r="B48" i="38"/>
  <c r="A55" i="34"/>
  <c r="B55" i="34" s="1"/>
  <c r="B54" i="34"/>
  <c r="P48" i="27"/>
  <c r="Q48" i="27" s="1"/>
  <c r="O49" i="27"/>
  <c r="A55" i="28"/>
  <c r="B55" i="28" s="1"/>
  <c r="B54" i="28"/>
  <c r="AC59" i="27"/>
  <c r="AD59" i="27" s="1"/>
  <c r="AD58" i="27"/>
  <c r="AC63" i="27"/>
  <c r="AL44" i="47"/>
  <c r="AH44" i="47"/>
  <c r="AL45" i="47"/>
  <c r="AH45" i="47"/>
  <c r="B66" i="47"/>
  <c r="A71" i="47"/>
  <c r="A67" i="47"/>
  <c r="A54" i="36"/>
  <c r="B53" i="36"/>
  <c r="C44" i="33"/>
  <c r="M45" i="32"/>
  <c r="I45" i="32"/>
  <c r="G44" i="32"/>
  <c r="I44" i="32"/>
  <c r="M44" i="32"/>
  <c r="I53" i="17"/>
  <c r="BG30" i="17"/>
  <c r="AL64" i="46"/>
  <c r="AH64" i="46"/>
  <c r="AH65" i="46"/>
  <c r="AL65" i="46"/>
  <c r="AD54" i="42"/>
  <c r="P48" i="39"/>
  <c r="Q48" i="39" s="1"/>
  <c r="O49" i="39"/>
  <c r="AC59" i="33"/>
  <c r="AD59" i="33" s="1"/>
  <c r="AD58" i="33"/>
  <c r="AC63" i="33"/>
  <c r="AC59" i="31"/>
  <c r="AD59" i="31" s="1"/>
  <c r="AD58" i="31"/>
  <c r="AC63" i="31"/>
  <c r="AA45" i="45"/>
  <c r="AO45" i="45" s="1"/>
  <c r="W45" i="45"/>
  <c r="AA44" i="45"/>
  <c r="AO44" i="45" s="1"/>
  <c r="W44" i="45"/>
  <c r="AD54" i="50"/>
  <c r="AA45" i="37"/>
  <c r="AO45" i="37" s="1"/>
  <c r="W45" i="37"/>
  <c r="AA44" i="37"/>
  <c r="AO44" i="37" s="1"/>
  <c r="W44" i="37"/>
  <c r="O66" i="38"/>
  <c r="O62" i="38"/>
  <c r="P61" i="38"/>
  <c r="P53" i="36"/>
  <c r="Q53" i="36" s="1"/>
  <c r="O54" i="36"/>
  <c r="AD53" i="43"/>
  <c r="AD49" i="43"/>
  <c r="P40" i="50"/>
  <c r="B50" i="43"/>
  <c r="AA45" i="40"/>
  <c r="AO45" i="40" s="1"/>
  <c r="W45" i="40"/>
  <c r="AA44" i="40"/>
  <c r="AO44" i="40" s="1"/>
  <c r="W44" i="40"/>
  <c r="P40" i="26"/>
  <c r="P44" i="29"/>
  <c r="P40" i="34"/>
  <c r="P42" i="59"/>
  <c r="P47" i="59"/>
  <c r="AD49" i="48"/>
  <c r="AD49" i="45"/>
  <c r="O62" i="42"/>
  <c r="P61" i="42"/>
  <c r="O66" i="42"/>
  <c r="P56" i="37"/>
  <c r="O61" i="37"/>
  <c r="O57" i="37"/>
  <c r="A54" i="37"/>
  <c r="B53" i="37"/>
  <c r="B57" i="30"/>
  <c r="A58" i="30"/>
  <c r="O49" i="28"/>
  <c r="P48" i="28"/>
  <c r="Q48" i="28" s="1"/>
  <c r="A63" i="27"/>
  <c r="B62" i="27"/>
  <c r="O53" i="50"/>
  <c r="P52" i="50"/>
  <c r="C44" i="48"/>
  <c r="P56" i="48"/>
  <c r="A55" i="47"/>
  <c r="B55" i="47" s="1"/>
  <c r="B54" i="47"/>
  <c r="AI72" i="46"/>
  <c r="AL74" i="46"/>
  <c r="AH74" i="46"/>
  <c r="AH75" i="46"/>
  <c r="AL75" i="46"/>
  <c r="B50" i="46"/>
  <c r="P57" i="41"/>
  <c r="O58" i="41"/>
  <c r="AC54" i="35"/>
  <c r="AD54" i="35" s="1"/>
  <c r="AD53" i="35"/>
  <c r="AC58" i="35"/>
  <c r="AL44" i="37"/>
  <c r="AH44" i="37"/>
  <c r="AL45" i="37"/>
  <c r="AH45" i="37"/>
  <c r="B66" i="35"/>
  <c r="A71" i="35"/>
  <c r="A67" i="35"/>
  <c r="O50" i="32"/>
  <c r="P50" i="32" s="1"/>
  <c r="P49" i="32"/>
  <c r="P56" i="30"/>
  <c r="AC63" i="30"/>
  <c r="AC59" i="30"/>
  <c r="AD59" i="30" s="1"/>
  <c r="AD58" i="30"/>
  <c r="C47" i="59"/>
  <c r="AD49" i="49"/>
  <c r="B66" i="34"/>
  <c r="A71" i="34"/>
  <c r="A67" i="34"/>
  <c r="A55" i="32"/>
  <c r="B55" i="32" s="1"/>
  <c r="B54" i="32"/>
  <c r="P56" i="26"/>
  <c r="AC1" i="23"/>
  <c r="AC1" i="15"/>
  <c r="AC1" i="17"/>
  <c r="P40" i="48"/>
  <c r="AD49" i="44"/>
  <c r="AA45" i="41"/>
  <c r="AO45" i="41" s="1"/>
  <c r="W45" i="41"/>
  <c r="AA44" i="41"/>
  <c r="AO44" i="41" s="1"/>
  <c r="W44" i="41"/>
  <c r="AD49" i="42"/>
  <c r="AD53" i="36"/>
  <c r="P52" i="35"/>
  <c r="P44" i="32"/>
  <c r="P40" i="29"/>
  <c r="AL54" i="32"/>
  <c r="AH54" i="32"/>
  <c r="AH55" i="32"/>
  <c r="AL55" i="32"/>
  <c r="P52" i="48"/>
  <c r="O59" i="59"/>
  <c r="P58" i="59"/>
  <c r="Q58" i="59" s="1"/>
  <c r="C44" i="45"/>
  <c r="B61" i="36"/>
  <c r="A66" i="36"/>
  <c r="A62" i="36"/>
  <c r="AD53" i="26"/>
  <c r="AC1" i="11"/>
  <c r="AC1" i="24"/>
  <c r="AJ50" i="38"/>
  <c r="AJ49" i="38"/>
  <c r="AD49" i="32"/>
  <c r="BF145" i="61"/>
  <c r="B57" i="45"/>
  <c r="A58" i="45"/>
  <c r="P56" i="43"/>
  <c r="O57" i="43"/>
  <c r="O61" i="43"/>
  <c r="B57" i="39"/>
  <c r="A58" i="39"/>
  <c r="O49" i="37"/>
  <c r="P48" i="37"/>
  <c r="Q48" i="37" s="1"/>
  <c r="O57" i="31"/>
  <c r="P56" i="31"/>
  <c r="O61" i="31"/>
  <c r="C44" i="27"/>
  <c r="B61" i="26"/>
  <c r="A62" i="26"/>
  <c r="A66" i="26"/>
  <c r="I53" i="25"/>
  <c r="BG30" i="25"/>
  <c r="AK60" i="32"/>
  <c r="B37" i="32"/>
  <c r="C37" i="32" s="1"/>
  <c r="B46" i="32"/>
  <c r="P36" i="32"/>
  <c r="Q32" i="32"/>
  <c r="AD33" i="32"/>
  <c r="B42" i="32"/>
  <c r="B46" i="35"/>
  <c r="B42" i="35"/>
  <c r="B37" i="35"/>
  <c r="C37" i="35" s="1"/>
  <c r="Q32" i="35"/>
  <c r="P36" i="35"/>
  <c r="AK60" i="35"/>
  <c r="AD33" i="35"/>
  <c r="B46" i="38"/>
  <c r="B42" i="38"/>
  <c r="B37" i="38"/>
  <c r="C37" i="38" s="1"/>
  <c r="Q32" i="38"/>
  <c r="P36" i="38"/>
  <c r="AK60" i="38"/>
  <c r="AD33" i="38"/>
  <c r="B46" i="41"/>
  <c r="B42" i="41"/>
  <c r="B37" i="41"/>
  <c r="C37" i="41" s="1"/>
  <c r="Q32" i="41"/>
  <c r="P36" i="41"/>
  <c r="AK60" i="41"/>
  <c r="AD33" i="41"/>
  <c r="AK60" i="47"/>
  <c r="B46" i="47"/>
  <c r="B42" i="47"/>
  <c r="B37" i="47"/>
  <c r="C37" i="47" s="1"/>
  <c r="Q32" i="47"/>
  <c r="P36" i="47"/>
  <c r="AD33" i="47"/>
  <c r="P36" i="49"/>
  <c r="AK60" i="49"/>
  <c r="AD33" i="49"/>
  <c r="B37" i="49"/>
  <c r="C37" i="49" s="1"/>
  <c r="Q32" i="49"/>
  <c r="B42" i="49"/>
  <c r="B46" i="49"/>
  <c r="O57" i="49"/>
  <c r="P56" i="49"/>
  <c r="O61" i="49"/>
  <c r="C44" i="47"/>
  <c r="P61" i="47"/>
  <c r="O66" i="47"/>
  <c r="O62" i="47"/>
  <c r="O53" i="40"/>
  <c r="P52" i="40"/>
  <c r="P52" i="41"/>
  <c r="A50" i="37"/>
  <c r="B50" i="37" s="1"/>
  <c r="B49" i="37"/>
  <c r="A50" i="27"/>
  <c r="B50" i="27" s="1"/>
  <c r="B49" i="27"/>
  <c r="AD49" i="30"/>
  <c r="AD49" i="27"/>
  <c r="Z4" i="4"/>
  <c r="W1" i="4" s="1"/>
  <c r="AC4" i="4"/>
  <c r="AC5" i="4" s="1"/>
  <c r="AC6" i="4" s="1"/>
  <c r="AC7" i="4" s="1"/>
  <c r="AC8" i="4" s="1"/>
  <c r="AC9" i="4" s="1"/>
  <c r="AC10" i="4" s="1"/>
  <c r="AC11" i="4" s="1"/>
  <c r="AC12" i="4" s="1"/>
  <c r="AC13" i="4" s="1"/>
  <c r="AC14" i="4" s="1"/>
  <c r="AC15" i="4" s="1"/>
  <c r="AC16" i="4" s="1"/>
  <c r="AS4" i="4"/>
  <c r="W4" i="4"/>
  <c r="C4" i="4"/>
  <c r="E4" i="4"/>
  <c r="AS4" i="3"/>
  <c r="W4" i="3"/>
  <c r="Z4" i="3"/>
  <c r="AC4" i="3"/>
  <c r="AC5" i="3" s="1"/>
  <c r="AC6" i="3" s="1"/>
  <c r="AC7" i="3" s="1"/>
  <c r="AC8" i="3" s="1"/>
  <c r="AC9" i="3" s="1"/>
  <c r="AC10" i="3" s="1"/>
  <c r="AC11" i="3" s="1"/>
  <c r="AC12" i="3" s="1"/>
  <c r="AC13" i="3" s="1"/>
  <c r="AC14" i="3" s="1"/>
  <c r="AC15" i="3" s="1"/>
  <c r="AC16" i="3" s="1"/>
  <c r="E4" i="8"/>
  <c r="C4" i="8"/>
  <c r="C4" i="16"/>
  <c r="E4" i="16"/>
  <c r="C4" i="24"/>
  <c r="E4" i="24"/>
  <c r="AC4" i="10"/>
  <c r="AC5" i="10" s="1"/>
  <c r="AC6" i="10" s="1"/>
  <c r="AC7" i="10" s="1"/>
  <c r="AC8" i="10" s="1"/>
  <c r="AC9" i="10" s="1"/>
  <c r="AC10" i="10" s="1"/>
  <c r="AC11" i="10" s="1"/>
  <c r="AC12" i="10" s="1"/>
  <c r="AC13" i="10" s="1"/>
  <c r="AC14" i="10" s="1"/>
  <c r="AC15" i="10" s="1"/>
  <c r="AC16" i="10" s="1"/>
  <c r="AS4" i="10"/>
  <c r="W4" i="10"/>
  <c r="Z4" i="10"/>
  <c r="W1" i="10" s="1"/>
  <c r="AC4" i="18"/>
  <c r="AC5" i="18" s="1"/>
  <c r="AC6" i="18" s="1"/>
  <c r="AC7" i="18" s="1"/>
  <c r="AC8" i="18" s="1"/>
  <c r="AC9" i="18" s="1"/>
  <c r="AC10" i="18" s="1"/>
  <c r="AC11" i="18" s="1"/>
  <c r="AC12" i="18" s="1"/>
  <c r="AC13" i="18" s="1"/>
  <c r="AC14" i="18" s="1"/>
  <c r="AC15" i="18" s="1"/>
  <c r="AC16" i="18" s="1"/>
  <c r="AS4" i="18"/>
  <c r="W4" i="18"/>
  <c r="Z4" i="18"/>
  <c r="W1" i="18" s="1"/>
  <c r="E4" i="10"/>
  <c r="C4" i="10"/>
  <c r="E4" i="18"/>
  <c r="C4" i="18"/>
  <c r="E4" i="11"/>
  <c r="C4" i="11"/>
  <c r="E4" i="19"/>
  <c r="C4" i="19"/>
  <c r="E4" i="23"/>
  <c r="C4" i="23"/>
  <c r="C4" i="53"/>
  <c r="E4" i="53"/>
  <c r="A156" i="61"/>
  <c r="AB156" i="61"/>
  <c r="AB70" i="61"/>
  <c r="CK30" i="61"/>
  <c r="CK5" i="61"/>
  <c r="CG5" i="61"/>
  <c r="CH5" i="61" s="1"/>
  <c r="CI5" i="61" s="1"/>
  <c r="O69" i="59"/>
  <c r="P68" i="59"/>
  <c r="O74" i="59"/>
  <c r="AJ49" i="49"/>
  <c r="AJ50" i="49"/>
  <c r="P40" i="45"/>
  <c r="AJ65" i="40"/>
  <c r="AJ64" i="40"/>
  <c r="A50" i="31"/>
  <c r="B50" i="31" s="1"/>
  <c r="B49" i="31"/>
  <c r="AL44" i="34"/>
  <c r="AH44" i="34"/>
  <c r="AL45" i="34"/>
  <c r="AH45" i="34"/>
  <c r="B62" i="28"/>
  <c r="A63" i="28"/>
  <c r="O54" i="26"/>
  <c r="P53" i="26"/>
  <c r="Q53" i="26" s="1"/>
  <c r="AC1" i="22"/>
  <c r="AC1" i="14"/>
  <c r="AC1" i="4"/>
  <c r="AA48" i="59"/>
  <c r="AQ48" i="59" s="1"/>
  <c r="AA47" i="59"/>
  <c r="AQ47" i="59" s="1"/>
  <c r="B57" i="46"/>
  <c r="A58" i="46"/>
  <c r="AA45" i="46"/>
  <c r="AO45" i="46" s="1"/>
  <c r="W44" i="46"/>
  <c r="W45" i="46"/>
  <c r="AA44" i="46"/>
  <c r="AO44" i="46" s="1"/>
  <c r="P44" i="43"/>
  <c r="O45" i="43"/>
  <c r="P45" i="43" s="1"/>
  <c r="AJ49" i="42"/>
  <c r="AJ50" i="42"/>
  <c r="C44" i="42"/>
  <c r="AJ50" i="29"/>
  <c r="AJ49" i="29"/>
  <c r="AD49" i="33"/>
  <c r="P52" i="47"/>
  <c r="A59" i="31"/>
  <c r="B58" i="31"/>
  <c r="AC59" i="28"/>
  <c r="AD59" i="28" s="1"/>
  <c r="AD58" i="28"/>
  <c r="AC63" i="28"/>
  <c r="AC1" i="8"/>
  <c r="I53" i="16"/>
  <c r="BG30" i="16"/>
  <c r="AJ50" i="43"/>
  <c r="AJ49" i="43"/>
  <c r="AA45" i="28"/>
  <c r="AO45" i="28" s="1"/>
  <c r="W45" i="28"/>
  <c r="AA44" i="28"/>
  <c r="AO44" i="28" s="1"/>
  <c r="W44" i="28"/>
  <c r="W5" i="22"/>
  <c r="W5" i="14"/>
  <c r="W5" i="21"/>
  <c r="W5" i="13"/>
  <c r="Z5" i="6"/>
  <c r="AJ124" i="43"/>
  <c r="AJ125" i="43"/>
  <c r="A54" i="45"/>
  <c r="B53" i="45"/>
  <c r="AC59" i="45"/>
  <c r="AD59" i="45" s="1"/>
  <c r="AD58" i="45"/>
  <c r="AC63" i="45"/>
  <c r="A63" i="44"/>
  <c r="B62" i="44"/>
  <c r="P53" i="42"/>
  <c r="Q53" i="42" s="1"/>
  <c r="O54" i="42"/>
  <c r="A54" i="39"/>
  <c r="B53" i="39"/>
  <c r="P64" i="32"/>
  <c r="O65" i="32"/>
  <c r="P65" i="32" s="1"/>
  <c r="AD53" i="34"/>
  <c r="AI52" i="34" s="1"/>
  <c r="BD149" i="61"/>
  <c r="BD133" i="61"/>
  <c r="AL44" i="50"/>
  <c r="AH44" i="50"/>
  <c r="AL45" i="50"/>
  <c r="AH45" i="50"/>
  <c r="AD49" i="41"/>
  <c r="AC59" i="49"/>
  <c r="AD59" i="49" s="1"/>
  <c r="AD58" i="49"/>
  <c r="AC63" i="49"/>
  <c r="P56" i="45"/>
  <c r="O61" i="45"/>
  <c r="O57" i="45"/>
  <c r="C44" i="30"/>
  <c r="AC143" i="43"/>
  <c r="AC139" i="43"/>
  <c r="AD139" i="43" s="1"/>
  <c r="AD138" i="43"/>
  <c r="AD39" i="31"/>
  <c r="Q34" i="31"/>
  <c r="B39" i="31"/>
  <c r="C39" i="31" s="1"/>
  <c r="P42" i="31"/>
  <c r="P38" i="31"/>
  <c r="Q38" i="31" s="1"/>
  <c r="AD43" i="31"/>
  <c r="AI42" i="31" s="1"/>
  <c r="P46" i="31"/>
  <c r="B52" i="31"/>
  <c r="B56" i="31"/>
  <c r="B44" i="31"/>
  <c r="Q34" i="30"/>
  <c r="B39" i="30"/>
  <c r="C39" i="30" s="1"/>
  <c r="AD43" i="30"/>
  <c r="AI42" i="30" s="1"/>
  <c r="P42" i="30"/>
  <c r="P46" i="30"/>
  <c r="P38" i="30"/>
  <c r="Q38" i="30" s="1"/>
  <c r="AD39" i="30"/>
  <c r="Q34" i="35"/>
  <c r="P42" i="35"/>
  <c r="B39" i="35"/>
  <c r="C39" i="35" s="1"/>
  <c r="AD39" i="35"/>
  <c r="P46" i="35"/>
  <c r="P38" i="35"/>
  <c r="B44" i="35"/>
  <c r="B52" i="35"/>
  <c r="AD43" i="35"/>
  <c r="B56" i="35"/>
  <c r="B39" i="40"/>
  <c r="C39" i="40" s="1"/>
  <c r="Q34" i="40"/>
  <c r="AD39" i="40"/>
  <c r="P38" i="40"/>
  <c r="Q38" i="40" s="1"/>
  <c r="AD43" i="40"/>
  <c r="AI42" i="40" s="1"/>
  <c r="B56" i="40"/>
  <c r="P42" i="40"/>
  <c r="P46" i="40"/>
  <c r="B52" i="40"/>
  <c r="B44" i="40"/>
  <c r="Q34" i="44"/>
  <c r="AD39" i="44"/>
  <c r="P38" i="44"/>
  <c r="Q38" i="44" s="1"/>
  <c r="B39" i="44"/>
  <c r="C39" i="44" s="1"/>
  <c r="P42" i="44"/>
  <c r="Q44" i="44" s="1"/>
  <c r="B44" i="44"/>
  <c r="B56" i="44"/>
  <c r="P46" i="44"/>
  <c r="AD43" i="44"/>
  <c r="B52" i="44"/>
  <c r="Q34" i="47"/>
  <c r="AD39" i="47"/>
  <c r="B39" i="47"/>
  <c r="C39" i="47" s="1"/>
  <c r="P46" i="47"/>
  <c r="P38" i="47"/>
  <c r="Q38" i="47" s="1"/>
  <c r="AD43" i="47"/>
  <c r="B44" i="47"/>
  <c r="P42" i="47"/>
  <c r="B52" i="47"/>
  <c r="B56" i="47"/>
  <c r="AE155" i="61"/>
  <c r="D155" i="61"/>
  <c r="AE69" i="61"/>
  <c r="W5" i="3"/>
  <c r="AH155" i="61"/>
  <c r="G155" i="61"/>
  <c r="AH69" i="61"/>
  <c r="BD142" i="61"/>
  <c r="AD53" i="48"/>
  <c r="P45" i="49"/>
  <c r="B48" i="42"/>
  <c r="B61" i="43"/>
  <c r="A62" i="43"/>
  <c r="A66" i="43"/>
  <c r="P48" i="41"/>
  <c r="Q48" i="41" s="1"/>
  <c r="B56" i="37"/>
  <c r="P56" i="28"/>
  <c r="O61" i="28"/>
  <c r="O57" i="28"/>
  <c r="P44" i="26"/>
  <c r="A50" i="26"/>
  <c r="B50" i="26" s="1"/>
  <c r="B49" i="26"/>
  <c r="P41" i="26"/>
  <c r="Q33" i="26"/>
  <c r="B38" i="26"/>
  <c r="C38" i="26" s="1"/>
  <c r="AD34" i="26"/>
  <c r="P37" i="26"/>
  <c r="AD38" i="26"/>
  <c r="B43" i="26"/>
  <c r="B47" i="26"/>
  <c r="B51" i="26"/>
  <c r="Q33" i="28"/>
  <c r="AD38" i="28"/>
  <c r="B38" i="28"/>
  <c r="C38" i="28" s="1"/>
  <c r="P37" i="28"/>
  <c r="AD34" i="28"/>
  <c r="B51" i="28"/>
  <c r="B43" i="28"/>
  <c r="P41" i="28"/>
  <c r="B47" i="28"/>
  <c r="P41" i="33"/>
  <c r="Q33" i="33"/>
  <c r="AD38" i="33"/>
  <c r="B38" i="33"/>
  <c r="C38" i="33" s="1"/>
  <c r="AD34" i="33"/>
  <c r="B43" i="33"/>
  <c r="B51" i="33"/>
  <c r="P37" i="33"/>
  <c r="B47" i="33"/>
  <c r="Q33" i="37"/>
  <c r="AD38" i="37"/>
  <c r="P41" i="37"/>
  <c r="AD34" i="37"/>
  <c r="P37" i="37"/>
  <c r="B38" i="37"/>
  <c r="C38" i="37" s="1"/>
  <c r="B47" i="37"/>
  <c r="B43" i="37"/>
  <c r="B51" i="37"/>
  <c r="Q33" i="43"/>
  <c r="AD38" i="43"/>
  <c r="AD34" i="43"/>
  <c r="B38" i="43"/>
  <c r="C38" i="43" s="1"/>
  <c r="P41" i="43"/>
  <c r="B47" i="43"/>
  <c r="P37" i="43"/>
  <c r="B51" i="43"/>
  <c r="B43" i="43"/>
  <c r="Q33" i="46"/>
  <c r="AD38" i="46"/>
  <c r="B47" i="46"/>
  <c r="AD34" i="46"/>
  <c r="P37" i="46"/>
  <c r="P41" i="46"/>
  <c r="B38" i="46"/>
  <c r="C38" i="46" s="1"/>
  <c r="B51" i="46"/>
  <c r="B43" i="46"/>
  <c r="B40" i="59"/>
  <c r="C40" i="59" s="1"/>
  <c r="P39" i="59"/>
  <c r="Q34" i="59"/>
  <c r="P44" i="59"/>
  <c r="AD40" i="59"/>
  <c r="B46" i="59"/>
  <c r="AD35" i="59"/>
  <c r="B56" i="59"/>
  <c r="B51" i="59"/>
  <c r="AD155" i="61"/>
  <c r="C155" i="61"/>
  <c r="AD69" i="61"/>
  <c r="BD130" i="61"/>
  <c r="P52" i="59"/>
  <c r="Q52" i="59" s="1"/>
  <c r="A71" i="49"/>
  <c r="A67" i="49"/>
  <c r="B66" i="49"/>
  <c r="A55" i="42"/>
  <c r="B55" i="42" s="1"/>
  <c r="B54" i="42"/>
  <c r="A50" i="38"/>
  <c r="B50" i="38" s="1"/>
  <c r="B49" i="38"/>
  <c r="B48" i="30"/>
  <c r="O50" i="36"/>
  <c r="P50" i="36" s="1"/>
  <c r="P49" i="36"/>
  <c r="P57" i="29"/>
  <c r="O58" i="29"/>
  <c r="I53" i="15"/>
  <c r="BG30" i="15"/>
  <c r="BD137" i="61"/>
  <c r="AA45" i="47"/>
  <c r="AO45" i="47" s="1"/>
  <c r="W45" i="47"/>
  <c r="AA44" i="47"/>
  <c r="AO44" i="47" s="1"/>
  <c r="W44" i="47"/>
  <c r="AD59" i="40"/>
  <c r="P77" i="32"/>
  <c r="O78" i="32"/>
  <c r="P44" i="31"/>
  <c r="J155" i="61"/>
  <c r="AK155" i="61"/>
  <c r="AK69" i="61"/>
  <c r="AL45" i="46"/>
  <c r="AL44" i="46"/>
  <c r="AH45" i="46"/>
  <c r="AH44" i="46"/>
  <c r="AA45" i="42"/>
  <c r="AO45" i="42" s="1"/>
  <c r="W45" i="42"/>
  <c r="AA44" i="42"/>
  <c r="AO44" i="42" s="1"/>
  <c r="W44" i="42"/>
  <c r="A50" i="49"/>
  <c r="B50" i="49" s="1"/>
  <c r="B49" i="49"/>
  <c r="AC63" i="42"/>
  <c r="AC59" i="42"/>
  <c r="AD59" i="42" s="1"/>
  <c r="AD58" i="42"/>
  <c r="P56" i="35"/>
  <c r="AD53" i="33"/>
  <c r="AD53" i="31"/>
  <c r="P44" i="37"/>
  <c r="O45" i="37"/>
  <c r="P45" i="37" s="1"/>
  <c r="AA45" i="34"/>
  <c r="AO45" i="34" s="1"/>
  <c r="W45" i="34"/>
  <c r="AA44" i="34"/>
  <c r="AO44" i="34" s="1"/>
  <c r="W44" i="34"/>
  <c r="P52" i="36"/>
  <c r="P44" i="38"/>
  <c r="P40" i="38"/>
  <c r="P48" i="43"/>
  <c r="Q48" i="43" s="1"/>
  <c r="O49" i="43"/>
  <c r="AI47" i="34"/>
  <c r="AL49" i="34"/>
  <c r="AH49" i="34"/>
  <c r="AL50" i="34"/>
  <c r="AH50" i="34"/>
  <c r="A71" i="27"/>
  <c r="A67" i="27"/>
  <c r="B66" i="27"/>
  <c r="AN59" i="59"/>
  <c r="AJ59" i="59"/>
  <c r="AN60" i="59"/>
  <c r="AJ60" i="59"/>
  <c r="AK57" i="59"/>
  <c r="P56" i="50"/>
  <c r="O61" i="50"/>
  <c r="O57" i="50"/>
  <c r="P57" i="48"/>
  <c r="O58" i="48"/>
  <c r="AA45" i="44"/>
  <c r="AO45" i="44" s="1"/>
  <c r="W45" i="44"/>
  <c r="AA44" i="44"/>
  <c r="AO44" i="44" s="1"/>
  <c r="W44" i="44"/>
  <c r="O66" i="41"/>
  <c r="O62" i="41"/>
  <c r="P61" i="41"/>
  <c r="AJ50" i="35"/>
  <c r="AJ49" i="35"/>
  <c r="W70" i="32"/>
  <c r="AA69" i="32"/>
  <c r="AO69" i="32" s="1"/>
  <c r="W69" i="32"/>
  <c r="AA70" i="32"/>
  <c r="AO70" i="32" s="1"/>
  <c r="C44" i="35"/>
  <c r="P57" i="30"/>
  <c r="O58" i="30"/>
  <c r="O54" i="29"/>
  <c r="P53" i="29"/>
  <c r="Q53" i="29" s="1"/>
  <c r="C44" i="26"/>
  <c r="BL144" i="61"/>
  <c r="BH144" i="61"/>
  <c r="BK144" i="61"/>
  <c r="BG144" i="61"/>
  <c r="BJ144" i="61"/>
  <c r="BF144" i="61"/>
  <c r="BI144" i="61"/>
  <c r="BE144" i="61"/>
  <c r="B63" i="59"/>
  <c r="A64" i="59"/>
  <c r="B62" i="50"/>
  <c r="A63" i="50"/>
  <c r="C44" i="39"/>
  <c r="O50" i="38"/>
  <c r="P50" i="38" s="1"/>
  <c r="P49" i="38"/>
  <c r="P40" i="27"/>
  <c r="AD49" i="28"/>
  <c r="AJ50" i="26"/>
  <c r="AJ49" i="26"/>
  <c r="BG141" i="61"/>
  <c r="BE141" i="61"/>
  <c r="AC1" i="20"/>
  <c r="AC1" i="12"/>
  <c r="AC1" i="1"/>
  <c r="P48" i="46"/>
  <c r="Q48" i="46" s="1"/>
  <c r="O49" i="46"/>
  <c r="O45" i="41"/>
  <c r="P45" i="41" s="1"/>
  <c r="P44" i="41"/>
  <c r="C44" i="40"/>
  <c r="AC59" i="37"/>
  <c r="AD59" i="37" s="1"/>
  <c r="AD58" i="37"/>
  <c r="AC63" i="37"/>
  <c r="AL55" i="36"/>
  <c r="O66" i="36"/>
  <c r="O62" i="36"/>
  <c r="P61" i="36"/>
  <c r="C44" i="28"/>
  <c r="P57" i="59"/>
  <c r="M45" i="41"/>
  <c r="I45" i="41"/>
  <c r="G44" i="41"/>
  <c r="M44" i="41"/>
  <c r="I44" i="41"/>
  <c r="A54" i="46"/>
  <c r="B53" i="46"/>
  <c r="AD49" i="38"/>
  <c r="BE136" i="61"/>
  <c r="B61" i="45"/>
  <c r="A66" i="45"/>
  <c r="A62" i="45"/>
  <c r="P52" i="43"/>
  <c r="O53" i="43"/>
  <c r="B61" i="39"/>
  <c r="A66" i="39"/>
  <c r="A62" i="39"/>
  <c r="O53" i="33"/>
  <c r="P52" i="33"/>
  <c r="AL45" i="30"/>
  <c r="AH45" i="30"/>
  <c r="AL44" i="30"/>
  <c r="AH44" i="30"/>
  <c r="B57" i="26"/>
  <c r="A58" i="26"/>
  <c r="B46" i="29"/>
  <c r="B42" i="29"/>
  <c r="B37" i="29"/>
  <c r="C37" i="29" s="1"/>
  <c r="Q32" i="29"/>
  <c r="P36" i="29"/>
  <c r="AK60" i="29"/>
  <c r="AD33" i="29"/>
  <c r="P36" i="27"/>
  <c r="AK60" i="27"/>
  <c r="AD33" i="27"/>
  <c r="B37" i="27"/>
  <c r="C37" i="27" s="1"/>
  <c r="Q32" i="27"/>
  <c r="B42" i="27"/>
  <c r="B46" i="27"/>
  <c r="B37" i="36"/>
  <c r="C37" i="36" s="1"/>
  <c r="Q32" i="36"/>
  <c r="P36" i="36"/>
  <c r="AK60" i="36"/>
  <c r="AD33" i="36"/>
  <c r="B42" i="36"/>
  <c r="B46" i="36"/>
  <c r="B37" i="39"/>
  <c r="C37" i="39" s="1"/>
  <c r="Q32" i="39"/>
  <c r="P36" i="39"/>
  <c r="AK60" i="39"/>
  <c r="AD33" i="39"/>
  <c r="B42" i="39"/>
  <c r="B46" i="39"/>
  <c r="B46" i="42"/>
  <c r="B42" i="42"/>
  <c r="B37" i="42"/>
  <c r="C37" i="42" s="1"/>
  <c r="Q32" i="42"/>
  <c r="P36" i="42"/>
  <c r="AK60" i="42"/>
  <c r="AD33" i="42"/>
  <c r="AK60" i="45"/>
  <c r="AD33" i="45"/>
  <c r="B37" i="45"/>
  <c r="C37" i="45" s="1"/>
  <c r="Q32" i="45"/>
  <c r="P36" i="45"/>
  <c r="B42" i="45"/>
  <c r="B46" i="45"/>
  <c r="B1" i="53"/>
  <c r="AD53" i="59"/>
  <c r="B62" i="41"/>
  <c r="A63" i="41"/>
  <c r="P56" i="40"/>
  <c r="O61" i="40"/>
  <c r="O57" i="40"/>
  <c r="P40" i="37"/>
  <c r="AC63" i="39"/>
  <c r="AC59" i="39"/>
  <c r="AD59" i="39" s="1"/>
  <c r="AD58" i="39"/>
  <c r="A59" i="35"/>
  <c r="B58" i="35"/>
  <c r="O53" i="27"/>
  <c r="P52" i="27"/>
  <c r="AC4" i="5"/>
  <c r="AC5" i="5" s="1"/>
  <c r="AC6" i="5" s="1"/>
  <c r="AC7" i="5" s="1"/>
  <c r="AC8" i="5" s="1"/>
  <c r="AC9" i="5" s="1"/>
  <c r="AC10" i="5" s="1"/>
  <c r="AC11" i="5" s="1"/>
  <c r="AC12" i="5" s="1"/>
  <c r="AC13" i="5" s="1"/>
  <c r="AC14" i="5" s="1"/>
  <c r="AC15" i="5" s="1"/>
  <c r="AC16" i="5" s="1"/>
  <c r="AS4" i="5"/>
  <c r="W4" i="5"/>
  <c r="Z4" i="5"/>
  <c r="W1" i="5" s="1"/>
  <c r="AS4" i="2"/>
  <c r="W4" i="2"/>
  <c r="Z4" i="2"/>
  <c r="W1" i="2" s="1"/>
  <c r="AC4" i="2"/>
  <c r="AC5" i="2" s="1"/>
  <c r="AC6" i="2" s="1"/>
  <c r="AC7" i="2" s="1"/>
  <c r="AC8" i="2" s="1"/>
  <c r="AC9" i="2" s="1"/>
  <c r="AC10" i="2" s="1"/>
  <c r="AC11" i="2" s="1"/>
  <c r="AC12" i="2" s="1"/>
  <c r="AC13" i="2" s="1"/>
  <c r="AC14" i="2" s="1"/>
  <c r="AC15" i="2" s="1"/>
  <c r="AC16" i="2" s="1"/>
  <c r="AS4" i="1"/>
  <c r="Z4" i="1"/>
  <c r="W1" i="1" s="1"/>
  <c r="AC4" i="1"/>
  <c r="AC5" i="1" s="1"/>
  <c r="AC6" i="1" s="1"/>
  <c r="AC7" i="1" s="1"/>
  <c r="AC8" i="1" s="1"/>
  <c r="AC9" i="1" s="1"/>
  <c r="AC10" i="1" s="1"/>
  <c r="AC11" i="1" s="1"/>
  <c r="AC12" i="1" s="1"/>
  <c r="AC13" i="1" s="1"/>
  <c r="AC14" i="1" s="1"/>
  <c r="AC15" i="1" s="1"/>
  <c r="AC16" i="1" s="1"/>
  <c r="W4" i="1"/>
  <c r="E4" i="6"/>
  <c r="C4" i="6"/>
  <c r="AC4" i="9"/>
  <c r="AC5" i="9" s="1"/>
  <c r="AC6" i="9" s="1"/>
  <c r="AC7" i="9" s="1"/>
  <c r="AC8" i="9" s="1"/>
  <c r="AC9" i="9" s="1"/>
  <c r="AC10" i="9" s="1"/>
  <c r="AC11" i="9" s="1"/>
  <c r="AC12" i="9" s="1"/>
  <c r="AC13" i="9" s="1"/>
  <c r="AC14" i="9" s="1"/>
  <c r="AC15" i="9" s="1"/>
  <c r="AC16" i="9" s="1"/>
  <c r="AS4" i="9"/>
  <c r="W4" i="9"/>
  <c r="Z4" i="9"/>
  <c r="W1" i="9" s="1"/>
  <c r="Z4" i="17"/>
  <c r="W1" i="17" s="1"/>
  <c r="AC4" i="17"/>
  <c r="AC5" i="17" s="1"/>
  <c r="AC6" i="17" s="1"/>
  <c r="AC7" i="17" s="1"/>
  <c r="AC8" i="17" s="1"/>
  <c r="AC9" i="17" s="1"/>
  <c r="AC10" i="17" s="1"/>
  <c r="AC11" i="17" s="1"/>
  <c r="AC12" i="17" s="1"/>
  <c r="AC13" i="17" s="1"/>
  <c r="AC14" i="17" s="1"/>
  <c r="AC15" i="17" s="1"/>
  <c r="AC16" i="17" s="1"/>
  <c r="AS4" i="17"/>
  <c r="W4" i="17"/>
  <c r="C4" i="13"/>
  <c r="E4" i="13"/>
  <c r="C4" i="21"/>
  <c r="E4" i="21"/>
  <c r="AS4" i="11"/>
  <c r="W4" i="11"/>
  <c r="Z4" i="11"/>
  <c r="W1" i="11" s="1"/>
  <c r="AC4" i="11"/>
  <c r="AC5" i="11" s="1"/>
  <c r="AC6" i="11" s="1"/>
  <c r="AC7" i="11" s="1"/>
  <c r="AC8" i="11" s="1"/>
  <c r="AC9" i="11" s="1"/>
  <c r="AC10" i="11" s="1"/>
  <c r="AC11" i="11" s="1"/>
  <c r="AC12" i="11" s="1"/>
  <c r="AC13" i="11" s="1"/>
  <c r="AC14" i="11" s="1"/>
  <c r="AC15" i="11" s="1"/>
  <c r="AC16" i="11" s="1"/>
  <c r="AS4" i="19"/>
  <c r="W4" i="19"/>
  <c r="Z4" i="19"/>
  <c r="W1" i="19" s="1"/>
  <c r="AC4" i="19"/>
  <c r="AC5" i="19" s="1"/>
  <c r="AC6" i="19" s="1"/>
  <c r="AC7" i="19" s="1"/>
  <c r="AC8" i="19" s="1"/>
  <c r="AC9" i="19" s="1"/>
  <c r="AC10" i="19" s="1"/>
  <c r="AC11" i="19" s="1"/>
  <c r="AC12" i="19" s="1"/>
  <c r="AC13" i="19" s="1"/>
  <c r="AC14" i="19" s="1"/>
  <c r="AC15" i="19" s="1"/>
  <c r="AC16" i="19" s="1"/>
  <c r="AS4" i="12"/>
  <c r="W4" i="12"/>
  <c r="Z4" i="12"/>
  <c r="W1" i="12" s="1"/>
  <c r="AC4" i="12"/>
  <c r="AC5" i="12" s="1"/>
  <c r="AC6" i="12" s="1"/>
  <c r="AC7" i="12" s="1"/>
  <c r="AC8" i="12" s="1"/>
  <c r="AC9" i="12" s="1"/>
  <c r="AC10" i="12" s="1"/>
  <c r="AC11" i="12" s="1"/>
  <c r="AC12" i="12" s="1"/>
  <c r="AC13" i="12" s="1"/>
  <c r="AC14" i="12" s="1"/>
  <c r="AC15" i="12" s="1"/>
  <c r="AC16" i="12" s="1"/>
  <c r="AS4" i="20"/>
  <c r="W4" i="20"/>
  <c r="Z4" i="20"/>
  <c r="W1" i="20" s="1"/>
  <c r="AC4" i="20"/>
  <c r="AC5" i="20" s="1"/>
  <c r="AC6" i="20" s="1"/>
  <c r="AC7" i="20" s="1"/>
  <c r="AC8" i="20" s="1"/>
  <c r="AC9" i="20" s="1"/>
  <c r="AC10" i="20" s="1"/>
  <c r="AC11" i="20" s="1"/>
  <c r="AC12" i="20" s="1"/>
  <c r="AC13" i="20" s="1"/>
  <c r="AC14" i="20" s="1"/>
  <c r="AC15" i="20" s="1"/>
  <c r="AC16" i="20" s="1"/>
  <c r="AS4" i="24"/>
  <c r="W4" i="24"/>
  <c r="Z4" i="24"/>
  <c r="W1" i="24" s="1"/>
  <c r="AC4" i="24"/>
  <c r="AC5" i="24" s="1"/>
  <c r="AC6" i="24" s="1"/>
  <c r="AC7" i="24" s="1"/>
  <c r="AC8" i="24" s="1"/>
  <c r="AC9" i="24" s="1"/>
  <c r="AC10" i="24" s="1"/>
  <c r="AC11" i="24" s="1"/>
  <c r="AC12" i="24" s="1"/>
  <c r="AC13" i="24" s="1"/>
  <c r="AC14" i="24" s="1"/>
  <c r="AC15" i="24" s="1"/>
  <c r="AC16" i="24" s="1"/>
  <c r="C4" i="50"/>
  <c r="BD98" i="61"/>
  <c r="P62" i="59"/>
  <c r="AC54" i="47"/>
  <c r="AD54" i="47" s="1"/>
  <c r="AD53" i="47"/>
  <c r="AC58" i="47"/>
  <c r="AL44" i="45"/>
  <c r="AH44" i="45"/>
  <c r="AL45" i="45"/>
  <c r="AH45" i="45"/>
  <c r="B49" i="40"/>
  <c r="A50" i="40"/>
  <c r="B50" i="40" s="1"/>
  <c r="AI62" i="40"/>
  <c r="AL64" i="40"/>
  <c r="AH64" i="40"/>
  <c r="AL65" i="40"/>
  <c r="AH65" i="40"/>
  <c r="P40" i="36"/>
  <c r="A59" i="34"/>
  <c r="B58" i="34"/>
  <c r="B66" i="28"/>
  <c r="A71" i="28"/>
  <c r="A67" i="28"/>
  <c r="P52" i="26"/>
  <c r="AD63" i="43"/>
  <c r="AD59" i="43"/>
  <c r="AD63" i="46"/>
  <c r="AD59" i="46"/>
  <c r="AI155" i="61"/>
  <c r="H155" i="61"/>
  <c r="AI69" i="61"/>
  <c r="AC1" i="3"/>
  <c r="AA45" i="29"/>
  <c r="AO45" i="29" s="1"/>
  <c r="W45" i="29"/>
  <c r="AA44" i="29"/>
  <c r="AO44" i="29" s="1"/>
  <c r="W44" i="29"/>
  <c r="B61" i="46"/>
  <c r="A62" i="46"/>
  <c r="A66" i="46"/>
  <c r="P56" i="46"/>
  <c r="O61" i="46"/>
  <c r="O57" i="46"/>
  <c r="W45" i="43"/>
  <c r="AA44" i="43"/>
  <c r="AO44" i="43" s="1"/>
  <c r="AA45" i="43"/>
  <c r="AO45" i="43" s="1"/>
  <c r="W44" i="43"/>
  <c r="B62" i="40"/>
  <c r="A63" i="40"/>
  <c r="O57" i="39"/>
  <c r="P56" i="39"/>
  <c r="O61" i="39"/>
  <c r="A50" i="33"/>
  <c r="B50" i="33" s="1"/>
  <c r="B49" i="33"/>
  <c r="A50" i="35"/>
  <c r="B50" i="35" s="1"/>
  <c r="B49" i="35"/>
  <c r="AD49" i="29"/>
  <c r="M45" i="38"/>
  <c r="I45" i="38"/>
  <c r="G44" i="38"/>
  <c r="M44" i="38"/>
  <c r="I44" i="38"/>
  <c r="A55" i="33"/>
  <c r="B55" i="33" s="1"/>
  <c r="B54" i="33"/>
  <c r="O49" i="34"/>
  <c r="P48" i="34"/>
  <c r="Q48" i="34" s="1"/>
  <c r="A63" i="33"/>
  <c r="B62" i="33"/>
  <c r="B62" i="29"/>
  <c r="A63" i="29"/>
  <c r="AD53" i="28"/>
  <c r="O50" i="48"/>
  <c r="P50" i="48" s="1"/>
  <c r="P49" i="48"/>
  <c r="P40" i="41"/>
  <c r="P44" i="28"/>
  <c r="O45" i="28"/>
  <c r="P45" i="28" s="1"/>
  <c r="Z5" i="21"/>
  <c r="Z5" i="13"/>
  <c r="W5" i="23"/>
  <c r="W5" i="15"/>
  <c r="A71" i="44"/>
  <c r="A67" i="44"/>
  <c r="B66" i="44"/>
  <c r="W54" i="32"/>
  <c r="W55" i="32"/>
  <c r="AA54" i="32"/>
  <c r="AO54" i="32" s="1"/>
  <c r="AA55" i="32"/>
  <c r="AO55" i="32" s="1"/>
  <c r="AL54" i="34"/>
  <c r="AH54" i="34"/>
  <c r="AL55" i="34"/>
  <c r="AH55" i="34"/>
  <c r="AI67" i="46"/>
  <c r="AL69" i="46"/>
  <c r="AH69" i="46"/>
  <c r="AH70" i="46"/>
  <c r="AL70" i="46"/>
  <c r="P44" i="36"/>
  <c r="BD150" i="61"/>
  <c r="AJ49" i="40"/>
  <c r="AJ50" i="40"/>
  <c r="O53" i="44"/>
  <c r="P52" i="44"/>
  <c r="BD152" i="61"/>
  <c r="B39" i="28"/>
  <c r="C39" i="28" s="1"/>
  <c r="Q34" i="28"/>
  <c r="AD43" i="28"/>
  <c r="AI42" i="28" s="1"/>
  <c r="P38" i="28"/>
  <c r="Q38" i="28" s="1"/>
  <c r="AD39" i="28"/>
  <c r="B56" i="28"/>
  <c r="B44" i="28"/>
  <c r="P46" i="28"/>
  <c r="B52" i="28"/>
  <c r="P42" i="28"/>
  <c r="Q34" i="32"/>
  <c r="B39" i="32"/>
  <c r="C39" i="32" s="1"/>
  <c r="P46" i="32"/>
  <c r="P42" i="32"/>
  <c r="B48" i="32"/>
  <c r="AD43" i="32"/>
  <c r="P38" i="32"/>
  <c r="Q38" i="32" s="1"/>
  <c r="B44" i="32"/>
  <c r="B56" i="32"/>
  <c r="B52" i="32"/>
  <c r="AD39" i="32"/>
  <c r="Q34" i="36"/>
  <c r="B39" i="36"/>
  <c r="C39" i="36" s="1"/>
  <c r="P42" i="36"/>
  <c r="AD43" i="36"/>
  <c r="AI42" i="36" s="1"/>
  <c r="P46" i="36"/>
  <c r="P38" i="36"/>
  <c r="Q38" i="36" s="1"/>
  <c r="AD39" i="36"/>
  <c r="Q34" i="39"/>
  <c r="AD43" i="39"/>
  <c r="AI42" i="39" s="1"/>
  <c r="P42" i="39"/>
  <c r="Q44" i="39" s="1"/>
  <c r="AD39" i="39"/>
  <c r="B39" i="39"/>
  <c r="C39" i="39" s="1"/>
  <c r="P46" i="39"/>
  <c r="P38" i="39"/>
  <c r="Q38" i="39" s="1"/>
  <c r="Q34" i="45"/>
  <c r="AD43" i="45"/>
  <c r="AI42" i="45" s="1"/>
  <c r="P38" i="45"/>
  <c r="Q38" i="45" s="1"/>
  <c r="B39" i="45"/>
  <c r="C39" i="45" s="1"/>
  <c r="AD39" i="45"/>
  <c r="P42" i="45"/>
  <c r="P46" i="45"/>
  <c r="Q34" i="49"/>
  <c r="P42" i="49"/>
  <c r="AD43" i="49"/>
  <c r="AI42" i="49" s="1"/>
  <c r="P38" i="49"/>
  <c r="Q38" i="49" s="1"/>
  <c r="B39" i="49"/>
  <c r="C39" i="49" s="1"/>
  <c r="AD39" i="49"/>
  <c r="P46" i="49"/>
  <c r="B52" i="49"/>
  <c r="B56" i="49"/>
  <c r="B44" i="49"/>
  <c r="Q35" i="59"/>
  <c r="B41" i="59"/>
  <c r="C41" i="59" s="1"/>
  <c r="AD46" i="59"/>
  <c r="B47" i="59"/>
  <c r="P45" i="59"/>
  <c r="P40" i="59"/>
  <c r="Q40" i="59" s="1"/>
  <c r="P50" i="59"/>
  <c r="AD41" i="59"/>
  <c r="C5" i="21"/>
  <c r="Z5" i="3"/>
  <c r="P61" i="32"/>
  <c r="P57" i="32"/>
  <c r="AD58" i="40"/>
  <c r="AD54" i="40"/>
  <c r="AL55" i="48"/>
  <c r="AH55" i="48"/>
  <c r="AL54" i="48"/>
  <c r="AH54" i="48"/>
  <c r="P48" i="47"/>
  <c r="Q48" i="47" s="1"/>
  <c r="A50" i="42"/>
  <c r="B50" i="42" s="1"/>
  <c r="B49" i="42"/>
  <c r="B57" i="43"/>
  <c r="A58" i="43"/>
  <c r="O50" i="41"/>
  <c r="P50" i="41" s="1"/>
  <c r="P49" i="41"/>
  <c r="A50" i="29"/>
  <c r="B50" i="29" s="1"/>
  <c r="B49" i="29"/>
  <c r="P48" i="29"/>
  <c r="Q48" i="29" s="1"/>
  <c r="AL44" i="28"/>
  <c r="AH44" i="28"/>
  <c r="AL45" i="28"/>
  <c r="AH45" i="28"/>
  <c r="P41" i="30"/>
  <c r="Q33" i="30"/>
  <c r="P37" i="30"/>
  <c r="AD38" i="30"/>
  <c r="B38" i="30"/>
  <c r="C38" i="30" s="1"/>
  <c r="AD34" i="30"/>
  <c r="B47" i="30"/>
  <c r="B51" i="30"/>
  <c r="B43" i="30"/>
  <c r="P41" i="32"/>
  <c r="Q33" i="32"/>
  <c r="P37" i="32"/>
  <c r="AD34" i="32"/>
  <c r="B47" i="32"/>
  <c r="AD38" i="32"/>
  <c r="B51" i="32"/>
  <c r="B43" i="32"/>
  <c r="B38" i="32"/>
  <c r="C38" i="32" s="1"/>
  <c r="Q33" i="34"/>
  <c r="AD38" i="34"/>
  <c r="B38" i="34"/>
  <c r="C38" i="34" s="1"/>
  <c r="P37" i="34"/>
  <c r="AD34" i="34"/>
  <c r="P41" i="34"/>
  <c r="B51" i="34"/>
  <c r="B43" i="34"/>
  <c r="B47" i="34"/>
  <c r="Q33" i="40"/>
  <c r="B38" i="40"/>
  <c r="C38" i="40" s="1"/>
  <c r="P37" i="40"/>
  <c r="AD34" i="40"/>
  <c r="AD38" i="40"/>
  <c r="B43" i="40"/>
  <c r="P41" i="40"/>
  <c r="B51" i="40"/>
  <c r="B47" i="40"/>
  <c r="P41" i="44"/>
  <c r="Q33" i="44"/>
  <c r="B38" i="44"/>
  <c r="C38" i="44" s="1"/>
  <c r="P37" i="44"/>
  <c r="AD34" i="44"/>
  <c r="B43" i="44"/>
  <c r="B51" i="44"/>
  <c r="AD38" i="44"/>
  <c r="B47" i="44"/>
  <c r="P41" i="48"/>
  <c r="Q33" i="48"/>
  <c r="AD38" i="48"/>
  <c r="AD34" i="48"/>
  <c r="P37" i="48"/>
  <c r="B38" i="48"/>
  <c r="C38" i="48" s="1"/>
  <c r="B43" i="48"/>
  <c r="B51" i="48"/>
  <c r="B47" i="48"/>
  <c r="P53" i="59"/>
  <c r="O54" i="59"/>
  <c r="P54" i="59" s="1"/>
  <c r="P48" i="49"/>
  <c r="Q48" i="49" s="1"/>
  <c r="O49" i="49"/>
  <c r="B48" i="39"/>
  <c r="AJ49" i="39"/>
  <c r="AJ50" i="39"/>
  <c r="A50" i="30"/>
  <c r="B50" i="30" s="1"/>
  <c r="B49" i="30"/>
  <c r="O66" i="29"/>
  <c r="O62" i="29"/>
  <c r="P61" i="29"/>
  <c r="A55" i="29"/>
  <c r="B55" i="29" s="1"/>
  <c r="B54" i="29"/>
  <c r="AD54" i="27"/>
  <c r="O45" i="47"/>
  <c r="P45" i="47" s="1"/>
  <c r="P44" i="47"/>
  <c r="B62" i="42"/>
  <c r="A63" i="42"/>
  <c r="B48" i="34"/>
  <c r="P81" i="32"/>
  <c r="O86" i="32"/>
  <c r="O82" i="32"/>
  <c r="P45" i="31"/>
  <c r="AJ109" i="43"/>
  <c r="AJ110" i="43"/>
  <c r="AC1" i="53"/>
  <c r="AC1" i="18"/>
  <c r="AC1" i="10"/>
  <c r="AC1" i="7"/>
  <c r="AD73" i="43"/>
  <c r="AD69" i="43"/>
  <c r="AJ50" i="46"/>
  <c r="AJ49" i="46"/>
  <c r="A54" i="48"/>
  <c r="B53" i="48"/>
  <c r="P40" i="46"/>
  <c r="O54" i="38"/>
  <c r="P53" i="38"/>
  <c r="Q53" i="38" s="1"/>
  <c r="P57" i="35"/>
  <c r="O58" i="35"/>
  <c r="AD54" i="33"/>
  <c r="AD54" i="31"/>
  <c r="AC1" i="2"/>
  <c r="AC59" i="50"/>
  <c r="AD59" i="50" s="1"/>
  <c r="AD58" i="50"/>
  <c r="AC63" i="50"/>
  <c r="A59" i="40"/>
  <c r="B58" i="40"/>
  <c r="P56" i="38"/>
  <c r="P44" i="34"/>
  <c r="O45" i="34"/>
  <c r="P45" i="34" s="1"/>
  <c r="O50" i="30"/>
  <c r="P50" i="30" s="1"/>
  <c r="P49" i="30"/>
  <c r="P40" i="32"/>
  <c r="P56" i="32"/>
  <c r="P52" i="32"/>
  <c r="P44" i="35"/>
  <c r="C44" i="50"/>
  <c r="B61" i="30"/>
  <c r="A66" i="30"/>
  <c r="A62" i="30"/>
  <c r="I53" i="21"/>
  <c r="BG30" i="21"/>
  <c r="P44" i="42"/>
  <c r="P44" i="45"/>
  <c r="A54" i="59"/>
  <c r="B54" i="59" s="1"/>
  <c r="B53" i="59"/>
  <c r="P57" i="42"/>
  <c r="O58" i="42"/>
  <c r="P44" i="40"/>
  <c r="O45" i="40"/>
  <c r="P45" i="40" s="1"/>
  <c r="W45" i="26"/>
  <c r="AA44" i="26"/>
  <c r="AO44" i="26" s="1"/>
  <c r="W44" i="26"/>
  <c r="AA45" i="26"/>
  <c r="AO45" i="26" s="1"/>
  <c r="A59" i="32"/>
  <c r="B58" i="32"/>
  <c r="A54" i="26"/>
  <c r="B53" i="26"/>
  <c r="BL140" i="61"/>
  <c r="BH140" i="61"/>
  <c r="BK140" i="61"/>
  <c r="BG140" i="61"/>
  <c r="BI140" i="61"/>
  <c r="BF140" i="61"/>
  <c r="BE140" i="61"/>
  <c r="BJ140" i="61"/>
  <c r="AJ70" i="43"/>
  <c r="AJ69" i="43"/>
  <c r="AD64" i="59"/>
  <c r="AC70" i="59"/>
  <c r="AC65" i="59"/>
  <c r="AD65" i="59" s="1"/>
  <c r="A59" i="49"/>
  <c r="B58" i="49"/>
  <c r="P40" i="49"/>
  <c r="AC79" i="46"/>
  <c r="AD79" i="46" s="1"/>
  <c r="AD78" i="46"/>
  <c r="AC83" i="46"/>
  <c r="AL44" i="41"/>
  <c r="AH44" i="41"/>
  <c r="AL45" i="41"/>
  <c r="AH45" i="41"/>
  <c r="P48" i="40"/>
  <c r="Q48" i="40" s="1"/>
  <c r="O49" i="40"/>
  <c r="AA45" i="39"/>
  <c r="AO45" i="39" s="1"/>
  <c r="W45" i="39"/>
  <c r="AA44" i="39"/>
  <c r="AO44" i="39" s="1"/>
  <c r="W44" i="39"/>
  <c r="AD49" i="35"/>
  <c r="P69" i="32"/>
  <c r="O70" i="32"/>
  <c r="P70" i="32" s="1"/>
  <c r="AA45" i="33"/>
  <c r="AO45" i="33" s="1"/>
  <c r="W45" i="33"/>
  <c r="AA44" i="33"/>
  <c r="AO44" i="33" s="1"/>
  <c r="W44" i="33"/>
  <c r="AL45" i="33"/>
  <c r="AH45" i="33"/>
  <c r="AL44" i="33"/>
  <c r="AH44" i="33"/>
  <c r="AD53" i="30"/>
  <c r="AI52" i="30" s="1"/>
  <c r="P52" i="29"/>
  <c r="AL44" i="26"/>
  <c r="AH44" i="26"/>
  <c r="AL45" i="26"/>
  <c r="AH45" i="26"/>
  <c r="AJ89" i="43"/>
  <c r="AJ90" i="43"/>
  <c r="B66" i="50"/>
  <c r="A71" i="50"/>
  <c r="A67" i="50"/>
  <c r="A50" i="44"/>
  <c r="B50" i="44" s="1"/>
  <c r="B49" i="44"/>
  <c r="C44" i="46"/>
  <c r="A59" i="42"/>
  <c r="B58" i="42"/>
  <c r="AL45" i="36"/>
  <c r="AH45" i="36"/>
  <c r="AL44" i="36"/>
  <c r="AH44" i="36"/>
  <c r="C44" i="34"/>
  <c r="P57" i="26"/>
  <c r="O58" i="26"/>
  <c r="AC1" i="9"/>
  <c r="AC1" i="6"/>
  <c r="AA45" i="38"/>
  <c r="AO45" i="38" s="1"/>
  <c r="W45" i="38"/>
  <c r="AA44" i="38"/>
  <c r="AO44" i="38" s="1"/>
  <c r="W44" i="38"/>
  <c r="AA45" i="35"/>
  <c r="AO45" i="35" s="1"/>
  <c r="W45" i="35"/>
  <c r="AA44" i="35"/>
  <c r="AO44" i="35" s="1"/>
  <c r="W44" i="35"/>
  <c r="AC54" i="44"/>
  <c r="AD54" i="44" s="1"/>
  <c r="AD53" i="44"/>
  <c r="AC58" i="44"/>
  <c r="B62" i="38"/>
  <c r="A63" i="38"/>
  <c r="AD53" i="37"/>
  <c r="AC63" i="36"/>
  <c r="AC59" i="36"/>
  <c r="AD59" i="36" s="1"/>
  <c r="AD58" i="36"/>
  <c r="P56" i="36"/>
  <c r="P48" i="26"/>
  <c r="Q48" i="26" s="1"/>
  <c r="AC63" i="32"/>
  <c r="AC59" i="32"/>
  <c r="AD59" i="32" s="1"/>
  <c r="AD58" i="32"/>
  <c r="A50" i="47"/>
  <c r="B50" i="47" s="1"/>
  <c r="B49" i="47"/>
  <c r="C44" i="43"/>
  <c r="A59" i="28"/>
  <c r="B58" i="28"/>
  <c r="AC63" i="26"/>
  <c r="AC59" i="26"/>
  <c r="AD59" i="26" s="1"/>
  <c r="AD58" i="26"/>
  <c r="B57" i="48"/>
  <c r="A58" i="48"/>
  <c r="AD49" i="37"/>
  <c r="C44" i="36"/>
  <c r="A54" i="30"/>
  <c r="B53" i="30"/>
  <c r="O53" i="31"/>
  <c r="P52" i="31"/>
  <c r="BE146" i="61"/>
  <c r="B37" i="26"/>
  <c r="C37" i="26" s="1"/>
  <c r="Q32" i="26"/>
  <c r="AK60" i="26"/>
  <c r="AD33" i="26"/>
  <c r="P36" i="26"/>
  <c r="B42" i="26"/>
  <c r="B46" i="26"/>
  <c r="P36" i="31"/>
  <c r="AK60" i="31"/>
  <c r="AD33" i="31"/>
  <c r="B37" i="31"/>
  <c r="C37" i="31" s="1"/>
  <c r="Q32" i="31"/>
  <c r="B46" i="31"/>
  <c r="B42" i="31"/>
  <c r="P36" i="33"/>
  <c r="AK60" i="33"/>
  <c r="AD33" i="33"/>
  <c r="B37" i="33"/>
  <c r="C37" i="33" s="1"/>
  <c r="Q32" i="33"/>
  <c r="B42" i="33"/>
  <c r="B46" i="33"/>
  <c r="AK60" i="37"/>
  <c r="AD33" i="37"/>
  <c r="B37" i="37"/>
  <c r="C37" i="37" s="1"/>
  <c r="Q32" i="37"/>
  <c r="P36" i="37"/>
  <c r="B42" i="37"/>
  <c r="B46" i="37"/>
  <c r="B37" i="43"/>
  <c r="C37" i="43" s="1"/>
  <c r="Q32" i="43"/>
  <c r="AK60" i="43"/>
  <c r="AD33" i="43"/>
  <c r="P36" i="43"/>
  <c r="B46" i="43"/>
  <c r="B42" i="43"/>
  <c r="AK60" i="46"/>
  <c r="AD33" i="46"/>
  <c r="B37" i="46"/>
  <c r="C37" i="46" s="1"/>
  <c r="Q32" i="46"/>
  <c r="P36" i="46"/>
  <c r="B42" i="46"/>
  <c r="B46" i="46"/>
  <c r="AK60" i="50"/>
  <c r="AD33" i="50"/>
  <c r="B46" i="50"/>
  <c r="B42" i="50"/>
  <c r="B37" i="50"/>
  <c r="C37" i="50" s="1"/>
  <c r="Q32" i="50"/>
  <c r="P36" i="50"/>
  <c r="AP63" i="61"/>
  <c r="AP59" i="61"/>
  <c r="AP55" i="61"/>
  <c r="AP51" i="61"/>
  <c r="AP47" i="61"/>
  <c r="AP43" i="61"/>
  <c r="AP39" i="61"/>
  <c r="AP62" i="61"/>
  <c r="AP58" i="61"/>
  <c r="AP54" i="61"/>
  <c r="AP50" i="61"/>
  <c r="AP46" i="61"/>
  <c r="AP42" i="61"/>
  <c r="AP61" i="61"/>
  <c r="AP57" i="61"/>
  <c r="AP53" i="61"/>
  <c r="AP49" i="61"/>
  <c r="AP45" i="61"/>
  <c r="AP41" i="61"/>
  <c r="AP60" i="61"/>
  <c r="AP56" i="61"/>
  <c r="AP52" i="61"/>
  <c r="AP48" i="61"/>
  <c r="AP44" i="61"/>
  <c r="AP40" i="61"/>
  <c r="O53" i="49"/>
  <c r="P52" i="49"/>
  <c r="P56" i="47"/>
  <c r="A50" i="45"/>
  <c r="B50" i="45" s="1"/>
  <c r="B49" i="45"/>
  <c r="B66" i="41"/>
  <c r="A71" i="41"/>
  <c r="A67" i="41"/>
  <c r="AA45" i="36"/>
  <c r="AO45" i="36" s="1"/>
  <c r="W45" i="36"/>
  <c r="AA44" i="36"/>
  <c r="AO44" i="36" s="1"/>
  <c r="W44" i="36"/>
  <c r="P40" i="35"/>
  <c r="P44" i="27"/>
  <c r="AC4" i="8"/>
  <c r="AC5" i="8" s="1"/>
  <c r="AC6" i="8" s="1"/>
  <c r="AC7" i="8" s="1"/>
  <c r="AC8" i="8" s="1"/>
  <c r="AC9" i="8" s="1"/>
  <c r="AC10" i="8" s="1"/>
  <c r="AC11" i="8" s="1"/>
  <c r="AC12" i="8" s="1"/>
  <c r="AC13" i="8" s="1"/>
  <c r="AC14" i="8" s="1"/>
  <c r="AC15" i="8" s="1"/>
  <c r="AC16" i="8" s="1"/>
  <c r="AS4" i="8"/>
  <c r="Z4" i="8"/>
  <c r="W1" i="8" s="1"/>
  <c r="W4" i="8"/>
  <c r="E4" i="5"/>
  <c r="C4" i="5"/>
  <c r="AC4" i="7"/>
  <c r="AC5" i="7" s="1"/>
  <c r="AC6" i="7" s="1"/>
  <c r="AC7" i="7" s="1"/>
  <c r="AC8" i="7" s="1"/>
  <c r="AC9" i="7" s="1"/>
  <c r="AC10" i="7" s="1"/>
  <c r="AC11" i="7" s="1"/>
  <c r="AC12" i="7" s="1"/>
  <c r="AC13" i="7" s="1"/>
  <c r="AC14" i="7" s="1"/>
  <c r="AC15" i="7" s="1"/>
  <c r="AC16" i="7" s="1"/>
  <c r="W4" i="7"/>
  <c r="AS4" i="7"/>
  <c r="Z4" i="7"/>
  <c r="W1" i="7" s="1"/>
  <c r="C4" i="1"/>
  <c r="E4" i="1"/>
  <c r="E4" i="7"/>
  <c r="C4" i="7"/>
  <c r="C4" i="12"/>
  <c r="E4" i="12"/>
  <c r="C4" i="20"/>
  <c r="E4" i="20"/>
  <c r="AC4" i="14"/>
  <c r="AC5" i="14" s="1"/>
  <c r="AC6" i="14" s="1"/>
  <c r="AC7" i="14" s="1"/>
  <c r="AC8" i="14" s="1"/>
  <c r="AC9" i="14" s="1"/>
  <c r="AC10" i="14" s="1"/>
  <c r="AC11" i="14" s="1"/>
  <c r="AC12" i="14" s="1"/>
  <c r="AC13" i="14" s="1"/>
  <c r="AC14" i="14" s="1"/>
  <c r="AC15" i="14" s="1"/>
  <c r="AC16" i="14" s="1"/>
  <c r="AS4" i="14"/>
  <c r="W4" i="14"/>
  <c r="Z4" i="14"/>
  <c r="W1" i="14" s="1"/>
  <c r="AC4" i="22"/>
  <c r="AC5" i="22" s="1"/>
  <c r="AC6" i="22" s="1"/>
  <c r="AC7" i="22" s="1"/>
  <c r="AC8" i="22" s="1"/>
  <c r="AC9" i="22" s="1"/>
  <c r="AC10" i="22" s="1"/>
  <c r="AC11" i="22" s="1"/>
  <c r="AC12" i="22" s="1"/>
  <c r="AC13" i="22" s="1"/>
  <c r="AC14" i="22" s="1"/>
  <c r="AC15" i="22" s="1"/>
  <c r="AC16" i="22" s="1"/>
  <c r="AS4" i="22"/>
  <c r="W4" i="22"/>
  <c r="Z4" i="22"/>
  <c r="W1" i="22" s="1"/>
  <c r="E4" i="14"/>
  <c r="C4" i="14"/>
  <c r="E4" i="22"/>
  <c r="C4" i="22"/>
  <c r="B4" i="25"/>
  <c r="C4" i="25"/>
  <c r="E4" i="25"/>
  <c r="E4" i="15"/>
  <c r="C4" i="15"/>
  <c r="BC128" i="61"/>
  <c r="K45" i="68" s="1"/>
  <c r="J45" i="68" s="1"/>
  <c r="BD143" i="61"/>
  <c r="BD139" i="61"/>
  <c r="BD131" i="61"/>
  <c r="BD147" i="61"/>
  <c r="BD135" i="61"/>
  <c r="BD151" i="61"/>
  <c r="AJ104" i="43"/>
  <c r="AJ105" i="43"/>
  <c r="A59" i="50"/>
  <c r="B58" i="50"/>
  <c r="AJ50" i="47"/>
  <c r="AJ49" i="47"/>
  <c r="O53" i="34"/>
  <c r="P52" i="34"/>
  <c r="A63" i="31"/>
  <c r="B62" i="31"/>
  <c r="P66" i="32"/>
  <c r="P62" i="32"/>
  <c r="BD138" i="61"/>
  <c r="AA45" i="50"/>
  <c r="AO45" i="50" s="1"/>
  <c r="W45" i="50"/>
  <c r="AA44" i="50"/>
  <c r="AO44" i="50" s="1"/>
  <c r="W44" i="50"/>
  <c r="O53" i="46"/>
  <c r="P52" i="46"/>
  <c r="B66" i="40"/>
  <c r="A71" i="40"/>
  <c r="A67" i="40"/>
  <c r="A59" i="38"/>
  <c r="B58" i="38"/>
  <c r="AD49" i="36"/>
  <c r="P40" i="30"/>
  <c r="AD49" i="31"/>
  <c r="A55" i="27"/>
  <c r="B55" i="27" s="1"/>
  <c r="B54" i="27"/>
  <c r="P53" i="30"/>
  <c r="Q53" i="30" s="1"/>
  <c r="O54" i="30"/>
  <c r="O50" i="42"/>
  <c r="P50" i="42" s="1"/>
  <c r="P49" i="42"/>
  <c r="P44" i="30"/>
  <c r="A71" i="33"/>
  <c r="A67" i="33"/>
  <c r="B66" i="33"/>
  <c r="B66" i="29"/>
  <c r="A71" i="29"/>
  <c r="A67" i="29"/>
  <c r="AL54" i="28"/>
  <c r="AL155" i="61"/>
  <c r="K155" i="61"/>
  <c r="AL69" i="61"/>
  <c r="P48" i="48"/>
  <c r="Q48" i="48" s="1"/>
  <c r="W5" i="53"/>
  <c r="Z5" i="23"/>
  <c r="Z5" i="15"/>
  <c r="W5" i="7"/>
  <c r="C5" i="6"/>
  <c r="AL45" i="49"/>
  <c r="AH45" i="49"/>
  <c r="AL44" i="49"/>
  <c r="AH44" i="49"/>
  <c r="P40" i="43"/>
  <c r="AH54" i="45"/>
  <c r="AH55" i="45"/>
  <c r="A54" i="43"/>
  <c r="B53" i="43"/>
  <c r="AL45" i="39"/>
  <c r="AH45" i="39"/>
  <c r="AL44" i="39"/>
  <c r="AH44" i="39"/>
  <c r="O55" i="32"/>
  <c r="P55" i="32" s="1"/>
  <c r="P54" i="32"/>
  <c r="B66" i="32"/>
  <c r="A67" i="32"/>
  <c r="A71" i="32"/>
  <c r="AC54" i="41"/>
  <c r="AD54" i="41" s="1"/>
  <c r="AD53" i="41"/>
  <c r="AC58" i="41"/>
  <c r="AI52" i="49"/>
  <c r="AH54" i="49"/>
  <c r="O50" i="35"/>
  <c r="P50" i="35" s="1"/>
  <c r="P49" i="35"/>
  <c r="A50" i="28"/>
  <c r="B50" i="28" s="1"/>
  <c r="B49" i="28"/>
  <c r="AC1" i="21"/>
  <c r="AC1" i="13"/>
  <c r="AJ134" i="43"/>
  <c r="AJ135" i="43"/>
  <c r="I53" i="23"/>
  <c r="BG30" i="23"/>
  <c r="Q34" i="29"/>
  <c r="P42" i="29"/>
  <c r="P46" i="29"/>
  <c r="AD39" i="29"/>
  <c r="P38" i="29"/>
  <c r="B39" i="29"/>
  <c r="C39" i="29" s="1"/>
  <c r="B44" i="29"/>
  <c r="AD43" i="29"/>
  <c r="B56" i="29"/>
  <c r="B52" i="29"/>
  <c r="AD39" i="33"/>
  <c r="Q34" i="33"/>
  <c r="P38" i="33"/>
  <c r="B39" i="33"/>
  <c r="C39" i="33" s="1"/>
  <c r="AD43" i="33"/>
  <c r="AI42" i="33" s="1"/>
  <c r="P42" i="33"/>
  <c r="Q44" i="33" s="1"/>
  <c r="P46" i="33"/>
  <c r="B44" i="33"/>
  <c r="B56" i="33"/>
  <c r="B52" i="33"/>
  <c r="Q34" i="37"/>
  <c r="AD39" i="37"/>
  <c r="AD43" i="37"/>
  <c r="P38" i="37"/>
  <c r="Q38" i="37" s="1"/>
  <c r="B39" i="37"/>
  <c r="C39" i="37" s="1"/>
  <c r="P46" i="37"/>
  <c r="P42" i="37"/>
  <c r="Q34" i="41"/>
  <c r="B39" i="41"/>
  <c r="C39" i="41" s="1"/>
  <c r="P46" i="41"/>
  <c r="AD39" i="41"/>
  <c r="P38" i="41"/>
  <c r="B56" i="41"/>
  <c r="B52" i="41"/>
  <c r="AD43" i="41"/>
  <c r="AI42" i="41" s="1"/>
  <c r="B44" i="41"/>
  <c r="P42" i="41"/>
  <c r="AD43" i="43"/>
  <c r="AI42" i="43" s="1"/>
  <c r="Q34" i="43"/>
  <c r="AD39" i="43"/>
  <c r="P42" i="43"/>
  <c r="B48" i="43"/>
  <c r="P38" i="43"/>
  <c r="Q38" i="43" s="1"/>
  <c r="P46" i="43"/>
  <c r="B39" i="43"/>
  <c r="C39" i="43" s="1"/>
  <c r="Q34" i="48"/>
  <c r="B39" i="48"/>
  <c r="C39" i="48" s="1"/>
  <c r="P42" i="48"/>
  <c r="Q44" i="48" s="1"/>
  <c r="AD43" i="48"/>
  <c r="P46" i="48"/>
  <c r="AD39" i="48"/>
  <c r="P38" i="48"/>
  <c r="Q38" i="48" s="1"/>
  <c r="C5" i="13"/>
  <c r="C5" i="12"/>
  <c r="W5" i="20"/>
  <c r="W5" i="12"/>
  <c r="C5" i="22"/>
  <c r="W5" i="5"/>
  <c r="W5" i="4"/>
  <c r="I53" i="20"/>
  <c r="BG30" i="20"/>
  <c r="AD58" i="43"/>
  <c r="AD54" i="43"/>
  <c r="B48" i="48"/>
  <c r="AC63" i="48"/>
  <c r="AC59" i="48"/>
  <c r="AD59" i="48" s="1"/>
  <c r="AD58" i="48"/>
  <c r="O50" i="47"/>
  <c r="P50" i="47" s="1"/>
  <c r="P49" i="47"/>
  <c r="B56" i="43"/>
  <c r="B57" i="37"/>
  <c r="A58" i="37"/>
  <c r="P48" i="33"/>
  <c r="Q48" i="33" s="1"/>
  <c r="O49" i="33"/>
  <c r="C44" i="29"/>
  <c r="O50" i="29"/>
  <c r="P50" i="29" s="1"/>
  <c r="P49" i="29"/>
  <c r="I53" i="24"/>
  <c r="BG30" i="24"/>
  <c r="P41" i="27"/>
  <c r="Q33" i="27"/>
  <c r="AD38" i="27"/>
  <c r="B43" i="27"/>
  <c r="B38" i="27"/>
  <c r="C38" i="27" s="1"/>
  <c r="B51" i="27"/>
  <c r="P37" i="27"/>
  <c r="AD34" i="27"/>
  <c r="B47" i="27"/>
  <c r="B38" i="35"/>
  <c r="C38" i="35" s="1"/>
  <c r="P37" i="35"/>
  <c r="AD34" i="35"/>
  <c r="Q33" i="35"/>
  <c r="P41" i="35"/>
  <c r="AD38" i="35"/>
  <c r="B51" i="35"/>
  <c r="B43" i="35"/>
  <c r="B47" i="35"/>
  <c r="B38" i="38"/>
  <c r="C38" i="38" s="1"/>
  <c r="P37" i="38"/>
  <c r="AD34" i="38"/>
  <c r="P41" i="38"/>
  <c r="Q33" i="38"/>
  <c r="AD38" i="38"/>
  <c r="B51" i="38"/>
  <c r="B43" i="38"/>
  <c r="B47" i="38"/>
  <c r="B38" i="41"/>
  <c r="C38" i="41" s="1"/>
  <c r="P37" i="41"/>
  <c r="AD34" i="41"/>
  <c r="Q33" i="41"/>
  <c r="B51" i="41"/>
  <c r="P41" i="41"/>
  <c r="B43" i="41"/>
  <c r="AD38" i="41"/>
  <c r="B47" i="41"/>
  <c r="B38" i="47"/>
  <c r="C38" i="47" s="1"/>
  <c r="P37" i="47"/>
  <c r="AD34" i="47"/>
  <c r="Q33" i="47"/>
  <c r="P41" i="47"/>
  <c r="B51" i="47"/>
  <c r="AD38" i="47"/>
  <c r="B43" i="47"/>
  <c r="B47" i="47"/>
  <c r="Q33" i="49"/>
  <c r="AD38" i="49"/>
  <c r="B51" i="49"/>
  <c r="P41" i="49"/>
  <c r="AD34" i="49"/>
  <c r="P37" i="49"/>
  <c r="B43" i="49"/>
  <c r="B38" i="49"/>
  <c r="C38" i="49" s="1"/>
  <c r="B47" i="49"/>
  <c r="AF3" i="61"/>
  <c r="D3" i="66" s="1"/>
  <c r="AL105" i="43"/>
  <c r="AH105" i="43"/>
  <c r="AI102" i="43"/>
  <c r="AL104" i="43"/>
  <c r="AH104" i="43"/>
  <c r="A50" i="39"/>
  <c r="B50" i="39" s="1"/>
  <c r="B49" i="39"/>
  <c r="AL45" i="31"/>
  <c r="AH45" i="31"/>
  <c r="AL44" i="31"/>
  <c r="AH44" i="31"/>
  <c r="P45" i="29"/>
  <c r="AD83" i="43"/>
  <c r="AD79" i="43"/>
  <c r="AM155" i="61"/>
  <c r="L155" i="61"/>
  <c r="AM69" i="61"/>
  <c r="B58" i="59"/>
  <c r="A59" i="59"/>
  <c r="P45" i="48"/>
  <c r="B62" i="47"/>
  <c r="A63" i="47"/>
  <c r="O49" i="45"/>
  <c r="P48" i="45"/>
  <c r="Q48" i="45" s="1"/>
  <c r="B66" i="42"/>
  <c r="A71" i="42"/>
  <c r="A67" i="42"/>
  <c r="C44" i="37"/>
  <c r="A50" i="34"/>
  <c r="B50" i="34" s="1"/>
  <c r="B49" i="34"/>
  <c r="A59" i="33"/>
  <c r="B58" i="33"/>
  <c r="A59" i="29"/>
  <c r="B58" i="29"/>
  <c r="AD49" i="26"/>
  <c r="AC1" i="5"/>
  <c r="B52" i="48"/>
  <c r="AD53" i="42"/>
  <c r="P52" i="38"/>
  <c r="O66" i="35"/>
  <c r="O62" i="35"/>
  <c r="P61" i="35"/>
  <c r="P59" i="32"/>
  <c r="O60" i="32"/>
  <c r="P60" i="32" s="1"/>
  <c r="AD53" i="50"/>
  <c r="P57" i="38"/>
  <c r="O58" i="38"/>
  <c r="P48" i="30"/>
  <c r="Q48" i="30" s="1"/>
  <c r="R54" i="68" l="1"/>
  <c r="S54" i="68" s="1"/>
  <c r="R32" i="68"/>
  <c r="S32" i="68" s="1"/>
  <c r="R30" i="68"/>
  <c r="S30" i="68" s="1"/>
  <c r="R34" i="68"/>
  <c r="S34" i="68" s="1"/>
  <c r="R33" i="68"/>
  <c r="S33" i="68" s="1"/>
  <c r="R31" i="68"/>
  <c r="S31" i="68" s="1"/>
  <c r="EL104" i="61"/>
  <c r="EM104" i="61" s="1"/>
  <c r="EL114" i="61"/>
  <c r="EM114" i="61" s="1"/>
  <c r="K43" i="68"/>
  <c r="J43" i="68" s="1"/>
  <c r="K44" i="68"/>
  <c r="J44" i="68" s="1"/>
  <c r="K47" i="68"/>
  <c r="J47" i="68" s="1"/>
  <c r="K39" i="68"/>
  <c r="J39" i="68" s="1"/>
  <c r="DE105" i="61"/>
  <c r="K40" i="68"/>
  <c r="J40" i="68" s="1"/>
  <c r="DE102" i="61"/>
  <c r="K37" i="68"/>
  <c r="J37" i="68" s="1"/>
  <c r="DE107" i="61"/>
  <c r="K42" i="68"/>
  <c r="J42" i="68" s="1"/>
  <c r="DE100" i="61"/>
  <c r="K35" i="68"/>
  <c r="J35" i="68" s="1"/>
  <c r="BL141" i="61"/>
  <c r="K46" i="68"/>
  <c r="J46" i="68" s="1"/>
  <c r="DE101" i="61"/>
  <c r="BE101" i="61" s="1"/>
  <c r="K36" i="68"/>
  <c r="J36" i="68" s="1"/>
  <c r="DE103" i="61"/>
  <c r="K38" i="68"/>
  <c r="J38" i="68" s="1"/>
  <c r="DE99" i="61"/>
  <c r="K34" i="68"/>
  <c r="J34" i="68" s="1"/>
  <c r="DE106" i="61"/>
  <c r="K41" i="68"/>
  <c r="J41" i="68" s="1"/>
  <c r="AH54" i="36"/>
  <c r="BI141" i="61"/>
  <c r="H8" i="37" s="1"/>
  <c r="BK141" i="61"/>
  <c r="AL54" i="36"/>
  <c r="BF141" i="61"/>
  <c r="BH141" i="61"/>
  <c r="H7" i="37" s="1"/>
  <c r="Q37" i="47"/>
  <c r="BJ141" i="61"/>
  <c r="H9" i="37" s="1"/>
  <c r="BD128" i="61"/>
  <c r="K33" i="68" s="1"/>
  <c r="J33" i="68" s="1"/>
  <c r="G41" i="68"/>
  <c r="F41" i="68" s="1"/>
  <c r="G40" i="68"/>
  <c r="F40" i="68" s="1"/>
  <c r="G39" i="68"/>
  <c r="F39" i="68" s="1"/>
  <c r="G38" i="68"/>
  <c r="F38" i="68" s="1"/>
  <c r="G37" i="68"/>
  <c r="F37" i="68" s="1"/>
  <c r="G36" i="68"/>
  <c r="F36" i="68" s="1"/>
  <c r="G35" i="68"/>
  <c r="F35" i="68" s="1"/>
  <c r="G34" i="68"/>
  <c r="F34" i="68" s="1"/>
  <c r="G33" i="68"/>
  <c r="G47" i="68"/>
  <c r="F47" i="68" s="1"/>
  <c r="G46" i="68"/>
  <c r="F46" i="68" s="1"/>
  <c r="G45" i="68"/>
  <c r="F45" i="68" s="1"/>
  <c r="G44" i="68"/>
  <c r="F44" i="68" s="1"/>
  <c r="G43" i="68"/>
  <c r="F43" i="68" s="1"/>
  <c r="G42" i="68"/>
  <c r="F42" i="68" s="1"/>
  <c r="U2" i="68" a="1"/>
  <c r="U3" i="68" a="1"/>
  <c r="DE113" i="61"/>
  <c r="DE119" i="61"/>
  <c r="DE115" i="61"/>
  <c r="DE111" i="61"/>
  <c r="DE117" i="61"/>
  <c r="DE118" i="61"/>
  <c r="DE108" i="61"/>
  <c r="DE122" i="61"/>
  <c r="DE116" i="61"/>
  <c r="DE121" i="61"/>
  <c r="DE109" i="61"/>
  <c r="DE120" i="61"/>
  <c r="DE112" i="61"/>
  <c r="BE129" i="61"/>
  <c r="AL54" i="45"/>
  <c r="AI52" i="45"/>
  <c r="AL55" i="49"/>
  <c r="AL54" i="49"/>
  <c r="L4" i="64"/>
  <c r="GI125" i="61"/>
  <c r="O4" i="64" s="1"/>
  <c r="H4" i="64"/>
  <c r="C43" i="34"/>
  <c r="AH54" i="26"/>
  <c r="AL54" i="26"/>
  <c r="AL55" i="39"/>
  <c r="FC132" i="61"/>
  <c r="FC138" i="61"/>
  <c r="FC142" i="61"/>
  <c r="DQ132" i="61"/>
  <c r="DQ138" i="61"/>
  <c r="AI52" i="36"/>
  <c r="BJ145" i="61"/>
  <c r="EL101" i="61"/>
  <c r="EM101" i="61" s="1"/>
  <c r="EL107" i="61"/>
  <c r="EM107" i="61" s="1"/>
  <c r="EL105" i="61"/>
  <c r="EM105" i="61" s="1"/>
  <c r="EL103" i="61"/>
  <c r="EM103" i="61" s="1"/>
  <c r="EL106" i="61"/>
  <c r="EM106" i="61" s="1"/>
  <c r="S29" i="15"/>
  <c r="BN88" i="61" s="1"/>
  <c r="S29" i="21"/>
  <c r="BH88" i="61" s="1"/>
  <c r="S29" i="25"/>
  <c r="BD88" i="61" s="1"/>
  <c r="S29" i="20"/>
  <c r="BI88" i="61" s="1"/>
  <c r="S29" i="12"/>
  <c r="BQ88" i="61" s="1"/>
  <c r="S29" i="24"/>
  <c r="BE88" i="61" s="1"/>
  <c r="S29" i="17"/>
  <c r="BL88" i="61" s="1"/>
  <c r="S29" i="13"/>
  <c r="BP88" i="61" s="1"/>
  <c r="S29" i="16"/>
  <c r="BM88" i="61" s="1"/>
  <c r="S29" i="19"/>
  <c r="BJ88" i="61" s="1"/>
  <c r="AJ114" i="43"/>
  <c r="AJ115" i="43"/>
  <c r="S29" i="9"/>
  <c r="BT88" i="61" s="1"/>
  <c r="AJ119" i="43"/>
  <c r="AJ120" i="43"/>
  <c r="AI117" i="43"/>
  <c r="S29" i="8"/>
  <c r="BU88" i="61" s="1"/>
  <c r="C606" i="65"/>
  <c r="L606" i="66"/>
  <c r="C334" i="65"/>
  <c r="C577" i="65"/>
  <c r="L577" i="66"/>
  <c r="C317" i="65"/>
  <c r="C57" i="65"/>
  <c r="C472" i="65"/>
  <c r="C216" i="65"/>
  <c r="C443" i="65"/>
  <c r="L443" i="66"/>
  <c r="C187" i="65"/>
  <c r="C40" i="65"/>
  <c r="C466" i="65"/>
  <c r="C214" i="65"/>
  <c r="C461" i="65"/>
  <c r="C205" i="65"/>
  <c r="C136" i="65"/>
  <c r="C404" i="65"/>
  <c r="C35" i="65"/>
  <c r="C375" i="65"/>
  <c r="C7" i="65"/>
  <c r="C4" i="65"/>
  <c r="L4" i="66"/>
  <c r="C462" i="65"/>
  <c r="C196" i="65"/>
  <c r="C437" i="65"/>
  <c r="C185" i="65"/>
  <c r="C63" i="65"/>
  <c r="C384" i="65"/>
  <c r="C611" i="65"/>
  <c r="L611" i="66"/>
  <c r="C355" i="65"/>
  <c r="C102" i="65"/>
  <c r="C164" i="65"/>
  <c r="C426" i="65"/>
  <c r="C186" i="65"/>
  <c r="C445" i="65"/>
  <c r="C181" i="65"/>
  <c r="C604" i="65"/>
  <c r="L604" i="66"/>
  <c r="C348" i="65"/>
  <c r="C575" i="65"/>
  <c r="L575" i="66"/>
  <c r="C319" i="65"/>
  <c r="C50" i="65"/>
  <c r="C114" i="65"/>
  <c r="C382" i="65"/>
  <c r="C59" i="65"/>
  <c r="C365" i="65"/>
  <c r="C113" i="65"/>
  <c r="C520" i="65"/>
  <c r="C264" i="65"/>
  <c r="C491" i="65"/>
  <c r="C235" i="65"/>
  <c r="C88" i="65"/>
  <c r="C526" i="65"/>
  <c r="C258" i="65"/>
  <c r="C521" i="65"/>
  <c r="C249" i="65"/>
  <c r="C13" i="65"/>
  <c r="C452" i="65"/>
  <c r="C166" i="65"/>
  <c r="C423" i="65"/>
  <c r="C167" i="65"/>
  <c r="C52" i="65"/>
  <c r="C510" i="65"/>
  <c r="C222" i="65"/>
  <c r="C489" i="65"/>
  <c r="C233" i="65"/>
  <c r="C192" i="65"/>
  <c r="C432" i="65"/>
  <c r="C126" i="65"/>
  <c r="C403" i="65"/>
  <c r="C147" i="65"/>
  <c r="C32" i="65"/>
  <c r="C474" i="65"/>
  <c r="C230" i="65"/>
  <c r="C485" i="65"/>
  <c r="L485" i="66"/>
  <c r="C229" i="65"/>
  <c r="C111" i="65"/>
  <c r="C396" i="65"/>
  <c r="C623" i="65"/>
  <c r="L623" i="66"/>
  <c r="C367" i="65"/>
  <c r="C98" i="65"/>
  <c r="C55" i="65"/>
  <c r="C366" i="65"/>
  <c r="C609" i="65"/>
  <c r="L609" i="66"/>
  <c r="C349" i="65"/>
  <c r="C101" i="65"/>
  <c r="C504" i="65"/>
  <c r="C248" i="65"/>
  <c r="C475" i="65"/>
  <c r="C219" i="65"/>
  <c r="C72" i="65"/>
  <c r="C498" i="65"/>
  <c r="C246" i="65"/>
  <c r="C493" i="65"/>
  <c r="C237" i="65"/>
  <c r="C208" i="65"/>
  <c r="C436" i="65"/>
  <c r="C134" i="65"/>
  <c r="C407" i="65"/>
  <c r="C151" i="65"/>
  <c r="C36" i="65"/>
  <c r="C494" i="65"/>
  <c r="C210" i="65"/>
  <c r="C473" i="65"/>
  <c r="C217" i="65"/>
  <c r="C160" i="65"/>
  <c r="C416" i="65"/>
  <c r="C83" i="65"/>
  <c r="C387" i="65"/>
  <c r="C131" i="65"/>
  <c r="C16" i="65"/>
  <c r="C458" i="65"/>
  <c r="C218" i="65"/>
  <c r="C469" i="65"/>
  <c r="C213" i="65"/>
  <c r="C47" i="65"/>
  <c r="C380" i="65"/>
  <c r="L380" i="66"/>
  <c r="C607" i="65"/>
  <c r="L607" i="66"/>
  <c r="C351" i="65"/>
  <c r="C82" i="65"/>
  <c r="C188" i="65"/>
  <c r="C414" i="65"/>
  <c r="C146" i="65"/>
  <c r="C397" i="65"/>
  <c r="C145" i="65"/>
  <c r="C552" i="65"/>
  <c r="L552" i="66"/>
  <c r="C296" i="65"/>
  <c r="C523" i="65"/>
  <c r="C267" i="65"/>
  <c r="C120" i="65"/>
  <c r="C554" i="65"/>
  <c r="L554" i="66"/>
  <c r="C294" i="65"/>
  <c r="C553" i="65"/>
  <c r="L553" i="66"/>
  <c r="C281" i="65"/>
  <c r="C41" i="65"/>
  <c r="C484" i="65"/>
  <c r="C228" i="65"/>
  <c r="C455" i="65"/>
  <c r="C199" i="65"/>
  <c r="C84" i="65"/>
  <c r="C538" i="65"/>
  <c r="L538" i="66"/>
  <c r="C270" i="65"/>
  <c r="C517" i="65"/>
  <c r="C261" i="65"/>
  <c r="C25" i="65"/>
  <c r="C464" i="65"/>
  <c r="L464" i="66"/>
  <c r="C190" i="65"/>
  <c r="C435" i="65"/>
  <c r="C179" i="65"/>
  <c r="C64" i="65"/>
  <c r="C506" i="65"/>
  <c r="L506" i="66"/>
  <c r="C266" i="65"/>
  <c r="C513" i="65"/>
  <c r="C273" i="65"/>
  <c r="C184" i="65"/>
  <c r="C428" i="65"/>
  <c r="C115" i="65"/>
  <c r="C399" i="65"/>
  <c r="C143" i="65"/>
  <c r="C12" i="65"/>
  <c r="S29" i="23"/>
  <c r="BF88" i="61" s="1"/>
  <c r="B3" i="66"/>
  <c r="A3" i="66"/>
  <c r="C530" i="65"/>
  <c r="L530" i="66"/>
  <c r="C274" i="65"/>
  <c r="C509" i="65"/>
  <c r="C253" i="65"/>
  <c r="C144" i="65"/>
  <c r="C408" i="65"/>
  <c r="C51" i="65"/>
  <c r="C379" i="65"/>
  <c r="C11" i="65"/>
  <c r="C148" i="65"/>
  <c r="C410" i="65"/>
  <c r="C138" i="65"/>
  <c r="C393" i="65"/>
  <c r="C141" i="65"/>
  <c r="C596" i="65"/>
  <c r="L596" i="66"/>
  <c r="C340" i="65"/>
  <c r="C567" i="65"/>
  <c r="L567" i="66"/>
  <c r="C311" i="65"/>
  <c r="C58" i="65"/>
  <c r="C87" i="65"/>
  <c r="C390" i="65"/>
  <c r="C27" i="65"/>
  <c r="C373" i="65"/>
  <c r="C121" i="65"/>
  <c r="C576" i="65"/>
  <c r="L576" i="66"/>
  <c r="C320" i="65"/>
  <c r="C547" i="65"/>
  <c r="L547" i="66"/>
  <c r="C291" i="65"/>
  <c r="C38" i="65"/>
  <c r="C610" i="65"/>
  <c r="L610" i="66"/>
  <c r="C370" i="65"/>
  <c r="C621" i="65"/>
  <c r="L621" i="66"/>
  <c r="C385" i="65"/>
  <c r="C117" i="65"/>
  <c r="C540" i="65"/>
  <c r="L540" i="66"/>
  <c r="C284" i="65"/>
  <c r="C511" i="65"/>
  <c r="C255" i="65"/>
  <c r="C124" i="65"/>
  <c r="C590" i="65"/>
  <c r="L590" i="66"/>
  <c r="C318" i="65"/>
  <c r="C565" i="65"/>
  <c r="L565" i="66"/>
  <c r="C301" i="65"/>
  <c r="C33" i="65"/>
  <c r="C456" i="65"/>
  <c r="C174" i="65"/>
  <c r="C427" i="65"/>
  <c r="C171" i="65"/>
  <c r="C24" i="65"/>
  <c r="C442" i="65"/>
  <c r="C202" i="65"/>
  <c r="C441" i="65"/>
  <c r="C189" i="65"/>
  <c r="C79" i="65"/>
  <c r="C388" i="65"/>
  <c r="C615" i="65"/>
  <c r="L615" i="66"/>
  <c r="C359" i="65"/>
  <c r="C106" i="65"/>
  <c r="C625" i="65"/>
  <c r="L625" i="66"/>
  <c r="C450" i="65"/>
  <c r="C162" i="65"/>
  <c r="C417" i="65"/>
  <c r="C169" i="65"/>
  <c r="C624" i="65"/>
  <c r="L624" i="66"/>
  <c r="C368" i="65"/>
  <c r="C595" i="65"/>
  <c r="L595" i="66"/>
  <c r="C339" i="65"/>
  <c r="C86" i="65"/>
  <c r="C119" i="65"/>
  <c r="C418" i="65"/>
  <c r="C154" i="65"/>
  <c r="C425" i="65"/>
  <c r="C165" i="65"/>
  <c r="C588" i="65"/>
  <c r="L588" i="66"/>
  <c r="C332" i="65"/>
  <c r="C559" i="65"/>
  <c r="L559" i="66"/>
  <c r="C303" i="65"/>
  <c r="C34" i="65"/>
  <c r="C574" i="65"/>
  <c r="L574" i="66"/>
  <c r="C306" i="65"/>
  <c r="C545" i="65"/>
  <c r="L545" i="66"/>
  <c r="C285" i="65"/>
  <c r="C17" i="65"/>
  <c r="C440" i="65"/>
  <c r="C142" i="65"/>
  <c r="C411" i="65"/>
  <c r="C155" i="65"/>
  <c r="C8" i="65"/>
  <c r="C430" i="65"/>
  <c r="C212" i="65"/>
  <c r="C429" i="65"/>
  <c r="C173" i="65"/>
  <c r="C15" i="65"/>
  <c r="C372" i="65"/>
  <c r="C599" i="65"/>
  <c r="L599" i="66"/>
  <c r="C343" i="65"/>
  <c r="C90" i="65"/>
  <c r="C172" i="65"/>
  <c r="C438" i="65"/>
  <c r="C130" i="65"/>
  <c r="C405" i="65"/>
  <c r="C153" i="65"/>
  <c r="C608" i="65"/>
  <c r="L608" i="66"/>
  <c r="C352" i="65"/>
  <c r="C579" i="65"/>
  <c r="L579" i="66"/>
  <c r="C323" i="65"/>
  <c r="C70" i="65"/>
  <c r="C71" i="65"/>
  <c r="C402" i="65"/>
  <c r="C123" i="65"/>
  <c r="C413" i="65"/>
  <c r="C149" i="65"/>
  <c r="C572" i="65"/>
  <c r="L572" i="66"/>
  <c r="C316" i="65"/>
  <c r="C543" i="65"/>
  <c r="L543" i="66"/>
  <c r="C287" i="65"/>
  <c r="C18" i="65"/>
  <c r="C622" i="65"/>
  <c r="L622" i="66"/>
  <c r="C350" i="65"/>
  <c r="C597" i="65"/>
  <c r="L597" i="66"/>
  <c r="C333" i="65"/>
  <c r="C81" i="65"/>
  <c r="C488" i="65"/>
  <c r="C232" i="65"/>
  <c r="C459" i="65"/>
  <c r="C203" i="65"/>
  <c r="C56" i="65"/>
  <c r="C482" i="65"/>
  <c r="C234" i="65"/>
  <c r="C477" i="65"/>
  <c r="C221" i="65"/>
  <c r="C168" i="65"/>
  <c r="C420" i="65"/>
  <c r="C99" i="65"/>
  <c r="C391" i="65"/>
  <c r="C135" i="65"/>
  <c r="C20" i="65"/>
  <c r="C478" i="65"/>
  <c r="C198" i="65"/>
  <c r="C449" i="65"/>
  <c r="C201" i="65"/>
  <c r="C122" i="65"/>
  <c r="C400" i="65"/>
  <c r="C19" i="65"/>
  <c r="C371" i="65"/>
  <c r="C3" i="65"/>
  <c r="L3" i="66"/>
  <c r="C200" i="65"/>
  <c r="C446" i="65"/>
  <c r="C194" i="65"/>
  <c r="C457" i="65"/>
  <c r="C197" i="65"/>
  <c r="C620" i="65"/>
  <c r="L620" i="66"/>
  <c r="C364" i="65"/>
  <c r="C591" i="65"/>
  <c r="L591" i="66"/>
  <c r="C335" i="65"/>
  <c r="C66" i="65"/>
  <c r="C470" i="65"/>
  <c r="C226" i="65"/>
  <c r="C453" i="65"/>
  <c r="C193" i="65"/>
  <c r="C600" i="65"/>
  <c r="L600" i="66"/>
  <c r="C344" i="65"/>
  <c r="C571" i="65"/>
  <c r="L571" i="66"/>
  <c r="C315" i="65"/>
  <c r="C46" i="65"/>
  <c r="C602" i="65"/>
  <c r="L602" i="66"/>
  <c r="C346" i="65"/>
  <c r="C605" i="65"/>
  <c r="L605" i="66"/>
  <c r="C329" i="65"/>
  <c r="C77" i="65"/>
  <c r="C532" i="65"/>
  <c r="L532" i="66"/>
  <c r="C276" i="65"/>
  <c r="C503" i="65"/>
  <c r="C247" i="65"/>
  <c r="C132" i="65"/>
  <c r="C582" i="65"/>
  <c r="L582" i="66"/>
  <c r="C326" i="65"/>
  <c r="C561" i="65"/>
  <c r="L561" i="66"/>
  <c r="C309" i="65"/>
  <c r="C61" i="65"/>
  <c r="C512" i="65"/>
  <c r="C256" i="65"/>
  <c r="C483" i="65"/>
  <c r="C227" i="65"/>
  <c r="C112" i="65"/>
  <c r="C546" i="65"/>
  <c r="L546" i="66"/>
  <c r="C310" i="65"/>
  <c r="C557" i="65"/>
  <c r="L557" i="66"/>
  <c r="C321" i="65"/>
  <c r="C45" i="65"/>
  <c r="C476" i="65"/>
  <c r="C220" i="65"/>
  <c r="C447" i="65"/>
  <c r="C191" i="65"/>
  <c r="C60" i="65"/>
  <c r="C514" i="65"/>
  <c r="C262" i="65"/>
  <c r="C497" i="65"/>
  <c r="C241" i="65"/>
  <c r="C95" i="65"/>
  <c r="C392" i="65"/>
  <c r="C619" i="65"/>
  <c r="L619" i="66"/>
  <c r="C363" i="65"/>
  <c r="C94" i="65"/>
  <c r="C103" i="65"/>
  <c r="C394" i="65"/>
  <c r="C107" i="65"/>
  <c r="C377" i="65"/>
  <c r="C125" i="65"/>
  <c r="C580" i="65"/>
  <c r="L580" i="66"/>
  <c r="C324" i="65"/>
  <c r="C551" i="65"/>
  <c r="L551" i="66"/>
  <c r="C295" i="65"/>
  <c r="C42" i="65"/>
  <c r="C23" i="65"/>
  <c r="C374" i="65"/>
  <c r="C613" i="65"/>
  <c r="L613" i="66"/>
  <c r="C357" i="65"/>
  <c r="C97" i="65"/>
  <c r="C560" i="65"/>
  <c r="L560" i="66"/>
  <c r="C304" i="65"/>
  <c r="C531" i="65"/>
  <c r="L531" i="66"/>
  <c r="C275" i="65"/>
  <c r="C22" i="65"/>
  <c r="C594" i="65"/>
  <c r="L594" i="66"/>
  <c r="C354" i="65"/>
  <c r="C601" i="65"/>
  <c r="L601" i="66"/>
  <c r="C369" i="65"/>
  <c r="C105" i="65"/>
  <c r="C524" i="65"/>
  <c r="C268" i="65"/>
  <c r="C495" i="65"/>
  <c r="C239" i="65"/>
  <c r="C108" i="65"/>
  <c r="C502" i="65"/>
  <c r="C250" i="65"/>
  <c r="C481" i="65"/>
  <c r="C225" i="65"/>
  <c r="C31" i="65"/>
  <c r="C376" i="65"/>
  <c r="C603" i="65"/>
  <c r="L603" i="66"/>
  <c r="C347" i="65"/>
  <c r="C78" i="65"/>
  <c r="C39" i="65"/>
  <c r="C378" i="65"/>
  <c r="C43" i="65"/>
  <c r="C361" i="65"/>
  <c r="C109" i="65"/>
  <c r="C564" i="65"/>
  <c r="L564" i="66"/>
  <c r="C308" i="65"/>
  <c r="C535" i="65"/>
  <c r="L535" i="66"/>
  <c r="C279" i="65"/>
  <c r="C26" i="65"/>
  <c r="C614" i="65"/>
  <c r="L614" i="66"/>
  <c r="C358" i="65"/>
  <c r="C593" i="65"/>
  <c r="L593" i="66"/>
  <c r="C341" i="65"/>
  <c r="C85" i="65"/>
  <c r="C544" i="65"/>
  <c r="L544" i="66"/>
  <c r="C288" i="65"/>
  <c r="C515" i="65"/>
  <c r="C259" i="65"/>
  <c r="C6" i="65"/>
  <c r="C578" i="65"/>
  <c r="L578" i="66"/>
  <c r="C338" i="65"/>
  <c r="C589" i="65"/>
  <c r="L589" i="66"/>
  <c r="C353" i="65"/>
  <c r="C93" i="65"/>
  <c r="C508" i="65"/>
  <c r="C252" i="65"/>
  <c r="C479" i="65"/>
  <c r="C223" i="65"/>
  <c r="C92" i="65"/>
  <c r="C558" i="65"/>
  <c r="L558" i="66"/>
  <c r="C286" i="65"/>
  <c r="C533" i="65"/>
  <c r="L533" i="66"/>
  <c r="C269" i="65"/>
  <c r="C176" i="65"/>
  <c r="C424" i="65"/>
  <c r="C110" i="65"/>
  <c r="C395" i="65"/>
  <c r="C139" i="65"/>
  <c r="C180" i="65"/>
  <c r="C422" i="65"/>
  <c r="L422" i="66"/>
  <c r="C170" i="65"/>
  <c r="C409" i="65"/>
  <c r="C157" i="65"/>
  <c r="C612" i="65"/>
  <c r="L612" i="66"/>
  <c r="C356" i="65"/>
  <c r="C583" i="65"/>
  <c r="L583" i="66"/>
  <c r="C327" i="65"/>
  <c r="C74" i="65"/>
  <c r="C140" i="65"/>
  <c r="C406" i="65"/>
  <c r="C91" i="65"/>
  <c r="C389" i="65"/>
  <c r="C137" i="65"/>
  <c r="C592" i="65"/>
  <c r="L592" i="66"/>
  <c r="C336" i="65"/>
  <c r="C563" i="65"/>
  <c r="L563" i="66"/>
  <c r="C307" i="65"/>
  <c r="C54" i="65"/>
  <c r="C626" i="65"/>
  <c r="L626" i="66"/>
  <c r="C386" i="65"/>
  <c r="C75" i="65"/>
  <c r="C401" i="65"/>
  <c r="L401" i="66"/>
  <c r="C133" i="65"/>
  <c r="C556" i="65"/>
  <c r="L556" i="66"/>
  <c r="C300" i="65"/>
  <c r="C527" i="65"/>
  <c r="L527" i="66"/>
  <c r="C271" i="65"/>
  <c r="C2" i="65"/>
  <c r="L2" i="66"/>
  <c r="AH110" i="43"/>
  <c r="AL110" i="43"/>
  <c r="AH109" i="43"/>
  <c r="AL109" i="43"/>
  <c r="AI112" i="43"/>
  <c r="AL114" i="43"/>
  <c r="AL115" i="43"/>
  <c r="AH114" i="43"/>
  <c r="AH115" i="43"/>
  <c r="C156" i="65"/>
  <c r="C398" i="65"/>
  <c r="C118" i="65"/>
  <c r="C381" i="65"/>
  <c r="C129" i="65"/>
  <c r="C536" i="65"/>
  <c r="L536" i="66"/>
  <c r="C280" i="65"/>
  <c r="C507" i="65"/>
  <c r="C251" i="65"/>
  <c r="C104" i="65"/>
  <c r="C542" i="65"/>
  <c r="L542" i="66"/>
  <c r="C282" i="65"/>
  <c r="C541" i="65"/>
  <c r="L541" i="66"/>
  <c r="C265" i="65"/>
  <c r="C29" i="65"/>
  <c r="C468" i="65"/>
  <c r="C204" i="65"/>
  <c r="C439" i="65"/>
  <c r="C183" i="65"/>
  <c r="C68" i="65"/>
  <c r="C522" i="65"/>
  <c r="C242" i="65"/>
  <c r="C505" i="65"/>
  <c r="C245" i="65"/>
  <c r="C9" i="65"/>
  <c r="C448" i="65"/>
  <c r="C158" i="65"/>
  <c r="C419" i="65"/>
  <c r="C163" i="65"/>
  <c r="C48" i="65"/>
  <c r="C490" i="65"/>
  <c r="C254" i="65"/>
  <c r="C501" i="65"/>
  <c r="C257" i="65"/>
  <c r="C152" i="65"/>
  <c r="C412" i="65"/>
  <c r="C67" i="65"/>
  <c r="C383" i="65"/>
  <c r="C127" i="65"/>
  <c r="C454" i="65"/>
  <c r="C206" i="65"/>
  <c r="C433" i="65"/>
  <c r="C177" i="65"/>
  <c r="C584" i="65"/>
  <c r="L584" i="66"/>
  <c r="C328" i="65"/>
  <c r="C555" i="65"/>
  <c r="L555" i="66"/>
  <c r="C299" i="65"/>
  <c r="C30" i="65"/>
  <c r="C586" i="65"/>
  <c r="L586" i="66"/>
  <c r="C330" i="65"/>
  <c r="C585" i="65"/>
  <c r="L585" i="66"/>
  <c r="C313" i="65"/>
  <c r="C65" i="65"/>
  <c r="C516" i="65"/>
  <c r="C260" i="65"/>
  <c r="C487" i="65"/>
  <c r="C231" i="65"/>
  <c r="C116" i="65"/>
  <c r="C566" i="65"/>
  <c r="L566" i="66"/>
  <c r="C302" i="65"/>
  <c r="C549" i="65"/>
  <c r="L549" i="66"/>
  <c r="C293" i="65"/>
  <c r="C49" i="65"/>
  <c r="C496" i="65"/>
  <c r="C240" i="65"/>
  <c r="C467" i="65"/>
  <c r="C211" i="65"/>
  <c r="C96" i="65"/>
  <c r="C534" i="65"/>
  <c r="L534" i="66"/>
  <c r="C298" i="65"/>
  <c r="C537" i="65"/>
  <c r="L537" i="66"/>
  <c r="C305" i="65"/>
  <c r="C21" i="65"/>
  <c r="C460" i="65"/>
  <c r="C182" i="65"/>
  <c r="C431" i="65"/>
  <c r="C175" i="65"/>
  <c r="C44" i="65"/>
  <c r="C434" i="65"/>
  <c r="C178" i="65"/>
  <c r="C421" i="65"/>
  <c r="C161" i="65"/>
  <c r="C568" i="65"/>
  <c r="L568" i="66"/>
  <c r="C312" i="65"/>
  <c r="C539" i="65"/>
  <c r="L539" i="66"/>
  <c r="C283" i="65"/>
  <c r="C14" i="65"/>
  <c r="C570" i="65"/>
  <c r="L570" i="66"/>
  <c r="C314" i="65"/>
  <c r="C573" i="65"/>
  <c r="L573" i="66"/>
  <c r="C297" i="65"/>
  <c r="C53" i="65"/>
  <c r="C500" i="65"/>
  <c r="C244" i="65"/>
  <c r="C471" i="65"/>
  <c r="C215" i="65"/>
  <c r="C100" i="65"/>
  <c r="C550" i="65"/>
  <c r="L550" i="66"/>
  <c r="C290" i="65"/>
  <c r="C529" i="65"/>
  <c r="L529" i="66"/>
  <c r="C277" i="65"/>
  <c r="C37" i="65"/>
  <c r="C480" i="65"/>
  <c r="C224" i="65"/>
  <c r="C451" i="65"/>
  <c r="C195" i="65"/>
  <c r="C80" i="65"/>
  <c r="C518" i="65"/>
  <c r="C278" i="65"/>
  <c r="C525" i="65"/>
  <c r="C289" i="65"/>
  <c r="C5" i="65"/>
  <c r="C444" i="65"/>
  <c r="C150" i="65"/>
  <c r="C415" i="65"/>
  <c r="C159" i="65"/>
  <c r="C28" i="65"/>
  <c r="C486" i="65"/>
  <c r="C238" i="65"/>
  <c r="C465" i="65"/>
  <c r="C209" i="65"/>
  <c r="C616" i="65"/>
  <c r="L616" i="66"/>
  <c r="C360" i="65"/>
  <c r="C587" i="65"/>
  <c r="L587" i="66"/>
  <c r="C331" i="65"/>
  <c r="C62" i="65"/>
  <c r="C618" i="65"/>
  <c r="L618" i="66"/>
  <c r="C362" i="65"/>
  <c r="C617" i="65"/>
  <c r="L617" i="66"/>
  <c r="C345" i="65"/>
  <c r="C89" i="65"/>
  <c r="C548" i="65"/>
  <c r="L548" i="66"/>
  <c r="C292" i="65"/>
  <c r="C519" i="65"/>
  <c r="C263" i="65"/>
  <c r="C10" i="65"/>
  <c r="C598" i="65"/>
  <c r="L598" i="66"/>
  <c r="C342" i="65"/>
  <c r="C581" i="65"/>
  <c r="L581" i="66"/>
  <c r="C325" i="65"/>
  <c r="C73" i="65"/>
  <c r="C528" i="65"/>
  <c r="L528" i="66"/>
  <c r="C272" i="65"/>
  <c r="C499" i="65"/>
  <c r="C243" i="65"/>
  <c r="C128" i="65"/>
  <c r="C562" i="65"/>
  <c r="L562" i="66"/>
  <c r="C322" i="65"/>
  <c r="C569" i="65"/>
  <c r="L569" i="66"/>
  <c r="C337" i="65"/>
  <c r="C69" i="65"/>
  <c r="C492" i="65"/>
  <c r="C236" i="65"/>
  <c r="C463" i="65"/>
  <c r="C207" i="65"/>
  <c r="C76" i="65"/>
  <c r="BE132" i="61"/>
  <c r="AP5" i="25"/>
  <c r="AV5" i="25" s="1"/>
  <c r="B5" i="25"/>
  <c r="BD62" i="61"/>
  <c r="CE98" i="61"/>
  <c r="BE58" i="61"/>
  <c r="BD53" i="61"/>
  <c r="BE45" i="61"/>
  <c r="DJ121" i="61"/>
  <c r="DJ109" i="61"/>
  <c r="DJ103" i="61"/>
  <c r="DJ102" i="61"/>
  <c r="DJ116" i="61"/>
  <c r="DJ105" i="61"/>
  <c r="DJ113" i="61"/>
  <c r="DJ122" i="61"/>
  <c r="DJ107" i="61"/>
  <c r="DJ100" i="61"/>
  <c r="DJ119" i="61"/>
  <c r="DJ117" i="61"/>
  <c r="DJ98" i="61"/>
  <c r="DJ120" i="61"/>
  <c r="DJ112" i="61"/>
  <c r="DJ115" i="61"/>
  <c r="DJ108" i="61"/>
  <c r="DJ101" i="61"/>
  <c r="DJ106" i="61"/>
  <c r="DJ99" i="61"/>
  <c r="DJ118" i="61"/>
  <c r="DJ111" i="61"/>
  <c r="AI52" i="48"/>
  <c r="BG145" i="61"/>
  <c r="H6" i="33" s="1"/>
  <c r="BE148" i="61"/>
  <c r="CK148" i="61" s="1"/>
  <c r="AT39" i="61"/>
  <c r="C43" i="36"/>
  <c r="G43" i="36" s="1"/>
  <c r="BL145" i="61"/>
  <c r="H11" i="33" s="1"/>
  <c r="BK145" i="61"/>
  <c r="H10" i="33" s="1"/>
  <c r="AF13" i="33" s="1"/>
  <c r="BE53" i="61"/>
  <c r="AT56" i="61"/>
  <c r="BE42" i="61"/>
  <c r="BE51" i="61"/>
  <c r="BD61" i="61"/>
  <c r="BD39" i="61"/>
  <c r="BD49" i="61"/>
  <c r="BE56" i="61"/>
  <c r="BD52" i="61"/>
  <c r="BD60" i="61"/>
  <c r="BD40" i="61"/>
  <c r="BE62" i="61"/>
  <c r="BE47" i="61"/>
  <c r="BE43" i="61"/>
  <c r="BD45" i="61"/>
  <c r="BE49" i="61"/>
  <c r="C43" i="26"/>
  <c r="C42" i="26" s="1"/>
  <c r="BD46" i="61"/>
  <c r="BE55" i="61"/>
  <c r="BD59" i="61"/>
  <c r="BE39" i="61"/>
  <c r="BE44" i="61"/>
  <c r="AT63" i="61"/>
  <c r="AT58" i="61"/>
  <c r="BD57" i="61"/>
  <c r="AH54" i="39"/>
  <c r="C43" i="30"/>
  <c r="C42" i="30" s="1"/>
  <c r="AH55" i="26"/>
  <c r="Q39" i="46"/>
  <c r="AL54" i="39"/>
  <c r="AI52" i="26"/>
  <c r="W1" i="16"/>
  <c r="BD42" i="61"/>
  <c r="BE50" i="61"/>
  <c r="BE52" i="61"/>
  <c r="BE54" i="61"/>
  <c r="BE60" i="61"/>
  <c r="BE40" i="61"/>
  <c r="BE46" i="61"/>
  <c r="BD58" i="61"/>
  <c r="BE48" i="61"/>
  <c r="BD41" i="61"/>
  <c r="BD51" i="61"/>
  <c r="BD55" i="61"/>
  <c r="BH145" i="61"/>
  <c r="H7" i="33" s="1"/>
  <c r="BE145" i="61"/>
  <c r="AI52" i="39"/>
  <c r="AL54" i="37"/>
  <c r="BE41" i="61"/>
  <c r="BD47" i="61"/>
  <c r="BE57" i="61"/>
  <c r="BD43" i="61"/>
  <c r="BD48" i="61"/>
  <c r="BD56" i="61"/>
  <c r="BE61" i="61"/>
  <c r="BD44" i="61"/>
  <c r="BE63" i="61"/>
  <c r="BD50" i="61"/>
  <c r="BD54" i="61"/>
  <c r="BE59" i="61"/>
  <c r="C43" i="50"/>
  <c r="Q39" i="34"/>
  <c r="C43" i="35"/>
  <c r="G43" i="35" s="1"/>
  <c r="AE5" i="61"/>
  <c r="A4" i="64"/>
  <c r="AH55" i="28"/>
  <c r="C43" i="48"/>
  <c r="G43" i="48" s="1"/>
  <c r="AH55" i="37"/>
  <c r="AL55" i="28"/>
  <c r="AL55" i="37"/>
  <c r="AI52" i="28"/>
  <c r="BP59" i="61"/>
  <c r="BL62" i="61"/>
  <c r="BL58" i="61"/>
  <c r="BQ48" i="61"/>
  <c r="BP44" i="61"/>
  <c r="BM40" i="61"/>
  <c r="BP60" i="61"/>
  <c r="BP56" i="61"/>
  <c r="BM52" i="61"/>
  <c r="BQ47" i="61"/>
  <c r="BM45" i="61"/>
  <c r="BM41" i="61"/>
  <c r="BN37" i="61"/>
  <c r="BL59" i="61"/>
  <c r="BL55" i="61"/>
  <c r="BL53" i="61"/>
  <c r="BL51" i="61"/>
  <c r="BP47" i="61"/>
  <c r="BR47" i="61" s="1"/>
  <c r="BM44" i="61"/>
  <c r="BP40" i="61"/>
  <c r="BL60" i="61"/>
  <c r="BM56" i="61"/>
  <c r="BP52" i="61"/>
  <c r="BL49" i="61"/>
  <c r="BL44" i="61"/>
  <c r="BM63" i="61"/>
  <c r="BP61" i="61"/>
  <c r="BQ56" i="61"/>
  <c r="BL48" i="61"/>
  <c r="BQ43" i="61"/>
  <c r="BQ39" i="61"/>
  <c r="BM59" i="61"/>
  <c r="BM55" i="61"/>
  <c r="BM51" i="61"/>
  <c r="BL47" i="61"/>
  <c r="BP43" i="61"/>
  <c r="BQ40" i="61"/>
  <c r="BL63" i="61"/>
  <c r="BN63" i="61" s="1"/>
  <c r="BQ57" i="61"/>
  <c r="BQ54" i="61"/>
  <c r="BQ52" i="61"/>
  <c r="BQ50" i="61"/>
  <c r="BP46" i="61"/>
  <c r="BP42" i="61"/>
  <c r="BM37" i="61"/>
  <c r="BO37" i="61" s="1"/>
  <c r="P36" i="61" s="1"/>
  <c r="A10" i="64" s="1"/>
  <c r="BQ59" i="61"/>
  <c r="BP55" i="61"/>
  <c r="BP51" i="61"/>
  <c r="BM48" i="61"/>
  <c r="BM43" i="61"/>
  <c r="BM61" i="61"/>
  <c r="BM62" i="61"/>
  <c r="BQ60" i="61"/>
  <c r="BL56" i="61"/>
  <c r="BM47" i="61"/>
  <c r="BL43" i="61"/>
  <c r="BL39" i="61"/>
  <c r="BP58" i="61"/>
  <c r="BM54" i="61"/>
  <c r="BM50" i="61"/>
  <c r="BQ46" i="61"/>
  <c r="BQ42" i="61"/>
  <c r="BL40" i="61"/>
  <c r="BQ62" i="61"/>
  <c r="BL57" i="61"/>
  <c r="BL54" i="61"/>
  <c r="BL52" i="61"/>
  <c r="BL50" i="61"/>
  <c r="BN50" i="61" s="1"/>
  <c r="BQ45" i="61"/>
  <c r="BQ41" i="61"/>
  <c r="BP62" i="61"/>
  <c r="BM58" i="61"/>
  <c r="BP54" i="61"/>
  <c r="BP50" i="61"/>
  <c r="BR50" i="61" s="1"/>
  <c r="BP45" i="61"/>
  <c r="BP41" i="61"/>
  <c r="BM60" i="61"/>
  <c r="BQ63" i="61"/>
  <c r="BQ58" i="61"/>
  <c r="BP49" i="61"/>
  <c r="BM46" i="61"/>
  <c r="BM42" i="61"/>
  <c r="BP63" i="61"/>
  <c r="BM57" i="61"/>
  <c r="BM53" i="61"/>
  <c r="BP48" i="61"/>
  <c r="BL46" i="61"/>
  <c r="BL42" i="61"/>
  <c r="BP39" i="61"/>
  <c r="BL61" i="61"/>
  <c r="BQ55" i="61"/>
  <c r="BQ53" i="61"/>
  <c r="BQ51" i="61"/>
  <c r="BM49" i="61"/>
  <c r="BL45" i="61"/>
  <c r="BN45" i="61" s="1"/>
  <c r="BL41" i="61"/>
  <c r="BQ61" i="61"/>
  <c r="BP57" i="61"/>
  <c r="BP53" i="61"/>
  <c r="BQ49" i="61"/>
  <c r="BQ44" i="61"/>
  <c r="BM39" i="61"/>
  <c r="BA62" i="61"/>
  <c r="BA47" i="61"/>
  <c r="BA43" i="61"/>
  <c r="BA41" i="61"/>
  <c r="BA37" i="61"/>
  <c r="BA42" i="61"/>
  <c r="BA50" i="61"/>
  <c r="BE37" i="61"/>
  <c r="AZ44" i="61"/>
  <c r="AZ58" i="61"/>
  <c r="AZ39" i="61"/>
  <c r="AZ42" i="61"/>
  <c r="AZ63" i="61"/>
  <c r="AZ53" i="61"/>
  <c r="AZ45" i="61"/>
  <c r="BA51" i="61"/>
  <c r="BA52" i="61"/>
  <c r="BA57" i="61"/>
  <c r="BA45" i="61"/>
  <c r="BA48" i="61"/>
  <c r="BA54" i="61"/>
  <c r="BA56" i="61"/>
  <c r="AZ37" i="61"/>
  <c r="AZ56" i="61"/>
  <c r="AZ60" i="61"/>
  <c r="AZ40" i="61"/>
  <c r="AZ57" i="61"/>
  <c r="AZ52" i="61"/>
  <c r="AZ41" i="61"/>
  <c r="BA59" i="61"/>
  <c r="BA38" i="61"/>
  <c r="BA49" i="61"/>
  <c r="BA40" i="61"/>
  <c r="BA60" i="61"/>
  <c r="BA53" i="61"/>
  <c r="BA61" i="61"/>
  <c r="BD37" i="61"/>
  <c r="AZ59" i="61"/>
  <c r="BB59" i="61" s="1"/>
  <c r="AZ62" i="61"/>
  <c r="AZ48" i="61"/>
  <c r="BB48" i="61" s="1"/>
  <c r="AZ47" i="61"/>
  <c r="AZ38" i="61"/>
  <c r="AZ55" i="61"/>
  <c r="AZ51" i="61"/>
  <c r="BB51" i="61" s="1"/>
  <c r="BD36" i="61"/>
  <c r="BA55" i="61"/>
  <c r="BA39" i="61"/>
  <c r="BA58" i="61"/>
  <c r="BA63" i="61"/>
  <c r="BA44" i="61"/>
  <c r="BA46" i="61"/>
  <c r="AZ49" i="61"/>
  <c r="BB49" i="61" s="1"/>
  <c r="AZ61" i="61"/>
  <c r="AZ43" i="61"/>
  <c r="AZ46" i="61"/>
  <c r="BB46" i="61" s="1"/>
  <c r="BE36" i="61"/>
  <c r="AZ54" i="61"/>
  <c r="BB54" i="61" s="1"/>
  <c r="AZ50" i="61"/>
  <c r="Q37" i="44"/>
  <c r="Y39" i="44" s="1"/>
  <c r="C43" i="39"/>
  <c r="G43" i="39" s="1"/>
  <c r="C43" i="37"/>
  <c r="C42" i="37" s="1"/>
  <c r="C46" i="59"/>
  <c r="G46" i="59" s="1"/>
  <c r="C43" i="42"/>
  <c r="G43" i="42" s="1"/>
  <c r="C43" i="33"/>
  <c r="C42" i="33" s="1"/>
  <c r="C43" i="27"/>
  <c r="C42" i="27" s="1"/>
  <c r="C43" i="46"/>
  <c r="C42" i="46" s="1"/>
  <c r="C43" i="29"/>
  <c r="G43" i="29" s="1"/>
  <c r="Q39" i="31"/>
  <c r="Q37" i="31"/>
  <c r="C43" i="28"/>
  <c r="C42" i="28" s="1"/>
  <c r="BV40" i="61"/>
  <c r="AL90" i="43"/>
  <c r="AH90" i="43"/>
  <c r="AL89" i="43"/>
  <c r="AH89" i="43"/>
  <c r="AI92" i="43"/>
  <c r="AL94" i="43"/>
  <c r="AL95" i="43"/>
  <c r="AH94" i="43"/>
  <c r="AH95" i="43"/>
  <c r="AJ94" i="43"/>
  <c r="AJ95" i="43"/>
  <c r="AJ100" i="43"/>
  <c r="AJ99" i="43"/>
  <c r="AI97" i="43"/>
  <c r="Q37" i="46"/>
  <c r="Y39" i="46" s="1"/>
  <c r="Q37" i="26"/>
  <c r="Y39" i="26" s="1"/>
  <c r="AT53" i="61"/>
  <c r="AT59" i="61"/>
  <c r="Q39" i="49"/>
  <c r="Q37" i="50"/>
  <c r="Y39" i="50" s="1"/>
  <c r="C43" i="43"/>
  <c r="C42" i="43" s="1"/>
  <c r="BV42" i="61"/>
  <c r="Q39" i="50"/>
  <c r="BV47" i="61"/>
  <c r="AT55" i="61"/>
  <c r="Q37" i="34"/>
  <c r="Y40" i="34" s="1"/>
  <c r="Q39" i="36"/>
  <c r="BV48" i="61"/>
  <c r="BV46" i="61"/>
  <c r="AT45" i="61"/>
  <c r="BV49" i="61"/>
  <c r="AT57" i="61"/>
  <c r="BV59" i="61"/>
  <c r="BV58" i="61"/>
  <c r="AT41" i="61"/>
  <c r="BV43" i="61"/>
  <c r="BV61" i="61"/>
  <c r="AT51" i="61"/>
  <c r="BV60" i="61"/>
  <c r="AT50" i="61"/>
  <c r="AT54" i="61"/>
  <c r="BV56" i="61"/>
  <c r="BV44" i="61"/>
  <c r="Q39" i="28"/>
  <c r="Q37" i="28"/>
  <c r="Y39" i="28" s="1"/>
  <c r="Q39" i="40"/>
  <c r="C43" i="45"/>
  <c r="C42" i="45" s="1"/>
  <c r="Q37" i="40"/>
  <c r="Y39" i="40" s="1"/>
  <c r="AT43" i="61"/>
  <c r="AT48" i="61"/>
  <c r="BV39" i="61"/>
  <c r="AT44" i="61"/>
  <c r="AT49" i="61"/>
  <c r="AT52" i="61"/>
  <c r="BF48" i="61"/>
  <c r="AT62" i="61"/>
  <c r="Q37" i="49"/>
  <c r="Y39" i="49" s="1"/>
  <c r="C48" i="32"/>
  <c r="C47" i="32" s="1"/>
  <c r="C43" i="40"/>
  <c r="C42" i="40" s="1"/>
  <c r="C43" i="49"/>
  <c r="G43" i="49" s="1"/>
  <c r="C43" i="47"/>
  <c r="C42" i="47" s="1"/>
  <c r="Q39" i="59"/>
  <c r="W42" i="59" s="1"/>
  <c r="C43" i="44"/>
  <c r="C42" i="44" s="1"/>
  <c r="Y39" i="47"/>
  <c r="Y40" i="47"/>
  <c r="AA50" i="30"/>
  <c r="AO50" i="30" s="1"/>
  <c r="W50" i="30"/>
  <c r="AA49" i="30"/>
  <c r="AO49" i="30" s="1"/>
  <c r="W49" i="30"/>
  <c r="B71" i="42"/>
  <c r="A76" i="42"/>
  <c r="A72" i="42"/>
  <c r="G38" i="49"/>
  <c r="AA34" i="38"/>
  <c r="AO34" i="38" s="1"/>
  <c r="W34" i="38"/>
  <c r="AA35" i="38"/>
  <c r="AO35" i="38" s="1"/>
  <c r="W35" i="38"/>
  <c r="AI52" i="43"/>
  <c r="AL54" i="43"/>
  <c r="AH55" i="43"/>
  <c r="AH54" i="43"/>
  <c r="AL55" i="43"/>
  <c r="X32" i="43"/>
  <c r="AA50" i="48"/>
  <c r="AO50" i="48" s="1"/>
  <c r="W50" i="48"/>
  <c r="AA49" i="48"/>
  <c r="AO49" i="48" s="1"/>
  <c r="W49" i="48"/>
  <c r="Q44" i="30"/>
  <c r="Q42" i="30"/>
  <c r="G1" i="43"/>
  <c r="G1" i="39"/>
  <c r="G1" i="35"/>
  <c r="G1" i="59"/>
  <c r="G1" i="31"/>
  <c r="G1" i="47"/>
  <c r="G1" i="27"/>
  <c r="H5" i="37"/>
  <c r="H11" i="37"/>
  <c r="G1" i="44"/>
  <c r="H8" i="34"/>
  <c r="H9" i="34"/>
  <c r="G1" i="29"/>
  <c r="H8" i="38"/>
  <c r="H9" i="38"/>
  <c r="H10" i="38"/>
  <c r="AF13" i="38" s="1"/>
  <c r="G1" i="40"/>
  <c r="G1" i="45"/>
  <c r="H10" i="37"/>
  <c r="AF13" i="37" s="1"/>
  <c r="G1" i="30"/>
  <c r="H7" i="34"/>
  <c r="H6" i="34"/>
  <c r="G1" i="34"/>
  <c r="H7" i="38"/>
  <c r="H6" i="38"/>
  <c r="G1" i="38"/>
  <c r="G1" i="33"/>
  <c r="H8" i="33"/>
  <c r="H9" i="33"/>
  <c r="G1" i="32"/>
  <c r="H5" i="34"/>
  <c r="H11" i="34"/>
  <c r="H11" i="38"/>
  <c r="G1" i="26"/>
  <c r="G1" i="28"/>
  <c r="G1" i="49"/>
  <c r="G1" i="42"/>
  <c r="H6" i="37"/>
  <c r="G1" i="37"/>
  <c r="G1" i="46"/>
  <c r="H10" i="34"/>
  <c r="AF13" i="34" s="1"/>
  <c r="G1" i="48"/>
  <c r="H5" i="38"/>
  <c r="G1" i="41"/>
  <c r="G1" i="36"/>
  <c r="H5" i="33"/>
  <c r="Q57" i="32"/>
  <c r="Q59" i="32"/>
  <c r="B67" i="42"/>
  <c r="A68" i="42"/>
  <c r="AA50" i="45"/>
  <c r="AO50" i="45" s="1"/>
  <c r="W50" i="45"/>
  <c r="AA49" i="45"/>
  <c r="AO49" i="45" s="1"/>
  <c r="W49" i="45"/>
  <c r="AL34" i="49"/>
  <c r="AH34" i="49"/>
  <c r="AI32" i="49"/>
  <c r="AL35" i="49"/>
  <c r="AH35" i="49"/>
  <c r="AA34" i="47"/>
  <c r="AO34" i="47" s="1"/>
  <c r="W34" i="47"/>
  <c r="AA35" i="47"/>
  <c r="AO35" i="47" s="1"/>
  <c r="W35" i="47"/>
  <c r="G38" i="47"/>
  <c r="AJ40" i="38"/>
  <c r="AJ39" i="38"/>
  <c r="AI32" i="38"/>
  <c r="AL35" i="38"/>
  <c r="AH35" i="38"/>
  <c r="AL34" i="38"/>
  <c r="AH34" i="38"/>
  <c r="AL34" i="27"/>
  <c r="AH34" i="27"/>
  <c r="AI32" i="27"/>
  <c r="AL35" i="27"/>
  <c r="AH35" i="27"/>
  <c r="AA34" i="27"/>
  <c r="AO34" i="27" s="1"/>
  <c r="W34" i="27"/>
  <c r="AA35" i="27"/>
  <c r="AO35" i="27" s="1"/>
  <c r="W35" i="27"/>
  <c r="Q47" i="29"/>
  <c r="Q49" i="29"/>
  <c r="O50" i="33"/>
  <c r="P50" i="33" s="1"/>
  <c r="P49" i="33"/>
  <c r="AL60" i="48"/>
  <c r="AH60" i="48"/>
  <c r="AI57" i="48"/>
  <c r="AL59" i="48"/>
  <c r="AH59" i="48"/>
  <c r="X32" i="48"/>
  <c r="AI37" i="43"/>
  <c r="AH40" i="43"/>
  <c r="AH39" i="43"/>
  <c r="AL40" i="43"/>
  <c r="AL39" i="43"/>
  <c r="X32" i="41"/>
  <c r="AA40" i="37"/>
  <c r="AO40" i="37" s="1"/>
  <c r="W40" i="37"/>
  <c r="AA39" i="37"/>
  <c r="AO39" i="37" s="1"/>
  <c r="W39" i="37"/>
  <c r="X32" i="37"/>
  <c r="M40" i="33"/>
  <c r="I40" i="33"/>
  <c r="M39" i="33"/>
  <c r="I39" i="33"/>
  <c r="G39" i="33"/>
  <c r="AI37" i="33"/>
  <c r="AL40" i="33"/>
  <c r="AH40" i="33"/>
  <c r="AL39" i="33"/>
  <c r="AH39" i="33"/>
  <c r="AJ45" i="29"/>
  <c r="AJ44" i="29"/>
  <c r="AI42" i="29"/>
  <c r="AL40" i="29"/>
  <c r="AH40" i="29"/>
  <c r="AL39" i="29"/>
  <c r="AH39" i="29"/>
  <c r="AI37" i="29"/>
  <c r="AJ55" i="41"/>
  <c r="AJ54" i="41"/>
  <c r="B71" i="29"/>
  <c r="A76" i="29"/>
  <c r="A72" i="29"/>
  <c r="A76" i="33"/>
  <c r="A72" i="33"/>
  <c r="B71" i="33"/>
  <c r="A60" i="38"/>
  <c r="B60" i="38" s="1"/>
  <c r="B59" i="38"/>
  <c r="Q37" i="36"/>
  <c r="BE135" i="61"/>
  <c r="BL143" i="61"/>
  <c r="H11" i="35" s="1"/>
  <c r="BH143" i="61"/>
  <c r="H7" i="35" s="1"/>
  <c r="BK143" i="61"/>
  <c r="H10" i="35" s="1"/>
  <c r="AF13" i="35" s="1"/>
  <c r="BG143" i="61"/>
  <c r="H6" i="35" s="1"/>
  <c r="BJ143" i="61"/>
  <c r="H9" i="35" s="1"/>
  <c r="BF143" i="61"/>
  <c r="H5" i="35" s="1"/>
  <c r="BI143" i="61"/>
  <c r="H8" i="35" s="1"/>
  <c r="BE143" i="61"/>
  <c r="D4" i="25"/>
  <c r="H4" i="25"/>
  <c r="I4" i="25" s="1"/>
  <c r="B71" i="41"/>
  <c r="A76" i="41"/>
  <c r="A72" i="41"/>
  <c r="CC44" i="61"/>
  <c r="AW44" i="61"/>
  <c r="BX44" i="61"/>
  <c r="AV44" i="61"/>
  <c r="BY44" i="61"/>
  <c r="BH44" i="61"/>
  <c r="BI44" i="61"/>
  <c r="CC60" i="61"/>
  <c r="BY60" i="61"/>
  <c r="BX60" i="61"/>
  <c r="AV60" i="61"/>
  <c r="AW60" i="61"/>
  <c r="BI60" i="61"/>
  <c r="BH60" i="61"/>
  <c r="CC53" i="61"/>
  <c r="AV53" i="61"/>
  <c r="BY53" i="61"/>
  <c r="AW53" i="61"/>
  <c r="BX53" i="61"/>
  <c r="BH53" i="61"/>
  <c r="BI53" i="61"/>
  <c r="CC46" i="61"/>
  <c r="AV46" i="61"/>
  <c r="AW46" i="61"/>
  <c r="BY46" i="61"/>
  <c r="BX46" i="61"/>
  <c r="BI46" i="61"/>
  <c r="BH46" i="61"/>
  <c r="CC62" i="61"/>
  <c r="BX62" i="61"/>
  <c r="BY62" i="61"/>
  <c r="AW62" i="61"/>
  <c r="AV62" i="61"/>
  <c r="BI62" i="61"/>
  <c r="BH62" i="61"/>
  <c r="CC51" i="61"/>
  <c r="AV51" i="61"/>
  <c r="BY51" i="61"/>
  <c r="AW51" i="61"/>
  <c r="BX51" i="61"/>
  <c r="BH51" i="61"/>
  <c r="BI51" i="61"/>
  <c r="AJ35" i="46"/>
  <c r="AK34" i="46"/>
  <c r="AJ34" i="46"/>
  <c r="AK35" i="46"/>
  <c r="G37" i="43"/>
  <c r="L40" i="43"/>
  <c r="L39" i="43"/>
  <c r="K40" i="43"/>
  <c r="K39" i="43"/>
  <c r="Y35" i="37"/>
  <c r="Z34" i="37"/>
  <c r="Z35" i="37"/>
  <c r="Y34" i="37"/>
  <c r="AK35" i="33"/>
  <c r="AJ35" i="33"/>
  <c r="AK34" i="33"/>
  <c r="AJ34" i="33"/>
  <c r="G37" i="26"/>
  <c r="L40" i="26"/>
  <c r="L39" i="26"/>
  <c r="K40" i="26"/>
  <c r="K39" i="26"/>
  <c r="A55" i="30"/>
  <c r="B55" i="30" s="1"/>
  <c r="B54" i="30"/>
  <c r="AC68" i="26"/>
  <c r="AC64" i="26"/>
  <c r="AD64" i="26" s="1"/>
  <c r="AD63" i="26"/>
  <c r="C48" i="47"/>
  <c r="C49" i="47"/>
  <c r="W50" i="26"/>
  <c r="AA49" i="26"/>
  <c r="AO49" i="26" s="1"/>
  <c r="W49" i="26"/>
  <c r="AA50" i="26"/>
  <c r="AO50" i="26" s="1"/>
  <c r="AC68" i="36"/>
  <c r="AC64" i="36"/>
  <c r="AD64" i="36" s="1"/>
  <c r="AD63" i="36"/>
  <c r="C49" i="44"/>
  <c r="C48" i="44"/>
  <c r="Q67" i="32"/>
  <c r="Q69" i="32"/>
  <c r="AA50" i="40"/>
  <c r="AO50" i="40" s="1"/>
  <c r="W50" i="40"/>
  <c r="AA49" i="40"/>
  <c r="AO49" i="40" s="1"/>
  <c r="W49" i="40"/>
  <c r="AJ80" i="46"/>
  <c r="AJ79" i="46"/>
  <c r="A60" i="49"/>
  <c r="B60" i="49" s="1"/>
  <c r="B59" i="49"/>
  <c r="A55" i="26"/>
  <c r="B55" i="26" s="1"/>
  <c r="B54" i="26"/>
  <c r="Q42" i="45"/>
  <c r="Q44" i="45"/>
  <c r="B66" i="30"/>
  <c r="A71" i="30"/>
  <c r="A67" i="30"/>
  <c r="Q42" i="35"/>
  <c r="Q44" i="35"/>
  <c r="A60" i="40"/>
  <c r="B60" i="40" s="1"/>
  <c r="B59" i="40"/>
  <c r="O59" i="35"/>
  <c r="P58" i="35"/>
  <c r="Q58" i="35" s="1"/>
  <c r="AI67" i="43"/>
  <c r="AL69" i="43"/>
  <c r="AH70" i="43"/>
  <c r="AH69" i="43"/>
  <c r="AL70" i="43"/>
  <c r="P86" i="32"/>
  <c r="O91" i="32"/>
  <c r="O87" i="32"/>
  <c r="AL55" i="27"/>
  <c r="AH55" i="27"/>
  <c r="AI52" i="27"/>
  <c r="AL54" i="27"/>
  <c r="AH54" i="27"/>
  <c r="P62" i="29"/>
  <c r="O63" i="29"/>
  <c r="G38" i="48"/>
  <c r="AJ40" i="40"/>
  <c r="AJ39" i="40"/>
  <c r="G38" i="40"/>
  <c r="AA34" i="34"/>
  <c r="AO34" i="34" s="1"/>
  <c r="W34" i="34"/>
  <c r="AA35" i="34"/>
  <c r="AO35" i="34" s="1"/>
  <c r="W35" i="34"/>
  <c r="AJ40" i="32"/>
  <c r="AJ39" i="32"/>
  <c r="G38" i="30"/>
  <c r="AA35" i="30"/>
  <c r="AO35" i="30" s="1"/>
  <c r="W35" i="30"/>
  <c r="AA34" i="30"/>
  <c r="AO34" i="30" s="1"/>
  <c r="W34" i="30"/>
  <c r="C48" i="29"/>
  <c r="C49" i="29"/>
  <c r="AK39" i="59"/>
  <c r="AN42" i="59"/>
  <c r="AJ42" i="59"/>
  <c r="AN41" i="59"/>
  <c r="AJ41" i="59"/>
  <c r="AA39" i="49"/>
  <c r="AO39" i="49" s="1"/>
  <c r="W39" i="49"/>
  <c r="AA40" i="49"/>
  <c r="AO40" i="49" s="1"/>
  <c r="W40" i="49"/>
  <c r="AI37" i="45"/>
  <c r="AL40" i="45"/>
  <c r="AH40" i="45"/>
  <c r="AL39" i="45"/>
  <c r="AH39" i="45"/>
  <c r="AJ44" i="39"/>
  <c r="AJ45" i="39"/>
  <c r="AI37" i="36"/>
  <c r="AL40" i="36"/>
  <c r="AH40" i="36"/>
  <c r="AL39" i="36"/>
  <c r="AH39" i="36"/>
  <c r="C43" i="32"/>
  <c r="AA40" i="28"/>
  <c r="AO40" i="28" s="1"/>
  <c r="W40" i="28"/>
  <c r="AA39" i="28"/>
  <c r="AO39" i="28" s="1"/>
  <c r="W39" i="28"/>
  <c r="G39" i="28"/>
  <c r="M40" i="28"/>
  <c r="I40" i="28"/>
  <c r="M39" i="28"/>
  <c r="I39" i="28"/>
  <c r="P53" i="44"/>
  <c r="Q53" i="44" s="1"/>
  <c r="O54" i="44"/>
  <c r="BE150" i="61"/>
  <c r="A68" i="44"/>
  <c r="B67" i="44"/>
  <c r="A64" i="29"/>
  <c r="B63" i="29"/>
  <c r="AA50" i="34"/>
  <c r="AO50" i="34" s="1"/>
  <c r="W50" i="34"/>
  <c r="AA49" i="34"/>
  <c r="AO49" i="34" s="1"/>
  <c r="W49" i="34"/>
  <c r="C48" i="35"/>
  <c r="C49" i="35"/>
  <c r="B66" i="46"/>
  <c r="A67" i="46"/>
  <c r="A71" i="46"/>
  <c r="Q41" i="59"/>
  <c r="AL54" i="47"/>
  <c r="AH54" i="47"/>
  <c r="AL55" i="47"/>
  <c r="AH55" i="47"/>
  <c r="AI52" i="47"/>
  <c r="P53" i="27"/>
  <c r="Q53" i="27" s="1"/>
  <c r="O54" i="27"/>
  <c r="AL60" i="39"/>
  <c r="AH60" i="39"/>
  <c r="AI57" i="39"/>
  <c r="AL59" i="39"/>
  <c r="AH59" i="39"/>
  <c r="P61" i="40"/>
  <c r="O66" i="40"/>
  <c r="O62" i="40"/>
  <c r="Q39" i="47"/>
  <c r="L40" i="45"/>
  <c r="L39" i="45"/>
  <c r="K40" i="45"/>
  <c r="K39" i="45"/>
  <c r="G37" i="45"/>
  <c r="AK35" i="39"/>
  <c r="AJ35" i="39"/>
  <c r="AK34" i="39"/>
  <c r="AJ34" i="39"/>
  <c r="G37" i="39"/>
  <c r="L40" i="39"/>
  <c r="L39" i="39"/>
  <c r="K40" i="39"/>
  <c r="K39" i="39"/>
  <c r="AK35" i="27"/>
  <c r="AJ35" i="27"/>
  <c r="AK34" i="27"/>
  <c r="AJ34" i="27"/>
  <c r="B66" i="39"/>
  <c r="A71" i="39"/>
  <c r="A67" i="39"/>
  <c r="B62" i="45"/>
  <c r="A63" i="45"/>
  <c r="BQ136" i="61"/>
  <c r="BU136" i="61"/>
  <c r="CJ136" i="61"/>
  <c r="CC136" i="61"/>
  <c r="CI136" i="61"/>
  <c r="CF136" i="61"/>
  <c r="CK136" i="61"/>
  <c r="CG136" i="61"/>
  <c r="BZ136" i="61"/>
  <c r="CD136" i="61"/>
  <c r="CA136" i="61"/>
  <c r="BY136" i="61"/>
  <c r="CB136" i="61"/>
  <c r="CH136" i="61"/>
  <c r="CL136" i="61"/>
  <c r="CE136" i="61"/>
  <c r="BS136" i="61"/>
  <c r="BR136" i="61"/>
  <c r="BT136" i="61"/>
  <c r="BX136" i="61"/>
  <c r="BW136" i="61"/>
  <c r="BP136" i="61"/>
  <c r="BO136" i="61"/>
  <c r="BN136" i="61"/>
  <c r="BV136" i="61"/>
  <c r="AL49" i="38"/>
  <c r="AH49" i="38"/>
  <c r="AL50" i="38"/>
  <c r="AH50" i="38"/>
  <c r="AI47" i="38"/>
  <c r="M45" i="28"/>
  <c r="I45" i="28"/>
  <c r="G44" i="28"/>
  <c r="M44" i="28"/>
  <c r="I44" i="28"/>
  <c r="AI57" i="37"/>
  <c r="AL59" i="37"/>
  <c r="AH59" i="37"/>
  <c r="AL60" i="37"/>
  <c r="AH60" i="37"/>
  <c r="Q37" i="48"/>
  <c r="M44" i="39"/>
  <c r="I44" i="39"/>
  <c r="M45" i="39"/>
  <c r="I45" i="39"/>
  <c r="G44" i="39"/>
  <c r="O55" i="29"/>
  <c r="P55" i="29" s="1"/>
  <c r="P54" i="29"/>
  <c r="P62" i="41"/>
  <c r="O63" i="41"/>
  <c r="Q39" i="44"/>
  <c r="AJ54" i="31"/>
  <c r="AJ55" i="31"/>
  <c r="AL60" i="42"/>
  <c r="AH60" i="42"/>
  <c r="AI57" i="42"/>
  <c r="AL59" i="42"/>
  <c r="AH59" i="42"/>
  <c r="O79" i="32"/>
  <c r="P78" i="32"/>
  <c r="Q78" i="32" s="1"/>
  <c r="A68" i="49"/>
  <c r="B67" i="49"/>
  <c r="AN36" i="59"/>
  <c r="L35" i="59"/>
  <c r="AN35" i="59"/>
  <c r="L34" i="59"/>
  <c r="AK33" i="59"/>
  <c r="G38" i="46"/>
  <c r="AA35" i="46"/>
  <c r="AO35" i="46" s="1"/>
  <c r="W35" i="46"/>
  <c r="AA34" i="46"/>
  <c r="AO34" i="46" s="1"/>
  <c r="W34" i="46"/>
  <c r="G38" i="33"/>
  <c r="AA34" i="33"/>
  <c r="AO34" i="33" s="1"/>
  <c r="W34" i="33"/>
  <c r="AA35" i="33"/>
  <c r="AO35" i="33" s="1"/>
  <c r="W35" i="33"/>
  <c r="AA34" i="28"/>
  <c r="AO34" i="28" s="1"/>
  <c r="W34" i="28"/>
  <c r="AA35" i="28"/>
  <c r="AO35" i="28" s="1"/>
  <c r="W35" i="28"/>
  <c r="AJ40" i="26"/>
  <c r="AJ39" i="26"/>
  <c r="O58" i="28"/>
  <c r="P57" i="28"/>
  <c r="AA50" i="41"/>
  <c r="AO50" i="41" s="1"/>
  <c r="W50" i="41"/>
  <c r="AA49" i="41"/>
  <c r="AO49" i="41" s="1"/>
  <c r="W49" i="41"/>
  <c r="AJ45" i="47"/>
  <c r="AJ44" i="47"/>
  <c r="AI37" i="44"/>
  <c r="AL40" i="44"/>
  <c r="AH40" i="44"/>
  <c r="AL39" i="44"/>
  <c r="AH39" i="44"/>
  <c r="Q38" i="35"/>
  <c r="Q37" i="35"/>
  <c r="Q39" i="35"/>
  <c r="AI37" i="30"/>
  <c r="AL40" i="30"/>
  <c r="AH40" i="30"/>
  <c r="AL39" i="30"/>
  <c r="AH39" i="30"/>
  <c r="AJ44" i="30"/>
  <c r="AJ45" i="30"/>
  <c r="M40" i="31"/>
  <c r="I40" i="31"/>
  <c r="M39" i="31"/>
  <c r="I39" i="31"/>
  <c r="G39" i="31"/>
  <c r="AC148" i="43"/>
  <c r="AC144" i="43"/>
  <c r="AD144" i="43" s="1"/>
  <c r="AD143" i="43"/>
  <c r="Q39" i="39"/>
  <c r="AC64" i="49"/>
  <c r="AD64" i="49" s="1"/>
  <c r="AD63" i="49"/>
  <c r="AC68" i="49"/>
  <c r="AI57" i="45"/>
  <c r="AL59" i="45"/>
  <c r="AH59" i="45"/>
  <c r="AL60" i="45"/>
  <c r="AH60" i="45"/>
  <c r="AJ60" i="28"/>
  <c r="AJ59" i="28"/>
  <c r="AL50" i="33"/>
  <c r="AH50" i="33"/>
  <c r="AI47" i="33"/>
  <c r="AL49" i="33"/>
  <c r="AH49" i="33"/>
  <c r="A59" i="46"/>
  <c r="B58" i="46"/>
  <c r="W55" i="26"/>
  <c r="AA54" i="26"/>
  <c r="AO54" i="26" s="1"/>
  <c r="W54" i="26"/>
  <c r="AA55" i="26"/>
  <c r="AO55" i="26" s="1"/>
  <c r="AL50" i="30"/>
  <c r="AH50" i="30"/>
  <c r="AI47" i="30"/>
  <c r="AL49" i="30"/>
  <c r="AH49" i="30"/>
  <c r="Z35" i="49"/>
  <c r="Y34" i="49"/>
  <c r="Y35" i="49"/>
  <c r="R32" i="49"/>
  <c r="Z34" i="49"/>
  <c r="K40" i="47"/>
  <c r="K39" i="47"/>
  <c r="G37" i="47"/>
  <c r="L40" i="47"/>
  <c r="L39" i="47"/>
  <c r="AJ34" i="41"/>
  <c r="AK35" i="41"/>
  <c r="AJ35" i="41"/>
  <c r="AK34" i="41"/>
  <c r="K40" i="41"/>
  <c r="K39" i="41"/>
  <c r="G37" i="41"/>
  <c r="L40" i="41"/>
  <c r="L39" i="41"/>
  <c r="O58" i="31"/>
  <c r="P57" i="31"/>
  <c r="A59" i="45"/>
  <c r="B58" i="45"/>
  <c r="AA59" i="59"/>
  <c r="AQ59" i="59" s="1"/>
  <c r="AA60" i="59"/>
  <c r="AQ60" i="59" s="1"/>
  <c r="Q42" i="32"/>
  <c r="Q44" i="32"/>
  <c r="B71" i="34"/>
  <c r="A76" i="34"/>
  <c r="A72" i="34"/>
  <c r="AL60" i="30"/>
  <c r="AH60" i="30"/>
  <c r="AI57" i="30"/>
  <c r="AL59" i="30"/>
  <c r="AH59" i="30"/>
  <c r="AL54" i="35"/>
  <c r="AH54" i="35"/>
  <c r="AL55" i="35"/>
  <c r="AH55" i="35"/>
  <c r="AI52" i="35"/>
  <c r="O54" i="50"/>
  <c r="P53" i="50"/>
  <c r="Q53" i="50" s="1"/>
  <c r="A64" i="27"/>
  <c r="B63" i="27"/>
  <c r="P49" i="28"/>
  <c r="O50" i="28"/>
  <c r="P50" i="28" s="1"/>
  <c r="A55" i="37"/>
  <c r="B55" i="37" s="1"/>
  <c r="B54" i="37"/>
  <c r="O67" i="42"/>
  <c r="P66" i="42"/>
  <c r="O71" i="42"/>
  <c r="AL50" i="48"/>
  <c r="AH50" i="48"/>
  <c r="AI47" i="48"/>
  <c r="AL49" i="48"/>
  <c r="AH49" i="48"/>
  <c r="O55" i="36"/>
  <c r="P55" i="36" s="1"/>
  <c r="P54" i="36"/>
  <c r="P62" i="38"/>
  <c r="O63" i="38"/>
  <c r="AL60" i="31"/>
  <c r="AH60" i="31"/>
  <c r="AI57" i="31"/>
  <c r="AL59" i="31"/>
  <c r="AH59" i="31"/>
  <c r="B67" i="47"/>
  <c r="A68" i="47"/>
  <c r="AL60" i="27"/>
  <c r="AH60" i="27"/>
  <c r="AI57" i="27"/>
  <c r="AL59" i="27"/>
  <c r="AH59" i="27"/>
  <c r="AA50" i="27"/>
  <c r="AO50" i="27" s="1"/>
  <c r="W50" i="27"/>
  <c r="AA49" i="27"/>
  <c r="AO49" i="27" s="1"/>
  <c r="W49" i="27"/>
  <c r="G38" i="50"/>
  <c r="G38" i="45"/>
  <c r="AJ40" i="42"/>
  <c r="AJ39" i="42"/>
  <c r="AA35" i="42"/>
  <c r="AO35" i="42" s="1"/>
  <c r="W35" i="42"/>
  <c r="AA34" i="42"/>
  <c r="AO34" i="42" s="1"/>
  <c r="W34" i="42"/>
  <c r="AL35" i="39"/>
  <c r="AH35" i="39"/>
  <c r="AL34" i="39"/>
  <c r="AH34" i="39"/>
  <c r="AI32" i="39"/>
  <c r="AJ40" i="36"/>
  <c r="AJ39" i="36"/>
  <c r="AL34" i="31"/>
  <c r="AH34" i="31"/>
  <c r="AI32" i="31"/>
  <c r="AL35" i="31"/>
  <c r="AH35" i="31"/>
  <c r="AJ40" i="31"/>
  <c r="AJ39" i="31"/>
  <c r="AA34" i="29"/>
  <c r="AO34" i="29" s="1"/>
  <c r="W34" i="29"/>
  <c r="AA35" i="29"/>
  <c r="AO35" i="29" s="1"/>
  <c r="W35" i="29"/>
  <c r="G38" i="29"/>
  <c r="O54" i="28"/>
  <c r="P53" i="28"/>
  <c r="Q53" i="28" s="1"/>
  <c r="Q44" i="49"/>
  <c r="Q42" i="49"/>
  <c r="AJ45" i="50"/>
  <c r="AJ44" i="50"/>
  <c r="X32" i="50"/>
  <c r="AI37" i="46"/>
  <c r="AH40" i="46"/>
  <c r="AH39" i="46"/>
  <c r="AL40" i="46"/>
  <c r="AL39" i="46"/>
  <c r="M40" i="42"/>
  <c r="I40" i="42"/>
  <c r="M39" i="42"/>
  <c r="I39" i="42"/>
  <c r="G39" i="42"/>
  <c r="AL40" i="38"/>
  <c r="AH40" i="38"/>
  <c r="AL39" i="38"/>
  <c r="AH39" i="38"/>
  <c r="AI37" i="38"/>
  <c r="X32" i="38"/>
  <c r="AJ45" i="34"/>
  <c r="AJ44" i="34"/>
  <c r="AJ45" i="26"/>
  <c r="AJ44" i="26"/>
  <c r="X32" i="26"/>
  <c r="M40" i="27"/>
  <c r="I40" i="27"/>
  <c r="M39" i="27"/>
  <c r="I39" i="27"/>
  <c r="G39" i="27"/>
  <c r="AI37" i="27"/>
  <c r="AL40" i="27"/>
  <c r="AH40" i="27"/>
  <c r="AL39" i="27"/>
  <c r="AH39" i="27"/>
  <c r="O62" i="44"/>
  <c r="P61" i="44"/>
  <c r="O66" i="44"/>
  <c r="AJ60" i="34"/>
  <c r="AJ59" i="34"/>
  <c r="C53" i="41"/>
  <c r="C54" i="41"/>
  <c r="C49" i="36"/>
  <c r="C48" i="36"/>
  <c r="Q37" i="30"/>
  <c r="AL54" i="29"/>
  <c r="AH54" i="29"/>
  <c r="AL55" i="29"/>
  <c r="AH55" i="29"/>
  <c r="AI52" i="29"/>
  <c r="C54" i="44"/>
  <c r="C53" i="44"/>
  <c r="Q42" i="50"/>
  <c r="Q44" i="50"/>
  <c r="O58" i="34"/>
  <c r="P57" i="34"/>
  <c r="AJ70" i="40"/>
  <c r="AJ69" i="40"/>
  <c r="AL49" i="47"/>
  <c r="AH49" i="47"/>
  <c r="AL50" i="47"/>
  <c r="AH50" i="47"/>
  <c r="AI47" i="47"/>
  <c r="AV4" i="25"/>
  <c r="W1" i="6"/>
  <c r="C54" i="31"/>
  <c r="C53" i="31"/>
  <c r="AJ54" i="39"/>
  <c r="AJ55" i="39"/>
  <c r="P49" i="50"/>
  <c r="O50" i="50"/>
  <c r="P50" i="50" s="1"/>
  <c r="G35" i="59"/>
  <c r="J35" i="59"/>
  <c r="G34" i="59"/>
  <c r="I34" i="59"/>
  <c r="I35" i="59"/>
  <c r="J34" i="59"/>
  <c r="L40" i="44"/>
  <c r="L39" i="44"/>
  <c r="K40" i="44"/>
  <c r="K39" i="44"/>
  <c r="G37" i="44"/>
  <c r="L40" i="40"/>
  <c r="L39" i="40"/>
  <c r="G37" i="40"/>
  <c r="K40" i="40"/>
  <c r="K39" i="40"/>
  <c r="Z34" i="30"/>
  <c r="Z35" i="30"/>
  <c r="Y34" i="30"/>
  <c r="Y35" i="30"/>
  <c r="AJ55" i="38"/>
  <c r="AJ54" i="38"/>
  <c r="AA55" i="48"/>
  <c r="AO55" i="48" s="1"/>
  <c r="W55" i="48"/>
  <c r="AA54" i="48"/>
  <c r="AO54" i="48" s="1"/>
  <c r="W54" i="48"/>
  <c r="P58" i="36"/>
  <c r="Q58" i="36" s="1"/>
  <c r="O59" i="36"/>
  <c r="Q39" i="38"/>
  <c r="W75" i="32"/>
  <c r="AA74" i="32"/>
  <c r="AO74" i="32" s="1"/>
  <c r="W74" i="32"/>
  <c r="AA75" i="32"/>
  <c r="AO75" i="32" s="1"/>
  <c r="Q37" i="45"/>
  <c r="B74" i="59"/>
  <c r="A75" i="59"/>
  <c r="A80" i="59"/>
  <c r="BF41" i="61"/>
  <c r="AT46" i="61"/>
  <c r="BV52" i="61"/>
  <c r="BV57" i="61"/>
  <c r="AT61" i="61"/>
  <c r="P62" i="30"/>
  <c r="O63" i="30"/>
  <c r="O67" i="48"/>
  <c r="P66" i="48"/>
  <c r="O71" i="48"/>
  <c r="O54" i="37"/>
  <c r="P53" i="37"/>
  <c r="Q53" i="37" s="1"/>
  <c r="C54" i="49"/>
  <c r="C53" i="49"/>
  <c r="Q42" i="39"/>
  <c r="Q42" i="48"/>
  <c r="AJ55" i="50"/>
  <c r="AJ54" i="50"/>
  <c r="A60" i="29"/>
  <c r="B60" i="29" s="1"/>
  <c r="B59" i="29"/>
  <c r="A60" i="59"/>
  <c r="B60" i="59" s="1"/>
  <c r="B59" i="59"/>
  <c r="AI77" i="43"/>
  <c r="AL79" i="43"/>
  <c r="AH80" i="43"/>
  <c r="AH79" i="43"/>
  <c r="AL80" i="43"/>
  <c r="AJ40" i="49"/>
  <c r="AJ39" i="49"/>
  <c r="AI32" i="41"/>
  <c r="AL35" i="41"/>
  <c r="AH35" i="41"/>
  <c r="AL34" i="41"/>
  <c r="AH34" i="41"/>
  <c r="G38" i="35"/>
  <c r="AJ45" i="37"/>
  <c r="AJ44" i="37"/>
  <c r="Q38" i="33"/>
  <c r="Q39" i="33"/>
  <c r="Q37" i="33"/>
  <c r="Q52" i="32"/>
  <c r="Q54" i="32"/>
  <c r="Y35" i="50"/>
  <c r="R32" i="50"/>
  <c r="Z34" i="50"/>
  <c r="Z35" i="50"/>
  <c r="Y34" i="50"/>
  <c r="L40" i="37"/>
  <c r="L39" i="37"/>
  <c r="K40" i="37"/>
  <c r="K39" i="37"/>
  <c r="G37" i="37"/>
  <c r="Z35" i="31"/>
  <c r="Y34" i="31"/>
  <c r="Y35" i="31"/>
  <c r="Z34" i="31"/>
  <c r="M45" i="43"/>
  <c r="I44" i="43"/>
  <c r="I45" i="43"/>
  <c r="G44" i="43"/>
  <c r="M44" i="43"/>
  <c r="AJ60" i="32"/>
  <c r="AJ59" i="32"/>
  <c r="AJ55" i="37"/>
  <c r="AJ54" i="37"/>
  <c r="AC59" i="44"/>
  <c r="AD59" i="44" s="1"/>
  <c r="AD58" i="44"/>
  <c r="AC63" i="44"/>
  <c r="C42" i="34"/>
  <c r="G43" i="34"/>
  <c r="B67" i="50"/>
  <c r="A68" i="50"/>
  <c r="AL49" i="35"/>
  <c r="AH49" i="35"/>
  <c r="AL50" i="35"/>
  <c r="AH50" i="35"/>
  <c r="AI47" i="35"/>
  <c r="AI77" i="46"/>
  <c r="AL79" i="46"/>
  <c r="AH79" i="46"/>
  <c r="AH80" i="46"/>
  <c r="AL80" i="46"/>
  <c r="AN66" i="59"/>
  <c r="AJ66" i="59"/>
  <c r="AK63" i="59"/>
  <c r="AN65" i="59"/>
  <c r="AJ65" i="59"/>
  <c r="Q44" i="40"/>
  <c r="Q42" i="40"/>
  <c r="C53" i="59"/>
  <c r="C52" i="59"/>
  <c r="Q42" i="34"/>
  <c r="Q44" i="34"/>
  <c r="AC64" i="50"/>
  <c r="AD64" i="50" s="1"/>
  <c r="AD63" i="50"/>
  <c r="AC68" i="50"/>
  <c r="AJ75" i="43"/>
  <c r="AJ74" i="43"/>
  <c r="O71" i="29"/>
  <c r="O67" i="29"/>
  <c r="P66" i="29"/>
  <c r="Q53" i="59"/>
  <c r="Q51" i="59"/>
  <c r="AA35" i="48"/>
  <c r="AO35" i="48" s="1"/>
  <c r="W35" i="48"/>
  <c r="AA34" i="48"/>
  <c r="AO34" i="48" s="1"/>
  <c r="W34" i="48"/>
  <c r="AJ40" i="44"/>
  <c r="AJ39" i="44"/>
  <c r="AL34" i="44"/>
  <c r="AH34" i="44"/>
  <c r="AI32" i="44"/>
  <c r="AL35" i="44"/>
  <c r="AH35" i="44"/>
  <c r="AA34" i="44"/>
  <c r="AO34" i="44" s="1"/>
  <c r="W34" i="44"/>
  <c r="AA35" i="44"/>
  <c r="AO35" i="44" s="1"/>
  <c r="W35" i="44"/>
  <c r="AA35" i="40"/>
  <c r="AO35" i="40" s="1"/>
  <c r="W35" i="40"/>
  <c r="AA34" i="40"/>
  <c r="AO34" i="40" s="1"/>
  <c r="W34" i="40"/>
  <c r="G38" i="34"/>
  <c r="G38" i="32"/>
  <c r="AA34" i="32"/>
  <c r="AO34" i="32" s="1"/>
  <c r="W34" i="32"/>
  <c r="W35" i="32"/>
  <c r="AA35" i="32"/>
  <c r="AO35" i="32" s="1"/>
  <c r="AJ40" i="30"/>
  <c r="AJ39" i="30"/>
  <c r="Q47" i="41"/>
  <c r="Q49" i="41"/>
  <c r="AL48" i="59"/>
  <c r="AL47" i="59"/>
  <c r="AK45" i="59"/>
  <c r="X33" i="59"/>
  <c r="AJ44" i="49"/>
  <c r="AJ45" i="49"/>
  <c r="G39" i="45"/>
  <c r="M40" i="45"/>
  <c r="I40" i="45"/>
  <c r="M39" i="45"/>
  <c r="I39" i="45"/>
  <c r="X32" i="45"/>
  <c r="M40" i="39"/>
  <c r="I40" i="39"/>
  <c r="M39" i="39"/>
  <c r="I39" i="39"/>
  <c r="G39" i="39"/>
  <c r="X32" i="39"/>
  <c r="AA39" i="36"/>
  <c r="AO39" i="36" s="1"/>
  <c r="W39" i="36"/>
  <c r="AA40" i="36"/>
  <c r="AO40" i="36" s="1"/>
  <c r="W40" i="36"/>
  <c r="M40" i="36"/>
  <c r="I40" i="36"/>
  <c r="M39" i="36"/>
  <c r="I39" i="36"/>
  <c r="G39" i="36"/>
  <c r="AL40" i="32"/>
  <c r="AH40" i="32"/>
  <c r="AL39" i="32"/>
  <c r="AH39" i="32"/>
  <c r="AI37" i="32"/>
  <c r="AA40" i="32"/>
  <c r="AO40" i="32" s="1"/>
  <c r="W40" i="32"/>
  <c r="AA39" i="32"/>
  <c r="AO39" i="32" s="1"/>
  <c r="W39" i="32"/>
  <c r="X32" i="32"/>
  <c r="AJ45" i="28"/>
  <c r="AJ44" i="28"/>
  <c r="Q44" i="36"/>
  <c r="Q42" i="36"/>
  <c r="A76" i="44"/>
  <c r="A72" i="44"/>
  <c r="B71" i="44"/>
  <c r="Q42" i="28"/>
  <c r="Q44" i="28"/>
  <c r="P49" i="34"/>
  <c r="O50" i="34"/>
  <c r="P50" i="34" s="1"/>
  <c r="P57" i="39"/>
  <c r="O58" i="39"/>
  <c r="O58" i="46"/>
  <c r="P57" i="46"/>
  <c r="B62" i="46"/>
  <c r="A63" i="46"/>
  <c r="AI57" i="46"/>
  <c r="AH60" i="46"/>
  <c r="AL59" i="46"/>
  <c r="AL60" i="46"/>
  <c r="AH59" i="46"/>
  <c r="AI57" i="43"/>
  <c r="AL59" i="43"/>
  <c r="AH60" i="43"/>
  <c r="AH59" i="43"/>
  <c r="AL60" i="43"/>
  <c r="C5" i="50"/>
  <c r="R33" i="50" s="1"/>
  <c r="AC68" i="39"/>
  <c r="AC64" i="39"/>
  <c r="AD64" i="39" s="1"/>
  <c r="AD63" i="39"/>
  <c r="S31" i="53"/>
  <c r="BG31" i="53"/>
  <c r="AJ35" i="45"/>
  <c r="AK34" i="45"/>
  <c r="AJ34" i="45"/>
  <c r="AK35" i="45"/>
  <c r="A59" i="26"/>
  <c r="B58" i="26"/>
  <c r="B66" i="45"/>
  <c r="A71" i="45"/>
  <c r="A67" i="45"/>
  <c r="Q39" i="48"/>
  <c r="BY141" i="61"/>
  <c r="CF141" i="61"/>
  <c r="CC141" i="61"/>
  <c r="CG141" i="61"/>
  <c r="BZ141" i="61"/>
  <c r="CI141" i="61"/>
  <c r="BU141" i="61"/>
  <c r="CD141" i="61"/>
  <c r="BQ141" i="61"/>
  <c r="CB141" i="61"/>
  <c r="CJ141" i="61"/>
  <c r="CK141" i="61"/>
  <c r="CH141" i="61"/>
  <c r="CL141" i="61"/>
  <c r="CA141" i="61"/>
  <c r="CE141" i="61"/>
  <c r="BR141" i="61"/>
  <c r="BO141" i="61"/>
  <c r="BP141" i="61"/>
  <c r="BS141" i="61"/>
  <c r="BN141" i="61"/>
  <c r="BX141" i="61"/>
  <c r="BV141" i="61"/>
  <c r="BT141" i="61"/>
  <c r="BW141" i="61"/>
  <c r="Q47" i="38"/>
  <c r="Q49" i="38"/>
  <c r="A64" i="50"/>
  <c r="B63" i="50"/>
  <c r="BQ144" i="61"/>
  <c r="CB144" i="61"/>
  <c r="CJ144" i="61"/>
  <c r="CK144" i="61"/>
  <c r="CA144" i="61"/>
  <c r="CE144" i="61"/>
  <c r="CD144" i="61"/>
  <c r="BY144" i="61"/>
  <c r="CF144" i="61"/>
  <c r="CC144" i="61"/>
  <c r="CG144" i="61"/>
  <c r="CI144" i="61"/>
  <c r="BU144" i="61"/>
  <c r="BZ144" i="61"/>
  <c r="CH144" i="61"/>
  <c r="CL144" i="61"/>
  <c r="BT144" i="61"/>
  <c r="BW144" i="61"/>
  <c r="BX144" i="61"/>
  <c r="BO144" i="61"/>
  <c r="BP144" i="61"/>
  <c r="BS144" i="61"/>
  <c r="BR144" i="61"/>
  <c r="BN144" i="61"/>
  <c r="BV144" i="61"/>
  <c r="P58" i="30"/>
  <c r="Q58" i="30" s="1"/>
  <c r="O59" i="30"/>
  <c r="O71" i="41"/>
  <c r="O67" i="41"/>
  <c r="P66" i="41"/>
  <c r="O58" i="50"/>
  <c r="P57" i="50"/>
  <c r="A68" i="27"/>
  <c r="B67" i="27"/>
  <c r="P49" i="43"/>
  <c r="O50" i="43"/>
  <c r="P50" i="43" s="1"/>
  <c r="AJ54" i="33"/>
  <c r="AJ55" i="33"/>
  <c r="AC68" i="42"/>
  <c r="AC64" i="42"/>
  <c r="AD64" i="42" s="1"/>
  <c r="AD63" i="42"/>
  <c r="BE137" i="61"/>
  <c r="O59" i="29"/>
  <c r="P58" i="29"/>
  <c r="Q58" i="29" s="1"/>
  <c r="C54" i="42"/>
  <c r="C53" i="42"/>
  <c r="A76" i="49"/>
  <c r="A72" i="49"/>
  <c r="B71" i="49"/>
  <c r="AL42" i="59"/>
  <c r="AL41" i="59"/>
  <c r="G40" i="59"/>
  <c r="AJ40" i="43"/>
  <c r="AJ39" i="43"/>
  <c r="AI32" i="37"/>
  <c r="AL35" i="37"/>
  <c r="AH35" i="37"/>
  <c r="AL34" i="37"/>
  <c r="AH34" i="37"/>
  <c r="AJ40" i="37"/>
  <c r="AJ39" i="37"/>
  <c r="G38" i="28"/>
  <c r="AA35" i="26"/>
  <c r="AO35" i="26" s="1"/>
  <c r="W35" i="26"/>
  <c r="AA34" i="26"/>
  <c r="AO34" i="26" s="1"/>
  <c r="W34" i="26"/>
  <c r="P61" i="28"/>
  <c r="O66" i="28"/>
  <c r="O62" i="28"/>
  <c r="B66" i="43"/>
  <c r="A67" i="43"/>
  <c r="A71" i="43"/>
  <c r="AA40" i="47"/>
  <c r="AO40" i="47" s="1"/>
  <c r="W40" i="47"/>
  <c r="AA39" i="47"/>
  <c r="AO39" i="47" s="1"/>
  <c r="W39" i="47"/>
  <c r="AL40" i="47"/>
  <c r="AH40" i="47"/>
  <c r="AL39" i="47"/>
  <c r="AH39" i="47"/>
  <c r="AI37" i="47"/>
  <c r="AJ44" i="44"/>
  <c r="AJ45" i="44"/>
  <c r="AI42" i="44"/>
  <c r="X32" i="44"/>
  <c r="AJ44" i="40"/>
  <c r="AJ45" i="40"/>
  <c r="X32" i="40"/>
  <c r="AJ45" i="35"/>
  <c r="AJ44" i="35"/>
  <c r="AI42" i="35"/>
  <c r="AA39" i="30"/>
  <c r="AO39" i="30" s="1"/>
  <c r="W39" i="30"/>
  <c r="AA40" i="30"/>
  <c r="AO40" i="30" s="1"/>
  <c r="W40" i="30"/>
  <c r="M40" i="30"/>
  <c r="I40" i="30"/>
  <c r="M39" i="30"/>
  <c r="I39" i="30"/>
  <c r="G39" i="30"/>
  <c r="C43" i="31"/>
  <c r="AJ44" i="31"/>
  <c r="AJ45" i="31"/>
  <c r="X32" i="31"/>
  <c r="O58" i="45"/>
  <c r="P57" i="45"/>
  <c r="AJ59" i="49"/>
  <c r="AJ60" i="49"/>
  <c r="AJ55" i="34"/>
  <c r="AJ54" i="34"/>
  <c r="A55" i="39"/>
  <c r="B55" i="39" s="1"/>
  <c r="B54" i="39"/>
  <c r="A64" i="44"/>
  <c r="B63" i="44"/>
  <c r="AI57" i="28"/>
  <c r="AL59" i="28"/>
  <c r="AH59" i="28"/>
  <c r="AL60" i="28"/>
  <c r="AH60" i="28"/>
  <c r="P54" i="26"/>
  <c r="O55" i="26"/>
  <c r="P55" i="26" s="1"/>
  <c r="O70" i="59"/>
  <c r="P69" i="59"/>
  <c r="B4" i="24"/>
  <c r="W1" i="3"/>
  <c r="O54" i="40"/>
  <c r="P53" i="40"/>
  <c r="Q53" i="40" s="1"/>
  <c r="M45" i="47"/>
  <c r="I45" i="47"/>
  <c r="G44" i="47"/>
  <c r="M44" i="47"/>
  <c r="I44" i="47"/>
  <c r="O58" i="49"/>
  <c r="P57" i="49"/>
  <c r="L40" i="49"/>
  <c r="L39" i="49"/>
  <c r="D37" i="49"/>
  <c r="K40" i="49"/>
  <c r="K39" i="49"/>
  <c r="G37" i="49"/>
  <c r="AJ34" i="47"/>
  <c r="AK35" i="47"/>
  <c r="AJ35" i="47"/>
  <c r="AK34" i="47"/>
  <c r="Z34" i="35"/>
  <c r="Z35" i="35"/>
  <c r="Y34" i="35"/>
  <c r="Y35" i="35"/>
  <c r="B66" i="26"/>
  <c r="A67" i="26"/>
  <c r="A71" i="26"/>
  <c r="M44" i="27"/>
  <c r="I44" i="27"/>
  <c r="M45" i="27"/>
  <c r="I45" i="27"/>
  <c r="G44" i="27"/>
  <c r="AA50" i="37"/>
  <c r="AO50" i="37" s="1"/>
  <c r="W50" i="37"/>
  <c r="AA49" i="37"/>
  <c r="AO49" i="37" s="1"/>
  <c r="W49" i="37"/>
  <c r="P61" i="43"/>
  <c r="O62" i="43"/>
  <c r="O66" i="43"/>
  <c r="AL49" i="32"/>
  <c r="AH49" i="32"/>
  <c r="AH50" i="32"/>
  <c r="AL50" i="32"/>
  <c r="AI47" i="32"/>
  <c r="AJ55" i="26"/>
  <c r="AJ54" i="26"/>
  <c r="P59" i="59"/>
  <c r="O60" i="59"/>
  <c r="P60" i="59" s="1"/>
  <c r="AL50" i="44"/>
  <c r="AH50" i="44"/>
  <c r="AI47" i="44"/>
  <c r="AL49" i="44"/>
  <c r="AH49" i="44"/>
  <c r="CB148" i="61"/>
  <c r="BQ148" i="61"/>
  <c r="CL148" i="61"/>
  <c r="CC148" i="61"/>
  <c r="BN148" i="61"/>
  <c r="BP148" i="61"/>
  <c r="BW148" i="61"/>
  <c r="AC68" i="30"/>
  <c r="AC64" i="30"/>
  <c r="AD64" i="30" s="1"/>
  <c r="AD63" i="30"/>
  <c r="B67" i="35"/>
  <c r="A68" i="35"/>
  <c r="AI42" i="37"/>
  <c r="O59" i="41"/>
  <c r="P58" i="41"/>
  <c r="Q58" i="41" s="1"/>
  <c r="Q39" i="26"/>
  <c r="A59" i="30"/>
  <c r="B58" i="30"/>
  <c r="O58" i="37"/>
  <c r="P57" i="37"/>
  <c r="Q47" i="59"/>
  <c r="Q45" i="59"/>
  <c r="AA55" i="36"/>
  <c r="AO55" i="36" s="1"/>
  <c r="W55" i="36"/>
  <c r="AA54" i="36"/>
  <c r="AO54" i="36" s="1"/>
  <c r="W54" i="36"/>
  <c r="O71" i="38"/>
  <c r="O67" i="38"/>
  <c r="P66" i="38"/>
  <c r="AC64" i="33"/>
  <c r="AD64" i="33" s="1"/>
  <c r="AD63" i="33"/>
  <c r="AC68" i="33"/>
  <c r="O50" i="39"/>
  <c r="P50" i="39" s="1"/>
  <c r="P49" i="39"/>
  <c r="M44" i="33"/>
  <c r="I44" i="33"/>
  <c r="M45" i="33"/>
  <c r="I45" i="33"/>
  <c r="G44" i="33"/>
  <c r="B71" i="47"/>
  <c r="A76" i="47"/>
  <c r="A72" i="47"/>
  <c r="A64" i="49"/>
  <c r="B63" i="49"/>
  <c r="AI32" i="45"/>
  <c r="AL35" i="45"/>
  <c r="AH35" i="45"/>
  <c r="AL34" i="45"/>
  <c r="AH34" i="45"/>
  <c r="AJ40" i="45"/>
  <c r="AJ39" i="45"/>
  <c r="G38" i="42"/>
  <c r="G38" i="39"/>
  <c r="AA35" i="36"/>
  <c r="AO35" i="36" s="1"/>
  <c r="W35" i="36"/>
  <c r="AA34" i="36"/>
  <c r="AO34" i="36" s="1"/>
  <c r="W34" i="36"/>
  <c r="AA34" i="31"/>
  <c r="AO34" i="31" s="1"/>
  <c r="W34" i="31"/>
  <c r="AA35" i="31"/>
  <c r="AO35" i="31" s="1"/>
  <c r="W35" i="31"/>
  <c r="AJ40" i="29"/>
  <c r="AJ39" i="29"/>
  <c r="O50" i="31"/>
  <c r="P50" i="31" s="1"/>
  <c r="P49" i="31"/>
  <c r="B62" i="37"/>
  <c r="A63" i="37"/>
  <c r="A60" i="44"/>
  <c r="B60" i="44" s="1"/>
  <c r="B59" i="44"/>
  <c r="AI52" i="46"/>
  <c r="AL55" i="46"/>
  <c r="AL54" i="46"/>
  <c r="AH55" i="46"/>
  <c r="AH54" i="46"/>
  <c r="AI37" i="50"/>
  <c r="AL40" i="50"/>
  <c r="AH40" i="50"/>
  <c r="AL39" i="50"/>
  <c r="AH39" i="50"/>
  <c r="G39" i="50"/>
  <c r="M40" i="50"/>
  <c r="I40" i="50"/>
  <c r="M39" i="50"/>
  <c r="I39" i="50"/>
  <c r="M40" i="46"/>
  <c r="I39" i="46"/>
  <c r="G39" i="46"/>
  <c r="I40" i="46"/>
  <c r="M39" i="46"/>
  <c r="AI37" i="42"/>
  <c r="AL40" i="42"/>
  <c r="AH40" i="42"/>
  <c r="AL39" i="42"/>
  <c r="AH39" i="42"/>
  <c r="AA39" i="42"/>
  <c r="AO39" i="42" s="1"/>
  <c r="W39" i="42"/>
  <c r="AA40" i="42"/>
  <c r="AO40" i="42" s="1"/>
  <c r="W40" i="42"/>
  <c r="X32" i="42"/>
  <c r="G39" i="26"/>
  <c r="I39" i="26"/>
  <c r="M40" i="26"/>
  <c r="I40" i="26"/>
  <c r="M39" i="26"/>
  <c r="AJ44" i="27"/>
  <c r="AJ45" i="27"/>
  <c r="AI42" i="27"/>
  <c r="C49" i="50"/>
  <c r="C48" i="50"/>
  <c r="A64" i="32"/>
  <c r="B63" i="32"/>
  <c r="AI57" i="34"/>
  <c r="AL59" i="34"/>
  <c r="AH59" i="34"/>
  <c r="AL60" i="34"/>
  <c r="AH60" i="34"/>
  <c r="Q37" i="43"/>
  <c r="AI72" i="43"/>
  <c r="AL74" i="43"/>
  <c r="AH75" i="43"/>
  <c r="AH74" i="43"/>
  <c r="AL75" i="43"/>
  <c r="A60" i="41"/>
  <c r="B60" i="41" s="1"/>
  <c r="B59" i="41"/>
  <c r="Q39" i="30"/>
  <c r="P53" i="39"/>
  <c r="Q53" i="39" s="1"/>
  <c r="O54" i="39"/>
  <c r="A68" i="31"/>
  <c r="B67" i="31"/>
  <c r="P61" i="34"/>
  <c r="O66" i="34"/>
  <c r="O62" i="34"/>
  <c r="AI67" i="40"/>
  <c r="AL69" i="40"/>
  <c r="AH69" i="40"/>
  <c r="AL70" i="40"/>
  <c r="AH70" i="40"/>
  <c r="W1" i="23"/>
  <c r="W1" i="15"/>
  <c r="O62" i="27"/>
  <c r="P61" i="27"/>
  <c r="O66" i="27"/>
  <c r="AA55" i="41"/>
  <c r="AO55" i="41" s="1"/>
  <c r="W55" i="41"/>
  <c r="AA54" i="41"/>
  <c r="AO54" i="41" s="1"/>
  <c r="W54" i="41"/>
  <c r="O35" i="59"/>
  <c r="O34" i="59"/>
  <c r="N34" i="59"/>
  <c r="N35" i="59"/>
  <c r="Z34" i="48"/>
  <c r="Z35" i="48"/>
  <c r="Y34" i="48"/>
  <c r="Y35" i="48"/>
  <c r="Y35" i="28"/>
  <c r="Z34" i="28"/>
  <c r="Z35" i="28"/>
  <c r="Y34" i="28"/>
  <c r="AJ35" i="28"/>
  <c r="AK34" i="28"/>
  <c r="AJ34" i="28"/>
  <c r="AK35" i="28"/>
  <c r="AK35" i="30"/>
  <c r="AJ35" i="30"/>
  <c r="AK34" i="30"/>
  <c r="AJ34" i="30"/>
  <c r="G37" i="30"/>
  <c r="L40" i="30"/>
  <c r="L39" i="30"/>
  <c r="K40" i="30"/>
  <c r="K39" i="30"/>
  <c r="A60" i="27"/>
  <c r="B60" i="27" s="1"/>
  <c r="B59" i="27"/>
  <c r="O58" i="33"/>
  <c r="P57" i="33"/>
  <c r="AL54" i="38"/>
  <c r="AH54" i="38"/>
  <c r="AL55" i="38"/>
  <c r="AH55" i="38"/>
  <c r="AI52" i="38"/>
  <c r="A59" i="36"/>
  <c r="B58" i="36"/>
  <c r="AJ55" i="32"/>
  <c r="AJ54" i="32"/>
  <c r="AI52" i="37"/>
  <c r="Q37" i="38"/>
  <c r="P62" i="26"/>
  <c r="O63" i="26"/>
  <c r="P74" i="32"/>
  <c r="O75" i="32"/>
  <c r="P75" i="32" s="1"/>
  <c r="C54" i="40"/>
  <c r="C53" i="40"/>
  <c r="A70" i="59"/>
  <c r="B69" i="59"/>
  <c r="BV41" i="61"/>
  <c r="AT47" i="61"/>
  <c r="BF50" i="61"/>
  <c r="BV51" i="61"/>
  <c r="BV55" i="61"/>
  <c r="BF63" i="61"/>
  <c r="W49" i="32"/>
  <c r="W50" i="32"/>
  <c r="AA49" i="32"/>
  <c r="AO49" i="32" s="1"/>
  <c r="AA50" i="32"/>
  <c r="AO50" i="32" s="1"/>
  <c r="Q39" i="37"/>
  <c r="Q37" i="42"/>
  <c r="AI47" i="46"/>
  <c r="AL50" i="46"/>
  <c r="AL49" i="46"/>
  <c r="AH50" i="46"/>
  <c r="AH49" i="46"/>
  <c r="AI47" i="40"/>
  <c r="AL50" i="40"/>
  <c r="AH50" i="40"/>
  <c r="AL49" i="40"/>
  <c r="AH49" i="40"/>
  <c r="Q42" i="33"/>
  <c r="C49" i="34"/>
  <c r="C48" i="34"/>
  <c r="AA50" i="33"/>
  <c r="AO50" i="33" s="1"/>
  <c r="W50" i="33"/>
  <c r="AA49" i="33"/>
  <c r="AO49" i="33" s="1"/>
  <c r="W49" i="33"/>
  <c r="W40" i="43"/>
  <c r="W39" i="43"/>
  <c r="AA40" i="43"/>
  <c r="AO40" i="43" s="1"/>
  <c r="AA39" i="43"/>
  <c r="AO39" i="43" s="1"/>
  <c r="G39" i="41"/>
  <c r="M40" i="41"/>
  <c r="I40" i="41"/>
  <c r="M39" i="41"/>
  <c r="I39" i="41"/>
  <c r="X32" i="29"/>
  <c r="B67" i="40"/>
  <c r="A68" i="40"/>
  <c r="BE147" i="61"/>
  <c r="CC48" i="61"/>
  <c r="BX48" i="61"/>
  <c r="AW48" i="61"/>
  <c r="AV48" i="61"/>
  <c r="BY48" i="61"/>
  <c r="BH48" i="61"/>
  <c r="BI48" i="61"/>
  <c r="CC57" i="61"/>
  <c r="AW57" i="61"/>
  <c r="BX57" i="61"/>
  <c r="BY57" i="61"/>
  <c r="AV57" i="61"/>
  <c r="BI57" i="61"/>
  <c r="BH57" i="61"/>
  <c r="CC39" i="61"/>
  <c r="AW39" i="61"/>
  <c r="BY39" i="61"/>
  <c r="AV39" i="61"/>
  <c r="BX39" i="61"/>
  <c r="BH39" i="61"/>
  <c r="BI39" i="61"/>
  <c r="AJ35" i="50"/>
  <c r="AK34" i="50"/>
  <c r="AJ34" i="50"/>
  <c r="AK35" i="50"/>
  <c r="AE33" i="50"/>
  <c r="AJ35" i="43"/>
  <c r="AK34" i="43"/>
  <c r="AK35" i="43"/>
  <c r="AJ34" i="43"/>
  <c r="C42" i="36"/>
  <c r="P62" i="35"/>
  <c r="O63" i="35"/>
  <c r="AJ54" i="42"/>
  <c r="AJ55" i="42"/>
  <c r="G43" i="37"/>
  <c r="A64" i="47"/>
  <c r="B63" i="47"/>
  <c r="AJ85" i="43"/>
  <c r="AJ84" i="43"/>
  <c r="AI82" i="43"/>
  <c r="AA34" i="49"/>
  <c r="AO34" i="49" s="1"/>
  <c r="W34" i="49"/>
  <c r="AA35" i="49"/>
  <c r="AO35" i="49" s="1"/>
  <c r="W35" i="49"/>
  <c r="AI32" i="47"/>
  <c r="AL35" i="47"/>
  <c r="AH35" i="47"/>
  <c r="AL34" i="47"/>
  <c r="AH34" i="47"/>
  <c r="G38" i="38"/>
  <c r="M45" i="29"/>
  <c r="I45" i="29"/>
  <c r="G44" i="29"/>
  <c r="M44" i="29"/>
  <c r="I44" i="29"/>
  <c r="A59" i="37"/>
  <c r="B58" i="37"/>
  <c r="AJ60" i="43"/>
  <c r="AJ59" i="43"/>
  <c r="AA39" i="48"/>
  <c r="AO39" i="48" s="1"/>
  <c r="W39" i="48"/>
  <c r="AA40" i="48"/>
  <c r="AO40" i="48" s="1"/>
  <c r="W40" i="48"/>
  <c r="C43" i="41"/>
  <c r="Q38" i="41"/>
  <c r="Q37" i="41"/>
  <c r="Q39" i="41"/>
  <c r="AI37" i="37"/>
  <c r="AL40" i="37"/>
  <c r="AH40" i="37"/>
  <c r="AL39" i="37"/>
  <c r="AH39" i="37"/>
  <c r="X32" i="33"/>
  <c r="G39" i="29"/>
  <c r="M40" i="29"/>
  <c r="I40" i="29"/>
  <c r="M39" i="29"/>
  <c r="I39" i="29"/>
  <c r="C49" i="28"/>
  <c r="C48" i="28"/>
  <c r="B71" i="32"/>
  <c r="A72" i="32"/>
  <c r="A76" i="32"/>
  <c r="A55" i="43"/>
  <c r="B55" i="43" s="1"/>
  <c r="B54" i="43"/>
  <c r="Q49" i="42"/>
  <c r="Q47" i="42"/>
  <c r="O55" i="30"/>
  <c r="P55" i="30" s="1"/>
  <c r="P54" i="30"/>
  <c r="C54" i="27"/>
  <c r="C53" i="27"/>
  <c r="AL50" i="36"/>
  <c r="AH50" i="36"/>
  <c r="AI47" i="36"/>
  <c r="AL49" i="36"/>
  <c r="AH49" i="36"/>
  <c r="B71" i="40"/>
  <c r="A76" i="40"/>
  <c r="A72" i="40"/>
  <c r="A60" i="50"/>
  <c r="B60" i="50" s="1"/>
  <c r="B59" i="50"/>
  <c r="BE131" i="61"/>
  <c r="Q44" i="27"/>
  <c r="Q42" i="27"/>
  <c r="P53" i="49"/>
  <c r="Q53" i="49" s="1"/>
  <c r="O54" i="49"/>
  <c r="CC52" i="61"/>
  <c r="BY52" i="61"/>
  <c r="AW52" i="61"/>
  <c r="BX52" i="61"/>
  <c r="AV52" i="61"/>
  <c r="BH52" i="61"/>
  <c r="BI52" i="61"/>
  <c r="CC45" i="61"/>
  <c r="BX45" i="61"/>
  <c r="AW45" i="61"/>
  <c r="BY45" i="61"/>
  <c r="AV45" i="61"/>
  <c r="BI45" i="61"/>
  <c r="BH45" i="61"/>
  <c r="CC61" i="61"/>
  <c r="BY61" i="61"/>
  <c r="BX61" i="61"/>
  <c r="AW61" i="61"/>
  <c r="AV61" i="61"/>
  <c r="BH61" i="61"/>
  <c r="BI61" i="61"/>
  <c r="CC54" i="61"/>
  <c r="AV54" i="61"/>
  <c r="BY54" i="61"/>
  <c r="AW54" i="61"/>
  <c r="BX54" i="61"/>
  <c r="BI54" i="61"/>
  <c r="BH54" i="61"/>
  <c r="CC43" i="61"/>
  <c r="AV43" i="61"/>
  <c r="BY43" i="61"/>
  <c r="AW43" i="61"/>
  <c r="BX43" i="61"/>
  <c r="BI43" i="61"/>
  <c r="BH43" i="61"/>
  <c r="CC59" i="61"/>
  <c r="AV59" i="61"/>
  <c r="BY59" i="61"/>
  <c r="AW59" i="61"/>
  <c r="BX59" i="61"/>
  <c r="BH59" i="61"/>
  <c r="BI59" i="61"/>
  <c r="L40" i="50"/>
  <c r="L39" i="50"/>
  <c r="D37" i="50"/>
  <c r="K40" i="50"/>
  <c r="K39" i="50"/>
  <c r="G37" i="50"/>
  <c r="Y35" i="46"/>
  <c r="Z34" i="46"/>
  <c r="Z35" i="46"/>
  <c r="Y34" i="46"/>
  <c r="AJ35" i="37"/>
  <c r="AK34" i="37"/>
  <c r="AJ34" i="37"/>
  <c r="AK35" i="37"/>
  <c r="Z35" i="33"/>
  <c r="Y34" i="33"/>
  <c r="Y35" i="33"/>
  <c r="Z34" i="33"/>
  <c r="L40" i="31"/>
  <c r="L39" i="31"/>
  <c r="K40" i="31"/>
  <c r="K39" i="31"/>
  <c r="G37" i="31"/>
  <c r="P53" i="31"/>
  <c r="Q53" i="31" s="1"/>
  <c r="O54" i="31"/>
  <c r="M44" i="36"/>
  <c r="I44" i="36"/>
  <c r="M45" i="36"/>
  <c r="I45" i="36"/>
  <c r="G44" i="36"/>
  <c r="CB129" i="61"/>
  <c r="CJ129" i="61"/>
  <c r="CK129" i="61"/>
  <c r="CL129" i="61"/>
  <c r="BQ129" i="61"/>
  <c r="CH129" i="61"/>
  <c r="BY129" i="61"/>
  <c r="CD129" i="61"/>
  <c r="CE129" i="61"/>
  <c r="CI129" i="61"/>
  <c r="BU129" i="61"/>
  <c r="CF129" i="61"/>
  <c r="CC129" i="61"/>
  <c r="CG129" i="61"/>
  <c r="BZ129" i="61"/>
  <c r="CA129" i="61"/>
  <c r="BO129" i="61"/>
  <c r="BT129" i="61"/>
  <c r="BR129" i="61"/>
  <c r="BN129" i="61"/>
  <c r="BP129" i="61"/>
  <c r="BS129" i="61"/>
  <c r="BX129" i="61"/>
  <c r="BW129" i="61"/>
  <c r="BV129" i="61"/>
  <c r="AI47" i="37"/>
  <c r="AL49" i="37"/>
  <c r="AH49" i="37"/>
  <c r="AL50" i="37"/>
  <c r="AH50" i="37"/>
  <c r="AJ60" i="26"/>
  <c r="AJ59" i="26"/>
  <c r="A60" i="28"/>
  <c r="B60" i="28" s="1"/>
  <c r="B59" i="28"/>
  <c r="AL59" i="32"/>
  <c r="AH59" i="32"/>
  <c r="AH60" i="32"/>
  <c r="AI57" i="32"/>
  <c r="AL60" i="32"/>
  <c r="AJ59" i="36"/>
  <c r="AJ60" i="36"/>
  <c r="A64" i="38"/>
  <c r="B63" i="38"/>
  <c r="AJ54" i="44"/>
  <c r="AJ55" i="44"/>
  <c r="M45" i="34"/>
  <c r="I45" i="34"/>
  <c r="G44" i="34"/>
  <c r="M44" i="34"/>
  <c r="I44" i="34"/>
  <c r="A60" i="42"/>
  <c r="B60" i="42" s="1"/>
  <c r="B59" i="42"/>
  <c r="M44" i="46"/>
  <c r="M45" i="46"/>
  <c r="I44" i="46"/>
  <c r="I45" i="46"/>
  <c r="G44" i="46"/>
  <c r="B71" i="50"/>
  <c r="A76" i="50"/>
  <c r="A72" i="50"/>
  <c r="AC76" i="59"/>
  <c r="AC71" i="59"/>
  <c r="AD71" i="59" s="1"/>
  <c r="AD70" i="59"/>
  <c r="A60" i="32"/>
  <c r="B60" i="32" s="1"/>
  <c r="B59" i="32"/>
  <c r="P58" i="42"/>
  <c r="Q58" i="42" s="1"/>
  <c r="O59" i="42"/>
  <c r="C42" i="50"/>
  <c r="G43" i="50"/>
  <c r="Q49" i="30"/>
  <c r="Q47" i="30"/>
  <c r="AJ60" i="50"/>
  <c r="AJ59" i="50"/>
  <c r="AL55" i="31"/>
  <c r="AH55" i="31"/>
  <c r="AI52" i="31"/>
  <c r="AL54" i="31"/>
  <c r="AH54" i="31"/>
  <c r="AA55" i="38"/>
  <c r="AO55" i="38" s="1"/>
  <c r="W55" i="38"/>
  <c r="AA54" i="38"/>
  <c r="AO54" i="38" s="1"/>
  <c r="W54" i="38"/>
  <c r="A55" i="48"/>
  <c r="B55" i="48" s="1"/>
  <c r="B54" i="48"/>
  <c r="C53" i="29"/>
  <c r="C54" i="29"/>
  <c r="O50" i="49"/>
  <c r="P50" i="49" s="1"/>
  <c r="P49" i="49"/>
  <c r="AL35" i="48"/>
  <c r="AH35" i="48"/>
  <c r="AL34" i="48"/>
  <c r="AH34" i="48"/>
  <c r="AI32" i="48"/>
  <c r="AL35" i="40"/>
  <c r="AH35" i="40"/>
  <c r="AL34" i="40"/>
  <c r="AH34" i="40"/>
  <c r="AI32" i="40"/>
  <c r="AI32" i="32"/>
  <c r="AH35" i="32"/>
  <c r="AH34" i="32"/>
  <c r="AL35" i="32"/>
  <c r="AL34" i="32"/>
  <c r="AA50" i="29"/>
  <c r="AO50" i="29" s="1"/>
  <c r="W50" i="29"/>
  <c r="AA49" i="29"/>
  <c r="AO49" i="29" s="1"/>
  <c r="W49" i="29"/>
  <c r="C49" i="42"/>
  <c r="C48" i="42"/>
  <c r="AI52" i="40"/>
  <c r="AL54" i="40"/>
  <c r="AH54" i="40"/>
  <c r="AL55" i="40"/>
  <c r="AH55" i="40"/>
  <c r="AA42" i="59"/>
  <c r="AQ42" i="59" s="1"/>
  <c r="AA41" i="59"/>
  <c r="AQ41" i="59" s="1"/>
  <c r="M42" i="59"/>
  <c r="G41" i="59"/>
  <c r="M41" i="59"/>
  <c r="AI37" i="49"/>
  <c r="AL40" i="49"/>
  <c r="AH40" i="49"/>
  <c r="AL39" i="49"/>
  <c r="AH39" i="49"/>
  <c r="AA40" i="45"/>
  <c r="AO40" i="45" s="1"/>
  <c r="W40" i="45"/>
  <c r="AA39" i="45"/>
  <c r="AO39" i="45" s="1"/>
  <c r="W39" i="45"/>
  <c r="AI37" i="39"/>
  <c r="AL40" i="39"/>
  <c r="AH40" i="39"/>
  <c r="AL39" i="39"/>
  <c r="AH39" i="39"/>
  <c r="X32" i="36"/>
  <c r="AJ45" i="32"/>
  <c r="AJ44" i="32"/>
  <c r="AI42" i="32"/>
  <c r="G39" i="32"/>
  <c r="I39" i="32"/>
  <c r="I40" i="32"/>
  <c r="M39" i="32"/>
  <c r="M40" i="32"/>
  <c r="BE152" i="61"/>
  <c r="AL49" i="29"/>
  <c r="AH49" i="29"/>
  <c r="AL50" i="29"/>
  <c r="AH50" i="29"/>
  <c r="AI47" i="29"/>
  <c r="C49" i="33"/>
  <c r="C48" i="33"/>
  <c r="A64" i="40"/>
  <c r="B63" i="40"/>
  <c r="P61" i="46"/>
  <c r="O66" i="46"/>
  <c r="O62" i="46"/>
  <c r="AJ65" i="46"/>
  <c r="AJ64" i="46"/>
  <c r="AJ65" i="43"/>
  <c r="AJ64" i="43"/>
  <c r="AI62" i="43"/>
  <c r="B67" i="28"/>
  <c r="A68" i="28"/>
  <c r="A60" i="34"/>
  <c r="B60" i="34" s="1"/>
  <c r="B59" i="34"/>
  <c r="C49" i="40"/>
  <c r="C48" i="40"/>
  <c r="AC59" i="47"/>
  <c r="AD59" i="47" s="1"/>
  <c r="AD58" i="47"/>
  <c r="AC63" i="47"/>
  <c r="A60" i="35"/>
  <c r="B60" i="35" s="1"/>
  <c r="B59" i="35"/>
  <c r="A64" i="41"/>
  <c r="B63" i="41"/>
  <c r="AN53" i="59"/>
  <c r="AJ53" i="59"/>
  <c r="AN54" i="59"/>
  <c r="AJ54" i="59"/>
  <c r="AK51" i="59"/>
  <c r="Z34" i="42"/>
  <c r="Z35" i="42"/>
  <c r="Y34" i="42"/>
  <c r="Y35" i="42"/>
  <c r="Z34" i="36"/>
  <c r="Z35" i="36"/>
  <c r="Y34" i="36"/>
  <c r="Y35" i="36"/>
  <c r="Z35" i="27"/>
  <c r="Y34" i="27"/>
  <c r="Y35" i="27"/>
  <c r="Z34" i="27"/>
  <c r="Z34" i="29"/>
  <c r="Z35" i="29"/>
  <c r="Y34" i="29"/>
  <c r="Y35" i="29"/>
  <c r="P53" i="33"/>
  <c r="Q53" i="33" s="1"/>
  <c r="O54" i="33"/>
  <c r="P53" i="43"/>
  <c r="Q53" i="43" s="1"/>
  <c r="O54" i="43"/>
  <c r="A55" i="46"/>
  <c r="B55" i="46" s="1"/>
  <c r="B54" i="46"/>
  <c r="P62" i="36"/>
  <c r="O63" i="36"/>
  <c r="AC64" i="37"/>
  <c r="AD64" i="37" s="1"/>
  <c r="AD63" i="37"/>
  <c r="AC68" i="37"/>
  <c r="M44" i="40"/>
  <c r="I44" i="40"/>
  <c r="G44" i="40"/>
  <c r="M45" i="40"/>
  <c r="I45" i="40"/>
  <c r="P49" i="46"/>
  <c r="O50" i="46"/>
  <c r="P50" i="46" s="1"/>
  <c r="Q39" i="32"/>
  <c r="M45" i="26"/>
  <c r="I45" i="26"/>
  <c r="G44" i="26"/>
  <c r="I44" i="26"/>
  <c r="M44" i="26"/>
  <c r="P61" i="50"/>
  <c r="O66" i="50"/>
  <c r="O62" i="50"/>
  <c r="A76" i="27"/>
  <c r="A72" i="27"/>
  <c r="B71" i="27"/>
  <c r="W50" i="43"/>
  <c r="AA49" i="43"/>
  <c r="AO49" i="43" s="1"/>
  <c r="AA50" i="43"/>
  <c r="AO50" i="43" s="1"/>
  <c r="W49" i="43"/>
  <c r="Q42" i="38"/>
  <c r="Q44" i="38"/>
  <c r="Q42" i="37"/>
  <c r="Q44" i="37"/>
  <c r="AI57" i="40"/>
  <c r="AL59" i="40"/>
  <c r="AH59" i="40"/>
  <c r="AL60" i="40"/>
  <c r="AH60" i="40"/>
  <c r="AA54" i="59"/>
  <c r="AQ54" i="59" s="1"/>
  <c r="AA53" i="59"/>
  <c r="AQ53" i="59" s="1"/>
  <c r="AJ40" i="46"/>
  <c r="AJ39" i="46"/>
  <c r="G38" i="43"/>
  <c r="AA35" i="43"/>
  <c r="AO35" i="43" s="1"/>
  <c r="W35" i="43"/>
  <c r="W34" i="43"/>
  <c r="AA34" i="43"/>
  <c r="AO34" i="43" s="1"/>
  <c r="AA34" i="37"/>
  <c r="AO34" i="37" s="1"/>
  <c r="W34" i="37"/>
  <c r="AA35" i="37"/>
  <c r="AO35" i="37" s="1"/>
  <c r="W35" i="37"/>
  <c r="AL35" i="26"/>
  <c r="AH35" i="26"/>
  <c r="AI32" i="26"/>
  <c r="AL34" i="26"/>
  <c r="AH34" i="26"/>
  <c r="C49" i="26"/>
  <c r="C48" i="26"/>
  <c r="B62" i="43"/>
  <c r="A63" i="43"/>
  <c r="AJ54" i="48"/>
  <c r="AJ55" i="48"/>
  <c r="M40" i="44"/>
  <c r="I40" i="44"/>
  <c r="M39" i="44"/>
  <c r="I39" i="44"/>
  <c r="G39" i="44"/>
  <c r="AA39" i="40"/>
  <c r="AO39" i="40" s="1"/>
  <c r="W39" i="40"/>
  <c r="W40" i="40"/>
  <c r="AA40" i="40"/>
  <c r="AO40" i="40" s="1"/>
  <c r="M40" i="40"/>
  <c r="I40" i="40"/>
  <c r="M39" i="40"/>
  <c r="I39" i="40"/>
  <c r="G39" i="40"/>
  <c r="AL40" i="35"/>
  <c r="AH40" i="35"/>
  <c r="AL39" i="35"/>
  <c r="AH39" i="35"/>
  <c r="AI37" i="35"/>
  <c r="X32" i="30"/>
  <c r="AA39" i="31"/>
  <c r="AO39" i="31" s="1"/>
  <c r="W39" i="31"/>
  <c r="AA40" i="31"/>
  <c r="AO40" i="31" s="1"/>
  <c r="W40" i="31"/>
  <c r="AJ139" i="43"/>
  <c r="AJ140" i="43"/>
  <c r="M44" i="30"/>
  <c r="I44" i="30"/>
  <c r="M45" i="30"/>
  <c r="I45" i="30"/>
  <c r="G44" i="30"/>
  <c r="P61" i="45"/>
  <c r="O66" i="45"/>
  <c r="O62" i="45"/>
  <c r="AL60" i="49"/>
  <c r="AH60" i="49"/>
  <c r="AI57" i="49"/>
  <c r="AL59" i="49"/>
  <c r="AH59" i="49"/>
  <c r="BE133" i="61"/>
  <c r="O55" i="42"/>
  <c r="P55" i="42" s="1"/>
  <c r="P54" i="42"/>
  <c r="AC64" i="45"/>
  <c r="AD64" i="45" s="1"/>
  <c r="AD63" i="45"/>
  <c r="AC68" i="45"/>
  <c r="A55" i="45"/>
  <c r="B55" i="45" s="1"/>
  <c r="B54" i="45"/>
  <c r="Q42" i="43"/>
  <c r="Q44" i="43"/>
  <c r="A64" i="28"/>
  <c r="B63" i="28"/>
  <c r="C49" i="27"/>
  <c r="C48" i="27"/>
  <c r="C49" i="37"/>
  <c r="C48" i="37"/>
  <c r="O63" i="47"/>
  <c r="P62" i="47"/>
  <c r="AK35" i="49"/>
  <c r="AE33" i="49"/>
  <c r="AJ35" i="49"/>
  <c r="AK34" i="49"/>
  <c r="AJ34" i="49"/>
  <c r="Z34" i="38"/>
  <c r="Z35" i="38"/>
  <c r="Y34" i="38"/>
  <c r="Y35" i="38"/>
  <c r="AJ34" i="35"/>
  <c r="AK35" i="35"/>
  <c r="AJ35" i="35"/>
  <c r="AK34" i="35"/>
  <c r="K40" i="35"/>
  <c r="K39" i="35"/>
  <c r="G37" i="35"/>
  <c r="L40" i="35"/>
  <c r="L39" i="35"/>
  <c r="AJ34" i="32"/>
  <c r="AK35" i="32"/>
  <c r="AK34" i="32"/>
  <c r="AJ35" i="32"/>
  <c r="K40" i="32"/>
  <c r="K39" i="32"/>
  <c r="L39" i="32"/>
  <c r="G37" i="32"/>
  <c r="L40" i="32"/>
  <c r="B62" i="26"/>
  <c r="A63" i="26"/>
  <c r="O62" i="31"/>
  <c r="P61" i="31"/>
  <c r="O66" i="31"/>
  <c r="P49" i="37"/>
  <c r="O50" i="37"/>
  <c r="P50" i="37" s="1"/>
  <c r="P57" i="43"/>
  <c r="O58" i="43"/>
  <c r="B62" i="36"/>
  <c r="A63" i="36"/>
  <c r="M45" i="45"/>
  <c r="I45" i="45"/>
  <c r="G44" i="45"/>
  <c r="M44" i="45"/>
  <c r="I44" i="45"/>
  <c r="AJ54" i="36"/>
  <c r="AJ55" i="36"/>
  <c r="C53" i="32"/>
  <c r="C54" i="32"/>
  <c r="AL50" i="49"/>
  <c r="AH50" i="49"/>
  <c r="AI47" i="49"/>
  <c r="AL49" i="49"/>
  <c r="AH49" i="49"/>
  <c r="B71" i="35"/>
  <c r="A76" i="35"/>
  <c r="A72" i="35"/>
  <c r="AC59" i="35"/>
  <c r="AD59" i="35" s="1"/>
  <c r="AD58" i="35"/>
  <c r="AC63" i="35"/>
  <c r="M44" i="48"/>
  <c r="I44" i="48"/>
  <c r="M45" i="48"/>
  <c r="I45" i="48"/>
  <c r="G44" i="48"/>
  <c r="P61" i="37"/>
  <c r="O66" i="37"/>
  <c r="O62" i="37"/>
  <c r="P62" i="42"/>
  <c r="O63" i="42"/>
  <c r="Q42" i="29"/>
  <c r="Q44" i="29"/>
  <c r="C49" i="43"/>
  <c r="C48" i="43"/>
  <c r="AI47" i="43"/>
  <c r="AL49" i="43"/>
  <c r="AH50" i="43"/>
  <c r="AH49" i="43"/>
  <c r="AL50" i="43"/>
  <c r="AC64" i="31"/>
  <c r="AD64" i="31" s="1"/>
  <c r="AD63" i="31"/>
  <c r="AC68" i="31"/>
  <c r="AJ59" i="33"/>
  <c r="AJ60" i="33"/>
  <c r="AA50" i="39"/>
  <c r="AO50" i="39" s="1"/>
  <c r="W50" i="39"/>
  <c r="AA49" i="39"/>
  <c r="AO49" i="39" s="1"/>
  <c r="W49" i="39"/>
  <c r="AI62" i="46"/>
  <c r="AC64" i="27"/>
  <c r="AD64" i="27" s="1"/>
  <c r="AD63" i="27"/>
  <c r="AC68" i="27"/>
  <c r="C54" i="28"/>
  <c r="C53" i="28"/>
  <c r="C54" i="34"/>
  <c r="C53" i="34"/>
  <c r="AI32" i="50"/>
  <c r="AL35" i="50"/>
  <c r="AH35" i="50"/>
  <c r="AL34" i="50"/>
  <c r="AH34" i="50"/>
  <c r="AJ40" i="50"/>
  <c r="AJ39" i="50"/>
  <c r="AA34" i="45"/>
  <c r="AO34" i="45" s="1"/>
  <c r="W34" i="45"/>
  <c r="AA35" i="45"/>
  <c r="AO35" i="45" s="1"/>
  <c r="W35" i="45"/>
  <c r="AJ40" i="39"/>
  <c r="AJ39" i="39"/>
  <c r="G38" i="36"/>
  <c r="G38" i="31"/>
  <c r="AI32" i="29"/>
  <c r="AL35" i="29"/>
  <c r="AH35" i="29"/>
  <c r="AL34" i="29"/>
  <c r="AH34" i="29"/>
  <c r="AA50" i="31"/>
  <c r="AO50" i="31" s="1"/>
  <c r="W50" i="31"/>
  <c r="AA49" i="31"/>
  <c r="AO49" i="31" s="1"/>
  <c r="W49" i="31"/>
  <c r="B66" i="37"/>
  <c r="A71" i="37"/>
  <c r="A67" i="37"/>
  <c r="C49" i="48"/>
  <c r="C48" i="48"/>
  <c r="AA40" i="50"/>
  <c r="AO40" i="50" s="1"/>
  <c r="W40" i="50"/>
  <c r="AA39" i="50"/>
  <c r="AO39" i="50" s="1"/>
  <c r="W39" i="50"/>
  <c r="AJ45" i="46"/>
  <c r="AJ44" i="46"/>
  <c r="C43" i="38"/>
  <c r="AA40" i="38"/>
  <c r="AO40" i="38" s="1"/>
  <c r="W40" i="38"/>
  <c r="AA39" i="38"/>
  <c r="AO39" i="38" s="1"/>
  <c r="W39" i="38"/>
  <c r="AI37" i="34"/>
  <c r="AL40" i="34"/>
  <c r="AH40" i="34"/>
  <c r="AL39" i="34"/>
  <c r="AH39" i="34"/>
  <c r="X32" i="34"/>
  <c r="AA40" i="26"/>
  <c r="AO40" i="26" s="1"/>
  <c r="W40" i="26"/>
  <c r="AA39" i="26"/>
  <c r="AO39" i="26" s="1"/>
  <c r="W39" i="26"/>
  <c r="X32" i="27"/>
  <c r="O58" i="44"/>
  <c r="P57" i="44"/>
  <c r="Q39" i="43"/>
  <c r="AJ80" i="43"/>
  <c r="AJ79" i="43"/>
  <c r="C53" i="38"/>
  <c r="C54" i="38"/>
  <c r="AA55" i="47"/>
  <c r="AO55" i="47" s="1"/>
  <c r="W55" i="47"/>
  <c r="AA54" i="47"/>
  <c r="AO54" i="47" s="1"/>
  <c r="W54" i="47"/>
  <c r="AC59" i="29"/>
  <c r="AD59" i="29" s="1"/>
  <c r="AD58" i="29"/>
  <c r="AC63" i="29"/>
  <c r="Q42" i="46"/>
  <c r="Q44" i="46"/>
  <c r="A76" i="31"/>
  <c r="A72" i="31"/>
  <c r="B71" i="31"/>
  <c r="O65" i="59"/>
  <c r="P64" i="59"/>
  <c r="Q64" i="59" s="1"/>
  <c r="W1" i="53"/>
  <c r="W1" i="21"/>
  <c r="W1" i="13"/>
  <c r="O55" i="41"/>
  <c r="P55" i="41" s="1"/>
  <c r="P54" i="41"/>
  <c r="M44" i="49"/>
  <c r="I44" i="49"/>
  <c r="M45" i="49"/>
  <c r="I45" i="49"/>
  <c r="G44" i="49"/>
  <c r="AK35" i="48"/>
  <c r="AJ35" i="48"/>
  <c r="AK34" i="48"/>
  <c r="AJ34" i="48"/>
  <c r="G37" i="48"/>
  <c r="L40" i="48"/>
  <c r="L39" i="48"/>
  <c r="K40" i="48"/>
  <c r="K39" i="48"/>
  <c r="Y35" i="34"/>
  <c r="Z34" i="34"/>
  <c r="Z35" i="34"/>
  <c r="Y34" i="34"/>
  <c r="AJ35" i="34"/>
  <c r="AK34" i="34"/>
  <c r="AJ34" i="34"/>
  <c r="AK35" i="34"/>
  <c r="L40" i="28"/>
  <c r="L39" i="28"/>
  <c r="K40" i="28"/>
  <c r="K39" i="28"/>
  <c r="G37" i="28"/>
  <c r="B62" i="48"/>
  <c r="A63" i="48"/>
  <c r="AA55" i="35"/>
  <c r="AO55" i="35" s="1"/>
  <c r="W55" i="35"/>
  <c r="AA54" i="35"/>
  <c r="AO54" i="35" s="1"/>
  <c r="W54" i="35"/>
  <c r="B67" i="38"/>
  <c r="A68" i="38"/>
  <c r="O50" i="44"/>
  <c r="P50" i="44" s="1"/>
  <c r="P49" i="44"/>
  <c r="P66" i="26"/>
  <c r="O71" i="26"/>
  <c r="O67" i="26"/>
  <c r="A64" i="34"/>
  <c r="B63" i="34"/>
  <c r="A60" i="47"/>
  <c r="B60" i="47" s="1"/>
  <c r="B59" i="47"/>
  <c r="AT40" i="61"/>
  <c r="AT42" i="61"/>
  <c r="BV50" i="61"/>
  <c r="BF53" i="61"/>
  <c r="BV54" i="61"/>
  <c r="BF60" i="61"/>
  <c r="BF62" i="61"/>
  <c r="BV63" i="61"/>
  <c r="O67" i="30"/>
  <c r="P66" i="30"/>
  <c r="O71" i="30"/>
  <c r="A64" i="35"/>
  <c r="B63" i="35"/>
  <c r="Q37" i="37"/>
  <c r="P62" i="48"/>
  <c r="O63" i="48"/>
  <c r="C53" i="35"/>
  <c r="C54" i="35"/>
  <c r="Q39" i="42"/>
  <c r="Q42" i="44"/>
  <c r="M50" i="32"/>
  <c r="I50" i="32"/>
  <c r="G49" i="32"/>
  <c r="I49" i="32"/>
  <c r="M49" i="32"/>
  <c r="P49" i="45"/>
  <c r="O50" i="45"/>
  <c r="P50" i="45" s="1"/>
  <c r="C49" i="39"/>
  <c r="C48" i="39"/>
  <c r="AJ40" i="47"/>
  <c r="AJ39" i="47"/>
  <c r="AA34" i="35"/>
  <c r="AO34" i="35" s="1"/>
  <c r="W34" i="35"/>
  <c r="AA35" i="35"/>
  <c r="AO35" i="35" s="1"/>
  <c r="W35" i="35"/>
  <c r="Q47" i="47"/>
  <c r="Q49" i="47"/>
  <c r="AC68" i="48"/>
  <c r="AC64" i="48"/>
  <c r="AD64" i="48" s="1"/>
  <c r="AD63" i="48"/>
  <c r="AJ44" i="48"/>
  <c r="AJ45" i="48"/>
  <c r="AI42" i="48"/>
  <c r="AL54" i="41"/>
  <c r="AH54" i="41"/>
  <c r="AL55" i="41"/>
  <c r="AH55" i="41"/>
  <c r="AI52" i="41"/>
  <c r="P53" i="46"/>
  <c r="Q53" i="46" s="1"/>
  <c r="O54" i="46"/>
  <c r="CC41" i="61"/>
  <c r="AW41" i="61"/>
  <c r="AV41" i="61"/>
  <c r="BY41" i="61"/>
  <c r="BX41" i="61"/>
  <c r="BH41" i="61"/>
  <c r="BI41" i="61"/>
  <c r="CC50" i="61"/>
  <c r="AV50" i="61"/>
  <c r="BY50" i="61"/>
  <c r="AW50" i="61"/>
  <c r="BX50" i="61"/>
  <c r="BI50" i="61"/>
  <c r="BH50" i="61"/>
  <c r="CC55" i="61"/>
  <c r="AV55" i="61"/>
  <c r="BY55" i="61"/>
  <c r="AW55" i="61"/>
  <c r="BX55" i="61"/>
  <c r="BH55" i="61"/>
  <c r="BI55" i="61"/>
  <c r="AJ35" i="26"/>
  <c r="AK34" i="26"/>
  <c r="AJ34" i="26"/>
  <c r="AK35" i="26"/>
  <c r="O59" i="38"/>
  <c r="P58" i="38"/>
  <c r="Q58" i="38" s="1"/>
  <c r="O71" i="35"/>
  <c r="O67" i="35"/>
  <c r="P66" i="35"/>
  <c r="AI47" i="26"/>
  <c r="AL49" i="26"/>
  <c r="AH49" i="26"/>
  <c r="AL50" i="26"/>
  <c r="AH50" i="26"/>
  <c r="A60" i="33"/>
  <c r="B60" i="33" s="1"/>
  <c r="B59" i="33"/>
  <c r="M45" i="37"/>
  <c r="I45" i="37"/>
  <c r="G44" i="37"/>
  <c r="M44" i="37"/>
  <c r="I44" i="37"/>
  <c r="AF4" i="61"/>
  <c r="AG3" i="61"/>
  <c r="D4" i="66" s="1"/>
  <c r="AJ40" i="41"/>
  <c r="AJ39" i="41"/>
  <c r="AA34" i="41"/>
  <c r="AO34" i="41" s="1"/>
  <c r="W34" i="41"/>
  <c r="AA35" i="41"/>
  <c r="AO35" i="41" s="1"/>
  <c r="W35" i="41"/>
  <c r="G38" i="41"/>
  <c r="AJ40" i="35"/>
  <c r="AJ39" i="35"/>
  <c r="AI32" i="35"/>
  <c r="AL35" i="35"/>
  <c r="AH35" i="35"/>
  <c r="AL34" i="35"/>
  <c r="AH34" i="35"/>
  <c r="G38" i="27"/>
  <c r="AJ40" i="27"/>
  <c r="AJ39" i="27"/>
  <c r="AJ59" i="48"/>
  <c r="AJ60" i="48"/>
  <c r="AI37" i="48"/>
  <c r="AL40" i="48"/>
  <c r="AH40" i="48"/>
  <c r="AL39" i="48"/>
  <c r="AH39" i="48"/>
  <c r="M40" i="48"/>
  <c r="I40" i="48"/>
  <c r="M39" i="48"/>
  <c r="I39" i="48"/>
  <c r="G39" i="48"/>
  <c r="G39" i="43"/>
  <c r="I40" i="43"/>
  <c r="M39" i="43"/>
  <c r="M40" i="43"/>
  <c r="I39" i="43"/>
  <c r="AJ45" i="43"/>
  <c r="AJ44" i="43"/>
  <c r="AJ45" i="41"/>
  <c r="AJ44" i="41"/>
  <c r="AL40" i="41"/>
  <c r="AH40" i="41"/>
  <c r="AL39" i="41"/>
  <c r="AH39" i="41"/>
  <c r="AI37" i="41"/>
  <c r="G39" i="37"/>
  <c r="M40" i="37"/>
  <c r="I40" i="37"/>
  <c r="M39" i="37"/>
  <c r="I39" i="37"/>
  <c r="AJ44" i="33"/>
  <c r="AJ45" i="33"/>
  <c r="Q38" i="29"/>
  <c r="Q37" i="29"/>
  <c r="Q39" i="29"/>
  <c r="Q47" i="35"/>
  <c r="Q49" i="35"/>
  <c r="AC59" i="41"/>
  <c r="AD59" i="41" s="1"/>
  <c r="AD58" i="41"/>
  <c r="AC63" i="41"/>
  <c r="B67" i="32"/>
  <c r="A68" i="32"/>
  <c r="B67" i="29"/>
  <c r="A68" i="29"/>
  <c r="A68" i="33"/>
  <c r="B67" i="33"/>
  <c r="AA55" i="30"/>
  <c r="AO55" i="30" s="1"/>
  <c r="W55" i="30"/>
  <c r="AA54" i="30"/>
  <c r="AO54" i="30" s="1"/>
  <c r="W54" i="30"/>
  <c r="AL50" i="31"/>
  <c r="AH50" i="31"/>
  <c r="AI47" i="31"/>
  <c r="AL49" i="31"/>
  <c r="AH49" i="31"/>
  <c r="BJ138" i="61"/>
  <c r="H9" i="40" s="1"/>
  <c r="BF138" i="61"/>
  <c r="H5" i="40" s="1"/>
  <c r="BI138" i="61"/>
  <c r="H8" i="40" s="1"/>
  <c r="BE138" i="61"/>
  <c r="BL138" i="61"/>
  <c r="H11" i="40" s="1"/>
  <c r="BK138" i="61"/>
  <c r="H10" i="40" s="1"/>
  <c r="AF13" i="40" s="1"/>
  <c r="BH138" i="61"/>
  <c r="H7" i="40" s="1"/>
  <c r="BG138" i="61"/>
  <c r="H6" i="40" s="1"/>
  <c r="A64" i="31"/>
  <c r="B63" i="31"/>
  <c r="O54" i="34"/>
  <c r="P53" i="34"/>
  <c r="Q53" i="34" s="1"/>
  <c r="BE151" i="61"/>
  <c r="BL139" i="61"/>
  <c r="H11" i="39" s="1"/>
  <c r="BH139" i="61"/>
  <c r="H7" i="39" s="1"/>
  <c r="BI139" i="61"/>
  <c r="H8" i="39" s="1"/>
  <c r="BG139" i="61"/>
  <c r="H6" i="39" s="1"/>
  <c r="BK139" i="61"/>
  <c r="H10" i="39" s="1"/>
  <c r="AF13" i="39" s="1"/>
  <c r="BJ139" i="61"/>
  <c r="H9" i="39" s="1"/>
  <c r="BF139" i="61"/>
  <c r="H5" i="39" s="1"/>
  <c r="BE139" i="61"/>
  <c r="Y40" i="31"/>
  <c r="Y39" i="31"/>
  <c r="B67" i="41"/>
  <c r="A68" i="41"/>
  <c r="C49" i="45"/>
  <c r="C48" i="45"/>
  <c r="CC40" i="61"/>
  <c r="AV40" i="61"/>
  <c r="BX40" i="61"/>
  <c r="AW40" i="61"/>
  <c r="BY40" i="61"/>
  <c r="BH40" i="61"/>
  <c r="BI40" i="61"/>
  <c r="CC56" i="61"/>
  <c r="AV56" i="61"/>
  <c r="BY56" i="61"/>
  <c r="BX56" i="61"/>
  <c r="AW56" i="61"/>
  <c r="BI56" i="61"/>
  <c r="BH56" i="61"/>
  <c r="CC49" i="61"/>
  <c r="AW49" i="61"/>
  <c r="BX49" i="61"/>
  <c r="BY49" i="61"/>
  <c r="AV49" i="61"/>
  <c r="BH49" i="61"/>
  <c r="BI49" i="61"/>
  <c r="CC42" i="61"/>
  <c r="AW42" i="61"/>
  <c r="BX42" i="61"/>
  <c r="BY42" i="61"/>
  <c r="AV42" i="61"/>
  <c r="BI42" i="61"/>
  <c r="BH42" i="61"/>
  <c r="CC58" i="61"/>
  <c r="BY58" i="61"/>
  <c r="BX58" i="61"/>
  <c r="AW58" i="61"/>
  <c r="AV58" i="61"/>
  <c r="BI58" i="61"/>
  <c r="BH58" i="61"/>
  <c r="CC47" i="61"/>
  <c r="AW47" i="61"/>
  <c r="BY47" i="61"/>
  <c r="BX47" i="61"/>
  <c r="AV47" i="61"/>
  <c r="BH47" i="61"/>
  <c r="BI47" i="61"/>
  <c r="CC63" i="61"/>
  <c r="BY63" i="61"/>
  <c r="AW63" i="61"/>
  <c r="AV63" i="61"/>
  <c r="BX63" i="61"/>
  <c r="BI63" i="61"/>
  <c r="BH63" i="61"/>
  <c r="L40" i="46"/>
  <c r="L39" i="46"/>
  <c r="G37" i="46"/>
  <c r="K40" i="46"/>
  <c r="K39" i="46"/>
  <c r="Z34" i="43"/>
  <c r="Y35" i="43"/>
  <c r="Z35" i="43"/>
  <c r="Y34" i="43"/>
  <c r="L40" i="33"/>
  <c r="L39" i="33"/>
  <c r="K40" i="33"/>
  <c r="K39" i="33"/>
  <c r="G37" i="33"/>
  <c r="AK35" i="31"/>
  <c r="AJ35" i="31"/>
  <c r="AK34" i="31"/>
  <c r="AJ34" i="31"/>
  <c r="Z34" i="26"/>
  <c r="Y35" i="26"/>
  <c r="Y34" i="26"/>
  <c r="Z35" i="26"/>
  <c r="BY146" i="61"/>
  <c r="CF146" i="61"/>
  <c r="CG146" i="61"/>
  <c r="CL146" i="61"/>
  <c r="BU146" i="61"/>
  <c r="CC146" i="61"/>
  <c r="BZ146" i="61"/>
  <c r="CA146" i="61"/>
  <c r="BQ146" i="61"/>
  <c r="CB146" i="61"/>
  <c r="CJ146" i="61"/>
  <c r="CK146" i="61"/>
  <c r="CE146" i="61"/>
  <c r="CD146" i="61"/>
  <c r="CH146" i="61"/>
  <c r="CI146" i="61"/>
  <c r="BP146" i="61"/>
  <c r="BR146" i="61"/>
  <c r="BX146" i="61"/>
  <c r="BN146" i="61"/>
  <c r="BT146" i="61"/>
  <c r="BW146" i="61"/>
  <c r="BS146" i="61"/>
  <c r="BO146" i="61"/>
  <c r="BV146" i="61"/>
  <c r="A59" i="48"/>
  <c r="B58" i="48"/>
  <c r="AI57" i="26"/>
  <c r="AL59" i="26"/>
  <c r="AH59" i="26"/>
  <c r="AL60" i="26"/>
  <c r="AH60" i="26"/>
  <c r="AC68" i="32"/>
  <c r="AC64" i="32"/>
  <c r="AD64" i="32" s="1"/>
  <c r="AD63" i="32"/>
  <c r="AL60" i="36"/>
  <c r="AH60" i="36"/>
  <c r="AI57" i="36"/>
  <c r="AL59" i="36"/>
  <c r="AH59" i="36"/>
  <c r="AL55" i="44"/>
  <c r="AH55" i="44"/>
  <c r="AI52" i="44"/>
  <c r="AL54" i="44"/>
  <c r="AH54" i="44"/>
  <c r="O59" i="26"/>
  <c r="P58" i="26"/>
  <c r="Q58" i="26" s="1"/>
  <c r="AJ54" i="30"/>
  <c r="AJ55" i="30"/>
  <c r="P49" i="40"/>
  <c r="O50" i="40"/>
  <c r="P50" i="40" s="1"/>
  <c r="AC84" i="46"/>
  <c r="AD84" i="46" s="1"/>
  <c r="AD83" i="46"/>
  <c r="AC88" i="46"/>
  <c r="AL65" i="59"/>
  <c r="AL66" i="59"/>
  <c r="BQ140" i="61"/>
  <c r="CB140" i="61"/>
  <c r="CJ140" i="61"/>
  <c r="CK140" i="61"/>
  <c r="CD140" i="61"/>
  <c r="CH140" i="61"/>
  <c r="CI140" i="61"/>
  <c r="BZ140" i="61"/>
  <c r="BY140" i="61"/>
  <c r="CF140" i="61"/>
  <c r="CC140" i="61"/>
  <c r="CG140" i="61"/>
  <c r="CL140" i="61"/>
  <c r="CA140" i="61"/>
  <c r="CE140" i="61"/>
  <c r="BU140" i="61"/>
  <c r="BS140" i="61"/>
  <c r="BO140" i="61"/>
  <c r="BN140" i="61"/>
  <c r="BT140" i="61"/>
  <c r="BR140" i="61"/>
  <c r="BW140" i="61"/>
  <c r="BV140" i="61"/>
  <c r="BX140" i="61"/>
  <c r="BP140" i="61"/>
  <c r="Q44" i="42"/>
  <c r="Q42" i="42"/>
  <c r="B62" i="30"/>
  <c r="A63" i="30"/>
  <c r="M45" i="50"/>
  <c r="I45" i="50"/>
  <c r="G44" i="50"/>
  <c r="M44" i="50"/>
  <c r="I44" i="50"/>
  <c r="AI57" i="50"/>
  <c r="AL59" i="50"/>
  <c r="AH59" i="50"/>
  <c r="AL60" i="50"/>
  <c r="AH60" i="50"/>
  <c r="AL55" i="33"/>
  <c r="AH55" i="33"/>
  <c r="AI52" i="33"/>
  <c r="AL54" i="33"/>
  <c r="AH54" i="33"/>
  <c r="O55" i="38"/>
  <c r="P55" i="38" s="1"/>
  <c r="P54" i="38"/>
  <c r="P82" i="32"/>
  <c r="O83" i="32"/>
  <c r="A64" i="42"/>
  <c r="B63" i="42"/>
  <c r="Q42" i="47"/>
  <c r="Q44" i="47"/>
  <c r="C49" i="30"/>
  <c r="C48" i="30"/>
  <c r="AA50" i="49"/>
  <c r="AO50" i="49" s="1"/>
  <c r="W50" i="49"/>
  <c r="AA49" i="49"/>
  <c r="AO49" i="49" s="1"/>
  <c r="W49" i="49"/>
  <c r="AJ40" i="48"/>
  <c r="AJ39" i="48"/>
  <c r="G38" i="44"/>
  <c r="AI32" i="34"/>
  <c r="AL35" i="34"/>
  <c r="AH35" i="34"/>
  <c r="AL34" i="34"/>
  <c r="AH34" i="34"/>
  <c r="AJ40" i="34"/>
  <c r="AJ39" i="34"/>
  <c r="AL35" i="30"/>
  <c r="AH35" i="30"/>
  <c r="AL34" i="30"/>
  <c r="AH34" i="30"/>
  <c r="AI32" i="30"/>
  <c r="A59" i="43"/>
  <c r="B58" i="43"/>
  <c r="AA50" i="47"/>
  <c r="AO50" i="47" s="1"/>
  <c r="W50" i="47"/>
  <c r="AA49" i="47"/>
  <c r="AO49" i="47" s="1"/>
  <c r="W49" i="47"/>
  <c r="AJ60" i="40"/>
  <c r="AJ59" i="40"/>
  <c r="M40" i="49"/>
  <c r="I40" i="49"/>
  <c r="M39" i="49"/>
  <c r="I39" i="49"/>
  <c r="G39" i="49"/>
  <c r="X32" i="49"/>
  <c r="AJ45" i="45"/>
  <c r="AJ44" i="45"/>
  <c r="AA39" i="39"/>
  <c r="AO39" i="39" s="1"/>
  <c r="W39" i="39"/>
  <c r="AA40" i="39"/>
  <c r="AO40" i="39" s="1"/>
  <c r="W40" i="39"/>
  <c r="AJ44" i="36"/>
  <c r="AJ45" i="36"/>
  <c r="AI37" i="28"/>
  <c r="AL40" i="28"/>
  <c r="AH40" i="28"/>
  <c r="AL39" i="28"/>
  <c r="AH39" i="28"/>
  <c r="X32" i="28"/>
  <c r="Q49" i="48"/>
  <c r="Q47" i="48"/>
  <c r="AJ55" i="28"/>
  <c r="AJ54" i="28"/>
  <c r="A64" i="33"/>
  <c r="B63" i="33"/>
  <c r="C54" i="33"/>
  <c r="C53" i="33"/>
  <c r="O62" i="39"/>
  <c r="P61" i="39"/>
  <c r="O66" i="39"/>
  <c r="B71" i="28"/>
  <c r="A76" i="28"/>
  <c r="A72" i="28"/>
  <c r="AJ55" i="47"/>
  <c r="AJ54" i="47"/>
  <c r="G1" i="50"/>
  <c r="AP4" i="24"/>
  <c r="AJ59" i="39"/>
  <c r="AJ60" i="39"/>
  <c r="O58" i="40"/>
  <c r="P57" i="40"/>
  <c r="Y35" i="45"/>
  <c r="Z34" i="45"/>
  <c r="Z35" i="45"/>
  <c r="Y34" i="45"/>
  <c r="AK35" i="42"/>
  <c r="AJ35" i="42"/>
  <c r="AK34" i="42"/>
  <c r="AJ34" i="42"/>
  <c r="G37" i="42"/>
  <c r="L40" i="42"/>
  <c r="L39" i="42"/>
  <c r="K40" i="42"/>
  <c r="K39" i="42"/>
  <c r="Z34" i="39"/>
  <c r="Z35" i="39"/>
  <c r="Y34" i="39"/>
  <c r="Y35" i="39"/>
  <c r="AK35" i="36"/>
  <c r="AJ35" i="36"/>
  <c r="AK34" i="36"/>
  <c r="AJ34" i="36"/>
  <c r="G37" i="36"/>
  <c r="L40" i="36"/>
  <c r="L39" i="36"/>
  <c r="K40" i="36"/>
  <c r="K39" i="36"/>
  <c r="L40" i="27"/>
  <c r="L39" i="27"/>
  <c r="K40" i="27"/>
  <c r="K39" i="27"/>
  <c r="G37" i="27"/>
  <c r="AJ34" i="29"/>
  <c r="AK35" i="29"/>
  <c r="AJ35" i="29"/>
  <c r="AK34" i="29"/>
  <c r="K40" i="29"/>
  <c r="K39" i="29"/>
  <c r="G37" i="29"/>
  <c r="L40" i="29"/>
  <c r="L39" i="29"/>
  <c r="B62" i="39"/>
  <c r="A63" i="39"/>
  <c r="O71" i="36"/>
  <c r="O67" i="36"/>
  <c r="P66" i="36"/>
  <c r="AJ60" i="37"/>
  <c r="AJ59" i="37"/>
  <c r="Q42" i="41"/>
  <c r="Q44" i="41"/>
  <c r="AA50" i="46"/>
  <c r="AO50" i="46" s="1"/>
  <c r="W49" i="46"/>
  <c r="W50" i="46"/>
  <c r="AA49" i="46"/>
  <c r="AO49" i="46" s="1"/>
  <c r="Q37" i="32"/>
  <c r="AI47" i="28"/>
  <c r="AL49" i="28"/>
  <c r="AH49" i="28"/>
  <c r="AL50" i="28"/>
  <c r="AH50" i="28"/>
  <c r="A65" i="59"/>
  <c r="B64" i="59"/>
  <c r="AA55" i="29"/>
  <c r="AO55" i="29" s="1"/>
  <c r="W55" i="29"/>
  <c r="AA54" i="29"/>
  <c r="AO54" i="29" s="1"/>
  <c r="W54" i="29"/>
  <c r="M45" i="35"/>
  <c r="I45" i="35"/>
  <c r="G44" i="35"/>
  <c r="M44" i="35"/>
  <c r="I44" i="35"/>
  <c r="P58" i="48"/>
  <c r="Q58" i="48" s="1"/>
  <c r="O59" i="48"/>
  <c r="AJ59" i="42"/>
  <c r="AJ60" i="42"/>
  <c r="C49" i="49"/>
  <c r="C48" i="49"/>
  <c r="Q44" i="31"/>
  <c r="Q42" i="31"/>
  <c r="Q49" i="36"/>
  <c r="Q47" i="36"/>
  <c r="C48" i="38"/>
  <c r="C49" i="38"/>
  <c r="BE130" i="61"/>
  <c r="AA36" i="59"/>
  <c r="AQ36" i="59" s="1"/>
  <c r="AA35" i="59"/>
  <c r="AQ35" i="59" s="1"/>
  <c r="AL35" i="46"/>
  <c r="AH35" i="46"/>
  <c r="AI32" i="46"/>
  <c r="AH34" i="46"/>
  <c r="AL34" i="46"/>
  <c r="AL35" i="43"/>
  <c r="AH35" i="43"/>
  <c r="AH34" i="43"/>
  <c r="AL34" i="43"/>
  <c r="AI32" i="43"/>
  <c r="G38" i="37"/>
  <c r="AL34" i="33"/>
  <c r="AH34" i="33"/>
  <c r="AI32" i="33"/>
  <c r="AL35" i="33"/>
  <c r="AH35" i="33"/>
  <c r="AJ40" i="33"/>
  <c r="AJ39" i="33"/>
  <c r="AI32" i="28"/>
  <c r="AL35" i="28"/>
  <c r="AH35" i="28"/>
  <c r="AL34" i="28"/>
  <c r="AH34" i="28"/>
  <c r="AJ40" i="28"/>
  <c r="AJ39" i="28"/>
  <c r="G38" i="26"/>
  <c r="Q42" i="26"/>
  <c r="Q44" i="26"/>
  <c r="BL142" i="61"/>
  <c r="H11" i="36" s="1"/>
  <c r="BH142" i="61"/>
  <c r="H7" i="36" s="1"/>
  <c r="BK142" i="61"/>
  <c r="H10" i="36" s="1"/>
  <c r="AF13" i="36" s="1"/>
  <c r="BG142" i="61"/>
  <c r="H6" i="36" s="1"/>
  <c r="BJ142" i="61"/>
  <c r="H9" i="36" s="1"/>
  <c r="BF142" i="61"/>
  <c r="H5" i="36" s="1"/>
  <c r="BI142" i="61"/>
  <c r="H8" i="36" s="1"/>
  <c r="BE142" i="61"/>
  <c r="G39" i="47"/>
  <c r="M40" i="47"/>
  <c r="I40" i="47"/>
  <c r="M39" i="47"/>
  <c r="I39" i="47"/>
  <c r="X32" i="47"/>
  <c r="AA39" i="44"/>
  <c r="AO39" i="44" s="1"/>
  <c r="W39" i="44"/>
  <c r="AA40" i="44"/>
  <c r="AO40" i="44" s="1"/>
  <c r="W40" i="44"/>
  <c r="AI37" i="40"/>
  <c r="AL40" i="40"/>
  <c r="AL39" i="40"/>
  <c r="AH40" i="40"/>
  <c r="AH39" i="40"/>
  <c r="G39" i="35"/>
  <c r="M40" i="35"/>
  <c r="I40" i="35"/>
  <c r="M39" i="35"/>
  <c r="I39" i="35"/>
  <c r="X32" i="35"/>
  <c r="AI37" i="31"/>
  <c r="AL40" i="31"/>
  <c r="AH40" i="31"/>
  <c r="AL39" i="31"/>
  <c r="AH39" i="31"/>
  <c r="AL140" i="43"/>
  <c r="AH140" i="43"/>
  <c r="AI137" i="43"/>
  <c r="AL139" i="43"/>
  <c r="AH139" i="43"/>
  <c r="Q37" i="39"/>
  <c r="AL49" i="41"/>
  <c r="AH49" i="41"/>
  <c r="AL50" i="41"/>
  <c r="AH50" i="41"/>
  <c r="AI47" i="41"/>
  <c r="BE149" i="61"/>
  <c r="Q62" i="32"/>
  <c r="Q64" i="32"/>
  <c r="AA55" i="42"/>
  <c r="AO55" i="42" s="1"/>
  <c r="W55" i="42"/>
  <c r="AA54" i="42"/>
  <c r="AO54" i="42" s="1"/>
  <c r="W54" i="42"/>
  <c r="AJ60" i="45"/>
  <c r="AJ59" i="45"/>
  <c r="AC64" i="28"/>
  <c r="AD64" i="28" s="1"/>
  <c r="AD63" i="28"/>
  <c r="AC68" i="28"/>
  <c r="A60" i="31"/>
  <c r="B60" i="31" s="1"/>
  <c r="B59" i="31"/>
  <c r="M44" i="42"/>
  <c r="I44" i="42"/>
  <c r="M45" i="42"/>
  <c r="I45" i="42"/>
  <c r="G44" i="42"/>
  <c r="C49" i="31"/>
  <c r="C48" i="31"/>
  <c r="O80" i="59"/>
  <c r="O75" i="59"/>
  <c r="P74" i="59"/>
  <c r="AL50" i="27"/>
  <c r="AH50" i="27"/>
  <c r="AI47" i="27"/>
  <c r="AL49" i="27"/>
  <c r="AH49" i="27"/>
  <c r="P66" i="47"/>
  <c r="O71" i="47"/>
  <c r="O67" i="47"/>
  <c r="O62" i="49"/>
  <c r="P61" i="49"/>
  <c r="O66" i="49"/>
  <c r="Z34" i="47"/>
  <c r="Z35" i="47"/>
  <c r="Y34" i="47"/>
  <c r="Y35" i="47"/>
  <c r="Z34" i="41"/>
  <c r="Z35" i="41"/>
  <c r="Y34" i="41"/>
  <c r="Y35" i="41"/>
  <c r="AJ34" i="38"/>
  <c r="AK35" i="38"/>
  <c r="AJ35" i="38"/>
  <c r="AK34" i="38"/>
  <c r="K40" i="38"/>
  <c r="K39" i="38"/>
  <c r="G37" i="38"/>
  <c r="L40" i="38"/>
  <c r="L39" i="38"/>
  <c r="Y34" i="32"/>
  <c r="Z35" i="32"/>
  <c r="Y35" i="32"/>
  <c r="Z34" i="32"/>
  <c r="A59" i="39"/>
  <c r="B58" i="39"/>
  <c r="CC145" i="61"/>
  <c r="CD145" i="61"/>
  <c r="CH145" i="61"/>
  <c r="CI145" i="61"/>
  <c r="BU145" i="61"/>
  <c r="BY145" i="61"/>
  <c r="CF145" i="61"/>
  <c r="CG145" i="61"/>
  <c r="CL145" i="61"/>
  <c r="CK145" i="61"/>
  <c r="BZ145" i="61"/>
  <c r="CA145" i="61"/>
  <c r="BQ145" i="61"/>
  <c r="CB145" i="61"/>
  <c r="CJ145" i="61"/>
  <c r="CE145" i="61"/>
  <c r="BS145" i="61"/>
  <c r="BO145" i="61"/>
  <c r="BV145" i="61"/>
  <c r="BP145" i="61"/>
  <c r="BR145" i="61"/>
  <c r="BX145" i="61"/>
  <c r="BN145" i="61"/>
  <c r="BT145" i="61"/>
  <c r="BW145" i="61"/>
  <c r="B66" i="36"/>
  <c r="A71" i="36"/>
  <c r="A67" i="36"/>
  <c r="AL50" i="42"/>
  <c r="AH50" i="42"/>
  <c r="AI47" i="42"/>
  <c r="AL49" i="42"/>
  <c r="AH49" i="42"/>
  <c r="B67" i="34"/>
  <c r="A68" i="34"/>
  <c r="G47" i="59"/>
  <c r="M47" i="59"/>
  <c r="M48" i="59"/>
  <c r="AJ59" i="30"/>
  <c r="AJ60" i="30"/>
  <c r="Q47" i="32"/>
  <c r="Q49" i="32"/>
  <c r="AJ55" i="35"/>
  <c r="AJ54" i="35"/>
  <c r="C49" i="46"/>
  <c r="C48" i="46"/>
  <c r="C53" i="47"/>
  <c r="C54" i="47"/>
  <c r="AA50" i="28"/>
  <c r="AO50" i="28" s="1"/>
  <c r="W50" i="28"/>
  <c r="AA49" i="28"/>
  <c r="AO49" i="28" s="1"/>
  <c r="W49" i="28"/>
  <c r="AI47" i="45"/>
  <c r="AL49" i="45"/>
  <c r="AH49" i="45"/>
  <c r="AL50" i="45"/>
  <c r="AH50" i="45"/>
  <c r="AJ55" i="43"/>
  <c r="AJ54" i="43"/>
  <c r="AI52" i="50"/>
  <c r="AL54" i="50"/>
  <c r="AH54" i="50"/>
  <c r="AL55" i="50"/>
  <c r="AH55" i="50"/>
  <c r="AJ59" i="31"/>
  <c r="AJ60" i="31"/>
  <c r="AL60" i="33"/>
  <c r="AH60" i="33"/>
  <c r="AI57" i="33"/>
  <c r="AL59" i="33"/>
  <c r="AH59" i="33"/>
  <c r="AL55" i="42"/>
  <c r="AH55" i="42"/>
  <c r="AI52" i="42"/>
  <c r="AL54" i="42"/>
  <c r="AH54" i="42"/>
  <c r="A55" i="36"/>
  <c r="B55" i="36" s="1"/>
  <c r="B54" i="36"/>
  <c r="AI42" i="47"/>
  <c r="AJ59" i="27"/>
  <c r="AJ60" i="27"/>
  <c r="O50" i="27"/>
  <c r="P50" i="27" s="1"/>
  <c r="P49" i="27"/>
  <c r="C54" i="50"/>
  <c r="C53" i="50"/>
  <c r="AA34" i="50"/>
  <c r="AO34" i="50" s="1"/>
  <c r="W34" i="50"/>
  <c r="AA35" i="50"/>
  <c r="AO35" i="50" s="1"/>
  <c r="W35" i="50"/>
  <c r="AL35" i="42"/>
  <c r="AH35" i="42"/>
  <c r="AL34" i="42"/>
  <c r="AH34" i="42"/>
  <c r="AI32" i="42"/>
  <c r="AA35" i="39"/>
  <c r="AO35" i="39" s="1"/>
  <c r="W35" i="39"/>
  <c r="AA34" i="39"/>
  <c r="AO34" i="39" s="1"/>
  <c r="W34" i="39"/>
  <c r="AL35" i="36"/>
  <c r="AH35" i="36"/>
  <c r="AL34" i="36"/>
  <c r="AH34" i="36"/>
  <c r="AI32" i="36"/>
  <c r="M44" i="44"/>
  <c r="I44" i="44"/>
  <c r="M45" i="44"/>
  <c r="I45" i="44"/>
  <c r="G44" i="44"/>
  <c r="AJ60" i="46"/>
  <c r="AJ59" i="46"/>
  <c r="AA39" i="46"/>
  <c r="AO39" i="46" s="1"/>
  <c r="W40" i="46"/>
  <c r="W39" i="46"/>
  <c r="AA40" i="46"/>
  <c r="AO40" i="46" s="1"/>
  <c r="X32" i="46"/>
  <c r="AJ44" i="42"/>
  <c r="AJ45" i="42"/>
  <c r="AI42" i="42"/>
  <c r="AJ45" i="38"/>
  <c r="AJ44" i="38"/>
  <c r="AI42" i="38"/>
  <c r="G39" i="38"/>
  <c r="M40" i="38"/>
  <c r="I40" i="38"/>
  <c r="M39" i="38"/>
  <c r="I39" i="38"/>
  <c r="AA40" i="34"/>
  <c r="AO40" i="34" s="1"/>
  <c r="W40" i="34"/>
  <c r="AA39" i="34"/>
  <c r="AO39" i="34" s="1"/>
  <c r="W39" i="34"/>
  <c r="G39" i="34"/>
  <c r="M40" i="34"/>
  <c r="I40" i="34"/>
  <c r="M39" i="34"/>
  <c r="I39" i="34"/>
  <c r="AI37" i="26"/>
  <c r="AL40" i="26"/>
  <c r="AH40" i="26"/>
  <c r="AL39" i="26"/>
  <c r="AH39" i="26"/>
  <c r="Q38" i="27"/>
  <c r="Q39" i="27"/>
  <c r="Q37" i="27"/>
  <c r="O54" i="45"/>
  <c r="P53" i="45"/>
  <c r="Q53" i="45" s="1"/>
  <c r="AC64" i="34"/>
  <c r="AD64" i="34" s="1"/>
  <c r="AD63" i="34"/>
  <c r="AC68" i="34"/>
  <c r="AA50" i="42"/>
  <c r="AO50" i="42" s="1"/>
  <c r="W50" i="42"/>
  <c r="AA49" i="42"/>
  <c r="AO49" i="42" s="1"/>
  <c r="W49" i="42"/>
  <c r="AL50" i="39"/>
  <c r="AH50" i="39"/>
  <c r="AI47" i="39"/>
  <c r="AL49" i="39"/>
  <c r="AH49" i="39"/>
  <c r="O55" i="47"/>
  <c r="P55" i="47" s="1"/>
  <c r="P54" i="47"/>
  <c r="AJ55" i="29"/>
  <c r="AJ54" i="29"/>
  <c r="AC74" i="40"/>
  <c r="AD74" i="40" s="1"/>
  <c r="AD73" i="40"/>
  <c r="AC78" i="40"/>
  <c r="C48" i="41"/>
  <c r="C49" i="41"/>
  <c r="O58" i="27"/>
  <c r="P57" i="27"/>
  <c r="O59" i="47"/>
  <c r="P58" i="47"/>
  <c r="Q58" i="47" s="1"/>
  <c r="AA50" i="50"/>
  <c r="AO50" i="50" s="1"/>
  <c r="W50" i="50"/>
  <c r="AA49" i="50"/>
  <c r="AO49" i="50" s="1"/>
  <c r="W49" i="50"/>
  <c r="G39" i="59"/>
  <c r="B35" i="59"/>
  <c r="E35" i="59"/>
  <c r="B34" i="59"/>
  <c r="E34" i="59"/>
  <c r="D34" i="59"/>
  <c r="D35" i="59"/>
  <c r="Z35" i="44"/>
  <c r="Y34" i="44"/>
  <c r="Y35" i="44"/>
  <c r="Z34" i="44"/>
  <c r="AK35" i="44"/>
  <c r="AJ35" i="44"/>
  <c r="AK34" i="44"/>
  <c r="AJ34" i="44"/>
  <c r="Y35" i="40"/>
  <c r="Z34" i="40"/>
  <c r="Z35" i="40"/>
  <c r="Y34" i="40"/>
  <c r="AJ35" i="40"/>
  <c r="AK34" i="40"/>
  <c r="AK35" i="40"/>
  <c r="AJ34" i="40"/>
  <c r="L40" i="34"/>
  <c r="L39" i="34"/>
  <c r="K40" i="34"/>
  <c r="K39" i="34"/>
  <c r="G37" i="34"/>
  <c r="O62" i="33"/>
  <c r="P61" i="33"/>
  <c r="O66" i="33"/>
  <c r="AC59" i="38"/>
  <c r="AD59" i="38" s="1"/>
  <c r="AD58" i="38"/>
  <c r="AC63" i="38"/>
  <c r="B66" i="48"/>
  <c r="A71" i="48"/>
  <c r="A67" i="48"/>
  <c r="BU132" i="61"/>
  <c r="CJ132" i="61"/>
  <c r="CC132" i="61"/>
  <c r="CG132" i="61"/>
  <c r="CA132" i="61"/>
  <c r="CE132" i="61"/>
  <c r="CI132" i="61"/>
  <c r="CF132" i="61"/>
  <c r="CK132" i="61"/>
  <c r="CL132" i="61"/>
  <c r="BQ132" i="61"/>
  <c r="BZ132" i="61"/>
  <c r="CD132" i="61"/>
  <c r="CH132" i="61"/>
  <c r="BY132" i="61"/>
  <c r="CB132" i="61"/>
  <c r="BP132" i="61"/>
  <c r="BS132" i="61"/>
  <c r="BT132" i="61"/>
  <c r="BN132" i="61"/>
  <c r="BX132" i="61"/>
  <c r="BW132" i="61"/>
  <c r="BV132" i="61"/>
  <c r="BR132" i="61"/>
  <c r="BO132" i="61"/>
  <c r="O55" i="48"/>
  <c r="P55" i="48" s="1"/>
  <c r="P54" i="48"/>
  <c r="Q47" i="26"/>
  <c r="Q49" i="26"/>
  <c r="O55" i="35"/>
  <c r="P55" i="35" s="1"/>
  <c r="P54" i="35"/>
  <c r="B71" i="38"/>
  <c r="A76" i="38"/>
  <c r="A72" i="38"/>
  <c r="AA50" i="44"/>
  <c r="AO50" i="44" s="1"/>
  <c r="W50" i="44"/>
  <c r="AA49" i="44"/>
  <c r="AO49" i="44" s="1"/>
  <c r="W49" i="44"/>
  <c r="Q39" i="45"/>
  <c r="BV45" i="61"/>
  <c r="BF52" i="61"/>
  <c r="BV53" i="61"/>
  <c r="BF57" i="61"/>
  <c r="AT60" i="61"/>
  <c r="BV62" i="61"/>
  <c r="AJ55" i="46"/>
  <c r="AJ54" i="46"/>
  <c r="AJ55" i="40"/>
  <c r="AJ54" i="40"/>
  <c r="BY134" i="61"/>
  <c r="BZ134" i="61"/>
  <c r="CD134" i="61"/>
  <c r="CA134" i="61"/>
  <c r="BQ134" i="61"/>
  <c r="CB134" i="61"/>
  <c r="CH134" i="61"/>
  <c r="CL134" i="61"/>
  <c r="CE134" i="61"/>
  <c r="BU134" i="61"/>
  <c r="CF134" i="61"/>
  <c r="CJ134" i="61"/>
  <c r="CC134" i="61"/>
  <c r="CI134" i="61"/>
  <c r="CG134" i="61"/>
  <c r="CK134" i="61"/>
  <c r="BW134" i="61"/>
  <c r="BV134" i="61"/>
  <c r="BX134" i="61"/>
  <c r="BP134" i="61"/>
  <c r="BS134" i="61"/>
  <c r="BR134" i="61"/>
  <c r="BT134" i="61"/>
  <c r="BO134" i="61"/>
  <c r="BN134" i="61"/>
  <c r="DQ142" i="61" l="1"/>
  <c r="EL109" i="61"/>
  <c r="EM109" i="61" s="1"/>
  <c r="EL108" i="61"/>
  <c r="EM108" i="61" s="1"/>
  <c r="EL115" i="61"/>
  <c r="EM115" i="61" s="1"/>
  <c r="EL99" i="61"/>
  <c r="EM99" i="61" s="1"/>
  <c r="BE99" i="61"/>
  <c r="EL100" i="61"/>
  <c r="EM100" i="61" s="1"/>
  <c r="BE100" i="61"/>
  <c r="EL102" i="61"/>
  <c r="EM102" i="61" s="1"/>
  <c r="BE102" i="61"/>
  <c r="EL121" i="61"/>
  <c r="EM121" i="61" s="1"/>
  <c r="BE121" i="61"/>
  <c r="EL119" i="61"/>
  <c r="EM119" i="61" s="1"/>
  <c r="BE119" i="61"/>
  <c r="EL112" i="61"/>
  <c r="EM112" i="61" s="1"/>
  <c r="EL116" i="61"/>
  <c r="EM116" i="61" s="1"/>
  <c r="EL117" i="61"/>
  <c r="EM117" i="61" s="1"/>
  <c r="EL113" i="61"/>
  <c r="EM113" i="61" s="1"/>
  <c r="EL120" i="61"/>
  <c r="EM120" i="61" s="1"/>
  <c r="BE120" i="61"/>
  <c r="EL122" i="61"/>
  <c r="EM122" i="61" s="1"/>
  <c r="BE122" i="61"/>
  <c r="EL111" i="61"/>
  <c r="EM111" i="61" s="1"/>
  <c r="EL118" i="61"/>
  <c r="EM118" i="61" s="1"/>
  <c r="BG146" i="61"/>
  <c r="H6" i="32" s="1"/>
  <c r="BL146" i="61"/>
  <c r="H11" i="32" s="1"/>
  <c r="BI146" i="61"/>
  <c r="H8" i="32" s="1"/>
  <c r="BJ146" i="61"/>
  <c r="H9" i="32" s="1"/>
  <c r="BH146" i="61"/>
  <c r="H7" i="32" s="1"/>
  <c r="BK146" i="61"/>
  <c r="H10" i="32" s="1"/>
  <c r="AF13" i="32" s="1"/>
  <c r="BF146" i="61"/>
  <c r="H5" i="32" s="1"/>
  <c r="DE98" i="61"/>
  <c r="DQ129" i="61"/>
  <c r="DQ134" i="61"/>
  <c r="DQ135" i="61"/>
  <c r="F33" i="68"/>
  <c r="W44" i="68"/>
  <c r="DQ140" i="61"/>
  <c r="DQ143" i="61"/>
  <c r="DQ146" i="61"/>
  <c r="DQ144" i="61"/>
  <c r="DQ131" i="61"/>
  <c r="Z3" i="68"/>
  <c r="AQ3" i="68"/>
  <c r="AG3" i="68"/>
  <c r="W3" i="68"/>
  <c r="AN3" i="68"/>
  <c r="AO3" i="68"/>
  <c r="X3" i="68"/>
  <c r="AK3" i="68"/>
  <c r="AA3" i="68"/>
  <c r="AR3" i="68"/>
  <c r="AH3" i="68"/>
  <c r="AI3" i="68"/>
  <c r="Y3" i="68"/>
  <c r="AE3" i="68"/>
  <c r="U3" i="68"/>
  <c r="AL3" i="68"/>
  <c r="AB3" i="68"/>
  <c r="AS3" i="68"/>
  <c r="AT3" i="68"/>
  <c r="AJ3" i="68"/>
  <c r="AP3" i="68"/>
  <c r="AF3" i="68"/>
  <c r="V3" i="68"/>
  <c r="AM3" i="68"/>
  <c r="AC3" i="68"/>
  <c r="AD3" i="68"/>
  <c r="AQ2" i="68"/>
  <c r="AK2" i="68"/>
  <c r="W2" i="68"/>
  <c r="AN2" i="68"/>
  <c r="AS2" i="68"/>
  <c r="AT2" i="68"/>
  <c r="AF2" i="68"/>
  <c r="AA2" i="68"/>
  <c r="U2" i="68"/>
  <c r="AL2" i="68"/>
  <c r="AI2" i="68"/>
  <c r="AC2" i="68"/>
  <c r="AD2" i="68"/>
  <c r="AP2" i="68"/>
  <c r="AB2" i="68"/>
  <c r="V2" i="68"/>
  <c r="AR2" i="68"/>
  <c r="AJ2" i="68"/>
  <c r="AO2" i="68"/>
  <c r="X2" i="68"/>
  <c r="Z2" i="68"/>
  <c r="AM2" i="68"/>
  <c r="AG2" i="68"/>
  <c r="AH2" i="68"/>
  <c r="AE2" i="68"/>
  <c r="Y2" i="68"/>
  <c r="DQ139" i="61"/>
  <c r="DQ133" i="61"/>
  <c r="Y41" i="59"/>
  <c r="BF58" i="61"/>
  <c r="FC133" i="61"/>
  <c r="FC149" i="61"/>
  <c r="FC129" i="61"/>
  <c r="FC134" i="61"/>
  <c r="FC135" i="61"/>
  <c r="FC144" i="61"/>
  <c r="FC140" i="61"/>
  <c r="FC136" i="61"/>
  <c r="FC146" i="61"/>
  <c r="FC128" i="61"/>
  <c r="FC143" i="61"/>
  <c r="FC139" i="61"/>
  <c r="FC148" i="61"/>
  <c r="FC131" i="61"/>
  <c r="G43" i="40"/>
  <c r="X37" i="46"/>
  <c r="BF39" i="61"/>
  <c r="BT148" i="61"/>
  <c r="CI148" i="61"/>
  <c r="CJ148" i="61"/>
  <c r="BS148" i="61"/>
  <c r="CG148" i="61"/>
  <c r="CD148" i="61"/>
  <c r="BF44" i="61"/>
  <c r="BF55" i="61"/>
  <c r="C42" i="29"/>
  <c r="K44" i="29" s="1"/>
  <c r="BF54" i="61"/>
  <c r="BF59" i="61"/>
  <c r="BF51" i="61"/>
  <c r="BF45" i="61"/>
  <c r="BF43" i="61"/>
  <c r="Y4" i="25"/>
  <c r="AA4" i="25" s="1"/>
  <c r="AG4" i="25" s="1"/>
  <c r="BF61" i="61"/>
  <c r="D2" i="65"/>
  <c r="M2" i="66"/>
  <c r="E2" i="65" s="1"/>
  <c r="I2" i="66"/>
  <c r="J2" i="66"/>
  <c r="B2" i="65" s="1"/>
  <c r="D527" i="65"/>
  <c r="A527" i="65" s="1"/>
  <c r="M527" i="66"/>
  <c r="E527" i="65" s="1"/>
  <c r="J527" i="66"/>
  <c r="B527" i="65" s="1"/>
  <c r="I527" i="66"/>
  <c r="D556" i="65"/>
  <c r="A556" i="65" s="1"/>
  <c r="M556" i="66"/>
  <c r="E556" i="65" s="1"/>
  <c r="J556" i="66"/>
  <c r="B556" i="65" s="1"/>
  <c r="I556" i="66"/>
  <c r="D401" i="65"/>
  <c r="A401" i="65" s="1"/>
  <c r="M401" i="66"/>
  <c r="E401" i="65" s="1"/>
  <c r="J401" i="66"/>
  <c r="B401" i="65" s="1"/>
  <c r="I401" i="66"/>
  <c r="D563" i="65"/>
  <c r="A563" i="65" s="1"/>
  <c r="M563" i="66"/>
  <c r="E563" i="65" s="1"/>
  <c r="J563" i="66"/>
  <c r="B563" i="65" s="1"/>
  <c r="I563" i="66"/>
  <c r="D592" i="65"/>
  <c r="A592" i="65" s="1"/>
  <c r="M592" i="66"/>
  <c r="E592" i="65" s="1"/>
  <c r="I592" i="66"/>
  <c r="J592" i="66"/>
  <c r="B592" i="65" s="1"/>
  <c r="D583" i="65"/>
  <c r="A583" i="65" s="1"/>
  <c r="M583" i="66"/>
  <c r="E583" i="65" s="1"/>
  <c r="J583" i="66"/>
  <c r="B583" i="65" s="1"/>
  <c r="I583" i="66"/>
  <c r="D612" i="65"/>
  <c r="A612" i="65" s="1"/>
  <c r="M612" i="66"/>
  <c r="E612" i="65" s="1"/>
  <c r="I612" i="66"/>
  <c r="J612" i="66"/>
  <c r="B612" i="65" s="1"/>
  <c r="D422" i="65"/>
  <c r="A422" i="65" s="1"/>
  <c r="M422" i="66"/>
  <c r="E422" i="65" s="1"/>
  <c r="J422" i="66"/>
  <c r="B422" i="65" s="1"/>
  <c r="I422" i="66"/>
  <c r="D533" i="65"/>
  <c r="A533" i="65" s="1"/>
  <c r="M533" i="66"/>
  <c r="E533" i="65" s="1"/>
  <c r="J533" i="66"/>
  <c r="B533" i="65" s="1"/>
  <c r="I533" i="66"/>
  <c r="D558" i="65"/>
  <c r="A558" i="65" s="1"/>
  <c r="M558" i="66"/>
  <c r="E558" i="65" s="1"/>
  <c r="I558" i="66"/>
  <c r="J558" i="66"/>
  <c r="B558" i="65" s="1"/>
  <c r="D589" i="65"/>
  <c r="A589" i="65" s="1"/>
  <c r="M589" i="66"/>
  <c r="E589" i="65" s="1"/>
  <c r="J589" i="66"/>
  <c r="B589" i="65" s="1"/>
  <c r="I589" i="66"/>
  <c r="D578" i="65"/>
  <c r="A578" i="65" s="1"/>
  <c r="M578" i="66"/>
  <c r="E578" i="65" s="1"/>
  <c r="J578" i="66"/>
  <c r="B578" i="65" s="1"/>
  <c r="I578" i="66"/>
  <c r="D593" i="65"/>
  <c r="A593" i="65" s="1"/>
  <c r="M593" i="66"/>
  <c r="E593" i="65" s="1"/>
  <c r="J593" i="66"/>
  <c r="B593" i="65" s="1"/>
  <c r="I593" i="66"/>
  <c r="D614" i="65"/>
  <c r="A614" i="65" s="1"/>
  <c r="M614" i="66"/>
  <c r="E614" i="65" s="1"/>
  <c r="J614" i="66"/>
  <c r="B614" i="65" s="1"/>
  <c r="I614" i="66"/>
  <c r="D531" i="65"/>
  <c r="A531" i="65" s="1"/>
  <c r="M531" i="66"/>
  <c r="E531" i="65" s="1"/>
  <c r="J531" i="66"/>
  <c r="B531" i="65" s="1"/>
  <c r="I531" i="66"/>
  <c r="D560" i="65"/>
  <c r="A560" i="65" s="1"/>
  <c r="M560" i="66"/>
  <c r="E560" i="65" s="1"/>
  <c r="J560" i="66"/>
  <c r="B560" i="65" s="1"/>
  <c r="I560" i="66"/>
  <c r="D551" i="65"/>
  <c r="A551" i="65" s="1"/>
  <c r="M551" i="66"/>
  <c r="E551" i="65" s="1"/>
  <c r="J551" i="66"/>
  <c r="B551" i="65" s="1"/>
  <c r="I551" i="66"/>
  <c r="D580" i="65"/>
  <c r="A580" i="65" s="1"/>
  <c r="M580" i="66"/>
  <c r="E580" i="65" s="1"/>
  <c r="I580" i="66"/>
  <c r="J580" i="66"/>
  <c r="B580" i="65" s="1"/>
  <c r="D619" i="65"/>
  <c r="A619" i="65" s="1"/>
  <c r="M619" i="66"/>
  <c r="E619" i="65" s="1"/>
  <c r="J619" i="66"/>
  <c r="B619" i="65" s="1"/>
  <c r="I619" i="66"/>
  <c r="D557" i="65"/>
  <c r="A557" i="65" s="1"/>
  <c r="M557" i="66"/>
  <c r="E557" i="65" s="1"/>
  <c r="J557" i="66"/>
  <c r="B557" i="65" s="1"/>
  <c r="I557" i="66"/>
  <c r="D546" i="65"/>
  <c r="A546" i="65" s="1"/>
  <c r="M546" i="66"/>
  <c r="E546" i="65" s="1"/>
  <c r="I546" i="66"/>
  <c r="J546" i="66"/>
  <c r="B546" i="65" s="1"/>
  <c r="D561" i="65"/>
  <c r="A561" i="65" s="1"/>
  <c r="M561" i="66"/>
  <c r="E561" i="65" s="1"/>
  <c r="J561" i="66"/>
  <c r="B561" i="65" s="1"/>
  <c r="I561" i="66"/>
  <c r="D582" i="65"/>
  <c r="A582" i="65" s="1"/>
  <c r="M582" i="66"/>
  <c r="E582" i="65" s="1"/>
  <c r="I582" i="66"/>
  <c r="J582" i="66"/>
  <c r="B582" i="65" s="1"/>
  <c r="D605" i="65"/>
  <c r="A605" i="65" s="1"/>
  <c r="M605" i="66"/>
  <c r="E605" i="65" s="1"/>
  <c r="J605" i="66"/>
  <c r="B605" i="65" s="1"/>
  <c r="I605" i="66"/>
  <c r="D602" i="65"/>
  <c r="A602" i="65" s="1"/>
  <c r="M602" i="66"/>
  <c r="E602" i="65" s="1"/>
  <c r="I602" i="66"/>
  <c r="J602" i="66"/>
  <c r="B602" i="65" s="1"/>
  <c r="D591" i="65"/>
  <c r="A591" i="65" s="1"/>
  <c r="M591" i="66"/>
  <c r="E591" i="65" s="1"/>
  <c r="J591" i="66"/>
  <c r="B591" i="65" s="1"/>
  <c r="I591" i="66"/>
  <c r="D620" i="65"/>
  <c r="A620" i="65" s="1"/>
  <c r="M620" i="66"/>
  <c r="E620" i="65" s="1"/>
  <c r="J620" i="66"/>
  <c r="B620" i="65" s="1"/>
  <c r="I620" i="66"/>
  <c r="D3" i="65"/>
  <c r="I3" i="66"/>
  <c r="J3" i="66"/>
  <c r="B3" i="65" s="1"/>
  <c r="D597" i="65"/>
  <c r="A597" i="65" s="1"/>
  <c r="M597" i="66"/>
  <c r="E597" i="65" s="1"/>
  <c r="J597" i="66"/>
  <c r="B597" i="65" s="1"/>
  <c r="I597" i="66"/>
  <c r="D622" i="65"/>
  <c r="A622" i="65" s="1"/>
  <c r="M622" i="66"/>
  <c r="E622" i="65" s="1"/>
  <c r="J622" i="66"/>
  <c r="B622" i="65" s="1"/>
  <c r="I622" i="66"/>
  <c r="D559" i="65"/>
  <c r="A559" i="65" s="1"/>
  <c r="M559" i="66"/>
  <c r="E559" i="65" s="1"/>
  <c r="J559" i="66"/>
  <c r="B559" i="65" s="1"/>
  <c r="I559" i="66"/>
  <c r="D588" i="65"/>
  <c r="A588" i="65" s="1"/>
  <c r="M588" i="66"/>
  <c r="E588" i="65" s="1"/>
  <c r="J588" i="66"/>
  <c r="B588" i="65" s="1"/>
  <c r="I588" i="66"/>
  <c r="D595" i="65"/>
  <c r="A595" i="65" s="1"/>
  <c r="M595" i="66"/>
  <c r="E595" i="65" s="1"/>
  <c r="J595" i="66"/>
  <c r="B595" i="65" s="1"/>
  <c r="I595" i="66"/>
  <c r="D624" i="65"/>
  <c r="A624" i="65" s="1"/>
  <c r="M624" i="66"/>
  <c r="E624" i="65" s="1"/>
  <c r="I624" i="66"/>
  <c r="J624" i="66"/>
  <c r="B624" i="65" s="1"/>
  <c r="D615" i="65"/>
  <c r="A615" i="65" s="1"/>
  <c r="M615" i="66"/>
  <c r="E615" i="65" s="1"/>
  <c r="J615" i="66"/>
  <c r="B615" i="65" s="1"/>
  <c r="I615" i="66"/>
  <c r="D565" i="65"/>
  <c r="A565" i="65" s="1"/>
  <c r="M565" i="66"/>
  <c r="E565" i="65" s="1"/>
  <c r="J565" i="66"/>
  <c r="B565" i="65" s="1"/>
  <c r="I565" i="66"/>
  <c r="D590" i="65"/>
  <c r="A590" i="65" s="1"/>
  <c r="M590" i="66"/>
  <c r="E590" i="65" s="1"/>
  <c r="J590" i="66"/>
  <c r="B590" i="65" s="1"/>
  <c r="I590" i="66"/>
  <c r="D621" i="65"/>
  <c r="A621" i="65" s="1"/>
  <c r="M621" i="66"/>
  <c r="E621" i="65" s="1"/>
  <c r="J621" i="66"/>
  <c r="B621" i="65" s="1"/>
  <c r="I621" i="66"/>
  <c r="D610" i="65"/>
  <c r="A610" i="65" s="1"/>
  <c r="M610" i="66"/>
  <c r="E610" i="65" s="1"/>
  <c r="I610" i="66"/>
  <c r="J610" i="66"/>
  <c r="B610" i="65" s="1"/>
  <c r="D506" i="65"/>
  <c r="A506" i="65" s="1"/>
  <c r="M506" i="66"/>
  <c r="E506" i="65" s="1"/>
  <c r="I506" i="66"/>
  <c r="J506" i="66"/>
  <c r="B506" i="65" s="1"/>
  <c r="D538" i="65"/>
  <c r="A538" i="65" s="1"/>
  <c r="M538" i="66"/>
  <c r="E538" i="65" s="1"/>
  <c r="J538" i="66"/>
  <c r="B538" i="65" s="1"/>
  <c r="I538" i="66"/>
  <c r="D553" i="65"/>
  <c r="A553" i="65" s="1"/>
  <c r="M553" i="66"/>
  <c r="E553" i="65" s="1"/>
  <c r="J553" i="66"/>
  <c r="B553" i="65" s="1"/>
  <c r="I553" i="66"/>
  <c r="D554" i="65"/>
  <c r="A554" i="65" s="1"/>
  <c r="M554" i="66"/>
  <c r="E554" i="65" s="1"/>
  <c r="I554" i="66"/>
  <c r="J554" i="66"/>
  <c r="B554" i="65" s="1"/>
  <c r="D380" i="65"/>
  <c r="A380" i="65" s="1"/>
  <c r="M380" i="66"/>
  <c r="E380" i="65" s="1"/>
  <c r="J380" i="66"/>
  <c r="B380" i="65" s="1"/>
  <c r="I380" i="66"/>
  <c r="D623" i="65"/>
  <c r="A623" i="65" s="1"/>
  <c r="M623" i="66"/>
  <c r="E623" i="65" s="1"/>
  <c r="J623" i="66"/>
  <c r="B623" i="65" s="1"/>
  <c r="I623" i="66"/>
  <c r="D485" i="65"/>
  <c r="A485" i="65" s="1"/>
  <c r="M485" i="66"/>
  <c r="E485" i="65" s="1"/>
  <c r="I485" i="66"/>
  <c r="J485" i="66"/>
  <c r="B485" i="65" s="1"/>
  <c r="D4" i="65"/>
  <c r="I4" i="66"/>
  <c r="J4" i="66"/>
  <c r="B4" i="65" s="1"/>
  <c r="D443" i="65"/>
  <c r="A443" i="65" s="1"/>
  <c r="M443" i="66"/>
  <c r="E443" i="65" s="1"/>
  <c r="J443" i="66"/>
  <c r="B443" i="65" s="1"/>
  <c r="I443" i="66"/>
  <c r="D528" i="65"/>
  <c r="A528" i="65" s="1"/>
  <c r="M528" i="66"/>
  <c r="E528" i="65" s="1"/>
  <c r="I528" i="66"/>
  <c r="J528" i="66"/>
  <c r="B528" i="65" s="1"/>
  <c r="D548" i="65"/>
  <c r="A548" i="65" s="1"/>
  <c r="M548" i="66"/>
  <c r="E548" i="65" s="1"/>
  <c r="I548" i="66"/>
  <c r="J548" i="66"/>
  <c r="B548" i="65" s="1"/>
  <c r="D587" i="65"/>
  <c r="A587" i="65" s="1"/>
  <c r="M587" i="66"/>
  <c r="E587" i="65" s="1"/>
  <c r="J587" i="66"/>
  <c r="B587" i="65" s="1"/>
  <c r="I587" i="66"/>
  <c r="D616" i="65"/>
  <c r="A616" i="65" s="1"/>
  <c r="M616" i="66"/>
  <c r="E616" i="65" s="1"/>
  <c r="I616" i="66"/>
  <c r="J616" i="66"/>
  <c r="B616" i="65" s="1"/>
  <c r="L5" i="66"/>
  <c r="D529" i="65"/>
  <c r="A529" i="65" s="1"/>
  <c r="M529" i="66"/>
  <c r="E529" i="65" s="1"/>
  <c r="J529" i="66"/>
  <c r="B529" i="65" s="1"/>
  <c r="I529" i="66"/>
  <c r="D550" i="65"/>
  <c r="A550" i="65" s="1"/>
  <c r="M550" i="66"/>
  <c r="E550" i="65" s="1"/>
  <c r="I550" i="66"/>
  <c r="J550" i="66"/>
  <c r="B550" i="65" s="1"/>
  <c r="D573" i="65"/>
  <c r="A573" i="65" s="1"/>
  <c r="M573" i="66"/>
  <c r="E573" i="65" s="1"/>
  <c r="J573" i="66"/>
  <c r="B573" i="65" s="1"/>
  <c r="I573" i="66"/>
  <c r="D570" i="65"/>
  <c r="A570" i="65" s="1"/>
  <c r="M570" i="66"/>
  <c r="E570" i="65" s="1"/>
  <c r="I570" i="66"/>
  <c r="J570" i="66"/>
  <c r="B570" i="65" s="1"/>
  <c r="D555" i="65"/>
  <c r="A555" i="65" s="1"/>
  <c r="M555" i="66"/>
  <c r="E555" i="65" s="1"/>
  <c r="J555" i="66"/>
  <c r="B555" i="65" s="1"/>
  <c r="I555" i="66"/>
  <c r="D584" i="65"/>
  <c r="A584" i="65" s="1"/>
  <c r="M584" i="66"/>
  <c r="E584" i="65" s="1"/>
  <c r="J584" i="66"/>
  <c r="B584" i="65" s="1"/>
  <c r="I584" i="66"/>
  <c r="D536" i="65"/>
  <c r="A536" i="65" s="1"/>
  <c r="M536" i="66"/>
  <c r="E536" i="65" s="1"/>
  <c r="I536" i="66"/>
  <c r="J536" i="66"/>
  <c r="B536" i="65" s="1"/>
  <c r="B4" i="66"/>
  <c r="A4" i="66"/>
  <c r="C42" i="42"/>
  <c r="S58" i="53"/>
  <c r="G43" i="46"/>
  <c r="BN52" i="61"/>
  <c r="D626" i="65"/>
  <c r="A626" i="65" s="1"/>
  <c r="M626" i="66"/>
  <c r="E626" i="65" s="1"/>
  <c r="I626" i="66"/>
  <c r="J626" i="66"/>
  <c r="B626" i="65" s="1"/>
  <c r="D544" i="65"/>
  <c r="A544" i="65" s="1"/>
  <c r="M544" i="66"/>
  <c r="E544" i="65" s="1"/>
  <c r="I544" i="66"/>
  <c r="J544" i="66"/>
  <c r="B544" i="65" s="1"/>
  <c r="D535" i="65"/>
  <c r="A535" i="65" s="1"/>
  <c r="M535" i="66"/>
  <c r="E535" i="65" s="1"/>
  <c r="J535" i="66"/>
  <c r="B535" i="65" s="1"/>
  <c r="I535" i="66"/>
  <c r="D564" i="65"/>
  <c r="A564" i="65" s="1"/>
  <c r="M564" i="66"/>
  <c r="E564" i="65" s="1"/>
  <c r="I564" i="66"/>
  <c r="J564" i="66"/>
  <c r="B564" i="65" s="1"/>
  <c r="D603" i="65"/>
  <c r="A603" i="65" s="1"/>
  <c r="M603" i="66"/>
  <c r="E603" i="65" s="1"/>
  <c r="J603" i="66"/>
  <c r="B603" i="65" s="1"/>
  <c r="I603" i="66"/>
  <c r="D601" i="65"/>
  <c r="A601" i="65" s="1"/>
  <c r="M601" i="66"/>
  <c r="E601" i="65" s="1"/>
  <c r="J601" i="66"/>
  <c r="B601" i="65" s="1"/>
  <c r="I601" i="66"/>
  <c r="D594" i="65"/>
  <c r="A594" i="65" s="1"/>
  <c r="M594" i="66"/>
  <c r="E594" i="65" s="1"/>
  <c r="J594" i="66"/>
  <c r="B594" i="65" s="1"/>
  <c r="I594" i="66"/>
  <c r="D613" i="65"/>
  <c r="A613" i="65" s="1"/>
  <c r="M613" i="66"/>
  <c r="E613" i="65" s="1"/>
  <c r="J613" i="66"/>
  <c r="B613" i="65" s="1"/>
  <c r="I613" i="66"/>
  <c r="D532" i="65"/>
  <c r="A532" i="65" s="1"/>
  <c r="M532" i="66"/>
  <c r="E532" i="65" s="1"/>
  <c r="I532" i="66"/>
  <c r="J532" i="66"/>
  <c r="B532" i="65" s="1"/>
  <c r="D571" i="65"/>
  <c r="A571" i="65" s="1"/>
  <c r="M571" i="66"/>
  <c r="E571" i="65" s="1"/>
  <c r="J571" i="66"/>
  <c r="B571" i="65" s="1"/>
  <c r="I571" i="66"/>
  <c r="D600" i="65"/>
  <c r="A600" i="65" s="1"/>
  <c r="M600" i="66"/>
  <c r="E600" i="65" s="1"/>
  <c r="J600" i="66"/>
  <c r="B600" i="65" s="1"/>
  <c r="I600" i="66"/>
  <c r="D543" i="65"/>
  <c r="A543" i="65" s="1"/>
  <c r="M543" i="66"/>
  <c r="E543" i="65" s="1"/>
  <c r="J543" i="66"/>
  <c r="B543" i="65" s="1"/>
  <c r="I543" i="66"/>
  <c r="D572" i="65"/>
  <c r="A572" i="65" s="1"/>
  <c r="M572" i="66"/>
  <c r="E572" i="65" s="1"/>
  <c r="J572" i="66"/>
  <c r="B572" i="65" s="1"/>
  <c r="I572" i="66"/>
  <c r="D579" i="65"/>
  <c r="A579" i="65" s="1"/>
  <c r="M579" i="66"/>
  <c r="E579" i="65" s="1"/>
  <c r="J579" i="66"/>
  <c r="B579" i="65" s="1"/>
  <c r="I579" i="66"/>
  <c r="D608" i="65"/>
  <c r="A608" i="65" s="1"/>
  <c r="M608" i="66"/>
  <c r="E608" i="65" s="1"/>
  <c r="J608" i="66"/>
  <c r="B608" i="65" s="1"/>
  <c r="I608" i="66"/>
  <c r="D599" i="65"/>
  <c r="A599" i="65" s="1"/>
  <c r="M599" i="66"/>
  <c r="E599" i="65" s="1"/>
  <c r="J599" i="66"/>
  <c r="B599" i="65" s="1"/>
  <c r="I599" i="66"/>
  <c r="D545" i="65"/>
  <c r="A545" i="65" s="1"/>
  <c r="M545" i="66"/>
  <c r="E545" i="65" s="1"/>
  <c r="J545" i="66"/>
  <c r="B545" i="65" s="1"/>
  <c r="I545" i="66"/>
  <c r="D574" i="65"/>
  <c r="A574" i="65" s="1"/>
  <c r="M574" i="66"/>
  <c r="E574" i="65" s="1"/>
  <c r="I574" i="66"/>
  <c r="J574" i="66"/>
  <c r="B574" i="65" s="1"/>
  <c r="D625" i="65"/>
  <c r="A625" i="65" s="1"/>
  <c r="M625" i="66"/>
  <c r="E625" i="65" s="1"/>
  <c r="J625" i="66"/>
  <c r="B625" i="65" s="1"/>
  <c r="I625" i="66"/>
  <c r="D540" i="65"/>
  <c r="A540" i="65" s="1"/>
  <c r="M540" i="66"/>
  <c r="E540" i="65" s="1"/>
  <c r="I540" i="66"/>
  <c r="J540" i="66"/>
  <c r="B540" i="65" s="1"/>
  <c r="D547" i="65"/>
  <c r="A547" i="65" s="1"/>
  <c r="M547" i="66"/>
  <c r="E547" i="65" s="1"/>
  <c r="J547" i="66"/>
  <c r="B547" i="65" s="1"/>
  <c r="I547" i="66"/>
  <c r="D576" i="65"/>
  <c r="A576" i="65" s="1"/>
  <c r="M576" i="66"/>
  <c r="E576" i="65" s="1"/>
  <c r="J576" i="66"/>
  <c r="B576" i="65" s="1"/>
  <c r="I576" i="66"/>
  <c r="D567" i="65"/>
  <c r="A567" i="65" s="1"/>
  <c r="M567" i="66"/>
  <c r="E567" i="65" s="1"/>
  <c r="J567" i="66"/>
  <c r="B567" i="65" s="1"/>
  <c r="I567" i="66"/>
  <c r="D596" i="65"/>
  <c r="A596" i="65" s="1"/>
  <c r="M596" i="66"/>
  <c r="E596" i="65" s="1"/>
  <c r="I596" i="66"/>
  <c r="J596" i="66"/>
  <c r="B596" i="65" s="1"/>
  <c r="D530" i="65"/>
  <c r="A530" i="65" s="1"/>
  <c r="M530" i="66"/>
  <c r="E530" i="65" s="1"/>
  <c r="J530" i="66"/>
  <c r="B530" i="65" s="1"/>
  <c r="I530" i="66"/>
  <c r="D464" i="65"/>
  <c r="A464" i="65" s="1"/>
  <c r="M464" i="66"/>
  <c r="E464" i="65" s="1"/>
  <c r="I464" i="66"/>
  <c r="J464" i="66"/>
  <c r="B464" i="65" s="1"/>
  <c r="D552" i="65"/>
  <c r="A552" i="65" s="1"/>
  <c r="M552" i="66"/>
  <c r="E552" i="65" s="1"/>
  <c r="I552" i="66"/>
  <c r="J552" i="66"/>
  <c r="B552" i="65" s="1"/>
  <c r="D607" i="65"/>
  <c r="A607" i="65" s="1"/>
  <c r="M607" i="66"/>
  <c r="E607" i="65" s="1"/>
  <c r="J607" i="66"/>
  <c r="B607" i="65" s="1"/>
  <c r="I607" i="66"/>
  <c r="D609" i="65"/>
  <c r="A609" i="65" s="1"/>
  <c r="M609" i="66"/>
  <c r="E609" i="65" s="1"/>
  <c r="J609" i="66"/>
  <c r="B609" i="65" s="1"/>
  <c r="I609" i="66"/>
  <c r="D575" i="65"/>
  <c r="A575" i="65" s="1"/>
  <c r="M575" i="66"/>
  <c r="E575" i="65" s="1"/>
  <c r="J575" i="66"/>
  <c r="B575" i="65" s="1"/>
  <c r="I575" i="66"/>
  <c r="D604" i="65"/>
  <c r="A604" i="65" s="1"/>
  <c r="M604" i="66"/>
  <c r="E604" i="65" s="1"/>
  <c r="I604" i="66"/>
  <c r="J604" i="66"/>
  <c r="B604" i="65" s="1"/>
  <c r="D611" i="65"/>
  <c r="A611" i="65" s="1"/>
  <c r="M611" i="66"/>
  <c r="E611" i="65" s="1"/>
  <c r="J611" i="66"/>
  <c r="B611" i="65" s="1"/>
  <c r="I611" i="66"/>
  <c r="D577" i="65"/>
  <c r="A577" i="65" s="1"/>
  <c r="M577" i="66"/>
  <c r="E577" i="65" s="1"/>
  <c r="J577" i="66"/>
  <c r="B577" i="65" s="1"/>
  <c r="I577" i="66"/>
  <c r="D606" i="65"/>
  <c r="A606" i="65" s="1"/>
  <c r="M606" i="66"/>
  <c r="E606" i="65" s="1"/>
  <c r="I606" i="66"/>
  <c r="J606" i="66"/>
  <c r="B606" i="65" s="1"/>
  <c r="D569" i="65"/>
  <c r="A569" i="65" s="1"/>
  <c r="M569" i="66"/>
  <c r="E569" i="65" s="1"/>
  <c r="J569" i="66"/>
  <c r="B569" i="65" s="1"/>
  <c r="I569" i="66"/>
  <c r="D562" i="65"/>
  <c r="A562" i="65" s="1"/>
  <c r="M562" i="66"/>
  <c r="E562" i="65" s="1"/>
  <c r="I562" i="66"/>
  <c r="J562" i="66"/>
  <c r="B562" i="65" s="1"/>
  <c r="D581" i="65"/>
  <c r="A581" i="65" s="1"/>
  <c r="M581" i="66"/>
  <c r="E581" i="65" s="1"/>
  <c r="J581" i="66"/>
  <c r="B581" i="65" s="1"/>
  <c r="I581" i="66"/>
  <c r="D598" i="65"/>
  <c r="A598" i="65" s="1"/>
  <c r="M598" i="66"/>
  <c r="E598" i="65" s="1"/>
  <c r="I598" i="66"/>
  <c r="J598" i="66"/>
  <c r="B598" i="65" s="1"/>
  <c r="D617" i="65"/>
  <c r="A617" i="65" s="1"/>
  <c r="M617" i="66"/>
  <c r="E617" i="65" s="1"/>
  <c r="J617" i="66"/>
  <c r="B617" i="65" s="1"/>
  <c r="I617" i="66"/>
  <c r="D618" i="65"/>
  <c r="A618" i="65" s="1"/>
  <c r="M618" i="66"/>
  <c r="E618" i="65" s="1"/>
  <c r="J618" i="66"/>
  <c r="B618" i="65" s="1"/>
  <c r="I618" i="66"/>
  <c r="D539" i="65"/>
  <c r="A539" i="65" s="1"/>
  <c r="M539" i="66"/>
  <c r="E539" i="65" s="1"/>
  <c r="J539" i="66"/>
  <c r="B539" i="65" s="1"/>
  <c r="I539" i="66"/>
  <c r="D568" i="65"/>
  <c r="A568" i="65" s="1"/>
  <c r="M568" i="66"/>
  <c r="E568" i="65" s="1"/>
  <c r="I568" i="66"/>
  <c r="J568" i="66"/>
  <c r="B568" i="65" s="1"/>
  <c r="D537" i="65"/>
  <c r="A537" i="65" s="1"/>
  <c r="M537" i="66"/>
  <c r="E537" i="65" s="1"/>
  <c r="J537" i="66"/>
  <c r="B537" i="65" s="1"/>
  <c r="I537" i="66"/>
  <c r="D534" i="65"/>
  <c r="A534" i="65" s="1"/>
  <c r="M534" i="66"/>
  <c r="E534" i="65" s="1"/>
  <c r="I534" i="66"/>
  <c r="J534" i="66"/>
  <c r="B534" i="65" s="1"/>
  <c r="D549" i="65"/>
  <c r="A549" i="65" s="1"/>
  <c r="M549" i="66"/>
  <c r="E549" i="65" s="1"/>
  <c r="J549" i="66"/>
  <c r="B549" i="65" s="1"/>
  <c r="I549" i="66"/>
  <c r="D566" i="65"/>
  <c r="A566" i="65" s="1"/>
  <c r="M566" i="66"/>
  <c r="E566" i="65" s="1"/>
  <c r="I566" i="66"/>
  <c r="J566" i="66"/>
  <c r="B566" i="65" s="1"/>
  <c r="D585" i="65"/>
  <c r="A585" i="65" s="1"/>
  <c r="M585" i="66"/>
  <c r="E585" i="65" s="1"/>
  <c r="J585" i="66"/>
  <c r="B585" i="65" s="1"/>
  <c r="I585" i="66"/>
  <c r="D586" i="65"/>
  <c r="A586" i="65" s="1"/>
  <c r="M586" i="66"/>
  <c r="E586" i="65" s="1"/>
  <c r="I586" i="66"/>
  <c r="J586" i="66"/>
  <c r="B586" i="65" s="1"/>
  <c r="D541" i="65"/>
  <c r="A541" i="65" s="1"/>
  <c r="M541" i="66"/>
  <c r="E541" i="65" s="1"/>
  <c r="J541" i="66"/>
  <c r="B541" i="65" s="1"/>
  <c r="I541" i="66"/>
  <c r="D542" i="65"/>
  <c r="A542" i="65" s="1"/>
  <c r="M542" i="66"/>
  <c r="E542" i="65" s="1"/>
  <c r="I542" i="66"/>
  <c r="J542" i="66"/>
  <c r="B542" i="65" s="1"/>
  <c r="BO148" i="61"/>
  <c r="BX148" i="61"/>
  <c r="CA148" i="61"/>
  <c r="BY148" i="61"/>
  <c r="CF148" i="61"/>
  <c r="CE148" i="61"/>
  <c r="G43" i="26"/>
  <c r="Y40" i="28"/>
  <c r="BR148" i="61"/>
  <c r="BV148" i="61"/>
  <c r="BZ148" i="61"/>
  <c r="BU148" i="61"/>
  <c r="CH148" i="61"/>
  <c r="X37" i="28"/>
  <c r="X37" i="49"/>
  <c r="BF47" i="61"/>
  <c r="BF46" i="61"/>
  <c r="H5" i="25"/>
  <c r="I5" i="25" s="1"/>
  <c r="D5" i="25"/>
  <c r="F5" i="25" s="1"/>
  <c r="G5" i="25" s="1"/>
  <c r="CE99" i="61"/>
  <c r="CF98" i="61"/>
  <c r="A3" i="65"/>
  <c r="BJ136" i="61"/>
  <c r="H9" i="42" s="1"/>
  <c r="AF12" i="42" s="1"/>
  <c r="BL136" i="61"/>
  <c r="H11" i="42" s="1"/>
  <c r="BF136" i="61"/>
  <c r="H5" i="42" s="1"/>
  <c r="H15" i="42" s="1"/>
  <c r="BK136" i="61"/>
  <c r="H10" i="42" s="1"/>
  <c r="AF13" i="42" s="1"/>
  <c r="BI136" i="61"/>
  <c r="H8" i="42" s="1"/>
  <c r="K11" i="42" s="1"/>
  <c r="BH136" i="61"/>
  <c r="H7" i="42" s="1"/>
  <c r="BG136" i="61"/>
  <c r="H6" i="42" s="1"/>
  <c r="BF134" i="61"/>
  <c r="H5" i="44" s="1"/>
  <c r="K5" i="44" s="1"/>
  <c r="BK134" i="61"/>
  <c r="H10" i="44" s="1"/>
  <c r="AF13" i="44" s="1"/>
  <c r="BI134" i="61"/>
  <c r="H8" i="44" s="1"/>
  <c r="AF11" i="44" s="1"/>
  <c r="BH134" i="61"/>
  <c r="H7" i="44" s="1"/>
  <c r="BG134" i="61"/>
  <c r="H6" i="44" s="1"/>
  <c r="H28" i="44" s="1"/>
  <c r="BJ134" i="61"/>
  <c r="H9" i="44" s="1"/>
  <c r="R25" i="44" s="1"/>
  <c r="BL134" i="61"/>
  <c r="H11" i="44" s="1"/>
  <c r="BH132" i="61"/>
  <c r="H7" i="46" s="1"/>
  <c r="BK132" i="61"/>
  <c r="H10" i="46" s="1"/>
  <c r="AF13" i="46" s="1"/>
  <c r="BJ132" i="61"/>
  <c r="H9" i="46" s="1"/>
  <c r="R25" i="46" s="1"/>
  <c r="BG132" i="61"/>
  <c r="H6" i="46" s="1"/>
  <c r="BI132" i="61"/>
  <c r="H8" i="46" s="1"/>
  <c r="R24" i="46" s="1"/>
  <c r="BL132" i="61"/>
  <c r="H11" i="46" s="1"/>
  <c r="BF132" i="61"/>
  <c r="H5" i="46" s="1"/>
  <c r="H15" i="46" s="1"/>
  <c r="BF49" i="61"/>
  <c r="BF42" i="61"/>
  <c r="CP154" i="61" a="1"/>
  <c r="Y42" i="59"/>
  <c r="C42" i="35"/>
  <c r="BF56" i="61"/>
  <c r="C42" i="48"/>
  <c r="K45" i="48" s="1"/>
  <c r="G43" i="30"/>
  <c r="BH129" i="61"/>
  <c r="H7" i="49" s="1"/>
  <c r="R16" i="49" s="1"/>
  <c r="BJ129" i="61"/>
  <c r="H9" i="49" s="1"/>
  <c r="BI129" i="61"/>
  <c r="H8" i="49" s="1"/>
  <c r="AF11" i="49" s="1"/>
  <c r="BG129" i="61"/>
  <c r="H6" i="49" s="1"/>
  <c r="H28" i="49" s="1"/>
  <c r="BF129" i="61"/>
  <c r="H5" i="49" s="1"/>
  <c r="K4" i="49" s="1"/>
  <c r="BL129" i="61"/>
  <c r="H11" i="49" s="1"/>
  <c r="BK129" i="61"/>
  <c r="H10" i="49" s="1"/>
  <c r="AF13" i="49" s="1"/>
  <c r="BF40" i="61"/>
  <c r="Y39" i="34"/>
  <c r="AE6" i="61"/>
  <c r="C4" i="48"/>
  <c r="B6" i="25"/>
  <c r="AP6" i="25"/>
  <c r="G43" i="43"/>
  <c r="BR39" i="61"/>
  <c r="BN44" i="61"/>
  <c r="G43" i="27"/>
  <c r="X37" i="40"/>
  <c r="G43" i="33"/>
  <c r="X37" i="50"/>
  <c r="BB50" i="61"/>
  <c r="BB43" i="61"/>
  <c r="BN43" i="61"/>
  <c r="BR43" i="61"/>
  <c r="Y40" i="50"/>
  <c r="BN40" i="61"/>
  <c r="X37" i="34"/>
  <c r="R37" i="50"/>
  <c r="V37" i="50" s="1"/>
  <c r="BR54" i="61"/>
  <c r="BB47" i="61"/>
  <c r="C45" i="59"/>
  <c r="K47" i="59" s="1"/>
  <c r="Y40" i="26"/>
  <c r="C42" i="39"/>
  <c r="X37" i="36"/>
  <c r="Y40" i="46"/>
  <c r="Y40" i="44"/>
  <c r="G43" i="28"/>
  <c r="BF37" i="61"/>
  <c r="O36" i="61" s="1"/>
  <c r="B9" i="64" s="1"/>
  <c r="BN42" i="61"/>
  <c r="BR41" i="61"/>
  <c r="BN56" i="61"/>
  <c r="BB61" i="61"/>
  <c r="BB41" i="61"/>
  <c r="BR63" i="61"/>
  <c r="BB55" i="61"/>
  <c r="BB57" i="61"/>
  <c r="BR57" i="61"/>
  <c r="BN61" i="61"/>
  <c r="BR48" i="61"/>
  <c r="BB62" i="61"/>
  <c r="BB37" i="61"/>
  <c r="L36" i="61" s="1"/>
  <c r="A8" i="64" s="1"/>
  <c r="BN41" i="61"/>
  <c r="BR53" i="61"/>
  <c r="BR62" i="61"/>
  <c r="BB42" i="61"/>
  <c r="BF36" i="61"/>
  <c r="N36" i="61" s="1"/>
  <c r="A9" i="64" s="1"/>
  <c r="BB60" i="61"/>
  <c r="BN46" i="61"/>
  <c r="BR45" i="61"/>
  <c r="BB56" i="61"/>
  <c r="BB63" i="61"/>
  <c r="BB44" i="61"/>
  <c r="BR55" i="61"/>
  <c r="BR46" i="61"/>
  <c r="BN47" i="61"/>
  <c r="BR61" i="61"/>
  <c r="BN49" i="61"/>
  <c r="BR40" i="61"/>
  <c r="BN53" i="61"/>
  <c r="BR56" i="61"/>
  <c r="BB52" i="61"/>
  <c r="BN54" i="61"/>
  <c r="BR58" i="61"/>
  <c r="BR52" i="61"/>
  <c r="BN55" i="61"/>
  <c r="BR60" i="61"/>
  <c r="BN58" i="61"/>
  <c r="BB45" i="61"/>
  <c r="BB39" i="61"/>
  <c r="BN57" i="61"/>
  <c r="BN39" i="61"/>
  <c r="BN48" i="61"/>
  <c r="BN59" i="61"/>
  <c r="BN62" i="61"/>
  <c r="BB38" i="61"/>
  <c r="M36" i="61" s="1"/>
  <c r="B8" i="64" s="1"/>
  <c r="BB40" i="61"/>
  <c r="BB53" i="61"/>
  <c r="BB58" i="61"/>
  <c r="BR49" i="61"/>
  <c r="BR51" i="61"/>
  <c r="BR42" i="61"/>
  <c r="BN60" i="61"/>
  <c r="BN51" i="61"/>
  <c r="BR44" i="61"/>
  <c r="BR59" i="61"/>
  <c r="C42" i="49"/>
  <c r="K45" i="49" s="1"/>
  <c r="X37" i="31"/>
  <c r="AE38" i="50"/>
  <c r="W41" i="59"/>
  <c r="Y40" i="49"/>
  <c r="Y40" i="40"/>
  <c r="AE34" i="50"/>
  <c r="AG34" i="50" s="1"/>
  <c r="L35" i="61"/>
  <c r="B4" i="64" s="1"/>
  <c r="G48" i="32"/>
  <c r="G43" i="44"/>
  <c r="G43" i="45"/>
  <c r="AX51" i="61"/>
  <c r="AX48" i="61"/>
  <c r="BJ46" i="61"/>
  <c r="BJ50" i="61"/>
  <c r="BJ53" i="61"/>
  <c r="AX47" i="61"/>
  <c r="BZ63" i="61"/>
  <c r="E16" i="64" s="1"/>
  <c r="AX49" i="61"/>
  <c r="BZ40" i="61"/>
  <c r="F4" i="64" s="1"/>
  <c r="BJ41" i="61"/>
  <c r="AX43" i="61"/>
  <c r="BZ54" i="61"/>
  <c r="F11" i="64" s="1"/>
  <c r="BJ52" i="61"/>
  <c r="AX39" i="61"/>
  <c r="BZ57" i="61"/>
  <c r="E13" i="64" s="1"/>
  <c r="BJ48" i="61"/>
  <c r="G43" i="47"/>
  <c r="AX63" i="61"/>
  <c r="BJ56" i="61"/>
  <c r="AX40" i="61"/>
  <c r="AX50" i="61"/>
  <c r="BZ41" i="61"/>
  <c r="E5" i="64" s="1"/>
  <c r="AX59" i="61"/>
  <c r="BZ43" i="61"/>
  <c r="E6" i="64" s="1"/>
  <c r="BZ61" i="61"/>
  <c r="E15" i="64" s="1"/>
  <c r="BZ45" i="61"/>
  <c r="E7" i="64" s="1"/>
  <c r="AX52" i="61"/>
  <c r="BZ51" i="61"/>
  <c r="E10" i="64" s="1"/>
  <c r="AX44" i="61"/>
  <c r="BJ63" i="61"/>
  <c r="AX58" i="61"/>
  <c r="CM144" i="61"/>
  <c r="BJ62" i="61"/>
  <c r="BJ51" i="61"/>
  <c r="AX42" i="61"/>
  <c r="BJ40" i="61"/>
  <c r="BJ59" i="61"/>
  <c r="AX53" i="61"/>
  <c r="AF12" i="36"/>
  <c r="R25" i="36"/>
  <c r="R15" i="36"/>
  <c r="AF5" i="36"/>
  <c r="R4" i="36"/>
  <c r="R22" i="36"/>
  <c r="U26" i="36" s="1"/>
  <c r="H28" i="36"/>
  <c r="H16" i="36"/>
  <c r="K7" i="36"/>
  <c r="AF9" i="36"/>
  <c r="K6" i="36"/>
  <c r="H27" i="39"/>
  <c r="H15" i="39"/>
  <c r="AF4" i="39"/>
  <c r="R21" i="39"/>
  <c r="K5" i="39"/>
  <c r="R14" i="39"/>
  <c r="K4" i="39"/>
  <c r="R3" i="39"/>
  <c r="U8" i="39" s="1"/>
  <c r="AF7" i="39"/>
  <c r="R6" i="39"/>
  <c r="K10" i="39"/>
  <c r="K11" i="39"/>
  <c r="R24" i="39"/>
  <c r="AF11" i="39"/>
  <c r="R16" i="40"/>
  <c r="AF10" i="40"/>
  <c r="AI14" i="40" s="1"/>
  <c r="R23" i="40"/>
  <c r="K9" i="40"/>
  <c r="AF6" i="40"/>
  <c r="R5" i="40"/>
  <c r="K8" i="40"/>
  <c r="K11" i="40"/>
  <c r="AF7" i="40"/>
  <c r="K10" i="40"/>
  <c r="R24" i="40"/>
  <c r="AF11" i="40"/>
  <c r="R6" i="40"/>
  <c r="K4" i="35"/>
  <c r="R3" i="35"/>
  <c r="U8" i="35" s="1"/>
  <c r="H27" i="35"/>
  <c r="H15" i="35"/>
  <c r="AF4" i="35"/>
  <c r="R21" i="35"/>
  <c r="K5" i="35"/>
  <c r="R14" i="35"/>
  <c r="K9" i="35"/>
  <c r="AF6" i="35"/>
  <c r="R23" i="35"/>
  <c r="R16" i="35"/>
  <c r="AF10" i="35"/>
  <c r="AI14" i="35" s="1"/>
  <c r="K8" i="35"/>
  <c r="R5" i="35"/>
  <c r="R25" i="35"/>
  <c r="AF12" i="35"/>
  <c r="AF7" i="36"/>
  <c r="R6" i="36"/>
  <c r="K10" i="36"/>
  <c r="K11" i="36"/>
  <c r="R24" i="36"/>
  <c r="AF11" i="36"/>
  <c r="AF12" i="39"/>
  <c r="R25" i="39"/>
  <c r="AF6" i="39"/>
  <c r="R23" i="39"/>
  <c r="R16" i="39"/>
  <c r="AF10" i="39"/>
  <c r="AI14" i="39" s="1"/>
  <c r="K8" i="39"/>
  <c r="R5" i="39"/>
  <c r="K9" i="39"/>
  <c r="R14" i="40"/>
  <c r="H27" i="40"/>
  <c r="H15" i="40"/>
  <c r="R21" i="40"/>
  <c r="K5" i="40"/>
  <c r="AF4" i="40"/>
  <c r="K4" i="40"/>
  <c r="R3" i="40"/>
  <c r="U8" i="40" s="1"/>
  <c r="H27" i="36"/>
  <c r="H15" i="36"/>
  <c r="AF4" i="36"/>
  <c r="R21" i="36"/>
  <c r="K5" i="36"/>
  <c r="R14" i="36"/>
  <c r="K4" i="36"/>
  <c r="R3" i="36"/>
  <c r="U8" i="36" s="1"/>
  <c r="AF6" i="36"/>
  <c r="R23" i="36"/>
  <c r="R16" i="36"/>
  <c r="AF10" i="36"/>
  <c r="AI14" i="36" s="1"/>
  <c r="K8" i="36"/>
  <c r="R5" i="36"/>
  <c r="K9" i="36"/>
  <c r="AF12" i="40"/>
  <c r="R25" i="40"/>
  <c r="AF9" i="35"/>
  <c r="K6" i="35"/>
  <c r="R15" i="35"/>
  <c r="AF5" i="35"/>
  <c r="R4" i="35"/>
  <c r="R22" i="35"/>
  <c r="U26" i="35" s="1"/>
  <c r="H28" i="35"/>
  <c r="H16" i="35"/>
  <c r="K7" i="35"/>
  <c r="R15" i="39"/>
  <c r="AF5" i="39"/>
  <c r="R4" i="39"/>
  <c r="R22" i="39"/>
  <c r="U26" i="39" s="1"/>
  <c r="H28" i="39"/>
  <c r="H16" i="39"/>
  <c r="K7" i="39"/>
  <c r="AF9" i="39"/>
  <c r="K6" i="39"/>
  <c r="H28" i="40"/>
  <c r="H16" i="40"/>
  <c r="R15" i="40"/>
  <c r="R22" i="40"/>
  <c r="U26" i="40" s="1"/>
  <c r="AF9" i="40"/>
  <c r="K6" i="40"/>
  <c r="AF5" i="40"/>
  <c r="K7" i="40"/>
  <c r="R4" i="40"/>
  <c r="R24" i="35"/>
  <c r="AF11" i="35"/>
  <c r="AF7" i="35"/>
  <c r="R6" i="35"/>
  <c r="K10" i="35"/>
  <c r="K11" i="35"/>
  <c r="CM134" i="61"/>
  <c r="Q52" i="35"/>
  <c r="Q54" i="35"/>
  <c r="Q54" i="48"/>
  <c r="Q52" i="48"/>
  <c r="B71" i="48"/>
  <c r="A76" i="48"/>
  <c r="A72" i="48"/>
  <c r="AL59" i="38"/>
  <c r="AH59" i="38"/>
  <c r="AL60" i="38"/>
  <c r="AH60" i="38"/>
  <c r="AI57" i="38"/>
  <c r="AA60" i="47"/>
  <c r="AO60" i="47" s="1"/>
  <c r="W60" i="47"/>
  <c r="AA59" i="47"/>
  <c r="AO59" i="47" s="1"/>
  <c r="W59" i="47"/>
  <c r="M50" i="41"/>
  <c r="I50" i="41"/>
  <c r="G49" i="41"/>
  <c r="M49" i="41"/>
  <c r="I49" i="41"/>
  <c r="AI72" i="40"/>
  <c r="AL74" i="40"/>
  <c r="AH74" i="40"/>
  <c r="AL75" i="40"/>
  <c r="AH75" i="40"/>
  <c r="Y40" i="27"/>
  <c r="Y39" i="27"/>
  <c r="V33" i="50"/>
  <c r="T33" i="50"/>
  <c r="M49" i="46"/>
  <c r="M50" i="46"/>
  <c r="I49" i="46"/>
  <c r="I50" i="46"/>
  <c r="G49" i="46"/>
  <c r="A69" i="34"/>
  <c r="B68" i="34"/>
  <c r="A76" i="36"/>
  <c r="A72" i="36"/>
  <c r="B71" i="36"/>
  <c r="O67" i="49"/>
  <c r="P66" i="49"/>
  <c r="O71" i="49"/>
  <c r="P71" i="47"/>
  <c r="O76" i="47"/>
  <c r="O72" i="47"/>
  <c r="M49" i="31"/>
  <c r="I49" i="31"/>
  <c r="M50" i="31"/>
  <c r="I50" i="31"/>
  <c r="G49" i="31"/>
  <c r="AC69" i="28"/>
  <c r="AD69" i="28" s="1"/>
  <c r="AD68" i="28"/>
  <c r="AC73" i="28"/>
  <c r="X62" i="32"/>
  <c r="Y40" i="39"/>
  <c r="Y39" i="39"/>
  <c r="BY142" i="61"/>
  <c r="CF142" i="61"/>
  <c r="CC142" i="61"/>
  <c r="CG142" i="61"/>
  <c r="BZ142" i="61"/>
  <c r="CD142" i="61"/>
  <c r="CL142" i="61"/>
  <c r="CI142" i="61"/>
  <c r="BU142" i="61"/>
  <c r="BQ142" i="61"/>
  <c r="CB142" i="61"/>
  <c r="CJ142" i="61"/>
  <c r="CK142" i="61"/>
  <c r="CH142" i="61"/>
  <c r="CA142" i="61"/>
  <c r="CE142" i="61"/>
  <c r="BP142" i="61"/>
  <c r="BS142" i="61"/>
  <c r="BR142" i="61"/>
  <c r="BN142" i="61"/>
  <c r="BX142" i="61"/>
  <c r="BT142" i="61"/>
  <c r="BO142" i="61"/>
  <c r="BV142" i="61"/>
  <c r="BW142" i="61"/>
  <c r="X42" i="26"/>
  <c r="C47" i="38"/>
  <c r="G48" i="38"/>
  <c r="X42" i="31"/>
  <c r="O60" i="48"/>
  <c r="P60" i="48" s="1"/>
  <c r="P59" i="48"/>
  <c r="P67" i="36"/>
  <c r="O68" i="36"/>
  <c r="H4" i="50"/>
  <c r="K3" i="50"/>
  <c r="B72" i="28"/>
  <c r="A73" i="28"/>
  <c r="X47" i="48"/>
  <c r="M49" i="30"/>
  <c r="I49" i="30"/>
  <c r="M50" i="30"/>
  <c r="I50" i="30"/>
  <c r="G49" i="30"/>
  <c r="A65" i="42"/>
  <c r="B65" i="42" s="1"/>
  <c r="B64" i="42"/>
  <c r="X42" i="42"/>
  <c r="CM140" i="61"/>
  <c r="AC89" i="46"/>
  <c r="AD89" i="46" s="1"/>
  <c r="AD88" i="46"/>
  <c r="AC93" i="46"/>
  <c r="Q49" i="40"/>
  <c r="Q47" i="40"/>
  <c r="AC73" i="32"/>
  <c r="AC69" i="32"/>
  <c r="AD69" i="32" s="1"/>
  <c r="AD68" i="32"/>
  <c r="A60" i="48"/>
  <c r="B60" i="48" s="1"/>
  <c r="B59" i="48"/>
  <c r="BJ47" i="61"/>
  <c r="BZ49" i="61"/>
  <c r="E9" i="64" s="1"/>
  <c r="AX56" i="61"/>
  <c r="P54" i="34"/>
  <c r="O55" i="34"/>
  <c r="P55" i="34" s="1"/>
  <c r="AJ60" i="41"/>
  <c r="AJ59" i="41"/>
  <c r="X47" i="35"/>
  <c r="Y39" i="29"/>
  <c r="Y40" i="29"/>
  <c r="AF5" i="61"/>
  <c r="C5" i="49"/>
  <c r="B5" i="24"/>
  <c r="AP5" i="24"/>
  <c r="Y4" i="24" s="1"/>
  <c r="C59" i="33"/>
  <c r="C58" i="33"/>
  <c r="AA60" i="38"/>
  <c r="AO60" i="38" s="1"/>
  <c r="W60" i="38"/>
  <c r="AA59" i="38"/>
  <c r="AO59" i="38" s="1"/>
  <c r="W59" i="38"/>
  <c r="BJ55" i="61"/>
  <c r="AX55" i="61"/>
  <c r="BZ50" i="61"/>
  <c r="F9" i="64" s="1"/>
  <c r="AA55" i="46"/>
  <c r="AO55" i="46" s="1"/>
  <c r="W54" i="46"/>
  <c r="W55" i="46"/>
  <c r="AA54" i="46"/>
  <c r="AO54" i="46" s="1"/>
  <c r="X47" i="47"/>
  <c r="G48" i="39"/>
  <c r="C47" i="39"/>
  <c r="Y45" i="44"/>
  <c r="Y44" i="44"/>
  <c r="C52" i="35"/>
  <c r="G53" i="35"/>
  <c r="P67" i="30"/>
  <c r="O68" i="30"/>
  <c r="C58" i="47"/>
  <c r="C59" i="47"/>
  <c r="P71" i="26"/>
  <c r="O76" i="26"/>
  <c r="O72" i="26"/>
  <c r="A64" i="48"/>
  <c r="B63" i="48"/>
  <c r="O66" i="59"/>
  <c r="P66" i="59" s="1"/>
  <c r="P65" i="59"/>
  <c r="X42" i="46"/>
  <c r="AL59" i="29"/>
  <c r="AH59" i="29"/>
  <c r="AL60" i="29"/>
  <c r="AH60" i="29"/>
  <c r="AI57" i="29"/>
  <c r="B71" i="37"/>
  <c r="A76" i="37"/>
  <c r="A72" i="37"/>
  <c r="M55" i="28"/>
  <c r="I55" i="28"/>
  <c r="G54" i="28"/>
  <c r="M54" i="28"/>
  <c r="I54" i="28"/>
  <c r="X42" i="29"/>
  <c r="O63" i="37"/>
  <c r="P62" i="37"/>
  <c r="B72" i="35"/>
  <c r="A73" i="35"/>
  <c r="Q47" i="37"/>
  <c r="Q49" i="37"/>
  <c r="A64" i="26"/>
  <c r="B63" i="26"/>
  <c r="AG33" i="49"/>
  <c r="C47" i="37"/>
  <c r="G48" i="37"/>
  <c r="X42" i="43"/>
  <c r="C54" i="45"/>
  <c r="C53" i="45"/>
  <c r="Q54" i="42"/>
  <c r="Q52" i="42"/>
  <c r="CF133" i="61"/>
  <c r="CK133" i="61"/>
  <c r="CH133" i="61"/>
  <c r="CL133" i="61"/>
  <c r="BQ133" i="61"/>
  <c r="CD133" i="61"/>
  <c r="BY133" i="61"/>
  <c r="CB133" i="61"/>
  <c r="BU133" i="61"/>
  <c r="CJ133" i="61"/>
  <c r="CC133" i="61"/>
  <c r="CG133" i="61"/>
  <c r="BZ133" i="61"/>
  <c r="CA133" i="61"/>
  <c r="CE133" i="61"/>
  <c r="CI133" i="61"/>
  <c r="BX133" i="61"/>
  <c r="BW133" i="61"/>
  <c r="BV133" i="61"/>
  <c r="BO133" i="61"/>
  <c r="BN133" i="61"/>
  <c r="BP133" i="61"/>
  <c r="BS133" i="61"/>
  <c r="BR133" i="61"/>
  <c r="BT133" i="61"/>
  <c r="O63" i="45"/>
  <c r="P62" i="45"/>
  <c r="M50" i="26"/>
  <c r="I50" i="26"/>
  <c r="G49" i="26"/>
  <c r="I49" i="26"/>
  <c r="M49" i="26"/>
  <c r="Y45" i="38"/>
  <c r="Y44" i="38"/>
  <c r="A81" i="27"/>
  <c r="A77" i="27"/>
  <c r="B76" i="27"/>
  <c r="X37" i="32"/>
  <c r="O55" i="33"/>
  <c r="P55" i="33" s="1"/>
  <c r="P54" i="33"/>
  <c r="AJ60" i="47"/>
  <c r="AJ59" i="47"/>
  <c r="O63" i="46"/>
  <c r="P62" i="46"/>
  <c r="M49" i="42"/>
  <c r="I49" i="42"/>
  <c r="M50" i="42"/>
  <c r="I50" i="42"/>
  <c r="G49" i="42"/>
  <c r="M55" i="29"/>
  <c r="I55" i="29"/>
  <c r="G54" i="29"/>
  <c r="M54" i="29"/>
  <c r="I54" i="29"/>
  <c r="AA60" i="42"/>
  <c r="AO60" i="42" s="1"/>
  <c r="W60" i="42"/>
  <c r="AA59" i="42"/>
  <c r="AO59" i="42" s="1"/>
  <c r="W59" i="42"/>
  <c r="AL71" i="59"/>
  <c r="AL72" i="59"/>
  <c r="O55" i="31"/>
  <c r="P55" i="31" s="1"/>
  <c r="P54" i="31"/>
  <c r="F37" i="50"/>
  <c r="Y45" i="27"/>
  <c r="Y44" i="27"/>
  <c r="BY131" i="61"/>
  <c r="CB131" i="61"/>
  <c r="BZ131" i="61"/>
  <c r="BU131" i="61"/>
  <c r="CJ131" i="61"/>
  <c r="CC131" i="61"/>
  <c r="CG131" i="61"/>
  <c r="CH131" i="61"/>
  <c r="CA131" i="61"/>
  <c r="CE131" i="61"/>
  <c r="CI131" i="61"/>
  <c r="CF131" i="61"/>
  <c r="CK131" i="61"/>
  <c r="CL131" i="61"/>
  <c r="BQ131" i="61"/>
  <c r="CD131" i="61"/>
  <c r="BX131" i="61"/>
  <c r="BV131" i="61"/>
  <c r="BP131" i="61"/>
  <c r="BS131" i="61"/>
  <c r="BR131" i="61"/>
  <c r="BT131" i="61"/>
  <c r="BO131" i="61"/>
  <c r="BN131" i="61"/>
  <c r="BW131" i="61"/>
  <c r="B72" i="40"/>
  <c r="A73" i="40"/>
  <c r="B72" i="32"/>
  <c r="A73" i="32"/>
  <c r="X37" i="41"/>
  <c r="BJ39" i="61"/>
  <c r="AX57" i="61"/>
  <c r="A69" i="40"/>
  <c r="B68" i="40"/>
  <c r="C47" i="34"/>
  <c r="G48" i="34"/>
  <c r="G53" i="40"/>
  <c r="C52" i="40"/>
  <c r="O64" i="26"/>
  <c r="P63" i="26"/>
  <c r="Q63" i="26" s="1"/>
  <c r="C59" i="27"/>
  <c r="C58" i="27"/>
  <c r="X37" i="30"/>
  <c r="M50" i="50"/>
  <c r="I50" i="50"/>
  <c r="G49" i="50"/>
  <c r="M49" i="50"/>
  <c r="I49" i="50"/>
  <c r="C59" i="44"/>
  <c r="C58" i="44"/>
  <c r="O76" i="38"/>
  <c r="O72" i="38"/>
  <c r="P71" i="38"/>
  <c r="X45" i="59"/>
  <c r="A60" i="30"/>
  <c r="B60" i="30" s="1"/>
  <c r="B59" i="30"/>
  <c r="AA60" i="41"/>
  <c r="AO60" i="41" s="1"/>
  <c r="W60" i="41"/>
  <c r="AA59" i="41"/>
  <c r="AO59" i="41" s="1"/>
  <c r="W59" i="41"/>
  <c r="B71" i="26"/>
  <c r="A76" i="26"/>
  <c r="A72" i="26"/>
  <c r="F37" i="49"/>
  <c r="P58" i="49"/>
  <c r="Q58" i="49" s="1"/>
  <c r="O59" i="49"/>
  <c r="P54" i="40"/>
  <c r="O55" i="40"/>
  <c r="P55" i="40" s="1"/>
  <c r="A65" i="44"/>
  <c r="B65" i="44" s="1"/>
  <c r="B64" i="44"/>
  <c r="B67" i="43"/>
  <c r="A68" i="43"/>
  <c r="A73" i="49"/>
  <c r="B72" i="49"/>
  <c r="AA60" i="29"/>
  <c r="AO60" i="29" s="1"/>
  <c r="W60" i="29"/>
  <c r="AA59" i="29"/>
  <c r="AO59" i="29" s="1"/>
  <c r="W59" i="29"/>
  <c r="AJ64" i="42"/>
  <c r="AJ65" i="42"/>
  <c r="A69" i="27"/>
  <c r="B68" i="27"/>
  <c r="P67" i="41"/>
  <c r="O68" i="41"/>
  <c r="AA60" i="30"/>
  <c r="AO60" i="30" s="1"/>
  <c r="W60" i="30"/>
  <c r="AA59" i="30"/>
  <c r="AO59" i="30" s="1"/>
  <c r="W59" i="30"/>
  <c r="X47" i="38"/>
  <c r="G42" i="40"/>
  <c r="K45" i="40"/>
  <c r="K44" i="40"/>
  <c r="AL65" i="39"/>
  <c r="AH65" i="39"/>
  <c r="AI62" i="39"/>
  <c r="AL64" i="39"/>
  <c r="AH64" i="39"/>
  <c r="P58" i="39"/>
  <c r="Q58" i="39" s="1"/>
  <c r="O59" i="39"/>
  <c r="X42" i="28"/>
  <c r="A81" i="44"/>
  <c r="A77" i="44"/>
  <c r="B76" i="44"/>
  <c r="X42" i="36"/>
  <c r="Y50" i="41"/>
  <c r="Y49" i="41"/>
  <c r="X51" i="59"/>
  <c r="X42" i="34"/>
  <c r="M54" i="59"/>
  <c r="G53" i="59"/>
  <c r="M53" i="59"/>
  <c r="G42" i="46"/>
  <c r="K44" i="46"/>
  <c r="K45" i="46"/>
  <c r="Y40" i="33"/>
  <c r="Y39" i="33"/>
  <c r="C58" i="29"/>
  <c r="C59" i="29"/>
  <c r="AA55" i="37"/>
  <c r="AO55" i="37" s="1"/>
  <c r="W55" i="37"/>
  <c r="AA54" i="37"/>
  <c r="AO54" i="37" s="1"/>
  <c r="W54" i="37"/>
  <c r="P67" i="48"/>
  <c r="O68" i="48"/>
  <c r="B80" i="59"/>
  <c r="A81" i="59"/>
  <c r="A86" i="59"/>
  <c r="C52" i="44"/>
  <c r="G53" i="44"/>
  <c r="Y40" i="30"/>
  <c r="Y39" i="30"/>
  <c r="C52" i="41"/>
  <c r="G53" i="41"/>
  <c r="O63" i="44"/>
  <c r="P62" i="44"/>
  <c r="AA55" i="28"/>
  <c r="AO55" i="28" s="1"/>
  <c r="W55" i="28"/>
  <c r="AA54" i="28"/>
  <c r="AO54" i="28" s="1"/>
  <c r="W54" i="28"/>
  <c r="D38" i="50"/>
  <c r="F38" i="50" s="1"/>
  <c r="H38" i="50" s="1"/>
  <c r="A69" i="47"/>
  <c r="B68" i="47"/>
  <c r="O64" i="38"/>
  <c r="P63" i="38"/>
  <c r="Q63" i="38" s="1"/>
  <c r="P67" i="42"/>
  <c r="O68" i="42"/>
  <c r="Q47" i="28"/>
  <c r="Q49" i="28"/>
  <c r="P54" i="50"/>
  <c r="O55" i="50"/>
  <c r="P55" i="50" s="1"/>
  <c r="X42" i="32"/>
  <c r="V32" i="49"/>
  <c r="T32" i="49"/>
  <c r="AJ64" i="49"/>
  <c r="AJ65" i="49"/>
  <c r="AL145" i="43"/>
  <c r="AH145" i="43"/>
  <c r="AI142" i="43"/>
  <c r="AL144" i="43"/>
  <c r="AH144" i="43"/>
  <c r="Y39" i="35"/>
  <c r="Y40" i="35"/>
  <c r="X37" i="44"/>
  <c r="Q52" i="29"/>
  <c r="Q54" i="29"/>
  <c r="B67" i="39"/>
  <c r="A68" i="39"/>
  <c r="AA55" i="27"/>
  <c r="AO55" i="27" s="1"/>
  <c r="W55" i="27"/>
  <c r="AA54" i="27"/>
  <c r="AO54" i="27" s="1"/>
  <c r="W54" i="27"/>
  <c r="B71" i="46"/>
  <c r="A72" i="46"/>
  <c r="A76" i="46"/>
  <c r="C47" i="35"/>
  <c r="G48" i="35"/>
  <c r="M50" i="29"/>
  <c r="I50" i="29"/>
  <c r="G49" i="29"/>
  <c r="M49" i="29"/>
  <c r="I49" i="29"/>
  <c r="O64" i="29"/>
  <c r="P63" i="29"/>
  <c r="Q63" i="29" s="1"/>
  <c r="P87" i="32"/>
  <c r="O88" i="32"/>
  <c r="O60" i="35"/>
  <c r="P60" i="35" s="1"/>
  <c r="P59" i="35"/>
  <c r="Y45" i="35"/>
  <c r="Y44" i="35"/>
  <c r="X42" i="45"/>
  <c r="AI62" i="26"/>
  <c r="AL64" i="26"/>
  <c r="AH64" i="26"/>
  <c r="AL65" i="26"/>
  <c r="AH65" i="26"/>
  <c r="AX46" i="61"/>
  <c r="BZ53" i="61"/>
  <c r="E11" i="64" s="1"/>
  <c r="AX60" i="61"/>
  <c r="BZ44" i="61"/>
  <c r="F6" i="64" s="1"/>
  <c r="B76" i="41"/>
  <c r="A81" i="41"/>
  <c r="A77" i="41"/>
  <c r="A73" i="33"/>
  <c r="B72" i="33"/>
  <c r="Y50" i="29"/>
  <c r="Y49" i="29"/>
  <c r="A69" i="42"/>
  <c r="B68" i="42"/>
  <c r="R21" i="33"/>
  <c r="K5" i="33"/>
  <c r="R14" i="33"/>
  <c r="K4" i="33"/>
  <c r="R3" i="33"/>
  <c r="U8" i="33" s="1"/>
  <c r="H27" i="33"/>
  <c r="H15" i="33"/>
  <c r="AF4" i="33"/>
  <c r="AF9" i="32"/>
  <c r="K6" i="32"/>
  <c r="H28" i="32"/>
  <c r="R22" i="32"/>
  <c r="U26" i="32" s="1"/>
  <c r="H16" i="32"/>
  <c r="R15" i="32"/>
  <c r="K7" i="32"/>
  <c r="AF5" i="32"/>
  <c r="R4" i="32"/>
  <c r="H4" i="26"/>
  <c r="K3" i="26"/>
  <c r="R23" i="33"/>
  <c r="R16" i="33"/>
  <c r="AF10" i="33"/>
  <c r="AI14" i="33" s="1"/>
  <c r="K8" i="33"/>
  <c r="R5" i="33"/>
  <c r="K9" i="33"/>
  <c r="AF6" i="33"/>
  <c r="K11" i="37"/>
  <c r="R24" i="37"/>
  <c r="AF11" i="37"/>
  <c r="AF7" i="37"/>
  <c r="R6" i="37"/>
  <c r="K10" i="37"/>
  <c r="H28" i="34"/>
  <c r="H16" i="34"/>
  <c r="K7" i="34"/>
  <c r="AF9" i="34"/>
  <c r="K6" i="34"/>
  <c r="R15" i="34"/>
  <c r="AF5" i="34"/>
  <c r="R4" i="34"/>
  <c r="R22" i="34"/>
  <c r="U26" i="34" s="1"/>
  <c r="H4" i="45"/>
  <c r="K3" i="45"/>
  <c r="R25" i="38"/>
  <c r="AF12" i="38"/>
  <c r="L4" i="59"/>
  <c r="O3" i="59"/>
  <c r="BE128" i="61"/>
  <c r="X42" i="30"/>
  <c r="B72" i="42"/>
  <c r="A73" i="42"/>
  <c r="K45" i="33"/>
  <c r="K44" i="33"/>
  <c r="G42" i="33"/>
  <c r="K44" i="47"/>
  <c r="G42" i="47"/>
  <c r="K45" i="47"/>
  <c r="X47" i="26"/>
  <c r="AC64" i="38"/>
  <c r="AD64" i="38" s="1"/>
  <c r="AD63" i="38"/>
  <c r="AC68" i="38"/>
  <c r="B72" i="38"/>
  <c r="A73" i="38"/>
  <c r="O67" i="33"/>
  <c r="P66" i="33"/>
  <c r="O71" i="33"/>
  <c r="O60" i="47"/>
  <c r="P60" i="47" s="1"/>
  <c r="P59" i="47"/>
  <c r="C47" i="41"/>
  <c r="G48" i="41"/>
  <c r="AC69" i="34"/>
  <c r="AD69" i="34" s="1"/>
  <c r="AD68" i="34"/>
  <c r="AC73" i="34"/>
  <c r="X37" i="27"/>
  <c r="C52" i="50"/>
  <c r="G53" i="50"/>
  <c r="M55" i="47"/>
  <c r="I55" i="47"/>
  <c r="G54" i="47"/>
  <c r="M54" i="47"/>
  <c r="I54" i="47"/>
  <c r="CM145" i="61"/>
  <c r="A60" i="39"/>
  <c r="B60" i="39" s="1"/>
  <c r="B59" i="39"/>
  <c r="P75" i="59"/>
  <c r="O76" i="59"/>
  <c r="AJ65" i="28"/>
  <c r="AJ64" i="28"/>
  <c r="Y65" i="32"/>
  <c r="Y64" i="32"/>
  <c r="Y45" i="26"/>
  <c r="Y44" i="26"/>
  <c r="BQ130" i="61"/>
  <c r="CH130" i="61"/>
  <c r="CE130" i="61"/>
  <c r="BY130" i="61"/>
  <c r="CB130" i="61"/>
  <c r="CD130" i="61"/>
  <c r="CA130" i="61"/>
  <c r="CI130" i="61"/>
  <c r="BU130" i="61"/>
  <c r="CJ130" i="61"/>
  <c r="CC130" i="61"/>
  <c r="CG130" i="61"/>
  <c r="BZ130" i="61"/>
  <c r="CF130" i="61"/>
  <c r="CK130" i="61"/>
  <c r="CL130" i="61"/>
  <c r="BR130" i="61"/>
  <c r="BN130" i="61"/>
  <c r="BS130" i="61"/>
  <c r="BO130" i="61"/>
  <c r="BW130" i="61"/>
  <c r="BX130" i="61"/>
  <c r="BP130" i="61"/>
  <c r="BT130" i="61"/>
  <c r="BV130" i="61"/>
  <c r="Y50" i="36"/>
  <c r="Y49" i="36"/>
  <c r="C47" i="49"/>
  <c r="G48" i="49"/>
  <c r="AA60" i="48"/>
  <c r="AO60" i="48" s="1"/>
  <c r="W60" i="48"/>
  <c r="AA59" i="48"/>
  <c r="AO59" i="48" s="1"/>
  <c r="W59" i="48"/>
  <c r="X42" i="41"/>
  <c r="O72" i="36"/>
  <c r="O76" i="36"/>
  <c r="P71" i="36"/>
  <c r="A64" i="39"/>
  <c r="B63" i="39"/>
  <c r="O59" i="40"/>
  <c r="P58" i="40"/>
  <c r="Q58" i="40" s="1"/>
  <c r="AV4" i="24"/>
  <c r="B76" i="28"/>
  <c r="A81" i="28"/>
  <c r="A77" i="28"/>
  <c r="P62" i="39"/>
  <c r="O63" i="39"/>
  <c r="A65" i="33"/>
  <c r="B65" i="33" s="1"/>
  <c r="B64" i="33"/>
  <c r="A60" i="43"/>
  <c r="B60" i="43" s="1"/>
  <c r="B59" i="43"/>
  <c r="X42" i="47"/>
  <c r="O84" i="32"/>
  <c r="P83" i="32"/>
  <c r="Q83" i="32" s="1"/>
  <c r="Q52" i="38"/>
  <c r="Q54" i="38"/>
  <c r="A64" i="30"/>
  <c r="B63" i="30"/>
  <c r="AJ85" i="46"/>
  <c r="AJ84" i="46"/>
  <c r="CM146" i="61"/>
  <c r="BJ42" i="61"/>
  <c r="BZ42" i="61"/>
  <c r="F5" i="64" s="1"/>
  <c r="BJ49" i="61"/>
  <c r="C47" i="45"/>
  <c r="G48" i="45"/>
  <c r="BQ151" i="61"/>
  <c r="CB151" i="61"/>
  <c r="CJ151" i="61"/>
  <c r="CL151" i="61"/>
  <c r="BU151" i="61"/>
  <c r="CC151" i="61"/>
  <c r="BZ151" i="61"/>
  <c r="CA151" i="61"/>
  <c r="BY151" i="61"/>
  <c r="CF151" i="61"/>
  <c r="CG151" i="61"/>
  <c r="CD151" i="61"/>
  <c r="CE151" i="61"/>
  <c r="CK151" i="61"/>
  <c r="CH151" i="61"/>
  <c r="CI151" i="61"/>
  <c r="BR151" i="61"/>
  <c r="BT151" i="61"/>
  <c r="BN151" i="61"/>
  <c r="BP151" i="61"/>
  <c r="BW151" i="61"/>
  <c r="BS151" i="61"/>
  <c r="BO151" i="61"/>
  <c r="BX151" i="61"/>
  <c r="BV151" i="61"/>
  <c r="A69" i="32"/>
  <c r="B68" i="32"/>
  <c r="AL59" i="41"/>
  <c r="AH59" i="41"/>
  <c r="AL60" i="41"/>
  <c r="AH60" i="41"/>
  <c r="AI57" i="41"/>
  <c r="Y50" i="35"/>
  <c r="Y49" i="35"/>
  <c r="AA40" i="29"/>
  <c r="AO40" i="29" s="1"/>
  <c r="W40" i="29"/>
  <c r="AA39" i="29"/>
  <c r="AO39" i="29" s="1"/>
  <c r="W39" i="29"/>
  <c r="P67" i="35"/>
  <c r="O68" i="35"/>
  <c r="O60" i="38"/>
  <c r="P60" i="38" s="1"/>
  <c r="P59" i="38"/>
  <c r="BZ55" i="61"/>
  <c r="E12" i="64" s="1"/>
  <c r="AX41" i="61"/>
  <c r="AJ64" i="48"/>
  <c r="AJ65" i="48"/>
  <c r="Y50" i="47"/>
  <c r="Y49" i="47"/>
  <c r="M49" i="39"/>
  <c r="I49" i="39"/>
  <c r="M50" i="39"/>
  <c r="I50" i="39"/>
  <c r="G49" i="39"/>
  <c r="P63" i="48"/>
  <c r="Q63" i="48" s="1"/>
  <c r="O64" i="48"/>
  <c r="A65" i="35"/>
  <c r="B65" i="35" s="1"/>
  <c r="B64" i="35"/>
  <c r="A69" i="38"/>
  <c r="B68" i="38"/>
  <c r="Y45" i="46"/>
  <c r="Y44" i="46"/>
  <c r="X37" i="43"/>
  <c r="P58" i="44"/>
  <c r="Q58" i="44" s="1"/>
  <c r="O59" i="44"/>
  <c r="G48" i="48"/>
  <c r="C47" i="48"/>
  <c r="C52" i="34"/>
  <c r="G53" i="34"/>
  <c r="AC69" i="27"/>
  <c r="AD69" i="27" s="1"/>
  <c r="AD68" i="27"/>
  <c r="AC73" i="27"/>
  <c r="AC69" i="31"/>
  <c r="AD69" i="31" s="1"/>
  <c r="AD68" i="31"/>
  <c r="AC73" i="31"/>
  <c r="Y45" i="29"/>
  <c r="Y44" i="29"/>
  <c r="P66" i="37"/>
  <c r="O71" i="37"/>
  <c r="O67" i="37"/>
  <c r="AC64" i="35"/>
  <c r="AD64" i="35" s="1"/>
  <c r="AD63" i="35"/>
  <c r="AC68" i="35"/>
  <c r="B76" i="35"/>
  <c r="A81" i="35"/>
  <c r="A77" i="35"/>
  <c r="P58" i="43"/>
  <c r="Q58" i="43" s="1"/>
  <c r="O59" i="43"/>
  <c r="O67" i="31"/>
  <c r="P66" i="31"/>
  <c r="O71" i="31"/>
  <c r="M50" i="37"/>
  <c r="I50" i="37"/>
  <c r="G49" i="37"/>
  <c r="M49" i="37"/>
  <c r="I49" i="37"/>
  <c r="Y45" i="43"/>
  <c r="Y44" i="43"/>
  <c r="AC69" i="45"/>
  <c r="AD69" i="45" s="1"/>
  <c r="AD68" i="45"/>
  <c r="AC73" i="45"/>
  <c r="P66" i="45"/>
  <c r="O71" i="45"/>
  <c r="O67" i="45"/>
  <c r="A64" i="43"/>
  <c r="B63" i="43"/>
  <c r="X42" i="37"/>
  <c r="O63" i="50"/>
  <c r="P62" i="50"/>
  <c r="AC69" i="37"/>
  <c r="AD69" i="37" s="1"/>
  <c r="AD68" i="37"/>
  <c r="AC73" i="37"/>
  <c r="C54" i="46"/>
  <c r="C53" i="46"/>
  <c r="AA55" i="33"/>
  <c r="AO55" i="33" s="1"/>
  <c r="W55" i="33"/>
  <c r="AA54" i="33"/>
  <c r="AO54" i="33" s="1"/>
  <c r="W54" i="33"/>
  <c r="C58" i="35"/>
  <c r="C59" i="35"/>
  <c r="AL59" i="47"/>
  <c r="AH59" i="47"/>
  <c r="AL60" i="47"/>
  <c r="AH60" i="47"/>
  <c r="AI57" i="47"/>
  <c r="C59" i="34"/>
  <c r="C58" i="34"/>
  <c r="P66" i="46"/>
  <c r="O71" i="46"/>
  <c r="O67" i="46"/>
  <c r="A65" i="40"/>
  <c r="B65" i="40" s="1"/>
  <c r="B64" i="40"/>
  <c r="BY152" i="61"/>
  <c r="CC152" i="61"/>
  <c r="BZ152" i="61"/>
  <c r="CA152" i="61"/>
  <c r="BU152" i="61"/>
  <c r="CF152" i="61"/>
  <c r="CG152" i="61"/>
  <c r="CD152" i="61"/>
  <c r="CE152" i="61"/>
  <c r="CK152" i="61"/>
  <c r="CH152" i="61"/>
  <c r="CI152" i="61"/>
  <c r="BQ152" i="61"/>
  <c r="CB152" i="61"/>
  <c r="CJ152" i="61"/>
  <c r="CL152" i="61"/>
  <c r="BN152" i="61"/>
  <c r="BV152" i="61"/>
  <c r="BP152" i="61"/>
  <c r="BW152" i="61"/>
  <c r="BS152" i="61"/>
  <c r="BO152" i="61"/>
  <c r="BX152" i="61"/>
  <c r="BR152" i="61"/>
  <c r="BT152" i="61"/>
  <c r="C52" i="29"/>
  <c r="G53" i="29"/>
  <c r="D42" i="50"/>
  <c r="K44" i="50"/>
  <c r="G42" i="50"/>
  <c r="K45" i="50"/>
  <c r="AN72" i="59"/>
  <c r="AJ72" i="59"/>
  <c r="AK69" i="59"/>
  <c r="AN71" i="59"/>
  <c r="AJ71" i="59"/>
  <c r="B72" i="50"/>
  <c r="A73" i="50"/>
  <c r="AA55" i="31"/>
  <c r="AO55" i="31" s="1"/>
  <c r="W55" i="31"/>
  <c r="AA54" i="31"/>
  <c r="AO54" i="31" s="1"/>
  <c r="W54" i="31"/>
  <c r="BZ59" i="61"/>
  <c r="E14" i="64" s="1"/>
  <c r="BJ54" i="61"/>
  <c r="BJ61" i="61"/>
  <c r="AX45" i="61"/>
  <c r="BZ52" i="61"/>
  <c r="F10" i="64" s="1"/>
  <c r="O55" i="49"/>
  <c r="P55" i="49" s="1"/>
  <c r="P54" i="49"/>
  <c r="X42" i="27"/>
  <c r="B76" i="40"/>
  <c r="A81" i="40"/>
  <c r="A77" i="40"/>
  <c r="C52" i="27"/>
  <c r="G53" i="27"/>
  <c r="Y50" i="42"/>
  <c r="Y49" i="42"/>
  <c r="Y39" i="41"/>
  <c r="Y40" i="41"/>
  <c r="K44" i="37"/>
  <c r="G42" i="37"/>
  <c r="K45" i="37"/>
  <c r="BZ39" i="61"/>
  <c r="E4" i="64" s="1"/>
  <c r="CB38" i="61"/>
  <c r="CI75" i="61" s="1"/>
  <c r="M50" i="34"/>
  <c r="I50" i="34"/>
  <c r="G49" i="34"/>
  <c r="M49" i="34"/>
  <c r="I49" i="34"/>
  <c r="Y40" i="42"/>
  <c r="Y39" i="42"/>
  <c r="M55" i="40"/>
  <c r="I55" i="40"/>
  <c r="G54" i="40"/>
  <c r="M54" i="40"/>
  <c r="I54" i="40"/>
  <c r="O67" i="27"/>
  <c r="P66" i="27"/>
  <c r="O71" i="27"/>
  <c r="O63" i="34"/>
  <c r="P62" i="34"/>
  <c r="A64" i="37"/>
  <c r="B63" i="37"/>
  <c r="A65" i="49"/>
  <c r="B65" i="49" s="1"/>
  <c r="B64" i="49"/>
  <c r="AC69" i="33"/>
  <c r="AD69" i="33" s="1"/>
  <c r="AD68" i="33"/>
  <c r="AC73" i="33"/>
  <c r="X37" i="26"/>
  <c r="O60" i="41"/>
  <c r="P60" i="41" s="1"/>
  <c r="P59" i="41"/>
  <c r="AJ64" i="30"/>
  <c r="AJ65" i="30"/>
  <c r="B67" i="26"/>
  <c r="A68" i="26"/>
  <c r="H4" i="24"/>
  <c r="I4" i="24" s="1"/>
  <c r="D4" i="24"/>
  <c r="A81" i="49"/>
  <c r="A77" i="49"/>
  <c r="B76" i="49"/>
  <c r="O60" i="29"/>
  <c r="P60" i="29" s="1"/>
  <c r="P59" i="29"/>
  <c r="AL65" i="42"/>
  <c r="AH65" i="42"/>
  <c r="AI62" i="42"/>
  <c r="AL64" i="42"/>
  <c r="AH64" i="42"/>
  <c r="O76" i="41"/>
  <c r="O72" i="41"/>
  <c r="P71" i="41"/>
  <c r="Y50" i="38"/>
  <c r="Y49" i="38"/>
  <c r="B67" i="45"/>
  <c r="A68" i="45"/>
  <c r="AC73" i="39"/>
  <c r="AC69" i="39"/>
  <c r="AD69" i="39" s="1"/>
  <c r="AD68" i="39"/>
  <c r="Y45" i="28"/>
  <c r="Y44" i="28"/>
  <c r="AC69" i="50"/>
  <c r="AD69" i="50" s="1"/>
  <c r="AD68" i="50"/>
  <c r="AC73" i="50"/>
  <c r="Y45" i="34"/>
  <c r="Y44" i="34"/>
  <c r="Y44" i="40"/>
  <c r="Y45" i="40"/>
  <c r="AC64" i="44"/>
  <c r="AD64" i="44" s="1"/>
  <c r="AD63" i="44"/>
  <c r="AC68" i="44"/>
  <c r="X37" i="33"/>
  <c r="Y45" i="39"/>
  <c r="Y44" i="39"/>
  <c r="P54" i="37"/>
  <c r="O55" i="37"/>
  <c r="P55" i="37" s="1"/>
  <c r="P63" i="30"/>
  <c r="Q63" i="30" s="1"/>
  <c r="O64" i="30"/>
  <c r="B75" i="59"/>
  <c r="A76" i="59"/>
  <c r="X37" i="38"/>
  <c r="C52" i="31"/>
  <c r="G53" i="31"/>
  <c r="O59" i="34"/>
  <c r="P58" i="34"/>
  <c r="Q58" i="34" s="1"/>
  <c r="M54" i="44"/>
  <c r="I54" i="44"/>
  <c r="M55" i="44"/>
  <c r="I55" i="44"/>
  <c r="G54" i="44"/>
  <c r="G48" i="36"/>
  <c r="C47" i="36"/>
  <c r="P54" i="28"/>
  <c r="O55" i="28"/>
  <c r="P55" i="28" s="1"/>
  <c r="B72" i="34"/>
  <c r="A73" i="34"/>
  <c r="Y45" i="32"/>
  <c r="Y44" i="32"/>
  <c r="P58" i="31"/>
  <c r="Q58" i="31" s="1"/>
  <c r="O59" i="31"/>
  <c r="A60" i="46"/>
  <c r="B60" i="46" s="1"/>
  <c r="B59" i="46"/>
  <c r="AL65" i="49"/>
  <c r="AH65" i="49"/>
  <c r="AI62" i="49"/>
  <c r="AL64" i="49"/>
  <c r="AH64" i="49"/>
  <c r="AC149" i="43"/>
  <c r="AD149" i="43" s="1"/>
  <c r="AD148" i="43"/>
  <c r="AA40" i="35"/>
  <c r="AO40" i="35" s="1"/>
  <c r="W40" i="35"/>
  <c r="AA39" i="35"/>
  <c r="AO39" i="35" s="1"/>
  <c r="W39" i="35"/>
  <c r="W80" i="32"/>
  <c r="AA79" i="32"/>
  <c r="AO79" i="32" s="1"/>
  <c r="W79" i="32"/>
  <c r="AA80" i="32"/>
  <c r="AO80" i="32" s="1"/>
  <c r="Y40" i="48"/>
  <c r="Y39" i="48"/>
  <c r="B71" i="39"/>
  <c r="A76" i="39"/>
  <c r="A72" i="39"/>
  <c r="X37" i="47"/>
  <c r="B67" i="46"/>
  <c r="A68" i="46"/>
  <c r="A69" i="44"/>
  <c r="B68" i="44"/>
  <c r="BQ150" i="61"/>
  <c r="CH150" i="61"/>
  <c r="CI150" i="61"/>
  <c r="BY150" i="61"/>
  <c r="CB150" i="61"/>
  <c r="CJ150" i="61"/>
  <c r="CC150" i="61"/>
  <c r="CL150" i="61"/>
  <c r="BU150" i="61"/>
  <c r="CG150" i="61"/>
  <c r="BZ150" i="61"/>
  <c r="CA150" i="61"/>
  <c r="CF150" i="61"/>
  <c r="CK150" i="61"/>
  <c r="CD150" i="61"/>
  <c r="CE150" i="61"/>
  <c r="BS150" i="61"/>
  <c r="BO150" i="61"/>
  <c r="BX150" i="61"/>
  <c r="BV150" i="61"/>
  <c r="BR150" i="61"/>
  <c r="BT150" i="61"/>
  <c r="BN150" i="61"/>
  <c r="BP150" i="61"/>
  <c r="BW150" i="61"/>
  <c r="C47" i="29"/>
  <c r="G48" i="29"/>
  <c r="P91" i="32"/>
  <c r="O96" i="32"/>
  <c r="O92" i="32"/>
  <c r="B67" i="30"/>
  <c r="A68" i="30"/>
  <c r="Y45" i="45"/>
  <c r="Y44" i="45"/>
  <c r="C59" i="49"/>
  <c r="C58" i="49"/>
  <c r="X67" i="32"/>
  <c r="AJ65" i="36"/>
  <c r="AJ64" i="36"/>
  <c r="M50" i="47"/>
  <c r="I50" i="47"/>
  <c r="G49" i="47"/>
  <c r="M49" i="47"/>
  <c r="I49" i="47"/>
  <c r="AC73" i="26"/>
  <c r="AC69" i="26"/>
  <c r="AD69" i="26" s="1"/>
  <c r="AD68" i="26"/>
  <c r="BZ62" i="61"/>
  <c r="F15" i="64" s="1"/>
  <c r="BZ46" i="61"/>
  <c r="F7" i="64" s="1"/>
  <c r="BJ60" i="61"/>
  <c r="BZ60" i="61"/>
  <c r="F14" i="64" s="1"/>
  <c r="BJ44" i="61"/>
  <c r="A81" i="33"/>
  <c r="A77" i="33"/>
  <c r="B76" i="33"/>
  <c r="Q49" i="33"/>
  <c r="Q47" i="33"/>
  <c r="H4" i="36"/>
  <c r="K3" i="36"/>
  <c r="R24" i="32"/>
  <c r="AF11" i="32"/>
  <c r="K10" i="32"/>
  <c r="AF7" i="32"/>
  <c r="R6" i="32"/>
  <c r="K11" i="32"/>
  <c r="H4" i="37"/>
  <c r="K3" i="37"/>
  <c r="H4" i="42"/>
  <c r="K3" i="42"/>
  <c r="K3" i="49"/>
  <c r="H4" i="49"/>
  <c r="AF12" i="46"/>
  <c r="AF12" i="33"/>
  <c r="R25" i="33"/>
  <c r="H4" i="38"/>
  <c r="K3" i="38"/>
  <c r="R16" i="34"/>
  <c r="AF10" i="34"/>
  <c r="AI14" i="34" s="1"/>
  <c r="K8" i="34"/>
  <c r="R5" i="34"/>
  <c r="K9" i="34"/>
  <c r="AF6" i="34"/>
  <c r="R23" i="34"/>
  <c r="H4" i="30"/>
  <c r="K3" i="30"/>
  <c r="H27" i="42"/>
  <c r="AF4" i="42"/>
  <c r="R21" i="42"/>
  <c r="K5" i="42"/>
  <c r="K4" i="42"/>
  <c r="R3" i="42"/>
  <c r="U8" i="42" s="1"/>
  <c r="K3" i="40"/>
  <c r="H4" i="40"/>
  <c r="R24" i="38"/>
  <c r="AF11" i="38"/>
  <c r="AF7" i="38"/>
  <c r="R6" i="38"/>
  <c r="K10" i="38"/>
  <c r="K11" i="38"/>
  <c r="H27" i="46"/>
  <c r="R21" i="46"/>
  <c r="K10" i="44"/>
  <c r="R24" i="44"/>
  <c r="AF7" i="44"/>
  <c r="K8" i="49"/>
  <c r="H4" i="47"/>
  <c r="K3" i="47"/>
  <c r="H4" i="43"/>
  <c r="K3" i="43"/>
  <c r="B76" i="42"/>
  <c r="A81" i="42"/>
  <c r="A77" i="42"/>
  <c r="G42" i="42"/>
  <c r="K45" i="42"/>
  <c r="K44" i="42"/>
  <c r="K44" i="28"/>
  <c r="G42" i="28"/>
  <c r="K45" i="28"/>
  <c r="G42" i="30"/>
  <c r="K45" i="30"/>
  <c r="K44" i="30"/>
  <c r="X42" i="44"/>
  <c r="B76" i="38"/>
  <c r="A81" i="38"/>
  <c r="A77" i="38"/>
  <c r="AC79" i="40"/>
  <c r="AD79" i="40" s="1"/>
  <c r="AD78" i="40"/>
  <c r="AC83" i="40"/>
  <c r="AJ65" i="34"/>
  <c r="AJ64" i="34"/>
  <c r="AA55" i="45"/>
  <c r="AO55" i="45" s="1"/>
  <c r="W55" i="45"/>
  <c r="AA54" i="45"/>
  <c r="AO54" i="45" s="1"/>
  <c r="W54" i="45"/>
  <c r="AA39" i="27"/>
  <c r="AO39" i="27" s="1"/>
  <c r="W39" i="27"/>
  <c r="AA40" i="27"/>
  <c r="AO40" i="27" s="1"/>
  <c r="W40" i="27"/>
  <c r="M55" i="50"/>
  <c r="I55" i="50"/>
  <c r="G54" i="50"/>
  <c r="M54" i="50"/>
  <c r="I54" i="50"/>
  <c r="C52" i="47"/>
  <c r="G53" i="47"/>
  <c r="X47" i="32"/>
  <c r="O63" i="49"/>
  <c r="P62" i="49"/>
  <c r="O86" i="59"/>
  <c r="O81" i="59"/>
  <c r="P80" i="59"/>
  <c r="AI62" i="28"/>
  <c r="AL64" i="28"/>
  <c r="AH64" i="28"/>
  <c r="AL65" i="28"/>
  <c r="AH65" i="28"/>
  <c r="X47" i="36"/>
  <c r="M49" i="49"/>
  <c r="I49" i="49"/>
  <c r="M50" i="49"/>
  <c r="I50" i="49"/>
  <c r="G49" i="49"/>
  <c r="Y45" i="41"/>
  <c r="Y44" i="41"/>
  <c r="C52" i="33"/>
  <c r="G53" i="33"/>
  <c r="Y45" i="47"/>
  <c r="Y44" i="47"/>
  <c r="AI82" i="46"/>
  <c r="AL84" i="46"/>
  <c r="AH84" i="46"/>
  <c r="AH85" i="46"/>
  <c r="AL85" i="46"/>
  <c r="W60" i="26"/>
  <c r="AA59" i="26"/>
  <c r="AO59" i="26" s="1"/>
  <c r="W59" i="26"/>
  <c r="AA60" i="26"/>
  <c r="AO60" i="26" s="1"/>
  <c r="AJ65" i="32"/>
  <c r="AJ64" i="32"/>
  <c r="BZ47" i="61"/>
  <c r="E8" i="64" s="1"/>
  <c r="BJ58" i="61"/>
  <c r="BZ58" i="61"/>
  <c r="F13" i="64" s="1"/>
  <c r="BZ56" i="61"/>
  <c r="F12" i="64" s="1"/>
  <c r="M50" i="45"/>
  <c r="I50" i="45"/>
  <c r="G49" i="45"/>
  <c r="M49" i="45"/>
  <c r="I49" i="45"/>
  <c r="A65" i="31"/>
  <c r="B65" i="31" s="1"/>
  <c r="B64" i="31"/>
  <c r="A69" i="33"/>
  <c r="B68" i="33"/>
  <c r="O76" i="35"/>
  <c r="O72" i="35"/>
  <c r="P71" i="35"/>
  <c r="AL65" i="48"/>
  <c r="AH65" i="48"/>
  <c r="AI62" i="48"/>
  <c r="AL64" i="48"/>
  <c r="AH64" i="48"/>
  <c r="X37" i="42"/>
  <c r="O72" i="30"/>
  <c r="P71" i="30"/>
  <c r="O76" i="30"/>
  <c r="A65" i="34"/>
  <c r="B65" i="34" s="1"/>
  <c r="B64" i="34"/>
  <c r="A73" i="31"/>
  <c r="B72" i="31"/>
  <c r="AC64" i="29"/>
  <c r="AD64" i="29" s="1"/>
  <c r="AD63" i="29"/>
  <c r="AC68" i="29"/>
  <c r="M55" i="38"/>
  <c r="I55" i="38"/>
  <c r="G54" i="38"/>
  <c r="M54" i="38"/>
  <c r="I54" i="38"/>
  <c r="C42" i="38"/>
  <c r="G43" i="38"/>
  <c r="M49" i="48"/>
  <c r="I49" i="48"/>
  <c r="M50" i="48"/>
  <c r="I50" i="48"/>
  <c r="G49" i="48"/>
  <c r="AG38" i="50"/>
  <c r="M55" i="34"/>
  <c r="I55" i="34"/>
  <c r="G54" i="34"/>
  <c r="M54" i="34"/>
  <c r="I54" i="34"/>
  <c r="AJ64" i="27"/>
  <c r="AJ65" i="27"/>
  <c r="AJ64" i="31"/>
  <c r="AJ65" i="31"/>
  <c r="G48" i="43"/>
  <c r="C47" i="43"/>
  <c r="P63" i="42"/>
  <c r="Q63" i="42" s="1"/>
  <c r="O64" i="42"/>
  <c r="AJ60" i="35"/>
  <c r="AJ59" i="35"/>
  <c r="M55" i="32"/>
  <c r="I55" i="32"/>
  <c r="G54" i="32"/>
  <c r="I54" i="32"/>
  <c r="M54" i="32"/>
  <c r="C47" i="27"/>
  <c r="G48" i="27"/>
  <c r="A65" i="28"/>
  <c r="B65" i="28" s="1"/>
  <c r="B64" i="28"/>
  <c r="AJ65" i="45"/>
  <c r="AJ64" i="45"/>
  <c r="Y45" i="37"/>
  <c r="Y44" i="37"/>
  <c r="P66" i="50"/>
  <c r="O71" i="50"/>
  <c r="O67" i="50"/>
  <c r="Q47" i="46"/>
  <c r="Q49" i="46"/>
  <c r="AJ65" i="37"/>
  <c r="AJ64" i="37"/>
  <c r="P63" i="36"/>
  <c r="Q63" i="36" s="1"/>
  <c r="O64" i="36"/>
  <c r="P54" i="43"/>
  <c r="O55" i="43"/>
  <c r="P55" i="43" s="1"/>
  <c r="G48" i="40"/>
  <c r="C47" i="40"/>
  <c r="A69" i="28"/>
  <c r="B68" i="28"/>
  <c r="C47" i="33"/>
  <c r="G48" i="33"/>
  <c r="Q49" i="49"/>
  <c r="Q47" i="49"/>
  <c r="C54" i="48"/>
  <c r="C53" i="48"/>
  <c r="Y50" i="30"/>
  <c r="Y49" i="30"/>
  <c r="C58" i="32"/>
  <c r="C59" i="32"/>
  <c r="AC82" i="59"/>
  <c r="AC77" i="59"/>
  <c r="AD77" i="59" s="1"/>
  <c r="AD76" i="59"/>
  <c r="B76" i="50"/>
  <c r="A81" i="50"/>
  <c r="A77" i="50"/>
  <c r="A65" i="38"/>
  <c r="B65" i="38" s="1"/>
  <c r="B64" i="38"/>
  <c r="C59" i="28"/>
  <c r="C58" i="28"/>
  <c r="CM129" i="61"/>
  <c r="BJ43" i="61"/>
  <c r="AX54" i="61"/>
  <c r="AX61" i="61"/>
  <c r="AA55" i="49"/>
  <c r="AO55" i="49" s="1"/>
  <c r="W55" i="49"/>
  <c r="AA54" i="49"/>
  <c r="AO54" i="49" s="1"/>
  <c r="W54" i="49"/>
  <c r="M54" i="27"/>
  <c r="I54" i="27"/>
  <c r="M55" i="27"/>
  <c r="I55" i="27"/>
  <c r="G54" i="27"/>
  <c r="X47" i="42"/>
  <c r="C54" i="43"/>
  <c r="C53" i="43"/>
  <c r="C47" i="28"/>
  <c r="G48" i="28"/>
  <c r="AA40" i="41"/>
  <c r="AO40" i="41" s="1"/>
  <c r="W40" i="41"/>
  <c r="AA39" i="41"/>
  <c r="AO39" i="41" s="1"/>
  <c r="W39" i="41"/>
  <c r="A60" i="37"/>
  <c r="B60" i="37" s="1"/>
  <c r="B59" i="37"/>
  <c r="O64" i="35"/>
  <c r="P63" i="35"/>
  <c r="Q63" i="35" s="1"/>
  <c r="G42" i="36"/>
  <c r="K45" i="36"/>
  <c r="K44" i="36"/>
  <c r="AE35" i="50"/>
  <c r="AI34" i="50" s="1"/>
  <c r="AG33" i="50"/>
  <c r="BJ57" i="61"/>
  <c r="BZ48" i="61"/>
  <c r="F8" i="64" s="1"/>
  <c r="BU147" i="61"/>
  <c r="BY147" i="61"/>
  <c r="CC147" i="61"/>
  <c r="CG147" i="61"/>
  <c r="BZ147" i="61"/>
  <c r="CA147" i="61"/>
  <c r="CB147" i="61"/>
  <c r="CJ147" i="61"/>
  <c r="CK147" i="61"/>
  <c r="CI147" i="61"/>
  <c r="BQ147" i="61"/>
  <c r="CD147" i="61"/>
  <c r="CH147" i="61"/>
  <c r="CF147" i="61"/>
  <c r="CL147" i="61"/>
  <c r="CE147" i="61"/>
  <c r="BS147" i="61"/>
  <c r="BO147" i="61"/>
  <c r="BN147" i="61"/>
  <c r="BT147" i="61"/>
  <c r="BW147" i="61"/>
  <c r="BV147" i="61"/>
  <c r="BP147" i="61"/>
  <c r="BR147" i="61"/>
  <c r="BX147" i="61"/>
  <c r="Y45" i="33"/>
  <c r="Y44" i="33"/>
  <c r="X37" i="37"/>
  <c r="Y39" i="38"/>
  <c r="Y40" i="38"/>
  <c r="A60" i="36"/>
  <c r="B60" i="36" s="1"/>
  <c r="B59" i="36"/>
  <c r="P58" i="33"/>
  <c r="Q58" i="33" s="1"/>
  <c r="O59" i="33"/>
  <c r="P66" i="34"/>
  <c r="O71" i="34"/>
  <c r="O67" i="34"/>
  <c r="A69" i="31"/>
  <c r="B68" i="31"/>
  <c r="O55" i="39"/>
  <c r="P55" i="39" s="1"/>
  <c r="P54" i="39"/>
  <c r="C58" i="41"/>
  <c r="C59" i="41"/>
  <c r="Y39" i="43"/>
  <c r="Y40" i="43"/>
  <c r="A65" i="32"/>
  <c r="B65" i="32" s="1"/>
  <c r="B64" i="32"/>
  <c r="B72" i="47"/>
  <c r="A73" i="47"/>
  <c r="AJ64" i="33"/>
  <c r="AJ65" i="33"/>
  <c r="O59" i="37"/>
  <c r="P58" i="37"/>
  <c r="Q58" i="37" s="1"/>
  <c r="AL65" i="30"/>
  <c r="AH65" i="30"/>
  <c r="AI62" i="30"/>
  <c r="AL64" i="30"/>
  <c r="AH64" i="30"/>
  <c r="Q59" i="59"/>
  <c r="Q57" i="59"/>
  <c r="P66" i="43"/>
  <c r="O67" i="43"/>
  <c r="O71" i="43"/>
  <c r="O71" i="59"/>
  <c r="P70" i="59"/>
  <c r="Q70" i="59" s="1"/>
  <c r="Q52" i="26"/>
  <c r="Q54" i="26"/>
  <c r="C54" i="39"/>
  <c r="C53" i="39"/>
  <c r="O63" i="28"/>
  <c r="P62" i="28"/>
  <c r="G53" i="42"/>
  <c r="C52" i="42"/>
  <c r="BY137" i="61"/>
  <c r="CG137" i="61"/>
  <c r="CK137" i="61"/>
  <c r="BZ137" i="61"/>
  <c r="CD137" i="61"/>
  <c r="CA137" i="61"/>
  <c r="BQ137" i="61"/>
  <c r="CB137" i="61"/>
  <c r="CF137" i="61"/>
  <c r="CH137" i="61"/>
  <c r="CL137" i="61"/>
  <c r="CE137" i="61"/>
  <c r="BU137" i="61"/>
  <c r="CJ137" i="61"/>
  <c r="CC137" i="61"/>
  <c r="CI137" i="61"/>
  <c r="BO137" i="61"/>
  <c r="BN137" i="61"/>
  <c r="BX137" i="61"/>
  <c r="BW137" i="61"/>
  <c r="BV137" i="61"/>
  <c r="BP137" i="61"/>
  <c r="BS137" i="61"/>
  <c r="BR137" i="61"/>
  <c r="BT137" i="61"/>
  <c r="AC73" i="42"/>
  <c r="AC69" i="42"/>
  <c r="AD69" i="42" s="1"/>
  <c r="AD68" i="42"/>
  <c r="Q47" i="43"/>
  <c r="Q49" i="43"/>
  <c r="O59" i="50"/>
  <c r="P58" i="50"/>
  <c r="Q58" i="50" s="1"/>
  <c r="CM141" i="61"/>
  <c r="B71" i="45"/>
  <c r="A76" i="45"/>
  <c r="A72" i="45"/>
  <c r="P58" i="46"/>
  <c r="Q58" i="46" s="1"/>
  <c r="O59" i="46"/>
  <c r="P67" i="29"/>
  <c r="O68" i="29"/>
  <c r="AJ65" i="50"/>
  <c r="AJ64" i="50"/>
  <c r="X42" i="40"/>
  <c r="A69" i="50"/>
  <c r="B68" i="50"/>
  <c r="K44" i="34"/>
  <c r="G42" i="34"/>
  <c r="K45" i="34"/>
  <c r="AJ59" i="44"/>
  <c r="AJ60" i="44"/>
  <c r="X52" i="32"/>
  <c r="AA39" i="33"/>
  <c r="AO39" i="33" s="1"/>
  <c r="W39" i="33"/>
  <c r="AA40" i="33"/>
  <c r="AO40" i="33" s="1"/>
  <c r="W40" i="33"/>
  <c r="C58" i="59"/>
  <c r="C59" i="59"/>
  <c r="Y45" i="48"/>
  <c r="Y44" i="48"/>
  <c r="C52" i="49"/>
  <c r="G53" i="49"/>
  <c r="O72" i="48"/>
  <c r="P71" i="48"/>
  <c r="O76" i="48"/>
  <c r="O60" i="36"/>
  <c r="P60" i="36" s="1"/>
  <c r="P59" i="36"/>
  <c r="M54" i="31"/>
  <c r="I54" i="31"/>
  <c r="M55" i="31"/>
  <c r="I55" i="31"/>
  <c r="G54" i="31"/>
  <c r="X42" i="50"/>
  <c r="M49" i="36"/>
  <c r="I49" i="36"/>
  <c r="M50" i="36"/>
  <c r="I50" i="36"/>
  <c r="G49" i="36"/>
  <c r="O67" i="44"/>
  <c r="P66" i="44"/>
  <c r="O71" i="44"/>
  <c r="Y45" i="49"/>
  <c r="Y44" i="49"/>
  <c r="Q54" i="36"/>
  <c r="Q52" i="36"/>
  <c r="O72" i="42"/>
  <c r="P71" i="42"/>
  <c r="O76" i="42"/>
  <c r="C54" i="37"/>
  <c r="C53" i="37"/>
  <c r="A65" i="27"/>
  <c r="B65" i="27" s="1"/>
  <c r="B64" i="27"/>
  <c r="B76" i="34"/>
  <c r="A81" i="34"/>
  <c r="A77" i="34"/>
  <c r="X37" i="39"/>
  <c r="P79" i="32"/>
  <c r="O80" i="32"/>
  <c r="P80" i="32" s="1"/>
  <c r="O64" i="41"/>
  <c r="P63" i="41"/>
  <c r="Q63" i="41" s="1"/>
  <c r="CM136" i="61"/>
  <c r="A64" i="45"/>
  <c r="B63" i="45"/>
  <c r="O63" i="40"/>
  <c r="P62" i="40"/>
  <c r="X39" i="59"/>
  <c r="O55" i="44"/>
  <c r="P55" i="44" s="1"/>
  <c r="P54" i="44"/>
  <c r="C59" i="40"/>
  <c r="C58" i="40"/>
  <c r="B71" i="30"/>
  <c r="A76" i="30"/>
  <c r="A72" i="30"/>
  <c r="Y70" i="32"/>
  <c r="Y69" i="32"/>
  <c r="C47" i="44"/>
  <c r="G48" i="44"/>
  <c r="AH64" i="36"/>
  <c r="AL64" i="36"/>
  <c r="AH65" i="36"/>
  <c r="AI62" i="36"/>
  <c r="AL65" i="36"/>
  <c r="C47" i="47"/>
  <c r="G48" i="47"/>
  <c r="AX62" i="61"/>
  <c r="F4" i="25"/>
  <c r="C58" i="38"/>
  <c r="C59" i="38"/>
  <c r="B72" i="29"/>
  <c r="A73" i="29"/>
  <c r="X57" i="32"/>
  <c r="K4" i="38"/>
  <c r="R3" i="38"/>
  <c r="U8" i="38" s="1"/>
  <c r="H27" i="38"/>
  <c r="H15" i="38"/>
  <c r="AF4" i="38"/>
  <c r="R21" i="38"/>
  <c r="K5" i="38"/>
  <c r="R14" i="38"/>
  <c r="H4" i="46"/>
  <c r="K3" i="46"/>
  <c r="H28" i="37"/>
  <c r="H16" i="37"/>
  <c r="K7" i="37"/>
  <c r="AF9" i="37"/>
  <c r="K6" i="37"/>
  <c r="R15" i="37"/>
  <c r="AF5" i="37"/>
  <c r="R4" i="37"/>
  <c r="R22" i="37"/>
  <c r="U26" i="37" s="1"/>
  <c r="R15" i="42"/>
  <c r="AF5" i="42"/>
  <c r="R4" i="42"/>
  <c r="R22" i="42"/>
  <c r="U26" i="42" s="1"/>
  <c r="H28" i="42"/>
  <c r="H16" i="42"/>
  <c r="K7" i="42"/>
  <c r="AF9" i="42"/>
  <c r="K6" i="42"/>
  <c r="H4" i="32"/>
  <c r="K3" i="32"/>
  <c r="K10" i="33"/>
  <c r="K11" i="33"/>
  <c r="R24" i="33"/>
  <c r="AF11" i="33"/>
  <c r="AF7" i="33"/>
  <c r="R6" i="33"/>
  <c r="AF9" i="38"/>
  <c r="K6" i="38"/>
  <c r="R15" i="38"/>
  <c r="AF5" i="38"/>
  <c r="R4" i="38"/>
  <c r="R22" i="38"/>
  <c r="U26" i="38" s="1"/>
  <c r="H28" i="38"/>
  <c r="H16" i="38"/>
  <c r="K7" i="38"/>
  <c r="R16" i="46"/>
  <c r="AF10" i="46"/>
  <c r="AI14" i="46" s="1"/>
  <c r="K8" i="46"/>
  <c r="R5" i="46"/>
  <c r="AF6" i="46"/>
  <c r="R23" i="46"/>
  <c r="K9" i="46"/>
  <c r="H16" i="44"/>
  <c r="H4" i="29"/>
  <c r="K3" i="29"/>
  <c r="R25" i="34"/>
  <c r="AF12" i="34"/>
  <c r="K4" i="32"/>
  <c r="R3" i="32"/>
  <c r="U8" i="32" s="1"/>
  <c r="R21" i="32"/>
  <c r="K5" i="32"/>
  <c r="AF4" i="32"/>
  <c r="H27" i="32"/>
  <c r="R14" i="32"/>
  <c r="H15" i="32"/>
  <c r="K3" i="44"/>
  <c r="H4" i="44"/>
  <c r="R14" i="37"/>
  <c r="H27" i="37"/>
  <c r="H15" i="37"/>
  <c r="AF4" i="37"/>
  <c r="R21" i="37"/>
  <c r="K5" i="37"/>
  <c r="K4" i="37"/>
  <c r="R3" i="37"/>
  <c r="U8" i="37" s="1"/>
  <c r="H4" i="35"/>
  <c r="K3" i="35"/>
  <c r="K45" i="44"/>
  <c r="K44" i="44"/>
  <c r="G42" i="44"/>
  <c r="G42" i="26"/>
  <c r="K44" i="26"/>
  <c r="K45" i="26"/>
  <c r="X42" i="33"/>
  <c r="G42" i="43"/>
  <c r="K44" i="43"/>
  <c r="K45" i="43"/>
  <c r="K49" i="32"/>
  <c r="K50" i="32"/>
  <c r="G47" i="32"/>
  <c r="K45" i="27"/>
  <c r="K44" i="27"/>
  <c r="G42" i="27"/>
  <c r="K44" i="45"/>
  <c r="G42" i="45"/>
  <c r="K45" i="45"/>
  <c r="X37" i="45"/>
  <c r="Y50" i="26"/>
  <c r="Y49" i="26"/>
  <c r="CM132" i="61"/>
  <c r="B67" i="48"/>
  <c r="A68" i="48"/>
  <c r="AJ60" i="38"/>
  <c r="AJ59" i="38"/>
  <c r="O63" i="33"/>
  <c r="P62" i="33"/>
  <c r="P58" i="27"/>
  <c r="Q58" i="27" s="1"/>
  <c r="O59" i="27"/>
  <c r="AJ75" i="40"/>
  <c r="AJ74" i="40"/>
  <c r="Q52" i="47"/>
  <c r="Q54" i="47"/>
  <c r="AI62" i="34"/>
  <c r="AL64" i="34"/>
  <c r="AH64" i="34"/>
  <c r="AL65" i="34"/>
  <c r="AH65" i="34"/>
  <c r="P54" i="45"/>
  <c r="O55" i="45"/>
  <c r="P55" i="45" s="1"/>
  <c r="Q49" i="27"/>
  <c r="Q47" i="27"/>
  <c r="C54" i="36"/>
  <c r="C53" i="36"/>
  <c r="G48" i="46"/>
  <c r="C47" i="46"/>
  <c r="Y50" i="32"/>
  <c r="Y49" i="32"/>
  <c r="B67" i="36"/>
  <c r="A68" i="36"/>
  <c r="O68" i="47"/>
  <c r="P67" i="47"/>
  <c r="C47" i="31"/>
  <c r="G48" i="31"/>
  <c r="C59" i="31"/>
  <c r="C58" i="31"/>
  <c r="CF149" i="61"/>
  <c r="CD149" i="61"/>
  <c r="BY149" i="61"/>
  <c r="CG149" i="61"/>
  <c r="CH149" i="61"/>
  <c r="CE149" i="61"/>
  <c r="CI149" i="61"/>
  <c r="BU149" i="61"/>
  <c r="CB149" i="61"/>
  <c r="CJ149" i="61"/>
  <c r="CC149" i="61"/>
  <c r="CK149" i="61"/>
  <c r="CL149" i="61"/>
  <c r="BQ149" i="61"/>
  <c r="BZ149" i="61"/>
  <c r="CA149" i="61"/>
  <c r="BP149" i="61"/>
  <c r="BW149" i="61"/>
  <c r="BS149" i="61"/>
  <c r="BO149" i="61"/>
  <c r="BX149" i="61"/>
  <c r="BV149" i="61"/>
  <c r="BR149" i="61"/>
  <c r="BT149" i="61"/>
  <c r="BN149" i="61"/>
  <c r="M50" i="38"/>
  <c r="I50" i="38"/>
  <c r="G49" i="38"/>
  <c r="M49" i="38"/>
  <c r="I49" i="38"/>
  <c r="Y45" i="31"/>
  <c r="Y44" i="31"/>
  <c r="A66" i="59"/>
  <c r="B66" i="59" s="1"/>
  <c r="B65" i="59"/>
  <c r="Y39" i="32"/>
  <c r="Y40" i="32"/>
  <c r="O67" i="39"/>
  <c r="P66" i="39"/>
  <c r="O71" i="39"/>
  <c r="M54" i="33"/>
  <c r="I54" i="33"/>
  <c r="M55" i="33"/>
  <c r="I55" i="33"/>
  <c r="G54" i="33"/>
  <c r="Y50" i="48"/>
  <c r="Y49" i="48"/>
  <c r="G48" i="30"/>
  <c r="C47" i="30"/>
  <c r="Y45" i="42"/>
  <c r="Y44" i="42"/>
  <c r="P59" i="26"/>
  <c r="O60" i="26"/>
  <c r="P60" i="26" s="1"/>
  <c r="AL64" i="32"/>
  <c r="AH64" i="32"/>
  <c r="AL65" i="32"/>
  <c r="AH65" i="32"/>
  <c r="AI62" i="32"/>
  <c r="A69" i="41"/>
  <c r="B68" i="41"/>
  <c r="BU139" i="61"/>
  <c r="CA139" i="61"/>
  <c r="CE139" i="61"/>
  <c r="BQ139" i="61"/>
  <c r="CJ139" i="61"/>
  <c r="CK139" i="61"/>
  <c r="BZ139" i="61"/>
  <c r="BY139" i="61"/>
  <c r="CB139" i="61"/>
  <c r="CF139" i="61"/>
  <c r="CC139" i="61"/>
  <c r="CG139" i="61"/>
  <c r="CD139" i="61"/>
  <c r="CH139" i="61"/>
  <c r="CL139" i="61"/>
  <c r="CI139" i="61"/>
  <c r="BT139" i="61"/>
  <c r="BN139" i="61"/>
  <c r="BO139" i="61"/>
  <c r="BV139" i="61"/>
  <c r="BP139" i="61"/>
  <c r="BS139" i="61"/>
  <c r="BR139" i="61"/>
  <c r="BX139" i="61"/>
  <c r="BW139" i="61"/>
  <c r="AA55" i="34"/>
  <c r="AO55" i="34" s="1"/>
  <c r="W55" i="34"/>
  <c r="AA54" i="34"/>
  <c r="AO54" i="34" s="1"/>
  <c r="W54" i="34"/>
  <c r="CF138" i="61"/>
  <c r="BZ138" i="61"/>
  <c r="CD138" i="61"/>
  <c r="CA138" i="61"/>
  <c r="CB138" i="61"/>
  <c r="CG138" i="61"/>
  <c r="CH138" i="61"/>
  <c r="CL138" i="61"/>
  <c r="CE138" i="61"/>
  <c r="BU138" i="61"/>
  <c r="BY138" i="61"/>
  <c r="CJ138" i="61"/>
  <c r="CC138" i="61"/>
  <c r="CI138" i="61"/>
  <c r="BQ138" i="61"/>
  <c r="CK138" i="61"/>
  <c r="BP138" i="61"/>
  <c r="BX138" i="61"/>
  <c r="BW138" i="61"/>
  <c r="BV138" i="61"/>
  <c r="BS138" i="61"/>
  <c r="BR138" i="61"/>
  <c r="BO138" i="61"/>
  <c r="BN138" i="61"/>
  <c r="BT138" i="61"/>
  <c r="A69" i="29"/>
  <c r="B68" i="29"/>
  <c r="AC64" i="41"/>
  <c r="AD64" i="41" s="1"/>
  <c r="AD63" i="41"/>
  <c r="AC68" i="41"/>
  <c r="X37" i="29"/>
  <c r="AG4" i="61"/>
  <c r="AH3" i="61"/>
  <c r="B4" i="23"/>
  <c r="C6" i="50"/>
  <c r="R42" i="50" s="1"/>
  <c r="AP4" i="23"/>
  <c r="P54" i="46"/>
  <c r="O55" i="46"/>
  <c r="P55" i="46" s="1"/>
  <c r="AC73" i="48"/>
  <c r="AC69" i="48"/>
  <c r="AD69" i="48" s="1"/>
  <c r="AD68" i="48"/>
  <c r="Q47" i="45"/>
  <c r="Q49" i="45"/>
  <c r="M55" i="35"/>
  <c r="I55" i="35"/>
  <c r="G54" i="35"/>
  <c r="M54" i="35"/>
  <c r="I54" i="35"/>
  <c r="Y39" i="37"/>
  <c r="Y40" i="37"/>
  <c r="P67" i="26"/>
  <c r="O68" i="26"/>
  <c r="Q49" i="44"/>
  <c r="Q47" i="44"/>
  <c r="Q52" i="41"/>
  <c r="Q54" i="41"/>
  <c r="AA66" i="59"/>
  <c r="AQ66" i="59" s="1"/>
  <c r="AA65" i="59"/>
  <c r="AQ65" i="59" s="1"/>
  <c r="A81" i="31"/>
  <c r="A77" i="31"/>
  <c r="B76" i="31"/>
  <c r="AJ60" i="29"/>
  <c r="AJ59" i="29"/>
  <c r="C52" i="38"/>
  <c r="G53" i="38"/>
  <c r="B67" i="37"/>
  <c r="A68" i="37"/>
  <c r="C52" i="28"/>
  <c r="G53" i="28"/>
  <c r="AL65" i="27"/>
  <c r="AH65" i="27"/>
  <c r="AI62" i="27"/>
  <c r="AL64" i="27"/>
  <c r="AH64" i="27"/>
  <c r="AL65" i="31"/>
  <c r="AH65" i="31"/>
  <c r="AI62" i="31"/>
  <c r="AL64" i="31"/>
  <c r="AH64" i="31"/>
  <c r="M50" i="43"/>
  <c r="I49" i="43"/>
  <c r="I50" i="43"/>
  <c r="G49" i="43"/>
  <c r="M49" i="43"/>
  <c r="AL59" i="35"/>
  <c r="AH59" i="35"/>
  <c r="AL60" i="35"/>
  <c r="AH60" i="35"/>
  <c r="AI57" i="35"/>
  <c r="C52" i="32"/>
  <c r="G53" i="32"/>
  <c r="A64" i="36"/>
  <c r="B63" i="36"/>
  <c r="O63" i="31"/>
  <c r="P62" i="31"/>
  <c r="O64" i="47"/>
  <c r="P63" i="47"/>
  <c r="Q63" i="47" s="1"/>
  <c r="M49" i="27"/>
  <c r="I49" i="27"/>
  <c r="M50" i="27"/>
  <c r="I50" i="27"/>
  <c r="G49" i="27"/>
  <c r="AI62" i="45"/>
  <c r="AL64" i="45"/>
  <c r="AH64" i="45"/>
  <c r="AL65" i="45"/>
  <c r="AH65" i="45"/>
  <c r="G48" i="26"/>
  <c r="C47" i="26"/>
  <c r="X42" i="38"/>
  <c r="A73" i="27"/>
  <c r="B72" i="27"/>
  <c r="AI62" i="37"/>
  <c r="AL64" i="37"/>
  <c r="AH64" i="37"/>
  <c r="AL65" i="37"/>
  <c r="AH65" i="37"/>
  <c r="W55" i="43"/>
  <c r="AA54" i="43"/>
  <c r="AO54" i="43" s="1"/>
  <c r="AA55" i="43"/>
  <c r="AO55" i="43" s="1"/>
  <c r="W54" i="43"/>
  <c r="A65" i="41"/>
  <c r="B65" i="41" s="1"/>
  <c r="B64" i="41"/>
  <c r="AC64" i="47"/>
  <c r="AD64" i="47" s="1"/>
  <c r="AD63" i="47"/>
  <c r="AC68" i="47"/>
  <c r="M49" i="40"/>
  <c r="I49" i="40"/>
  <c r="M50" i="40"/>
  <c r="I50" i="40"/>
  <c r="G49" i="40"/>
  <c r="M49" i="33"/>
  <c r="I49" i="33"/>
  <c r="M50" i="33"/>
  <c r="I50" i="33"/>
  <c r="G49" i="33"/>
  <c r="G48" i="42"/>
  <c r="C47" i="42"/>
  <c r="X47" i="30"/>
  <c r="O60" i="42"/>
  <c r="P60" i="42" s="1"/>
  <c r="P59" i="42"/>
  <c r="C59" i="42"/>
  <c r="C58" i="42"/>
  <c r="BJ45" i="61"/>
  <c r="C59" i="50"/>
  <c r="C58" i="50"/>
  <c r="Q54" i="30"/>
  <c r="Q52" i="30"/>
  <c r="B76" i="32"/>
  <c r="A77" i="32"/>
  <c r="A81" i="32"/>
  <c r="M50" i="28"/>
  <c r="I50" i="28"/>
  <c r="G49" i="28"/>
  <c r="M49" i="28"/>
  <c r="I49" i="28"/>
  <c r="C42" i="41"/>
  <c r="G43" i="41"/>
  <c r="A65" i="47"/>
  <c r="B65" i="47" s="1"/>
  <c r="B64" i="47"/>
  <c r="A71" i="59"/>
  <c r="B70" i="59"/>
  <c r="Q72" i="32"/>
  <c r="Q74" i="32"/>
  <c r="O63" i="27"/>
  <c r="P62" i="27"/>
  <c r="AA55" i="39"/>
  <c r="AO55" i="39" s="1"/>
  <c r="W55" i="39"/>
  <c r="AA54" i="39"/>
  <c r="AO54" i="39" s="1"/>
  <c r="W54" i="39"/>
  <c r="C47" i="50"/>
  <c r="G48" i="50"/>
  <c r="Q49" i="31"/>
  <c r="Q47" i="31"/>
  <c r="A81" i="47"/>
  <c r="B76" i="47"/>
  <c r="A77" i="47"/>
  <c r="Q49" i="39"/>
  <c r="Q47" i="39"/>
  <c r="AL65" i="33"/>
  <c r="AH65" i="33"/>
  <c r="AI62" i="33"/>
  <c r="AL64" i="33"/>
  <c r="AH64" i="33"/>
  <c r="P67" i="38"/>
  <c r="O68" i="38"/>
  <c r="Y47" i="59"/>
  <c r="W48" i="59"/>
  <c r="W47" i="59"/>
  <c r="Y48" i="59"/>
  <c r="A69" i="35"/>
  <c r="B68" i="35"/>
  <c r="AC73" i="30"/>
  <c r="AC69" i="30"/>
  <c r="AD69" i="30" s="1"/>
  <c r="AD68" i="30"/>
  <c r="P62" i="43"/>
  <c r="O63" i="43"/>
  <c r="AA55" i="40"/>
  <c r="AO55" i="40" s="1"/>
  <c r="W55" i="40"/>
  <c r="AA54" i="40"/>
  <c r="AO54" i="40" s="1"/>
  <c r="W54" i="40"/>
  <c r="O59" i="45"/>
  <c r="P58" i="45"/>
  <c r="Q58" i="45" s="1"/>
  <c r="C42" i="31"/>
  <c r="G43" i="31"/>
  <c r="B71" i="43"/>
  <c r="A72" i="43"/>
  <c r="A76" i="43"/>
  <c r="P66" i="28"/>
  <c r="O71" i="28"/>
  <c r="O67" i="28"/>
  <c r="M54" i="42"/>
  <c r="I54" i="42"/>
  <c r="M55" i="42"/>
  <c r="I55" i="42"/>
  <c r="G54" i="42"/>
  <c r="O60" i="30"/>
  <c r="P60" i="30" s="1"/>
  <c r="P59" i="30"/>
  <c r="A65" i="50"/>
  <c r="B65" i="50" s="1"/>
  <c r="B64" i="50"/>
  <c r="X37" i="48"/>
  <c r="A60" i="26"/>
  <c r="B60" i="26" s="1"/>
  <c r="B59" i="26"/>
  <c r="AJ64" i="39"/>
  <c r="AJ65" i="39"/>
  <c r="A64" i="46"/>
  <c r="B63" i="46"/>
  <c r="Q47" i="34"/>
  <c r="Q49" i="34"/>
  <c r="A73" i="44"/>
  <c r="B72" i="44"/>
  <c r="Y45" i="36"/>
  <c r="Y44" i="36"/>
  <c r="X47" i="41"/>
  <c r="Y54" i="59"/>
  <c r="Y53" i="59"/>
  <c r="W54" i="59"/>
  <c r="W53" i="59"/>
  <c r="O76" i="29"/>
  <c r="O72" i="29"/>
  <c r="P71" i="29"/>
  <c r="AI62" i="50"/>
  <c r="AL64" i="50"/>
  <c r="AH64" i="50"/>
  <c r="AL65" i="50"/>
  <c r="AH65" i="50"/>
  <c r="G52" i="59"/>
  <c r="C51" i="59"/>
  <c r="AL60" i="44"/>
  <c r="AH60" i="44"/>
  <c r="AI57" i="44"/>
  <c r="AL59" i="44"/>
  <c r="AH59" i="44"/>
  <c r="T32" i="50"/>
  <c r="V32" i="50"/>
  <c r="Y55" i="32"/>
  <c r="Y54" i="32"/>
  <c r="M54" i="49"/>
  <c r="I54" i="49"/>
  <c r="M55" i="49"/>
  <c r="I55" i="49"/>
  <c r="G54" i="49"/>
  <c r="Y39" i="45"/>
  <c r="Y40" i="45"/>
  <c r="AA60" i="36"/>
  <c r="AO60" i="36" s="1"/>
  <c r="W60" i="36"/>
  <c r="AA59" i="36"/>
  <c r="AO59" i="36" s="1"/>
  <c r="W59" i="36"/>
  <c r="Q47" i="50"/>
  <c r="Q49" i="50"/>
  <c r="Y45" i="50"/>
  <c r="Y44" i="50"/>
  <c r="M55" i="41"/>
  <c r="I55" i="41"/>
  <c r="G54" i="41"/>
  <c r="M54" i="41"/>
  <c r="I54" i="41"/>
  <c r="X42" i="49"/>
  <c r="AA55" i="50"/>
  <c r="AO55" i="50" s="1"/>
  <c r="W55" i="50"/>
  <c r="AA54" i="50"/>
  <c r="AO54" i="50" s="1"/>
  <c r="W54" i="50"/>
  <c r="A60" i="45"/>
  <c r="B60" i="45" s="1"/>
  <c r="B59" i="45"/>
  <c r="AC69" i="49"/>
  <c r="AD69" i="49" s="1"/>
  <c r="AD68" i="49"/>
  <c r="AC73" i="49"/>
  <c r="AJ144" i="43"/>
  <c r="AJ145" i="43"/>
  <c r="X37" i="35"/>
  <c r="O59" i="28"/>
  <c r="P58" i="28"/>
  <c r="Q58" i="28" s="1"/>
  <c r="A69" i="49"/>
  <c r="B68" i="49"/>
  <c r="P66" i="40"/>
  <c r="O71" i="40"/>
  <c r="O67" i="40"/>
  <c r="O55" i="27"/>
  <c r="P55" i="27" s="1"/>
  <c r="P54" i="27"/>
  <c r="M50" i="35"/>
  <c r="I50" i="35"/>
  <c r="G49" i="35"/>
  <c r="M49" i="35"/>
  <c r="I49" i="35"/>
  <c r="A65" i="29"/>
  <c r="B65" i="29" s="1"/>
  <c r="B64" i="29"/>
  <c r="AA55" i="44"/>
  <c r="AO55" i="44" s="1"/>
  <c r="W55" i="44"/>
  <c r="AA54" i="44"/>
  <c r="AO54" i="44" s="1"/>
  <c r="W54" i="44"/>
  <c r="C42" i="32"/>
  <c r="G43" i="32"/>
  <c r="AA60" i="35"/>
  <c r="AO60" i="35" s="1"/>
  <c r="W60" i="35"/>
  <c r="AA59" i="35"/>
  <c r="AO59" i="35" s="1"/>
  <c r="W59" i="35"/>
  <c r="X42" i="35"/>
  <c r="C54" i="26"/>
  <c r="C53" i="26"/>
  <c r="M49" i="44"/>
  <c r="I49" i="44"/>
  <c r="M50" i="44"/>
  <c r="I50" i="44"/>
  <c r="G49" i="44"/>
  <c r="AC73" i="36"/>
  <c r="AD68" i="36"/>
  <c r="AC69" i="36"/>
  <c r="AD69" i="36" s="1"/>
  <c r="AJ65" i="26"/>
  <c r="AJ64" i="26"/>
  <c r="C54" i="30"/>
  <c r="C53" i="30"/>
  <c r="B72" i="41"/>
  <c r="A73" i="41"/>
  <c r="BU143" i="61"/>
  <c r="BQ143" i="61"/>
  <c r="CB143" i="61"/>
  <c r="CJ143" i="61"/>
  <c r="CK143" i="61"/>
  <c r="BZ143" i="61"/>
  <c r="CD143" i="61"/>
  <c r="CA143" i="61"/>
  <c r="CE143" i="61"/>
  <c r="CH143" i="61"/>
  <c r="CL143" i="61"/>
  <c r="BY143" i="61"/>
  <c r="CF143" i="61"/>
  <c r="CC143" i="61"/>
  <c r="CG143" i="61"/>
  <c r="CI143" i="61"/>
  <c r="BN143" i="61"/>
  <c r="BT143" i="61"/>
  <c r="BW143" i="61"/>
  <c r="BO143" i="61"/>
  <c r="BP143" i="61"/>
  <c r="BS143" i="61"/>
  <c r="BR143" i="61"/>
  <c r="BX143" i="61"/>
  <c r="BV143" i="61"/>
  <c r="CB135" i="61"/>
  <c r="CH135" i="61"/>
  <c r="CL135" i="61"/>
  <c r="CE135" i="61"/>
  <c r="BU135" i="61"/>
  <c r="BY135" i="61"/>
  <c r="CF135" i="61"/>
  <c r="CJ135" i="61"/>
  <c r="CC135" i="61"/>
  <c r="CG135" i="61"/>
  <c r="CI135" i="61"/>
  <c r="CK135" i="61"/>
  <c r="BQ135" i="61"/>
  <c r="BZ135" i="61"/>
  <c r="CD135" i="61"/>
  <c r="CA135" i="61"/>
  <c r="BN135" i="61"/>
  <c r="BP135" i="61"/>
  <c r="BS135" i="61"/>
  <c r="BR135" i="61"/>
  <c r="BX135" i="61"/>
  <c r="BT135" i="61"/>
  <c r="BO135" i="61"/>
  <c r="BW135" i="61"/>
  <c r="BV135" i="61"/>
  <c r="Y40" i="36"/>
  <c r="Y39" i="36"/>
  <c r="B76" i="29"/>
  <c r="A81" i="29"/>
  <c r="A77" i="29"/>
  <c r="X47" i="29"/>
  <c r="Y60" i="32"/>
  <c r="Y59" i="32"/>
  <c r="H4" i="41"/>
  <c r="K3" i="41"/>
  <c r="H4" i="48"/>
  <c r="K3" i="48"/>
  <c r="H28" i="46"/>
  <c r="H16" i="46"/>
  <c r="K7" i="46"/>
  <c r="R15" i="46"/>
  <c r="AF5" i="46"/>
  <c r="R4" i="46"/>
  <c r="R22" i="46"/>
  <c r="U26" i="46" s="1"/>
  <c r="K6" i="46"/>
  <c r="AF9" i="46"/>
  <c r="R16" i="37"/>
  <c r="AF10" i="37"/>
  <c r="AI14" i="37" s="1"/>
  <c r="K8" i="37"/>
  <c r="R5" i="37"/>
  <c r="K9" i="37"/>
  <c r="AF6" i="37"/>
  <c r="R23" i="37"/>
  <c r="AF12" i="49"/>
  <c r="R25" i="49"/>
  <c r="H4" i="28"/>
  <c r="K3" i="28"/>
  <c r="R22" i="33"/>
  <c r="U26" i="33" s="1"/>
  <c r="H28" i="33"/>
  <c r="H16" i="33"/>
  <c r="K7" i="33"/>
  <c r="AF9" i="33"/>
  <c r="K6" i="33"/>
  <c r="R15" i="33"/>
  <c r="AF5" i="33"/>
  <c r="R4" i="33"/>
  <c r="R14" i="34"/>
  <c r="K4" i="34"/>
  <c r="R3" i="34"/>
  <c r="U8" i="34" s="1"/>
  <c r="H27" i="34"/>
  <c r="H15" i="34"/>
  <c r="AF4" i="34"/>
  <c r="R21" i="34"/>
  <c r="K5" i="34"/>
  <c r="R25" i="32"/>
  <c r="AF12" i="32"/>
  <c r="R25" i="37"/>
  <c r="AF12" i="37"/>
  <c r="K3" i="33"/>
  <c r="H4" i="33"/>
  <c r="K9" i="38"/>
  <c r="AF6" i="38"/>
  <c r="R23" i="38"/>
  <c r="R16" i="38"/>
  <c r="AF10" i="38"/>
  <c r="AI14" i="38" s="1"/>
  <c r="K8" i="38"/>
  <c r="R5" i="38"/>
  <c r="H4" i="34"/>
  <c r="K3" i="34"/>
  <c r="R23" i="44"/>
  <c r="R16" i="44"/>
  <c r="AF10" i="44"/>
  <c r="AI14" i="44" s="1"/>
  <c r="K8" i="44"/>
  <c r="R5" i="44"/>
  <c r="K9" i="44"/>
  <c r="AF6" i="44"/>
  <c r="K5" i="49"/>
  <c r="H27" i="49"/>
  <c r="K11" i="34"/>
  <c r="R24" i="34"/>
  <c r="AF11" i="34"/>
  <c r="AF7" i="34"/>
  <c r="R6" i="34"/>
  <c r="K10" i="34"/>
  <c r="K9" i="32"/>
  <c r="K8" i="32"/>
  <c r="R23" i="32"/>
  <c r="R16" i="32"/>
  <c r="R5" i="32"/>
  <c r="AF10" i="32"/>
  <c r="AI14" i="32" s="1"/>
  <c r="AF6" i="32"/>
  <c r="AF6" i="42"/>
  <c r="R23" i="42"/>
  <c r="R16" i="42"/>
  <c r="AF10" i="42"/>
  <c r="AI14" i="42" s="1"/>
  <c r="K8" i="42"/>
  <c r="R5" i="42"/>
  <c r="K9" i="42"/>
  <c r="K3" i="27"/>
  <c r="H4" i="27"/>
  <c r="K3" i="31"/>
  <c r="H4" i="31"/>
  <c r="H4" i="39"/>
  <c r="K3" i="39"/>
  <c r="Y45" i="30"/>
  <c r="Y44" i="30"/>
  <c r="X42" i="48"/>
  <c r="G42" i="39"/>
  <c r="K45" i="39"/>
  <c r="K44" i="39"/>
  <c r="K44" i="35"/>
  <c r="G42" i="35"/>
  <c r="K45" i="35"/>
  <c r="X42" i="39"/>
  <c r="DQ149" i="61" l="1"/>
  <c r="DQ136" i="61"/>
  <c r="DQ128" i="61"/>
  <c r="Y8" i="68"/>
  <c r="Y7" i="68"/>
  <c r="Y6" i="68"/>
  <c r="Z8" i="68"/>
  <c r="Z7" i="68"/>
  <c r="Z6" i="68"/>
  <c r="AD30" i="68"/>
  <c r="X30" i="68"/>
  <c r="X9" i="68"/>
  <c r="X7" i="68"/>
  <c r="X6" i="68"/>
  <c r="X8" i="68"/>
  <c r="V30" i="68"/>
  <c r="V29" i="68"/>
  <c r="V27" i="68"/>
  <c r="V28" i="68"/>
  <c r="V8" i="68"/>
  <c r="V7" i="68"/>
  <c r="V10" i="68"/>
  <c r="V9" i="68"/>
  <c r="V6" i="68"/>
  <c r="AC6" i="68"/>
  <c r="AA8" i="68"/>
  <c r="AA7" i="68"/>
  <c r="AA6" i="68"/>
  <c r="AB7" i="68"/>
  <c r="AB6" i="68"/>
  <c r="AB8" i="68"/>
  <c r="W7" i="68"/>
  <c r="W29" i="68"/>
  <c r="W30" i="68"/>
  <c r="W8" i="68"/>
  <c r="W9" i="68"/>
  <c r="W6" i="68"/>
  <c r="X36" i="68"/>
  <c r="FC145" i="61"/>
  <c r="DQ147" i="61"/>
  <c r="DQ145" i="61"/>
  <c r="FC137" i="61"/>
  <c r="FC141" i="61"/>
  <c r="DQ137" i="61"/>
  <c r="DQ141" i="61"/>
  <c r="FC130" i="61"/>
  <c r="FC147" i="61"/>
  <c r="FC150" i="61"/>
  <c r="DQ150" i="61"/>
  <c r="DQ127" i="61"/>
  <c r="FC127" i="61"/>
  <c r="DQ130" i="61"/>
  <c r="BE98" i="61"/>
  <c r="DQ148" i="61"/>
  <c r="EL98" i="61"/>
  <c r="DQ126" i="61" s="1"/>
  <c r="BH147" i="61"/>
  <c r="H7" i="31" s="1"/>
  <c r="BF147" i="61"/>
  <c r="H5" i="31" s="1"/>
  <c r="BL147" i="61"/>
  <c r="H11" i="31" s="1"/>
  <c r="BI147" i="61"/>
  <c r="H8" i="31" s="1"/>
  <c r="BK147" i="61"/>
  <c r="H10" i="31" s="1"/>
  <c r="AF13" i="31" s="1"/>
  <c r="BG147" i="61"/>
  <c r="H6" i="31" s="1"/>
  <c r="BJ147" i="61"/>
  <c r="H9" i="31" s="1"/>
  <c r="R6" i="44"/>
  <c r="K11" i="44"/>
  <c r="K45" i="29"/>
  <c r="G42" i="29"/>
  <c r="AF11" i="46"/>
  <c r="R6" i="46"/>
  <c r="K11" i="46"/>
  <c r="BF148" i="61"/>
  <c r="H5" i="30" s="1"/>
  <c r="H27" i="30" s="1"/>
  <c r="BJ148" i="61"/>
  <c r="H9" i="30" s="1"/>
  <c r="BK148" i="61"/>
  <c r="H10" i="30" s="1"/>
  <c r="AF13" i="30" s="1"/>
  <c r="BH148" i="61"/>
  <c r="H7" i="30" s="1"/>
  <c r="BL148" i="61"/>
  <c r="H11" i="30" s="1"/>
  <c r="BG148" i="61"/>
  <c r="H6" i="30" s="1"/>
  <c r="BI148" i="61"/>
  <c r="H8" i="30" s="1"/>
  <c r="BL149" i="61"/>
  <c r="H11" i="29" s="1"/>
  <c r="BI149" i="61"/>
  <c r="H8" i="29" s="1"/>
  <c r="BK149" i="61"/>
  <c r="H10" i="29" s="1"/>
  <c r="AF13" i="29" s="1"/>
  <c r="BF149" i="61"/>
  <c r="H5" i="29" s="1"/>
  <c r="BG149" i="61"/>
  <c r="H6" i="29" s="1"/>
  <c r="BJ149" i="61"/>
  <c r="H9" i="29" s="1"/>
  <c r="BH149" i="61"/>
  <c r="H7" i="29" s="1"/>
  <c r="BI150" i="61"/>
  <c r="H8" i="28" s="1"/>
  <c r="BH150" i="61"/>
  <c r="H7" i="28" s="1"/>
  <c r="BK150" i="61"/>
  <c r="H10" i="28" s="1"/>
  <c r="AF13" i="28" s="1"/>
  <c r="BG150" i="61"/>
  <c r="H6" i="28" s="1"/>
  <c r="BF150" i="61"/>
  <c r="H5" i="28" s="1"/>
  <c r="BJ150" i="61"/>
  <c r="H9" i="28" s="1"/>
  <c r="BL150" i="61"/>
  <c r="H11" i="28" s="1"/>
  <c r="BK152" i="61"/>
  <c r="H10" i="26" s="1"/>
  <c r="AF13" i="26" s="1"/>
  <c r="BJ152" i="61"/>
  <c r="H9" i="26" s="1"/>
  <c r="BL152" i="61"/>
  <c r="H11" i="26" s="1"/>
  <c r="BF152" i="61"/>
  <c r="H5" i="26" s="1"/>
  <c r="BH152" i="61"/>
  <c r="H7" i="26" s="1"/>
  <c r="BI152" i="61"/>
  <c r="H8" i="26" s="1"/>
  <c r="BG152" i="61"/>
  <c r="H6" i="26" s="1"/>
  <c r="R4" i="49"/>
  <c r="K10" i="42"/>
  <c r="AP34" i="42" s="1"/>
  <c r="R22" i="49"/>
  <c r="U26" i="49" s="1"/>
  <c r="H15" i="44"/>
  <c r="R4" i="44"/>
  <c r="R22" i="44"/>
  <c r="U26" i="44" s="1"/>
  <c r="AA27" i="44" s="1"/>
  <c r="R3" i="44"/>
  <c r="U8" i="44" s="1"/>
  <c r="AA10" i="44" s="1"/>
  <c r="K44" i="48"/>
  <c r="R15" i="44"/>
  <c r="R14" i="44"/>
  <c r="G42" i="48"/>
  <c r="AF9" i="44"/>
  <c r="R21" i="44"/>
  <c r="K10" i="46"/>
  <c r="AF7" i="46"/>
  <c r="R14" i="42"/>
  <c r="S14" i="42" s="1"/>
  <c r="AF9" i="49"/>
  <c r="AF12" i="44"/>
  <c r="R25" i="42"/>
  <c r="K5" i="46"/>
  <c r="R14" i="46"/>
  <c r="AF5" i="49"/>
  <c r="K7" i="49"/>
  <c r="AF11" i="42"/>
  <c r="AG9" i="42" s="1"/>
  <c r="R6" i="42"/>
  <c r="S2" i="42" s="1"/>
  <c r="AA5" i="42" s="1"/>
  <c r="CM148" i="61"/>
  <c r="R3" i="46"/>
  <c r="U8" i="46" s="1"/>
  <c r="AA9" i="46" s="1"/>
  <c r="AF4" i="46"/>
  <c r="R15" i="49"/>
  <c r="H16" i="49"/>
  <c r="R24" i="42"/>
  <c r="AF7" i="42"/>
  <c r="K4" i="46"/>
  <c r="K6" i="49"/>
  <c r="K10" i="49"/>
  <c r="AF5" i="44"/>
  <c r="K7" i="44"/>
  <c r="AF4" i="44"/>
  <c r="K4" i="44"/>
  <c r="K6" i="44"/>
  <c r="H27" i="44"/>
  <c r="AF7" i="49"/>
  <c r="T37" i="50"/>
  <c r="D5" i="66"/>
  <c r="L6" i="66"/>
  <c r="D5" i="65"/>
  <c r="J5" i="66"/>
  <c r="B5" i="65" s="1"/>
  <c r="I5" i="66"/>
  <c r="BI137" i="61"/>
  <c r="H8" i="41" s="1"/>
  <c r="BH137" i="61"/>
  <c r="H7" i="41" s="1"/>
  <c r="BG137" i="61"/>
  <c r="H6" i="41" s="1"/>
  <c r="BJ137" i="61"/>
  <c r="H9" i="41" s="1"/>
  <c r="BL137" i="61"/>
  <c r="H11" i="41" s="1"/>
  <c r="BF137" i="61"/>
  <c r="H5" i="41" s="1"/>
  <c r="BK137" i="61"/>
  <c r="H10" i="41" s="1"/>
  <c r="AF13" i="41" s="1"/>
  <c r="O35" i="61"/>
  <c r="A6" i="64" s="1"/>
  <c r="R24" i="49"/>
  <c r="R6" i="49"/>
  <c r="K11" i="49"/>
  <c r="CG98" i="61"/>
  <c r="A4" i="65"/>
  <c r="CF99" i="61"/>
  <c r="CE100" i="61"/>
  <c r="BG135" i="61"/>
  <c r="H6" i="43" s="1"/>
  <c r="BJ135" i="61"/>
  <c r="H9" i="43" s="1"/>
  <c r="BL135" i="61"/>
  <c r="H11" i="43" s="1"/>
  <c r="BF135" i="61"/>
  <c r="H5" i="43" s="1"/>
  <c r="BK135" i="61"/>
  <c r="H10" i="43" s="1"/>
  <c r="AF13" i="43" s="1"/>
  <c r="BI135" i="61"/>
  <c r="H8" i="43" s="1"/>
  <c r="BH135" i="61"/>
  <c r="H7" i="43" s="1"/>
  <c r="BL133" i="61"/>
  <c r="BF133" i="61"/>
  <c r="BH133" i="61"/>
  <c r="BK133" i="61"/>
  <c r="BJ133" i="61"/>
  <c r="BG133" i="61"/>
  <c r="BI133" i="61"/>
  <c r="BH131" i="61"/>
  <c r="H7" i="47" s="1"/>
  <c r="BK131" i="61"/>
  <c r="H10" i="47" s="1"/>
  <c r="AF13" i="47" s="1"/>
  <c r="BJ131" i="61"/>
  <c r="H9" i="47" s="1"/>
  <c r="BG131" i="61"/>
  <c r="H6" i="47" s="1"/>
  <c r="BI131" i="61"/>
  <c r="H8" i="47" s="1"/>
  <c r="BL131" i="61"/>
  <c r="H11" i="47" s="1"/>
  <c r="BF131" i="61"/>
  <c r="H5" i="47" s="1"/>
  <c r="H15" i="49"/>
  <c r="R14" i="49"/>
  <c r="R5" i="49"/>
  <c r="R23" i="49"/>
  <c r="S21" i="49" s="1"/>
  <c r="R3" i="49"/>
  <c r="U8" i="49" s="1"/>
  <c r="R21" i="49"/>
  <c r="G45" i="59"/>
  <c r="AF6" i="49"/>
  <c r="AF10" i="49"/>
  <c r="AI14" i="49" s="1"/>
  <c r="AO16" i="49" s="1"/>
  <c r="BL130" i="61"/>
  <c r="H11" i="48" s="1"/>
  <c r="BG130" i="61"/>
  <c r="H6" i="48" s="1"/>
  <c r="BH130" i="61"/>
  <c r="H7" i="48" s="1"/>
  <c r="BF130" i="61"/>
  <c r="H5" i="48" s="1"/>
  <c r="BI130" i="61"/>
  <c r="H8" i="48" s="1"/>
  <c r="BK130" i="61"/>
  <c r="H10" i="48" s="1"/>
  <c r="AF13" i="48" s="1"/>
  <c r="BJ130" i="61"/>
  <c r="H9" i="48" s="1"/>
  <c r="AF4" i="49"/>
  <c r="I48" i="59"/>
  <c r="K9" i="49"/>
  <c r="CP154" i="61"/>
  <c r="DL154" i="61"/>
  <c r="CV154" i="61"/>
  <c r="DE154" i="61"/>
  <c r="Q96" i="61" s="1"/>
  <c r="DK154" i="61"/>
  <c r="CU154" i="61"/>
  <c r="DF154" i="61"/>
  <c r="R96" i="61" s="1"/>
  <c r="DH154" i="61"/>
  <c r="T96" i="61" s="1"/>
  <c r="CR154" i="61"/>
  <c r="DA154" i="61"/>
  <c r="M96" i="61" s="1"/>
  <c r="DG154" i="61"/>
  <c r="S96" i="61" s="1"/>
  <c r="CQ154" i="61"/>
  <c r="DB154" i="61"/>
  <c r="N96" i="61" s="1"/>
  <c r="DD154" i="61"/>
  <c r="P96" i="61" s="1"/>
  <c r="DM154" i="61"/>
  <c r="CW154" i="61"/>
  <c r="DC154" i="61"/>
  <c r="O96" i="61" s="1"/>
  <c r="DN154" i="61"/>
  <c r="CX154" i="61"/>
  <c r="CS154" i="61"/>
  <c r="DJ154" i="61"/>
  <c r="CZ154" i="61"/>
  <c r="L96" i="61" s="1"/>
  <c r="DI154" i="61"/>
  <c r="U96" i="61" s="1"/>
  <c r="CY154" i="61"/>
  <c r="CT154" i="61"/>
  <c r="BG151" i="61"/>
  <c r="H6" i="27" s="1"/>
  <c r="BL151" i="61"/>
  <c r="H11" i="27" s="1"/>
  <c r="BJ151" i="61"/>
  <c r="H9" i="27" s="1"/>
  <c r="BF151" i="61"/>
  <c r="H5" i="27" s="1"/>
  <c r="BH151" i="61"/>
  <c r="H7" i="27" s="1"/>
  <c r="BK151" i="61"/>
  <c r="H10" i="27" s="1"/>
  <c r="AF13" i="27" s="1"/>
  <c r="BI151" i="61"/>
  <c r="H8" i="27" s="1"/>
  <c r="I47" i="59"/>
  <c r="AG8" i="49"/>
  <c r="AG35" i="50"/>
  <c r="AI35" i="50" s="1"/>
  <c r="AM35" i="50" s="1"/>
  <c r="AS35" i="50" s="1"/>
  <c r="K48" i="59"/>
  <c r="R32" i="48"/>
  <c r="D37" i="48"/>
  <c r="F37" i="48" s="1"/>
  <c r="AE33" i="48"/>
  <c r="AG33" i="48" s="1"/>
  <c r="AV6" i="25"/>
  <c r="Y5" i="25"/>
  <c r="AE7" i="61"/>
  <c r="C4" i="47"/>
  <c r="AP7" i="25"/>
  <c r="B7" i="25"/>
  <c r="H6" i="25"/>
  <c r="I6" i="25" s="1"/>
  <c r="D6" i="25"/>
  <c r="AP55" i="35"/>
  <c r="AP40" i="36"/>
  <c r="G42" i="49"/>
  <c r="K44" i="49"/>
  <c r="D42" i="49"/>
  <c r="F42" i="49" s="1"/>
  <c r="AP59" i="35"/>
  <c r="R35" i="61"/>
  <c r="B7" i="64" s="1"/>
  <c r="N35" i="61"/>
  <c r="B5" i="64" s="1"/>
  <c r="Q35" i="61"/>
  <c r="A7" i="64" s="1"/>
  <c r="AP54" i="36"/>
  <c r="AP50" i="40"/>
  <c r="AP34" i="35"/>
  <c r="AP39" i="36"/>
  <c r="AP55" i="36"/>
  <c r="AP40" i="39"/>
  <c r="AP54" i="40"/>
  <c r="AP39" i="40"/>
  <c r="AP60" i="35"/>
  <c r="AP34" i="36"/>
  <c r="AP34" i="39"/>
  <c r="AP55" i="40"/>
  <c r="AP34" i="40"/>
  <c r="AP35" i="36"/>
  <c r="AP60" i="36"/>
  <c r="AP54" i="39"/>
  <c r="AP59" i="36"/>
  <c r="AP55" i="39"/>
  <c r="AP49" i="40"/>
  <c r="S20" i="34"/>
  <c r="AA23" i="34" s="1"/>
  <c r="S2" i="38"/>
  <c r="AA4" i="38" s="1"/>
  <c r="AG8" i="40"/>
  <c r="CM138" i="61"/>
  <c r="S20" i="35"/>
  <c r="AA22" i="35" s="1"/>
  <c r="AP40" i="40"/>
  <c r="AP50" i="39"/>
  <c r="AP49" i="33"/>
  <c r="AP40" i="38"/>
  <c r="AP35" i="35"/>
  <c r="AP50" i="33"/>
  <c r="AP34" i="37"/>
  <c r="AP74" i="32"/>
  <c r="AG8" i="34"/>
  <c r="AP10" i="34" s="1"/>
  <c r="M35" i="61"/>
  <c r="A5" i="64" s="1"/>
  <c r="AP40" i="42"/>
  <c r="CM150" i="61"/>
  <c r="AP35" i="39"/>
  <c r="AP54" i="35"/>
  <c r="S2" i="36"/>
  <c r="AP35" i="34"/>
  <c r="AP35" i="33"/>
  <c r="CM139" i="61"/>
  <c r="AP39" i="35"/>
  <c r="AG8" i="39"/>
  <c r="AP35" i="38"/>
  <c r="AG8" i="37"/>
  <c r="AP10" i="37" s="1"/>
  <c r="S2" i="37"/>
  <c r="AA4" i="37" s="1"/>
  <c r="CM149" i="61"/>
  <c r="AP50" i="37"/>
  <c r="AP34" i="32"/>
  <c r="AP49" i="39"/>
  <c r="AP40" i="35"/>
  <c r="AP35" i="40"/>
  <c r="AP39" i="39"/>
  <c r="S20" i="36"/>
  <c r="AA23" i="36" s="1"/>
  <c r="AM34" i="50"/>
  <c r="AS34" i="50" s="1"/>
  <c r="R13" i="31"/>
  <c r="AF3" i="31"/>
  <c r="H26" i="31"/>
  <c r="I26" i="31" s="1"/>
  <c r="M26" i="31" s="1"/>
  <c r="N26" i="31" s="1"/>
  <c r="R2" i="31"/>
  <c r="H14" i="31"/>
  <c r="AO15" i="32"/>
  <c r="AJ14" i="32"/>
  <c r="AO16" i="32"/>
  <c r="AG5" i="34"/>
  <c r="AG3" i="34"/>
  <c r="AO16" i="44"/>
  <c r="AO15" i="44"/>
  <c r="S15" i="38"/>
  <c r="S13" i="38"/>
  <c r="S14" i="38"/>
  <c r="AG8" i="32"/>
  <c r="AP15" i="37"/>
  <c r="AO15" i="37"/>
  <c r="AJ14" i="37"/>
  <c r="AP16" i="37"/>
  <c r="AO16" i="37"/>
  <c r="H14" i="48"/>
  <c r="R13" i="48"/>
  <c r="AF3" i="48"/>
  <c r="H26" i="48"/>
  <c r="I26" i="48" s="1"/>
  <c r="M26" i="48" s="1"/>
  <c r="N26" i="48" s="1"/>
  <c r="R2" i="48"/>
  <c r="M55" i="26"/>
  <c r="I55" i="26"/>
  <c r="G54" i="26"/>
  <c r="I54" i="26"/>
  <c r="M54" i="26"/>
  <c r="K44" i="32"/>
  <c r="K45" i="32"/>
  <c r="G42" i="32"/>
  <c r="C63" i="29"/>
  <c r="C64" i="29"/>
  <c r="AP35" i="42"/>
  <c r="R47" i="50"/>
  <c r="Y50" i="50"/>
  <c r="Y49" i="50"/>
  <c r="I54" i="59"/>
  <c r="G51" i="59"/>
  <c r="K53" i="59"/>
  <c r="K54" i="59"/>
  <c r="I53" i="59"/>
  <c r="A74" i="44"/>
  <c r="B73" i="44"/>
  <c r="A65" i="46"/>
  <c r="B65" i="46" s="1"/>
  <c r="B64" i="46"/>
  <c r="P71" i="28"/>
  <c r="O76" i="28"/>
  <c r="O72" i="28"/>
  <c r="P63" i="43"/>
  <c r="Q63" i="43" s="1"/>
  <c r="O64" i="43"/>
  <c r="AC78" i="30"/>
  <c r="AC74" i="30"/>
  <c r="AD74" i="30" s="1"/>
  <c r="AD73" i="30"/>
  <c r="X47" i="39"/>
  <c r="P63" i="27"/>
  <c r="Q63" i="27" s="1"/>
  <c r="O64" i="27"/>
  <c r="Y55" i="30"/>
  <c r="Y54" i="30"/>
  <c r="A78" i="31"/>
  <c r="B77" i="31"/>
  <c r="M54" i="36"/>
  <c r="I54" i="36"/>
  <c r="M55" i="36"/>
  <c r="I55" i="36"/>
  <c r="G54" i="36"/>
  <c r="AF4" i="25"/>
  <c r="R2" i="35"/>
  <c r="H14" i="35"/>
  <c r="I16" i="35" s="1"/>
  <c r="J16" i="35" s="1"/>
  <c r="R13" i="35"/>
  <c r="AF3" i="35"/>
  <c r="AG4" i="35" s="1"/>
  <c r="H26" i="35"/>
  <c r="I26" i="35" s="1"/>
  <c r="M26" i="35" s="1"/>
  <c r="N26" i="35" s="1"/>
  <c r="N29" i="35" s="1"/>
  <c r="I22" i="32"/>
  <c r="I15" i="32"/>
  <c r="S15" i="46"/>
  <c r="AA27" i="38"/>
  <c r="V26" i="38"/>
  <c r="AB28" i="38"/>
  <c r="AA28" i="38"/>
  <c r="AB27" i="38"/>
  <c r="AG9" i="33"/>
  <c r="AI15" i="33"/>
  <c r="AA28" i="42"/>
  <c r="AA27" i="42"/>
  <c r="AA28" i="37"/>
  <c r="AB27" i="37"/>
  <c r="AA27" i="37"/>
  <c r="V26" i="37"/>
  <c r="AB28" i="37"/>
  <c r="A74" i="29"/>
  <c r="B73" i="29"/>
  <c r="G4" i="25"/>
  <c r="C57" i="40"/>
  <c r="G58" i="40"/>
  <c r="AP34" i="34"/>
  <c r="M55" i="37"/>
  <c r="I55" i="37"/>
  <c r="G54" i="37"/>
  <c r="M54" i="37"/>
  <c r="I54" i="37"/>
  <c r="O72" i="44"/>
  <c r="P71" i="44"/>
  <c r="O76" i="44"/>
  <c r="Q59" i="36"/>
  <c r="Q57" i="36"/>
  <c r="O77" i="48"/>
  <c r="P76" i="48"/>
  <c r="O81" i="48"/>
  <c r="K55" i="49"/>
  <c r="K54" i="49"/>
  <c r="G52" i="49"/>
  <c r="C57" i="59"/>
  <c r="G58" i="59"/>
  <c r="B76" i="45"/>
  <c r="A81" i="45"/>
  <c r="A77" i="45"/>
  <c r="P59" i="50"/>
  <c r="O60" i="50"/>
  <c r="P60" i="50" s="1"/>
  <c r="AL70" i="42"/>
  <c r="AH70" i="42"/>
  <c r="AI67" i="42"/>
  <c r="AL69" i="42"/>
  <c r="AH69" i="42"/>
  <c r="G53" i="39"/>
  <c r="C52" i="39"/>
  <c r="AA72" i="59"/>
  <c r="AQ72" i="59" s="1"/>
  <c r="AA71" i="59"/>
  <c r="AQ71" i="59" s="1"/>
  <c r="AP49" i="37"/>
  <c r="W59" i="59"/>
  <c r="Y60" i="59"/>
  <c r="Y59" i="59"/>
  <c r="W60" i="59"/>
  <c r="P71" i="34"/>
  <c r="O76" i="34"/>
  <c r="O72" i="34"/>
  <c r="O60" i="33"/>
  <c r="P60" i="33" s="1"/>
  <c r="P59" i="33"/>
  <c r="M55" i="43"/>
  <c r="I54" i="43"/>
  <c r="I55" i="43"/>
  <c r="G54" i="43"/>
  <c r="M54" i="43"/>
  <c r="M60" i="32"/>
  <c r="I60" i="32"/>
  <c r="G59" i="32"/>
  <c r="I59" i="32"/>
  <c r="M59" i="32"/>
  <c r="Y50" i="49"/>
  <c r="Y49" i="49"/>
  <c r="W65" i="36"/>
  <c r="AA65" i="36"/>
  <c r="AO65" i="36" s="1"/>
  <c r="AP65" i="36" s="1"/>
  <c r="AA64" i="36"/>
  <c r="AO64" i="36" s="1"/>
  <c r="W64" i="36"/>
  <c r="O68" i="50"/>
  <c r="P67" i="50"/>
  <c r="AC69" i="29"/>
  <c r="AD69" i="29" s="1"/>
  <c r="AD68" i="29"/>
  <c r="AC73" i="29"/>
  <c r="A74" i="31"/>
  <c r="B73" i="31"/>
  <c r="C64" i="34"/>
  <c r="C63" i="34"/>
  <c r="P72" i="30"/>
  <c r="O73" i="30"/>
  <c r="P63" i="49"/>
  <c r="Q63" i="49" s="1"/>
  <c r="O64" i="49"/>
  <c r="AJ80" i="40"/>
  <c r="AJ79" i="40"/>
  <c r="AP34" i="38"/>
  <c r="H14" i="43"/>
  <c r="H26" i="43"/>
  <c r="I26" i="43" s="1"/>
  <c r="M26" i="43" s="1"/>
  <c r="N26" i="43" s="1"/>
  <c r="R13" i="43"/>
  <c r="AF3" i="43"/>
  <c r="R2" i="43"/>
  <c r="AO15" i="49"/>
  <c r="AG5" i="44"/>
  <c r="AG5" i="38"/>
  <c r="AG3" i="38"/>
  <c r="AP15" i="34"/>
  <c r="AO15" i="34"/>
  <c r="AJ14" i="34"/>
  <c r="AP16" i="34"/>
  <c r="AO16" i="34"/>
  <c r="R13" i="49"/>
  <c r="AF3" i="49"/>
  <c r="H26" i="49"/>
  <c r="I26" i="49" s="1"/>
  <c r="M26" i="49" s="1"/>
  <c r="N26" i="49" s="1"/>
  <c r="R2" i="49"/>
  <c r="H14" i="49"/>
  <c r="AG5" i="32"/>
  <c r="X47" i="33"/>
  <c r="P96" i="32"/>
  <c r="O101" i="32"/>
  <c r="O97" i="32"/>
  <c r="K49" i="29"/>
  <c r="G47" i="29"/>
  <c r="K50" i="29"/>
  <c r="A70" i="44"/>
  <c r="B70" i="44" s="1"/>
  <c r="B69" i="44"/>
  <c r="B72" i="39"/>
  <c r="A73" i="39"/>
  <c r="AP80" i="32"/>
  <c r="AP34" i="33"/>
  <c r="AL150" i="43"/>
  <c r="AH150" i="43"/>
  <c r="AI147" i="43"/>
  <c r="AL149" i="43"/>
  <c r="AH149" i="43"/>
  <c r="C59" i="46"/>
  <c r="C58" i="46"/>
  <c r="A74" i="34"/>
  <c r="B73" i="34"/>
  <c r="K55" i="31"/>
  <c r="K54" i="31"/>
  <c r="G52" i="31"/>
  <c r="B76" i="59"/>
  <c r="A77" i="59"/>
  <c r="AJ64" i="44"/>
  <c r="AJ65" i="44"/>
  <c r="AC74" i="50"/>
  <c r="AD74" i="50" s="1"/>
  <c r="AD73" i="50"/>
  <c r="AC78" i="50"/>
  <c r="A69" i="45"/>
  <c r="B68" i="45"/>
  <c r="P72" i="41"/>
  <c r="O73" i="41"/>
  <c r="Q57" i="29"/>
  <c r="Q59" i="29"/>
  <c r="A82" i="49"/>
  <c r="A86" i="49"/>
  <c r="B81" i="49"/>
  <c r="Q57" i="41"/>
  <c r="Q59" i="41"/>
  <c r="O64" i="34"/>
  <c r="P63" i="34"/>
  <c r="Q63" i="34" s="1"/>
  <c r="O68" i="27"/>
  <c r="P67" i="27"/>
  <c r="C64" i="40"/>
  <c r="C63" i="40"/>
  <c r="C57" i="34"/>
  <c r="G58" i="34"/>
  <c r="M60" i="35"/>
  <c r="I60" i="35"/>
  <c r="G59" i="35"/>
  <c r="M59" i="35"/>
  <c r="I59" i="35"/>
  <c r="AP54" i="33"/>
  <c r="M54" i="46"/>
  <c r="M55" i="46"/>
  <c r="I54" i="46"/>
  <c r="I55" i="46"/>
  <c r="G54" i="46"/>
  <c r="P59" i="43"/>
  <c r="O60" i="43"/>
  <c r="P60" i="43" s="1"/>
  <c r="O68" i="37"/>
  <c r="P67" i="37"/>
  <c r="AL70" i="31"/>
  <c r="AH70" i="31"/>
  <c r="AI67" i="31"/>
  <c r="AL69" i="31"/>
  <c r="AH69" i="31"/>
  <c r="C63" i="35"/>
  <c r="C64" i="35"/>
  <c r="CM151" i="61"/>
  <c r="K49" i="45"/>
  <c r="G47" i="45"/>
  <c r="K50" i="45"/>
  <c r="P84" i="32"/>
  <c r="O85" i="32"/>
  <c r="P85" i="32" s="1"/>
  <c r="B77" i="28"/>
  <c r="A78" i="28"/>
  <c r="P59" i="40"/>
  <c r="O60" i="40"/>
  <c r="P60" i="40" s="1"/>
  <c r="A65" i="39"/>
  <c r="B65" i="39" s="1"/>
  <c r="B64" i="39"/>
  <c r="CM130" i="61"/>
  <c r="O77" i="59"/>
  <c r="P76" i="59"/>
  <c r="Q76" i="59" s="1"/>
  <c r="AC74" i="34"/>
  <c r="AD74" i="34" s="1"/>
  <c r="AD73" i="34"/>
  <c r="AC78" i="34"/>
  <c r="AL64" i="38"/>
  <c r="AH64" i="38"/>
  <c r="AL65" i="38"/>
  <c r="AH65" i="38"/>
  <c r="AI62" i="38"/>
  <c r="K10" i="31"/>
  <c r="K11" i="31"/>
  <c r="R24" i="31"/>
  <c r="AF11" i="31"/>
  <c r="AF7" i="31"/>
  <c r="R6" i="31"/>
  <c r="R22" i="31"/>
  <c r="U26" i="31" s="1"/>
  <c r="H28" i="31"/>
  <c r="H16" i="31"/>
  <c r="K7" i="31"/>
  <c r="AF9" i="31"/>
  <c r="K6" i="31"/>
  <c r="R15" i="31"/>
  <c r="AF5" i="31"/>
  <c r="R4" i="31"/>
  <c r="AG8" i="38"/>
  <c r="S14" i="33"/>
  <c r="S15" i="33"/>
  <c r="S13" i="33"/>
  <c r="U9" i="32"/>
  <c r="S3" i="32"/>
  <c r="AB10" i="33"/>
  <c r="AA10" i="33"/>
  <c r="AB9" i="33"/>
  <c r="V8" i="33"/>
  <c r="AA9" i="33"/>
  <c r="AP40" i="37"/>
  <c r="A74" i="33"/>
  <c r="B73" i="33"/>
  <c r="B81" i="41"/>
  <c r="A86" i="41"/>
  <c r="A82" i="41"/>
  <c r="Q57" i="35"/>
  <c r="Q59" i="35"/>
  <c r="B72" i="46"/>
  <c r="A73" i="46"/>
  <c r="P68" i="42"/>
  <c r="Q68" i="42" s="1"/>
  <c r="O69" i="42"/>
  <c r="K54" i="41"/>
  <c r="G52" i="41"/>
  <c r="K55" i="41"/>
  <c r="B81" i="59"/>
  <c r="A82" i="59"/>
  <c r="AP55" i="37"/>
  <c r="M60" i="29"/>
  <c r="I60" i="29"/>
  <c r="G59" i="29"/>
  <c r="M59" i="29"/>
  <c r="I59" i="29"/>
  <c r="A86" i="44"/>
  <c r="A82" i="44"/>
  <c r="B81" i="44"/>
  <c r="AA60" i="39"/>
  <c r="AO60" i="39" s="1"/>
  <c r="AP60" i="39" s="1"/>
  <c r="W60" i="39"/>
  <c r="AA59" i="39"/>
  <c r="AO59" i="39" s="1"/>
  <c r="AP59" i="39" s="1"/>
  <c r="W59" i="39"/>
  <c r="Q54" i="40"/>
  <c r="Q52" i="40"/>
  <c r="H37" i="49"/>
  <c r="M59" i="44"/>
  <c r="I59" i="44"/>
  <c r="M60" i="44"/>
  <c r="I60" i="44"/>
  <c r="G59" i="44"/>
  <c r="M59" i="27"/>
  <c r="I59" i="27"/>
  <c r="M60" i="27"/>
  <c r="I60" i="27"/>
  <c r="G59" i="27"/>
  <c r="A74" i="32"/>
  <c r="B73" i="32"/>
  <c r="AP54" i="38"/>
  <c r="CM133" i="61"/>
  <c r="M55" i="45"/>
  <c r="I55" i="45"/>
  <c r="G54" i="45"/>
  <c r="M54" i="45"/>
  <c r="I54" i="45"/>
  <c r="K49" i="37"/>
  <c r="G47" i="37"/>
  <c r="K50" i="37"/>
  <c r="A74" i="35"/>
  <c r="B73" i="35"/>
  <c r="A65" i="48"/>
  <c r="B65" i="48" s="1"/>
  <c r="B64" i="48"/>
  <c r="AP59" i="38"/>
  <c r="C57" i="33"/>
  <c r="G58" i="33"/>
  <c r="D38" i="49"/>
  <c r="AE34" i="49"/>
  <c r="R33" i="49"/>
  <c r="AE38" i="49"/>
  <c r="R37" i="49"/>
  <c r="AI67" i="32"/>
  <c r="AL69" i="32"/>
  <c r="AH69" i="32"/>
  <c r="AL70" i="32"/>
  <c r="AH70" i="32"/>
  <c r="Y50" i="40"/>
  <c r="Y49" i="40"/>
  <c r="AI87" i="46"/>
  <c r="AL89" i="46"/>
  <c r="AH89" i="46"/>
  <c r="AH90" i="46"/>
  <c r="AL90" i="46"/>
  <c r="AI67" i="28"/>
  <c r="AL69" i="28"/>
  <c r="AH69" i="28"/>
  <c r="AL70" i="28"/>
  <c r="AH70" i="28"/>
  <c r="O72" i="49"/>
  <c r="P71" i="49"/>
  <c r="O76" i="49"/>
  <c r="A73" i="36"/>
  <c r="B72" i="36"/>
  <c r="B76" i="48"/>
  <c r="A81" i="48"/>
  <c r="A77" i="48"/>
  <c r="X52" i="35"/>
  <c r="AG5" i="35"/>
  <c r="AG3" i="35"/>
  <c r="U9" i="39"/>
  <c r="S3" i="39"/>
  <c r="AA27" i="35"/>
  <c r="V26" i="35"/>
  <c r="AB28" i="35"/>
  <c r="AA28" i="35"/>
  <c r="AB27" i="35"/>
  <c r="AP16" i="36"/>
  <c r="AO16" i="36"/>
  <c r="AP15" i="36"/>
  <c r="AO15" i="36"/>
  <c r="AJ14" i="36"/>
  <c r="AA9" i="36"/>
  <c r="AB10" i="36"/>
  <c r="AA10" i="36"/>
  <c r="AB9" i="36"/>
  <c r="V8" i="36"/>
  <c r="S2" i="39"/>
  <c r="U27" i="39"/>
  <c r="S21" i="39"/>
  <c r="AI15" i="36"/>
  <c r="AG9" i="36"/>
  <c r="AA10" i="35"/>
  <c r="AB9" i="35"/>
  <c r="V8" i="35"/>
  <c r="AA9" i="35"/>
  <c r="AB10" i="35"/>
  <c r="AG5" i="40"/>
  <c r="AG3" i="40"/>
  <c r="S13" i="40"/>
  <c r="S14" i="40"/>
  <c r="S15" i="40"/>
  <c r="S20" i="39"/>
  <c r="AG3" i="39"/>
  <c r="AG5" i="39"/>
  <c r="AB28" i="36"/>
  <c r="AA28" i="36"/>
  <c r="AB27" i="36"/>
  <c r="AA27" i="36"/>
  <c r="V26" i="36"/>
  <c r="S15" i="42"/>
  <c r="H26" i="34"/>
  <c r="I26" i="34" s="1"/>
  <c r="M26" i="34" s="1"/>
  <c r="N26" i="34" s="1"/>
  <c r="N29" i="34" s="1"/>
  <c r="R2" i="34"/>
  <c r="H14" i="34"/>
  <c r="I16" i="34" s="1"/>
  <c r="J16" i="34" s="1"/>
  <c r="R13" i="34"/>
  <c r="AF3" i="34"/>
  <c r="AG4" i="34" s="1"/>
  <c r="R13" i="33"/>
  <c r="AF3" i="33"/>
  <c r="AG4" i="33" s="1"/>
  <c r="H26" i="33"/>
  <c r="I26" i="33" s="1"/>
  <c r="M26" i="33" s="1"/>
  <c r="N26" i="33" s="1"/>
  <c r="N29" i="33" s="1"/>
  <c r="R2" i="33"/>
  <c r="H14" i="33"/>
  <c r="AP45" i="34"/>
  <c r="AP44" i="34"/>
  <c r="H26" i="28"/>
  <c r="I26" i="28" s="1"/>
  <c r="M26" i="28" s="1"/>
  <c r="N26" i="28" s="1"/>
  <c r="R2" i="28"/>
  <c r="H14" i="28"/>
  <c r="R13" i="28"/>
  <c r="AF3" i="28"/>
  <c r="AA28" i="46"/>
  <c r="AA27" i="46"/>
  <c r="B77" i="29"/>
  <c r="A78" i="29"/>
  <c r="CM135" i="61"/>
  <c r="AJ69" i="49"/>
  <c r="AJ70" i="49"/>
  <c r="P59" i="45"/>
  <c r="O60" i="45"/>
  <c r="P60" i="45" s="1"/>
  <c r="X72" i="32"/>
  <c r="K44" i="41"/>
  <c r="G42" i="41"/>
  <c r="K45" i="41"/>
  <c r="M59" i="42"/>
  <c r="I59" i="42"/>
  <c r="M60" i="42"/>
  <c r="I60" i="42"/>
  <c r="G59" i="42"/>
  <c r="AC69" i="47"/>
  <c r="AD69" i="47" s="1"/>
  <c r="AD68" i="47"/>
  <c r="AC73" i="47"/>
  <c r="C63" i="41"/>
  <c r="C64" i="41"/>
  <c r="P63" i="31"/>
  <c r="Q63" i="31" s="1"/>
  <c r="O64" i="31"/>
  <c r="O69" i="26"/>
  <c r="P68" i="26"/>
  <c r="Q68" i="26" s="1"/>
  <c r="AL70" i="48"/>
  <c r="AH70" i="48"/>
  <c r="AI67" i="48"/>
  <c r="AL69" i="48"/>
  <c r="AH69" i="48"/>
  <c r="H4" i="23"/>
  <c r="I4" i="23" s="1"/>
  <c r="D4" i="23"/>
  <c r="AL64" i="41"/>
  <c r="AH64" i="41"/>
  <c r="AL65" i="41"/>
  <c r="AH65" i="41"/>
  <c r="AI62" i="41"/>
  <c r="P67" i="39"/>
  <c r="O68" i="39"/>
  <c r="A69" i="36"/>
  <c r="B68" i="36"/>
  <c r="U27" i="42"/>
  <c r="S21" i="42"/>
  <c r="S2" i="32"/>
  <c r="AG9" i="34"/>
  <c r="AI15" i="34"/>
  <c r="I22" i="49"/>
  <c r="I15" i="49"/>
  <c r="S15" i="44"/>
  <c r="U27" i="38"/>
  <c r="S21" i="38"/>
  <c r="I22" i="34"/>
  <c r="I15" i="34"/>
  <c r="S15" i="37"/>
  <c r="S13" i="37"/>
  <c r="S14" i="37"/>
  <c r="S3" i="46"/>
  <c r="U9" i="46"/>
  <c r="B81" i="29"/>
  <c r="A86" i="29"/>
  <c r="A82" i="29"/>
  <c r="CM143" i="61"/>
  <c r="AL70" i="36"/>
  <c r="AH69" i="36"/>
  <c r="AL69" i="36"/>
  <c r="AH70" i="36"/>
  <c r="AI67" i="36"/>
  <c r="AL70" i="49"/>
  <c r="AH70" i="49"/>
  <c r="AI67" i="49"/>
  <c r="AL69" i="49"/>
  <c r="AH69" i="49"/>
  <c r="C59" i="45"/>
  <c r="C58" i="45"/>
  <c r="X47" i="34"/>
  <c r="C59" i="26"/>
  <c r="C58" i="26"/>
  <c r="C64" i="50"/>
  <c r="C63" i="50"/>
  <c r="K45" i="31"/>
  <c r="K44" i="31"/>
  <c r="G42" i="31"/>
  <c r="B77" i="47"/>
  <c r="A78" i="47"/>
  <c r="Y75" i="32"/>
  <c r="Y74" i="32"/>
  <c r="AP50" i="32"/>
  <c r="C64" i="47"/>
  <c r="C63" i="47"/>
  <c r="B81" i="32"/>
  <c r="A82" i="32"/>
  <c r="A86" i="32"/>
  <c r="X52" i="30"/>
  <c r="Q59" i="42"/>
  <c r="Q57" i="42"/>
  <c r="G47" i="42"/>
  <c r="K50" i="42"/>
  <c r="K49" i="42"/>
  <c r="AJ65" i="47"/>
  <c r="AJ64" i="47"/>
  <c r="AA65" i="47"/>
  <c r="AO65" i="47" s="1"/>
  <c r="W65" i="47"/>
  <c r="AA64" i="47"/>
  <c r="AO64" i="47" s="1"/>
  <c r="W64" i="47"/>
  <c r="K54" i="32"/>
  <c r="K55" i="32"/>
  <c r="G52" i="32"/>
  <c r="K54" i="28"/>
  <c r="G52" i="28"/>
  <c r="K55" i="28"/>
  <c r="A86" i="31"/>
  <c r="A82" i="31"/>
  <c r="B81" i="31"/>
  <c r="X47" i="45"/>
  <c r="AC78" i="48"/>
  <c r="AC74" i="48"/>
  <c r="AD74" i="48" s="1"/>
  <c r="AD73" i="48"/>
  <c r="Q52" i="46"/>
  <c r="Q54" i="46"/>
  <c r="AH4" i="61"/>
  <c r="AI3" i="61"/>
  <c r="C7" i="50"/>
  <c r="AP4" i="22"/>
  <c r="B4" i="22"/>
  <c r="AP54" i="34"/>
  <c r="Q57" i="26"/>
  <c r="Q59" i="26"/>
  <c r="O69" i="47"/>
  <c r="P68" i="47"/>
  <c r="Q68" i="47" s="1"/>
  <c r="G47" i="46"/>
  <c r="K49" i="46"/>
  <c r="K50" i="46"/>
  <c r="Y50" i="27"/>
  <c r="Y49" i="27"/>
  <c r="AP40" i="34"/>
  <c r="X52" i="47"/>
  <c r="P63" i="33"/>
  <c r="Q63" i="33" s="1"/>
  <c r="O64" i="33"/>
  <c r="R23" i="31"/>
  <c r="R16" i="31"/>
  <c r="AF10" i="31"/>
  <c r="AI14" i="31" s="1"/>
  <c r="K8" i="31"/>
  <c r="R5" i="31"/>
  <c r="K9" i="31"/>
  <c r="AF6" i="31"/>
  <c r="U9" i="44"/>
  <c r="S3" i="44"/>
  <c r="AA28" i="44"/>
  <c r="U9" i="38"/>
  <c r="S3" i="38"/>
  <c r="S20" i="33"/>
  <c r="U9" i="42"/>
  <c r="S3" i="42"/>
  <c r="S3" i="37"/>
  <c r="U9" i="37"/>
  <c r="AA10" i="38"/>
  <c r="AB9" i="38"/>
  <c r="V8" i="38"/>
  <c r="AA9" i="38"/>
  <c r="AB10" i="38"/>
  <c r="K49" i="47"/>
  <c r="G47" i="47"/>
  <c r="K50" i="47"/>
  <c r="B72" i="30"/>
  <c r="A73" i="30"/>
  <c r="M60" i="40"/>
  <c r="I60" i="40"/>
  <c r="G59" i="40"/>
  <c r="M59" i="40"/>
  <c r="I59" i="40"/>
  <c r="Q54" i="44"/>
  <c r="Q52" i="44"/>
  <c r="AA65" i="41"/>
  <c r="AO65" i="41" s="1"/>
  <c r="W65" i="41"/>
  <c r="AA64" i="41"/>
  <c r="AO64" i="41" s="1"/>
  <c r="W64" i="41"/>
  <c r="O77" i="42"/>
  <c r="P76" i="42"/>
  <c r="O81" i="42"/>
  <c r="AP39" i="33"/>
  <c r="A70" i="50"/>
  <c r="B70" i="50" s="1"/>
  <c r="B69" i="50"/>
  <c r="O69" i="29"/>
  <c r="P68" i="29"/>
  <c r="Q68" i="29" s="1"/>
  <c r="P59" i="46"/>
  <c r="O60" i="46"/>
  <c r="P60" i="46" s="1"/>
  <c r="X47" i="43"/>
  <c r="AC78" i="42"/>
  <c r="AC74" i="42"/>
  <c r="AD74" i="42" s="1"/>
  <c r="AD73" i="42"/>
  <c r="CM137" i="61"/>
  <c r="M54" i="39"/>
  <c r="I54" i="39"/>
  <c r="M55" i="39"/>
  <c r="I55" i="39"/>
  <c r="G54" i="39"/>
  <c r="O72" i="59"/>
  <c r="P72" i="59" s="1"/>
  <c r="P71" i="59"/>
  <c r="P71" i="43"/>
  <c r="O72" i="43"/>
  <c r="O76" i="43"/>
  <c r="X57" i="59"/>
  <c r="A74" i="47"/>
  <c r="B73" i="47"/>
  <c r="M60" i="41"/>
  <c r="I60" i="41"/>
  <c r="G59" i="41"/>
  <c r="M59" i="41"/>
  <c r="I59" i="41"/>
  <c r="AA60" i="33"/>
  <c r="AO60" i="33" s="1"/>
  <c r="AP60" i="33" s="1"/>
  <c r="W60" i="33"/>
  <c r="AA59" i="33"/>
  <c r="AO59" i="33" s="1"/>
  <c r="AP59" i="33" s="1"/>
  <c r="W59" i="33"/>
  <c r="CM147" i="61"/>
  <c r="AA65" i="35"/>
  <c r="AO65" i="35" s="1"/>
  <c r="AP65" i="35" s="1"/>
  <c r="W65" i="35"/>
  <c r="AA64" i="35"/>
  <c r="AO64" i="35" s="1"/>
  <c r="AP64" i="35" s="1"/>
  <c r="W64" i="35"/>
  <c r="C59" i="37"/>
  <c r="C58" i="37"/>
  <c r="K49" i="28"/>
  <c r="G47" i="28"/>
  <c r="K50" i="28"/>
  <c r="C63" i="38"/>
  <c r="C64" i="38"/>
  <c r="AL78" i="59"/>
  <c r="AL77" i="59"/>
  <c r="C57" i="32"/>
  <c r="G58" i="32"/>
  <c r="AP55" i="38"/>
  <c r="X47" i="49"/>
  <c r="A70" i="28"/>
  <c r="B70" i="28" s="1"/>
  <c r="B69" i="28"/>
  <c r="P71" i="50"/>
  <c r="O76" i="50"/>
  <c r="O72" i="50"/>
  <c r="C64" i="28"/>
  <c r="C63" i="28"/>
  <c r="O65" i="42"/>
  <c r="P65" i="42" s="1"/>
  <c r="P64" i="42"/>
  <c r="K44" i="38"/>
  <c r="G42" i="38"/>
  <c r="K45" i="38"/>
  <c r="AJ65" i="29"/>
  <c r="AJ64" i="29"/>
  <c r="P81" i="59"/>
  <c r="O82" i="59"/>
  <c r="K54" i="47"/>
  <c r="G52" i="47"/>
  <c r="K55" i="47"/>
  <c r="AI77" i="40"/>
  <c r="AL79" i="40"/>
  <c r="AH79" i="40"/>
  <c r="AL80" i="40"/>
  <c r="AH80" i="40"/>
  <c r="AF12" i="31"/>
  <c r="R25" i="31"/>
  <c r="S15" i="49"/>
  <c r="AG9" i="44"/>
  <c r="AI15" i="44"/>
  <c r="AI15" i="38"/>
  <c r="AG9" i="38"/>
  <c r="AA9" i="42"/>
  <c r="AA10" i="42"/>
  <c r="S15" i="34"/>
  <c r="S13" i="34"/>
  <c r="S14" i="34"/>
  <c r="AG8" i="33"/>
  <c r="H26" i="37"/>
  <c r="I26" i="37" s="1"/>
  <c r="M26" i="37" s="1"/>
  <c r="N26" i="37" s="1"/>
  <c r="N29" i="37" s="1"/>
  <c r="H14" i="37"/>
  <c r="I16" i="37" s="1"/>
  <c r="J16" i="37" s="1"/>
  <c r="R13" i="37"/>
  <c r="AF3" i="37"/>
  <c r="AG4" i="37" s="1"/>
  <c r="R2" i="37"/>
  <c r="H14" i="36"/>
  <c r="I16" i="36" s="1"/>
  <c r="J16" i="36" s="1"/>
  <c r="R13" i="36"/>
  <c r="AF3" i="36"/>
  <c r="AG4" i="36" s="1"/>
  <c r="H26" i="36"/>
  <c r="I26" i="36" s="1"/>
  <c r="M26" i="36" s="1"/>
  <c r="N26" i="36" s="1"/>
  <c r="N29" i="36" s="1"/>
  <c r="R2" i="36"/>
  <c r="T2" i="36" s="1"/>
  <c r="A78" i="33"/>
  <c r="B77" i="33"/>
  <c r="AJ70" i="26"/>
  <c r="AJ69" i="26"/>
  <c r="A69" i="30"/>
  <c r="B68" i="30"/>
  <c r="A69" i="46"/>
  <c r="B68" i="46"/>
  <c r="B76" i="39"/>
  <c r="A81" i="39"/>
  <c r="A77" i="39"/>
  <c r="O60" i="31"/>
  <c r="P60" i="31" s="1"/>
  <c r="P59" i="31"/>
  <c r="G47" i="36"/>
  <c r="K50" i="36"/>
  <c r="K49" i="36"/>
  <c r="Q52" i="37"/>
  <c r="Q54" i="37"/>
  <c r="AL65" i="44"/>
  <c r="AH65" i="44"/>
  <c r="AI62" i="44"/>
  <c r="AL64" i="44"/>
  <c r="AH64" i="44"/>
  <c r="AJ70" i="50"/>
  <c r="AJ69" i="50"/>
  <c r="AP39" i="32"/>
  <c r="AJ69" i="39"/>
  <c r="AJ70" i="39"/>
  <c r="O81" i="41"/>
  <c r="O77" i="41"/>
  <c r="P76" i="41"/>
  <c r="F4" i="24"/>
  <c r="AC74" i="33"/>
  <c r="AD74" i="33" s="1"/>
  <c r="AD73" i="33"/>
  <c r="AC78" i="33"/>
  <c r="C64" i="49"/>
  <c r="C63" i="49"/>
  <c r="A74" i="50"/>
  <c r="B73" i="50"/>
  <c r="F42" i="50"/>
  <c r="K54" i="29"/>
  <c r="G52" i="29"/>
  <c r="K55" i="29"/>
  <c r="O68" i="46"/>
  <c r="P67" i="46"/>
  <c r="M60" i="34"/>
  <c r="I60" i="34"/>
  <c r="G59" i="34"/>
  <c r="M59" i="34"/>
  <c r="I59" i="34"/>
  <c r="C57" i="35"/>
  <c r="G58" i="35"/>
  <c r="AC74" i="37"/>
  <c r="AD74" i="37" s="1"/>
  <c r="AD73" i="37"/>
  <c r="AC78" i="37"/>
  <c r="O64" i="50"/>
  <c r="P63" i="50"/>
  <c r="Q63" i="50" s="1"/>
  <c r="A65" i="43"/>
  <c r="B65" i="43" s="1"/>
  <c r="B64" i="43"/>
  <c r="AC74" i="45"/>
  <c r="AD74" i="45" s="1"/>
  <c r="AD73" i="45"/>
  <c r="AC78" i="45"/>
  <c r="O72" i="31"/>
  <c r="P71" i="31"/>
  <c r="O76" i="31"/>
  <c r="W60" i="43"/>
  <c r="AA59" i="43"/>
  <c r="AO59" i="43" s="1"/>
  <c r="AA60" i="43"/>
  <c r="AO60" i="43" s="1"/>
  <c r="W59" i="43"/>
  <c r="AC69" i="35"/>
  <c r="AD69" i="35" s="1"/>
  <c r="AD68" i="35"/>
  <c r="AC73" i="35"/>
  <c r="P71" i="37"/>
  <c r="O76" i="37"/>
  <c r="O72" i="37"/>
  <c r="AC74" i="27"/>
  <c r="AD74" i="27" s="1"/>
  <c r="AD73" i="27"/>
  <c r="AC78" i="27"/>
  <c r="K54" i="34"/>
  <c r="G52" i="34"/>
  <c r="K55" i="34"/>
  <c r="G47" i="48"/>
  <c r="K50" i="48"/>
  <c r="K49" i="48"/>
  <c r="O60" i="44"/>
  <c r="P60" i="44" s="1"/>
  <c r="P59" i="44"/>
  <c r="A70" i="38"/>
  <c r="B70" i="38" s="1"/>
  <c r="B69" i="38"/>
  <c r="O65" i="48"/>
  <c r="P65" i="48" s="1"/>
  <c r="P64" i="48"/>
  <c r="O69" i="35"/>
  <c r="P68" i="35"/>
  <c r="Q68" i="35" s="1"/>
  <c r="A70" i="32"/>
  <c r="B70" i="32" s="1"/>
  <c r="B69" i="32"/>
  <c r="X52" i="38"/>
  <c r="C64" i="33"/>
  <c r="C63" i="33"/>
  <c r="B81" i="28"/>
  <c r="A86" i="28"/>
  <c r="A82" i="28"/>
  <c r="AJ70" i="34"/>
  <c r="AJ69" i="34"/>
  <c r="O68" i="33"/>
  <c r="P67" i="33"/>
  <c r="AG3" i="37"/>
  <c r="AG5" i="37"/>
  <c r="S2" i="33"/>
  <c r="U27" i="33"/>
  <c r="S21" i="33"/>
  <c r="AG5" i="49"/>
  <c r="AA27" i="32"/>
  <c r="V26" i="32"/>
  <c r="AA28" i="32"/>
  <c r="AP44" i="33"/>
  <c r="AP45" i="33"/>
  <c r="X52" i="29"/>
  <c r="Q52" i="50"/>
  <c r="Q54" i="50"/>
  <c r="P63" i="44"/>
  <c r="Q63" i="44" s="1"/>
  <c r="O64" i="44"/>
  <c r="C57" i="29"/>
  <c r="G58" i="29"/>
  <c r="C64" i="44"/>
  <c r="C63" i="44"/>
  <c r="O60" i="49"/>
  <c r="P60" i="49" s="1"/>
  <c r="P59" i="49"/>
  <c r="B72" i="26"/>
  <c r="A73" i="26"/>
  <c r="W65" i="26"/>
  <c r="AA64" i="26"/>
  <c r="AO64" i="26" s="1"/>
  <c r="W64" i="26"/>
  <c r="AA65" i="26"/>
  <c r="AO65" i="26" s="1"/>
  <c r="P35" i="61"/>
  <c r="B6" i="64" s="1"/>
  <c r="CM131" i="61"/>
  <c r="O64" i="46"/>
  <c r="P63" i="46"/>
  <c r="Q63" i="46" s="1"/>
  <c r="Q54" i="33"/>
  <c r="Q52" i="33"/>
  <c r="O64" i="45"/>
  <c r="P63" i="45"/>
  <c r="Q63" i="45" s="1"/>
  <c r="Y55" i="42"/>
  <c r="Y54" i="42"/>
  <c r="A65" i="26"/>
  <c r="B65" i="26" s="1"/>
  <c r="B64" i="26"/>
  <c r="M60" i="47"/>
  <c r="I60" i="47"/>
  <c r="G59" i="47"/>
  <c r="M59" i="47"/>
  <c r="I59" i="47"/>
  <c r="G47" i="39"/>
  <c r="K50" i="39"/>
  <c r="K49" i="39"/>
  <c r="M59" i="33"/>
  <c r="I59" i="33"/>
  <c r="M60" i="33"/>
  <c r="I60" i="33"/>
  <c r="G59" i="33"/>
  <c r="AF6" i="61"/>
  <c r="C5" i="48"/>
  <c r="B6" i="24"/>
  <c r="AP6" i="24"/>
  <c r="Y5" i="24" s="1"/>
  <c r="X4" i="24" s="1"/>
  <c r="Q52" i="34"/>
  <c r="Q54" i="34"/>
  <c r="AC78" i="32"/>
  <c r="AC74" i="32"/>
  <c r="AD74" i="32" s="1"/>
  <c r="AD73" i="32"/>
  <c r="X47" i="40"/>
  <c r="C64" i="42"/>
  <c r="C63" i="42"/>
  <c r="H26" i="50"/>
  <c r="I26" i="50" s="1"/>
  <c r="M26" i="50" s="1"/>
  <c r="N26" i="50" s="1"/>
  <c r="R2" i="50"/>
  <c r="H14" i="50"/>
  <c r="R13" i="50"/>
  <c r="AF3" i="50"/>
  <c r="K49" i="38"/>
  <c r="G47" i="38"/>
  <c r="K50" i="38"/>
  <c r="O73" i="47"/>
  <c r="P72" i="47"/>
  <c r="A81" i="36"/>
  <c r="A77" i="36"/>
  <c r="B76" i="36"/>
  <c r="Y55" i="35"/>
  <c r="Y54" i="35"/>
  <c r="AI15" i="35"/>
  <c r="AG9" i="35"/>
  <c r="U9" i="40"/>
  <c r="S3" i="40"/>
  <c r="U9" i="35"/>
  <c r="S3" i="35"/>
  <c r="S13" i="36"/>
  <c r="S14" i="36"/>
  <c r="S15" i="36"/>
  <c r="AP45" i="36"/>
  <c r="AP44" i="36"/>
  <c r="AP50" i="36"/>
  <c r="AP49" i="36"/>
  <c r="AG3" i="36"/>
  <c r="AG5" i="36"/>
  <c r="AG8" i="35"/>
  <c r="AO15" i="35"/>
  <c r="AJ14" i="35"/>
  <c r="AP16" i="35"/>
  <c r="AO16" i="35"/>
  <c r="AP15" i="35"/>
  <c r="AP49" i="35"/>
  <c r="AP50" i="35"/>
  <c r="AP45" i="35"/>
  <c r="AP44" i="35"/>
  <c r="AG9" i="40"/>
  <c r="AG10" i="40" s="1"/>
  <c r="AI15" i="40"/>
  <c r="AA9" i="39"/>
  <c r="AB10" i="39"/>
  <c r="AA10" i="39"/>
  <c r="AB9" i="39"/>
  <c r="V8" i="39"/>
  <c r="U9" i="36"/>
  <c r="S3" i="36"/>
  <c r="R13" i="27"/>
  <c r="AF3" i="27"/>
  <c r="H26" i="27"/>
  <c r="I26" i="27" s="1"/>
  <c r="M26" i="27" s="1"/>
  <c r="N26" i="27" s="1"/>
  <c r="R2" i="27"/>
  <c r="H14" i="27"/>
  <c r="AB28" i="33"/>
  <c r="AA28" i="33"/>
  <c r="AB27" i="33"/>
  <c r="AA27" i="33"/>
  <c r="V26" i="33"/>
  <c r="AB4" i="37"/>
  <c r="R2" i="41"/>
  <c r="H14" i="41"/>
  <c r="R13" i="41"/>
  <c r="AF3" i="41"/>
  <c r="H26" i="41"/>
  <c r="I26" i="41" s="1"/>
  <c r="M26" i="41" s="1"/>
  <c r="N26" i="41" s="1"/>
  <c r="A74" i="41"/>
  <c r="B73" i="41"/>
  <c r="Q54" i="27"/>
  <c r="Q52" i="27"/>
  <c r="AA60" i="28"/>
  <c r="AO60" i="28" s="1"/>
  <c r="W60" i="28"/>
  <c r="AA59" i="28"/>
  <c r="AO59" i="28" s="1"/>
  <c r="W59" i="28"/>
  <c r="AJ69" i="30"/>
  <c r="AJ70" i="30"/>
  <c r="A70" i="35"/>
  <c r="B70" i="35" s="1"/>
  <c r="B69" i="35"/>
  <c r="Y50" i="31"/>
  <c r="Y49" i="31"/>
  <c r="B77" i="32"/>
  <c r="A78" i="32"/>
  <c r="AI62" i="47"/>
  <c r="AL64" i="47"/>
  <c r="AH64" i="47"/>
  <c r="AL65" i="47"/>
  <c r="AH65" i="47"/>
  <c r="K54" i="38"/>
  <c r="G52" i="38"/>
  <c r="K55" i="38"/>
  <c r="Y50" i="44"/>
  <c r="Y49" i="44"/>
  <c r="Y50" i="45"/>
  <c r="Y49" i="45"/>
  <c r="AG5" i="61"/>
  <c r="AP5" i="23"/>
  <c r="Y4" i="23" s="1"/>
  <c r="C6" i="49"/>
  <c r="R47" i="49" s="1"/>
  <c r="B5" i="23"/>
  <c r="A70" i="29"/>
  <c r="B70" i="29" s="1"/>
  <c r="B69" i="29"/>
  <c r="O72" i="39"/>
  <c r="P71" i="39"/>
  <c r="O76" i="39"/>
  <c r="C57" i="31"/>
  <c r="G58" i="31"/>
  <c r="X47" i="27"/>
  <c r="Y55" i="47"/>
  <c r="Y54" i="47"/>
  <c r="O60" i="27"/>
  <c r="P60" i="27" s="1"/>
  <c r="P59" i="27"/>
  <c r="A69" i="48"/>
  <c r="B68" i="48"/>
  <c r="AB10" i="37"/>
  <c r="AA10" i="37"/>
  <c r="AB9" i="37"/>
  <c r="V8" i="37"/>
  <c r="AA9" i="37"/>
  <c r="R13" i="44"/>
  <c r="AF3" i="44"/>
  <c r="H26" i="44"/>
  <c r="I26" i="44" s="1"/>
  <c r="M26" i="44" s="1"/>
  <c r="N26" i="44" s="1"/>
  <c r="R2" i="44"/>
  <c r="H14" i="44"/>
  <c r="AA10" i="32"/>
  <c r="V8" i="32"/>
  <c r="AA9" i="32"/>
  <c r="R2" i="32"/>
  <c r="R13" i="32"/>
  <c r="H26" i="32"/>
  <c r="I26" i="32" s="1"/>
  <c r="M26" i="32" s="1"/>
  <c r="N26" i="32" s="1"/>
  <c r="H14" i="32"/>
  <c r="AF3" i="32"/>
  <c r="AG4" i="32" s="1"/>
  <c r="H26" i="46"/>
  <c r="I26" i="46" s="1"/>
  <c r="M26" i="46" s="1"/>
  <c r="N26" i="46" s="1"/>
  <c r="H14" i="46"/>
  <c r="I16" i="46" s="1"/>
  <c r="J16" i="46" s="1"/>
  <c r="R2" i="46"/>
  <c r="R13" i="46"/>
  <c r="S13" i="46" s="1"/>
  <c r="AF3" i="46"/>
  <c r="AP49" i="38"/>
  <c r="AP44" i="38"/>
  <c r="AP50" i="38"/>
  <c r="AP45" i="38"/>
  <c r="M60" i="38"/>
  <c r="I60" i="38"/>
  <c r="G59" i="38"/>
  <c r="M59" i="38"/>
  <c r="I59" i="38"/>
  <c r="K50" i="44"/>
  <c r="K49" i="44"/>
  <c r="G47" i="44"/>
  <c r="B76" i="30"/>
  <c r="A81" i="30"/>
  <c r="A77" i="30"/>
  <c r="O65" i="41"/>
  <c r="P65" i="41" s="1"/>
  <c r="P64" i="41"/>
  <c r="Q77" i="32"/>
  <c r="Q79" i="32"/>
  <c r="B77" i="34"/>
  <c r="A78" i="34"/>
  <c r="C64" i="27"/>
  <c r="C63" i="27"/>
  <c r="Y55" i="36"/>
  <c r="Y54" i="36"/>
  <c r="O68" i="44"/>
  <c r="P67" i="44"/>
  <c r="P72" i="48"/>
  <c r="O73" i="48"/>
  <c r="W59" i="46"/>
  <c r="AA60" i="46"/>
  <c r="AO60" i="46" s="1"/>
  <c r="AP60" i="46" s="1"/>
  <c r="W60" i="46"/>
  <c r="AA59" i="46"/>
  <c r="AO59" i="46" s="1"/>
  <c r="Y50" i="43"/>
  <c r="Y49" i="43"/>
  <c r="X52" i="26"/>
  <c r="P67" i="43"/>
  <c r="O68" i="43"/>
  <c r="AA60" i="37"/>
  <c r="AO60" i="37" s="1"/>
  <c r="AP60" i="37" s="1"/>
  <c r="W60" i="37"/>
  <c r="AA59" i="37"/>
  <c r="AO59" i="37" s="1"/>
  <c r="W59" i="37"/>
  <c r="C57" i="41"/>
  <c r="G58" i="41"/>
  <c r="A70" i="31"/>
  <c r="B70" i="31" s="1"/>
  <c r="B69" i="31"/>
  <c r="O65" i="35"/>
  <c r="P65" i="35" s="1"/>
  <c r="P64" i="35"/>
  <c r="C57" i="28"/>
  <c r="G58" i="28"/>
  <c r="B77" i="50"/>
  <c r="A78" i="50"/>
  <c r="AN77" i="59"/>
  <c r="AJ77" i="59"/>
  <c r="AN78" i="59"/>
  <c r="AJ78" i="59"/>
  <c r="AK75" i="59"/>
  <c r="G53" i="48"/>
  <c r="C52" i="48"/>
  <c r="K50" i="33"/>
  <c r="K49" i="33"/>
  <c r="G47" i="33"/>
  <c r="G47" i="40"/>
  <c r="K50" i="40"/>
  <c r="K49" i="40"/>
  <c r="Q52" i="43"/>
  <c r="Q54" i="43"/>
  <c r="X47" i="46"/>
  <c r="AA65" i="42"/>
  <c r="AO65" i="42" s="1"/>
  <c r="W65" i="42"/>
  <c r="AA64" i="42"/>
  <c r="AO64" i="42" s="1"/>
  <c r="W64" i="42"/>
  <c r="AP39" i="38"/>
  <c r="AL64" i="29"/>
  <c r="AH64" i="29"/>
  <c r="AL65" i="29"/>
  <c r="AH65" i="29"/>
  <c r="AI62" i="29"/>
  <c r="O77" i="30"/>
  <c r="P76" i="30"/>
  <c r="O81" i="30"/>
  <c r="P72" i="35"/>
  <c r="O73" i="35"/>
  <c r="C64" i="31"/>
  <c r="C63" i="31"/>
  <c r="P86" i="59"/>
  <c r="O92" i="59"/>
  <c r="O87" i="59"/>
  <c r="B77" i="38"/>
  <c r="A78" i="38"/>
  <c r="B77" i="42"/>
  <c r="A78" i="42"/>
  <c r="S20" i="44"/>
  <c r="I15" i="46"/>
  <c r="I22" i="46"/>
  <c r="S20" i="38"/>
  <c r="AP45" i="42"/>
  <c r="AP44" i="42"/>
  <c r="H14" i="30"/>
  <c r="R13" i="30"/>
  <c r="AF3" i="30"/>
  <c r="H26" i="30"/>
  <c r="I26" i="30" s="1"/>
  <c r="M26" i="30" s="1"/>
  <c r="N26" i="30" s="1"/>
  <c r="R2" i="30"/>
  <c r="S2" i="34"/>
  <c r="AI15" i="32"/>
  <c r="AG9" i="32"/>
  <c r="A86" i="33"/>
  <c r="A82" i="33"/>
  <c r="B81" i="33"/>
  <c r="AI67" i="26"/>
  <c r="AL69" i="26"/>
  <c r="AH69" i="26"/>
  <c r="AL70" i="26"/>
  <c r="AH70" i="26"/>
  <c r="C57" i="49"/>
  <c r="G58" i="49"/>
  <c r="AP79" i="32"/>
  <c r="AA60" i="31"/>
  <c r="AO60" i="31" s="1"/>
  <c r="W60" i="31"/>
  <c r="AA59" i="31"/>
  <c r="AO59" i="31" s="1"/>
  <c r="W59" i="31"/>
  <c r="Q52" i="28"/>
  <c r="Q54" i="28"/>
  <c r="AA60" i="34"/>
  <c r="AO60" i="34" s="1"/>
  <c r="AP60" i="34" s="1"/>
  <c r="W60" i="34"/>
  <c r="AA59" i="34"/>
  <c r="AO59" i="34" s="1"/>
  <c r="W59" i="34"/>
  <c r="O65" i="30"/>
  <c r="P65" i="30" s="1"/>
  <c r="P64" i="30"/>
  <c r="AI67" i="50"/>
  <c r="AL69" i="50"/>
  <c r="AH69" i="50"/>
  <c r="AL70" i="50"/>
  <c r="AH70" i="50"/>
  <c r="AL70" i="39"/>
  <c r="AH70" i="39"/>
  <c r="AI67" i="39"/>
  <c r="AL69" i="39"/>
  <c r="AH69" i="39"/>
  <c r="AJ69" i="33"/>
  <c r="AJ70" i="33"/>
  <c r="O72" i="27"/>
  <c r="P71" i="27"/>
  <c r="O76" i="27"/>
  <c r="K55" i="27"/>
  <c r="K54" i="27"/>
  <c r="G52" i="27"/>
  <c r="B77" i="40"/>
  <c r="A78" i="40"/>
  <c r="CM152" i="61"/>
  <c r="P71" i="46"/>
  <c r="O76" i="46"/>
  <c r="O72" i="46"/>
  <c r="AP55" i="33"/>
  <c r="AJ70" i="37"/>
  <c r="AJ69" i="37"/>
  <c r="O68" i="45"/>
  <c r="P67" i="45"/>
  <c r="AJ70" i="45"/>
  <c r="AJ69" i="45"/>
  <c r="B77" i="35"/>
  <c r="A78" i="35"/>
  <c r="AJ65" i="35"/>
  <c r="AJ64" i="35"/>
  <c r="AC74" i="31"/>
  <c r="AD74" i="31" s="1"/>
  <c r="AD73" i="31"/>
  <c r="AC78" i="31"/>
  <c r="AJ69" i="27"/>
  <c r="AJ70" i="27"/>
  <c r="AA60" i="44"/>
  <c r="AO60" i="44" s="1"/>
  <c r="W60" i="44"/>
  <c r="AA59" i="44"/>
  <c r="AO59" i="44" s="1"/>
  <c r="W59" i="44"/>
  <c r="AA65" i="48"/>
  <c r="AO65" i="48" s="1"/>
  <c r="W65" i="48"/>
  <c r="AA64" i="48"/>
  <c r="AO64" i="48" s="1"/>
  <c r="W64" i="48"/>
  <c r="A65" i="30"/>
  <c r="B65" i="30" s="1"/>
  <c r="B64" i="30"/>
  <c r="Y55" i="38"/>
  <c r="Y54" i="38"/>
  <c r="C59" i="43"/>
  <c r="C58" i="43"/>
  <c r="P63" i="39"/>
  <c r="Q63" i="39" s="1"/>
  <c r="O64" i="39"/>
  <c r="O77" i="36"/>
  <c r="O81" i="36"/>
  <c r="P76" i="36"/>
  <c r="K50" i="49"/>
  <c r="K49" i="49"/>
  <c r="G47" i="49"/>
  <c r="AI67" i="34"/>
  <c r="AL69" i="34"/>
  <c r="AH69" i="34"/>
  <c r="AL70" i="34"/>
  <c r="AH70" i="34"/>
  <c r="K49" i="41"/>
  <c r="G47" i="41"/>
  <c r="K50" i="41"/>
  <c r="A74" i="38"/>
  <c r="B73" i="38"/>
  <c r="AC69" i="38"/>
  <c r="AD69" i="38" s="1"/>
  <c r="AD68" i="38"/>
  <c r="AC73" i="38"/>
  <c r="A74" i="42"/>
  <c r="B73" i="42"/>
  <c r="BU128" i="61"/>
  <c r="CF128" i="61"/>
  <c r="CC128" i="61"/>
  <c r="CG128" i="61"/>
  <c r="BZ128" i="61"/>
  <c r="CK128" i="61"/>
  <c r="CL128" i="61"/>
  <c r="CE128" i="61"/>
  <c r="BQ128" i="61"/>
  <c r="CB128" i="61"/>
  <c r="CH128" i="61"/>
  <c r="CA128" i="61"/>
  <c r="CI128" i="61"/>
  <c r="BY128" i="61"/>
  <c r="CJ128" i="61"/>
  <c r="CD128" i="61"/>
  <c r="BP128" i="61"/>
  <c r="BW128" i="61"/>
  <c r="BV128" i="61"/>
  <c r="BN128" i="61"/>
  <c r="BS128" i="61"/>
  <c r="BR128" i="61"/>
  <c r="BO128" i="61"/>
  <c r="BX128" i="61"/>
  <c r="BT128" i="61"/>
  <c r="K14" i="59"/>
  <c r="K26" i="59"/>
  <c r="L26" i="59" s="1"/>
  <c r="V14" i="59"/>
  <c r="AK3" i="59"/>
  <c r="V3" i="59"/>
  <c r="AA28" i="34"/>
  <c r="AB27" i="34"/>
  <c r="AA27" i="34"/>
  <c r="V26" i="34"/>
  <c r="AB28" i="34"/>
  <c r="AG9" i="37"/>
  <c r="AI15" i="37"/>
  <c r="AG9" i="46"/>
  <c r="AI15" i="46"/>
  <c r="AG9" i="49"/>
  <c r="AG10" i="49" s="1"/>
  <c r="AI15" i="49"/>
  <c r="I22" i="33"/>
  <c r="I15" i="33"/>
  <c r="A70" i="42"/>
  <c r="B70" i="42" s="1"/>
  <c r="B69" i="42"/>
  <c r="O89" i="32"/>
  <c r="P88" i="32"/>
  <c r="Q88" i="32" s="1"/>
  <c r="AA65" i="29"/>
  <c r="AO65" i="29" s="1"/>
  <c r="W65" i="29"/>
  <c r="AA64" i="29"/>
  <c r="AO64" i="29" s="1"/>
  <c r="W64" i="29"/>
  <c r="K49" i="35"/>
  <c r="G47" i="35"/>
  <c r="K50" i="35"/>
  <c r="Y55" i="29"/>
  <c r="Y54" i="29"/>
  <c r="X47" i="28"/>
  <c r="AA65" i="38"/>
  <c r="AO65" i="38" s="1"/>
  <c r="AP65" i="38" s="1"/>
  <c r="W65" i="38"/>
  <c r="AA64" i="38"/>
  <c r="AO64" i="38" s="1"/>
  <c r="W64" i="38"/>
  <c r="AP75" i="32"/>
  <c r="AP54" i="37"/>
  <c r="A70" i="27"/>
  <c r="B70" i="27" s="1"/>
  <c r="B69" i="27"/>
  <c r="A74" i="49"/>
  <c r="B73" i="49"/>
  <c r="AA60" i="49"/>
  <c r="AO60" i="49" s="1"/>
  <c r="W60" i="49"/>
  <c r="AA59" i="49"/>
  <c r="AO59" i="49" s="1"/>
  <c r="W59" i="49"/>
  <c r="B76" i="26"/>
  <c r="A81" i="26"/>
  <c r="A77" i="26"/>
  <c r="C59" i="30"/>
  <c r="C58" i="30"/>
  <c r="P72" i="38"/>
  <c r="O73" i="38"/>
  <c r="P64" i="26"/>
  <c r="O65" i="26"/>
  <c r="P65" i="26" s="1"/>
  <c r="A74" i="40"/>
  <c r="B73" i="40"/>
  <c r="H37" i="50"/>
  <c r="Q54" i="31"/>
  <c r="Q52" i="31"/>
  <c r="A78" i="27"/>
  <c r="B77" i="27"/>
  <c r="X52" i="42"/>
  <c r="X47" i="37"/>
  <c r="B72" i="37"/>
  <c r="A73" i="37"/>
  <c r="Q65" i="59"/>
  <c r="Q63" i="59"/>
  <c r="H37" i="48"/>
  <c r="P72" i="26"/>
  <c r="O73" i="26"/>
  <c r="C57" i="47"/>
  <c r="G58" i="47"/>
  <c r="AP60" i="38"/>
  <c r="AV5" i="24"/>
  <c r="C59" i="48"/>
  <c r="C58" i="48"/>
  <c r="AC94" i="46"/>
  <c r="AD94" i="46" s="1"/>
  <c r="AD93" i="46"/>
  <c r="AC98" i="46"/>
  <c r="A74" i="28"/>
  <c r="B73" i="28"/>
  <c r="O69" i="36"/>
  <c r="P68" i="36"/>
  <c r="Q68" i="36" s="1"/>
  <c r="AC74" i="28"/>
  <c r="AD74" i="28" s="1"/>
  <c r="AD73" i="28"/>
  <c r="AC78" i="28"/>
  <c r="P76" i="47"/>
  <c r="O81" i="47"/>
  <c r="O77" i="47"/>
  <c r="O68" i="49"/>
  <c r="P67" i="49"/>
  <c r="Y55" i="48"/>
  <c r="Y54" i="48"/>
  <c r="AA28" i="40"/>
  <c r="AB27" i="40"/>
  <c r="AB28" i="40"/>
  <c r="AA27" i="40"/>
  <c r="V26" i="40"/>
  <c r="AB5" i="36"/>
  <c r="AB4" i="36"/>
  <c r="AA5" i="36"/>
  <c r="AA4" i="36"/>
  <c r="U27" i="36"/>
  <c r="S21" i="36"/>
  <c r="I22" i="36"/>
  <c r="I15" i="36"/>
  <c r="AB10" i="40"/>
  <c r="AA9" i="40"/>
  <c r="AA10" i="40"/>
  <c r="AB9" i="40"/>
  <c r="V8" i="40"/>
  <c r="AP16" i="39"/>
  <c r="AO16" i="39"/>
  <c r="AP15" i="39"/>
  <c r="AO15" i="39"/>
  <c r="AJ14" i="39"/>
  <c r="S15" i="35"/>
  <c r="S13" i="35"/>
  <c r="S14" i="35"/>
  <c r="I22" i="35"/>
  <c r="I15" i="35"/>
  <c r="S20" i="40"/>
  <c r="U27" i="40"/>
  <c r="S21" i="40"/>
  <c r="AP45" i="39"/>
  <c r="AP44" i="39"/>
  <c r="S15" i="32"/>
  <c r="S14" i="32"/>
  <c r="S13" i="32"/>
  <c r="U27" i="44"/>
  <c r="S21" i="44"/>
  <c r="U9" i="33"/>
  <c r="S3" i="33"/>
  <c r="AO11" i="49"/>
  <c r="AO10" i="49"/>
  <c r="G53" i="30"/>
  <c r="C52" i="30"/>
  <c r="AJ70" i="36"/>
  <c r="AJ69" i="36"/>
  <c r="O68" i="40"/>
  <c r="P67" i="40"/>
  <c r="A70" i="49"/>
  <c r="B70" i="49" s="1"/>
  <c r="B69" i="49"/>
  <c r="P72" i="29"/>
  <c r="O73" i="29"/>
  <c r="Y50" i="34"/>
  <c r="Y49" i="34"/>
  <c r="Q59" i="30"/>
  <c r="Q57" i="30"/>
  <c r="B76" i="43"/>
  <c r="A77" i="43"/>
  <c r="A81" i="43"/>
  <c r="C57" i="50"/>
  <c r="G58" i="50"/>
  <c r="G47" i="26"/>
  <c r="K49" i="26"/>
  <c r="K50" i="26"/>
  <c r="P64" i="47"/>
  <c r="O65" i="47"/>
  <c r="P65" i="47" s="1"/>
  <c r="A65" i="36"/>
  <c r="B65" i="36" s="1"/>
  <c r="B64" i="36"/>
  <c r="A69" i="37"/>
  <c r="B68" i="37"/>
  <c r="X52" i="41"/>
  <c r="AV4" i="23"/>
  <c r="AC69" i="41"/>
  <c r="AD69" i="41" s="1"/>
  <c r="AD68" i="41"/>
  <c r="AC73" i="41"/>
  <c r="K50" i="31"/>
  <c r="K49" i="31"/>
  <c r="G47" i="31"/>
  <c r="H14" i="39"/>
  <c r="R13" i="39"/>
  <c r="AF3" i="39"/>
  <c r="AG4" i="39" s="1"/>
  <c r="H26" i="39"/>
  <c r="I26" i="39" s="1"/>
  <c r="M26" i="39" s="1"/>
  <c r="N26" i="39" s="1"/>
  <c r="N29" i="39" s="1"/>
  <c r="R2" i="39"/>
  <c r="AO16" i="42"/>
  <c r="AO15" i="42"/>
  <c r="U27" i="32"/>
  <c r="S21" i="32"/>
  <c r="AA10" i="49"/>
  <c r="AA9" i="49"/>
  <c r="AO15" i="38"/>
  <c r="AJ14" i="38"/>
  <c r="AP16" i="38"/>
  <c r="AO16" i="38"/>
  <c r="AP15" i="38"/>
  <c r="AB10" i="34"/>
  <c r="AA10" i="34"/>
  <c r="AB9" i="34"/>
  <c r="V8" i="34"/>
  <c r="AA9" i="34"/>
  <c r="U27" i="37"/>
  <c r="S21" i="37"/>
  <c r="M54" i="30"/>
  <c r="I54" i="30"/>
  <c r="M55" i="30"/>
  <c r="I55" i="30"/>
  <c r="G54" i="30"/>
  <c r="AC74" i="36"/>
  <c r="AD74" i="36" s="1"/>
  <c r="AD73" i="36"/>
  <c r="AC78" i="36"/>
  <c r="G53" i="26"/>
  <c r="C52" i="26"/>
  <c r="P71" i="40"/>
  <c r="O76" i="40"/>
  <c r="O72" i="40"/>
  <c r="P59" i="28"/>
  <c r="O60" i="28"/>
  <c r="P60" i="28" s="1"/>
  <c r="AC74" i="49"/>
  <c r="AD74" i="49" s="1"/>
  <c r="AD73" i="49"/>
  <c r="AC78" i="49"/>
  <c r="V42" i="50"/>
  <c r="T42" i="50"/>
  <c r="X47" i="50"/>
  <c r="O81" i="29"/>
  <c r="O77" i="29"/>
  <c r="P76" i="29"/>
  <c r="O68" i="28"/>
  <c r="P67" i="28"/>
  <c r="B72" i="43"/>
  <c r="A73" i="43"/>
  <c r="AA60" i="45"/>
  <c r="AO60" i="45" s="1"/>
  <c r="W60" i="45"/>
  <c r="AA59" i="45"/>
  <c r="AO59" i="45" s="1"/>
  <c r="W59" i="45"/>
  <c r="AL70" i="30"/>
  <c r="AH70" i="30"/>
  <c r="AI67" i="30"/>
  <c r="AL69" i="30"/>
  <c r="AH69" i="30"/>
  <c r="O69" i="38"/>
  <c r="P68" i="38"/>
  <c r="Q68" i="38" s="1"/>
  <c r="Y50" i="39"/>
  <c r="Y49" i="39"/>
  <c r="B81" i="47"/>
  <c r="A86" i="47"/>
  <c r="A82" i="47"/>
  <c r="X47" i="31"/>
  <c r="D47" i="50"/>
  <c r="K49" i="50"/>
  <c r="G47" i="50"/>
  <c r="K50" i="50"/>
  <c r="B71" i="59"/>
  <c r="A72" i="59"/>
  <c r="B72" i="59" s="1"/>
  <c r="M60" i="50"/>
  <c r="I60" i="50"/>
  <c r="G59" i="50"/>
  <c r="M59" i="50"/>
  <c r="I59" i="50"/>
  <c r="G58" i="42"/>
  <c r="C57" i="42"/>
  <c r="A74" i="27"/>
  <c r="B73" i="27"/>
  <c r="Y55" i="41"/>
  <c r="Y54" i="41"/>
  <c r="X47" i="44"/>
  <c r="AJ69" i="48"/>
  <c r="AJ70" i="48"/>
  <c r="AE39" i="50"/>
  <c r="D43" i="50"/>
  <c r="F43" i="50" s="1"/>
  <c r="H43" i="50" s="1"/>
  <c r="R38" i="50"/>
  <c r="D39" i="50"/>
  <c r="F39" i="50" s="1"/>
  <c r="H39" i="50" s="1"/>
  <c r="AE43" i="50"/>
  <c r="R34" i="50"/>
  <c r="AJ65" i="41"/>
  <c r="AJ64" i="41"/>
  <c r="AP55" i="34"/>
  <c r="A70" i="41"/>
  <c r="B70" i="41" s="1"/>
  <c r="B69" i="41"/>
  <c r="G47" i="30"/>
  <c r="K50" i="30"/>
  <c r="K49" i="30"/>
  <c r="C64" i="59"/>
  <c r="C65" i="59"/>
  <c r="M59" i="31"/>
  <c r="I59" i="31"/>
  <c r="M60" i="31"/>
  <c r="I60" i="31"/>
  <c r="G59" i="31"/>
  <c r="G53" i="36"/>
  <c r="C52" i="36"/>
  <c r="Q52" i="45"/>
  <c r="Q54" i="45"/>
  <c r="AA60" i="27"/>
  <c r="AO60" i="27" s="1"/>
  <c r="W60" i="27"/>
  <c r="AA59" i="27"/>
  <c r="AO59" i="27" s="1"/>
  <c r="W59" i="27"/>
  <c r="AP44" i="37"/>
  <c r="AP45" i="37"/>
  <c r="I22" i="37"/>
  <c r="I15" i="37"/>
  <c r="AP45" i="32"/>
  <c r="AP44" i="32"/>
  <c r="R2" i="29"/>
  <c r="H14" i="29"/>
  <c r="R13" i="29"/>
  <c r="AF3" i="29"/>
  <c r="H26" i="29"/>
  <c r="I26" i="29" s="1"/>
  <c r="M26" i="29" s="1"/>
  <c r="N26" i="29" s="1"/>
  <c r="U27" i="46"/>
  <c r="S21" i="46"/>
  <c r="AO15" i="46"/>
  <c r="AO16" i="46"/>
  <c r="AG5" i="33"/>
  <c r="AG3" i="33"/>
  <c r="I22" i="38"/>
  <c r="I15" i="38"/>
  <c r="C57" i="38"/>
  <c r="G58" i="38"/>
  <c r="AP49" i="34"/>
  <c r="O64" i="40"/>
  <c r="P63" i="40"/>
  <c r="Q63" i="40" s="1"/>
  <c r="A65" i="45"/>
  <c r="B65" i="45" s="1"/>
  <c r="B64" i="45"/>
  <c r="B81" i="34"/>
  <c r="A86" i="34"/>
  <c r="A82" i="34"/>
  <c r="C52" i="37"/>
  <c r="G53" i="37"/>
  <c r="P72" i="42"/>
  <c r="O73" i="42"/>
  <c r="X52" i="36"/>
  <c r="M59" i="59"/>
  <c r="M60" i="59"/>
  <c r="G59" i="59"/>
  <c r="AP40" i="33"/>
  <c r="B72" i="45"/>
  <c r="A73" i="45"/>
  <c r="AA60" i="50"/>
  <c r="AO60" i="50" s="1"/>
  <c r="W60" i="50"/>
  <c r="AA59" i="50"/>
  <c r="AO59" i="50" s="1"/>
  <c r="W59" i="50"/>
  <c r="AJ69" i="42"/>
  <c r="AJ70" i="42"/>
  <c r="G52" i="42"/>
  <c r="K55" i="42"/>
  <c r="K54" i="42"/>
  <c r="O64" i="28"/>
  <c r="P63" i="28"/>
  <c r="Q63" i="28" s="1"/>
  <c r="Y55" i="26"/>
  <c r="Y54" i="26"/>
  <c r="P59" i="37"/>
  <c r="O60" i="37"/>
  <c r="P60" i="37" s="1"/>
  <c r="C63" i="32"/>
  <c r="C64" i="32"/>
  <c r="Q54" i="39"/>
  <c r="Q52" i="39"/>
  <c r="O68" i="34"/>
  <c r="P67" i="34"/>
  <c r="C59" i="36"/>
  <c r="C58" i="36"/>
  <c r="G53" i="43"/>
  <c r="C52" i="43"/>
  <c r="M60" i="28"/>
  <c r="I60" i="28"/>
  <c r="G59" i="28"/>
  <c r="M59" i="28"/>
  <c r="I59" i="28"/>
  <c r="B81" i="50"/>
  <c r="A86" i="50"/>
  <c r="A82" i="50"/>
  <c r="AD82" i="59"/>
  <c r="AC88" i="59"/>
  <c r="AC83" i="59"/>
  <c r="AD83" i="59" s="1"/>
  <c r="M54" i="48"/>
  <c r="I54" i="48"/>
  <c r="M55" i="48"/>
  <c r="I55" i="48"/>
  <c r="G54" i="48"/>
  <c r="P64" i="36"/>
  <c r="O65" i="36"/>
  <c r="P65" i="36" s="1"/>
  <c r="Y50" i="46"/>
  <c r="Y49" i="46"/>
  <c r="K50" i="27"/>
  <c r="K49" i="27"/>
  <c r="G47" i="27"/>
  <c r="G47" i="43"/>
  <c r="K49" i="43"/>
  <c r="K50" i="43"/>
  <c r="O81" i="35"/>
  <c r="O77" i="35"/>
  <c r="P76" i="35"/>
  <c r="A70" i="33"/>
  <c r="B70" i="33" s="1"/>
  <c r="B69" i="33"/>
  <c r="K55" i="33"/>
  <c r="K54" i="33"/>
  <c r="G52" i="33"/>
  <c r="AC84" i="40"/>
  <c r="AD84" i="40" s="1"/>
  <c r="AD83" i="40"/>
  <c r="AC88" i="40"/>
  <c r="B81" i="38"/>
  <c r="A86" i="38"/>
  <c r="A82" i="38"/>
  <c r="B81" i="42"/>
  <c r="A86" i="42"/>
  <c r="A82" i="42"/>
  <c r="R2" i="47"/>
  <c r="H14" i="47"/>
  <c r="R13" i="47"/>
  <c r="AF3" i="47"/>
  <c r="H26" i="47"/>
  <c r="I26" i="47" s="1"/>
  <c r="M26" i="47" s="1"/>
  <c r="N26" i="47" s="1"/>
  <c r="H26" i="40"/>
  <c r="I26" i="40" s="1"/>
  <c r="M26" i="40" s="1"/>
  <c r="N26" i="40" s="1"/>
  <c r="N29" i="40" s="1"/>
  <c r="H14" i="40"/>
  <c r="R13" i="40"/>
  <c r="AF3" i="40"/>
  <c r="AG4" i="40" s="1"/>
  <c r="R2" i="40"/>
  <c r="I22" i="42"/>
  <c r="I15" i="42"/>
  <c r="U27" i="34"/>
  <c r="S21" i="34"/>
  <c r="R2" i="38"/>
  <c r="T2" i="38" s="1"/>
  <c r="H14" i="38"/>
  <c r="R13" i="38"/>
  <c r="AF3" i="38"/>
  <c r="AG4" i="38" s="1"/>
  <c r="H26" i="38"/>
  <c r="I26" i="38" s="1"/>
  <c r="M26" i="38" s="1"/>
  <c r="N26" i="38" s="1"/>
  <c r="N29" i="38" s="1"/>
  <c r="I22" i="44"/>
  <c r="I15" i="44"/>
  <c r="AG8" i="46"/>
  <c r="H14" i="42"/>
  <c r="I16" i="42" s="1"/>
  <c r="J16" i="42" s="1"/>
  <c r="R13" i="42"/>
  <c r="AF3" i="42"/>
  <c r="AG4" i="42" s="1"/>
  <c r="H26" i="42"/>
  <c r="I26" i="42" s="1"/>
  <c r="M26" i="42" s="1"/>
  <c r="N26" i="42" s="1"/>
  <c r="R2" i="42"/>
  <c r="S20" i="32"/>
  <c r="Y50" i="33"/>
  <c r="Y49" i="33"/>
  <c r="AP39" i="37"/>
  <c r="AC78" i="26"/>
  <c r="AC74" i="26"/>
  <c r="AD74" i="26" s="1"/>
  <c r="AD73" i="26"/>
  <c r="M59" i="49"/>
  <c r="I59" i="49"/>
  <c r="M60" i="49"/>
  <c r="I60" i="49"/>
  <c r="G59" i="49"/>
  <c r="P92" i="32"/>
  <c r="O93" i="32"/>
  <c r="AJ149" i="43"/>
  <c r="AJ150" i="43"/>
  <c r="P59" i="34"/>
  <c r="O60" i="34"/>
  <c r="P60" i="34" s="1"/>
  <c r="AA65" i="30"/>
  <c r="AO65" i="30" s="1"/>
  <c r="W65" i="30"/>
  <c r="AA64" i="30"/>
  <c r="AO64" i="30" s="1"/>
  <c r="W64" i="30"/>
  <c r="AC69" i="44"/>
  <c r="AD69" i="44" s="1"/>
  <c r="AD68" i="44"/>
  <c r="AC73" i="44"/>
  <c r="AP35" i="32"/>
  <c r="AC78" i="39"/>
  <c r="AC74" i="39"/>
  <c r="AD74" i="39" s="1"/>
  <c r="AD73" i="39"/>
  <c r="A78" i="49"/>
  <c r="B77" i="49"/>
  <c r="A69" i="26"/>
  <c r="B68" i="26"/>
  <c r="AL70" i="33"/>
  <c r="AH70" i="33"/>
  <c r="AI67" i="33"/>
  <c r="AL69" i="33"/>
  <c r="AH69" i="33"/>
  <c r="A65" i="37"/>
  <c r="B65" i="37" s="1"/>
  <c r="B64" i="37"/>
  <c r="B81" i="40"/>
  <c r="A86" i="40"/>
  <c r="A82" i="40"/>
  <c r="Q54" i="49"/>
  <c r="Q52" i="49"/>
  <c r="G53" i="46"/>
  <c r="C52" i="46"/>
  <c r="AI67" i="37"/>
  <c r="AL69" i="37"/>
  <c r="AH69" i="37"/>
  <c r="AL70" i="37"/>
  <c r="AH70" i="37"/>
  <c r="AP35" i="37"/>
  <c r="P71" i="45"/>
  <c r="O76" i="45"/>
  <c r="O72" i="45"/>
  <c r="AI67" i="45"/>
  <c r="AL69" i="45"/>
  <c r="AH69" i="45"/>
  <c r="AL70" i="45"/>
  <c r="AH70" i="45"/>
  <c r="O68" i="31"/>
  <c r="P67" i="31"/>
  <c r="B81" i="35"/>
  <c r="A86" i="35"/>
  <c r="A82" i="35"/>
  <c r="AL64" i="35"/>
  <c r="AH64" i="35"/>
  <c r="AL65" i="35"/>
  <c r="AH65" i="35"/>
  <c r="AI62" i="35"/>
  <c r="AJ69" i="31"/>
  <c r="AJ70" i="31"/>
  <c r="AL70" i="27"/>
  <c r="AH70" i="27"/>
  <c r="AI67" i="27"/>
  <c r="AL69" i="27"/>
  <c r="AH69" i="27"/>
  <c r="Q57" i="38"/>
  <c r="Q59" i="38"/>
  <c r="W85" i="32"/>
  <c r="AA84" i="32"/>
  <c r="AO84" i="32" s="1"/>
  <c r="AP84" i="32" s="1"/>
  <c r="W84" i="32"/>
  <c r="AA85" i="32"/>
  <c r="AO85" i="32" s="1"/>
  <c r="AP85" i="32" s="1"/>
  <c r="AA4" i="24"/>
  <c r="AA60" i="40"/>
  <c r="AO60" i="40" s="1"/>
  <c r="AP60" i="40" s="1"/>
  <c r="W60" i="40"/>
  <c r="AA59" i="40"/>
  <c r="AO59" i="40" s="1"/>
  <c r="W59" i="40"/>
  <c r="P72" i="36"/>
  <c r="O73" i="36"/>
  <c r="C59" i="39"/>
  <c r="C58" i="39"/>
  <c r="D52" i="50"/>
  <c r="K54" i="50"/>
  <c r="G52" i="50"/>
  <c r="K55" i="50"/>
  <c r="Q57" i="47"/>
  <c r="Q59" i="47"/>
  <c r="O72" i="33"/>
  <c r="P71" i="33"/>
  <c r="O76" i="33"/>
  <c r="AJ65" i="38"/>
  <c r="AJ64" i="38"/>
  <c r="U9" i="49"/>
  <c r="S3" i="49"/>
  <c r="AA28" i="49"/>
  <c r="AA27" i="49"/>
  <c r="AG8" i="44"/>
  <c r="H26" i="45"/>
  <c r="I26" i="45" s="1"/>
  <c r="M26" i="45" s="1"/>
  <c r="N26" i="45" s="1"/>
  <c r="R2" i="45"/>
  <c r="H14" i="45"/>
  <c r="R13" i="45"/>
  <c r="AF3" i="45"/>
  <c r="S3" i="34"/>
  <c r="U9" i="34"/>
  <c r="S20" i="37"/>
  <c r="S20" i="46"/>
  <c r="AO16" i="33"/>
  <c r="AP15" i="33"/>
  <c r="AO15" i="33"/>
  <c r="AJ14" i="33"/>
  <c r="AP16" i="33"/>
  <c r="H14" i="26"/>
  <c r="H26" i="26"/>
  <c r="I26" i="26" s="1"/>
  <c r="M26" i="26" s="1"/>
  <c r="N26" i="26" s="1"/>
  <c r="R2" i="26"/>
  <c r="R13" i="26"/>
  <c r="AF3" i="26"/>
  <c r="S20" i="49"/>
  <c r="S20" i="42"/>
  <c r="AG3" i="42"/>
  <c r="AG5" i="42"/>
  <c r="B77" i="41"/>
  <c r="A78" i="41"/>
  <c r="O65" i="29"/>
  <c r="P65" i="29" s="1"/>
  <c r="P64" i="29"/>
  <c r="AP50" i="34"/>
  <c r="B76" i="46"/>
  <c r="A77" i="46"/>
  <c r="A81" i="46"/>
  <c r="A69" i="39"/>
  <c r="B68" i="39"/>
  <c r="Y50" i="28"/>
  <c r="Y49" i="28"/>
  <c r="O65" i="38"/>
  <c r="P65" i="38" s="1"/>
  <c r="P64" i="38"/>
  <c r="A70" i="47"/>
  <c r="B70" i="47" s="1"/>
  <c r="B69" i="47"/>
  <c r="K55" i="44"/>
  <c r="K54" i="44"/>
  <c r="G52" i="44"/>
  <c r="A92" i="59"/>
  <c r="B86" i="59"/>
  <c r="A87" i="59"/>
  <c r="P68" i="48"/>
  <c r="Q68" i="48" s="1"/>
  <c r="O69" i="48"/>
  <c r="AP40" i="32"/>
  <c r="A78" i="44"/>
  <c r="B77" i="44"/>
  <c r="O60" i="39"/>
  <c r="P60" i="39" s="1"/>
  <c r="P59" i="39"/>
  <c r="O69" i="41"/>
  <c r="P68" i="41"/>
  <c r="Q68" i="41" s="1"/>
  <c r="A69" i="43"/>
  <c r="B68" i="43"/>
  <c r="O81" i="38"/>
  <c r="O77" i="38"/>
  <c r="P76" i="38"/>
  <c r="C57" i="44"/>
  <c r="G58" i="44"/>
  <c r="AP39" i="42"/>
  <c r="C57" i="27"/>
  <c r="G58" i="27"/>
  <c r="K54" i="40"/>
  <c r="G52" i="40"/>
  <c r="K55" i="40"/>
  <c r="AP49" i="32"/>
  <c r="K49" i="34"/>
  <c r="G47" i="34"/>
  <c r="K50" i="34"/>
  <c r="A70" i="40"/>
  <c r="B70" i="40" s="1"/>
  <c r="B69" i="40"/>
  <c r="A86" i="27"/>
  <c r="A82" i="27"/>
  <c r="B81" i="27"/>
  <c r="C52" i="45"/>
  <c r="G53" i="45"/>
  <c r="Y50" i="37"/>
  <c r="Y49" i="37"/>
  <c r="O64" i="37"/>
  <c r="P63" i="37"/>
  <c r="Q63" i="37" s="1"/>
  <c r="B76" i="37"/>
  <c r="A81" i="37"/>
  <c r="A77" i="37"/>
  <c r="O77" i="26"/>
  <c r="P76" i="26"/>
  <c r="O81" i="26"/>
  <c r="P68" i="30"/>
  <c r="Q68" i="30" s="1"/>
  <c r="O69" i="30"/>
  <c r="K54" i="35"/>
  <c r="G52" i="35"/>
  <c r="K55" i="35"/>
  <c r="H5" i="24"/>
  <c r="I5" i="24" s="1"/>
  <c r="D5" i="24"/>
  <c r="F5" i="24" s="1"/>
  <c r="G5" i="24" s="1"/>
  <c r="AJ70" i="32"/>
  <c r="AJ69" i="32"/>
  <c r="AJ90" i="46"/>
  <c r="AJ89" i="46"/>
  <c r="Q59" i="48"/>
  <c r="Q57" i="48"/>
  <c r="CM142" i="61"/>
  <c r="AJ70" i="28"/>
  <c r="AJ69" i="28"/>
  <c r="A70" i="34"/>
  <c r="B70" i="34" s="1"/>
  <c r="B69" i="34"/>
  <c r="AP39" i="34"/>
  <c r="B72" i="48"/>
  <c r="A73" i="48"/>
  <c r="X52" i="48"/>
  <c r="AB28" i="39"/>
  <c r="AA28" i="39"/>
  <c r="AB27" i="39"/>
  <c r="AA27" i="39"/>
  <c r="V26" i="39"/>
  <c r="I28" i="35"/>
  <c r="AO11" i="40"/>
  <c r="AP10" i="40"/>
  <c r="AH8" i="40"/>
  <c r="AP11" i="40"/>
  <c r="AO10" i="40"/>
  <c r="AP45" i="40"/>
  <c r="AP44" i="40"/>
  <c r="I22" i="40"/>
  <c r="I15" i="40"/>
  <c r="S13" i="39"/>
  <c r="S14" i="39"/>
  <c r="S15" i="39"/>
  <c r="AH8" i="39"/>
  <c r="AP11" i="39"/>
  <c r="AO11" i="39"/>
  <c r="AP10" i="39"/>
  <c r="AO10" i="39"/>
  <c r="S2" i="35"/>
  <c r="U27" i="35"/>
  <c r="S21" i="35"/>
  <c r="S2" i="40"/>
  <c r="AP15" i="40"/>
  <c r="AP16" i="40"/>
  <c r="AO16" i="40"/>
  <c r="AO15" i="40"/>
  <c r="AJ14" i="40"/>
  <c r="AI15" i="39"/>
  <c r="AG9" i="39"/>
  <c r="AG10" i="39" s="1"/>
  <c r="I22" i="39"/>
  <c r="I15" i="39"/>
  <c r="AG8" i="36"/>
  <c r="FC126" i="61" l="1"/>
  <c r="EM98" i="61"/>
  <c r="S13" i="44"/>
  <c r="K5" i="31"/>
  <c r="H27" i="31"/>
  <c r="R14" i="31"/>
  <c r="H15" i="31"/>
  <c r="K4" i="31"/>
  <c r="AF4" i="31"/>
  <c r="R21" i="31"/>
  <c r="R3" i="31"/>
  <c r="U8" i="31" s="1"/>
  <c r="AG3" i="32"/>
  <c r="AP55" i="49"/>
  <c r="S14" i="44"/>
  <c r="I16" i="49"/>
  <c r="J16" i="49" s="1"/>
  <c r="S4" i="36"/>
  <c r="S4" i="42"/>
  <c r="AP50" i="44"/>
  <c r="AG3" i="49"/>
  <c r="AI15" i="42"/>
  <c r="I27" i="49"/>
  <c r="U27" i="49"/>
  <c r="I16" i="44"/>
  <c r="J16" i="44" s="1"/>
  <c r="AG8" i="42"/>
  <c r="S13" i="42"/>
  <c r="AG3" i="46"/>
  <c r="AB22" i="35"/>
  <c r="AG4" i="44"/>
  <c r="AB23" i="34"/>
  <c r="R3" i="30"/>
  <c r="U8" i="30" s="1"/>
  <c r="R14" i="30"/>
  <c r="R21" i="30"/>
  <c r="H15" i="30"/>
  <c r="K4" i="30"/>
  <c r="K5" i="30"/>
  <c r="AF4" i="30"/>
  <c r="S14" i="49"/>
  <c r="W14" i="49" s="1"/>
  <c r="AF6" i="30"/>
  <c r="K8" i="30"/>
  <c r="R23" i="30"/>
  <c r="R5" i="30"/>
  <c r="R16" i="30"/>
  <c r="K9" i="30"/>
  <c r="AF10" i="30"/>
  <c r="AI14" i="30" s="1"/>
  <c r="R6" i="30"/>
  <c r="AF11" i="30"/>
  <c r="K10" i="30"/>
  <c r="K11" i="30"/>
  <c r="AF7" i="30"/>
  <c r="R24" i="30"/>
  <c r="R4" i="30"/>
  <c r="K7" i="30"/>
  <c r="R22" i="30"/>
  <c r="U26" i="30" s="1"/>
  <c r="AF9" i="30"/>
  <c r="R15" i="30"/>
  <c r="H28" i="30"/>
  <c r="K6" i="30"/>
  <c r="AF5" i="30"/>
  <c r="H16" i="30"/>
  <c r="AF12" i="30"/>
  <c r="R25" i="30"/>
  <c r="K4" i="29"/>
  <c r="AF4" i="29"/>
  <c r="R3" i="29"/>
  <c r="U8" i="29" s="1"/>
  <c r="R21" i="29"/>
  <c r="H27" i="29"/>
  <c r="K5" i="29"/>
  <c r="H15" i="29"/>
  <c r="R14" i="29"/>
  <c r="R23" i="29"/>
  <c r="R5" i="29"/>
  <c r="R16" i="29"/>
  <c r="K9" i="29"/>
  <c r="AF10" i="29"/>
  <c r="AI14" i="29" s="1"/>
  <c r="AF6" i="29"/>
  <c r="K8" i="29"/>
  <c r="R25" i="29"/>
  <c r="AF12" i="29"/>
  <c r="AF7" i="29"/>
  <c r="R6" i="29"/>
  <c r="R24" i="29"/>
  <c r="K10" i="29"/>
  <c r="AF11" i="29"/>
  <c r="K11" i="29"/>
  <c r="AF9" i="29"/>
  <c r="R4" i="29"/>
  <c r="K7" i="29"/>
  <c r="K6" i="29"/>
  <c r="R22" i="29"/>
  <c r="U26" i="29" s="1"/>
  <c r="R15" i="29"/>
  <c r="H28" i="29"/>
  <c r="AF5" i="29"/>
  <c r="H16" i="29"/>
  <c r="H28" i="28"/>
  <c r="K6" i="28"/>
  <c r="R22" i="28"/>
  <c r="U26" i="28" s="1"/>
  <c r="H16" i="28"/>
  <c r="R15" i="28"/>
  <c r="K7" i="28"/>
  <c r="AF5" i="28"/>
  <c r="AF9" i="28"/>
  <c r="R4" i="28"/>
  <c r="AF12" i="28"/>
  <c r="R25" i="28"/>
  <c r="R5" i="28"/>
  <c r="R16" i="28"/>
  <c r="K9" i="28"/>
  <c r="AF10" i="28"/>
  <c r="AI14" i="28" s="1"/>
  <c r="AF6" i="28"/>
  <c r="K8" i="28"/>
  <c r="R23" i="28"/>
  <c r="S2" i="44"/>
  <c r="AA4" i="44" s="1"/>
  <c r="R14" i="28"/>
  <c r="H15" i="28"/>
  <c r="K4" i="28"/>
  <c r="AF4" i="28"/>
  <c r="R3" i="28"/>
  <c r="U8" i="28" s="1"/>
  <c r="R21" i="28"/>
  <c r="H27" i="28"/>
  <c r="K5" i="28"/>
  <c r="K11" i="28"/>
  <c r="R6" i="28"/>
  <c r="R24" i="28"/>
  <c r="K10" i="28"/>
  <c r="AF11" i="28"/>
  <c r="AF7" i="28"/>
  <c r="AF4" i="26"/>
  <c r="K5" i="26"/>
  <c r="R14" i="26"/>
  <c r="R21" i="26"/>
  <c r="H27" i="26"/>
  <c r="K4" i="26"/>
  <c r="H15" i="26"/>
  <c r="R3" i="26"/>
  <c r="U8" i="26" s="1"/>
  <c r="H28" i="26"/>
  <c r="K6" i="26"/>
  <c r="R15" i="26"/>
  <c r="H16" i="26"/>
  <c r="R22" i="26"/>
  <c r="U26" i="26" s="1"/>
  <c r="AF5" i="26"/>
  <c r="K7" i="26"/>
  <c r="R4" i="26"/>
  <c r="AF9" i="26"/>
  <c r="K11" i="26"/>
  <c r="R24" i="26"/>
  <c r="AF7" i="26"/>
  <c r="AF11" i="26"/>
  <c r="R6" i="26"/>
  <c r="K10" i="26"/>
  <c r="R25" i="26"/>
  <c r="AF12" i="26"/>
  <c r="R16" i="26"/>
  <c r="K9" i="26"/>
  <c r="AF10" i="26"/>
  <c r="AI14" i="26" s="1"/>
  <c r="R23" i="26"/>
  <c r="K8" i="26"/>
  <c r="AF6" i="26"/>
  <c r="R5" i="26"/>
  <c r="S2" i="49"/>
  <c r="AP54" i="44"/>
  <c r="AP60" i="49"/>
  <c r="AP45" i="44"/>
  <c r="AP11" i="37"/>
  <c r="AA10" i="46"/>
  <c r="AO11" i="37"/>
  <c r="S2" i="46"/>
  <c r="AP34" i="49"/>
  <c r="AP54" i="49"/>
  <c r="AP44" i="44"/>
  <c r="AP50" i="49"/>
  <c r="AG5" i="46"/>
  <c r="AM6" i="46" s="1"/>
  <c r="AP39" i="49"/>
  <c r="AP49" i="44"/>
  <c r="AP40" i="49"/>
  <c r="AP55" i="44"/>
  <c r="AA9" i="44"/>
  <c r="AP40" i="44"/>
  <c r="AG4" i="46"/>
  <c r="AP39" i="44"/>
  <c r="AP34" i="44"/>
  <c r="AP35" i="44"/>
  <c r="AA5" i="25"/>
  <c r="AG5" i="25" s="1"/>
  <c r="X4" i="25"/>
  <c r="D6" i="66"/>
  <c r="L7" i="66"/>
  <c r="D6" i="65"/>
  <c r="I6" i="66"/>
  <c r="J6" i="66"/>
  <c r="B6" i="65" s="1"/>
  <c r="B5" i="66"/>
  <c r="A5" i="66"/>
  <c r="R25" i="41"/>
  <c r="AF12" i="41"/>
  <c r="R15" i="41"/>
  <c r="H28" i="41"/>
  <c r="AF5" i="41"/>
  <c r="H16" i="41"/>
  <c r="AF9" i="41"/>
  <c r="R4" i="41"/>
  <c r="K7" i="41"/>
  <c r="K6" i="41"/>
  <c r="R22" i="41"/>
  <c r="U26" i="41" s="1"/>
  <c r="H27" i="41"/>
  <c r="K5" i="41"/>
  <c r="H15" i="41"/>
  <c r="I16" i="41" s="1"/>
  <c r="J16" i="41" s="1"/>
  <c r="R14" i="41"/>
  <c r="K4" i="41"/>
  <c r="AF4" i="41"/>
  <c r="R3" i="41"/>
  <c r="U8" i="41" s="1"/>
  <c r="R21" i="41"/>
  <c r="R16" i="41"/>
  <c r="K9" i="41"/>
  <c r="AF10" i="41"/>
  <c r="AI14" i="41" s="1"/>
  <c r="AF6" i="41"/>
  <c r="K8" i="41"/>
  <c r="R23" i="41"/>
  <c r="R5" i="41"/>
  <c r="R24" i="41"/>
  <c r="K10" i="41"/>
  <c r="AF11" i="41"/>
  <c r="K11" i="41"/>
  <c r="AF7" i="41"/>
  <c r="R6" i="41"/>
  <c r="AP35" i="49"/>
  <c r="T20" i="36"/>
  <c r="X20" i="36" s="1"/>
  <c r="X23" i="36" s="1"/>
  <c r="AP49" i="49"/>
  <c r="AP44" i="49"/>
  <c r="AP45" i="49"/>
  <c r="CG99" i="61"/>
  <c r="A5" i="65"/>
  <c r="CF100" i="61"/>
  <c r="CE101" i="61"/>
  <c r="CH98" i="61"/>
  <c r="K8" i="43"/>
  <c r="AF6" i="43"/>
  <c r="R5" i="43"/>
  <c r="R16" i="43"/>
  <c r="R23" i="43"/>
  <c r="AF10" i="43"/>
  <c r="AI14" i="43" s="1"/>
  <c r="K9" i="43"/>
  <c r="AF7" i="43"/>
  <c r="AF11" i="43"/>
  <c r="R6" i="43"/>
  <c r="K10" i="43"/>
  <c r="K11" i="43"/>
  <c r="R24" i="43"/>
  <c r="AF12" i="43"/>
  <c r="R25" i="43"/>
  <c r="R4" i="43"/>
  <c r="R22" i="43"/>
  <c r="U26" i="43" s="1"/>
  <c r="H28" i="43"/>
  <c r="K6" i="43"/>
  <c r="R15" i="43"/>
  <c r="H16" i="43"/>
  <c r="AF9" i="43"/>
  <c r="AF5" i="43"/>
  <c r="K7" i="43"/>
  <c r="R14" i="43"/>
  <c r="R3" i="43"/>
  <c r="U8" i="43" s="1"/>
  <c r="H27" i="43"/>
  <c r="K5" i="43"/>
  <c r="H15" i="43"/>
  <c r="R21" i="43"/>
  <c r="AF4" i="43"/>
  <c r="K4" i="43"/>
  <c r="AG3" i="44"/>
  <c r="S13" i="49"/>
  <c r="I16" i="31"/>
  <c r="J16" i="31" s="1"/>
  <c r="H10" i="45"/>
  <c r="AF13" i="45" s="1"/>
  <c r="L10" i="59"/>
  <c r="AK13" i="59" s="1"/>
  <c r="H8" i="45"/>
  <c r="L8" i="59"/>
  <c r="H7" i="45"/>
  <c r="L7" i="59"/>
  <c r="H6" i="45"/>
  <c r="L6" i="59"/>
  <c r="H5" i="45"/>
  <c r="L5" i="59"/>
  <c r="H9" i="45"/>
  <c r="L9" i="59"/>
  <c r="H11" i="45"/>
  <c r="L11" i="59"/>
  <c r="S14" i="46"/>
  <c r="K6" i="47"/>
  <c r="R22" i="47"/>
  <c r="U26" i="47" s="1"/>
  <c r="R15" i="47"/>
  <c r="H16" i="47"/>
  <c r="AF5" i="47"/>
  <c r="H28" i="47"/>
  <c r="AF9" i="47"/>
  <c r="R4" i="47"/>
  <c r="K7" i="47"/>
  <c r="K4" i="47"/>
  <c r="AF4" i="47"/>
  <c r="R3" i="47"/>
  <c r="U8" i="47" s="1"/>
  <c r="R21" i="47"/>
  <c r="H27" i="47"/>
  <c r="K5" i="47"/>
  <c r="H15" i="47"/>
  <c r="R14" i="47"/>
  <c r="R25" i="47"/>
  <c r="AF12" i="47"/>
  <c r="I16" i="47"/>
  <c r="J16" i="47" s="1"/>
  <c r="L16" i="47" s="1"/>
  <c r="R6" i="47"/>
  <c r="R24" i="47"/>
  <c r="K10" i="47"/>
  <c r="AF11" i="47"/>
  <c r="K11" i="47"/>
  <c r="AF7" i="47"/>
  <c r="AF10" i="47"/>
  <c r="AI14" i="47" s="1"/>
  <c r="K9" i="47"/>
  <c r="R16" i="47"/>
  <c r="AF6" i="47"/>
  <c r="R5" i="47"/>
  <c r="R23" i="47"/>
  <c r="K8" i="47"/>
  <c r="AG4" i="49"/>
  <c r="R25" i="48"/>
  <c r="AF12" i="48"/>
  <c r="AF10" i="48"/>
  <c r="AI14" i="48" s="1"/>
  <c r="R23" i="48"/>
  <c r="AF6" i="48"/>
  <c r="K8" i="48"/>
  <c r="R5" i="48"/>
  <c r="R16" i="48"/>
  <c r="K9" i="48"/>
  <c r="AF5" i="48"/>
  <c r="H16" i="48"/>
  <c r="R22" i="48"/>
  <c r="U26" i="48" s="1"/>
  <c r="AF9" i="48"/>
  <c r="R4" i="48"/>
  <c r="K7" i="48"/>
  <c r="R15" i="48"/>
  <c r="H28" i="48"/>
  <c r="K6" i="48"/>
  <c r="R6" i="48"/>
  <c r="AF11" i="48"/>
  <c r="K10" i="48"/>
  <c r="K11" i="48"/>
  <c r="AF7" i="48"/>
  <c r="R24" i="48"/>
  <c r="R21" i="48"/>
  <c r="R3" i="48"/>
  <c r="U8" i="48" s="1"/>
  <c r="H15" i="48"/>
  <c r="H27" i="48"/>
  <c r="K5" i="48"/>
  <c r="AF4" i="48"/>
  <c r="K4" i="48"/>
  <c r="R14" i="48"/>
  <c r="AA5" i="44"/>
  <c r="S4" i="44"/>
  <c r="Z2" i="44" s="1"/>
  <c r="AA4" i="42"/>
  <c r="AF5" i="25"/>
  <c r="K4" i="27"/>
  <c r="AF4" i="27"/>
  <c r="R21" i="27"/>
  <c r="R3" i="27"/>
  <c r="U8" i="27" s="1"/>
  <c r="K5" i="27"/>
  <c r="H27" i="27"/>
  <c r="R14" i="27"/>
  <c r="H15" i="27"/>
  <c r="R24" i="27"/>
  <c r="AF11" i="27"/>
  <c r="K10" i="27"/>
  <c r="AF7" i="27"/>
  <c r="K11" i="27"/>
  <c r="R6" i="27"/>
  <c r="AF12" i="27"/>
  <c r="R25" i="27"/>
  <c r="R16" i="27"/>
  <c r="K9" i="27"/>
  <c r="AF10" i="27"/>
  <c r="AI14" i="27" s="1"/>
  <c r="AF6" i="27"/>
  <c r="K8" i="27"/>
  <c r="R23" i="27"/>
  <c r="R5" i="27"/>
  <c r="K7" i="27"/>
  <c r="AF5" i="27"/>
  <c r="R22" i="27"/>
  <c r="U26" i="27" s="1"/>
  <c r="AF9" i="27"/>
  <c r="R4" i="27"/>
  <c r="H28" i="27"/>
  <c r="K6" i="27"/>
  <c r="H16" i="27"/>
  <c r="R15" i="27"/>
  <c r="AA5" i="37"/>
  <c r="AB5" i="37"/>
  <c r="T2" i="37"/>
  <c r="V2" i="37" s="1"/>
  <c r="V5" i="37" s="1"/>
  <c r="AG10" i="37"/>
  <c r="AH10" i="37" s="1"/>
  <c r="AO11" i="34"/>
  <c r="AA5" i="38"/>
  <c r="I27" i="35"/>
  <c r="J27" i="35" s="1"/>
  <c r="AA22" i="36"/>
  <c r="AB4" i="38"/>
  <c r="S22" i="36"/>
  <c r="Z20" i="36" s="1"/>
  <c r="AB22" i="36"/>
  <c r="AB5" i="38"/>
  <c r="AB23" i="36"/>
  <c r="F6" i="25"/>
  <c r="AV7" i="25"/>
  <c r="Y6" i="25"/>
  <c r="AA6" i="25" s="1"/>
  <c r="D37" i="47"/>
  <c r="F37" i="47" s="1"/>
  <c r="H37" i="47" s="1"/>
  <c r="AE33" i="47"/>
  <c r="AG33" i="47" s="1"/>
  <c r="R32" i="47"/>
  <c r="V32" i="48"/>
  <c r="T32" i="48"/>
  <c r="H7" i="25"/>
  <c r="I7" i="25" s="1"/>
  <c r="D7" i="25"/>
  <c r="F7" i="25" s="1"/>
  <c r="G7" i="25" s="1"/>
  <c r="AE8" i="61"/>
  <c r="V11" i="68" s="1"/>
  <c r="AP8" i="25"/>
  <c r="C4" i="46"/>
  <c r="B8" i="25"/>
  <c r="I28" i="34"/>
  <c r="I28" i="49"/>
  <c r="AH8" i="37"/>
  <c r="I28" i="28"/>
  <c r="O28" i="28" s="1"/>
  <c r="I27" i="34"/>
  <c r="AO10" i="37"/>
  <c r="I27" i="28"/>
  <c r="S2" i="31"/>
  <c r="AP11" i="34"/>
  <c r="AP44" i="31"/>
  <c r="T20" i="34"/>
  <c r="X20" i="34" s="1"/>
  <c r="X23" i="34" s="1"/>
  <c r="AB22" i="34"/>
  <c r="AA22" i="34"/>
  <c r="D47" i="49"/>
  <c r="F47" i="49" s="1"/>
  <c r="I27" i="36"/>
  <c r="M27" i="36" s="1"/>
  <c r="I27" i="46"/>
  <c r="M27" i="46" s="1"/>
  <c r="S4" i="37"/>
  <c r="T4" i="37" s="1"/>
  <c r="AP45" i="31"/>
  <c r="D52" i="49"/>
  <c r="I28" i="36"/>
  <c r="M28" i="36" s="1"/>
  <c r="I28" i="46"/>
  <c r="J28" i="46" s="1"/>
  <c r="L28" i="46" s="1"/>
  <c r="S22" i="35"/>
  <c r="T22" i="35" s="1"/>
  <c r="AA23" i="35"/>
  <c r="T20" i="35"/>
  <c r="X20" i="35" s="1"/>
  <c r="X23" i="35" s="1"/>
  <c r="AB23" i="35"/>
  <c r="I27" i="33"/>
  <c r="J27" i="33" s="1"/>
  <c r="I28" i="33"/>
  <c r="O27" i="33" s="1"/>
  <c r="I28" i="32"/>
  <c r="O27" i="32" s="1"/>
  <c r="I27" i="32"/>
  <c r="J27" i="32" s="1"/>
  <c r="AH8" i="34"/>
  <c r="AL8" i="34" s="1"/>
  <c r="AL11" i="34" s="1"/>
  <c r="AO10" i="34"/>
  <c r="AG8" i="31"/>
  <c r="I28" i="26"/>
  <c r="O27" i="26" s="1"/>
  <c r="J37" i="50"/>
  <c r="I28" i="39"/>
  <c r="O27" i="39" s="1"/>
  <c r="I27" i="41"/>
  <c r="M27" i="41" s="1"/>
  <c r="I27" i="42"/>
  <c r="J27" i="42" s="1"/>
  <c r="AK4" i="39"/>
  <c r="AH4" i="39"/>
  <c r="AJ4" i="39" s="1"/>
  <c r="N16" i="42"/>
  <c r="L16" i="42"/>
  <c r="X2" i="38"/>
  <c r="X5" i="38" s="1"/>
  <c r="V2" i="38"/>
  <c r="V5" i="38" s="1"/>
  <c r="N16" i="46"/>
  <c r="L16" i="46"/>
  <c r="AK4" i="44"/>
  <c r="AK4" i="38"/>
  <c r="AH4" i="38"/>
  <c r="AJ4" i="38" s="1"/>
  <c r="AK4" i="40"/>
  <c r="AH4" i="40"/>
  <c r="AJ4" i="40" s="1"/>
  <c r="AK4" i="46"/>
  <c r="Z2" i="42"/>
  <c r="AK4" i="32"/>
  <c r="AH4" i="32"/>
  <c r="AJ4" i="32" s="1"/>
  <c r="AH4" i="34"/>
  <c r="AJ4" i="34" s="1"/>
  <c r="AK4" i="34"/>
  <c r="AQ15" i="39"/>
  <c r="AM15" i="39"/>
  <c r="AN13" i="39"/>
  <c r="AQ16" i="39"/>
  <c r="AM16" i="39"/>
  <c r="AJ15" i="39"/>
  <c r="AL15" i="39" s="1"/>
  <c r="AH10" i="39"/>
  <c r="AN8" i="39"/>
  <c r="V28" i="39"/>
  <c r="X26" i="39"/>
  <c r="X28" i="39" s="1"/>
  <c r="AA65" i="37"/>
  <c r="AO65" i="37" s="1"/>
  <c r="AP65" i="37" s="1"/>
  <c r="W65" i="37"/>
  <c r="AA64" i="37"/>
  <c r="AO64" i="37" s="1"/>
  <c r="AP64" i="37" s="1"/>
  <c r="W64" i="37"/>
  <c r="K54" i="45"/>
  <c r="G52" i="45"/>
  <c r="K55" i="45"/>
  <c r="A93" i="59"/>
  <c r="A98" i="59"/>
  <c r="B92" i="59"/>
  <c r="AA22" i="49"/>
  <c r="AA23" i="49"/>
  <c r="S22" i="49"/>
  <c r="AG10" i="44"/>
  <c r="AO11" i="44"/>
  <c r="AO10" i="44"/>
  <c r="O73" i="45"/>
  <c r="P72" i="45"/>
  <c r="AC74" i="44"/>
  <c r="AD74" i="44" s="1"/>
  <c r="AD73" i="44"/>
  <c r="AC78" i="44"/>
  <c r="M19" i="44"/>
  <c r="O16" i="44"/>
  <c r="M18" i="44"/>
  <c r="O15" i="44"/>
  <c r="O86" i="35"/>
  <c r="O82" i="35"/>
  <c r="P81" i="35"/>
  <c r="M65" i="32"/>
  <c r="I65" i="32"/>
  <c r="G64" i="32"/>
  <c r="I64" i="32"/>
  <c r="M64" i="32"/>
  <c r="Q57" i="37"/>
  <c r="Q59" i="37"/>
  <c r="P64" i="28"/>
  <c r="O65" i="28"/>
  <c r="P65" i="28" s="1"/>
  <c r="M19" i="39"/>
  <c r="O16" i="39"/>
  <c r="J15" i="39"/>
  <c r="M18" i="39"/>
  <c r="O15" i="39"/>
  <c r="AL14" i="40"/>
  <c r="AL16" i="40" s="1"/>
  <c r="AJ16" i="40"/>
  <c r="I27" i="26"/>
  <c r="AB16" i="39"/>
  <c r="AA15" i="39"/>
  <c r="AA16" i="39"/>
  <c r="W13" i="39"/>
  <c r="AB15" i="39"/>
  <c r="T13" i="39"/>
  <c r="O28" i="35"/>
  <c r="J28" i="35"/>
  <c r="L28" i="35" s="1"/>
  <c r="M28" i="35"/>
  <c r="O27" i="35"/>
  <c r="C69" i="34"/>
  <c r="C68" i="34"/>
  <c r="X57" i="48"/>
  <c r="O82" i="26"/>
  <c r="P81" i="26"/>
  <c r="O86" i="26"/>
  <c r="B77" i="37"/>
  <c r="A78" i="37"/>
  <c r="P64" i="37"/>
  <c r="O65" i="37"/>
  <c r="P65" i="37" s="1"/>
  <c r="O70" i="41"/>
  <c r="P70" i="41" s="1"/>
  <c r="P69" i="41"/>
  <c r="A79" i="44"/>
  <c r="B78" i="44"/>
  <c r="AA70" i="48"/>
  <c r="AO70" i="48" s="1"/>
  <c r="W70" i="48"/>
  <c r="AA69" i="48"/>
  <c r="AO69" i="48" s="1"/>
  <c r="W69" i="48"/>
  <c r="Q62" i="38"/>
  <c r="Q64" i="38"/>
  <c r="B77" i="46"/>
  <c r="A78" i="46"/>
  <c r="A79" i="41"/>
  <c r="B78" i="41"/>
  <c r="AK5" i="42"/>
  <c r="AQ6" i="42"/>
  <c r="AM6" i="42"/>
  <c r="AQ5" i="42"/>
  <c r="AM5" i="42"/>
  <c r="I14" i="26"/>
  <c r="I21" i="26"/>
  <c r="AC9" i="34"/>
  <c r="Y9" i="34"/>
  <c r="Z7" i="34"/>
  <c r="V9" i="34"/>
  <c r="X9" i="34" s="1"/>
  <c r="AC10" i="34"/>
  <c r="Y10" i="34"/>
  <c r="I14" i="45"/>
  <c r="I21" i="45"/>
  <c r="O77" i="33"/>
  <c r="P76" i="33"/>
  <c r="O81" i="33"/>
  <c r="Y60" i="47"/>
  <c r="Y59" i="47"/>
  <c r="F52" i="50"/>
  <c r="M59" i="39"/>
  <c r="I59" i="39"/>
  <c r="M60" i="39"/>
  <c r="I60" i="39"/>
  <c r="G59" i="39"/>
  <c r="P73" i="36"/>
  <c r="Q73" i="36" s="1"/>
  <c r="O74" i="36"/>
  <c r="X57" i="38"/>
  <c r="P76" i="45"/>
  <c r="O81" i="45"/>
  <c r="O77" i="45"/>
  <c r="G52" i="46"/>
  <c r="K54" i="46"/>
  <c r="K55" i="46"/>
  <c r="Y55" i="49"/>
  <c r="Y54" i="49"/>
  <c r="AC83" i="39"/>
  <c r="AC79" i="39"/>
  <c r="AD79" i="39" s="1"/>
  <c r="AD78" i="39"/>
  <c r="AJ69" i="44"/>
  <c r="AJ70" i="44"/>
  <c r="AJ74" i="26"/>
  <c r="AJ75" i="26"/>
  <c r="AA23" i="32"/>
  <c r="T20" i="32"/>
  <c r="AA22" i="32"/>
  <c r="S22" i="32"/>
  <c r="M23" i="44"/>
  <c r="M22" i="44"/>
  <c r="I14" i="38"/>
  <c r="I21" i="38"/>
  <c r="N21" i="38" s="1"/>
  <c r="M19" i="42"/>
  <c r="O16" i="42"/>
  <c r="M18" i="42"/>
  <c r="O15" i="42"/>
  <c r="B82" i="42"/>
  <c r="A83" i="42"/>
  <c r="AC89" i="40"/>
  <c r="AD89" i="40" s="1"/>
  <c r="AD88" i="40"/>
  <c r="AC93" i="40"/>
  <c r="C69" i="33"/>
  <c r="C68" i="33"/>
  <c r="B82" i="50"/>
  <c r="A83" i="50"/>
  <c r="G58" i="36"/>
  <c r="C57" i="36"/>
  <c r="O69" i="34"/>
  <c r="P68" i="34"/>
  <c r="Q68" i="34" s="1"/>
  <c r="G63" i="32"/>
  <c r="C62" i="32"/>
  <c r="A74" i="45"/>
  <c r="B73" i="45"/>
  <c r="B86" i="34"/>
  <c r="A91" i="34"/>
  <c r="A87" i="34"/>
  <c r="C64" i="45"/>
  <c r="C63" i="45"/>
  <c r="P64" i="40"/>
  <c r="O65" i="40"/>
  <c r="P65" i="40" s="1"/>
  <c r="M18" i="38"/>
  <c r="O15" i="38"/>
  <c r="M19" i="38"/>
  <c r="O16" i="38"/>
  <c r="J15" i="38"/>
  <c r="I28" i="42"/>
  <c r="AK3" i="33"/>
  <c r="AP6" i="33"/>
  <c r="AO6" i="33"/>
  <c r="AP5" i="33"/>
  <c r="AH3" i="33"/>
  <c r="AO5" i="33"/>
  <c r="I27" i="38"/>
  <c r="N16" i="44"/>
  <c r="L16" i="44"/>
  <c r="C63" i="59"/>
  <c r="G64" i="59"/>
  <c r="O70" i="38"/>
  <c r="P70" i="38" s="1"/>
  <c r="P69" i="38"/>
  <c r="P77" i="29"/>
  <c r="O78" i="29"/>
  <c r="AC79" i="49"/>
  <c r="AD79" i="49" s="1"/>
  <c r="AD78" i="49"/>
  <c r="AC83" i="49"/>
  <c r="Q57" i="28"/>
  <c r="Q59" i="28"/>
  <c r="G52" i="26"/>
  <c r="K54" i="26"/>
  <c r="K55" i="26"/>
  <c r="AJ74" i="36"/>
  <c r="AJ75" i="36"/>
  <c r="W25" i="37"/>
  <c r="W24" i="37"/>
  <c r="AC23" i="37"/>
  <c r="Y23" i="37"/>
  <c r="T21" i="37"/>
  <c r="AC22" i="37"/>
  <c r="Y22" i="37"/>
  <c r="I21" i="39"/>
  <c r="N21" i="39" s="1"/>
  <c r="I14" i="39"/>
  <c r="AC74" i="41"/>
  <c r="AD74" i="41" s="1"/>
  <c r="AD73" i="41"/>
  <c r="AC78" i="41"/>
  <c r="C64" i="36"/>
  <c r="C63" i="36"/>
  <c r="AC10" i="33"/>
  <c r="Y10" i="33"/>
  <c r="AC9" i="33"/>
  <c r="Y9" i="33"/>
  <c r="Z7" i="33"/>
  <c r="V9" i="33"/>
  <c r="X9" i="33" s="1"/>
  <c r="AA22" i="40"/>
  <c r="T20" i="40"/>
  <c r="AA23" i="40"/>
  <c r="S22" i="40"/>
  <c r="AB22" i="40"/>
  <c r="AB23" i="40"/>
  <c r="M23" i="35"/>
  <c r="M22" i="35"/>
  <c r="J22" i="35"/>
  <c r="AC28" i="36"/>
  <c r="Y28" i="36"/>
  <c r="Z25" i="36"/>
  <c r="AC27" i="36"/>
  <c r="Y27" i="36"/>
  <c r="V27" i="36"/>
  <c r="X27" i="36" s="1"/>
  <c r="P81" i="47"/>
  <c r="O82" i="47"/>
  <c r="O86" i="47"/>
  <c r="AI72" i="28"/>
  <c r="AL74" i="28"/>
  <c r="AH74" i="28"/>
  <c r="AL75" i="28"/>
  <c r="AH75" i="28"/>
  <c r="AA70" i="36"/>
  <c r="AO70" i="36" s="1"/>
  <c r="AP70" i="36" s="1"/>
  <c r="AA69" i="36"/>
  <c r="AO69" i="36" s="1"/>
  <c r="W70" i="36"/>
  <c r="W69" i="36"/>
  <c r="AI92" i="46"/>
  <c r="AL94" i="46"/>
  <c r="AH94" i="46"/>
  <c r="AH95" i="46"/>
  <c r="AL95" i="46"/>
  <c r="Y55" i="31"/>
  <c r="Y54" i="31"/>
  <c r="M59" i="30"/>
  <c r="I59" i="30"/>
  <c r="M60" i="30"/>
  <c r="I60" i="30"/>
  <c r="G59" i="30"/>
  <c r="C69" i="27"/>
  <c r="C68" i="27"/>
  <c r="AP64" i="38"/>
  <c r="W90" i="32"/>
  <c r="AA89" i="32"/>
  <c r="AO89" i="32" s="1"/>
  <c r="W89" i="32"/>
  <c r="AA90" i="32"/>
  <c r="AO90" i="32" s="1"/>
  <c r="AP90" i="32" s="1"/>
  <c r="M19" i="33"/>
  <c r="O16" i="33"/>
  <c r="J15" i="33"/>
  <c r="M18" i="33"/>
  <c r="O15" i="33"/>
  <c r="AQ15" i="49"/>
  <c r="AM15" i="49"/>
  <c r="AN13" i="49"/>
  <c r="AQ16" i="49"/>
  <c r="AM16" i="49"/>
  <c r="AN13" i="37"/>
  <c r="AQ16" i="37"/>
  <c r="AM16" i="37"/>
  <c r="AJ15" i="37"/>
  <c r="AL15" i="37" s="1"/>
  <c r="AQ15" i="37"/>
  <c r="AM15" i="37"/>
  <c r="A75" i="42"/>
  <c r="B75" i="42" s="1"/>
  <c r="B74" i="42"/>
  <c r="AJ70" i="38"/>
  <c r="AJ69" i="38"/>
  <c r="AA65" i="39"/>
  <c r="AO65" i="39" s="1"/>
  <c r="AP65" i="39" s="1"/>
  <c r="W65" i="39"/>
  <c r="AA64" i="39"/>
  <c r="AO64" i="39" s="1"/>
  <c r="W64" i="39"/>
  <c r="AC79" i="31"/>
  <c r="AD79" i="31" s="1"/>
  <c r="AD78" i="31"/>
  <c r="AC83" i="31"/>
  <c r="A79" i="35"/>
  <c r="B78" i="35"/>
  <c r="O73" i="46"/>
  <c r="P72" i="46"/>
  <c r="O73" i="27"/>
  <c r="P72" i="27"/>
  <c r="AP59" i="34"/>
  <c r="X52" i="28"/>
  <c r="A83" i="33"/>
  <c r="B82" i="33"/>
  <c r="AQ16" i="32"/>
  <c r="AM16" i="32"/>
  <c r="AJ15" i="32"/>
  <c r="AL15" i="32" s="1"/>
  <c r="AN13" i="32"/>
  <c r="AM15" i="32"/>
  <c r="AQ15" i="32"/>
  <c r="I21" i="30"/>
  <c r="I14" i="30"/>
  <c r="M23" i="46"/>
  <c r="M22" i="46"/>
  <c r="AA22" i="44"/>
  <c r="AA23" i="44"/>
  <c r="S22" i="44"/>
  <c r="O93" i="59"/>
  <c r="P92" i="59"/>
  <c r="O98" i="59"/>
  <c r="M64" i="31"/>
  <c r="I64" i="31"/>
  <c r="M65" i="31"/>
  <c r="I65" i="31"/>
  <c r="G64" i="31"/>
  <c r="Y55" i="43"/>
  <c r="Y54" i="43"/>
  <c r="G52" i="48"/>
  <c r="K55" i="48"/>
  <c r="K54" i="48"/>
  <c r="K59" i="28"/>
  <c r="G57" i="28"/>
  <c r="K60" i="28"/>
  <c r="K59" i="41"/>
  <c r="G57" i="41"/>
  <c r="K60" i="41"/>
  <c r="C62" i="27"/>
  <c r="G63" i="27"/>
  <c r="X77" i="32"/>
  <c r="B77" i="30"/>
  <c r="A78" i="30"/>
  <c r="A70" i="48"/>
  <c r="B70" i="48" s="1"/>
  <c r="B69" i="48"/>
  <c r="Q59" i="27"/>
  <c r="Q57" i="27"/>
  <c r="AE39" i="49"/>
  <c r="AG39" i="49" s="1"/>
  <c r="D43" i="49"/>
  <c r="D39" i="49"/>
  <c r="F39" i="49" s="1"/>
  <c r="H39" i="49" s="1"/>
  <c r="R38" i="49"/>
  <c r="AE43" i="49"/>
  <c r="R34" i="49"/>
  <c r="R42" i="49"/>
  <c r="I21" i="27"/>
  <c r="I14" i="27"/>
  <c r="W7" i="36"/>
  <c r="T3" i="36"/>
  <c r="W6" i="36"/>
  <c r="AC5" i="36"/>
  <c r="Y5" i="36"/>
  <c r="AC4" i="36"/>
  <c r="Y4" i="36"/>
  <c r="AK13" i="40"/>
  <c r="AK12" i="40"/>
  <c r="AQ11" i="40"/>
  <c r="AM11" i="40"/>
  <c r="AQ10" i="40"/>
  <c r="AM10" i="40"/>
  <c r="AH9" i="40"/>
  <c r="W15" i="36"/>
  <c r="AC15" i="36"/>
  <c r="Y15" i="36"/>
  <c r="T15" i="36"/>
  <c r="V15" i="36" s="1"/>
  <c r="AC16" i="36"/>
  <c r="Y16" i="36"/>
  <c r="I27" i="40"/>
  <c r="A86" i="36"/>
  <c r="A82" i="36"/>
  <c r="B81" i="36"/>
  <c r="X52" i="34"/>
  <c r="AF7" i="61"/>
  <c r="W10" i="68" s="1"/>
  <c r="C5" i="47"/>
  <c r="AP7" i="24"/>
  <c r="Y6" i="24" s="1"/>
  <c r="B7" i="24"/>
  <c r="AA65" i="45"/>
  <c r="AO65" i="45" s="1"/>
  <c r="W65" i="45"/>
  <c r="AA64" i="45"/>
  <c r="AO64" i="45" s="1"/>
  <c r="W64" i="45"/>
  <c r="Y55" i="33"/>
  <c r="Y54" i="33"/>
  <c r="Q59" i="49"/>
  <c r="Q57" i="49"/>
  <c r="Y55" i="50"/>
  <c r="Y54" i="50"/>
  <c r="AQ6" i="49"/>
  <c r="AM6" i="49"/>
  <c r="AQ5" i="49"/>
  <c r="AM5" i="49"/>
  <c r="AK5" i="49"/>
  <c r="AH4" i="37"/>
  <c r="AJ4" i="37" s="1"/>
  <c r="AK4" i="37"/>
  <c r="N16" i="49"/>
  <c r="L16" i="49"/>
  <c r="B86" i="28"/>
  <c r="A91" i="28"/>
  <c r="A87" i="28"/>
  <c r="Q64" i="48"/>
  <c r="Q62" i="48"/>
  <c r="Q59" i="44"/>
  <c r="Q57" i="44"/>
  <c r="AJ74" i="27"/>
  <c r="AJ75" i="27"/>
  <c r="AC79" i="45"/>
  <c r="AD79" i="45" s="1"/>
  <c r="AD78" i="45"/>
  <c r="AC83" i="45"/>
  <c r="C64" i="43"/>
  <c r="C63" i="43"/>
  <c r="AJ75" i="37"/>
  <c r="AJ74" i="37"/>
  <c r="K59" i="35"/>
  <c r="G57" i="35"/>
  <c r="K60" i="35"/>
  <c r="O69" i="46"/>
  <c r="P68" i="46"/>
  <c r="Q68" i="46" s="1"/>
  <c r="H42" i="50"/>
  <c r="M64" i="49"/>
  <c r="I64" i="49"/>
  <c r="M65" i="49"/>
  <c r="I65" i="49"/>
  <c r="G64" i="49"/>
  <c r="G4" i="24"/>
  <c r="O86" i="41"/>
  <c r="O82" i="41"/>
  <c r="P81" i="41"/>
  <c r="Y55" i="37"/>
  <c r="Y54" i="37"/>
  <c r="Q59" i="31"/>
  <c r="Q57" i="31"/>
  <c r="B77" i="39"/>
  <c r="A78" i="39"/>
  <c r="AC15" i="34"/>
  <c r="Y15" i="34"/>
  <c r="T15" i="34"/>
  <c r="V15" i="34" s="1"/>
  <c r="AC16" i="34"/>
  <c r="Y16" i="34"/>
  <c r="W15" i="34"/>
  <c r="AC15" i="49"/>
  <c r="Y15" i="49"/>
  <c r="AC16" i="49"/>
  <c r="Y16" i="49"/>
  <c r="W15" i="49"/>
  <c r="C62" i="28"/>
  <c r="G63" i="28"/>
  <c r="C62" i="38"/>
  <c r="G63" i="38"/>
  <c r="A75" i="47"/>
  <c r="B75" i="47" s="1"/>
  <c r="B74" i="47"/>
  <c r="P72" i="43"/>
  <c r="O73" i="43"/>
  <c r="AL75" i="42"/>
  <c r="AH75" i="42"/>
  <c r="AI72" i="42"/>
  <c r="AL74" i="42"/>
  <c r="AH74" i="42"/>
  <c r="AA70" i="29"/>
  <c r="AO70" i="29" s="1"/>
  <c r="W70" i="29"/>
  <c r="AA69" i="29"/>
  <c r="AO69" i="29" s="1"/>
  <c r="W69" i="29"/>
  <c r="X52" i="44"/>
  <c r="AC10" i="42"/>
  <c r="Y10" i="42"/>
  <c r="AC9" i="42"/>
  <c r="Y9" i="42"/>
  <c r="Z7" i="42"/>
  <c r="W6" i="38"/>
  <c r="AC5" i="38"/>
  <c r="Y5" i="38"/>
  <c r="AC4" i="38"/>
  <c r="Y4" i="38"/>
  <c r="W7" i="38"/>
  <c r="T3" i="38"/>
  <c r="W6" i="44"/>
  <c r="AC5" i="44"/>
  <c r="Y5" i="44"/>
  <c r="AC4" i="44"/>
  <c r="Y4" i="44"/>
  <c r="W7" i="44"/>
  <c r="S14" i="31"/>
  <c r="S15" i="31"/>
  <c r="S13" i="31"/>
  <c r="AA65" i="33"/>
  <c r="AO65" i="33" s="1"/>
  <c r="AP65" i="33" s="1"/>
  <c r="W65" i="33"/>
  <c r="AA64" i="33"/>
  <c r="AO64" i="33" s="1"/>
  <c r="W64" i="33"/>
  <c r="AA70" i="47"/>
  <c r="AO70" i="47" s="1"/>
  <c r="W70" i="47"/>
  <c r="AA69" i="47"/>
  <c r="AO69" i="47" s="1"/>
  <c r="W69" i="47"/>
  <c r="AI4" i="61"/>
  <c r="AJ3" i="61"/>
  <c r="B4" i="21"/>
  <c r="AP4" i="21"/>
  <c r="C8" i="50"/>
  <c r="D53" i="50" s="1"/>
  <c r="F53" i="50" s="1"/>
  <c r="H53" i="50" s="1"/>
  <c r="AJ74" i="48"/>
  <c r="AJ75" i="48"/>
  <c r="A91" i="31"/>
  <c r="A87" i="31"/>
  <c r="B86" i="31"/>
  <c r="B82" i="32"/>
  <c r="A83" i="32"/>
  <c r="M60" i="26"/>
  <c r="I60" i="26"/>
  <c r="G59" i="26"/>
  <c r="I59" i="26"/>
  <c r="M59" i="26"/>
  <c r="C57" i="45"/>
  <c r="G58" i="45"/>
  <c r="B82" i="29"/>
  <c r="A83" i="29"/>
  <c r="W14" i="37"/>
  <c r="T14" i="37"/>
  <c r="V14" i="37" s="1"/>
  <c r="V27" i="38"/>
  <c r="X27" i="38" s="1"/>
  <c r="AC28" i="38"/>
  <c r="Y28" i="38"/>
  <c r="Z25" i="38"/>
  <c r="AC27" i="38"/>
  <c r="Y27" i="38"/>
  <c r="AC15" i="44"/>
  <c r="Y15" i="44"/>
  <c r="AC16" i="44"/>
  <c r="Y16" i="44"/>
  <c r="W15" i="44"/>
  <c r="AN13" i="34"/>
  <c r="AQ16" i="34"/>
  <c r="AM16" i="34"/>
  <c r="AJ15" i="34"/>
  <c r="AL15" i="34" s="1"/>
  <c r="AQ15" i="34"/>
  <c r="AM15" i="34"/>
  <c r="AC28" i="42"/>
  <c r="Y28" i="42"/>
  <c r="Z25" i="42"/>
  <c r="AC27" i="42"/>
  <c r="Y27" i="42"/>
  <c r="W70" i="26"/>
  <c r="AA69" i="26"/>
  <c r="AO69" i="26" s="1"/>
  <c r="W69" i="26"/>
  <c r="AA70" i="26"/>
  <c r="AO70" i="26" s="1"/>
  <c r="M65" i="41"/>
  <c r="I65" i="41"/>
  <c r="G64" i="41"/>
  <c r="M64" i="41"/>
  <c r="I64" i="41"/>
  <c r="AI67" i="47"/>
  <c r="AL69" i="47"/>
  <c r="AH69" i="47"/>
  <c r="AL70" i="47"/>
  <c r="AH70" i="47"/>
  <c r="A79" i="29"/>
  <c r="B78" i="29"/>
  <c r="W15" i="42"/>
  <c r="AC15" i="42"/>
  <c r="Y15" i="42"/>
  <c r="AC16" i="42"/>
  <c r="Y16" i="42"/>
  <c r="AO5" i="39"/>
  <c r="AK3" i="39"/>
  <c r="AP6" i="39"/>
  <c r="AO6" i="39"/>
  <c r="AP5" i="39"/>
  <c r="AH3" i="39"/>
  <c r="AB16" i="40"/>
  <c r="AA15" i="40"/>
  <c r="AA16" i="40"/>
  <c r="W13" i="40"/>
  <c r="T13" i="40"/>
  <c r="AB15" i="40"/>
  <c r="I28" i="29"/>
  <c r="AC22" i="39"/>
  <c r="Y22" i="39"/>
  <c r="W25" i="39"/>
  <c r="W24" i="39"/>
  <c r="AC23" i="39"/>
  <c r="Y23" i="39"/>
  <c r="T21" i="39"/>
  <c r="AJ16" i="36"/>
  <c r="AL14" i="36"/>
  <c r="AL16" i="36" s="1"/>
  <c r="AO6" i="35"/>
  <c r="AP5" i="35"/>
  <c r="AH3" i="35"/>
  <c r="AO5" i="35"/>
  <c r="AK3" i="35"/>
  <c r="AP6" i="35"/>
  <c r="A74" i="36"/>
  <c r="B73" i="36"/>
  <c r="AG38" i="49"/>
  <c r="A75" i="35"/>
  <c r="B75" i="35" s="1"/>
  <c r="B74" i="35"/>
  <c r="X52" i="40"/>
  <c r="B82" i="59"/>
  <c r="A83" i="59"/>
  <c r="O70" i="42"/>
  <c r="P70" i="42" s="1"/>
  <c r="P69" i="42"/>
  <c r="X57" i="35"/>
  <c r="B86" i="41"/>
  <c r="A91" i="41"/>
  <c r="A87" i="41"/>
  <c r="W6" i="32"/>
  <c r="AC5" i="32"/>
  <c r="Y5" i="32"/>
  <c r="AC4" i="32"/>
  <c r="Y4" i="32"/>
  <c r="T3" i="32"/>
  <c r="W7" i="32"/>
  <c r="AC15" i="33"/>
  <c r="Y15" i="33"/>
  <c r="T15" i="33"/>
  <c r="V15" i="33" s="1"/>
  <c r="AC16" i="33"/>
  <c r="Y16" i="33"/>
  <c r="W15" i="33"/>
  <c r="AO10" i="38"/>
  <c r="AH8" i="38"/>
  <c r="AP11" i="38"/>
  <c r="AG10" i="38"/>
  <c r="AO11" i="38"/>
  <c r="AP10" i="38"/>
  <c r="AP40" i="31"/>
  <c r="AP39" i="31"/>
  <c r="AP49" i="31"/>
  <c r="AP34" i="31"/>
  <c r="AP50" i="31"/>
  <c r="AP35" i="31"/>
  <c r="I28" i="31"/>
  <c r="I27" i="31"/>
  <c r="AG9" i="31"/>
  <c r="AI15" i="31"/>
  <c r="AC79" i="34"/>
  <c r="AD79" i="34" s="1"/>
  <c r="AD78" i="34"/>
  <c r="AC83" i="34"/>
  <c r="P77" i="59"/>
  <c r="O78" i="59"/>
  <c r="P78" i="59" s="1"/>
  <c r="B86" i="49"/>
  <c r="A91" i="49"/>
  <c r="A87" i="49"/>
  <c r="AI72" i="50"/>
  <c r="AL74" i="50"/>
  <c r="AH74" i="50"/>
  <c r="AL75" i="50"/>
  <c r="AH75" i="50"/>
  <c r="A78" i="59"/>
  <c r="B78" i="59" s="1"/>
  <c r="B77" i="59"/>
  <c r="P97" i="32"/>
  <c r="O98" i="32"/>
  <c r="AO6" i="38"/>
  <c r="AP5" i="38"/>
  <c r="AH3" i="38"/>
  <c r="AO5" i="38"/>
  <c r="AK3" i="38"/>
  <c r="AP6" i="38"/>
  <c r="AA65" i="49"/>
  <c r="AO65" i="49" s="1"/>
  <c r="W65" i="49"/>
  <c r="AA64" i="49"/>
  <c r="AO64" i="49" s="1"/>
  <c r="W64" i="49"/>
  <c r="C62" i="34"/>
  <c r="G63" i="34"/>
  <c r="AC74" i="29"/>
  <c r="AD74" i="29" s="1"/>
  <c r="AD73" i="29"/>
  <c r="AC78" i="29"/>
  <c r="AP64" i="36"/>
  <c r="Q59" i="33"/>
  <c r="Q57" i="33"/>
  <c r="P76" i="34"/>
  <c r="O81" i="34"/>
  <c r="O77" i="34"/>
  <c r="B81" i="45"/>
  <c r="A86" i="45"/>
  <c r="A82" i="45"/>
  <c r="Y60" i="36"/>
  <c r="Y59" i="36"/>
  <c r="O77" i="44"/>
  <c r="P76" i="44"/>
  <c r="O81" i="44"/>
  <c r="K59" i="40"/>
  <c r="G57" i="40"/>
  <c r="K60" i="40"/>
  <c r="I28" i="37"/>
  <c r="AQ15" i="33"/>
  <c r="AM15" i="33"/>
  <c r="AN13" i="33"/>
  <c r="AQ16" i="33"/>
  <c r="AM16" i="33"/>
  <c r="AJ15" i="33"/>
  <c r="AL15" i="33" s="1"/>
  <c r="AC15" i="46"/>
  <c r="Y15" i="46"/>
  <c r="W15" i="46"/>
  <c r="AC16" i="46"/>
  <c r="Y16" i="46"/>
  <c r="I27" i="30"/>
  <c r="M18" i="32"/>
  <c r="O15" i="32"/>
  <c r="M19" i="32"/>
  <c r="O16" i="32"/>
  <c r="J15" i="32"/>
  <c r="AC83" i="30"/>
  <c r="AC79" i="30"/>
  <c r="AD79" i="30" s="1"/>
  <c r="AD78" i="30"/>
  <c r="P76" i="28"/>
  <c r="O81" i="28"/>
  <c r="O77" i="28"/>
  <c r="C62" i="29"/>
  <c r="G63" i="29"/>
  <c r="I21" i="48"/>
  <c r="I14" i="48"/>
  <c r="T14" i="38"/>
  <c r="V14" i="38" s="1"/>
  <c r="W14" i="38"/>
  <c r="AQ5" i="34"/>
  <c r="AM5" i="34"/>
  <c r="AH5" i="34"/>
  <c r="AJ5" i="34" s="1"/>
  <c r="AK5" i="34"/>
  <c r="AQ6" i="34"/>
  <c r="AM6" i="34"/>
  <c r="AL14" i="32"/>
  <c r="AL16" i="32" s="1"/>
  <c r="AJ16" i="32"/>
  <c r="J28" i="36"/>
  <c r="L28" i="36" s="1"/>
  <c r="AH10" i="40"/>
  <c r="AN8" i="40"/>
  <c r="Y60" i="48"/>
  <c r="Y59" i="48"/>
  <c r="AA70" i="30"/>
  <c r="AO70" i="30" s="1"/>
  <c r="W70" i="30"/>
  <c r="AA69" i="30"/>
  <c r="AO69" i="30" s="1"/>
  <c r="W69" i="30"/>
  <c r="O70" i="48"/>
  <c r="P70" i="48" s="1"/>
  <c r="P69" i="48"/>
  <c r="C69" i="47"/>
  <c r="C68" i="47"/>
  <c r="B81" i="46"/>
  <c r="A82" i="46"/>
  <c r="A86" i="46"/>
  <c r="Q62" i="29"/>
  <c r="Q64" i="29"/>
  <c r="X57" i="47"/>
  <c r="AP59" i="40"/>
  <c r="B86" i="35"/>
  <c r="A91" i="35"/>
  <c r="A87" i="35"/>
  <c r="B86" i="40"/>
  <c r="A91" i="40"/>
  <c r="A87" i="40"/>
  <c r="V27" i="34"/>
  <c r="X27" i="34" s="1"/>
  <c r="AC28" i="34"/>
  <c r="Y28" i="34"/>
  <c r="Z25" i="34"/>
  <c r="AC27" i="34"/>
  <c r="Y27" i="34"/>
  <c r="AL84" i="59"/>
  <c r="AL83" i="59"/>
  <c r="M23" i="39"/>
  <c r="M22" i="39"/>
  <c r="J22" i="39"/>
  <c r="T21" i="35"/>
  <c r="AC22" i="35"/>
  <c r="Y22" i="35"/>
  <c r="W25" i="35"/>
  <c r="W24" i="35"/>
  <c r="AC23" i="35"/>
  <c r="Y23" i="35"/>
  <c r="B81" i="37"/>
  <c r="A86" i="37"/>
  <c r="A82" i="37"/>
  <c r="A83" i="27"/>
  <c r="B82" i="27"/>
  <c r="K60" i="27"/>
  <c r="K59" i="27"/>
  <c r="G57" i="27"/>
  <c r="P77" i="38"/>
  <c r="O78" i="38"/>
  <c r="A70" i="43"/>
  <c r="B70" i="43" s="1"/>
  <c r="B69" i="43"/>
  <c r="Q59" i="39"/>
  <c r="Q57" i="39"/>
  <c r="B87" i="59"/>
  <c r="A88" i="59"/>
  <c r="AO5" i="42"/>
  <c r="AK3" i="42"/>
  <c r="AO6" i="42"/>
  <c r="W6" i="34"/>
  <c r="AC5" i="34"/>
  <c r="Y5" i="34"/>
  <c r="AC4" i="34"/>
  <c r="Y4" i="34"/>
  <c r="W7" i="34"/>
  <c r="T3" i="34"/>
  <c r="W6" i="49"/>
  <c r="AC5" i="49"/>
  <c r="Y5" i="49"/>
  <c r="AC4" i="49"/>
  <c r="Y4" i="49"/>
  <c r="W7" i="49"/>
  <c r="Y60" i="38"/>
  <c r="Y59" i="38"/>
  <c r="X52" i="49"/>
  <c r="A79" i="49"/>
  <c r="B78" i="49"/>
  <c r="AL70" i="44"/>
  <c r="AH70" i="44"/>
  <c r="AI67" i="44"/>
  <c r="AL69" i="44"/>
  <c r="AH69" i="44"/>
  <c r="AL75" i="26"/>
  <c r="AH75" i="26"/>
  <c r="AI72" i="26"/>
  <c r="AL74" i="26"/>
  <c r="AH74" i="26"/>
  <c r="I21" i="42"/>
  <c r="N21" i="42" s="1"/>
  <c r="I14" i="42"/>
  <c r="M23" i="42"/>
  <c r="M22" i="42"/>
  <c r="I21" i="40"/>
  <c r="N21" i="40" s="1"/>
  <c r="I14" i="40"/>
  <c r="B86" i="42"/>
  <c r="A91" i="42"/>
  <c r="A87" i="42"/>
  <c r="B82" i="38"/>
  <c r="A83" i="38"/>
  <c r="AJ85" i="40"/>
  <c r="AJ84" i="40"/>
  <c r="Q64" i="36"/>
  <c r="Q62" i="36"/>
  <c r="AN83" i="59"/>
  <c r="AJ83" i="59"/>
  <c r="AN84" i="59"/>
  <c r="AJ84" i="59"/>
  <c r="AK81" i="59"/>
  <c r="B86" i="50"/>
  <c r="A91" i="50"/>
  <c r="A87" i="50"/>
  <c r="M59" i="36"/>
  <c r="I59" i="36"/>
  <c r="M60" i="36"/>
  <c r="I60" i="36"/>
  <c r="G59" i="36"/>
  <c r="Y55" i="39"/>
  <c r="Y54" i="39"/>
  <c r="K54" i="37"/>
  <c r="G52" i="37"/>
  <c r="K55" i="37"/>
  <c r="M23" i="38"/>
  <c r="M22" i="38"/>
  <c r="J22" i="38"/>
  <c r="AH4" i="33"/>
  <c r="AJ4" i="33" s="1"/>
  <c r="AK4" i="33"/>
  <c r="I14" i="29"/>
  <c r="I21" i="29"/>
  <c r="J15" i="37"/>
  <c r="M18" i="37"/>
  <c r="O15" i="37"/>
  <c r="M19" i="37"/>
  <c r="O16" i="37"/>
  <c r="X52" i="45"/>
  <c r="T38" i="50"/>
  <c r="V38" i="50"/>
  <c r="C70" i="59"/>
  <c r="C71" i="59"/>
  <c r="B82" i="47"/>
  <c r="A83" i="47"/>
  <c r="O69" i="28"/>
  <c r="P68" i="28"/>
  <c r="Q68" i="28" s="1"/>
  <c r="O86" i="29"/>
  <c r="O82" i="29"/>
  <c r="P81" i="29"/>
  <c r="AJ74" i="49"/>
  <c r="AJ75" i="49"/>
  <c r="O73" i="40"/>
  <c r="P72" i="40"/>
  <c r="AL75" i="36"/>
  <c r="AH75" i="36"/>
  <c r="AL74" i="36"/>
  <c r="AH74" i="36"/>
  <c r="AI72" i="36"/>
  <c r="V27" i="37"/>
  <c r="X27" i="37" s="1"/>
  <c r="AC28" i="37"/>
  <c r="Y28" i="37"/>
  <c r="Z25" i="37"/>
  <c r="AC27" i="37"/>
  <c r="Y27" i="37"/>
  <c r="T21" i="32"/>
  <c r="W25" i="32"/>
  <c r="AC23" i="32"/>
  <c r="Y22" i="32"/>
  <c r="AC22" i="32"/>
  <c r="W24" i="32"/>
  <c r="Y23" i="32"/>
  <c r="AJ70" i="41"/>
  <c r="AJ69" i="41"/>
  <c r="Y60" i="30"/>
  <c r="Y59" i="30"/>
  <c r="O69" i="40"/>
  <c r="P68" i="40"/>
  <c r="Q68" i="40" s="1"/>
  <c r="AN8" i="49"/>
  <c r="W25" i="44"/>
  <c r="W24" i="44"/>
  <c r="AC23" i="44"/>
  <c r="Y23" i="44"/>
  <c r="AC22" i="44"/>
  <c r="Y22" i="44"/>
  <c r="T13" i="32"/>
  <c r="AA16" i="32"/>
  <c r="W13" i="32"/>
  <c r="AA15" i="32"/>
  <c r="N16" i="36"/>
  <c r="L16" i="36"/>
  <c r="J27" i="28"/>
  <c r="M27" i="28"/>
  <c r="T14" i="35"/>
  <c r="V14" i="35" s="1"/>
  <c r="W14" i="35"/>
  <c r="M19" i="36"/>
  <c r="O16" i="36"/>
  <c r="J15" i="36"/>
  <c r="M18" i="36"/>
  <c r="O15" i="36"/>
  <c r="T4" i="36"/>
  <c r="Z2" i="36"/>
  <c r="L16" i="35"/>
  <c r="N16" i="35"/>
  <c r="V20" i="35"/>
  <c r="V23" i="35" s="1"/>
  <c r="O70" i="36"/>
  <c r="P70" i="36" s="1"/>
  <c r="P69" i="36"/>
  <c r="G58" i="48"/>
  <c r="C57" i="48"/>
  <c r="AA5" i="24"/>
  <c r="AG5" i="24" s="1"/>
  <c r="K59" i="47"/>
  <c r="G57" i="47"/>
  <c r="K60" i="47"/>
  <c r="X52" i="31"/>
  <c r="A75" i="40"/>
  <c r="B75" i="40" s="1"/>
  <c r="B74" i="40"/>
  <c r="O74" i="38"/>
  <c r="P73" i="38"/>
  <c r="Q73" i="38" s="1"/>
  <c r="B77" i="26"/>
  <c r="A78" i="26"/>
  <c r="P89" i="32"/>
  <c r="O90" i="32"/>
  <c r="P90" i="32" s="1"/>
  <c r="J22" i="33"/>
  <c r="M23" i="33"/>
  <c r="M22" i="33"/>
  <c r="AQ10" i="49"/>
  <c r="AM10" i="49"/>
  <c r="AK13" i="49"/>
  <c r="AK12" i="49"/>
  <c r="AQ11" i="49"/>
  <c r="AM11" i="49"/>
  <c r="AK13" i="37"/>
  <c r="AK12" i="37"/>
  <c r="AQ11" i="37"/>
  <c r="AM11" i="37"/>
  <c r="AQ10" i="37"/>
  <c r="AM10" i="37"/>
  <c r="AH9" i="37"/>
  <c r="V28" i="34"/>
  <c r="X26" i="34"/>
  <c r="X28" i="34" s="1"/>
  <c r="J27" i="49"/>
  <c r="M27" i="49"/>
  <c r="CM128" i="61"/>
  <c r="BI128" i="61"/>
  <c r="H8" i="50" s="1"/>
  <c r="BK128" i="61"/>
  <c r="H10" i="50" s="1"/>
  <c r="AF13" i="50" s="1"/>
  <c r="BJ128" i="61"/>
  <c r="H9" i="50" s="1"/>
  <c r="BL128" i="61"/>
  <c r="H11" i="50" s="1"/>
  <c r="BG128" i="61"/>
  <c r="H6" i="50" s="1"/>
  <c r="BH128" i="61"/>
  <c r="H7" i="50" s="1"/>
  <c r="BF128" i="61"/>
  <c r="H5" i="50" s="1"/>
  <c r="AL69" i="38"/>
  <c r="AH69" i="38"/>
  <c r="AL70" i="38"/>
  <c r="AH70" i="38"/>
  <c r="AI67" i="38"/>
  <c r="G58" i="43"/>
  <c r="C57" i="43"/>
  <c r="AJ74" i="31"/>
  <c r="AJ75" i="31"/>
  <c r="P76" i="46"/>
  <c r="O81" i="46"/>
  <c r="O77" i="46"/>
  <c r="Q64" i="30"/>
  <c r="Q62" i="30"/>
  <c r="Y55" i="28"/>
  <c r="Y54" i="28"/>
  <c r="A91" i="33"/>
  <c r="A87" i="33"/>
  <c r="B86" i="33"/>
  <c r="O16" i="46"/>
  <c r="M18" i="46"/>
  <c r="O15" i="46"/>
  <c r="M19" i="46"/>
  <c r="W25" i="49"/>
  <c r="W24" i="49"/>
  <c r="AC23" i="49"/>
  <c r="Y23" i="49"/>
  <c r="AC22" i="49"/>
  <c r="Y22" i="49"/>
  <c r="A79" i="42"/>
  <c r="B78" i="42"/>
  <c r="O74" i="35"/>
  <c r="P73" i="35"/>
  <c r="Q73" i="35" s="1"/>
  <c r="O82" i="30"/>
  <c r="P81" i="30"/>
  <c r="O86" i="30"/>
  <c r="A79" i="50"/>
  <c r="B78" i="50"/>
  <c r="Q62" i="35"/>
  <c r="Q64" i="35"/>
  <c r="C69" i="31"/>
  <c r="C68" i="31"/>
  <c r="M64" i="27"/>
  <c r="I64" i="27"/>
  <c r="M65" i="27"/>
  <c r="I65" i="27"/>
  <c r="G64" i="27"/>
  <c r="Y80" i="32"/>
  <c r="Y79" i="32"/>
  <c r="B81" i="30"/>
  <c r="A86" i="30"/>
  <c r="A82" i="30"/>
  <c r="I16" i="38"/>
  <c r="J16" i="38" s="1"/>
  <c r="I21" i="44"/>
  <c r="N21" i="44" s="1"/>
  <c r="I14" i="44"/>
  <c r="O77" i="39"/>
  <c r="P76" i="39"/>
  <c r="O81" i="39"/>
  <c r="C68" i="29"/>
  <c r="C69" i="29"/>
  <c r="AV5" i="23"/>
  <c r="A79" i="32"/>
  <c r="B78" i="32"/>
  <c r="V9" i="36"/>
  <c r="X9" i="36" s="1"/>
  <c r="AC10" i="36"/>
  <c r="Y10" i="36"/>
  <c r="AC9" i="36"/>
  <c r="Y9" i="36"/>
  <c r="Z7" i="36"/>
  <c r="AK4" i="36"/>
  <c r="AH4" i="36"/>
  <c r="AJ4" i="36" s="1"/>
  <c r="V20" i="36"/>
  <c r="V23" i="36" s="1"/>
  <c r="T14" i="36"/>
  <c r="V14" i="36" s="1"/>
  <c r="W14" i="36"/>
  <c r="I28" i="40"/>
  <c r="AK13" i="35"/>
  <c r="AK12" i="35"/>
  <c r="AQ11" i="35"/>
  <c r="AM11" i="35"/>
  <c r="AQ10" i="35"/>
  <c r="AM10" i="35"/>
  <c r="AH9" i="35"/>
  <c r="G63" i="42"/>
  <c r="C62" i="42"/>
  <c r="AJ75" i="32"/>
  <c r="AJ74" i="32"/>
  <c r="Y55" i="34"/>
  <c r="Y54" i="34"/>
  <c r="AV6" i="24"/>
  <c r="P64" i="45"/>
  <c r="O65" i="45"/>
  <c r="P65" i="45" s="1"/>
  <c r="X52" i="33"/>
  <c r="W25" i="33"/>
  <c r="W24" i="33"/>
  <c r="AC23" i="33"/>
  <c r="Y23" i="33"/>
  <c r="T21" i="33"/>
  <c r="AC22" i="33"/>
  <c r="Y22" i="33"/>
  <c r="AQ5" i="46"/>
  <c r="AK5" i="46"/>
  <c r="AP6" i="37"/>
  <c r="AO6" i="37"/>
  <c r="AP5" i="37"/>
  <c r="AO5" i="37"/>
  <c r="AK3" i="37"/>
  <c r="AH3" i="37"/>
  <c r="AL75" i="27"/>
  <c r="AH75" i="27"/>
  <c r="AI72" i="27"/>
  <c r="AL74" i="27"/>
  <c r="AH74" i="27"/>
  <c r="AC74" i="35"/>
  <c r="AD74" i="35" s="1"/>
  <c r="AD73" i="35"/>
  <c r="AC78" i="35"/>
  <c r="O77" i="31"/>
  <c r="P76" i="31"/>
  <c r="O81" i="31"/>
  <c r="AJ75" i="45"/>
  <c r="AJ74" i="45"/>
  <c r="AA65" i="50"/>
  <c r="AO65" i="50" s="1"/>
  <c r="W65" i="50"/>
  <c r="AA64" i="50"/>
  <c r="AO64" i="50" s="1"/>
  <c r="W64" i="50"/>
  <c r="AI72" i="37"/>
  <c r="AL74" i="37"/>
  <c r="AH74" i="37"/>
  <c r="AL75" i="37"/>
  <c r="AH75" i="37"/>
  <c r="A75" i="50"/>
  <c r="B75" i="50" s="1"/>
  <c r="B74" i="50"/>
  <c r="AC79" i="33"/>
  <c r="AD79" i="33" s="1"/>
  <c r="AD78" i="33"/>
  <c r="AC83" i="33"/>
  <c r="B81" i="39"/>
  <c r="A86" i="39"/>
  <c r="A82" i="39"/>
  <c r="A70" i="30"/>
  <c r="B70" i="30" s="1"/>
  <c r="B69" i="30"/>
  <c r="A79" i="33"/>
  <c r="B78" i="33"/>
  <c r="AP11" i="33"/>
  <c r="AG10" i="33"/>
  <c r="AO11" i="33"/>
  <c r="AP10" i="33"/>
  <c r="AO10" i="33"/>
  <c r="AH8" i="33"/>
  <c r="AQ15" i="44"/>
  <c r="AM15" i="44"/>
  <c r="AN13" i="44"/>
  <c r="AQ16" i="44"/>
  <c r="AM16" i="44"/>
  <c r="O83" i="59"/>
  <c r="P82" i="59"/>
  <c r="Q82" i="59" s="1"/>
  <c r="M65" i="28"/>
  <c r="I65" i="28"/>
  <c r="G64" i="28"/>
  <c r="M64" i="28"/>
  <c r="I64" i="28"/>
  <c r="K59" i="32"/>
  <c r="G57" i="32"/>
  <c r="K60" i="32"/>
  <c r="AC83" i="42"/>
  <c r="AC79" i="42"/>
  <c r="AD79" i="42" s="1"/>
  <c r="AD78" i="42"/>
  <c r="Q57" i="46"/>
  <c r="Q59" i="46"/>
  <c r="O70" i="29"/>
  <c r="P70" i="29" s="1"/>
  <c r="P69" i="29"/>
  <c r="P77" i="42"/>
  <c r="O78" i="42"/>
  <c r="AC9" i="37"/>
  <c r="Y9" i="37"/>
  <c r="Z7" i="37"/>
  <c r="V9" i="37"/>
  <c r="X9" i="37" s="1"/>
  <c r="AC10" i="37"/>
  <c r="Y10" i="37"/>
  <c r="V9" i="38"/>
  <c r="X9" i="38" s="1"/>
  <c r="AC10" i="38"/>
  <c r="Y10" i="38"/>
  <c r="AC9" i="38"/>
  <c r="Y9" i="38"/>
  <c r="Z7" i="38"/>
  <c r="AC10" i="44"/>
  <c r="Y10" i="44"/>
  <c r="AC9" i="44"/>
  <c r="Y9" i="44"/>
  <c r="Z7" i="44"/>
  <c r="AA4" i="31"/>
  <c r="U27" i="31"/>
  <c r="S21" i="31"/>
  <c r="P69" i="47"/>
  <c r="O70" i="47"/>
  <c r="P70" i="47" s="1"/>
  <c r="H4" i="22"/>
  <c r="I4" i="22" s="1"/>
  <c r="D4" i="22"/>
  <c r="AH5" i="61"/>
  <c r="C7" i="49"/>
  <c r="AP5" i="22"/>
  <c r="Y4" i="22" s="1"/>
  <c r="B5" i="22"/>
  <c r="AL75" i="48"/>
  <c r="AH75" i="48"/>
  <c r="AI72" i="48"/>
  <c r="AL74" i="48"/>
  <c r="AH74" i="48"/>
  <c r="C62" i="50"/>
  <c r="G63" i="50"/>
  <c r="M60" i="45"/>
  <c r="I60" i="45"/>
  <c r="G59" i="45"/>
  <c r="M59" i="45"/>
  <c r="I59" i="45"/>
  <c r="B86" i="29"/>
  <c r="A91" i="29"/>
  <c r="A87" i="29"/>
  <c r="AB15" i="37"/>
  <c r="T13" i="37"/>
  <c r="AB16" i="37"/>
  <c r="AA15" i="37"/>
  <c r="AA16" i="37"/>
  <c r="W13" i="37"/>
  <c r="J15" i="34"/>
  <c r="M18" i="34"/>
  <c r="O15" i="34"/>
  <c r="M19" i="34"/>
  <c r="O16" i="34"/>
  <c r="W14" i="44"/>
  <c r="AK13" i="34"/>
  <c r="AK12" i="34"/>
  <c r="AQ11" i="34"/>
  <c r="AM11" i="34"/>
  <c r="AQ10" i="34"/>
  <c r="AM10" i="34"/>
  <c r="AH9" i="34"/>
  <c r="B69" i="36"/>
  <c r="A70" i="36"/>
  <c r="B70" i="36" s="1"/>
  <c r="P69" i="26"/>
  <c r="O70" i="26"/>
  <c r="P70" i="26" s="1"/>
  <c r="O65" i="31"/>
  <c r="P65" i="31" s="1"/>
  <c r="P64" i="31"/>
  <c r="C62" i="41"/>
  <c r="G63" i="41"/>
  <c r="I14" i="28"/>
  <c r="I21" i="28"/>
  <c r="I14" i="34"/>
  <c r="I21" i="34"/>
  <c r="N21" i="34" s="1"/>
  <c r="W14" i="42"/>
  <c r="V28" i="36"/>
  <c r="X26" i="36"/>
  <c r="X28" i="36" s="1"/>
  <c r="AA23" i="39"/>
  <c r="S22" i="39"/>
  <c r="AB22" i="39"/>
  <c r="AA22" i="39"/>
  <c r="T20" i="39"/>
  <c r="AB23" i="39"/>
  <c r="AK3" i="40"/>
  <c r="AO5" i="40"/>
  <c r="AH3" i="40"/>
  <c r="AP6" i="40"/>
  <c r="AO6" i="40"/>
  <c r="AP5" i="40"/>
  <c r="I27" i="29"/>
  <c r="AC28" i="39"/>
  <c r="Y28" i="39"/>
  <c r="Z25" i="39"/>
  <c r="AC27" i="39"/>
  <c r="Y27" i="39"/>
  <c r="V27" i="39"/>
  <c r="X27" i="39" s="1"/>
  <c r="W7" i="39"/>
  <c r="T3" i="39"/>
  <c r="W6" i="39"/>
  <c r="AC5" i="39"/>
  <c r="Y5" i="39"/>
  <c r="AC4" i="39"/>
  <c r="Y4" i="39"/>
  <c r="AK4" i="35"/>
  <c r="AH4" i="35"/>
  <c r="AJ4" i="35" s="1"/>
  <c r="O77" i="49"/>
  <c r="P76" i="49"/>
  <c r="O81" i="49"/>
  <c r="V33" i="49"/>
  <c r="T33" i="49"/>
  <c r="K60" i="33"/>
  <c r="K59" i="33"/>
  <c r="G57" i="33"/>
  <c r="A83" i="44"/>
  <c r="B82" i="44"/>
  <c r="AA70" i="42"/>
  <c r="AO70" i="42" s="1"/>
  <c r="AP70" i="42" s="1"/>
  <c r="W70" i="42"/>
  <c r="AA69" i="42"/>
  <c r="AO69" i="42" s="1"/>
  <c r="AP69" i="42" s="1"/>
  <c r="W69" i="42"/>
  <c r="Y60" i="35"/>
  <c r="Y59" i="35"/>
  <c r="Y10" i="32"/>
  <c r="Y9" i="32"/>
  <c r="AC10" i="32"/>
  <c r="AC9" i="32"/>
  <c r="V9" i="32"/>
  <c r="X9" i="32" s="1"/>
  <c r="Z7" i="32"/>
  <c r="W14" i="33"/>
  <c r="T14" i="33"/>
  <c r="V14" i="33" s="1"/>
  <c r="U9" i="31"/>
  <c r="S3" i="31"/>
  <c r="AA28" i="31"/>
  <c r="AA27" i="31"/>
  <c r="V26" i="31"/>
  <c r="S20" i="31"/>
  <c r="AJ75" i="34"/>
  <c r="AJ74" i="34"/>
  <c r="Q57" i="40"/>
  <c r="Q59" i="40"/>
  <c r="Q82" i="32"/>
  <c r="Q84" i="32"/>
  <c r="O69" i="37"/>
  <c r="P68" i="37"/>
  <c r="Q68" i="37" s="1"/>
  <c r="C62" i="40"/>
  <c r="G63" i="40"/>
  <c r="P68" i="27"/>
  <c r="Q68" i="27" s="1"/>
  <c r="O69" i="27"/>
  <c r="X57" i="41"/>
  <c r="A83" i="49"/>
  <c r="B82" i="49"/>
  <c r="A70" i="45"/>
  <c r="B70" i="45" s="1"/>
  <c r="B69" i="45"/>
  <c r="A75" i="34"/>
  <c r="B75" i="34" s="1"/>
  <c r="B74" i="34"/>
  <c r="C69" i="44"/>
  <c r="C68" i="44"/>
  <c r="P101" i="32"/>
  <c r="O106" i="32"/>
  <c r="O102" i="32"/>
  <c r="AH5" i="32"/>
  <c r="AJ5" i="32" s="1"/>
  <c r="AM6" i="32"/>
  <c r="AM5" i="32"/>
  <c r="AQ6" i="32"/>
  <c r="AQ5" i="32"/>
  <c r="AK5" i="32"/>
  <c r="AL14" i="34"/>
  <c r="AL16" i="34" s="1"/>
  <c r="AJ16" i="34"/>
  <c r="AQ6" i="44"/>
  <c r="AM6" i="44"/>
  <c r="AQ5" i="44"/>
  <c r="AM5" i="44"/>
  <c r="AK5" i="44"/>
  <c r="M65" i="34"/>
  <c r="I65" i="34"/>
  <c r="G64" i="34"/>
  <c r="M64" i="34"/>
  <c r="I64" i="34"/>
  <c r="AJ70" i="29"/>
  <c r="AJ69" i="29"/>
  <c r="O69" i="50"/>
  <c r="P68" i="50"/>
  <c r="Q68" i="50" s="1"/>
  <c r="O82" i="48"/>
  <c r="P81" i="48"/>
  <c r="O86" i="48"/>
  <c r="X57" i="36"/>
  <c r="I27" i="37"/>
  <c r="AQ10" i="33"/>
  <c r="AM10" i="33"/>
  <c r="AH9" i="33"/>
  <c r="AK13" i="33"/>
  <c r="AK12" i="33"/>
  <c r="AQ11" i="33"/>
  <c r="AM11" i="33"/>
  <c r="V28" i="38"/>
  <c r="X26" i="38"/>
  <c r="X28" i="38" s="1"/>
  <c r="AA15" i="46"/>
  <c r="AA16" i="46"/>
  <c r="W13" i="46"/>
  <c r="I28" i="30"/>
  <c r="J22" i="32"/>
  <c r="M22" i="32"/>
  <c r="M23" i="32"/>
  <c r="I14" i="35"/>
  <c r="I21" i="35"/>
  <c r="N21" i="35" s="1"/>
  <c r="P64" i="43"/>
  <c r="O65" i="43"/>
  <c r="P65" i="43" s="1"/>
  <c r="A75" i="44"/>
  <c r="B75" i="44" s="1"/>
  <c r="B74" i="44"/>
  <c r="AB15" i="38"/>
  <c r="T13" i="38"/>
  <c r="AB16" i="38"/>
  <c r="AA15" i="38"/>
  <c r="AA16" i="38"/>
  <c r="W13" i="38"/>
  <c r="S4" i="35"/>
  <c r="AB5" i="35"/>
  <c r="AB4" i="35"/>
  <c r="AA5" i="35"/>
  <c r="AA4" i="35"/>
  <c r="T2" i="35"/>
  <c r="T14" i="39"/>
  <c r="V14" i="39" s="1"/>
  <c r="W14" i="39"/>
  <c r="AA70" i="41"/>
  <c r="AO70" i="41" s="1"/>
  <c r="AP70" i="41" s="1"/>
  <c r="W70" i="41"/>
  <c r="AA69" i="41"/>
  <c r="AO69" i="41" s="1"/>
  <c r="W69" i="41"/>
  <c r="AK4" i="42"/>
  <c r="AA22" i="37"/>
  <c r="T20" i="37"/>
  <c r="AB23" i="37"/>
  <c r="AA23" i="37"/>
  <c r="S22" i="37"/>
  <c r="AB22" i="37"/>
  <c r="G58" i="39"/>
  <c r="C57" i="39"/>
  <c r="AG4" i="24"/>
  <c r="AL75" i="39"/>
  <c r="AH75" i="39"/>
  <c r="AI72" i="39"/>
  <c r="AL74" i="39"/>
  <c r="AH74" i="39"/>
  <c r="AH8" i="36"/>
  <c r="AP11" i="36"/>
  <c r="AG10" i="36"/>
  <c r="AO11" i="36"/>
  <c r="AP10" i="36"/>
  <c r="AO10" i="36"/>
  <c r="AA5" i="40"/>
  <c r="AA4" i="40"/>
  <c r="T2" i="40"/>
  <c r="AB4" i="40"/>
  <c r="AB5" i="40"/>
  <c r="S4" i="40"/>
  <c r="AL8" i="39"/>
  <c r="AL11" i="39" s="1"/>
  <c r="AJ8" i="39"/>
  <c r="AJ11" i="39" s="1"/>
  <c r="J15" i="40"/>
  <c r="M19" i="40"/>
  <c r="O16" i="40"/>
  <c r="M18" i="40"/>
  <c r="O15" i="40"/>
  <c r="AJ8" i="40"/>
  <c r="AJ11" i="40" s="1"/>
  <c r="AL8" i="40"/>
  <c r="AL11" i="40" s="1"/>
  <c r="M27" i="35"/>
  <c r="AK13" i="39"/>
  <c r="AK12" i="39"/>
  <c r="AQ11" i="39"/>
  <c r="AM11" i="39"/>
  <c r="AQ10" i="39"/>
  <c r="AM10" i="39"/>
  <c r="AH9" i="39"/>
  <c r="V27" i="35"/>
  <c r="X27" i="35" s="1"/>
  <c r="AC28" i="35"/>
  <c r="Y28" i="35"/>
  <c r="Z25" i="35"/>
  <c r="AC27" i="35"/>
  <c r="Y27" i="35"/>
  <c r="W15" i="39"/>
  <c r="AC15" i="39"/>
  <c r="Y15" i="39"/>
  <c r="T15" i="39"/>
  <c r="V15" i="39" s="1"/>
  <c r="AC16" i="39"/>
  <c r="Y16" i="39"/>
  <c r="J22" i="40"/>
  <c r="M23" i="40"/>
  <c r="M22" i="40"/>
  <c r="A74" i="48"/>
  <c r="B73" i="48"/>
  <c r="O70" i="30"/>
  <c r="P70" i="30" s="1"/>
  <c r="P69" i="30"/>
  <c r="P77" i="26"/>
  <c r="O78" i="26"/>
  <c r="A91" i="27"/>
  <c r="A87" i="27"/>
  <c r="B86" i="27"/>
  <c r="C69" i="40"/>
  <c r="C68" i="40"/>
  <c r="K60" i="44"/>
  <c r="K59" i="44"/>
  <c r="G57" i="44"/>
  <c r="O86" i="38"/>
  <c r="O82" i="38"/>
  <c r="P81" i="38"/>
  <c r="A70" i="39"/>
  <c r="B70" i="39" s="1"/>
  <c r="B69" i="39"/>
  <c r="AA23" i="42"/>
  <c r="S22" i="42"/>
  <c r="AA22" i="42"/>
  <c r="AJ16" i="33"/>
  <c r="AL14" i="33"/>
  <c r="AL16" i="33" s="1"/>
  <c r="AA22" i="46"/>
  <c r="AA23" i="46"/>
  <c r="S22" i="46"/>
  <c r="AC10" i="49"/>
  <c r="Y10" i="49"/>
  <c r="AC9" i="49"/>
  <c r="Y9" i="49"/>
  <c r="Z7" i="49"/>
  <c r="O73" i="33"/>
  <c r="P72" i="33"/>
  <c r="B82" i="35"/>
  <c r="A83" i="35"/>
  <c r="P68" i="31"/>
  <c r="Q68" i="31" s="1"/>
  <c r="O69" i="31"/>
  <c r="B82" i="40"/>
  <c r="A83" i="40"/>
  <c r="C64" i="37"/>
  <c r="C63" i="37"/>
  <c r="A70" i="26"/>
  <c r="B70" i="26" s="1"/>
  <c r="B69" i="26"/>
  <c r="AJ74" i="39"/>
  <c r="AJ75" i="39"/>
  <c r="Q57" i="34"/>
  <c r="Q59" i="34"/>
  <c r="O94" i="32"/>
  <c r="P93" i="32"/>
  <c r="Q93" i="32" s="1"/>
  <c r="AC83" i="26"/>
  <c r="AC79" i="26"/>
  <c r="AD79" i="26" s="1"/>
  <c r="AD78" i="26"/>
  <c r="AO11" i="46"/>
  <c r="AG10" i="46"/>
  <c r="AO10" i="46"/>
  <c r="W25" i="34"/>
  <c r="W24" i="34"/>
  <c r="AC23" i="34"/>
  <c r="Y23" i="34"/>
  <c r="T21" i="34"/>
  <c r="AC22" i="34"/>
  <c r="Y22" i="34"/>
  <c r="I14" i="47"/>
  <c r="I21" i="47"/>
  <c r="B86" i="38"/>
  <c r="A91" i="38"/>
  <c r="A87" i="38"/>
  <c r="AI82" i="40"/>
  <c r="AL84" i="40"/>
  <c r="AH84" i="40"/>
  <c r="AL85" i="40"/>
  <c r="AH85" i="40"/>
  <c r="P77" i="35"/>
  <c r="O78" i="35"/>
  <c r="AD88" i="59"/>
  <c r="AC94" i="59"/>
  <c r="AC89" i="59"/>
  <c r="AD89" i="59" s="1"/>
  <c r="G52" i="43"/>
  <c r="K54" i="43"/>
  <c r="K55" i="43"/>
  <c r="X52" i="39"/>
  <c r="AA65" i="28"/>
  <c r="AO65" i="28" s="1"/>
  <c r="W65" i="28"/>
  <c r="AA64" i="28"/>
  <c r="AO64" i="28" s="1"/>
  <c r="W64" i="28"/>
  <c r="P73" i="42"/>
  <c r="Q73" i="42" s="1"/>
  <c r="O74" i="42"/>
  <c r="K59" i="38"/>
  <c r="G57" i="38"/>
  <c r="K60" i="38"/>
  <c r="N16" i="37"/>
  <c r="L16" i="37"/>
  <c r="AQ6" i="33"/>
  <c r="AM6" i="33"/>
  <c r="AQ5" i="33"/>
  <c r="AM5" i="33"/>
  <c r="AH5" i="33"/>
  <c r="AJ5" i="33" s="1"/>
  <c r="AK5" i="33"/>
  <c r="W25" i="46"/>
  <c r="W24" i="46"/>
  <c r="AC23" i="46"/>
  <c r="Y23" i="46"/>
  <c r="AC22" i="46"/>
  <c r="Y22" i="46"/>
  <c r="J22" i="37"/>
  <c r="M23" i="37"/>
  <c r="M22" i="37"/>
  <c r="Y55" i="45"/>
  <c r="Y54" i="45"/>
  <c r="C68" i="41"/>
  <c r="C69" i="41"/>
  <c r="V34" i="50"/>
  <c r="V35" i="50" s="1"/>
  <c r="X35" i="50" s="1"/>
  <c r="AB35" i="50" s="1"/>
  <c r="T34" i="50"/>
  <c r="T35" i="50" s="1"/>
  <c r="X34" i="50" s="1"/>
  <c r="AB34" i="50" s="1"/>
  <c r="G57" i="42"/>
  <c r="K60" i="42"/>
  <c r="K59" i="42"/>
  <c r="F47" i="50"/>
  <c r="B86" i="47"/>
  <c r="A91" i="47"/>
  <c r="A87" i="47"/>
  <c r="A74" i="43"/>
  <c r="B73" i="43"/>
  <c r="AL75" i="49"/>
  <c r="AH75" i="49"/>
  <c r="AI72" i="49"/>
  <c r="AL74" i="49"/>
  <c r="AH74" i="49"/>
  <c r="P76" i="40"/>
  <c r="O81" i="40"/>
  <c r="O77" i="40"/>
  <c r="AJ16" i="38"/>
  <c r="AL14" i="38"/>
  <c r="AL16" i="38" s="1"/>
  <c r="V27" i="32"/>
  <c r="X27" i="32" s="1"/>
  <c r="Y28" i="32"/>
  <c r="AC28" i="32"/>
  <c r="Y27" i="32"/>
  <c r="Z25" i="32"/>
  <c r="AC27" i="32"/>
  <c r="AL69" i="41"/>
  <c r="AH69" i="41"/>
  <c r="AL70" i="41"/>
  <c r="AH70" i="41"/>
  <c r="AI67" i="41"/>
  <c r="A70" i="37"/>
  <c r="B70" i="37" s="1"/>
  <c r="B69" i="37"/>
  <c r="Q62" i="47"/>
  <c r="Q64" i="47"/>
  <c r="B81" i="43"/>
  <c r="A86" i="43"/>
  <c r="A82" i="43"/>
  <c r="X57" i="30"/>
  <c r="G52" i="30"/>
  <c r="K55" i="30"/>
  <c r="K54" i="30"/>
  <c r="AC27" i="44"/>
  <c r="Y27" i="44"/>
  <c r="AC28" i="44"/>
  <c r="Y28" i="44"/>
  <c r="Z25" i="44"/>
  <c r="T14" i="32"/>
  <c r="V14" i="32" s="1"/>
  <c r="W14" i="32"/>
  <c r="W25" i="40"/>
  <c r="W24" i="40"/>
  <c r="AC23" i="40"/>
  <c r="Y23" i="40"/>
  <c r="AC22" i="40"/>
  <c r="Y22" i="40"/>
  <c r="T21" i="40"/>
  <c r="AB15" i="35"/>
  <c r="T13" i="35"/>
  <c r="AB16" i="35"/>
  <c r="AA15" i="35"/>
  <c r="AA16" i="35"/>
  <c r="W13" i="35"/>
  <c r="M23" i="36"/>
  <c r="M22" i="36"/>
  <c r="J22" i="36"/>
  <c r="V2" i="36"/>
  <c r="V5" i="36" s="1"/>
  <c r="X2" i="36"/>
  <c r="X5" i="36" s="1"/>
  <c r="I27" i="39"/>
  <c r="V28" i="40"/>
  <c r="X26" i="40"/>
  <c r="X28" i="40" s="1"/>
  <c r="P68" i="49"/>
  <c r="Q68" i="49" s="1"/>
  <c r="O69" i="49"/>
  <c r="AC79" i="28"/>
  <c r="AD79" i="28" s="1"/>
  <c r="AD78" i="28"/>
  <c r="AC83" i="28"/>
  <c r="AC99" i="46"/>
  <c r="AD99" i="46" s="1"/>
  <c r="AD98" i="46"/>
  <c r="AC103" i="46"/>
  <c r="M59" i="48"/>
  <c r="I59" i="48"/>
  <c r="M60" i="48"/>
  <c r="I60" i="48"/>
  <c r="G59" i="48"/>
  <c r="O74" i="26"/>
  <c r="P73" i="26"/>
  <c r="Q73" i="26" s="1"/>
  <c r="W66" i="59"/>
  <c r="W65" i="59"/>
  <c r="Y66" i="59"/>
  <c r="Y65" i="59"/>
  <c r="A74" i="37"/>
  <c r="B73" i="37"/>
  <c r="H40" i="50"/>
  <c r="J40" i="50" s="1"/>
  <c r="N40" i="50" s="1"/>
  <c r="AQ40" i="50" s="1"/>
  <c r="B81" i="26"/>
  <c r="A86" i="26"/>
  <c r="A82" i="26"/>
  <c r="AP59" i="49"/>
  <c r="A75" i="49"/>
  <c r="B75" i="49" s="1"/>
  <c r="B74" i="49"/>
  <c r="M28" i="32"/>
  <c r="J28" i="32"/>
  <c r="L28" i="32" s="1"/>
  <c r="O28" i="32"/>
  <c r="AK13" i="42"/>
  <c r="AK12" i="42"/>
  <c r="AQ11" i="42"/>
  <c r="AM11" i="42"/>
  <c r="AQ10" i="42"/>
  <c r="AM10" i="42"/>
  <c r="AN13" i="46"/>
  <c r="AQ16" i="46"/>
  <c r="AM15" i="46"/>
  <c r="AM16" i="46"/>
  <c r="AQ15" i="46"/>
  <c r="M28" i="34"/>
  <c r="O27" i="34"/>
  <c r="O28" i="34"/>
  <c r="J28" i="34"/>
  <c r="L28" i="34" s="1"/>
  <c r="M28" i="49"/>
  <c r="O27" i="49"/>
  <c r="O28" i="49"/>
  <c r="J28" i="49"/>
  <c r="L28" i="49" s="1"/>
  <c r="M26" i="59"/>
  <c r="Q26" i="59"/>
  <c r="R26" i="59" s="1"/>
  <c r="O82" i="36"/>
  <c r="O86" i="36"/>
  <c r="P81" i="36"/>
  <c r="M60" i="43"/>
  <c r="I59" i="43"/>
  <c r="I60" i="43"/>
  <c r="G59" i="43"/>
  <c r="M59" i="43"/>
  <c r="AL75" i="31"/>
  <c r="AH75" i="31"/>
  <c r="AI72" i="31"/>
  <c r="AL74" i="31"/>
  <c r="AH74" i="31"/>
  <c r="O69" i="45"/>
  <c r="P68" i="45"/>
  <c r="Q68" i="45" s="1"/>
  <c r="O77" i="27"/>
  <c r="P76" i="27"/>
  <c r="O81" i="27"/>
  <c r="AC27" i="49"/>
  <c r="Y27" i="49"/>
  <c r="AC28" i="49"/>
  <c r="Y28" i="49"/>
  <c r="Z25" i="49"/>
  <c r="AP59" i="37"/>
  <c r="P68" i="43"/>
  <c r="Q68" i="43" s="1"/>
  <c r="O69" i="43"/>
  <c r="P73" i="48"/>
  <c r="Q73" i="48" s="1"/>
  <c r="O74" i="48"/>
  <c r="P68" i="44"/>
  <c r="Q68" i="44" s="1"/>
  <c r="O69" i="44"/>
  <c r="A79" i="34"/>
  <c r="B78" i="34"/>
  <c r="Q62" i="41"/>
  <c r="Q64" i="41"/>
  <c r="I21" i="46"/>
  <c r="N21" i="46" s="1"/>
  <c r="I14" i="46"/>
  <c r="I14" i="32"/>
  <c r="I21" i="32"/>
  <c r="N21" i="32" s="1"/>
  <c r="V10" i="32"/>
  <c r="X8" i="32"/>
  <c r="X10" i="32" s="1"/>
  <c r="AG6" i="61"/>
  <c r="C6" i="48"/>
  <c r="R47" i="48" s="1"/>
  <c r="B6" i="23"/>
  <c r="AP6" i="23"/>
  <c r="Y55" i="27"/>
  <c r="Y54" i="27"/>
  <c r="X2" i="37"/>
  <c r="X5" i="37" s="1"/>
  <c r="AL8" i="37"/>
  <c r="AL11" i="37" s="1"/>
  <c r="AJ8" i="37"/>
  <c r="AJ11" i="37" s="1"/>
  <c r="V20" i="34"/>
  <c r="V23" i="34" s="1"/>
  <c r="X8" i="39"/>
  <c r="X10" i="39" s="1"/>
  <c r="V10" i="39"/>
  <c r="J27" i="41"/>
  <c r="AK5" i="36"/>
  <c r="AQ6" i="36"/>
  <c r="AM6" i="36"/>
  <c r="AQ5" i="36"/>
  <c r="AM5" i="36"/>
  <c r="AH5" i="36"/>
  <c r="AJ5" i="36" s="1"/>
  <c r="I27" i="27"/>
  <c r="AB16" i="36"/>
  <c r="AA15" i="36"/>
  <c r="AA16" i="36"/>
  <c r="W13" i="36"/>
  <c r="AB15" i="36"/>
  <c r="T13" i="36"/>
  <c r="W6" i="35"/>
  <c r="AC5" i="35"/>
  <c r="Y5" i="35"/>
  <c r="AC4" i="35"/>
  <c r="Y4" i="35"/>
  <c r="W7" i="35"/>
  <c r="T3" i="35"/>
  <c r="I16" i="39"/>
  <c r="J16" i="39" s="1"/>
  <c r="T3" i="40"/>
  <c r="Y5" i="40"/>
  <c r="AC4" i="40"/>
  <c r="W6" i="40"/>
  <c r="AC5" i="40"/>
  <c r="W7" i="40"/>
  <c r="Y4" i="40"/>
  <c r="AQ16" i="35"/>
  <c r="AM16" i="35"/>
  <c r="AJ15" i="35"/>
  <c r="AL15" i="35" s="1"/>
  <c r="AQ15" i="35"/>
  <c r="AM15" i="35"/>
  <c r="AN13" i="35"/>
  <c r="O74" i="47"/>
  <c r="P73" i="47"/>
  <c r="Q73" i="47" s="1"/>
  <c r="M64" i="42"/>
  <c r="I64" i="42"/>
  <c r="M65" i="42"/>
  <c r="I65" i="42"/>
  <c r="G64" i="42"/>
  <c r="AI72" i="32"/>
  <c r="AL74" i="32"/>
  <c r="AH74" i="32"/>
  <c r="AL75" i="32"/>
  <c r="AH75" i="32"/>
  <c r="H6" i="24"/>
  <c r="I6" i="24" s="1"/>
  <c r="D6" i="24"/>
  <c r="F6" i="24" s="1"/>
  <c r="G6" i="24" s="1"/>
  <c r="AA65" i="46"/>
  <c r="AO65" i="46" s="1"/>
  <c r="W65" i="46"/>
  <c r="AA64" i="46"/>
  <c r="AO64" i="46" s="1"/>
  <c r="W64" i="46"/>
  <c r="A74" i="26"/>
  <c r="B73" i="26"/>
  <c r="C62" i="44"/>
  <c r="G63" i="44"/>
  <c r="O65" i="44"/>
  <c r="P65" i="44" s="1"/>
  <c r="P64" i="44"/>
  <c r="V28" i="32"/>
  <c r="X26" i="32"/>
  <c r="X28" i="32" s="1"/>
  <c r="AK3" i="49"/>
  <c r="AO6" i="49"/>
  <c r="AO5" i="49"/>
  <c r="AC27" i="33"/>
  <c r="Y27" i="33"/>
  <c r="V27" i="33"/>
  <c r="X27" i="33" s="1"/>
  <c r="AC28" i="33"/>
  <c r="Y28" i="33"/>
  <c r="Z25" i="33"/>
  <c r="AO5" i="46"/>
  <c r="AO6" i="46"/>
  <c r="AK3" i="46"/>
  <c r="N16" i="34"/>
  <c r="L16" i="34"/>
  <c r="P68" i="33"/>
  <c r="Q68" i="33" s="1"/>
  <c r="O69" i="33"/>
  <c r="C62" i="33"/>
  <c r="G63" i="33"/>
  <c r="C69" i="32"/>
  <c r="C68" i="32"/>
  <c r="AA70" i="35"/>
  <c r="AO70" i="35" s="1"/>
  <c r="AP70" i="35" s="1"/>
  <c r="W70" i="35"/>
  <c r="AA69" i="35"/>
  <c r="AO69" i="35" s="1"/>
  <c r="W69" i="35"/>
  <c r="O73" i="37"/>
  <c r="P72" i="37"/>
  <c r="AJ70" i="35"/>
  <c r="AJ69" i="35"/>
  <c r="AI72" i="45"/>
  <c r="AL74" i="45"/>
  <c r="AH74" i="45"/>
  <c r="AL75" i="45"/>
  <c r="AH75" i="45"/>
  <c r="P64" i="50"/>
  <c r="O65" i="50"/>
  <c r="P65" i="50" s="1"/>
  <c r="AJ74" i="33"/>
  <c r="AJ75" i="33"/>
  <c r="A70" i="46"/>
  <c r="B70" i="46" s="1"/>
  <c r="B69" i="46"/>
  <c r="I21" i="36"/>
  <c r="N21" i="36" s="1"/>
  <c r="I14" i="36"/>
  <c r="I14" i="37"/>
  <c r="I21" i="37"/>
  <c r="N21" i="37" s="1"/>
  <c r="W14" i="34"/>
  <c r="T14" i="34"/>
  <c r="V14" i="34" s="1"/>
  <c r="AK13" i="38"/>
  <c r="AK12" i="38"/>
  <c r="AQ11" i="38"/>
  <c r="AM11" i="38"/>
  <c r="AQ10" i="38"/>
  <c r="AM10" i="38"/>
  <c r="AH9" i="38"/>
  <c r="AQ10" i="44"/>
  <c r="AM10" i="44"/>
  <c r="AK13" i="44"/>
  <c r="AK12" i="44"/>
  <c r="AQ11" i="44"/>
  <c r="AM11" i="44"/>
  <c r="Q64" i="42"/>
  <c r="Q62" i="42"/>
  <c r="O73" i="50"/>
  <c r="P72" i="50"/>
  <c r="C57" i="37"/>
  <c r="G58" i="37"/>
  <c r="Q71" i="59"/>
  <c r="Q69" i="59"/>
  <c r="A74" i="30"/>
  <c r="B73" i="30"/>
  <c r="V10" i="38"/>
  <c r="X8" i="38"/>
  <c r="X10" i="38" s="1"/>
  <c r="W6" i="37"/>
  <c r="W7" i="37"/>
  <c r="T3" i="37"/>
  <c r="Y5" i="37"/>
  <c r="AC4" i="37"/>
  <c r="AC5" i="37"/>
  <c r="Y4" i="37"/>
  <c r="AG10" i="42"/>
  <c r="AO11" i="42"/>
  <c r="AO10" i="42"/>
  <c r="S4" i="46"/>
  <c r="AA5" i="46"/>
  <c r="AA4" i="46"/>
  <c r="X57" i="26"/>
  <c r="AV4" i="22"/>
  <c r="X52" i="46"/>
  <c r="AC83" i="48"/>
  <c r="AC79" i="48"/>
  <c r="AD79" i="48" s="1"/>
  <c r="AD78" i="48"/>
  <c r="Y60" i="42"/>
  <c r="Y59" i="42"/>
  <c r="C62" i="47"/>
  <c r="G63" i="47"/>
  <c r="M65" i="50"/>
  <c r="I65" i="50"/>
  <c r="G64" i="50"/>
  <c r="M64" i="50"/>
  <c r="I64" i="50"/>
  <c r="AC9" i="46"/>
  <c r="Y9" i="46"/>
  <c r="Z7" i="46"/>
  <c r="Y10" i="46"/>
  <c r="AC10" i="46"/>
  <c r="AC15" i="37"/>
  <c r="Y15" i="37"/>
  <c r="T15" i="37"/>
  <c r="V15" i="37" s="1"/>
  <c r="AC16" i="37"/>
  <c r="Y16" i="37"/>
  <c r="W15" i="37"/>
  <c r="J22" i="34"/>
  <c r="M23" i="34"/>
  <c r="M22" i="34"/>
  <c r="S4" i="38"/>
  <c r="M19" i="49"/>
  <c r="O16" i="49"/>
  <c r="M18" i="49"/>
  <c r="O15" i="49"/>
  <c r="S4" i="32"/>
  <c r="AA4" i="32"/>
  <c r="T2" i="32"/>
  <c r="AA5" i="32"/>
  <c r="P68" i="39"/>
  <c r="Q68" i="39" s="1"/>
  <c r="O69" i="39"/>
  <c r="AA65" i="31"/>
  <c r="AO65" i="31" s="1"/>
  <c r="W65" i="31"/>
  <c r="AA64" i="31"/>
  <c r="AO64" i="31" s="1"/>
  <c r="W64" i="31"/>
  <c r="AC74" i="47"/>
  <c r="AD74" i="47" s="1"/>
  <c r="AD73" i="47"/>
  <c r="AC78" i="47"/>
  <c r="Q57" i="45"/>
  <c r="Q59" i="45"/>
  <c r="I21" i="33"/>
  <c r="N21" i="33" s="1"/>
  <c r="I14" i="33"/>
  <c r="AA15" i="42"/>
  <c r="AA16" i="42"/>
  <c r="W13" i="42"/>
  <c r="AC15" i="40"/>
  <c r="Y15" i="40"/>
  <c r="T15" i="40"/>
  <c r="V15" i="40" s="1"/>
  <c r="W15" i="40"/>
  <c r="AC16" i="40"/>
  <c r="Y16" i="40"/>
  <c r="AQ6" i="40"/>
  <c r="AM6" i="40"/>
  <c r="AH5" i="40"/>
  <c r="AJ5" i="40" s="1"/>
  <c r="AM5" i="40"/>
  <c r="AQ5" i="40"/>
  <c r="AK5" i="40"/>
  <c r="V10" i="35"/>
  <c r="X8" i="35"/>
  <c r="X10" i="35" s="1"/>
  <c r="AK13" i="36"/>
  <c r="AK12" i="36"/>
  <c r="AQ11" i="36"/>
  <c r="AM11" i="36"/>
  <c r="AQ10" i="36"/>
  <c r="AM10" i="36"/>
  <c r="AH9" i="36"/>
  <c r="AB5" i="39"/>
  <c r="AB4" i="39"/>
  <c r="AA5" i="39"/>
  <c r="AA4" i="39"/>
  <c r="T2" i="39"/>
  <c r="S4" i="39"/>
  <c r="V9" i="39"/>
  <c r="X9" i="39" s="1"/>
  <c r="AC10" i="39"/>
  <c r="Y10" i="39"/>
  <c r="AC9" i="39"/>
  <c r="Y9" i="39"/>
  <c r="Z7" i="39"/>
  <c r="AK5" i="35"/>
  <c r="AQ6" i="35"/>
  <c r="AM6" i="35"/>
  <c r="AQ5" i="35"/>
  <c r="AM5" i="35"/>
  <c r="AH5" i="35"/>
  <c r="AJ5" i="35" s="1"/>
  <c r="B77" i="48"/>
  <c r="A78" i="48"/>
  <c r="AG34" i="49"/>
  <c r="AG35" i="49" s="1"/>
  <c r="AE35" i="49"/>
  <c r="AI34" i="49" s="1"/>
  <c r="AM34" i="49" s="1"/>
  <c r="AS34" i="49" s="1"/>
  <c r="C64" i="48"/>
  <c r="C63" i="48"/>
  <c r="A91" i="44"/>
  <c r="A87" i="44"/>
  <c r="B86" i="44"/>
  <c r="A74" i="46"/>
  <c r="B73" i="46"/>
  <c r="AI72" i="34"/>
  <c r="AL74" i="34"/>
  <c r="AH74" i="34"/>
  <c r="AL75" i="34"/>
  <c r="AH75" i="34"/>
  <c r="C64" i="39"/>
  <c r="C63" i="39"/>
  <c r="A79" i="28"/>
  <c r="B78" i="28"/>
  <c r="M65" i="35"/>
  <c r="I65" i="35"/>
  <c r="G64" i="35"/>
  <c r="M64" i="35"/>
  <c r="I64" i="35"/>
  <c r="M65" i="40"/>
  <c r="I65" i="40"/>
  <c r="G64" i="40"/>
  <c r="M64" i="40"/>
  <c r="I64" i="40"/>
  <c r="AA65" i="34"/>
  <c r="AO65" i="34" s="1"/>
  <c r="AP65" i="34" s="1"/>
  <c r="W65" i="34"/>
  <c r="AA64" i="34"/>
  <c r="AO64" i="34" s="1"/>
  <c r="W64" i="34"/>
  <c r="Y60" i="41"/>
  <c r="Y59" i="41"/>
  <c r="X57" i="29"/>
  <c r="O74" i="41"/>
  <c r="P73" i="41"/>
  <c r="Q73" i="41" s="1"/>
  <c r="AC79" i="50"/>
  <c r="AD79" i="50" s="1"/>
  <c r="AD78" i="50"/>
  <c r="AC83" i="50"/>
  <c r="G58" i="46"/>
  <c r="C57" i="46"/>
  <c r="A74" i="39"/>
  <c r="B73" i="39"/>
  <c r="I21" i="49"/>
  <c r="N21" i="49" s="1"/>
  <c r="I14" i="49"/>
  <c r="AK5" i="38"/>
  <c r="AQ6" i="38"/>
  <c r="AM6" i="38"/>
  <c r="AQ5" i="38"/>
  <c r="AM5" i="38"/>
  <c r="AH5" i="38"/>
  <c r="AJ5" i="38" s="1"/>
  <c r="H42" i="49"/>
  <c r="P73" i="30"/>
  <c r="Q73" i="30" s="1"/>
  <c r="O74" i="30"/>
  <c r="AL69" i="29"/>
  <c r="AH69" i="29"/>
  <c r="AL70" i="29"/>
  <c r="AH70" i="29"/>
  <c r="AI67" i="29"/>
  <c r="T47" i="49"/>
  <c r="V47" i="49"/>
  <c r="Q57" i="50"/>
  <c r="Q59" i="50"/>
  <c r="I59" i="59"/>
  <c r="I60" i="59"/>
  <c r="G57" i="59"/>
  <c r="K59" i="59"/>
  <c r="K60" i="59"/>
  <c r="F52" i="49"/>
  <c r="O73" i="44"/>
  <c r="P72" i="44"/>
  <c r="I27" i="44"/>
  <c r="AG10" i="34"/>
  <c r="AG6" i="25"/>
  <c r="O65" i="27"/>
  <c r="P65" i="27" s="1"/>
  <c r="P64" i="27"/>
  <c r="AJ74" i="30"/>
  <c r="AJ75" i="30"/>
  <c r="W65" i="43"/>
  <c r="AA64" i="43"/>
  <c r="AO64" i="43" s="1"/>
  <c r="AA65" i="43"/>
  <c r="AO65" i="43" s="1"/>
  <c r="W64" i="43"/>
  <c r="I16" i="33"/>
  <c r="J16" i="33" s="1"/>
  <c r="AC16" i="38"/>
  <c r="Y16" i="38"/>
  <c r="W15" i="38"/>
  <c r="AC15" i="38"/>
  <c r="Y15" i="38"/>
  <c r="T15" i="38"/>
  <c r="V15" i="38" s="1"/>
  <c r="AP6" i="34"/>
  <c r="AO6" i="34"/>
  <c r="AP5" i="34"/>
  <c r="AH3" i="34"/>
  <c r="AO5" i="34"/>
  <c r="AK3" i="34"/>
  <c r="I21" i="31"/>
  <c r="I14" i="31"/>
  <c r="B82" i="34"/>
  <c r="A83" i="34"/>
  <c r="AA65" i="40"/>
  <c r="AO65" i="40" s="1"/>
  <c r="AP65" i="40" s="1"/>
  <c r="W65" i="40"/>
  <c r="AA64" i="40"/>
  <c r="AO64" i="40" s="1"/>
  <c r="AP64" i="40" s="1"/>
  <c r="W64" i="40"/>
  <c r="M27" i="42"/>
  <c r="I28" i="38"/>
  <c r="AC28" i="46"/>
  <c r="Y28" i="46"/>
  <c r="Z25" i="46"/>
  <c r="Y27" i="46"/>
  <c r="AC27" i="46"/>
  <c r="G52" i="36"/>
  <c r="K55" i="36"/>
  <c r="K54" i="36"/>
  <c r="M65" i="59"/>
  <c r="M66" i="59"/>
  <c r="G65" i="59"/>
  <c r="AG43" i="50"/>
  <c r="AG39" i="50"/>
  <c r="AG40" i="50" s="1"/>
  <c r="AE40" i="50"/>
  <c r="AI39" i="50" s="1"/>
  <c r="A75" i="27"/>
  <c r="B75" i="27" s="1"/>
  <c r="B74" i="27"/>
  <c r="AA70" i="38"/>
  <c r="AO70" i="38" s="1"/>
  <c r="AP70" i="38" s="1"/>
  <c r="W70" i="38"/>
  <c r="AA69" i="38"/>
  <c r="AO69" i="38" s="1"/>
  <c r="AP69" i="38" s="1"/>
  <c r="W69" i="38"/>
  <c r="AC79" i="36"/>
  <c r="AD79" i="36" s="1"/>
  <c r="AD78" i="36"/>
  <c r="AC83" i="36"/>
  <c r="X8" i="34"/>
  <c r="X10" i="34" s="1"/>
  <c r="V10" i="34"/>
  <c r="AA4" i="23"/>
  <c r="K59" i="50"/>
  <c r="G57" i="50"/>
  <c r="K60" i="50"/>
  <c r="B77" i="43"/>
  <c r="A78" i="43"/>
  <c r="O74" i="29"/>
  <c r="P73" i="29"/>
  <c r="Q73" i="29" s="1"/>
  <c r="C69" i="49"/>
  <c r="C68" i="49"/>
  <c r="O28" i="46"/>
  <c r="T3" i="33"/>
  <c r="W6" i="33"/>
  <c r="AC5" i="33"/>
  <c r="Y5" i="33"/>
  <c r="AC4" i="33"/>
  <c r="Y4" i="33"/>
  <c r="W7" i="33"/>
  <c r="AC16" i="32"/>
  <c r="Y16" i="32"/>
  <c r="T15" i="32"/>
  <c r="V15" i="32" s="1"/>
  <c r="Y15" i="32"/>
  <c r="AC15" i="32"/>
  <c r="W15" i="32"/>
  <c r="AC28" i="40"/>
  <c r="Y28" i="40"/>
  <c r="Z25" i="40"/>
  <c r="AC27" i="40"/>
  <c r="Y27" i="40"/>
  <c r="V27" i="40"/>
  <c r="X27" i="40" s="1"/>
  <c r="M18" i="35"/>
  <c r="O15" i="35"/>
  <c r="M19" i="35"/>
  <c r="O16" i="35"/>
  <c r="J15" i="35"/>
  <c r="AC16" i="35"/>
  <c r="Y16" i="35"/>
  <c r="W15" i="35"/>
  <c r="AC15" i="35"/>
  <c r="Y15" i="35"/>
  <c r="T15" i="35"/>
  <c r="V15" i="35" s="1"/>
  <c r="AJ16" i="39"/>
  <c r="AL14" i="39"/>
  <c r="AL16" i="39" s="1"/>
  <c r="V10" i="40"/>
  <c r="X8" i="40"/>
  <c r="X10" i="40" s="1"/>
  <c r="AC22" i="36"/>
  <c r="Y22" i="36"/>
  <c r="W25" i="36"/>
  <c r="W24" i="36"/>
  <c r="AC23" i="36"/>
  <c r="Y23" i="36"/>
  <c r="T21" i="36"/>
  <c r="M28" i="39"/>
  <c r="O78" i="47"/>
  <c r="P77" i="47"/>
  <c r="AJ75" i="28"/>
  <c r="AJ74" i="28"/>
  <c r="A75" i="28"/>
  <c r="B75" i="28" s="1"/>
  <c r="B74" i="28"/>
  <c r="AJ95" i="46"/>
  <c r="AJ94" i="46"/>
  <c r="X63" i="59"/>
  <c r="A79" i="27"/>
  <c r="B78" i="27"/>
  <c r="F40" i="50"/>
  <c r="J39" i="50" s="1"/>
  <c r="N39" i="50" s="1"/>
  <c r="AQ39" i="50" s="1"/>
  <c r="Q62" i="26"/>
  <c r="Q64" i="26"/>
  <c r="G58" i="30"/>
  <c r="C57" i="30"/>
  <c r="C69" i="42"/>
  <c r="C68" i="42"/>
  <c r="AQ15" i="42"/>
  <c r="AM15" i="42"/>
  <c r="AN13" i="42"/>
  <c r="AQ16" i="42"/>
  <c r="AM16" i="42"/>
  <c r="AK13" i="46"/>
  <c r="AK12" i="46"/>
  <c r="AQ11" i="46"/>
  <c r="AM11" i="46"/>
  <c r="AQ10" i="46"/>
  <c r="AM10" i="46"/>
  <c r="J27" i="34"/>
  <c r="M27" i="34"/>
  <c r="L21" i="59"/>
  <c r="M21" i="59" s="1"/>
  <c r="L14" i="59"/>
  <c r="M14" i="59" s="1"/>
  <c r="AC74" i="38"/>
  <c r="AD74" i="38" s="1"/>
  <c r="AD73" i="38"/>
  <c r="AC78" i="38"/>
  <c r="A75" i="38"/>
  <c r="B75" i="38" s="1"/>
  <c r="B74" i="38"/>
  <c r="P77" i="36"/>
  <c r="O78" i="36"/>
  <c r="O65" i="39"/>
  <c r="P65" i="39" s="1"/>
  <c r="P64" i="39"/>
  <c r="C64" i="30"/>
  <c r="C63" i="30"/>
  <c r="A79" i="40"/>
  <c r="B78" i="40"/>
  <c r="K60" i="49"/>
  <c r="K59" i="49"/>
  <c r="G57" i="49"/>
  <c r="AQ10" i="32"/>
  <c r="AK13" i="32"/>
  <c r="AK12" i="32"/>
  <c r="AM11" i="32"/>
  <c r="AH9" i="32"/>
  <c r="AQ11" i="32"/>
  <c r="AM10" i="32"/>
  <c r="S4" i="34"/>
  <c r="AB5" i="34"/>
  <c r="AB4" i="34"/>
  <c r="AA5" i="34"/>
  <c r="AA4" i="34"/>
  <c r="T2" i="34"/>
  <c r="AB23" i="38"/>
  <c r="AA23" i="38"/>
  <c r="S22" i="38"/>
  <c r="AB22" i="38"/>
  <c r="AA22" i="38"/>
  <c r="T20" i="38"/>
  <c r="AA5" i="49"/>
  <c r="AA4" i="49"/>
  <c r="S4" i="49"/>
  <c r="A79" i="38"/>
  <c r="B78" i="38"/>
  <c r="O88" i="59"/>
  <c r="P87" i="59"/>
  <c r="C62" i="31"/>
  <c r="G63" i="31"/>
  <c r="P77" i="30"/>
  <c r="O78" i="30"/>
  <c r="X52" i="43"/>
  <c r="AP59" i="46"/>
  <c r="X8" i="37"/>
  <c r="X10" i="37" s="1"/>
  <c r="V10" i="37"/>
  <c r="K60" i="31"/>
  <c r="K59" i="31"/>
  <c r="G57" i="31"/>
  <c r="P72" i="39"/>
  <c r="O73" i="39"/>
  <c r="H5" i="23"/>
  <c r="I5" i="23" s="1"/>
  <c r="D5" i="23"/>
  <c r="F5" i="23" s="1"/>
  <c r="G5" i="23" s="1"/>
  <c r="C68" i="35"/>
  <c r="C69" i="35"/>
  <c r="X52" i="27"/>
  <c r="A75" i="41"/>
  <c r="B75" i="41" s="1"/>
  <c r="B74" i="41"/>
  <c r="I14" i="41"/>
  <c r="I21" i="41"/>
  <c r="V28" i="33"/>
  <c r="X26" i="33"/>
  <c r="X28" i="33" s="1"/>
  <c r="S22" i="34"/>
  <c r="AN13" i="40"/>
  <c r="AQ15" i="40"/>
  <c r="AM15" i="40"/>
  <c r="AQ16" i="40"/>
  <c r="AM16" i="40"/>
  <c r="AJ15" i="40"/>
  <c r="AL15" i="40" s="1"/>
  <c r="AJ16" i="35"/>
  <c r="AL14" i="35"/>
  <c r="AL16" i="35" s="1"/>
  <c r="AO10" i="35"/>
  <c r="AH8" i="35"/>
  <c r="AP11" i="35"/>
  <c r="AG10" i="35"/>
  <c r="AO11" i="35"/>
  <c r="AP10" i="35"/>
  <c r="AO5" i="36"/>
  <c r="AK3" i="36"/>
  <c r="AP6" i="36"/>
  <c r="AO6" i="36"/>
  <c r="AP5" i="36"/>
  <c r="AH3" i="36"/>
  <c r="I28" i="27"/>
  <c r="V9" i="35"/>
  <c r="X9" i="35" s="1"/>
  <c r="AC10" i="35"/>
  <c r="Y10" i="35"/>
  <c r="AC9" i="35"/>
  <c r="Y9" i="35"/>
  <c r="Z7" i="35"/>
  <c r="AC9" i="40"/>
  <c r="Y9" i="40"/>
  <c r="V9" i="40"/>
  <c r="X9" i="40" s="1"/>
  <c r="AC10" i="40"/>
  <c r="Y10" i="40"/>
  <c r="Z7" i="40"/>
  <c r="A78" i="36"/>
  <c r="B77" i="36"/>
  <c r="I14" i="50"/>
  <c r="I21" i="50"/>
  <c r="AC83" i="32"/>
  <c r="AC79" i="32"/>
  <c r="AD79" i="32" s="1"/>
  <c r="AD78" i="32"/>
  <c r="AE34" i="48"/>
  <c r="D38" i="48"/>
  <c r="AE38" i="48"/>
  <c r="R33" i="48"/>
  <c r="D42" i="48"/>
  <c r="R37" i="48"/>
  <c r="C64" i="26"/>
  <c r="C63" i="26"/>
  <c r="P64" i="46"/>
  <c r="O65" i="46"/>
  <c r="P65" i="46" s="1"/>
  <c r="M64" i="44"/>
  <c r="I64" i="44"/>
  <c r="M65" i="44"/>
  <c r="I65" i="44"/>
  <c r="G64" i="44"/>
  <c r="K59" i="29"/>
  <c r="G57" i="29"/>
  <c r="K60" i="29"/>
  <c r="AA65" i="44"/>
  <c r="AO65" i="44" s="1"/>
  <c r="W65" i="44"/>
  <c r="AA64" i="44"/>
  <c r="AO64" i="44" s="1"/>
  <c r="W64" i="44"/>
  <c r="X52" i="50"/>
  <c r="AK4" i="49"/>
  <c r="AA5" i="33"/>
  <c r="AA4" i="33"/>
  <c r="T2" i="33"/>
  <c r="S4" i="33"/>
  <c r="AB5" i="33"/>
  <c r="AB4" i="33"/>
  <c r="AQ5" i="37"/>
  <c r="AM5" i="37"/>
  <c r="AH5" i="37"/>
  <c r="AJ5" i="37" s="1"/>
  <c r="AK5" i="37"/>
  <c r="AQ6" i="37"/>
  <c r="AM6" i="37"/>
  <c r="B82" i="28"/>
  <c r="A83" i="28"/>
  <c r="M64" i="33"/>
  <c r="I64" i="33"/>
  <c r="M65" i="33"/>
  <c r="I65" i="33"/>
  <c r="G64" i="33"/>
  <c r="O70" i="35"/>
  <c r="P70" i="35" s="1"/>
  <c r="P69" i="35"/>
  <c r="C68" i="38"/>
  <c r="C69" i="38"/>
  <c r="AC79" i="27"/>
  <c r="AD79" i="27" s="1"/>
  <c r="AD78" i="27"/>
  <c r="AC83" i="27"/>
  <c r="P76" i="37"/>
  <c r="O81" i="37"/>
  <c r="O77" i="37"/>
  <c r="AL69" i="35"/>
  <c r="AH69" i="35"/>
  <c r="AL70" i="35"/>
  <c r="AH70" i="35"/>
  <c r="AI67" i="35"/>
  <c r="O73" i="31"/>
  <c r="P72" i="31"/>
  <c r="AC79" i="37"/>
  <c r="AD79" i="37" s="1"/>
  <c r="AD78" i="37"/>
  <c r="AC83" i="37"/>
  <c r="C62" i="49"/>
  <c r="G63" i="49"/>
  <c r="AL75" i="33"/>
  <c r="AH75" i="33"/>
  <c r="AI72" i="33"/>
  <c r="AL74" i="33"/>
  <c r="AH74" i="33"/>
  <c r="P77" i="41"/>
  <c r="O78" i="41"/>
  <c r="X52" i="37"/>
  <c r="AB15" i="34"/>
  <c r="T13" i="34"/>
  <c r="AB16" i="34"/>
  <c r="AA15" i="34"/>
  <c r="AA16" i="34"/>
  <c r="W13" i="34"/>
  <c r="AQ16" i="38"/>
  <c r="AM16" i="38"/>
  <c r="AJ15" i="38"/>
  <c r="AL15" i="38" s="1"/>
  <c r="AQ15" i="38"/>
  <c r="AM15" i="38"/>
  <c r="AN13" i="38"/>
  <c r="AA16" i="49"/>
  <c r="W13" i="49"/>
  <c r="AA15" i="49"/>
  <c r="AP11" i="31"/>
  <c r="AG10" i="31"/>
  <c r="AO11" i="31"/>
  <c r="AP10" i="31"/>
  <c r="AO10" i="31"/>
  <c r="AH8" i="31"/>
  <c r="P76" i="50"/>
  <c r="O81" i="50"/>
  <c r="O77" i="50"/>
  <c r="C69" i="28"/>
  <c r="C68" i="28"/>
  <c r="M65" i="38"/>
  <c r="I65" i="38"/>
  <c r="G64" i="38"/>
  <c r="M64" i="38"/>
  <c r="I64" i="38"/>
  <c r="M60" i="37"/>
  <c r="I60" i="37"/>
  <c r="G59" i="37"/>
  <c r="M59" i="37"/>
  <c r="I59" i="37"/>
  <c r="P76" i="43"/>
  <c r="O77" i="43"/>
  <c r="O81" i="43"/>
  <c r="AJ74" i="42"/>
  <c r="AJ75" i="42"/>
  <c r="C69" i="50"/>
  <c r="C68" i="50"/>
  <c r="O82" i="42"/>
  <c r="P81" i="42"/>
  <c r="O86" i="42"/>
  <c r="Y55" i="44"/>
  <c r="Y54" i="44"/>
  <c r="W7" i="42"/>
  <c r="W6" i="42"/>
  <c r="AC5" i="42"/>
  <c r="Y5" i="42"/>
  <c r="AC4" i="42"/>
  <c r="Y4" i="42"/>
  <c r="AB22" i="33"/>
  <c r="AA22" i="33"/>
  <c r="T20" i="33"/>
  <c r="AB23" i="33"/>
  <c r="AA23" i="33"/>
  <c r="S22" i="33"/>
  <c r="AO16" i="31"/>
  <c r="AO15" i="31"/>
  <c r="AJ14" i="31"/>
  <c r="O65" i="33"/>
  <c r="P65" i="33" s="1"/>
  <c r="P64" i="33"/>
  <c r="Y60" i="26"/>
  <c r="Y59" i="26"/>
  <c r="R43" i="50"/>
  <c r="AE48" i="50"/>
  <c r="AE44" i="50"/>
  <c r="AG44" i="50" s="1"/>
  <c r="D44" i="50"/>
  <c r="F44" i="50" s="1"/>
  <c r="H44" i="50" s="1"/>
  <c r="R39" i="50"/>
  <c r="D48" i="50"/>
  <c r="F48" i="50" s="1"/>
  <c r="H48" i="50" s="1"/>
  <c r="Y55" i="46"/>
  <c r="Y54" i="46"/>
  <c r="A83" i="31"/>
  <c r="B82" i="31"/>
  <c r="X57" i="42"/>
  <c r="B86" i="32"/>
  <c r="A87" i="32"/>
  <c r="A91" i="32"/>
  <c r="M65" i="47"/>
  <c r="I65" i="47"/>
  <c r="G64" i="47"/>
  <c r="M64" i="47"/>
  <c r="I64" i="47"/>
  <c r="A79" i="47"/>
  <c r="B78" i="47"/>
  <c r="G58" i="26"/>
  <c r="C57" i="26"/>
  <c r="W7" i="46"/>
  <c r="W6" i="46"/>
  <c r="AC5" i="46"/>
  <c r="AC4" i="46"/>
  <c r="Y5" i="46"/>
  <c r="Y4" i="46"/>
  <c r="T21" i="38"/>
  <c r="AC22" i="38"/>
  <c r="Y22" i="38"/>
  <c r="W25" i="38"/>
  <c r="W24" i="38"/>
  <c r="AC23" i="38"/>
  <c r="Y23" i="38"/>
  <c r="AA16" i="44"/>
  <c r="W13" i="44"/>
  <c r="AA15" i="44"/>
  <c r="M23" i="49"/>
  <c r="M22" i="49"/>
  <c r="AC22" i="42"/>
  <c r="Y22" i="42"/>
  <c r="W25" i="42"/>
  <c r="W24" i="42"/>
  <c r="AC23" i="42"/>
  <c r="Y23" i="42"/>
  <c r="F4" i="23"/>
  <c r="AJ70" i="47"/>
  <c r="AJ69" i="47"/>
  <c r="AK5" i="39"/>
  <c r="AQ6" i="39"/>
  <c r="AM6" i="39"/>
  <c r="AQ5" i="39"/>
  <c r="AM5" i="39"/>
  <c r="AH5" i="39"/>
  <c r="AJ5" i="39" s="1"/>
  <c r="W14" i="40"/>
  <c r="T14" i="40"/>
  <c r="V14" i="40" s="1"/>
  <c r="AQ15" i="36"/>
  <c r="AM15" i="36"/>
  <c r="AN13" i="36"/>
  <c r="AQ16" i="36"/>
  <c r="AM16" i="36"/>
  <c r="AJ15" i="36"/>
  <c r="AL15" i="36" s="1"/>
  <c r="I16" i="27"/>
  <c r="J16" i="27" s="1"/>
  <c r="X8" i="36"/>
  <c r="X10" i="36" s="1"/>
  <c r="V10" i="36"/>
  <c r="V28" i="35"/>
  <c r="X26" i="35"/>
  <c r="X28" i="35" s="1"/>
  <c r="I16" i="40"/>
  <c r="J16" i="40" s="1"/>
  <c r="B81" i="48"/>
  <c r="A86" i="48"/>
  <c r="A82" i="48"/>
  <c r="O73" i="49"/>
  <c r="P72" i="49"/>
  <c r="T37" i="49"/>
  <c r="V37" i="49"/>
  <c r="F38" i="49"/>
  <c r="A75" i="32"/>
  <c r="B75" i="32" s="1"/>
  <c r="B74" i="32"/>
  <c r="Y55" i="40"/>
  <c r="Y54" i="40"/>
  <c r="B82" i="41"/>
  <c r="A83" i="41"/>
  <c r="A75" i="33"/>
  <c r="B75" i="33" s="1"/>
  <c r="B74" i="33"/>
  <c r="X8" i="33"/>
  <c r="X10" i="33" s="1"/>
  <c r="V10" i="33"/>
  <c r="I16" i="32"/>
  <c r="J16" i="32" s="1"/>
  <c r="AA16" i="33"/>
  <c r="W13" i="33"/>
  <c r="AB15" i="33"/>
  <c r="T13" i="33"/>
  <c r="AB16" i="33"/>
  <c r="AA15" i="33"/>
  <c r="N16" i="31"/>
  <c r="L16" i="31"/>
  <c r="AG5" i="31"/>
  <c r="AG4" i="31"/>
  <c r="AG3" i="31"/>
  <c r="AA78" i="59"/>
  <c r="AQ78" i="59" s="1"/>
  <c r="AA77" i="59"/>
  <c r="AQ77" i="59" s="1"/>
  <c r="C62" i="35"/>
  <c r="G63" i="35"/>
  <c r="Q57" i="43"/>
  <c r="Q59" i="43"/>
  <c r="K59" i="34"/>
  <c r="G57" i="34"/>
  <c r="K60" i="34"/>
  <c r="P64" i="34"/>
  <c r="O65" i="34"/>
  <c r="P65" i="34" s="1"/>
  <c r="Y60" i="29"/>
  <c r="Y59" i="29"/>
  <c r="AJ75" i="50"/>
  <c r="AJ74" i="50"/>
  <c r="M59" i="46"/>
  <c r="M60" i="46"/>
  <c r="I59" i="46"/>
  <c r="I60" i="46"/>
  <c r="G59" i="46"/>
  <c r="AO6" i="32"/>
  <c r="AP5" i="32"/>
  <c r="AH3" i="32"/>
  <c r="AK3" i="32"/>
  <c r="AP6" i="32"/>
  <c r="AO5" i="32"/>
  <c r="AK3" i="44"/>
  <c r="AO6" i="44"/>
  <c r="AO5" i="44"/>
  <c r="I21" i="43"/>
  <c r="I14" i="43"/>
  <c r="O65" i="49"/>
  <c r="P65" i="49" s="1"/>
  <c r="P64" i="49"/>
  <c r="A75" i="31"/>
  <c r="B75" i="31" s="1"/>
  <c r="B74" i="31"/>
  <c r="O73" i="34"/>
  <c r="P72" i="34"/>
  <c r="G52" i="39"/>
  <c r="K55" i="39"/>
  <c r="K54" i="39"/>
  <c r="B77" i="45"/>
  <c r="A78" i="45"/>
  <c r="P77" i="48"/>
  <c r="O78" i="48"/>
  <c r="A75" i="29"/>
  <c r="B75" i="29" s="1"/>
  <c r="B74" i="29"/>
  <c r="V28" i="37"/>
  <c r="X26" i="37"/>
  <c r="X28" i="37" s="1"/>
  <c r="W14" i="46"/>
  <c r="I28" i="44"/>
  <c r="A79" i="31"/>
  <c r="B78" i="31"/>
  <c r="AA65" i="27"/>
  <c r="AO65" i="27" s="1"/>
  <c r="W65" i="27"/>
  <c r="AA64" i="27"/>
  <c r="AO64" i="27" s="1"/>
  <c r="W64" i="27"/>
  <c r="AL75" i="30"/>
  <c r="AH75" i="30"/>
  <c r="AI72" i="30"/>
  <c r="AL74" i="30"/>
  <c r="AH74" i="30"/>
  <c r="O73" i="28"/>
  <c r="P72" i="28"/>
  <c r="C64" i="46"/>
  <c r="C63" i="46"/>
  <c r="V47" i="50"/>
  <c r="T47" i="50"/>
  <c r="M65" i="29"/>
  <c r="I65" i="29"/>
  <c r="G64" i="29"/>
  <c r="M64" i="29"/>
  <c r="I64" i="29"/>
  <c r="AL14" i="37"/>
  <c r="AL16" i="37" s="1"/>
  <c r="AJ16" i="37"/>
  <c r="AO10" i="32"/>
  <c r="AP11" i="32"/>
  <c r="AO11" i="32"/>
  <c r="AP10" i="32"/>
  <c r="AG10" i="32"/>
  <c r="AH8" i="32"/>
  <c r="AA9" i="31" l="1"/>
  <c r="AA10" i="31"/>
  <c r="V8" i="31"/>
  <c r="I15" i="31"/>
  <c r="I22" i="31"/>
  <c r="AP64" i="26"/>
  <c r="M27" i="32"/>
  <c r="O27" i="46"/>
  <c r="J37" i="49"/>
  <c r="M28" i="46"/>
  <c r="N28" i="46" s="1"/>
  <c r="AP70" i="29"/>
  <c r="I16" i="30"/>
  <c r="J16" i="30" s="1"/>
  <c r="L16" i="30" s="1"/>
  <c r="M28" i="26"/>
  <c r="T2" i="31"/>
  <c r="I16" i="29"/>
  <c r="J16" i="29" s="1"/>
  <c r="L16" i="29" s="1"/>
  <c r="S20" i="28"/>
  <c r="AG4" i="29"/>
  <c r="AA9" i="30"/>
  <c r="AA10" i="30"/>
  <c r="I22" i="30"/>
  <c r="N21" i="30" s="1"/>
  <c r="I15" i="30"/>
  <c r="AG8" i="30"/>
  <c r="AG3" i="30"/>
  <c r="AG5" i="30"/>
  <c r="S2" i="30"/>
  <c r="AG4" i="30"/>
  <c r="S3" i="30"/>
  <c r="U9" i="30"/>
  <c r="AO16" i="30"/>
  <c r="AO15" i="30"/>
  <c r="U27" i="30"/>
  <c r="S21" i="30"/>
  <c r="AA28" i="30"/>
  <c r="AA27" i="30"/>
  <c r="S20" i="30"/>
  <c r="AI15" i="30"/>
  <c r="AG9" i="30"/>
  <c r="S13" i="30"/>
  <c r="S14" i="30"/>
  <c r="S15" i="30"/>
  <c r="S20" i="29"/>
  <c r="AO16" i="29"/>
  <c r="AO15" i="29"/>
  <c r="U27" i="29"/>
  <c r="S21" i="29"/>
  <c r="I22" i="29"/>
  <c r="N21" i="29" s="1"/>
  <c r="I15" i="29"/>
  <c r="AA9" i="29"/>
  <c r="AA10" i="29"/>
  <c r="U9" i="29"/>
  <c r="S3" i="29"/>
  <c r="AI15" i="29"/>
  <c r="AG9" i="29"/>
  <c r="AG5" i="29"/>
  <c r="AG3" i="29"/>
  <c r="S13" i="29"/>
  <c r="S14" i="29"/>
  <c r="S15" i="29"/>
  <c r="AA28" i="29"/>
  <c r="AA27" i="29"/>
  <c r="AG8" i="29"/>
  <c r="S2" i="29"/>
  <c r="I16" i="28"/>
  <c r="J16" i="28" s="1"/>
  <c r="N16" i="28" s="1"/>
  <c r="AG4" i="28"/>
  <c r="AG9" i="28"/>
  <c r="AI15" i="28"/>
  <c r="AA9" i="28"/>
  <c r="AA10" i="28"/>
  <c r="S2" i="28"/>
  <c r="AA28" i="28"/>
  <c r="AA27" i="28"/>
  <c r="AO16" i="28"/>
  <c r="AO15" i="28"/>
  <c r="U27" i="28"/>
  <c r="S21" i="28"/>
  <c r="AG8" i="28"/>
  <c r="S3" i="28"/>
  <c r="U9" i="28"/>
  <c r="AG3" i="28"/>
  <c r="AG5" i="28"/>
  <c r="I22" i="28"/>
  <c r="I15" i="28"/>
  <c r="S15" i="28"/>
  <c r="S13" i="28"/>
  <c r="S14" i="28"/>
  <c r="I28" i="41"/>
  <c r="J28" i="41" s="1"/>
  <c r="I16" i="26"/>
  <c r="J16" i="26" s="1"/>
  <c r="L16" i="26" s="1"/>
  <c r="S4" i="31"/>
  <c r="Z2" i="31" s="1"/>
  <c r="AA5" i="31"/>
  <c r="AG4" i="26"/>
  <c r="AK4" i="26" s="1"/>
  <c r="AM5" i="46"/>
  <c r="AP69" i="26"/>
  <c r="AQ6" i="46"/>
  <c r="AP70" i="26"/>
  <c r="U27" i="26"/>
  <c r="S21" i="26"/>
  <c r="I22" i="26"/>
  <c r="N21" i="26" s="1"/>
  <c r="I15" i="26"/>
  <c r="S2" i="26"/>
  <c r="AO15" i="26"/>
  <c r="AO16" i="26"/>
  <c r="AG8" i="26"/>
  <c r="AG9" i="26"/>
  <c r="AI15" i="26"/>
  <c r="AP35" i="26"/>
  <c r="AP34" i="26"/>
  <c r="AG3" i="26"/>
  <c r="AG5" i="26"/>
  <c r="AA27" i="26"/>
  <c r="AA28" i="26"/>
  <c r="S13" i="26"/>
  <c r="S15" i="26"/>
  <c r="S14" i="26"/>
  <c r="S20" i="26"/>
  <c r="S3" i="26"/>
  <c r="U9" i="26"/>
  <c r="AA9" i="26"/>
  <c r="AA10" i="26"/>
  <c r="AP65" i="26"/>
  <c r="I27" i="47"/>
  <c r="M27" i="47" s="1"/>
  <c r="I28" i="47"/>
  <c r="M28" i="33"/>
  <c r="D7" i="66"/>
  <c r="L8" i="66"/>
  <c r="D7" i="65"/>
  <c r="I7" i="66"/>
  <c r="J7" i="66"/>
  <c r="B7" i="65" s="1"/>
  <c r="B6" i="66"/>
  <c r="A6" i="66"/>
  <c r="S20" i="41"/>
  <c r="X5" i="25"/>
  <c r="AP65" i="41"/>
  <c r="L16" i="41"/>
  <c r="N16" i="41"/>
  <c r="AG5" i="41"/>
  <c r="AG3" i="41"/>
  <c r="U27" i="41"/>
  <c r="S21" i="41"/>
  <c r="AG4" i="41"/>
  <c r="S15" i="41"/>
  <c r="S13" i="41"/>
  <c r="S14" i="41"/>
  <c r="AP40" i="41"/>
  <c r="AP34" i="41"/>
  <c r="AP39" i="41"/>
  <c r="AP35" i="41"/>
  <c r="U9" i="41"/>
  <c r="S3" i="41"/>
  <c r="AG8" i="41"/>
  <c r="AG9" i="41"/>
  <c r="AI15" i="41"/>
  <c r="AA27" i="41"/>
  <c r="AA28" i="41"/>
  <c r="S2" i="41"/>
  <c r="AO16" i="41"/>
  <c r="AO15" i="41"/>
  <c r="AA10" i="41"/>
  <c r="AA9" i="41"/>
  <c r="I22" i="41"/>
  <c r="N21" i="41" s="1"/>
  <c r="I15" i="41"/>
  <c r="AP64" i="41"/>
  <c r="I28" i="43"/>
  <c r="J28" i="43" s="1"/>
  <c r="L28" i="43" s="1"/>
  <c r="T22" i="36"/>
  <c r="X22" i="36" s="1"/>
  <c r="CG100" i="61"/>
  <c r="CI98" i="61"/>
  <c r="CH99" i="61"/>
  <c r="A6" i="65"/>
  <c r="N16" i="47"/>
  <c r="CF101" i="61"/>
  <c r="CE102" i="61"/>
  <c r="I27" i="43"/>
  <c r="S20" i="43"/>
  <c r="AA28" i="43"/>
  <c r="AA27" i="43"/>
  <c r="S2" i="43"/>
  <c r="AA10" i="43"/>
  <c r="AA9" i="43"/>
  <c r="S3" i="43"/>
  <c r="U9" i="43"/>
  <c r="AG8" i="43"/>
  <c r="AO16" i="43"/>
  <c r="AO15" i="43"/>
  <c r="I22" i="43"/>
  <c r="N21" i="43" s="1"/>
  <c r="I15" i="43"/>
  <c r="AI15" i="43"/>
  <c r="AG9" i="43"/>
  <c r="U27" i="43"/>
  <c r="S21" i="43"/>
  <c r="AP49" i="43"/>
  <c r="AP50" i="43"/>
  <c r="I16" i="43"/>
  <c r="J16" i="43" s="1"/>
  <c r="AG3" i="43"/>
  <c r="AG5" i="43"/>
  <c r="S13" i="43"/>
  <c r="S14" i="43"/>
  <c r="S15" i="43"/>
  <c r="AG4" i="43"/>
  <c r="AK12" i="59"/>
  <c r="V26" i="59"/>
  <c r="K15" i="59"/>
  <c r="V15" i="59"/>
  <c r="V4" i="59"/>
  <c r="Z10" i="59" s="1"/>
  <c r="O5" i="59"/>
  <c r="AK4" i="59"/>
  <c r="O4" i="59"/>
  <c r="K27" i="59"/>
  <c r="V22" i="59"/>
  <c r="AF7" i="45"/>
  <c r="K11" i="45"/>
  <c r="R6" i="45"/>
  <c r="R24" i="45"/>
  <c r="K10" i="45"/>
  <c r="AF11" i="45"/>
  <c r="R25" i="45"/>
  <c r="AF12" i="45"/>
  <c r="H27" i="45"/>
  <c r="K5" i="45"/>
  <c r="R14" i="45"/>
  <c r="H15" i="45"/>
  <c r="K4" i="45"/>
  <c r="AF4" i="45"/>
  <c r="R3" i="45"/>
  <c r="U8" i="45" s="1"/>
  <c r="R21" i="45"/>
  <c r="AK6" i="59"/>
  <c r="V24" i="59"/>
  <c r="O9" i="59"/>
  <c r="O8" i="59"/>
  <c r="V6" i="59"/>
  <c r="AK10" i="59"/>
  <c r="AO15" i="59" s="1"/>
  <c r="V17" i="59"/>
  <c r="V23" i="59"/>
  <c r="Z28" i="59" s="1"/>
  <c r="O7" i="59"/>
  <c r="O6" i="59"/>
  <c r="K16" i="59"/>
  <c r="V5" i="59"/>
  <c r="V16" i="59"/>
  <c r="AK5" i="59"/>
  <c r="AK9" i="59"/>
  <c r="K28" i="59"/>
  <c r="R5" i="45"/>
  <c r="R16" i="45"/>
  <c r="K9" i="45"/>
  <c r="AF10" i="45"/>
  <c r="AI14" i="45" s="1"/>
  <c r="AF6" i="45"/>
  <c r="K8" i="45"/>
  <c r="R23" i="45"/>
  <c r="H16" i="45"/>
  <c r="I16" i="45" s="1"/>
  <c r="J16" i="45" s="1"/>
  <c r="N16" i="45" s="1"/>
  <c r="R15" i="45"/>
  <c r="K7" i="45"/>
  <c r="AF5" i="45"/>
  <c r="AF9" i="45"/>
  <c r="R4" i="45"/>
  <c r="H28" i="45"/>
  <c r="K6" i="45"/>
  <c r="R22" i="45"/>
  <c r="U26" i="45" s="1"/>
  <c r="AK11" i="59"/>
  <c r="V7" i="59"/>
  <c r="O11" i="59"/>
  <c r="O10" i="59"/>
  <c r="V25" i="59"/>
  <c r="AK7" i="59"/>
  <c r="AG4" i="47"/>
  <c r="AK4" i="47" s="1"/>
  <c r="S13" i="47"/>
  <c r="S15" i="47"/>
  <c r="S14" i="47"/>
  <c r="S21" i="47"/>
  <c r="U27" i="47"/>
  <c r="AG9" i="47"/>
  <c r="AI15" i="47"/>
  <c r="I15" i="47"/>
  <c r="I22" i="47"/>
  <c r="N21" i="47" s="1"/>
  <c r="AA9" i="47"/>
  <c r="AA10" i="47"/>
  <c r="AA27" i="47"/>
  <c r="AA28" i="47"/>
  <c r="S2" i="47"/>
  <c r="AO16" i="47"/>
  <c r="AO15" i="47"/>
  <c r="AG8" i="47"/>
  <c r="AG3" i="47"/>
  <c r="AG5" i="47"/>
  <c r="S20" i="47"/>
  <c r="AP35" i="47"/>
  <c r="AP34" i="47"/>
  <c r="U9" i="47"/>
  <c r="S3" i="47"/>
  <c r="AG8" i="48"/>
  <c r="AP49" i="48"/>
  <c r="AP54" i="48"/>
  <c r="AP55" i="48"/>
  <c r="AP50" i="48"/>
  <c r="AP34" i="48"/>
  <c r="AP35" i="48"/>
  <c r="AP39" i="48"/>
  <c r="AP44" i="48"/>
  <c r="AP40" i="48"/>
  <c r="AP45" i="48"/>
  <c r="I15" i="48"/>
  <c r="I22" i="48"/>
  <c r="S20" i="48"/>
  <c r="AI15" i="48"/>
  <c r="AG9" i="48"/>
  <c r="I28" i="48"/>
  <c r="I27" i="48"/>
  <c r="AA9" i="48"/>
  <c r="AA10" i="48"/>
  <c r="AG5" i="48"/>
  <c r="AG3" i="48"/>
  <c r="AA27" i="48"/>
  <c r="AA28" i="48"/>
  <c r="S14" i="48"/>
  <c r="S15" i="48"/>
  <c r="S13" i="48"/>
  <c r="U27" i="48"/>
  <c r="S21" i="48"/>
  <c r="I16" i="48"/>
  <c r="S2" i="48"/>
  <c r="AO16" i="48"/>
  <c r="AO15" i="48"/>
  <c r="AG4" i="48"/>
  <c r="S3" i="48"/>
  <c r="U9" i="48"/>
  <c r="S2" i="27"/>
  <c r="S14" i="27"/>
  <c r="S15" i="27"/>
  <c r="S13" i="27"/>
  <c r="AG8" i="27"/>
  <c r="S3" i="27"/>
  <c r="U9" i="27"/>
  <c r="AG9" i="27"/>
  <c r="AI15" i="27"/>
  <c r="AO15" i="27"/>
  <c r="AO16" i="27"/>
  <c r="S20" i="27"/>
  <c r="AA27" i="27"/>
  <c r="AA28" i="27"/>
  <c r="U27" i="27"/>
  <c r="S21" i="27"/>
  <c r="AG5" i="27"/>
  <c r="AG3" i="27"/>
  <c r="I22" i="27"/>
  <c r="I15" i="27"/>
  <c r="AA9" i="27"/>
  <c r="AA10" i="27"/>
  <c r="AG4" i="27"/>
  <c r="O27" i="28"/>
  <c r="AN8" i="37"/>
  <c r="AN10" i="37" s="1"/>
  <c r="AR10" i="37" s="1"/>
  <c r="J28" i="33"/>
  <c r="L28" i="33" s="1"/>
  <c r="G6" i="25"/>
  <c r="H8" i="25"/>
  <c r="I8" i="25" s="1"/>
  <c r="D8" i="25"/>
  <c r="F8" i="25" s="1"/>
  <c r="G8" i="25" s="1"/>
  <c r="AE9" i="61"/>
  <c r="V12" i="68" s="1"/>
  <c r="B9" i="25"/>
  <c r="C4" i="45"/>
  <c r="AP9" i="25"/>
  <c r="D37" i="46"/>
  <c r="F37" i="46" s="1"/>
  <c r="H37" i="46" s="1"/>
  <c r="AE33" i="46"/>
  <c r="AG33" i="46" s="1"/>
  <c r="R32" i="46"/>
  <c r="V32" i="47"/>
  <c r="T32" i="47"/>
  <c r="AV8" i="25"/>
  <c r="Y7" i="25"/>
  <c r="M28" i="28"/>
  <c r="J28" i="28"/>
  <c r="L28" i="28" s="1"/>
  <c r="J27" i="46"/>
  <c r="L27" i="46" s="1"/>
  <c r="Z2" i="37"/>
  <c r="Z4" i="37" s="1"/>
  <c r="AD4" i="37" s="1"/>
  <c r="O28" i="33"/>
  <c r="D57" i="50"/>
  <c r="F57" i="50" s="1"/>
  <c r="M27" i="33"/>
  <c r="J28" i="39"/>
  <c r="L28" i="39" s="1"/>
  <c r="N28" i="39" s="1"/>
  <c r="J28" i="26"/>
  <c r="L28" i="26" s="1"/>
  <c r="N28" i="26" s="1"/>
  <c r="O28" i="36"/>
  <c r="AJ8" i="34"/>
  <c r="AJ11" i="34" s="1"/>
  <c r="O28" i="39"/>
  <c r="O28" i="26"/>
  <c r="J27" i="36"/>
  <c r="P26" i="36" s="1"/>
  <c r="O27" i="36"/>
  <c r="AG40" i="49"/>
  <c r="AE40" i="49"/>
  <c r="AI39" i="49" s="1"/>
  <c r="D52" i="48"/>
  <c r="F52" i="48" s="1"/>
  <c r="Z20" i="35"/>
  <c r="Z22" i="35" s="1"/>
  <c r="AD22" i="35" s="1"/>
  <c r="V47" i="48"/>
  <c r="T47" i="48"/>
  <c r="X15" i="38"/>
  <c r="X15" i="33"/>
  <c r="X15" i="40"/>
  <c r="AL5" i="38"/>
  <c r="AL4" i="34"/>
  <c r="N28" i="49"/>
  <c r="N28" i="34"/>
  <c r="AL5" i="34"/>
  <c r="X14" i="37"/>
  <c r="AL4" i="37"/>
  <c r="AL4" i="40"/>
  <c r="AI35" i="49"/>
  <c r="AM35" i="49" s="1"/>
  <c r="AS35" i="49" s="1"/>
  <c r="AL5" i="40"/>
  <c r="X14" i="32"/>
  <c r="X14" i="39"/>
  <c r="AL5" i="32"/>
  <c r="AL4" i="35"/>
  <c r="N28" i="35"/>
  <c r="AL5" i="35"/>
  <c r="N28" i="36"/>
  <c r="AH4" i="31"/>
  <c r="AJ4" i="31" s="1"/>
  <c r="AK4" i="31"/>
  <c r="L16" i="32"/>
  <c r="N16" i="32"/>
  <c r="A79" i="45"/>
  <c r="B78" i="45"/>
  <c r="C74" i="31"/>
  <c r="C73" i="31"/>
  <c r="K64" i="35"/>
  <c r="G62" i="35"/>
  <c r="K65" i="35"/>
  <c r="AQ6" i="31"/>
  <c r="AM6" i="31"/>
  <c r="AQ5" i="31"/>
  <c r="AM5" i="31"/>
  <c r="AH5" i="31"/>
  <c r="AJ5" i="31" s="1"/>
  <c r="AK5" i="31"/>
  <c r="A84" i="41"/>
  <c r="B83" i="41"/>
  <c r="H38" i="49"/>
  <c r="H40" i="49" s="1"/>
  <c r="J40" i="49" s="1"/>
  <c r="N40" i="49" s="1"/>
  <c r="AQ40" i="49" s="1"/>
  <c r="F40" i="49"/>
  <c r="J39" i="49" s="1"/>
  <c r="N39" i="49" s="1"/>
  <c r="AQ39" i="49" s="1"/>
  <c r="X14" i="40"/>
  <c r="L27" i="33"/>
  <c r="G57" i="26"/>
  <c r="K59" i="26"/>
  <c r="K60" i="26"/>
  <c r="B79" i="47"/>
  <c r="A80" i="47"/>
  <c r="B80" i="47" s="1"/>
  <c r="B87" i="32"/>
  <c r="A88" i="32"/>
  <c r="AL14" i="31"/>
  <c r="P82" i="42"/>
  <c r="O83" i="42"/>
  <c r="P81" i="50"/>
  <c r="O86" i="50"/>
  <c r="O82" i="50"/>
  <c r="O78" i="37"/>
  <c r="P77" i="37"/>
  <c r="AJ79" i="27"/>
  <c r="AJ80" i="27"/>
  <c r="M70" i="38"/>
  <c r="I70" i="38"/>
  <c r="G69" i="38"/>
  <c r="M69" i="38"/>
  <c r="I69" i="38"/>
  <c r="X2" i="33"/>
  <c r="X5" i="33" s="1"/>
  <c r="V2" i="33"/>
  <c r="V5" i="33" s="1"/>
  <c r="M65" i="26"/>
  <c r="I65" i="26"/>
  <c r="G64" i="26"/>
  <c r="I64" i="26"/>
  <c r="M64" i="26"/>
  <c r="AG38" i="48"/>
  <c r="AI77" i="32"/>
  <c r="AL79" i="32"/>
  <c r="AH79" i="32"/>
  <c r="AL80" i="32"/>
  <c r="AH80" i="32"/>
  <c r="Z9" i="40"/>
  <c r="AD9" i="40" s="1"/>
  <c r="AH10" i="35"/>
  <c r="AN8" i="35"/>
  <c r="AN15" i="40"/>
  <c r="AR15" i="40" s="1"/>
  <c r="M70" i="35"/>
  <c r="I70" i="35"/>
  <c r="G69" i="35"/>
  <c r="M69" i="35"/>
  <c r="I69" i="35"/>
  <c r="O89" i="59"/>
  <c r="P88" i="59"/>
  <c r="Q88" i="59" s="1"/>
  <c r="X2" i="34"/>
  <c r="X5" i="34" s="1"/>
  <c r="V2" i="34"/>
  <c r="V5" i="34" s="1"/>
  <c r="AL9" i="32"/>
  <c r="AJ9" i="32"/>
  <c r="A80" i="40"/>
  <c r="B80" i="40" s="1"/>
  <c r="B79" i="40"/>
  <c r="G63" i="30"/>
  <c r="C62" i="30"/>
  <c r="P78" i="36"/>
  <c r="Q78" i="36" s="1"/>
  <c r="O79" i="36"/>
  <c r="AL74" i="38"/>
  <c r="AH74" i="38"/>
  <c r="AL75" i="38"/>
  <c r="AH75" i="38"/>
  <c r="AI72" i="38"/>
  <c r="M69" i="42"/>
  <c r="I69" i="42"/>
  <c r="M70" i="42"/>
  <c r="I70" i="42"/>
  <c r="G69" i="42"/>
  <c r="O79" i="47"/>
  <c r="P78" i="47"/>
  <c r="Q78" i="47" s="1"/>
  <c r="X15" i="35"/>
  <c r="C67" i="49"/>
  <c r="G68" i="49"/>
  <c r="A79" i="43"/>
  <c r="B78" i="43"/>
  <c r="AG4" i="23"/>
  <c r="AL80" i="36"/>
  <c r="AH80" i="36"/>
  <c r="AL79" i="36"/>
  <c r="AH79" i="36"/>
  <c r="AI77" i="36"/>
  <c r="L27" i="42"/>
  <c r="AF6" i="25"/>
  <c r="H52" i="49"/>
  <c r="O75" i="30"/>
  <c r="P75" i="30" s="1"/>
  <c r="P74" i="30"/>
  <c r="G57" i="46"/>
  <c r="K59" i="46"/>
  <c r="K60" i="46"/>
  <c r="AJ80" i="50"/>
  <c r="AJ79" i="50"/>
  <c r="AA75" i="41"/>
  <c r="AO75" i="41" s="1"/>
  <c r="AP75" i="41" s="1"/>
  <c r="W75" i="41"/>
  <c r="AA74" i="41"/>
  <c r="AO74" i="41" s="1"/>
  <c r="W74" i="41"/>
  <c r="M64" i="39"/>
  <c r="I64" i="39"/>
  <c r="M65" i="39"/>
  <c r="I65" i="39"/>
  <c r="G64" i="39"/>
  <c r="A88" i="44"/>
  <c r="B87" i="44"/>
  <c r="T4" i="39"/>
  <c r="Z2" i="39"/>
  <c r="Y60" i="45"/>
  <c r="Y59" i="45"/>
  <c r="AJ75" i="47"/>
  <c r="AJ74" i="47"/>
  <c r="AA70" i="39"/>
  <c r="AO70" i="39" s="1"/>
  <c r="AP70" i="39" s="1"/>
  <c r="W70" i="39"/>
  <c r="AA69" i="39"/>
  <c r="AO69" i="39" s="1"/>
  <c r="W69" i="39"/>
  <c r="T4" i="38"/>
  <c r="Z2" i="38"/>
  <c r="J23" i="34"/>
  <c r="N22" i="34" s="1"/>
  <c r="L22" i="34"/>
  <c r="L23" i="34" s="1"/>
  <c r="X15" i="37"/>
  <c r="AL80" i="48"/>
  <c r="AH80" i="48"/>
  <c r="AI77" i="48"/>
  <c r="AL79" i="48"/>
  <c r="AH79" i="48"/>
  <c r="AA4" i="22"/>
  <c r="V3" i="37"/>
  <c r="X3" i="37"/>
  <c r="Y65" i="42"/>
  <c r="Y64" i="42"/>
  <c r="X14" i="34"/>
  <c r="K65" i="33"/>
  <c r="K64" i="33"/>
  <c r="G62" i="33"/>
  <c r="AN15" i="35"/>
  <c r="AR15" i="35" s="1"/>
  <c r="V3" i="40"/>
  <c r="X3" i="40"/>
  <c r="X3" i="35"/>
  <c r="V3" i="35"/>
  <c r="L27" i="41"/>
  <c r="AV6" i="23"/>
  <c r="X62" i="41"/>
  <c r="O70" i="44"/>
  <c r="P70" i="44" s="1"/>
  <c r="P69" i="44"/>
  <c r="AA70" i="45"/>
  <c r="AO70" i="45" s="1"/>
  <c r="W70" i="45"/>
  <c r="AA69" i="45"/>
  <c r="AO69" i="45" s="1"/>
  <c r="W69" i="45"/>
  <c r="P82" i="36"/>
  <c r="O83" i="36"/>
  <c r="A75" i="37"/>
  <c r="B75" i="37" s="1"/>
  <c r="B74" i="37"/>
  <c r="AA75" i="26"/>
  <c r="AO75" i="26" s="1"/>
  <c r="AP75" i="26" s="1"/>
  <c r="W75" i="26"/>
  <c r="AA74" i="26"/>
  <c r="AO74" i="26" s="1"/>
  <c r="W74" i="26"/>
  <c r="AC84" i="28"/>
  <c r="AD84" i="28" s="1"/>
  <c r="AD83" i="28"/>
  <c r="AC88" i="28"/>
  <c r="AA70" i="49"/>
  <c r="AO70" i="49" s="1"/>
  <c r="W70" i="49"/>
  <c r="AA69" i="49"/>
  <c r="AO69" i="49" s="1"/>
  <c r="W69" i="49"/>
  <c r="B86" i="43"/>
  <c r="A91" i="43"/>
  <c r="A87" i="43"/>
  <c r="O78" i="40"/>
  <c r="P77" i="40"/>
  <c r="A75" i="43"/>
  <c r="B75" i="43" s="1"/>
  <c r="B74" i="43"/>
  <c r="B87" i="47"/>
  <c r="A88" i="47"/>
  <c r="C67" i="41"/>
  <c r="G68" i="41"/>
  <c r="AL5" i="33"/>
  <c r="AA75" i="42"/>
  <c r="AO75" i="42" s="1"/>
  <c r="AP75" i="42" s="1"/>
  <c r="W75" i="42"/>
  <c r="AA74" i="42"/>
  <c r="AO74" i="42" s="1"/>
  <c r="W74" i="42"/>
  <c r="AL89" i="59"/>
  <c r="AL90" i="59"/>
  <c r="V21" i="34"/>
  <c r="X21" i="34"/>
  <c r="AJ79" i="26"/>
  <c r="AJ80" i="26"/>
  <c r="Y60" i="34"/>
  <c r="Y59" i="34"/>
  <c r="C69" i="26"/>
  <c r="C68" i="26"/>
  <c r="O70" i="31"/>
  <c r="P70" i="31" s="1"/>
  <c r="P69" i="31"/>
  <c r="O91" i="38"/>
  <c r="O87" i="38"/>
  <c r="P86" i="38"/>
  <c r="P78" i="26"/>
  <c r="Q78" i="26" s="1"/>
  <c r="O79" i="26"/>
  <c r="Z27" i="35"/>
  <c r="AD27" i="35" s="1"/>
  <c r="AJ9" i="39"/>
  <c r="AL9" i="39"/>
  <c r="Z2" i="40"/>
  <c r="T4" i="40"/>
  <c r="G57" i="39"/>
  <c r="K60" i="39"/>
  <c r="K59" i="39"/>
  <c r="T22" i="37"/>
  <c r="Z20" i="37"/>
  <c r="X2" i="35"/>
  <c r="X5" i="35" s="1"/>
  <c r="V2" i="35"/>
  <c r="V5" i="35" s="1"/>
  <c r="C74" i="44"/>
  <c r="C73" i="44"/>
  <c r="J23" i="32"/>
  <c r="N22" i="32" s="1"/>
  <c r="L22" i="32"/>
  <c r="L23" i="32" s="1"/>
  <c r="AA70" i="50"/>
  <c r="AO70" i="50" s="1"/>
  <c r="W70" i="50"/>
  <c r="AA69" i="50"/>
  <c r="AO69" i="50" s="1"/>
  <c r="W69" i="50"/>
  <c r="C69" i="45"/>
  <c r="C68" i="45"/>
  <c r="K64" i="40"/>
  <c r="G62" i="40"/>
  <c r="K65" i="40"/>
  <c r="Y60" i="40"/>
  <c r="Y59" i="40"/>
  <c r="T3" i="31"/>
  <c r="W6" i="31"/>
  <c r="AC5" i="31"/>
  <c r="Y5" i="31"/>
  <c r="AC4" i="31"/>
  <c r="Y4" i="31"/>
  <c r="W7" i="31"/>
  <c r="Z9" i="32"/>
  <c r="C69" i="36"/>
  <c r="C68" i="36"/>
  <c r="V13" i="37"/>
  <c r="Z13" i="37"/>
  <c r="K64" i="50"/>
  <c r="G62" i="50"/>
  <c r="K65" i="50"/>
  <c r="R43" i="49"/>
  <c r="AE44" i="49"/>
  <c r="AG44" i="49" s="1"/>
  <c r="AE48" i="49"/>
  <c r="D44" i="49"/>
  <c r="F44" i="49" s="1"/>
  <c r="H44" i="49" s="1"/>
  <c r="D48" i="49"/>
  <c r="AJ79" i="42"/>
  <c r="AJ80" i="42"/>
  <c r="AC84" i="33"/>
  <c r="AD84" i="33" s="1"/>
  <c r="AD83" i="33"/>
  <c r="AC88" i="33"/>
  <c r="C74" i="50"/>
  <c r="C73" i="50"/>
  <c r="O78" i="31"/>
  <c r="P77" i="31"/>
  <c r="AL74" i="35"/>
  <c r="AH74" i="35"/>
  <c r="AL75" i="35"/>
  <c r="AH75" i="35"/>
  <c r="AI72" i="35"/>
  <c r="AJ3" i="37"/>
  <c r="AN3" i="37"/>
  <c r="Q62" i="45"/>
  <c r="Q64" i="45"/>
  <c r="AL9" i="35"/>
  <c r="AJ9" i="35"/>
  <c r="X14" i="36"/>
  <c r="AL4" i="36"/>
  <c r="Y5" i="23"/>
  <c r="C67" i="29"/>
  <c r="G68" i="29"/>
  <c r="M69" i="31"/>
  <c r="I69" i="31"/>
  <c r="M70" i="31"/>
  <c r="I70" i="31"/>
  <c r="G69" i="31"/>
  <c r="A80" i="50"/>
  <c r="B80" i="50" s="1"/>
  <c r="B79" i="50"/>
  <c r="P82" i="30"/>
  <c r="O83" i="30"/>
  <c r="A80" i="42"/>
  <c r="B80" i="42" s="1"/>
  <c r="B79" i="42"/>
  <c r="A88" i="33"/>
  <c r="B87" i="33"/>
  <c r="P81" i="46"/>
  <c r="O86" i="46"/>
  <c r="O82" i="46"/>
  <c r="R14" i="50"/>
  <c r="K4" i="50"/>
  <c r="R3" i="50"/>
  <c r="U8" i="50" s="1"/>
  <c r="H27" i="50"/>
  <c r="H15" i="50"/>
  <c r="AF4" i="50"/>
  <c r="R21" i="50"/>
  <c r="K5" i="50"/>
  <c r="R25" i="50"/>
  <c r="AF12" i="50"/>
  <c r="AL9" i="37"/>
  <c r="AJ9" i="37"/>
  <c r="O75" i="38"/>
  <c r="P75" i="38" s="1"/>
  <c r="P74" i="38"/>
  <c r="X14" i="35"/>
  <c r="P69" i="40"/>
  <c r="O70" i="40"/>
  <c r="P70" i="40" s="1"/>
  <c r="AA70" i="28"/>
  <c r="AO70" i="28" s="1"/>
  <c r="W70" i="28"/>
  <c r="AA69" i="28"/>
  <c r="AO69" i="28" s="1"/>
  <c r="W69" i="28"/>
  <c r="X62" i="36"/>
  <c r="A84" i="38"/>
  <c r="B83" i="38"/>
  <c r="B82" i="46"/>
  <c r="A83" i="46"/>
  <c r="Q69" i="48"/>
  <c r="Q67" i="48"/>
  <c r="O78" i="28"/>
  <c r="P77" i="28"/>
  <c r="AL80" i="30"/>
  <c r="AH80" i="30"/>
  <c r="AI77" i="30"/>
  <c r="AL79" i="30"/>
  <c r="AH79" i="30"/>
  <c r="N15" i="32"/>
  <c r="N17" i="32" s="1"/>
  <c r="P14" i="32"/>
  <c r="L15" i="32"/>
  <c r="L17" i="32" s="1"/>
  <c r="M28" i="37"/>
  <c r="O27" i="37"/>
  <c r="O28" i="37"/>
  <c r="J28" i="37"/>
  <c r="L28" i="37" s="1"/>
  <c r="O78" i="44"/>
  <c r="P77" i="44"/>
  <c r="B86" i="45"/>
  <c r="A91" i="45"/>
  <c r="A87" i="45"/>
  <c r="P81" i="34"/>
  <c r="O86" i="34"/>
  <c r="O82" i="34"/>
  <c r="AC79" i="29"/>
  <c r="AD79" i="29" s="1"/>
  <c r="AD78" i="29"/>
  <c r="AC83" i="29"/>
  <c r="K64" i="34"/>
  <c r="G62" i="34"/>
  <c r="K65" i="34"/>
  <c r="Q77" i="59"/>
  <c r="Q75" i="59"/>
  <c r="J27" i="31"/>
  <c r="M27" i="31"/>
  <c r="AJ8" i="38"/>
  <c r="AJ11" i="38" s="1"/>
  <c r="AL8" i="38"/>
  <c r="AL11" i="38" s="1"/>
  <c r="B87" i="41"/>
  <c r="A88" i="41"/>
  <c r="A84" i="59"/>
  <c r="B84" i="59" s="1"/>
  <c r="B83" i="59"/>
  <c r="AJ3" i="39"/>
  <c r="AN3" i="39"/>
  <c r="A84" i="32"/>
  <c r="B83" i="32"/>
  <c r="A96" i="31"/>
  <c r="A92" i="31"/>
  <c r="B91" i="31"/>
  <c r="AJ4" i="61"/>
  <c r="AK3" i="61"/>
  <c r="AP4" i="20"/>
  <c r="B4" i="20"/>
  <c r="C9" i="50"/>
  <c r="R57" i="50" s="1"/>
  <c r="W14" i="31"/>
  <c r="T14" i="31"/>
  <c r="V14" i="31" s="1"/>
  <c r="X3" i="38"/>
  <c r="V3" i="38"/>
  <c r="P73" i="43"/>
  <c r="Q73" i="43" s="1"/>
  <c r="O74" i="43"/>
  <c r="K64" i="38"/>
  <c r="G62" i="38"/>
  <c r="K65" i="38"/>
  <c r="K64" i="28"/>
  <c r="G62" i="28"/>
  <c r="K65" i="28"/>
  <c r="X15" i="34"/>
  <c r="P82" i="41"/>
  <c r="O83" i="41"/>
  <c r="AA70" i="46"/>
  <c r="AO70" i="46" s="1"/>
  <c r="W70" i="46"/>
  <c r="AA69" i="46"/>
  <c r="AO69" i="46" s="1"/>
  <c r="W69" i="46"/>
  <c r="AJ80" i="45"/>
  <c r="AJ79" i="45"/>
  <c r="Y65" i="48"/>
  <c r="Y64" i="48"/>
  <c r="B91" i="28"/>
  <c r="A96" i="28"/>
  <c r="A92" i="28"/>
  <c r="AF8" i="61"/>
  <c r="W11" i="68" s="1"/>
  <c r="B8" i="24"/>
  <c r="C5" i="46"/>
  <c r="AP8" i="24"/>
  <c r="Y7" i="24" s="1"/>
  <c r="X15" i="36"/>
  <c r="AG43" i="49"/>
  <c r="X57" i="27"/>
  <c r="O104" i="59"/>
  <c r="O99" i="59"/>
  <c r="P98" i="59"/>
  <c r="Z20" i="44"/>
  <c r="P73" i="27"/>
  <c r="Q73" i="27" s="1"/>
  <c r="O74" i="27"/>
  <c r="AC84" i="31"/>
  <c r="AD84" i="31" s="1"/>
  <c r="AD83" i="31"/>
  <c r="AC88" i="31"/>
  <c r="AP64" i="39"/>
  <c r="AN15" i="37"/>
  <c r="AR15" i="37" s="1"/>
  <c r="O83" i="47"/>
  <c r="P82" i="47"/>
  <c r="N16" i="26"/>
  <c r="Z20" i="40"/>
  <c r="T22" i="40"/>
  <c r="I65" i="36"/>
  <c r="M65" i="36"/>
  <c r="M64" i="36"/>
  <c r="I64" i="36"/>
  <c r="G64" i="36"/>
  <c r="AJ75" i="41"/>
  <c r="AJ74" i="41"/>
  <c r="AC88" i="49"/>
  <c r="AC84" i="49"/>
  <c r="AD84" i="49" s="1"/>
  <c r="AD83" i="49"/>
  <c r="Q67" i="38"/>
  <c r="Q69" i="38"/>
  <c r="K66" i="59"/>
  <c r="I65" i="59"/>
  <c r="I66" i="59"/>
  <c r="G63" i="59"/>
  <c r="K65" i="59"/>
  <c r="AJ3" i="33"/>
  <c r="AN3" i="33"/>
  <c r="M65" i="45"/>
  <c r="I65" i="45"/>
  <c r="G64" i="45"/>
  <c r="M64" i="45"/>
  <c r="I64" i="45"/>
  <c r="AA70" i="34"/>
  <c r="AO70" i="34" s="1"/>
  <c r="AP70" i="34" s="1"/>
  <c r="W70" i="34"/>
  <c r="AA69" i="34"/>
  <c r="AO69" i="34" s="1"/>
  <c r="W69" i="34"/>
  <c r="M69" i="33"/>
  <c r="I69" i="33"/>
  <c r="M70" i="33"/>
  <c r="I70" i="33"/>
  <c r="G69" i="33"/>
  <c r="AC94" i="40"/>
  <c r="AD94" i="40" s="1"/>
  <c r="AD93" i="40"/>
  <c r="AC98" i="40"/>
  <c r="T22" i="32"/>
  <c r="Z20" i="32"/>
  <c r="AL80" i="39"/>
  <c r="AH80" i="39"/>
  <c r="AI77" i="39"/>
  <c r="AL79" i="39"/>
  <c r="AH79" i="39"/>
  <c r="O82" i="33"/>
  <c r="P81" i="33"/>
  <c r="O86" i="33"/>
  <c r="Y65" i="38"/>
  <c r="Y64" i="38"/>
  <c r="Q67" i="41"/>
  <c r="Q69" i="41"/>
  <c r="O87" i="26"/>
  <c r="P86" i="26"/>
  <c r="O91" i="26"/>
  <c r="M70" i="34"/>
  <c r="I70" i="34"/>
  <c r="G69" i="34"/>
  <c r="M69" i="34"/>
  <c r="I69" i="34"/>
  <c r="N15" i="39"/>
  <c r="N17" i="39" s="1"/>
  <c r="P14" i="39"/>
  <c r="L15" i="39"/>
  <c r="L17" i="39" s="1"/>
  <c r="Q62" i="28"/>
  <c r="Q64" i="28"/>
  <c r="AJ74" i="44"/>
  <c r="AJ75" i="44"/>
  <c r="AN10" i="39"/>
  <c r="AR10" i="39" s="1"/>
  <c r="AL4" i="32"/>
  <c r="AL10" i="37"/>
  <c r="AJ10" i="37"/>
  <c r="X22" i="35"/>
  <c r="V22" i="35"/>
  <c r="AL4" i="39"/>
  <c r="Y60" i="43"/>
  <c r="Y59" i="43"/>
  <c r="C73" i="29"/>
  <c r="C74" i="29"/>
  <c r="Q62" i="34"/>
  <c r="Q64" i="34"/>
  <c r="B82" i="48"/>
  <c r="A83" i="48"/>
  <c r="N16" i="27"/>
  <c r="L16" i="27"/>
  <c r="AN15" i="36"/>
  <c r="AR15" i="36" s="1"/>
  <c r="G4" i="23"/>
  <c r="Q64" i="33"/>
  <c r="Q62" i="33"/>
  <c r="V20" i="33"/>
  <c r="V23" i="33" s="1"/>
  <c r="X20" i="33"/>
  <c r="X23" i="33" s="1"/>
  <c r="C67" i="50"/>
  <c r="G68" i="50"/>
  <c r="P81" i="43"/>
  <c r="O86" i="43"/>
  <c r="O82" i="43"/>
  <c r="C67" i="28"/>
  <c r="G68" i="28"/>
  <c r="V13" i="34"/>
  <c r="Z13" i="34"/>
  <c r="AC84" i="37"/>
  <c r="AD84" i="37" s="1"/>
  <c r="AD83" i="37"/>
  <c r="AC88" i="37"/>
  <c r="P73" i="31"/>
  <c r="Q73" i="31" s="1"/>
  <c r="O74" i="31"/>
  <c r="P81" i="37"/>
  <c r="O86" i="37"/>
  <c r="O82" i="37"/>
  <c r="AL80" i="27"/>
  <c r="AH80" i="27"/>
  <c r="AI77" i="27"/>
  <c r="AL79" i="27"/>
  <c r="AH79" i="27"/>
  <c r="C67" i="38"/>
  <c r="G68" i="38"/>
  <c r="V37" i="48"/>
  <c r="T37" i="48"/>
  <c r="F38" i="48"/>
  <c r="AC88" i="32"/>
  <c r="AC84" i="32"/>
  <c r="AD84" i="32" s="1"/>
  <c r="AD83" i="32"/>
  <c r="M28" i="27"/>
  <c r="O27" i="27"/>
  <c r="O28" i="27"/>
  <c r="J28" i="27"/>
  <c r="L28" i="27" s="1"/>
  <c r="C73" i="41"/>
  <c r="C74" i="41"/>
  <c r="C67" i="35"/>
  <c r="G68" i="35"/>
  <c r="P73" i="39"/>
  <c r="Q73" i="39" s="1"/>
  <c r="O74" i="39"/>
  <c r="K65" i="31"/>
  <c r="K64" i="31"/>
  <c r="G62" i="31"/>
  <c r="Z2" i="49"/>
  <c r="T22" i="38"/>
  <c r="Z20" i="38"/>
  <c r="T4" i="34"/>
  <c r="Z2" i="34"/>
  <c r="M64" i="30"/>
  <c r="I64" i="30"/>
  <c r="M65" i="30"/>
  <c r="I65" i="30"/>
  <c r="G64" i="30"/>
  <c r="C73" i="38"/>
  <c r="C74" i="38"/>
  <c r="C74" i="28"/>
  <c r="C73" i="28"/>
  <c r="X21" i="36"/>
  <c r="V21" i="36"/>
  <c r="Z27" i="40"/>
  <c r="AD27" i="40" s="1"/>
  <c r="M69" i="49"/>
  <c r="I69" i="49"/>
  <c r="M70" i="49"/>
  <c r="I70" i="49"/>
  <c r="G69" i="49"/>
  <c r="AI40" i="50"/>
  <c r="O28" i="38"/>
  <c r="J28" i="38"/>
  <c r="L28" i="38" s="1"/>
  <c r="M28" i="38"/>
  <c r="O27" i="38"/>
  <c r="N16" i="33"/>
  <c r="L16" i="33"/>
  <c r="Q64" i="27"/>
  <c r="Q62" i="27"/>
  <c r="AH10" i="34"/>
  <c r="AN8" i="34"/>
  <c r="X57" i="50"/>
  <c r="AA75" i="30"/>
  <c r="AO75" i="30" s="1"/>
  <c r="AP75" i="30" s="1"/>
  <c r="W75" i="30"/>
  <c r="AA74" i="30"/>
  <c r="AO74" i="30" s="1"/>
  <c r="AP74" i="30" s="1"/>
  <c r="W74" i="30"/>
  <c r="AI77" i="50"/>
  <c r="AL79" i="50"/>
  <c r="AH79" i="50"/>
  <c r="AL80" i="50"/>
  <c r="AH80" i="50"/>
  <c r="O75" i="41"/>
  <c r="P75" i="41" s="1"/>
  <c r="P74" i="41"/>
  <c r="A96" i="44"/>
  <c r="A92" i="44"/>
  <c r="B91" i="44"/>
  <c r="V2" i="39"/>
  <c r="V5" i="39" s="1"/>
  <c r="X2" i="39"/>
  <c r="X5" i="39" s="1"/>
  <c r="AI72" i="47"/>
  <c r="AL74" i="47"/>
  <c r="AH74" i="47"/>
  <c r="AL75" i="47"/>
  <c r="AH75" i="47"/>
  <c r="AC88" i="48"/>
  <c r="AC84" i="48"/>
  <c r="AD84" i="48" s="1"/>
  <c r="AD83" i="48"/>
  <c r="AN8" i="42"/>
  <c r="A75" i="30"/>
  <c r="B75" i="30" s="1"/>
  <c r="B74" i="30"/>
  <c r="Y71" i="59"/>
  <c r="W72" i="59"/>
  <c r="W71" i="59"/>
  <c r="Y72" i="59"/>
  <c r="X62" i="42"/>
  <c r="AL9" i="38"/>
  <c r="AJ9" i="38"/>
  <c r="O74" i="37"/>
  <c r="P73" i="37"/>
  <c r="Q73" i="37" s="1"/>
  <c r="AP69" i="35"/>
  <c r="G68" i="32"/>
  <c r="C67" i="32"/>
  <c r="AA75" i="47"/>
  <c r="AO75" i="47" s="1"/>
  <c r="W75" i="47"/>
  <c r="AA74" i="47"/>
  <c r="AO74" i="47" s="1"/>
  <c r="W74" i="47"/>
  <c r="N16" i="39"/>
  <c r="L16" i="39"/>
  <c r="J27" i="27"/>
  <c r="M27" i="27"/>
  <c r="H6" i="23"/>
  <c r="I6" i="23" s="1"/>
  <c r="D6" i="23"/>
  <c r="Y65" i="41"/>
  <c r="Y64" i="41"/>
  <c r="AA70" i="44"/>
  <c r="AO70" i="44" s="1"/>
  <c r="W70" i="44"/>
  <c r="AA69" i="44"/>
  <c r="AO69" i="44" s="1"/>
  <c r="W69" i="44"/>
  <c r="P69" i="43"/>
  <c r="O70" i="43"/>
  <c r="P70" i="43" s="1"/>
  <c r="O82" i="27"/>
  <c r="P81" i="27"/>
  <c r="O86" i="27"/>
  <c r="P69" i="45"/>
  <c r="O70" i="45"/>
  <c r="P70" i="45" s="1"/>
  <c r="C74" i="49"/>
  <c r="C73" i="49"/>
  <c r="B82" i="26"/>
  <c r="A83" i="26"/>
  <c r="O75" i="26"/>
  <c r="P75" i="26" s="1"/>
  <c r="P74" i="26"/>
  <c r="AC104" i="46"/>
  <c r="AD104" i="46" s="1"/>
  <c r="AD103" i="46"/>
  <c r="AC108" i="46"/>
  <c r="AJ80" i="28"/>
  <c r="AJ79" i="28"/>
  <c r="C69" i="37"/>
  <c r="C68" i="37"/>
  <c r="Z27" i="32"/>
  <c r="P81" i="40"/>
  <c r="O86" i="40"/>
  <c r="O82" i="40"/>
  <c r="B91" i="47"/>
  <c r="A96" i="47"/>
  <c r="A92" i="47"/>
  <c r="AR35" i="50"/>
  <c r="AR34" i="50"/>
  <c r="O79" i="35"/>
  <c r="P78" i="35"/>
  <c r="Q78" i="35" s="1"/>
  <c r="B87" i="38"/>
  <c r="A88" i="38"/>
  <c r="AL80" i="26"/>
  <c r="AH80" i="26"/>
  <c r="AI77" i="26"/>
  <c r="AL79" i="26"/>
  <c r="AH79" i="26"/>
  <c r="W95" i="32"/>
  <c r="AA94" i="32"/>
  <c r="AO94" i="32" s="1"/>
  <c r="AP94" i="32" s="1"/>
  <c r="W94" i="32"/>
  <c r="AA95" i="32"/>
  <c r="AO95" i="32" s="1"/>
  <c r="AP95" i="32" s="1"/>
  <c r="C62" i="37"/>
  <c r="G63" i="37"/>
  <c r="AA70" i="31"/>
  <c r="AO70" i="31" s="1"/>
  <c r="W70" i="31"/>
  <c r="AA69" i="31"/>
  <c r="AO69" i="31" s="1"/>
  <c r="W69" i="31"/>
  <c r="Z20" i="42"/>
  <c r="C69" i="39"/>
  <c r="C68" i="39"/>
  <c r="C67" i="40"/>
  <c r="G68" i="40"/>
  <c r="AH10" i="36"/>
  <c r="AN8" i="36"/>
  <c r="T4" i="35"/>
  <c r="Z2" i="35"/>
  <c r="Z13" i="38"/>
  <c r="V13" i="38"/>
  <c r="O87" i="48"/>
  <c r="P86" i="48"/>
  <c r="O91" i="48"/>
  <c r="P69" i="50"/>
  <c r="O70" i="50"/>
  <c r="P70" i="50" s="1"/>
  <c r="C67" i="44"/>
  <c r="G68" i="44"/>
  <c r="O70" i="27"/>
  <c r="P70" i="27" s="1"/>
  <c r="P69" i="27"/>
  <c r="X82" i="32"/>
  <c r="AC10" i="31"/>
  <c r="Y10" i="31"/>
  <c r="AC9" i="31"/>
  <c r="Y9" i="31"/>
  <c r="Z7" i="31"/>
  <c r="V9" i="31"/>
  <c r="X9" i="31" s="1"/>
  <c r="A84" i="44"/>
  <c r="B83" i="44"/>
  <c r="O78" i="49"/>
  <c r="P77" i="49"/>
  <c r="K64" i="41"/>
  <c r="G62" i="41"/>
  <c r="K65" i="41"/>
  <c r="Q67" i="26"/>
  <c r="Q69" i="26"/>
  <c r="AH6" i="61"/>
  <c r="Y9" i="68" s="1"/>
  <c r="C7" i="48"/>
  <c r="AP6" i="22"/>
  <c r="Y5" i="22" s="1"/>
  <c r="X4" i="22" s="1"/>
  <c r="B6" i="22"/>
  <c r="W25" i="31"/>
  <c r="W24" i="31"/>
  <c r="AC23" i="31"/>
  <c r="Y23" i="31"/>
  <c r="T21" i="31"/>
  <c r="AC22" i="31"/>
  <c r="Y22" i="31"/>
  <c r="T4" i="31"/>
  <c r="AL80" i="42"/>
  <c r="AH80" i="42"/>
  <c r="AI77" i="42"/>
  <c r="AL79" i="42"/>
  <c r="AH79" i="42"/>
  <c r="C69" i="30"/>
  <c r="C68" i="30"/>
  <c r="AJ79" i="33"/>
  <c r="AJ80" i="33"/>
  <c r="J42" i="50"/>
  <c r="X4" i="37"/>
  <c r="V4" i="37"/>
  <c r="O82" i="39"/>
  <c r="P81" i="39"/>
  <c r="O86" i="39"/>
  <c r="B82" i="30"/>
  <c r="A83" i="30"/>
  <c r="X62" i="35"/>
  <c r="AA75" i="35"/>
  <c r="AO75" i="35" s="1"/>
  <c r="AP75" i="35" s="1"/>
  <c r="W75" i="35"/>
  <c r="AA74" i="35"/>
  <c r="AO74" i="35" s="1"/>
  <c r="W74" i="35"/>
  <c r="A96" i="33"/>
  <c r="A92" i="33"/>
  <c r="B91" i="33"/>
  <c r="Y65" i="30"/>
  <c r="Y64" i="30"/>
  <c r="G57" i="43"/>
  <c r="K59" i="43"/>
  <c r="K60" i="43"/>
  <c r="H47" i="49"/>
  <c r="R16" i="50"/>
  <c r="AF10" i="50"/>
  <c r="AI14" i="50" s="1"/>
  <c r="K8" i="50"/>
  <c r="R5" i="50"/>
  <c r="K9" i="50"/>
  <c r="AF6" i="50"/>
  <c r="R23" i="50"/>
  <c r="L27" i="49"/>
  <c r="P26" i="49"/>
  <c r="L22" i="33"/>
  <c r="L23" i="33" s="1"/>
  <c r="J23" i="33"/>
  <c r="N22" i="33" s="1"/>
  <c r="A79" i="26"/>
  <c r="B78" i="26"/>
  <c r="X21" i="32"/>
  <c r="V21" i="32"/>
  <c r="O74" i="40"/>
  <c r="P73" i="40"/>
  <c r="Q73" i="40" s="1"/>
  <c r="P69" i="28"/>
  <c r="O70" i="28"/>
  <c r="P70" i="28" s="1"/>
  <c r="C69" i="43"/>
  <c r="C68" i="43"/>
  <c r="A84" i="27"/>
  <c r="B83" i="27"/>
  <c r="B87" i="40"/>
  <c r="A88" i="40"/>
  <c r="B87" i="35"/>
  <c r="A88" i="35"/>
  <c r="X62" i="29"/>
  <c r="P81" i="28"/>
  <c r="O86" i="28"/>
  <c r="O82" i="28"/>
  <c r="AC88" i="30"/>
  <c r="AC84" i="30"/>
  <c r="AD84" i="30" s="1"/>
  <c r="AD83" i="30"/>
  <c r="AN15" i="33"/>
  <c r="AR15" i="33" s="1"/>
  <c r="AJ75" i="29"/>
  <c r="AJ74" i="29"/>
  <c r="O99" i="32"/>
  <c r="P98" i="32"/>
  <c r="Q98" i="32" s="1"/>
  <c r="C77" i="59"/>
  <c r="C76" i="59"/>
  <c r="AC84" i="34"/>
  <c r="AD84" i="34" s="1"/>
  <c r="AD83" i="34"/>
  <c r="AC88" i="34"/>
  <c r="M28" i="31"/>
  <c r="O27" i="31"/>
  <c r="O28" i="31"/>
  <c r="J28" i="31"/>
  <c r="L28" i="31" s="1"/>
  <c r="X3" i="32"/>
  <c r="V3" i="32"/>
  <c r="B91" i="41"/>
  <c r="A96" i="41"/>
  <c r="A92" i="41"/>
  <c r="Q69" i="42"/>
  <c r="Q67" i="42"/>
  <c r="AN3" i="35"/>
  <c r="AJ3" i="35"/>
  <c r="A84" i="29"/>
  <c r="B83" i="29"/>
  <c r="AE49" i="50"/>
  <c r="AG49" i="50" s="1"/>
  <c r="R48" i="50"/>
  <c r="AE53" i="50"/>
  <c r="R44" i="50"/>
  <c r="D49" i="50"/>
  <c r="F49" i="50" s="1"/>
  <c r="H49" i="50" s="1"/>
  <c r="AI5" i="61"/>
  <c r="AP5" i="21"/>
  <c r="Y4" i="21" s="1"/>
  <c r="B5" i="21"/>
  <c r="C8" i="49"/>
  <c r="AP69" i="29"/>
  <c r="Y60" i="31"/>
  <c r="Y59" i="31"/>
  <c r="O91" i="41"/>
  <c r="O87" i="41"/>
  <c r="P86" i="41"/>
  <c r="P69" i="46"/>
  <c r="O70" i="46"/>
  <c r="P70" i="46" s="1"/>
  <c r="G63" i="43"/>
  <c r="C62" i="43"/>
  <c r="AI77" i="45"/>
  <c r="AL79" i="45"/>
  <c r="AH79" i="45"/>
  <c r="AL80" i="45"/>
  <c r="AH80" i="45"/>
  <c r="X62" i="48"/>
  <c r="R52" i="50"/>
  <c r="Y60" i="49"/>
  <c r="Y59" i="49"/>
  <c r="D7" i="24"/>
  <c r="F7" i="24" s="1"/>
  <c r="G7" i="24" s="1"/>
  <c r="H7" i="24"/>
  <c r="I7" i="24" s="1"/>
  <c r="J27" i="40"/>
  <c r="M27" i="40"/>
  <c r="AJ9" i="40"/>
  <c r="AL9" i="40"/>
  <c r="V3" i="36"/>
  <c r="X3" i="36"/>
  <c r="V38" i="49"/>
  <c r="T38" i="49"/>
  <c r="O74" i="46"/>
  <c r="P73" i="46"/>
  <c r="Q73" i="46" s="1"/>
  <c r="AJ79" i="31"/>
  <c r="AJ80" i="31"/>
  <c r="L22" i="35"/>
  <c r="L23" i="35" s="1"/>
  <c r="J23" i="35"/>
  <c r="N22" i="35" s="1"/>
  <c r="AL74" i="41"/>
  <c r="AH74" i="41"/>
  <c r="AL75" i="41"/>
  <c r="AH75" i="41"/>
  <c r="AI72" i="41"/>
  <c r="AJ79" i="49"/>
  <c r="AJ80" i="49"/>
  <c r="O79" i="29"/>
  <c r="P78" i="29"/>
  <c r="Q78" i="29" s="1"/>
  <c r="O28" i="42"/>
  <c r="J28" i="42"/>
  <c r="L28" i="42" s="1"/>
  <c r="M28" i="42"/>
  <c r="O27" i="42"/>
  <c r="B87" i="34"/>
  <c r="A88" i="34"/>
  <c r="P69" i="34"/>
  <c r="O70" i="34"/>
  <c r="P70" i="34" s="1"/>
  <c r="A84" i="50"/>
  <c r="B83" i="50"/>
  <c r="AJ90" i="40"/>
  <c r="AJ89" i="40"/>
  <c r="AC88" i="39"/>
  <c r="AC84" i="39"/>
  <c r="AD84" i="39" s="1"/>
  <c r="AD83" i="39"/>
  <c r="O78" i="45"/>
  <c r="P77" i="45"/>
  <c r="O75" i="36"/>
  <c r="P75" i="36" s="1"/>
  <c r="P74" i="36"/>
  <c r="H52" i="50"/>
  <c r="Q62" i="37"/>
  <c r="Q64" i="37"/>
  <c r="V13" i="39"/>
  <c r="Z13" i="39"/>
  <c r="X57" i="37"/>
  <c r="AL75" i="44"/>
  <c r="AH75" i="44"/>
  <c r="AI72" i="44"/>
  <c r="AL74" i="44"/>
  <c r="AH74" i="44"/>
  <c r="O74" i="45"/>
  <c r="P73" i="45"/>
  <c r="Q73" i="45" s="1"/>
  <c r="AN8" i="44"/>
  <c r="AL10" i="39"/>
  <c r="AJ10" i="39"/>
  <c r="Z22" i="36"/>
  <c r="AD22" i="36" s="1"/>
  <c r="A80" i="31"/>
  <c r="B80" i="31" s="1"/>
  <c r="B79" i="31"/>
  <c r="Q64" i="49"/>
  <c r="Q62" i="49"/>
  <c r="AH10" i="32"/>
  <c r="AN8" i="32"/>
  <c r="M65" i="46"/>
  <c r="I65" i="46"/>
  <c r="G64" i="46"/>
  <c r="M64" i="46"/>
  <c r="I64" i="46"/>
  <c r="M28" i="44"/>
  <c r="O27" i="44"/>
  <c r="O28" i="44"/>
  <c r="J28" i="44"/>
  <c r="L28" i="44" s="1"/>
  <c r="AN3" i="32"/>
  <c r="AJ3" i="32"/>
  <c r="O74" i="28"/>
  <c r="P73" i="28"/>
  <c r="Q73" i="28" s="1"/>
  <c r="P78" i="48"/>
  <c r="Q78" i="48" s="1"/>
  <c r="O79" i="48"/>
  <c r="O74" i="34"/>
  <c r="P73" i="34"/>
  <c r="Q73" i="34" s="1"/>
  <c r="X57" i="43"/>
  <c r="AK3" i="31"/>
  <c r="AP6" i="31"/>
  <c r="AO6" i="31"/>
  <c r="AP5" i="31"/>
  <c r="AH3" i="31"/>
  <c r="AO5" i="31"/>
  <c r="C74" i="32"/>
  <c r="C73" i="32"/>
  <c r="P73" i="49"/>
  <c r="Q73" i="49" s="1"/>
  <c r="O74" i="49"/>
  <c r="B86" i="48"/>
  <c r="A91" i="48"/>
  <c r="A87" i="48"/>
  <c r="AL5" i="39"/>
  <c r="X21" i="38"/>
  <c r="V21" i="38"/>
  <c r="A84" i="31"/>
  <c r="B83" i="31"/>
  <c r="AG48" i="50"/>
  <c r="T22" i="33"/>
  <c r="Z20" i="33"/>
  <c r="O87" i="42"/>
  <c r="P86" i="42"/>
  <c r="O91" i="42"/>
  <c r="M70" i="50"/>
  <c r="I70" i="50"/>
  <c r="G69" i="50"/>
  <c r="M69" i="50"/>
  <c r="I69" i="50"/>
  <c r="P77" i="43"/>
  <c r="O78" i="43"/>
  <c r="M70" i="28"/>
  <c r="I70" i="28"/>
  <c r="G69" i="28"/>
  <c r="M69" i="28"/>
  <c r="I69" i="28"/>
  <c r="O79" i="41"/>
  <c r="P78" i="41"/>
  <c r="Q78" i="41" s="1"/>
  <c r="AJ80" i="37"/>
  <c r="AJ79" i="37"/>
  <c r="Q67" i="35"/>
  <c r="Q69" i="35"/>
  <c r="A84" i="28"/>
  <c r="B83" i="28"/>
  <c r="AL5" i="37"/>
  <c r="Q62" i="46"/>
  <c r="Q64" i="46"/>
  <c r="F42" i="48"/>
  <c r="AG34" i="48"/>
  <c r="AG35" i="48" s="1"/>
  <c r="AE35" i="48"/>
  <c r="AI34" i="48" s="1"/>
  <c r="AM34" i="48" s="1"/>
  <c r="AS34" i="48" s="1"/>
  <c r="Z9" i="35"/>
  <c r="AD9" i="35" s="1"/>
  <c r="AJ3" i="36"/>
  <c r="AN3" i="36"/>
  <c r="AJ8" i="35"/>
  <c r="AJ11" i="35" s="1"/>
  <c r="AL8" i="35"/>
  <c r="AL11" i="35" s="1"/>
  <c r="P78" i="30"/>
  <c r="Q78" i="30" s="1"/>
  <c r="O79" i="30"/>
  <c r="A80" i="38"/>
  <c r="B80" i="38" s="1"/>
  <c r="B79" i="38"/>
  <c r="X20" i="38"/>
  <c r="X23" i="38" s="1"/>
  <c r="V20" i="38"/>
  <c r="V23" i="38" s="1"/>
  <c r="Q64" i="39"/>
  <c r="Q62" i="39"/>
  <c r="AC79" i="38"/>
  <c r="AD79" i="38" s="1"/>
  <c r="AD78" i="38"/>
  <c r="AC83" i="38"/>
  <c r="L27" i="32"/>
  <c r="P26" i="32"/>
  <c r="X62" i="26"/>
  <c r="A80" i="27"/>
  <c r="B80" i="27" s="1"/>
  <c r="B79" i="27"/>
  <c r="N15" i="35"/>
  <c r="N17" i="35" s="1"/>
  <c r="P14" i="35"/>
  <c r="L15" i="35"/>
  <c r="L17" i="35" s="1"/>
  <c r="X15" i="32"/>
  <c r="AA75" i="29"/>
  <c r="AO75" i="29" s="1"/>
  <c r="AP75" i="29" s="1"/>
  <c r="W75" i="29"/>
  <c r="AA74" i="29"/>
  <c r="AO74" i="29" s="1"/>
  <c r="W74" i="29"/>
  <c r="AC84" i="36"/>
  <c r="AD84" i="36" s="1"/>
  <c r="AD83" i="36"/>
  <c r="AC88" i="36"/>
  <c r="AG45" i="50"/>
  <c r="J27" i="44"/>
  <c r="M27" i="44"/>
  <c r="P73" i="44"/>
  <c r="Q73" i="44" s="1"/>
  <c r="O74" i="44"/>
  <c r="Y60" i="50"/>
  <c r="Y59" i="50"/>
  <c r="AP64" i="34"/>
  <c r="A80" i="28"/>
  <c r="B80" i="28" s="1"/>
  <c r="B79" i="28"/>
  <c r="A75" i="46"/>
  <c r="B75" i="46" s="1"/>
  <c r="B74" i="46"/>
  <c r="G63" i="48"/>
  <c r="C62" i="48"/>
  <c r="A79" i="48"/>
  <c r="B78" i="48"/>
  <c r="AJ9" i="36"/>
  <c r="AL9" i="36"/>
  <c r="T4" i="32"/>
  <c r="Z2" i="32"/>
  <c r="K64" i="47"/>
  <c r="G62" i="47"/>
  <c r="K65" i="47"/>
  <c r="X69" i="59"/>
  <c r="M70" i="32"/>
  <c r="I70" i="32"/>
  <c r="G69" i="32"/>
  <c r="I69" i="32"/>
  <c r="M69" i="32"/>
  <c r="O70" i="33"/>
  <c r="P70" i="33" s="1"/>
  <c r="P69" i="33"/>
  <c r="Z27" i="33"/>
  <c r="AD27" i="33" s="1"/>
  <c r="Q64" i="44"/>
  <c r="Q62" i="44"/>
  <c r="A75" i="26"/>
  <c r="B75" i="26" s="1"/>
  <c r="B74" i="26"/>
  <c r="P74" i="47"/>
  <c r="O75" i="47"/>
  <c r="P75" i="47" s="1"/>
  <c r="V13" i="36"/>
  <c r="Z13" i="36"/>
  <c r="AL5" i="36"/>
  <c r="AE39" i="48"/>
  <c r="AG39" i="48" s="1"/>
  <c r="R34" i="48"/>
  <c r="AE43" i="48"/>
  <c r="D43" i="48"/>
  <c r="F43" i="48" s="1"/>
  <c r="H43" i="48" s="1"/>
  <c r="R38" i="48"/>
  <c r="D39" i="48"/>
  <c r="F39" i="48" s="1"/>
  <c r="H39" i="48" s="1"/>
  <c r="R42" i="48"/>
  <c r="D47" i="48"/>
  <c r="O75" i="48"/>
  <c r="P75" i="48" s="1"/>
  <c r="P74" i="48"/>
  <c r="W70" i="43"/>
  <c r="AA69" i="43"/>
  <c r="AO69" i="43" s="1"/>
  <c r="AA70" i="43"/>
  <c r="AO70" i="43" s="1"/>
  <c r="W69" i="43"/>
  <c r="N28" i="32"/>
  <c r="B86" i="26"/>
  <c r="A91" i="26"/>
  <c r="A87" i="26"/>
  <c r="AJ100" i="46"/>
  <c r="AJ99" i="46"/>
  <c r="AI77" i="28"/>
  <c r="AL79" i="28"/>
  <c r="AH79" i="28"/>
  <c r="AL80" i="28"/>
  <c r="AH80" i="28"/>
  <c r="M27" i="39"/>
  <c r="J27" i="39"/>
  <c r="L22" i="36"/>
  <c r="L23" i="36" s="1"/>
  <c r="J23" i="36"/>
  <c r="N22" i="36" s="1"/>
  <c r="X62" i="47"/>
  <c r="AN90" i="59"/>
  <c r="AJ90" i="59"/>
  <c r="AK87" i="59"/>
  <c r="AN89" i="59"/>
  <c r="AJ89" i="59"/>
  <c r="B91" i="38"/>
  <c r="A96" i="38"/>
  <c r="A92" i="38"/>
  <c r="AC88" i="26"/>
  <c r="AC84" i="26"/>
  <c r="AD84" i="26" s="1"/>
  <c r="AD83" i="26"/>
  <c r="P94" i="32"/>
  <c r="O95" i="32"/>
  <c r="P95" i="32" s="1"/>
  <c r="M65" i="37"/>
  <c r="I65" i="37"/>
  <c r="G64" i="37"/>
  <c r="M64" i="37"/>
  <c r="I64" i="37"/>
  <c r="A84" i="35"/>
  <c r="B83" i="35"/>
  <c r="P73" i="33"/>
  <c r="Q73" i="33" s="1"/>
  <c r="O74" i="33"/>
  <c r="M70" i="40"/>
  <c r="I70" i="40"/>
  <c r="G69" i="40"/>
  <c r="M69" i="40"/>
  <c r="I69" i="40"/>
  <c r="A88" i="27"/>
  <c r="B87" i="27"/>
  <c r="Q69" i="30"/>
  <c r="Q67" i="30"/>
  <c r="A75" i="48"/>
  <c r="B75" i="48" s="1"/>
  <c r="B74" i="48"/>
  <c r="X15" i="39"/>
  <c r="L27" i="35"/>
  <c r="P26" i="35"/>
  <c r="N15" i="40"/>
  <c r="N17" i="40" s="1"/>
  <c r="P14" i="40"/>
  <c r="L15" i="40"/>
  <c r="L17" i="40" s="1"/>
  <c r="AF4" i="24"/>
  <c r="AF5" i="24" s="1"/>
  <c r="AP69" i="41"/>
  <c r="Q62" i="43"/>
  <c r="Q64" i="43"/>
  <c r="O28" i="30"/>
  <c r="J28" i="30"/>
  <c r="L28" i="30" s="1"/>
  <c r="M28" i="30"/>
  <c r="O27" i="30"/>
  <c r="J27" i="37"/>
  <c r="M27" i="37"/>
  <c r="P102" i="32"/>
  <c r="O103" i="32"/>
  <c r="M69" i="44"/>
  <c r="I69" i="44"/>
  <c r="M70" i="44"/>
  <c r="I70" i="44"/>
  <c r="G69" i="44"/>
  <c r="A84" i="49"/>
  <c r="B83" i="49"/>
  <c r="AA70" i="27"/>
  <c r="AO70" i="27" s="1"/>
  <c r="W70" i="27"/>
  <c r="AA69" i="27"/>
  <c r="AO69" i="27" s="1"/>
  <c r="W69" i="27"/>
  <c r="AA70" i="37"/>
  <c r="AO70" i="37" s="1"/>
  <c r="AP70" i="37" s="1"/>
  <c r="W70" i="37"/>
  <c r="AA69" i="37"/>
  <c r="AO69" i="37" s="1"/>
  <c r="W69" i="37"/>
  <c r="Y85" i="32"/>
  <c r="Y84" i="32"/>
  <c r="AA22" i="31"/>
  <c r="T20" i="31"/>
  <c r="AA23" i="31"/>
  <c r="S22" i="31"/>
  <c r="X14" i="33"/>
  <c r="V3" i="39"/>
  <c r="X3" i="39"/>
  <c r="M27" i="29"/>
  <c r="J27" i="29"/>
  <c r="T22" i="39"/>
  <c r="Z20" i="39"/>
  <c r="Q64" i="31"/>
  <c r="Q62" i="31"/>
  <c r="AL9" i="34"/>
  <c r="AJ9" i="34"/>
  <c r="B87" i="29"/>
  <c r="A88" i="29"/>
  <c r="H5" i="22"/>
  <c r="I5" i="22" s="1"/>
  <c r="D5" i="22"/>
  <c r="F5" i="22" s="1"/>
  <c r="G5" i="22" s="1"/>
  <c r="F4" i="22"/>
  <c r="AC27" i="31"/>
  <c r="Y27" i="31"/>
  <c r="V27" i="31"/>
  <c r="X27" i="31" s="1"/>
  <c r="AC28" i="31"/>
  <c r="Y28" i="31"/>
  <c r="Z25" i="31"/>
  <c r="X2" i="31"/>
  <c r="V2" i="31"/>
  <c r="Z9" i="37"/>
  <c r="AD9" i="37" s="1"/>
  <c r="Q67" i="29"/>
  <c r="Q69" i="29"/>
  <c r="X57" i="46"/>
  <c r="AC88" i="42"/>
  <c r="AC84" i="42"/>
  <c r="AD84" i="42" s="1"/>
  <c r="AD83" i="42"/>
  <c r="AA83" i="59"/>
  <c r="AQ83" i="59" s="1"/>
  <c r="AA84" i="59"/>
  <c r="AQ84" i="59" s="1"/>
  <c r="AL8" i="33"/>
  <c r="AL11" i="33" s="1"/>
  <c r="AJ8" i="33"/>
  <c r="AJ11" i="33" s="1"/>
  <c r="AN8" i="33"/>
  <c r="AH10" i="33"/>
  <c r="B82" i="39"/>
  <c r="A83" i="39"/>
  <c r="AL80" i="33"/>
  <c r="AH80" i="33"/>
  <c r="AI77" i="33"/>
  <c r="AL79" i="33"/>
  <c r="AH79" i="33"/>
  <c r="O82" i="31"/>
  <c r="P81" i="31"/>
  <c r="O86" i="31"/>
  <c r="AC79" i="35"/>
  <c r="AD79" i="35" s="1"/>
  <c r="AD78" i="35"/>
  <c r="AC83" i="35"/>
  <c r="X21" i="33"/>
  <c r="V21" i="33"/>
  <c r="AA6" i="24"/>
  <c r="B86" i="30"/>
  <c r="A91" i="30"/>
  <c r="A87" i="30"/>
  <c r="Y65" i="35"/>
  <c r="Y64" i="35"/>
  <c r="O87" i="30"/>
  <c r="P86" i="30"/>
  <c r="O91" i="30"/>
  <c r="O75" i="35"/>
  <c r="P75" i="35" s="1"/>
  <c r="P74" i="35"/>
  <c r="X62" i="30"/>
  <c r="H28" i="50"/>
  <c r="H16" i="50"/>
  <c r="K7" i="50"/>
  <c r="AF9" i="50"/>
  <c r="K6" i="50"/>
  <c r="R15" i="50"/>
  <c r="AF5" i="50"/>
  <c r="R4" i="50"/>
  <c r="R22" i="50"/>
  <c r="U26" i="50" s="1"/>
  <c r="K11" i="50"/>
  <c r="R24" i="50"/>
  <c r="AF11" i="50"/>
  <c r="AF7" i="50"/>
  <c r="R6" i="50"/>
  <c r="K10" i="50"/>
  <c r="C74" i="40"/>
  <c r="C73" i="40"/>
  <c r="X5" i="24"/>
  <c r="Q69" i="36"/>
  <c r="Q67" i="36"/>
  <c r="Z4" i="36"/>
  <c r="AD4" i="36" s="1"/>
  <c r="N15" i="36"/>
  <c r="N17" i="36" s="1"/>
  <c r="P14" i="36"/>
  <c r="L15" i="36"/>
  <c r="L17" i="36" s="1"/>
  <c r="L27" i="28"/>
  <c r="Z13" i="32"/>
  <c r="V13" i="32"/>
  <c r="Z27" i="37"/>
  <c r="AD27" i="37" s="1"/>
  <c r="P82" i="29"/>
  <c r="O83" i="29"/>
  <c r="A84" i="47"/>
  <c r="B83" i="47"/>
  <c r="G71" i="59"/>
  <c r="M71" i="59"/>
  <c r="M72" i="59"/>
  <c r="N15" i="37"/>
  <c r="N17" i="37" s="1"/>
  <c r="P14" i="37"/>
  <c r="L15" i="37"/>
  <c r="L17" i="37" s="1"/>
  <c r="AL4" i="33"/>
  <c r="L22" i="38"/>
  <c r="L23" i="38" s="1"/>
  <c r="J23" i="38"/>
  <c r="N22" i="38" s="1"/>
  <c r="B87" i="50"/>
  <c r="A88" i="50"/>
  <c r="B87" i="42"/>
  <c r="A88" i="42"/>
  <c r="A80" i="49"/>
  <c r="B80" i="49" s="1"/>
  <c r="B79" i="49"/>
  <c r="X3" i="34"/>
  <c r="V3" i="34"/>
  <c r="Y60" i="39"/>
  <c r="Y59" i="39"/>
  <c r="O79" i="38"/>
  <c r="P78" i="38"/>
  <c r="Q78" i="38" s="1"/>
  <c r="B82" i="37"/>
  <c r="A83" i="37"/>
  <c r="L22" i="39"/>
  <c r="L23" i="39" s="1"/>
  <c r="J23" i="39"/>
  <c r="N22" i="39" s="1"/>
  <c r="Z27" i="34"/>
  <c r="AD27" i="34" s="1"/>
  <c r="B91" i="40"/>
  <c r="A96" i="40"/>
  <c r="A92" i="40"/>
  <c r="B91" i="35"/>
  <c r="A96" i="35"/>
  <c r="A92" i="35"/>
  <c r="Y65" i="29"/>
  <c r="Y64" i="29"/>
  <c r="C67" i="47"/>
  <c r="G68" i="47"/>
  <c r="AN10" i="40"/>
  <c r="AR10" i="40" s="1"/>
  <c r="X14" i="38"/>
  <c r="O82" i="44"/>
  <c r="P81" i="44"/>
  <c r="O86" i="44"/>
  <c r="Y60" i="33"/>
  <c r="Y59" i="33"/>
  <c r="AL74" i="29"/>
  <c r="AH74" i="29"/>
  <c r="AL75" i="29"/>
  <c r="AH75" i="29"/>
  <c r="AI72" i="29"/>
  <c r="AN3" i="38"/>
  <c r="AJ3" i="38"/>
  <c r="B87" i="49"/>
  <c r="A88" i="49"/>
  <c r="AJ80" i="34"/>
  <c r="AJ79" i="34"/>
  <c r="AQ15" i="31"/>
  <c r="AM15" i="31"/>
  <c r="AN13" i="31"/>
  <c r="AQ16" i="31"/>
  <c r="AM16" i="31"/>
  <c r="AJ15" i="31"/>
  <c r="AL15" i="31" s="1"/>
  <c r="AH10" i="38"/>
  <c r="AN8" i="38"/>
  <c r="C73" i="35"/>
  <c r="C74" i="35"/>
  <c r="A75" i="36"/>
  <c r="B75" i="36" s="1"/>
  <c r="B74" i="36"/>
  <c r="O28" i="29"/>
  <c r="J28" i="29"/>
  <c r="L28" i="29" s="1"/>
  <c r="M28" i="29"/>
  <c r="O27" i="29"/>
  <c r="A80" i="29"/>
  <c r="B80" i="29" s="1"/>
  <c r="B79" i="29"/>
  <c r="AN15" i="34"/>
  <c r="AR15" i="34" s="1"/>
  <c r="AV4" i="21"/>
  <c r="AA16" i="31"/>
  <c r="W13" i="31"/>
  <c r="T13" i="31"/>
  <c r="AA15" i="31"/>
  <c r="X57" i="31"/>
  <c r="F45" i="50"/>
  <c r="M65" i="43"/>
  <c r="I64" i="43"/>
  <c r="I65" i="43"/>
  <c r="G64" i="43"/>
  <c r="M64" i="43"/>
  <c r="Y60" i="44"/>
  <c r="Y59" i="44"/>
  <c r="X57" i="49"/>
  <c r="AV7" i="24"/>
  <c r="A83" i="36"/>
  <c r="B82" i="36"/>
  <c r="T42" i="49"/>
  <c r="V42" i="49"/>
  <c r="C69" i="48"/>
  <c r="C68" i="48"/>
  <c r="A79" i="30"/>
  <c r="B78" i="30"/>
  <c r="O94" i="59"/>
  <c r="P93" i="59"/>
  <c r="AN15" i="32"/>
  <c r="AL80" i="31"/>
  <c r="AH80" i="31"/>
  <c r="AI77" i="31"/>
  <c r="AL79" i="31"/>
  <c r="AH79" i="31"/>
  <c r="C74" i="42"/>
  <c r="C73" i="42"/>
  <c r="L15" i="33"/>
  <c r="L17" i="33" s="1"/>
  <c r="N15" i="33"/>
  <c r="N17" i="33" s="1"/>
  <c r="P14" i="33"/>
  <c r="C67" i="27"/>
  <c r="G68" i="27"/>
  <c r="X20" i="40"/>
  <c r="X23" i="40" s="1"/>
  <c r="V20" i="40"/>
  <c r="V23" i="40" s="1"/>
  <c r="Z9" i="33"/>
  <c r="AD9" i="33" s="1"/>
  <c r="V21" i="37"/>
  <c r="X21" i="37"/>
  <c r="X57" i="28"/>
  <c r="AL80" i="49"/>
  <c r="AH80" i="49"/>
  <c r="AI77" i="49"/>
  <c r="AL79" i="49"/>
  <c r="AH79" i="49"/>
  <c r="M27" i="38"/>
  <c r="J27" i="38"/>
  <c r="N15" i="38"/>
  <c r="N17" i="38" s="1"/>
  <c r="P14" i="38"/>
  <c r="L15" i="38"/>
  <c r="L17" i="38" s="1"/>
  <c r="Q62" i="40"/>
  <c r="Q64" i="40"/>
  <c r="B91" i="34"/>
  <c r="A96" i="34"/>
  <c r="A92" i="34"/>
  <c r="G62" i="32"/>
  <c r="K64" i="32"/>
  <c r="K65" i="32"/>
  <c r="G57" i="36"/>
  <c r="K60" i="36"/>
  <c r="K59" i="36"/>
  <c r="AI87" i="40"/>
  <c r="AL89" i="40"/>
  <c r="AH89" i="40"/>
  <c r="AL90" i="40"/>
  <c r="AH90" i="40"/>
  <c r="X20" i="32"/>
  <c r="V20" i="32"/>
  <c r="P81" i="45"/>
  <c r="O86" i="45"/>
  <c r="O82" i="45"/>
  <c r="AA75" i="36"/>
  <c r="AO75" i="36" s="1"/>
  <c r="AP75" i="36" s="1"/>
  <c r="W75" i="36"/>
  <c r="AA74" i="36"/>
  <c r="AO74" i="36" s="1"/>
  <c r="W74" i="36"/>
  <c r="O78" i="33"/>
  <c r="P77" i="33"/>
  <c r="Z9" i="34"/>
  <c r="AD9" i="34" s="1"/>
  <c r="A80" i="41"/>
  <c r="B80" i="41" s="1"/>
  <c r="B79" i="41"/>
  <c r="A79" i="37"/>
  <c r="B78" i="37"/>
  <c r="P82" i="26"/>
  <c r="O83" i="26"/>
  <c r="Y60" i="37"/>
  <c r="Y59" i="37"/>
  <c r="P82" i="35"/>
  <c r="O83" i="35"/>
  <c r="B98" i="59"/>
  <c r="A99" i="59"/>
  <c r="A104" i="59"/>
  <c r="V22" i="36"/>
  <c r="AL4" i="38"/>
  <c r="AJ8" i="32"/>
  <c r="AJ11" i="32" s="1"/>
  <c r="AL8" i="32"/>
  <c r="AL11" i="32" s="1"/>
  <c r="C62" i="46"/>
  <c r="G63" i="46"/>
  <c r="V13" i="33"/>
  <c r="Z13" i="33"/>
  <c r="C74" i="33"/>
  <c r="C73" i="33"/>
  <c r="N16" i="40"/>
  <c r="L16" i="40"/>
  <c r="L16" i="45"/>
  <c r="B91" i="32"/>
  <c r="A92" i="32"/>
  <c r="A96" i="32"/>
  <c r="V39" i="50"/>
  <c r="V40" i="50" s="1"/>
  <c r="T39" i="50"/>
  <c r="T40" i="50" s="1"/>
  <c r="X39" i="50" s="1"/>
  <c r="T43" i="50"/>
  <c r="V43" i="50"/>
  <c r="O78" i="50"/>
  <c r="P77" i="50"/>
  <c r="AL8" i="31"/>
  <c r="AL11" i="31" s="1"/>
  <c r="AJ8" i="31"/>
  <c r="AJ11" i="31" s="1"/>
  <c r="AN8" i="31"/>
  <c r="AH10" i="31"/>
  <c r="AN15" i="38"/>
  <c r="AR15" i="38" s="1"/>
  <c r="K65" i="49"/>
  <c r="K64" i="49"/>
  <c r="G62" i="49"/>
  <c r="AI77" i="37"/>
  <c r="AL79" i="37"/>
  <c r="AH79" i="37"/>
  <c r="AL80" i="37"/>
  <c r="AH80" i="37"/>
  <c r="AC84" i="27"/>
  <c r="AD84" i="27" s="1"/>
  <c r="AD83" i="27"/>
  <c r="AC88" i="27"/>
  <c r="T4" i="33"/>
  <c r="Z2" i="33"/>
  <c r="G63" i="26"/>
  <c r="C62" i="26"/>
  <c r="T33" i="48"/>
  <c r="V33" i="48"/>
  <c r="AJ80" i="32"/>
  <c r="AJ79" i="32"/>
  <c r="A79" i="36"/>
  <c r="B78" i="36"/>
  <c r="T22" i="34"/>
  <c r="Z20" i="34"/>
  <c r="AJ75" i="38"/>
  <c r="AJ74" i="38"/>
  <c r="L27" i="34"/>
  <c r="P26" i="34"/>
  <c r="G68" i="42"/>
  <c r="C67" i="42"/>
  <c r="G57" i="30"/>
  <c r="K60" i="30"/>
  <c r="K59" i="30"/>
  <c r="Y65" i="26"/>
  <c r="Y64" i="26"/>
  <c r="X3" i="33"/>
  <c r="V3" i="33"/>
  <c r="O75" i="29"/>
  <c r="P75" i="29" s="1"/>
  <c r="P74" i="29"/>
  <c r="AJ79" i="36"/>
  <c r="AJ80" i="36"/>
  <c r="C74" i="27"/>
  <c r="C73" i="27"/>
  <c r="AE45" i="50"/>
  <c r="AI44" i="50" s="1"/>
  <c r="A84" i="34"/>
  <c r="B83" i="34"/>
  <c r="AJ3" i="34"/>
  <c r="AN3" i="34"/>
  <c r="A75" i="39"/>
  <c r="B75" i="39" s="1"/>
  <c r="B74" i="39"/>
  <c r="AC84" i="50"/>
  <c r="AD84" i="50" s="1"/>
  <c r="AD83" i="50"/>
  <c r="AC88" i="50"/>
  <c r="G63" i="39"/>
  <c r="C62" i="39"/>
  <c r="M64" i="48"/>
  <c r="I64" i="48"/>
  <c r="M65" i="48"/>
  <c r="I65" i="48"/>
  <c r="G64" i="48"/>
  <c r="Z9" i="39"/>
  <c r="AD9" i="39" s="1"/>
  <c r="X57" i="45"/>
  <c r="AC83" i="47"/>
  <c r="AD78" i="47"/>
  <c r="AC79" i="47"/>
  <c r="AD79" i="47" s="1"/>
  <c r="O70" i="39"/>
  <c r="P70" i="39" s="1"/>
  <c r="P69" i="39"/>
  <c r="X2" i="32"/>
  <c r="V2" i="32"/>
  <c r="AJ79" i="48"/>
  <c r="AJ80" i="48"/>
  <c r="Z2" i="46"/>
  <c r="K59" i="37"/>
  <c r="G57" i="37"/>
  <c r="K60" i="37"/>
  <c r="O74" i="50"/>
  <c r="P73" i="50"/>
  <c r="Q73" i="50" s="1"/>
  <c r="C69" i="46"/>
  <c r="C68" i="46"/>
  <c r="Q62" i="50"/>
  <c r="Q64" i="50"/>
  <c r="AA70" i="33"/>
  <c r="AO70" i="33" s="1"/>
  <c r="AP70" i="33" s="1"/>
  <c r="W70" i="33"/>
  <c r="AA69" i="33"/>
  <c r="AO69" i="33" s="1"/>
  <c r="W69" i="33"/>
  <c r="K65" i="44"/>
  <c r="K64" i="44"/>
  <c r="G62" i="44"/>
  <c r="AG7" i="61"/>
  <c r="X10" i="68" s="1"/>
  <c r="AP7" i="23"/>
  <c r="C6" i="47"/>
  <c r="B7" i="23"/>
  <c r="A80" i="34"/>
  <c r="B80" i="34" s="1"/>
  <c r="B79" i="34"/>
  <c r="AA75" i="48"/>
  <c r="AO75" i="48" s="1"/>
  <c r="W75" i="48"/>
  <c r="AA74" i="48"/>
  <c r="AO74" i="48" s="1"/>
  <c r="W74" i="48"/>
  <c r="O78" i="27"/>
  <c r="P77" i="27"/>
  <c r="O87" i="36"/>
  <c r="O91" i="36"/>
  <c r="P86" i="36"/>
  <c r="AI97" i="46"/>
  <c r="AL99" i="46"/>
  <c r="AH99" i="46"/>
  <c r="AH100" i="46"/>
  <c r="AL100" i="46"/>
  <c r="O70" i="49"/>
  <c r="P70" i="49" s="1"/>
  <c r="P69" i="49"/>
  <c r="Z13" i="35"/>
  <c r="V13" i="35"/>
  <c r="V21" i="40"/>
  <c r="X21" i="40"/>
  <c r="B82" i="43"/>
  <c r="A83" i="43"/>
  <c r="Y65" i="47"/>
  <c r="Y64" i="47"/>
  <c r="H47" i="50"/>
  <c r="M70" i="41"/>
  <c r="I70" i="41"/>
  <c r="G69" i="41"/>
  <c r="M69" i="41"/>
  <c r="I69" i="41"/>
  <c r="J23" i="37"/>
  <c r="N22" i="37" s="1"/>
  <c r="L22" i="37"/>
  <c r="L23" i="37" s="1"/>
  <c r="O75" i="42"/>
  <c r="P75" i="42" s="1"/>
  <c r="P74" i="42"/>
  <c r="AC100" i="59"/>
  <c r="AC95" i="59"/>
  <c r="AD95" i="59" s="1"/>
  <c r="AD94" i="59"/>
  <c r="AN8" i="46"/>
  <c r="X57" i="34"/>
  <c r="A84" i="40"/>
  <c r="B83" i="40"/>
  <c r="Z20" i="46"/>
  <c r="P82" i="38"/>
  <c r="O83" i="38"/>
  <c r="A96" i="27"/>
  <c r="A92" i="27"/>
  <c r="B91" i="27"/>
  <c r="J23" i="40"/>
  <c r="N22" i="40" s="1"/>
  <c r="L22" i="40"/>
  <c r="L23" i="40" s="1"/>
  <c r="L27" i="36"/>
  <c r="X2" i="40"/>
  <c r="X5" i="40" s="1"/>
  <c r="V2" i="40"/>
  <c r="V5" i="40" s="1"/>
  <c r="AL8" i="36"/>
  <c r="AL11" i="36" s="1"/>
  <c r="AJ8" i="36"/>
  <c r="AJ11" i="36" s="1"/>
  <c r="X20" i="37"/>
  <c r="X23" i="37" s="1"/>
  <c r="V20" i="37"/>
  <c r="V23" i="37" s="1"/>
  <c r="AL9" i="33"/>
  <c r="AJ9" i="33"/>
  <c r="P82" i="48"/>
  <c r="O83" i="48"/>
  <c r="P106" i="32"/>
  <c r="O111" i="32"/>
  <c r="O107" i="32"/>
  <c r="C74" i="34"/>
  <c r="C73" i="34"/>
  <c r="P69" i="37"/>
  <c r="O70" i="37"/>
  <c r="P70" i="37" s="1"/>
  <c r="X57" i="40"/>
  <c r="V28" i="31"/>
  <c r="X26" i="31"/>
  <c r="X28" i="31" s="1"/>
  <c r="O82" i="49"/>
  <c r="O86" i="49"/>
  <c r="P81" i="49"/>
  <c r="Z27" i="39"/>
  <c r="AD27" i="39" s="1"/>
  <c r="AN3" i="40"/>
  <c r="AJ3" i="40"/>
  <c r="X20" i="39"/>
  <c r="X23" i="39" s="1"/>
  <c r="V20" i="39"/>
  <c r="V23" i="39" s="1"/>
  <c r="N15" i="34"/>
  <c r="N17" i="34" s="1"/>
  <c r="P14" i="34"/>
  <c r="L15" i="34"/>
  <c r="L17" i="34" s="1"/>
  <c r="B91" i="29"/>
  <c r="A96" i="29"/>
  <c r="A92" i="29"/>
  <c r="AV5" i="22"/>
  <c r="Q67" i="47"/>
  <c r="Q69" i="47"/>
  <c r="Z9" i="38"/>
  <c r="AD9" i="38" s="1"/>
  <c r="P78" i="42"/>
  <c r="Q78" i="42" s="1"/>
  <c r="O79" i="42"/>
  <c r="Y60" i="46"/>
  <c r="Y59" i="46"/>
  <c r="P83" i="59"/>
  <c r="O84" i="59"/>
  <c r="P84" i="59" s="1"/>
  <c r="A80" i="33"/>
  <c r="B80" i="33" s="1"/>
  <c r="B79" i="33"/>
  <c r="B86" i="39"/>
  <c r="A91" i="39"/>
  <c r="A87" i="39"/>
  <c r="AJ75" i="35"/>
  <c r="AJ74" i="35"/>
  <c r="G62" i="42"/>
  <c r="K65" i="42"/>
  <c r="K64" i="42"/>
  <c r="M28" i="40"/>
  <c r="O27" i="40"/>
  <c r="O28" i="40"/>
  <c r="J28" i="40"/>
  <c r="L28" i="40" s="1"/>
  <c r="Z9" i="36"/>
  <c r="AD9" i="36" s="1"/>
  <c r="A80" i="32"/>
  <c r="B80" i="32" s="1"/>
  <c r="B79" i="32"/>
  <c r="M70" i="29"/>
  <c r="I70" i="29"/>
  <c r="G69" i="29"/>
  <c r="M69" i="29"/>
  <c r="I69" i="29"/>
  <c r="P77" i="39"/>
  <c r="O78" i="39"/>
  <c r="L16" i="38"/>
  <c r="N16" i="38"/>
  <c r="C67" i="31"/>
  <c r="G68" i="31"/>
  <c r="O78" i="46"/>
  <c r="P77" i="46"/>
  <c r="Q87" i="32"/>
  <c r="Q89" i="32"/>
  <c r="AA75" i="38"/>
  <c r="AO75" i="38" s="1"/>
  <c r="AP75" i="38" s="1"/>
  <c r="W75" i="38"/>
  <c r="AA74" i="38"/>
  <c r="AO74" i="38" s="1"/>
  <c r="AP74" i="38" s="1"/>
  <c r="W74" i="38"/>
  <c r="G57" i="48"/>
  <c r="K60" i="48"/>
  <c r="K59" i="48"/>
  <c r="X4" i="36"/>
  <c r="V4" i="36"/>
  <c r="AA70" i="40"/>
  <c r="AO70" i="40" s="1"/>
  <c r="AP70" i="40" s="1"/>
  <c r="W70" i="40"/>
  <c r="AA69" i="40"/>
  <c r="AO69" i="40" s="1"/>
  <c r="W69" i="40"/>
  <c r="O91" i="29"/>
  <c r="O87" i="29"/>
  <c r="P86" i="29"/>
  <c r="C69" i="59"/>
  <c r="G70" i="59"/>
  <c r="B91" i="50"/>
  <c r="A96" i="50"/>
  <c r="A92" i="50"/>
  <c r="Y65" i="36"/>
  <c r="Y64" i="36"/>
  <c r="B91" i="42"/>
  <c r="A96" i="42"/>
  <c r="A92" i="42"/>
  <c r="A89" i="59"/>
  <c r="B88" i="59"/>
  <c r="X57" i="39"/>
  <c r="B86" i="37"/>
  <c r="A91" i="37"/>
  <c r="A87" i="37"/>
  <c r="X21" i="35"/>
  <c r="V21" i="35"/>
  <c r="B86" i="46"/>
  <c r="A87" i="46"/>
  <c r="A91" i="46"/>
  <c r="M70" i="47"/>
  <c r="I70" i="47"/>
  <c r="G69" i="47"/>
  <c r="M69" i="47"/>
  <c r="I69" i="47"/>
  <c r="AL10" i="40"/>
  <c r="AJ10" i="40"/>
  <c r="K64" i="29"/>
  <c r="G62" i="29"/>
  <c r="K65" i="29"/>
  <c r="AJ79" i="30"/>
  <c r="AJ80" i="30"/>
  <c r="M27" i="30"/>
  <c r="J27" i="30"/>
  <c r="B82" i="45"/>
  <c r="A83" i="45"/>
  <c r="O78" i="34"/>
  <c r="P77" i="34"/>
  <c r="X57" i="33"/>
  <c r="B91" i="49"/>
  <c r="A96" i="49"/>
  <c r="A92" i="49"/>
  <c r="AI77" i="34"/>
  <c r="AL79" i="34"/>
  <c r="AH79" i="34"/>
  <c r="AL80" i="34"/>
  <c r="AH80" i="34"/>
  <c r="AQ10" i="31"/>
  <c r="AM10" i="31"/>
  <c r="AH9" i="31"/>
  <c r="AK13" i="31"/>
  <c r="AK12" i="31"/>
  <c r="AQ11" i="31"/>
  <c r="AM11" i="31"/>
  <c r="X21" i="39"/>
  <c r="V21" i="39"/>
  <c r="V13" i="40"/>
  <c r="Z13" i="40"/>
  <c r="Z27" i="38"/>
  <c r="AD27" i="38" s="1"/>
  <c r="K59" i="45"/>
  <c r="G57" i="45"/>
  <c r="K60" i="45"/>
  <c r="A88" i="31"/>
  <c r="B87" i="31"/>
  <c r="H4" i="21"/>
  <c r="I4" i="21" s="1"/>
  <c r="D4" i="21"/>
  <c r="AP64" i="33"/>
  <c r="AC15" i="31"/>
  <c r="Y15" i="31"/>
  <c r="T15" i="31"/>
  <c r="V15" i="31" s="1"/>
  <c r="AC16" i="31"/>
  <c r="Y16" i="31"/>
  <c r="W15" i="31"/>
  <c r="C74" i="47"/>
  <c r="C73" i="47"/>
  <c r="A79" i="39"/>
  <c r="B78" i="39"/>
  <c r="H45" i="50"/>
  <c r="AC84" i="45"/>
  <c r="AD84" i="45" s="1"/>
  <c r="AD83" i="45"/>
  <c r="AC88" i="45"/>
  <c r="X57" i="44"/>
  <c r="B87" i="28"/>
  <c r="A88" i="28"/>
  <c r="R33" i="47"/>
  <c r="AE38" i="47"/>
  <c r="AE34" i="47"/>
  <c r="D38" i="47"/>
  <c r="R37" i="47"/>
  <c r="D42" i="47"/>
  <c r="A91" i="36"/>
  <c r="A87" i="36"/>
  <c r="B86" i="36"/>
  <c r="T34" i="49"/>
  <c r="T35" i="49" s="1"/>
  <c r="X34" i="49" s="1"/>
  <c r="AB34" i="49" s="1"/>
  <c r="V34" i="49"/>
  <c r="V35" i="49" s="1"/>
  <c r="X35" i="49" s="1"/>
  <c r="AB35" i="49" s="1"/>
  <c r="F43" i="49"/>
  <c r="Y60" i="27"/>
  <c r="Y59" i="27"/>
  <c r="K65" i="27"/>
  <c r="K64" i="27"/>
  <c r="G62" i="27"/>
  <c r="A84" i="33"/>
  <c r="B83" i="33"/>
  <c r="A80" i="35"/>
  <c r="B80" i="35" s="1"/>
  <c r="B79" i="35"/>
  <c r="AP89" i="32"/>
  <c r="M69" i="27"/>
  <c r="I69" i="27"/>
  <c r="M70" i="27"/>
  <c r="I70" i="27"/>
  <c r="G69" i="27"/>
  <c r="AP69" i="36"/>
  <c r="P86" i="47"/>
  <c r="O87" i="47"/>
  <c r="O91" i="47"/>
  <c r="Z27" i="36"/>
  <c r="AD27" i="36" s="1"/>
  <c r="G63" i="36"/>
  <c r="C62" i="36"/>
  <c r="AC79" i="41"/>
  <c r="AD79" i="41" s="1"/>
  <c r="AD78" i="41"/>
  <c r="AC83" i="41"/>
  <c r="Y60" i="28"/>
  <c r="Y59" i="28"/>
  <c r="C62" i="45"/>
  <c r="G63" i="45"/>
  <c r="A75" i="45"/>
  <c r="B75" i="45" s="1"/>
  <c r="B74" i="45"/>
  <c r="C67" i="33"/>
  <c r="G68" i="33"/>
  <c r="A84" i="42"/>
  <c r="B83" i="42"/>
  <c r="AJ79" i="39"/>
  <c r="AJ80" i="39"/>
  <c r="A79" i="46"/>
  <c r="B78" i="46"/>
  <c r="X62" i="38"/>
  <c r="A80" i="44"/>
  <c r="B80" i="44" s="1"/>
  <c r="B79" i="44"/>
  <c r="C67" i="34"/>
  <c r="G68" i="34"/>
  <c r="M27" i="26"/>
  <c r="J27" i="26"/>
  <c r="O28" i="47"/>
  <c r="J28" i="47"/>
  <c r="L28" i="47" s="1"/>
  <c r="O27" i="47"/>
  <c r="M28" i="47"/>
  <c r="O91" i="35"/>
  <c r="O87" i="35"/>
  <c r="P86" i="35"/>
  <c r="AC79" i="44"/>
  <c r="AD79" i="44" s="1"/>
  <c r="AD78" i="44"/>
  <c r="AC83" i="44"/>
  <c r="Z20" i="49"/>
  <c r="A94" i="59"/>
  <c r="B93" i="59"/>
  <c r="AN15" i="39"/>
  <c r="AR15" i="39" s="1"/>
  <c r="N28" i="33" l="1"/>
  <c r="X8" i="31"/>
  <c r="X10" i="31" s="1"/>
  <c r="V10" i="31"/>
  <c r="AL16" i="31"/>
  <c r="M22" i="31"/>
  <c r="J22" i="31"/>
  <c r="M23" i="31"/>
  <c r="AJ16" i="31"/>
  <c r="AN15" i="31" s="1"/>
  <c r="M19" i="31"/>
  <c r="O15" i="31"/>
  <c r="O16" i="31"/>
  <c r="J15" i="31"/>
  <c r="M18" i="31"/>
  <c r="N21" i="31"/>
  <c r="N16" i="30"/>
  <c r="M28" i="43"/>
  <c r="N28" i="43" s="1"/>
  <c r="O27" i="43"/>
  <c r="AK4" i="29"/>
  <c r="N16" i="29"/>
  <c r="AA22" i="28"/>
  <c r="AA23" i="28"/>
  <c r="M18" i="30"/>
  <c r="M19" i="30"/>
  <c r="O15" i="30"/>
  <c r="O16" i="30"/>
  <c r="M23" i="30"/>
  <c r="M22" i="30"/>
  <c r="W14" i="30"/>
  <c r="AA23" i="30"/>
  <c r="AA22" i="30"/>
  <c r="S22" i="30"/>
  <c r="AC28" i="30"/>
  <c r="Y27" i="30"/>
  <c r="Y28" i="30"/>
  <c r="Z25" i="30"/>
  <c r="AC27" i="30"/>
  <c r="AK4" i="30"/>
  <c r="AG10" i="30"/>
  <c r="AO11" i="30"/>
  <c r="AO10" i="30"/>
  <c r="AA15" i="30"/>
  <c r="AA16" i="30"/>
  <c r="W13" i="30"/>
  <c r="S4" i="30"/>
  <c r="AA4" i="30"/>
  <c r="AA5" i="30"/>
  <c r="AK12" i="30"/>
  <c r="AM10" i="30"/>
  <c r="AQ11" i="30"/>
  <c r="AM11" i="30"/>
  <c r="AK13" i="30"/>
  <c r="AQ10" i="30"/>
  <c r="AC9" i="30"/>
  <c r="Y9" i="30"/>
  <c r="Y10" i="30"/>
  <c r="AC10" i="30"/>
  <c r="Z7" i="30"/>
  <c r="AQ6" i="30"/>
  <c r="AM6" i="30"/>
  <c r="AQ5" i="30"/>
  <c r="AK5" i="30"/>
  <c r="AM5" i="30"/>
  <c r="Y15" i="30"/>
  <c r="AC15" i="30"/>
  <c r="Y16" i="30"/>
  <c r="W15" i="30"/>
  <c r="AC16" i="30"/>
  <c r="AN13" i="30"/>
  <c r="AQ15" i="30"/>
  <c r="AM16" i="30"/>
  <c r="AQ16" i="30"/>
  <c r="AM15" i="30"/>
  <c r="W24" i="30"/>
  <c r="AC22" i="30"/>
  <c r="AC23" i="30"/>
  <c r="Y22" i="30"/>
  <c r="Y23" i="30"/>
  <c r="W25" i="30"/>
  <c r="W7" i="30"/>
  <c r="Y5" i="30"/>
  <c r="AC4" i="30"/>
  <c r="AC5" i="30"/>
  <c r="W6" i="30"/>
  <c r="Y4" i="30"/>
  <c r="AO5" i="30"/>
  <c r="AK3" i="30"/>
  <c r="AO6" i="30"/>
  <c r="AG10" i="29"/>
  <c r="AO10" i="29"/>
  <c r="AO11" i="29"/>
  <c r="W14" i="29"/>
  <c r="AM11" i="29"/>
  <c r="AK13" i="29"/>
  <c r="AQ10" i="29"/>
  <c r="AK12" i="29"/>
  <c r="AM10" i="29"/>
  <c r="AQ11" i="29"/>
  <c r="AC27" i="29"/>
  <c r="Y27" i="29"/>
  <c r="Y28" i="29"/>
  <c r="AC28" i="29"/>
  <c r="Z25" i="29"/>
  <c r="W13" i="29"/>
  <c r="AA15" i="29"/>
  <c r="AA16" i="29"/>
  <c r="AQ15" i="29"/>
  <c r="AM16" i="29"/>
  <c r="AN13" i="29"/>
  <c r="AQ16" i="29"/>
  <c r="AM15" i="29"/>
  <c r="M19" i="29"/>
  <c r="O16" i="29"/>
  <c r="M18" i="29"/>
  <c r="O15" i="29"/>
  <c r="AO6" i="29"/>
  <c r="AK3" i="29"/>
  <c r="AO5" i="29"/>
  <c r="AC4" i="29"/>
  <c r="W6" i="29"/>
  <c r="Y4" i="29"/>
  <c r="AC5" i="29"/>
  <c r="W7" i="29"/>
  <c r="Y5" i="29"/>
  <c r="M23" i="29"/>
  <c r="M22" i="29"/>
  <c r="AA23" i="29"/>
  <c r="AA22" i="29"/>
  <c r="S22" i="29"/>
  <c r="AA5" i="29"/>
  <c r="S4" i="29"/>
  <c r="AA4" i="29"/>
  <c r="AC15" i="29"/>
  <c r="AC16" i="29"/>
  <c r="Y15" i="29"/>
  <c r="Y16" i="29"/>
  <c r="W15" i="29"/>
  <c r="AQ6" i="29"/>
  <c r="AM6" i="29"/>
  <c r="AQ5" i="29"/>
  <c r="AK5" i="29"/>
  <c r="AM5" i="29"/>
  <c r="AC10" i="29"/>
  <c r="Z7" i="29"/>
  <c r="Y10" i="29"/>
  <c r="AC9" i="29"/>
  <c r="Y9" i="29"/>
  <c r="W24" i="29"/>
  <c r="AC22" i="29"/>
  <c r="Y22" i="29"/>
  <c r="Y23" i="29"/>
  <c r="AC23" i="29"/>
  <c r="W25" i="29"/>
  <c r="J27" i="47"/>
  <c r="AK4" i="28"/>
  <c r="L16" i="28"/>
  <c r="W13" i="28"/>
  <c r="AA15" i="28"/>
  <c r="AA16" i="28"/>
  <c r="AQ5" i="28"/>
  <c r="AQ6" i="28"/>
  <c r="AM5" i="28"/>
  <c r="AM6" i="28"/>
  <c r="AK5" i="28"/>
  <c r="AO11" i="28"/>
  <c r="AO10" i="28"/>
  <c r="AC16" i="28"/>
  <c r="AC15" i="28"/>
  <c r="Y16" i="28"/>
  <c r="Y15" i="28"/>
  <c r="W15" i="28"/>
  <c r="AO5" i="28"/>
  <c r="AO6" i="28"/>
  <c r="AK3" i="28"/>
  <c r="Y23" i="28"/>
  <c r="W25" i="28"/>
  <c r="S22" i="28"/>
  <c r="W24" i="28"/>
  <c r="AC22" i="28"/>
  <c r="AC23" i="28"/>
  <c r="Y22" i="28"/>
  <c r="AQ16" i="28"/>
  <c r="AM15" i="28"/>
  <c r="AM16" i="28"/>
  <c r="AN13" i="28"/>
  <c r="AQ15" i="28"/>
  <c r="M18" i="28"/>
  <c r="O15" i="28"/>
  <c r="M19" i="28"/>
  <c r="O16" i="28"/>
  <c r="Y9" i="28"/>
  <c r="Y10" i="28"/>
  <c r="Z7" i="28"/>
  <c r="AC9" i="28"/>
  <c r="AC10" i="28"/>
  <c r="Y28" i="28"/>
  <c r="Z25" i="28"/>
  <c r="AC27" i="28"/>
  <c r="AC28" i="28"/>
  <c r="Y27" i="28"/>
  <c r="AG10" i="28"/>
  <c r="AK12" i="28"/>
  <c r="AM10" i="28"/>
  <c r="AQ11" i="28"/>
  <c r="AM11" i="28"/>
  <c r="AK13" i="28"/>
  <c r="AQ10" i="28"/>
  <c r="W14" i="28"/>
  <c r="M22" i="28"/>
  <c r="M23" i="28"/>
  <c r="AC4" i="28"/>
  <c r="W6" i="28"/>
  <c r="Y4" i="28"/>
  <c r="AC5" i="28"/>
  <c r="W7" i="28"/>
  <c r="Y5" i="28"/>
  <c r="AA5" i="28"/>
  <c r="S4" i="28"/>
  <c r="AA4" i="28"/>
  <c r="N21" i="28"/>
  <c r="O28" i="41"/>
  <c r="L28" i="41"/>
  <c r="P26" i="41"/>
  <c r="O27" i="41"/>
  <c r="M28" i="41"/>
  <c r="W14" i="26"/>
  <c r="AK12" i="26"/>
  <c r="AQ11" i="26"/>
  <c r="AM10" i="26"/>
  <c r="AM11" i="26"/>
  <c r="AK13" i="26"/>
  <c r="AQ10" i="26"/>
  <c r="M19" i="26"/>
  <c r="M18" i="26"/>
  <c r="O15" i="26"/>
  <c r="O16" i="26"/>
  <c r="Y9" i="26"/>
  <c r="AC10" i="26"/>
  <c r="Z7" i="26"/>
  <c r="AC9" i="26"/>
  <c r="Y10" i="26"/>
  <c r="W15" i="26"/>
  <c r="AC16" i="26"/>
  <c r="AC15" i="26"/>
  <c r="Y16" i="26"/>
  <c r="Y15" i="26"/>
  <c r="AK5" i="26"/>
  <c r="AQ6" i="26"/>
  <c r="AQ5" i="26"/>
  <c r="AM6" i="26"/>
  <c r="AM5" i="26"/>
  <c r="AO10" i="26"/>
  <c r="AG10" i="26"/>
  <c r="AO11" i="26"/>
  <c r="M22" i="26"/>
  <c r="M23" i="26"/>
  <c r="W6" i="26"/>
  <c r="Y4" i="26"/>
  <c r="AC5" i="26"/>
  <c r="Y5" i="26"/>
  <c r="W7" i="26"/>
  <c r="AC4" i="26"/>
  <c r="AA15" i="26"/>
  <c r="AA16" i="26"/>
  <c r="W13" i="26"/>
  <c r="AO5" i="26"/>
  <c r="AK3" i="26"/>
  <c r="AO6" i="26"/>
  <c r="Y22" i="26"/>
  <c r="Y23" i="26"/>
  <c r="W25" i="26"/>
  <c r="AC22" i="26"/>
  <c r="W24" i="26"/>
  <c r="AC23" i="26"/>
  <c r="S22" i="26"/>
  <c r="AA22" i="26"/>
  <c r="AA23" i="26"/>
  <c r="AN13" i="26"/>
  <c r="AQ15" i="26"/>
  <c r="AQ16" i="26"/>
  <c r="AM15" i="26"/>
  <c r="AM16" i="26"/>
  <c r="AA5" i="26"/>
  <c r="S4" i="26"/>
  <c r="AA4" i="26"/>
  <c r="AC28" i="26"/>
  <c r="AC27" i="26"/>
  <c r="Y28" i="26"/>
  <c r="Y27" i="26"/>
  <c r="Z25" i="26"/>
  <c r="N23" i="34"/>
  <c r="P26" i="28"/>
  <c r="J42" i="49"/>
  <c r="O28" i="43"/>
  <c r="AA23" i="41"/>
  <c r="AA22" i="41"/>
  <c r="D8" i="65"/>
  <c r="I8" i="66"/>
  <c r="J8" i="66"/>
  <c r="B8" i="65" s="1"/>
  <c r="D8" i="66"/>
  <c r="L9" i="66"/>
  <c r="AA7" i="25"/>
  <c r="AG7" i="25" s="1"/>
  <c r="AF7" i="25" s="1"/>
  <c r="X6" i="25"/>
  <c r="B7" i="66"/>
  <c r="A7" i="66"/>
  <c r="AQ16" i="41"/>
  <c r="AM15" i="41"/>
  <c r="AM16" i="41"/>
  <c r="AN13" i="41"/>
  <c r="AQ15" i="41"/>
  <c r="AC9" i="41"/>
  <c r="Y9" i="41"/>
  <c r="AC10" i="41"/>
  <c r="Z7" i="41"/>
  <c r="Y10" i="41"/>
  <c r="AK4" i="41"/>
  <c r="AK5" i="41"/>
  <c r="AM5" i="41"/>
  <c r="AQ6" i="41"/>
  <c r="AM6" i="41"/>
  <c r="AQ5" i="41"/>
  <c r="AM11" i="41"/>
  <c r="AK13" i="41"/>
  <c r="AQ10" i="41"/>
  <c r="AK12" i="41"/>
  <c r="AM10" i="41"/>
  <c r="AQ11" i="41"/>
  <c r="T14" i="41"/>
  <c r="V14" i="41" s="1"/>
  <c r="W14" i="41"/>
  <c r="W25" i="41"/>
  <c r="W24" i="41"/>
  <c r="AC22" i="41"/>
  <c r="AC23" i="41"/>
  <c r="S22" i="41"/>
  <c r="Y22" i="41"/>
  <c r="Y23" i="41"/>
  <c r="O15" i="41"/>
  <c r="M19" i="41"/>
  <c r="O16" i="41"/>
  <c r="M18" i="41"/>
  <c r="AA5" i="41"/>
  <c r="S4" i="41"/>
  <c r="AA4" i="41"/>
  <c r="AB5" i="41"/>
  <c r="T2" i="41"/>
  <c r="AB4" i="41"/>
  <c r="AG10" i="41"/>
  <c r="AO10" i="41"/>
  <c r="AO11" i="41"/>
  <c r="AB15" i="41"/>
  <c r="AA16" i="41"/>
  <c r="T13" i="41"/>
  <c r="W13" i="41"/>
  <c r="AB16" i="41"/>
  <c r="AA15" i="41"/>
  <c r="AC28" i="41"/>
  <c r="Y27" i="41"/>
  <c r="Y28" i="41"/>
  <c r="Z25" i="41"/>
  <c r="AC27" i="41"/>
  <c r="M22" i="41"/>
  <c r="M23" i="41"/>
  <c r="AC5" i="41"/>
  <c r="W7" i="41"/>
  <c r="Y5" i="41"/>
  <c r="AC4" i="41"/>
  <c r="W6" i="41"/>
  <c r="Y4" i="41"/>
  <c r="AC16" i="41"/>
  <c r="Y15" i="41"/>
  <c r="Y16" i="41"/>
  <c r="W15" i="41"/>
  <c r="AC15" i="41"/>
  <c r="AO5" i="41"/>
  <c r="AO6" i="41"/>
  <c r="AK3" i="41"/>
  <c r="L27" i="59"/>
  <c r="P26" i="46"/>
  <c r="CH100" i="61"/>
  <c r="CE103" i="61"/>
  <c r="CI99" i="61"/>
  <c r="A7" i="65"/>
  <c r="CF102" i="61"/>
  <c r="CG101" i="61"/>
  <c r="CJ98" i="61"/>
  <c r="AA23" i="43"/>
  <c r="AA22" i="43"/>
  <c r="J27" i="43"/>
  <c r="M27" i="43"/>
  <c r="L16" i="59"/>
  <c r="W14" i="43"/>
  <c r="S22" i="43"/>
  <c r="AC22" i="43"/>
  <c r="AC23" i="43"/>
  <c r="Y22" i="43"/>
  <c r="Y23" i="43"/>
  <c r="W25" i="43"/>
  <c r="W24" i="43"/>
  <c r="O16" i="43"/>
  <c r="M18" i="43"/>
  <c r="O15" i="43"/>
  <c r="M19" i="43"/>
  <c r="AO10" i="43"/>
  <c r="AO11" i="43"/>
  <c r="AG10" i="43"/>
  <c r="AA15" i="43"/>
  <c r="AA16" i="43"/>
  <c r="W13" i="43"/>
  <c r="N16" i="43"/>
  <c r="L16" i="43"/>
  <c r="AC28" i="43"/>
  <c r="Y28" i="43"/>
  <c r="AC27" i="43"/>
  <c r="Z25" i="43"/>
  <c r="Y27" i="43"/>
  <c r="M23" i="43"/>
  <c r="M22" i="43"/>
  <c r="Z7" i="43"/>
  <c r="AC10" i="43"/>
  <c r="AC9" i="43"/>
  <c r="Y10" i="43"/>
  <c r="Y9" i="43"/>
  <c r="AA4" i="43"/>
  <c r="S4" i="43"/>
  <c r="AA5" i="43"/>
  <c r="AK4" i="43"/>
  <c r="AK5" i="43"/>
  <c r="AM6" i="43"/>
  <c r="AQ5" i="43"/>
  <c r="AQ6" i="43"/>
  <c r="AM5" i="43"/>
  <c r="AK13" i="43"/>
  <c r="AM10" i="43"/>
  <c r="AK12" i="43"/>
  <c r="AQ11" i="43"/>
  <c r="AQ10" i="43"/>
  <c r="AM11" i="43"/>
  <c r="W7" i="43"/>
  <c r="W6" i="43"/>
  <c r="Y5" i="43"/>
  <c r="AC5" i="43"/>
  <c r="Y4" i="43"/>
  <c r="AC4" i="43"/>
  <c r="Y15" i="43"/>
  <c r="W15" i="43"/>
  <c r="Y16" i="43"/>
  <c r="AC15" i="43"/>
  <c r="AC16" i="43"/>
  <c r="AO5" i="43"/>
  <c r="AO6" i="43"/>
  <c r="AK3" i="43"/>
  <c r="AN13" i="43"/>
  <c r="AQ15" i="43"/>
  <c r="AM15" i="43"/>
  <c r="AQ16" i="43"/>
  <c r="AM16" i="43"/>
  <c r="S2" i="45"/>
  <c r="AA4" i="45" s="1"/>
  <c r="AO16" i="45"/>
  <c r="AO15" i="45"/>
  <c r="Z11" i="59"/>
  <c r="AD12" i="59" s="1"/>
  <c r="W4" i="59"/>
  <c r="AF29" i="59"/>
  <c r="AF30" i="59"/>
  <c r="W3" i="59"/>
  <c r="AG5" i="45"/>
  <c r="AG3" i="45"/>
  <c r="AG4" i="45"/>
  <c r="L22" i="59"/>
  <c r="L15" i="59"/>
  <c r="AL3" i="59"/>
  <c r="AL5" i="59"/>
  <c r="AL4" i="59"/>
  <c r="I27" i="45"/>
  <c r="I28" i="45"/>
  <c r="S21" i="45"/>
  <c r="U27" i="45"/>
  <c r="I22" i="45"/>
  <c r="I15" i="45"/>
  <c r="AG8" i="45"/>
  <c r="S20" i="45"/>
  <c r="AL9" i="59"/>
  <c r="AO16" i="59"/>
  <c r="AS16" i="59" s="1"/>
  <c r="S3" i="45"/>
  <c r="U9" i="45"/>
  <c r="S14" i="45"/>
  <c r="S15" i="45"/>
  <c r="S13" i="45"/>
  <c r="W16" i="59"/>
  <c r="W15" i="59"/>
  <c r="AA9" i="45"/>
  <c r="AA10" i="45"/>
  <c r="L28" i="59"/>
  <c r="AF12" i="59"/>
  <c r="AF11" i="59"/>
  <c r="AL8" i="59"/>
  <c r="AA28" i="45"/>
  <c r="AA27" i="45"/>
  <c r="AU17" i="59"/>
  <c r="AU16" i="59"/>
  <c r="W21" i="59"/>
  <c r="Z29" i="59"/>
  <c r="W22" i="59"/>
  <c r="AG9" i="45"/>
  <c r="AI15" i="45"/>
  <c r="AR35" i="59"/>
  <c r="AR36" i="59"/>
  <c r="W14" i="59"/>
  <c r="AC9" i="47"/>
  <c r="Y9" i="47"/>
  <c r="AC10" i="47"/>
  <c r="Z7" i="47"/>
  <c r="Y10" i="47"/>
  <c r="AG10" i="47"/>
  <c r="AO10" i="47"/>
  <c r="AO11" i="47"/>
  <c r="AQ15" i="47"/>
  <c r="AQ16" i="47"/>
  <c r="AM15" i="47"/>
  <c r="AM16" i="47"/>
  <c r="AN13" i="47"/>
  <c r="AA23" i="47"/>
  <c r="AA22" i="47"/>
  <c r="S22" i="47"/>
  <c r="AK13" i="47"/>
  <c r="AQ10" i="47"/>
  <c r="AK12" i="47"/>
  <c r="AM10" i="47"/>
  <c r="AQ11" i="47"/>
  <c r="AM11" i="47"/>
  <c r="W14" i="47"/>
  <c r="AM6" i="47"/>
  <c r="AQ5" i="47"/>
  <c r="AK5" i="47"/>
  <c r="AM5" i="47"/>
  <c r="AQ6" i="47"/>
  <c r="S4" i="47"/>
  <c r="AA4" i="47"/>
  <c r="AA5" i="47"/>
  <c r="M23" i="47"/>
  <c r="M22" i="47"/>
  <c r="AC27" i="47"/>
  <c r="AC28" i="47"/>
  <c r="Y27" i="47"/>
  <c r="Y28" i="47"/>
  <c r="Z25" i="47"/>
  <c r="Y15" i="47"/>
  <c r="AC16" i="47"/>
  <c r="Y16" i="47"/>
  <c r="AC15" i="47"/>
  <c r="W15" i="47"/>
  <c r="AC4" i="47"/>
  <c r="W6" i="47"/>
  <c r="Y4" i="47"/>
  <c r="AC5" i="47"/>
  <c r="W7" i="47"/>
  <c r="Y5" i="47"/>
  <c r="AO5" i="47"/>
  <c r="AO6" i="47"/>
  <c r="AK3" i="47"/>
  <c r="O15" i="47"/>
  <c r="M19" i="47"/>
  <c r="O16" i="47"/>
  <c r="M18" i="47"/>
  <c r="AC22" i="47"/>
  <c r="AC23" i="47"/>
  <c r="Y22" i="47"/>
  <c r="Y23" i="47"/>
  <c r="W25" i="47"/>
  <c r="W24" i="47"/>
  <c r="W13" i="47"/>
  <c r="AA15" i="47"/>
  <c r="AA16" i="47"/>
  <c r="P26" i="33"/>
  <c r="P28" i="33" s="1"/>
  <c r="AO11" i="48"/>
  <c r="AO10" i="48"/>
  <c r="AA15" i="48"/>
  <c r="AA16" i="48"/>
  <c r="W13" i="48"/>
  <c r="AK3" i="48"/>
  <c r="AO6" i="48"/>
  <c r="AO5" i="48"/>
  <c r="M27" i="48"/>
  <c r="AA22" i="48"/>
  <c r="AA23" i="48"/>
  <c r="S22" i="48"/>
  <c r="AK4" i="48"/>
  <c r="Y15" i="48"/>
  <c r="W15" i="48"/>
  <c r="AC16" i="48"/>
  <c r="AC15" i="48"/>
  <c r="Y16" i="48"/>
  <c r="AM6" i="48"/>
  <c r="AQ5" i="48"/>
  <c r="AK5" i="48"/>
  <c r="AM5" i="48"/>
  <c r="AQ6" i="48"/>
  <c r="O27" i="48"/>
  <c r="O28" i="48"/>
  <c r="M28" i="48"/>
  <c r="M23" i="48"/>
  <c r="M22" i="48"/>
  <c r="AC9" i="48"/>
  <c r="Y9" i="48"/>
  <c r="AC10" i="48"/>
  <c r="Z7" i="48"/>
  <c r="Y10" i="48"/>
  <c r="AC22" i="48"/>
  <c r="AC23" i="48"/>
  <c r="Y22" i="48"/>
  <c r="Y23" i="48"/>
  <c r="W25" i="48"/>
  <c r="W24" i="48"/>
  <c r="W14" i="48"/>
  <c r="AQ11" i="48"/>
  <c r="AM11" i="48"/>
  <c r="AG10" i="48"/>
  <c r="AK13" i="48"/>
  <c r="AQ10" i="48"/>
  <c r="AK12" i="48"/>
  <c r="AM10" i="48"/>
  <c r="M18" i="48"/>
  <c r="M19" i="48"/>
  <c r="O15" i="48"/>
  <c r="O16" i="48"/>
  <c r="AC5" i="48"/>
  <c r="W7" i="48"/>
  <c r="Y5" i="48"/>
  <c r="AC4" i="48"/>
  <c r="W6" i="48"/>
  <c r="Y4" i="48"/>
  <c r="AA4" i="48"/>
  <c r="S4" i="48"/>
  <c r="AA5" i="48"/>
  <c r="AC27" i="48"/>
  <c r="AC28" i="48"/>
  <c r="Y27" i="48"/>
  <c r="Y28" i="48"/>
  <c r="Z25" i="48"/>
  <c r="AQ15" i="48"/>
  <c r="AM16" i="48"/>
  <c r="AM15" i="48"/>
  <c r="AN13" i="48"/>
  <c r="AQ16" i="48"/>
  <c r="N21" i="48"/>
  <c r="AA5" i="27"/>
  <c r="AA4" i="27"/>
  <c r="AQ5" i="27"/>
  <c r="AM5" i="27"/>
  <c r="AQ6" i="27"/>
  <c r="AM6" i="27"/>
  <c r="AK5" i="27"/>
  <c r="AM15" i="27"/>
  <c r="AN13" i="27"/>
  <c r="AQ16" i="27"/>
  <c r="AQ15" i="27"/>
  <c r="AM16" i="27"/>
  <c r="AO11" i="27"/>
  <c r="AO10" i="27"/>
  <c r="AG10" i="27"/>
  <c r="N28" i="28"/>
  <c r="O16" i="27"/>
  <c r="M18" i="27"/>
  <c r="M19" i="27"/>
  <c r="O15" i="27"/>
  <c r="S22" i="27"/>
  <c r="AC23" i="27"/>
  <c r="Y22" i="27"/>
  <c r="Y23" i="27"/>
  <c r="W25" i="27"/>
  <c r="W24" i="27"/>
  <c r="AC22" i="27"/>
  <c r="AK13" i="27"/>
  <c r="AQ10" i="27"/>
  <c r="AK12" i="27"/>
  <c r="AM10" i="27"/>
  <c r="AQ11" i="27"/>
  <c r="AM11" i="27"/>
  <c r="AA16" i="27"/>
  <c r="W13" i="27"/>
  <c r="AA15" i="27"/>
  <c r="M22" i="27"/>
  <c r="N21" i="27"/>
  <c r="M23" i="27"/>
  <c r="Y27" i="27"/>
  <c r="Z25" i="27"/>
  <c r="AC28" i="27"/>
  <c r="AC27" i="27"/>
  <c r="Y28" i="27"/>
  <c r="AA23" i="27"/>
  <c r="AA22" i="27"/>
  <c r="Y10" i="27"/>
  <c r="AC9" i="27"/>
  <c r="Y9" i="27"/>
  <c r="AC10" i="27"/>
  <c r="Z7" i="27"/>
  <c r="AC16" i="27"/>
  <c r="AC15" i="27"/>
  <c r="Y16" i="27"/>
  <c r="Y15" i="27"/>
  <c r="W15" i="27"/>
  <c r="AK4" i="27"/>
  <c r="AO5" i="27"/>
  <c r="AO6" i="27"/>
  <c r="AK3" i="27"/>
  <c r="Y5" i="27"/>
  <c r="AC4" i="27"/>
  <c r="W6" i="27"/>
  <c r="Y4" i="27"/>
  <c r="S4" i="27"/>
  <c r="AC5" i="27"/>
  <c r="W7" i="27"/>
  <c r="W14" i="27"/>
  <c r="D9" i="25"/>
  <c r="H9" i="25"/>
  <c r="I9" i="25" s="1"/>
  <c r="V32" i="46"/>
  <c r="T32" i="46"/>
  <c r="AV9" i="25"/>
  <c r="Y8" i="25"/>
  <c r="AE10" i="61"/>
  <c r="V13" i="68" s="1"/>
  <c r="AP10" i="25"/>
  <c r="B10" i="25"/>
  <c r="C4" i="44"/>
  <c r="D37" i="45"/>
  <c r="F37" i="45" s="1"/>
  <c r="H37" i="45" s="1"/>
  <c r="AE33" i="45"/>
  <c r="AG33" i="45" s="1"/>
  <c r="R32" i="45"/>
  <c r="H50" i="50"/>
  <c r="AI40" i="49"/>
  <c r="F50" i="50"/>
  <c r="AG50" i="50"/>
  <c r="AG45" i="49"/>
  <c r="R47" i="47"/>
  <c r="D52" i="47"/>
  <c r="F52" i="47" s="1"/>
  <c r="R39" i="49"/>
  <c r="V39" i="49" s="1"/>
  <c r="V40" i="49" s="1"/>
  <c r="D53" i="49"/>
  <c r="F53" i="49" s="1"/>
  <c r="D62" i="50"/>
  <c r="F62" i="50" s="1"/>
  <c r="R49" i="50"/>
  <c r="AE50" i="50"/>
  <c r="AI49" i="50" s="1"/>
  <c r="I16" i="50"/>
  <c r="J16" i="50" s="1"/>
  <c r="N16" i="50" s="1"/>
  <c r="AE45" i="49"/>
  <c r="AI44" i="49" s="1"/>
  <c r="AN16" i="38"/>
  <c r="AR16" i="38" s="1"/>
  <c r="AN16" i="33"/>
  <c r="AR16" i="33" s="1"/>
  <c r="N23" i="40"/>
  <c r="Z28" i="36"/>
  <c r="AD28" i="36" s="1"/>
  <c r="N28" i="27"/>
  <c r="N23" i="32"/>
  <c r="N28" i="37"/>
  <c r="Z10" i="39"/>
  <c r="AD10" i="39" s="1"/>
  <c r="Z23" i="35"/>
  <c r="AD23" i="35" s="1"/>
  <c r="X25" i="35" s="1"/>
  <c r="Z10" i="36"/>
  <c r="AD10" i="36" s="1"/>
  <c r="Z28" i="39"/>
  <c r="AD28" i="39" s="1"/>
  <c r="AN16" i="34"/>
  <c r="AR16" i="34" s="1"/>
  <c r="Z28" i="37"/>
  <c r="AD28" i="37" s="1"/>
  <c r="Z28" i="32"/>
  <c r="Z28" i="35"/>
  <c r="AD28" i="35" s="1"/>
  <c r="N28" i="38"/>
  <c r="X40" i="50"/>
  <c r="Z10" i="34"/>
  <c r="AD10" i="34" s="1"/>
  <c r="N28" i="42"/>
  <c r="N23" i="35"/>
  <c r="J37" i="48"/>
  <c r="X14" i="31"/>
  <c r="Z10" i="32"/>
  <c r="AN11" i="37"/>
  <c r="AR11" i="37" s="1"/>
  <c r="AL13" i="37" s="1"/>
  <c r="AN16" i="32"/>
  <c r="N28" i="29"/>
  <c r="N23" i="39"/>
  <c r="S20" i="50"/>
  <c r="AA22" i="50" s="1"/>
  <c r="Z10" i="37"/>
  <c r="AD10" i="37" s="1"/>
  <c r="N28" i="30"/>
  <c r="N28" i="44"/>
  <c r="N28" i="31"/>
  <c r="N23" i="37"/>
  <c r="N23" i="33"/>
  <c r="AR34" i="49"/>
  <c r="AT34" i="49" s="1"/>
  <c r="D5" i="49" s="1"/>
  <c r="AR35" i="49"/>
  <c r="AT35" i="49" s="1"/>
  <c r="E5" i="49" s="1"/>
  <c r="N23" i="38"/>
  <c r="N23" i="36"/>
  <c r="P87" i="35"/>
  <c r="O88" i="35"/>
  <c r="AL79" i="41"/>
  <c r="AH79" i="41"/>
  <c r="AL80" i="41"/>
  <c r="AH80" i="41"/>
  <c r="AI77" i="41"/>
  <c r="A96" i="36"/>
  <c r="A92" i="36"/>
  <c r="B91" i="36"/>
  <c r="AG34" i="47"/>
  <c r="AG35" i="47" s="1"/>
  <c r="AE35" i="47"/>
  <c r="AI34" i="47" s="1"/>
  <c r="AM34" i="47" s="1"/>
  <c r="AS34" i="47" s="1"/>
  <c r="A89" i="28"/>
  <c r="B88" i="28"/>
  <c r="AC89" i="45"/>
  <c r="AD89" i="45" s="1"/>
  <c r="AD88" i="45"/>
  <c r="AC93" i="45"/>
  <c r="M75" i="47"/>
  <c r="I75" i="47"/>
  <c r="G74" i="47"/>
  <c r="M74" i="47"/>
  <c r="I74" i="47"/>
  <c r="AL9" i="31"/>
  <c r="AJ9" i="31"/>
  <c r="A84" i="45"/>
  <c r="B83" i="45"/>
  <c r="A90" i="59"/>
  <c r="B90" i="59" s="1"/>
  <c r="B89" i="59"/>
  <c r="B96" i="42"/>
  <c r="A101" i="42"/>
  <c r="A97" i="42"/>
  <c r="B96" i="50"/>
  <c r="A101" i="50"/>
  <c r="A97" i="50"/>
  <c r="AP69" i="40"/>
  <c r="Y70" i="47"/>
  <c r="Y69" i="47"/>
  <c r="Q67" i="37"/>
  <c r="Q69" i="37"/>
  <c r="P111" i="32"/>
  <c r="O116" i="32"/>
  <c r="O112" i="32"/>
  <c r="AL95" i="59"/>
  <c r="AL96" i="59"/>
  <c r="Q74" i="42"/>
  <c r="Q72" i="42"/>
  <c r="X13" i="35"/>
  <c r="X16" i="35" s="1"/>
  <c r="V16" i="35"/>
  <c r="Z15" i="35" s="1"/>
  <c r="AD15" i="35" s="1"/>
  <c r="AV7" i="23"/>
  <c r="M70" i="46"/>
  <c r="I70" i="46"/>
  <c r="G69" i="46"/>
  <c r="M69" i="46"/>
  <c r="I69" i="46"/>
  <c r="AJ80" i="47"/>
  <c r="AJ79" i="47"/>
  <c r="AC89" i="50"/>
  <c r="AD89" i="50" s="1"/>
  <c r="AD88" i="50"/>
  <c r="AC93" i="50"/>
  <c r="C74" i="39"/>
  <c r="C73" i="39"/>
  <c r="V22" i="34"/>
  <c r="X22" i="34"/>
  <c r="Z4" i="33"/>
  <c r="AD4" i="33" s="1"/>
  <c r="AL85" i="27"/>
  <c r="AH85" i="27"/>
  <c r="AI82" i="27"/>
  <c r="AL84" i="27"/>
  <c r="AH84" i="27"/>
  <c r="B96" i="32"/>
  <c r="A97" i="32"/>
  <c r="A101" i="32"/>
  <c r="M74" i="33"/>
  <c r="I74" i="33"/>
  <c r="M75" i="33"/>
  <c r="I75" i="33"/>
  <c r="G74" i="33"/>
  <c r="K64" i="46"/>
  <c r="G62" i="46"/>
  <c r="K65" i="46"/>
  <c r="B104" i="59"/>
  <c r="A105" i="59"/>
  <c r="A110" i="59"/>
  <c r="A80" i="37"/>
  <c r="B80" i="37" s="1"/>
  <c r="B79" i="37"/>
  <c r="O83" i="45"/>
  <c r="P82" i="45"/>
  <c r="P15" i="38"/>
  <c r="Z10" i="33"/>
  <c r="AD10" i="33" s="1"/>
  <c r="G73" i="42"/>
  <c r="C72" i="42"/>
  <c r="C72" i="35"/>
  <c r="G73" i="35"/>
  <c r="AJ10" i="38"/>
  <c r="AL10" i="38"/>
  <c r="AJ6" i="38"/>
  <c r="AN5" i="38" s="1"/>
  <c r="AR5" i="38" s="1"/>
  <c r="AL3" i="38"/>
  <c r="AL6" i="38" s="1"/>
  <c r="AN6" i="38" s="1"/>
  <c r="AR6" i="38" s="1"/>
  <c r="AN11" i="40"/>
  <c r="AR11" i="40" s="1"/>
  <c r="AL13" i="40" s="1"/>
  <c r="K69" i="47"/>
  <c r="G67" i="47"/>
  <c r="K70" i="47"/>
  <c r="B92" i="35"/>
  <c r="A93" i="35"/>
  <c r="B96" i="40"/>
  <c r="A101" i="40"/>
  <c r="A97" i="40"/>
  <c r="O80" i="38"/>
  <c r="P80" i="38" s="1"/>
  <c r="P79" i="38"/>
  <c r="A89" i="42"/>
  <c r="B88" i="42"/>
  <c r="Y70" i="36"/>
  <c r="Y69" i="36"/>
  <c r="M75" i="40"/>
  <c r="I75" i="40"/>
  <c r="G74" i="40"/>
  <c r="M74" i="40"/>
  <c r="I74" i="40"/>
  <c r="AG9" i="50"/>
  <c r="AI15" i="50"/>
  <c r="S3" i="50"/>
  <c r="U9" i="50"/>
  <c r="Q72" i="35"/>
  <c r="Q74" i="35"/>
  <c r="P87" i="30"/>
  <c r="O88" i="30"/>
  <c r="AJ80" i="35"/>
  <c r="AJ79" i="35"/>
  <c r="O83" i="31"/>
  <c r="P82" i="31"/>
  <c r="AJ84" i="42"/>
  <c r="AJ85" i="42"/>
  <c r="G4" i="22"/>
  <c r="V20" i="31"/>
  <c r="X20" i="31"/>
  <c r="L27" i="37"/>
  <c r="P26" i="37"/>
  <c r="N27" i="35"/>
  <c r="L29" i="35"/>
  <c r="P27" i="35" s="1"/>
  <c r="X67" i="30"/>
  <c r="AA75" i="33"/>
  <c r="AO75" i="33" s="1"/>
  <c r="AP75" i="33" s="1"/>
  <c r="W75" i="33"/>
  <c r="AA74" i="33"/>
  <c r="AO74" i="33" s="1"/>
  <c r="W74" i="33"/>
  <c r="AL85" i="26"/>
  <c r="AH85" i="26"/>
  <c r="AI82" i="26"/>
  <c r="AL84" i="26"/>
  <c r="AH84" i="26"/>
  <c r="B91" i="26"/>
  <c r="A96" i="26"/>
  <c r="A92" i="26"/>
  <c r="V38" i="48"/>
  <c r="T38" i="48"/>
  <c r="X62" i="44"/>
  <c r="A80" i="48"/>
  <c r="B80" i="48" s="1"/>
  <c r="B79" i="48"/>
  <c r="AI45" i="50"/>
  <c r="H57" i="50"/>
  <c r="C79" i="27"/>
  <c r="C78" i="27"/>
  <c r="N27" i="32"/>
  <c r="N29" i="32" s="1"/>
  <c r="L29" i="32"/>
  <c r="P27" i="32" s="1"/>
  <c r="Y65" i="39"/>
  <c r="Y64" i="39"/>
  <c r="C78" i="38"/>
  <c r="C79" i="38"/>
  <c r="H42" i="48"/>
  <c r="X67" i="35"/>
  <c r="O80" i="41"/>
  <c r="P80" i="41" s="1"/>
  <c r="P79" i="41"/>
  <c r="Z22" i="33"/>
  <c r="AD22" i="33" s="1"/>
  <c r="G73" i="32"/>
  <c r="C72" i="32"/>
  <c r="AA80" i="48"/>
  <c r="AO80" i="48" s="1"/>
  <c r="W80" i="48"/>
  <c r="AA79" i="48"/>
  <c r="AO79" i="48" s="1"/>
  <c r="W79" i="48"/>
  <c r="X62" i="49"/>
  <c r="C79" i="31"/>
  <c r="C78" i="31"/>
  <c r="P74" i="45"/>
  <c r="O75" i="45"/>
  <c r="P75" i="45" s="1"/>
  <c r="AL85" i="39"/>
  <c r="AH85" i="39"/>
  <c r="AI82" i="39"/>
  <c r="AL84" i="39"/>
  <c r="AH84" i="39"/>
  <c r="O80" i="29"/>
  <c r="P80" i="29" s="1"/>
  <c r="P79" i="29"/>
  <c r="P87" i="41"/>
  <c r="O88" i="41"/>
  <c r="H5" i="21"/>
  <c r="I5" i="21" s="1"/>
  <c r="D5" i="21"/>
  <c r="F5" i="21" s="1"/>
  <c r="G5" i="21" s="1"/>
  <c r="V44" i="50"/>
  <c r="V45" i="50" s="1"/>
  <c r="T44" i="50"/>
  <c r="T45" i="50" s="1"/>
  <c r="X44" i="50" s="1"/>
  <c r="B96" i="41"/>
  <c r="A101" i="41"/>
  <c r="A97" i="41"/>
  <c r="G76" i="59"/>
  <c r="C75" i="59"/>
  <c r="AJ84" i="30"/>
  <c r="AJ85" i="30"/>
  <c r="P86" i="28"/>
  <c r="O91" i="28"/>
  <c r="O87" i="28"/>
  <c r="M70" i="43"/>
  <c r="I69" i="43"/>
  <c r="I70" i="43"/>
  <c r="G69" i="43"/>
  <c r="M69" i="43"/>
  <c r="Q67" i="28"/>
  <c r="Q69" i="28"/>
  <c r="A80" i="26"/>
  <c r="B80" i="26" s="1"/>
  <c r="B79" i="26"/>
  <c r="L29" i="49"/>
  <c r="P27" i="49" s="1"/>
  <c r="N27" i="49"/>
  <c r="N29" i="49" s="1"/>
  <c r="P28" i="49" s="1"/>
  <c r="S2" i="50"/>
  <c r="G68" i="30"/>
  <c r="C67" i="30"/>
  <c r="AV6" i="22"/>
  <c r="A85" i="44"/>
  <c r="B85" i="44" s="1"/>
  <c r="B84" i="44"/>
  <c r="O92" i="48"/>
  <c r="P91" i="48"/>
  <c r="O96" i="48"/>
  <c r="X13" i="38"/>
  <c r="X16" i="38" s="1"/>
  <c r="Z16" i="38" s="1"/>
  <c r="AD16" i="38" s="1"/>
  <c r="V16" i="38"/>
  <c r="Z15" i="38" s="1"/>
  <c r="AD15" i="38" s="1"/>
  <c r="M69" i="39"/>
  <c r="I69" i="39"/>
  <c r="M70" i="39"/>
  <c r="I70" i="39"/>
  <c r="G69" i="39"/>
  <c r="A89" i="38"/>
  <c r="B88" i="38"/>
  <c r="B92" i="47"/>
  <c r="A93" i="47"/>
  <c r="AC109" i="46"/>
  <c r="AD109" i="46" s="1"/>
  <c r="AD108" i="46"/>
  <c r="AC113" i="46"/>
  <c r="Q67" i="45"/>
  <c r="Q69" i="45"/>
  <c r="L27" i="27"/>
  <c r="P26" i="27"/>
  <c r="G67" i="32"/>
  <c r="K69" i="32"/>
  <c r="K70" i="32"/>
  <c r="AA75" i="37"/>
  <c r="AO75" i="37" s="1"/>
  <c r="AP75" i="37" s="1"/>
  <c r="W75" i="37"/>
  <c r="AA74" i="37"/>
  <c r="AO74" i="37" s="1"/>
  <c r="AP74" i="37" s="1"/>
  <c r="W74" i="37"/>
  <c r="C74" i="30"/>
  <c r="C73" i="30"/>
  <c r="AJ84" i="48"/>
  <c r="AJ85" i="48"/>
  <c r="X62" i="27"/>
  <c r="C72" i="38"/>
  <c r="G73" i="38"/>
  <c r="Z4" i="34"/>
  <c r="AD4" i="34" s="1"/>
  <c r="C72" i="41"/>
  <c r="G73" i="41"/>
  <c r="AC93" i="32"/>
  <c r="AC89" i="32"/>
  <c r="AD89" i="32" s="1"/>
  <c r="AD88" i="32"/>
  <c r="AJ85" i="37"/>
  <c r="AJ84" i="37"/>
  <c r="O87" i="43"/>
  <c r="P86" i="43"/>
  <c r="O91" i="43"/>
  <c r="X62" i="34"/>
  <c r="X62" i="28"/>
  <c r="P87" i="26"/>
  <c r="O88" i="26"/>
  <c r="O87" i="33"/>
  <c r="P86" i="33"/>
  <c r="O91" i="33"/>
  <c r="AC99" i="40"/>
  <c r="AD99" i="40" s="1"/>
  <c r="AD98" i="40"/>
  <c r="AC103" i="40"/>
  <c r="Y70" i="38"/>
  <c r="Y69" i="38"/>
  <c r="L29" i="46"/>
  <c r="N27" i="46"/>
  <c r="N29" i="46" s="1"/>
  <c r="O75" i="27"/>
  <c r="P75" i="27" s="1"/>
  <c r="P74" i="27"/>
  <c r="AF9" i="61"/>
  <c r="W12" i="68" s="1"/>
  <c r="AP9" i="24"/>
  <c r="Y8" i="24" s="1"/>
  <c r="X7" i="24" s="1"/>
  <c r="B9" i="24"/>
  <c r="C5" i="45"/>
  <c r="B96" i="28"/>
  <c r="A101" i="28"/>
  <c r="A97" i="28"/>
  <c r="H4" i="20"/>
  <c r="I4" i="20" s="1"/>
  <c r="D4" i="20"/>
  <c r="A85" i="32"/>
  <c r="B85" i="32" s="1"/>
  <c r="B84" i="32"/>
  <c r="C82" i="59"/>
  <c r="C83" i="59"/>
  <c r="AC84" i="29"/>
  <c r="AD84" i="29" s="1"/>
  <c r="AD83" i="29"/>
  <c r="AC88" i="29"/>
  <c r="P86" i="34"/>
  <c r="O91" i="34"/>
  <c r="O87" i="34"/>
  <c r="P15" i="32"/>
  <c r="P16" i="32" s="1"/>
  <c r="Y70" i="48"/>
  <c r="Y69" i="48"/>
  <c r="AA10" i="50"/>
  <c r="AA9" i="50"/>
  <c r="P86" i="46"/>
  <c r="O91" i="46"/>
  <c r="O87" i="46"/>
  <c r="A89" i="33"/>
  <c r="B88" i="33"/>
  <c r="X62" i="45"/>
  <c r="AJ6" i="37"/>
  <c r="AN5" i="37" s="1"/>
  <c r="AR5" i="37" s="1"/>
  <c r="AL3" i="37"/>
  <c r="AL6" i="37" s="1"/>
  <c r="AN6" i="37" s="1"/>
  <c r="AR6" i="37" s="1"/>
  <c r="P78" i="31"/>
  <c r="Q78" i="31" s="1"/>
  <c r="O79" i="31"/>
  <c r="AJ84" i="33"/>
  <c r="AJ85" i="33"/>
  <c r="F48" i="49"/>
  <c r="M74" i="44"/>
  <c r="I74" i="44"/>
  <c r="M75" i="44"/>
  <c r="I75" i="44"/>
  <c r="G74" i="44"/>
  <c r="Z22" i="37"/>
  <c r="AD22" i="37" s="1"/>
  <c r="V4" i="40"/>
  <c r="X4" i="40"/>
  <c r="M70" i="26"/>
  <c r="I70" i="26"/>
  <c r="G69" i="26"/>
  <c r="I69" i="26"/>
  <c r="M69" i="26"/>
  <c r="O79" i="40"/>
  <c r="P78" i="40"/>
  <c r="Q78" i="40" s="1"/>
  <c r="AJ85" i="28"/>
  <c r="AJ84" i="28"/>
  <c r="AP74" i="26"/>
  <c r="C74" i="37"/>
  <c r="C73" i="37"/>
  <c r="P83" i="36"/>
  <c r="Q83" i="36" s="1"/>
  <c r="O84" i="36"/>
  <c r="AN16" i="35"/>
  <c r="AR16" i="35" s="1"/>
  <c r="Z4" i="39"/>
  <c r="AD4" i="39" s="1"/>
  <c r="A89" i="44"/>
  <c r="B88" i="44"/>
  <c r="P79" i="47"/>
  <c r="O80" i="47"/>
  <c r="P80" i="47" s="1"/>
  <c r="G62" i="30"/>
  <c r="K65" i="30"/>
  <c r="K64" i="30"/>
  <c r="C79" i="40"/>
  <c r="C78" i="40"/>
  <c r="AJ10" i="35"/>
  <c r="AL10" i="35"/>
  <c r="AE40" i="48"/>
  <c r="AI39" i="48" s="1"/>
  <c r="AL5" i="31"/>
  <c r="A80" i="45"/>
  <c r="B80" i="45" s="1"/>
  <c r="B79" i="45"/>
  <c r="AL4" i="31"/>
  <c r="AJ79" i="44"/>
  <c r="AJ80" i="44"/>
  <c r="F42" i="47"/>
  <c r="AJ85" i="45"/>
  <c r="AJ84" i="45"/>
  <c r="B92" i="29"/>
  <c r="A93" i="29"/>
  <c r="AJ6" i="40"/>
  <c r="AN5" i="40" s="1"/>
  <c r="AR5" i="40" s="1"/>
  <c r="AL3" i="40"/>
  <c r="AL6" i="40" s="1"/>
  <c r="AN6" i="40" s="1"/>
  <c r="AR6" i="40" s="1"/>
  <c r="AN96" i="59"/>
  <c r="AJ96" i="59"/>
  <c r="AK93" i="59"/>
  <c r="AN95" i="59"/>
  <c r="AJ95" i="59"/>
  <c r="Q69" i="49"/>
  <c r="Q67" i="49"/>
  <c r="AG8" i="61"/>
  <c r="X11" i="68" s="1"/>
  <c r="AP8" i="23"/>
  <c r="C6" i="46"/>
  <c r="B8" i="23"/>
  <c r="X62" i="50"/>
  <c r="A80" i="36"/>
  <c r="B80" i="36" s="1"/>
  <c r="B79" i="36"/>
  <c r="B92" i="32"/>
  <c r="A93" i="32"/>
  <c r="B99" i="59"/>
  <c r="A100" i="59"/>
  <c r="P83" i="26"/>
  <c r="Q83" i="26" s="1"/>
  <c r="O84" i="26"/>
  <c r="P15" i="33"/>
  <c r="P16" i="33" s="1"/>
  <c r="M74" i="42"/>
  <c r="I74" i="42"/>
  <c r="M75" i="42"/>
  <c r="I75" i="42"/>
  <c r="G74" i="42"/>
  <c r="AA7" i="24"/>
  <c r="AG7" i="24" s="1"/>
  <c r="AA4" i="21"/>
  <c r="B96" i="35"/>
  <c r="A101" i="35"/>
  <c r="A97" i="35"/>
  <c r="AP69" i="37"/>
  <c r="L27" i="39"/>
  <c r="P26" i="39"/>
  <c r="F47" i="48"/>
  <c r="Q72" i="47"/>
  <c r="Q74" i="47"/>
  <c r="G62" i="48"/>
  <c r="K65" i="48"/>
  <c r="K64" i="48"/>
  <c r="L27" i="44"/>
  <c r="P26" i="44"/>
  <c r="AC89" i="36"/>
  <c r="AD89" i="36" s="1"/>
  <c r="AD88" i="36"/>
  <c r="AC93" i="36"/>
  <c r="P15" i="35"/>
  <c r="P16" i="35" s="1"/>
  <c r="AC84" i="38"/>
  <c r="AD84" i="38" s="1"/>
  <c r="AD83" i="38"/>
  <c r="AC88" i="38"/>
  <c r="X62" i="39"/>
  <c r="O80" i="30"/>
  <c r="P80" i="30" s="1"/>
  <c r="P79" i="30"/>
  <c r="X62" i="46"/>
  <c r="Y70" i="35"/>
  <c r="Y69" i="35"/>
  <c r="P78" i="43"/>
  <c r="Q78" i="43" s="1"/>
  <c r="O79" i="43"/>
  <c r="O92" i="42"/>
  <c r="P91" i="42"/>
  <c r="O96" i="42"/>
  <c r="X22" i="33"/>
  <c r="V22" i="33"/>
  <c r="A85" i="31"/>
  <c r="B85" i="31" s="1"/>
  <c r="B84" i="31"/>
  <c r="O75" i="49"/>
  <c r="P75" i="49" s="1"/>
  <c r="P74" i="49"/>
  <c r="M75" i="32"/>
  <c r="I75" i="32"/>
  <c r="G74" i="32"/>
  <c r="I74" i="32"/>
  <c r="M74" i="32"/>
  <c r="AJ3" i="31"/>
  <c r="AN3" i="31"/>
  <c r="AA75" i="34"/>
  <c r="AO75" i="34" s="1"/>
  <c r="AP75" i="34" s="1"/>
  <c r="W75" i="34"/>
  <c r="AA74" i="34"/>
  <c r="AO74" i="34" s="1"/>
  <c r="W74" i="34"/>
  <c r="AJ6" i="32"/>
  <c r="AN5" i="32" s="1"/>
  <c r="AR5" i="32" s="1"/>
  <c r="AL3" i="32"/>
  <c r="AL6" i="32" s="1"/>
  <c r="AN6" i="32" s="1"/>
  <c r="AR6" i="32" s="1"/>
  <c r="AN10" i="32"/>
  <c r="AR10" i="32" s="1"/>
  <c r="AC93" i="39"/>
  <c r="AC89" i="39"/>
  <c r="AD89" i="39" s="1"/>
  <c r="AD88" i="39"/>
  <c r="A85" i="50"/>
  <c r="B85" i="50" s="1"/>
  <c r="B84" i="50"/>
  <c r="A89" i="34"/>
  <c r="B88" i="34"/>
  <c r="AA75" i="46"/>
  <c r="AO75" i="46" s="1"/>
  <c r="W75" i="46"/>
  <c r="AA74" i="46"/>
  <c r="AO74" i="46" s="1"/>
  <c r="W74" i="46"/>
  <c r="L27" i="40"/>
  <c r="P26" i="40"/>
  <c r="V52" i="50"/>
  <c r="T52" i="50"/>
  <c r="O96" i="41"/>
  <c r="O92" i="41"/>
  <c r="P91" i="41"/>
  <c r="AV5" i="21"/>
  <c r="AG53" i="50"/>
  <c r="A85" i="29"/>
  <c r="B85" i="29" s="1"/>
  <c r="B84" i="29"/>
  <c r="Y70" i="42"/>
  <c r="Y69" i="42"/>
  <c r="AC89" i="34"/>
  <c r="AD89" i="34" s="1"/>
  <c r="AD88" i="34"/>
  <c r="AC93" i="34"/>
  <c r="M78" i="59"/>
  <c r="G77" i="59"/>
  <c r="M77" i="59"/>
  <c r="AL85" i="30"/>
  <c r="AH85" i="30"/>
  <c r="AI82" i="30"/>
  <c r="AL84" i="30"/>
  <c r="AH84" i="30"/>
  <c r="A89" i="35"/>
  <c r="B88" i="35"/>
  <c r="AA75" i="40"/>
  <c r="AO75" i="40" s="1"/>
  <c r="AP75" i="40" s="1"/>
  <c r="W75" i="40"/>
  <c r="AA74" i="40"/>
  <c r="AO74" i="40" s="1"/>
  <c r="W74" i="40"/>
  <c r="U27" i="50"/>
  <c r="S21" i="50"/>
  <c r="AP74" i="35"/>
  <c r="O87" i="39"/>
  <c r="P86" i="39"/>
  <c r="O91" i="39"/>
  <c r="J45" i="50"/>
  <c r="J44" i="50"/>
  <c r="M69" i="30"/>
  <c r="I69" i="30"/>
  <c r="M70" i="30"/>
  <c r="I70" i="30"/>
  <c r="G69" i="30"/>
  <c r="X21" i="31"/>
  <c r="V21" i="31"/>
  <c r="R43" i="48"/>
  <c r="AE44" i="48"/>
  <c r="AG44" i="48" s="1"/>
  <c r="AE48" i="48"/>
  <c r="D44" i="48"/>
  <c r="F44" i="48" s="1"/>
  <c r="H44" i="48" s="1"/>
  <c r="D48" i="48"/>
  <c r="F48" i="48" s="1"/>
  <c r="H48" i="48" s="1"/>
  <c r="X67" i="26"/>
  <c r="P78" i="49"/>
  <c r="Q78" i="49" s="1"/>
  <c r="O79" i="49"/>
  <c r="K69" i="40"/>
  <c r="G67" i="40"/>
  <c r="K70" i="40"/>
  <c r="B96" i="47"/>
  <c r="A101" i="47"/>
  <c r="A97" i="47"/>
  <c r="O83" i="40"/>
  <c r="P82" i="40"/>
  <c r="AJ105" i="46"/>
  <c r="AJ104" i="46"/>
  <c r="C72" i="49"/>
  <c r="G73" i="49"/>
  <c r="O87" i="27"/>
  <c r="P86" i="27"/>
  <c r="O91" i="27"/>
  <c r="F6" i="23"/>
  <c r="P74" i="37"/>
  <c r="O75" i="37"/>
  <c r="P75" i="37" s="1"/>
  <c r="AL85" i="48"/>
  <c r="AH85" i="48"/>
  <c r="AI82" i="48"/>
  <c r="AL84" i="48"/>
  <c r="AH84" i="48"/>
  <c r="A93" i="44"/>
  <c r="B92" i="44"/>
  <c r="AN10" i="34"/>
  <c r="AR10" i="34" s="1"/>
  <c r="X4" i="34"/>
  <c r="V4" i="34"/>
  <c r="O75" i="31"/>
  <c r="P75" i="31" s="1"/>
  <c r="P74" i="31"/>
  <c r="AI82" i="37"/>
  <c r="AL84" i="37"/>
  <c r="AH84" i="37"/>
  <c r="AL85" i="37"/>
  <c r="AH85" i="37"/>
  <c r="K69" i="28"/>
  <c r="G67" i="28"/>
  <c r="K70" i="28"/>
  <c r="Y65" i="33"/>
  <c r="Y64" i="33"/>
  <c r="A84" i="48"/>
  <c r="B83" i="48"/>
  <c r="Y65" i="34"/>
  <c r="Y64" i="34"/>
  <c r="Y65" i="28"/>
  <c r="Y64" i="28"/>
  <c r="X67" i="41"/>
  <c r="AJ95" i="40"/>
  <c r="AJ94" i="40"/>
  <c r="AJ84" i="49"/>
  <c r="AJ85" i="49"/>
  <c r="V22" i="40"/>
  <c r="X22" i="40"/>
  <c r="AC89" i="31"/>
  <c r="AD89" i="31" s="1"/>
  <c r="AD88" i="31"/>
  <c r="AC93" i="31"/>
  <c r="AA75" i="27"/>
  <c r="AO75" i="27" s="1"/>
  <c r="W75" i="27"/>
  <c r="AA74" i="27"/>
  <c r="AO74" i="27" s="1"/>
  <c r="W74" i="27"/>
  <c r="P99" i="59"/>
  <c r="O100" i="59"/>
  <c r="AV8" i="24"/>
  <c r="O84" i="41"/>
  <c r="P83" i="41"/>
  <c r="Q83" i="41" s="1"/>
  <c r="P74" i="43"/>
  <c r="O75" i="43"/>
  <c r="P75" i="43" s="1"/>
  <c r="AV4" i="20"/>
  <c r="A93" i="31"/>
  <c r="B92" i="31"/>
  <c r="AL3" i="39"/>
  <c r="AL6" i="39" s="1"/>
  <c r="AN6" i="39" s="1"/>
  <c r="AR6" i="39" s="1"/>
  <c r="AJ6" i="39"/>
  <c r="AN5" i="39" s="1"/>
  <c r="AR5" i="39" s="1"/>
  <c r="L27" i="31"/>
  <c r="P26" i="31"/>
  <c r="AJ80" i="29"/>
  <c r="AJ79" i="29"/>
  <c r="O79" i="28"/>
  <c r="P78" i="28"/>
  <c r="Q78" i="28" s="1"/>
  <c r="X67" i="48"/>
  <c r="AG8" i="50"/>
  <c r="C79" i="42"/>
  <c r="C78" i="42"/>
  <c r="C79" i="50"/>
  <c r="C78" i="50"/>
  <c r="Z5" i="37"/>
  <c r="AD5" i="37" s="1"/>
  <c r="X6" i="37" s="1"/>
  <c r="Y65" i="45"/>
  <c r="Y64" i="45"/>
  <c r="C72" i="50"/>
  <c r="G73" i="50"/>
  <c r="AL85" i="33"/>
  <c r="AH85" i="33"/>
  <c r="AI82" i="33"/>
  <c r="AL84" i="33"/>
  <c r="AH84" i="33"/>
  <c r="V43" i="49"/>
  <c r="T43" i="49"/>
  <c r="X13" i="37"/>
  <c r="X16" i="37" s="1"/>
  <c r="Z16" i="37" s="1"/>
  <c r="AD16" i="37" s="1"/>
  <c r="V16" i="37"/>
  <c r="Z15" i="37" s="1"/>
  <c r="AD15" i="37" s="1"/>
  <c r="V22" i="37"/>
  <c r="X22" i="37"/>
  <c r="Z4" i="40"/>
  <c r="AD4" i="40" s="1"/>
  <c r="P87" i="38"/>
  <c r="O88" i="38"/>
  <c r="Q69" i="31"/>
  <c r="Q67" i="31"/>
  <c r="AP74" i="42"/>
  <c r="K69" i="41"/>
  <c r="G67" i="41"/>
  <c r="K70" i="41"/>
  <c r="B87" i="43"/>
  <c r="A88" i="43"/>
  <c r="AI82" i="28"/>
  <c r="AL84" i="28"/>
  <c r="AH84" i="28"/>
  <c r="AL85" i="28"/>
  <c r="AH85" i="28"/>
  <c r="Q69" i="44"/>
  <c r="Q67" i="44"/>
  <c r="N27" i="41"/>
  <c r="N29" i="41" s="1"/>
  <c r="P28" i="41" s="1"/>
  <c r="L29" i="41"/>
  <c r="P27" i="41" s="1"/>
  <c r="X4" i="39"/>
  <c r="V4" i="39"/>
  <c r="AP74" i="41"/>
  <c r="P26" i="42"/>
  <c r="A80" i="43"/>
  <c r="B80" i="43" s="1"/>
  <c r="B79" i="43"/>
  <c r="AA90" i="59"/>
  <c r="AQ90" i="59" s="1"/>
  <c r="AR90" i="59" s="1"/>
  <c r="AA89" i="59"/>
  <c r="AQ89" i="59" s="1"/>
  <c r="AR89" i="59" s="1"/>
  <c r="O79" i="37"/>
  <c r="P78" i="37"/>
  <c r="Q78" i="37" s="1"/>
  <c r="P83" i="42"/>
  <c r="Q83" i="42" s="1"/>
  <c r="O84" i="42"/>
  <c r="C79" i="47"/>
  <c r="C78" i="47"/>
  <c r="C72" i="31"/>
  <c r="G73" i="31"/>
  <c r="AC84" i="44"/>
  <c r="AD84" i="44" s="1"/>
  <c r="AD83" i="44"/>
  <c r="AC88" i="44"/>
  <c r="P26" i="26"/>
  <c r="L27" i="26"/>
  <c r="K70" i="33"/>
  <c r="K69" i="33"/>
  <c r="G67" i="33"/>
  <c r="O96" i="35"/>
  <c r="O92" i="35"/>
  <c r="P91" i="35"/>
  <c r="G62" i="36"/>
  <c r="K65" i="36"/>
  <c r="K64" i="36"/>
  <c r="P91" i="47"/>
  <c r="O92" i="47"/>
  <c r="O96" i="47"/>
  <c r="AG38" i="47"/>
  <c r="B92" i="49"/>
  <c r="A93" i="49"/>
  <c r="B91" i="46"/>
  <c r="A92" i="46"/>
  <c r="A96" i="46"/>
  <c r="P87" i="29"/>
  <c r="O88" i="29"/>
  <c r="C79" i="33"/>
  <c r="C78" i="33"/>
  <c r="P28" i="36"/>
  <c r="AP69" i="33"/>
  <c r="V4" i="33"/>
  <c r="X4" i="33"/>
  <c r="O84" i="35"/>
  <c r="P83" i="35"/>
  <c r="Q83" i="35" s="1"/>
  <c r="AP74" i="36"/>
  <c r="P86" i="45"/>
  <c r="O91" i="45"/>
  <c r="O87" i="45"/>
  <c r="A84" i="37"/>
  <c r="B83" i="37"/>
  <c r="P15" i="37"/>
  <c r="P16" i="37" s="1"/>
  <c r="N27" i="28"/>
  <c r="N29" i="28" s="1"/>
  <c r="P28" i="28" s="1"/>
  <c r="L29" i="28"/>
  <c r="AL79" i="35"/>
  <c r="AH79" i="35"/>
  <c r="AL80" i="35"/>
  <c r="AH80" i="35"/>
  <c r="AI77" i="35"/>
  <c r="AL85" i="42"/>
  <c r="AH85" i="42"/>
  <c r="AI82" i="42"/>
  <c r="AL84" i="42"/>
  <c r="AH84" i="42"/>
  <c r="T22" i="31"/>
  <c r="Z20" i="31"/>
  <c r="P15" i="40"/>
  <c r="P16" i="40" s="1"/>
  <c r="AC93" i="26"/>
  <c r="AC89" i="26"/>
  <c r="AD89" i="26" s="1"/>
  <c r="AD88" i="26"/>
  <c r="X4" i="32"/>
  <c r="X5" i="32" s="1"/>
  <c r="V4" i="32"/>
  <c r="V5" i="32" s="1"/>
  <c r="Z4" i="32" s="1"/>
  <c r="AL80" i="44"/>
  <c r="AH80" i="44"/>
  <c r="AI77" i="44"/>
  <c r="AL79" i="44"/>
  <c r="AH79" i="44"/>
  <c r="N28" i="47"/>
  <c r="A85" i="42"/>
  <c r="B85" i="42" s="1"/>
  <c r="B84" i="42"/>
  <c r="K64" i="45"/>
  <c r="G62" i="45"/>
  <c r="K65" i="45"/>
  <c r="AC84" i="41"/>
  <c r="AD84" i="41" s="1"/>
  <c r="AD83" i="41"/>
  <c r="AC88" i="41"/>
  <c r="O88" i="47"/>
  <c r="P87" i="47"/>
  <c r="A85" i="33"/>
  <c r="B85" i="33" s="1"/>
  <c r="B84" i="33"/>
  <c r="H52" i="48"/>
  <c r="V37" i="47"/>
  <c r="T37" i="47"/>
  <c r="V33" i="47"/>
  <c r="T33" i="47"/>
  <c r="AI82" i="45"/>
  <c r="AL84" i="45"/>
  <c r="AH84" i="45"/>
  <c r="AL85" i="45"/>
  <c r="AH85" i="45"/>
  <c r="A80" i="39"/>
  <c r="B80" i="39" s="1"/>
  <c r="B79" i="39"/>
  <c r="F4" i="21"/>
  <c r="A89" i="31"/>
  <c r="B88" i="31"/>
  <c r="Z28" i="38"/>
  <c r="AD28" i="38" s="1"/>
  <c r="A101" i="49"/>
  <c r="B96" i="49"/>
  <c r="A97" i="49"/>
  <c r="L27" i="30"/>
  <c r="P26" i="30"/>
  <c r="B87" i="46"/>
  <c r="A88" i="46"/>
  <c r="B87" i="37"/>
  <c r="A88" i="37"/>
  <c r="K71" i="59"/>
  <c r="K72" i="59"/>
  <c r="I71" i="59"/>
  <c r="I72" i="59"/>
  <c r="G69" i="59"/>
  <c r="O96" i="29"/>
  <c r="O92" i="29"/>
  <c r="P91" i="29"/>
  <c r="Y90" i="32"/>
  <c r="Y89" i="32"/>
  <c r="K70" i="31"/>
  <c r="K69" i="31"/>
  <c r="G67" i="31"/>
  <c r="P78" i="39"/>
  <c r="Q78" i="39" s="1"/>
  <c r="O79" i="39"/>
  <c r="N28" i="40"/>
  <c r="B91" i="39"/>
  <c r="A96" i="39"/>
  <c r="A92" i="39"/>
  <c r="O80" i="42"/>
  <c r="P80" i="42" s="1"/>
  <c r="P79" i="42"/>
  <c r="Z10" i="38"/>
  <c r="AD10" i="38" s="1"/>
  <c r="AA5" i="22"/>
  <c r="AG5" i="22" s="1"/>
  <c r="B96" i="29"/>
  <c r="A101" i="29"/>
  <c r="A97" i="29"/>
  <c r="O83" i="49"/>
  <c r="P82" i="49"/>
  <c r="M75" i="34"/>
  <c r="I75" i="34"/>
  <c r="G74" i="34"/>
  <c r="M74" i="34"/>
  <c r="I74" i="34"/>
  <c r="P83" i="48"/>
  <c r="Q83" i="48" s="1"/>
  <c r="O84" i="48"/>
  <c r="L29" i="36"/>
  <c r="P27" i="36" s="1"/>
  <c r="N27" i="36"/>
  <c r="A93" i="27"/>
  <c r="B92" i="27"/>
  <c r="O84" i="38"/>
  <c r="P83" i="38"/>
  <c r="Q83" i="38" s="1"/>
  <c r="AC106" i="59"/>
  <c r="AC101" i="59"/>
  <c r="AD101" i="59" s="1"/>
  <c r="AD100" i="59"/>
  <c r="A84" i="43"/>
  <c r="B83" i="43"/>
  <c r="O92" i="36"/>
  <c r="O96" i="36"/>
  <c r="P91" i="36"/>
  <c r="P78" i="27"/>
  <c r="Q78" i="27" s="1"/>
  <c r="O79" i="27"/>
  <c r="C79" i="34"/>
  <c r="C78" i="34"/>
  <c r="H7" i="23"/>
  <c r="I7" i="23" s="1"/>
  <c r="D7" i="23"/>
  <c r="F7" i="23" s="1"/>
  <c r="G7" i="23" s="1"/>
  <c r="Y65" i="50"/>
  <c r="Y64" i="50"/>
  <c r="P74" i="50"/>
  <c r="O75" i="50"/>
  <c r="P75" i="50" s="1"/>
  <c r="G62" i="39"/>
  <c r="K65" i="39"/>
  <c r="K64" i="39"/>
  <c r="AI82" i="50"/>
  <c r="AL84" i="50"/>
  <c r="AH84" i="50"/>
  <c r="AL85" i="50"/>
  <c r="AH85" i="50"/>
  <c r="C72" i="27"/>
  <c r="G73" i="27"/>
  <c r="Q72" i="29"/>
  <c r="Q74" i="29"/>
  <c r="P28" i="34"/>
  <c r="AC89" i="27"/>
  <c r="AD89" i="27" s="1"/>
  <c r="AD88" i="27"/>
  <c r="AC93" i="27"/>
  <c r="AN10" i="31"/>
  <c r="AR10" i="31" s="1"/>
  <c r="O79" i="50"/>
  <c r="P78" i="50"/>
  <c r="Q78" i="50" s="1"/>
  <c r="V16" i="33"/>
  <c r="Z15" i="33" s="1"/>
  <c r="AD15" i="33" s="1"/>
  <c r="X13" i="33"/>
  <c r="X16" i="33" s="1"/>
  <c r="Z16" i="33" s="1"/>
  <c r="AD16" i="33" s="1"/>
  <c r="C78" i="41"/>
  <c r="C79" i="41"/>
  <c r="P78" i="33"/>
  <c r="Q78" i="33" s="1"/>
  <c r="O79" i="33"/>
  <c r="B92" i="34"/>
  <c r="A93" i="34"/>
  <c r="Y65" i="40"/>
  <c r="Y64" i="40"/>
  <c r="L27" i="38"/>
  <c r="P26" i="38"/>
  <c r="K70" i="27"/>
  <c r="K69" i="27"/>
  <c r="G67" i="27"/>
  <c r="G68" i="48"/>
  <c r="C67" i="48"/>
  <c r="A84" i="36"/>
  <c r="B83" i="36"/>
  <c r="C73" i="36"/>
  <c r="C74" i="36"/>
  <c r="A89" i="49"/>
  <c r="B88" i="49"/>
  <c r="Z28" i="34"/>
  <c r="AD28" i="34" s="1"/>
  <c r="A89" i="50"/>
  <c r="B88" i="50"/>
  <c r="O84" i="29"/>
  <c r="P83" i="29"/>
  <c r="Q83" i="29" s="1"/>
  <c r="V16" i="32"/>
  <c r="Z15" i="32" s="1"/>
  <c r="X13" i="32"/>
  <c r="X16" i="32" s="1"/>
  <c r="Z16" i="32" s="1"/>
  <c r="Z5" i="36"/>
  <c r="AD5" i="36" s="1"/>
  <c r="X7" i="36" s="1"/>
  <c r="O92" i="30"/>
  <c r="P91" i="30"/>
  <c r="O96" i="30"/>
  <c r="B87" i="30"/>
  <c r="A88" i="30"/>
  <c r="AG6" i="24"/>
  <c r="O87" i="31"/>
  <c r="P86" i="31"/>
  <c r="O91" i="31"/>
  <c r="AN10" i="33"/>
  <c r="AR10" i="33" s="1"/>
  <c r="AC93" i="42"/>
  <c r="AC89" i="42"/>
  <c r="AD89" i="42" s="1"/>
  <c r="AD88" i="42"/>
  <c r="Y70" i="29"/>
  <c r="Y69" i="29"/>
  <c r="Z27" i="31"/>
  <c r="A89" i="29"/>
  <c r="B88" i="29"/>
  <c r="Y65" i="31"/>
  <c r="Y64" i="31"/>
  <c r="X22" i="39"/>
  <c r="V22" i="39"/>
  <c r="X62" i="43"/>
  <c r="C74" i="48"/>
  <c r="C73" i="48"/>
  <c r="A89" i="27"/>
  <c r="B88" i="27"/>
  <c r="A85" i="35"/>
  <c r="B85" i="35" s="1"/>
  <c r="B84" i="35"/>
  <c r="Q92" i="32"/>
  <c r="Q94" i="32"/>
  <c r="B92" i="38"/>
  <c r="A93" i="38"/>
  <c r="V42" i="48"/>
  <c r="T42" i="48"/>
  <c r="AG43" i="48"/>
  <c r="C74" i="26"/>
  <c r="C73" i="26"/>
  <c r="Z28" i="33"/>
  <c r="AD28" i="33" s="1"/>
  <c r="C74" i="46"/>
  <c r="C73" i="46"/>
  <c r="C79" i="28"/>
  <c r="C78" i="28"/>
  <c r="O75" i="44"/>
  <c r="P75" i="44" s="1"/>
  <c r="P74" i="44"/>
  <c r="AJ84" i="36"/>
  <c r="AJ85" i="36"/>
  <c r="AJ80" i="38"/>
  <c r="AJ79" i="38"/>
  <c r="AA80" i="30"/>
  <c r="AO80" i="30" s="1"/>
  <c r="AP80" i="30" s="1"/>
  <c r="W80" i="30"/>
  <c r="AA79" i="30"/>
  <c r="AO79" i="30" s="1"/>
  <c r="W79" i="30"/>
  <c r="AL3" i="36"/>
  <c r="AL6" i="36" s="1"/>
  <c r="AN6" i="36" s="1"/>
  <c r="AR6" i="36" s="1"/>
  <c r="AJ6" i="36"/>
  <c r="AN5" i="36" s="1"/>
  <c r="AR5" i="36" s="1"/>
  <c r="Z10" i="35"/>
  <c r="AD10" i="35" s="1"/>
  <c r="AI35" i="48"/>
  <c r="AM35" i="48" s="1"/>
  <c r="AS35" i="48" s="1"/>
  <c r="Y65" i="46"/>
  <c r="Y64" i="46"/>
  <c r="B87" i="48"/>
  <c r="A88" i="48"/>
  <c r="AA75" i="49"/>
  <c r="AO75" i="49" s="1"/>
  <c r="W75" i="49"/>
  <c r="AA74" i="49"/>
  <c r="AO74" i="49" s="1"/>
  <c r="W74" i="49"/>
  <c r="P74" i="34"/>
  <c r="O75" i="34"/>
  <c r="P75" i="34" s="1"/>
  <c r="AA75" i="28"/>
  <c r="AO75" i="28" s="1"/>
  <c r="AP75" i="28" s="1"/>
  <c r="W75" i="28"/>
  <c r="AA74" i="28"/>
  <c r="AO74" i="28" s="1"/>
  <c r="AP74" i="28" s="1"/>
  <c r="W74" i="28"/>
  <c r="AJ10" i="32"/>
  <c r="AL10" i="32"/>
  <c r="Z23" i="36"/>
  <c r="AD23" i="36" s="1"/>
  <c r="X25" i="36" s="1"/>
  <c r="X62" i="37"/>
  <c r="O79" i="45"/>
  <c r="P78" i="45"/>
  <c r="Q78" i="45" s="1"/>
  <c r="P74" i="46"/>
  <c r="O75" i="46"/>
  <c r="P75" i="46" s="1"/>
  <c r="G62" i="43"/>
  <c r="K64" i="43"/>
  <c r="K65" i="43"/>
  <c r="Q67" i="46"/>
  <c r="Q69" i="46"/>
  <c r="AI6" i="61"/>
  <c r="Z9" i="68" s="1"/>
  <c r="B6" i="21"/>
  <c r="AP6" i="21"/>
  <c r="Y5" i="21" s="1"/>
  <c r="C8" i="48"/>
  <c r="T48" i="50"/>
  <c r="V48" i="50"/>
  <c r="X67" i="42"/>
  <c r="AJ85" i="34"/>
  <c r="AJ84" i="34"/>
  <c r="W100" i="32"/>
  <c r="AA99" i="32"/>
  <c r="AO99" i="32" s="1"/>
  <c r="AP99" i="32" s="1"/>
  <c r="W99" i="32"/>
  <c r="AA100" i="32"/>
  <c r="AO100" i="32" s="1"/>
  <c r="AP100" i="32" s="1"/>
  <c r="AC93" i="30"/>
  <c r="AC89" i="30"/>
  <c r="AD89" i="30" s="1"/>
  <c r="AD88" i="30"/>
  <c r="A85" i="27"/>
  <c r="B85" i="27" s="1"/>
  <c r="B84" i="27"/>
  <c r="P74" i="40"/>
  <c r="O75" i="40"/>
  <c r="P75" i="40" s="1"/>
  <c r="AO15" i="50"/>
  <c r="AO16" i="50"/>
  <c r="A93" i="33"/>
  <c r="B92" i="33"/>
  <c r="V4" i="31"/>
  <c r="X4" i="31"/>
  <c r="AH7" i="61"/>
  <c r="Y10" i="68" s="1"/>
  <c r="B7" i="22"/>
  <c r="AP7" i="22"/>
  <c r="Y6" i="22" s="1"/>
  <c r="C7" i="47"/>
  <c r="Y70" i="26"/>
  <c r="Y69" i="26"/>
  <c r="Q69" i="27"/>
  <c r="Q67" i="27"/>
  <c r="P87" i="48"/>
  <c r="O88" i="48"/>
  <c r="Z4" i="35"/>
  <c r="AD4" i="35" s="1"/>
  <c r="AN10" i="36"/>
  <c r="AR10" i="36" s="1"/>
  <c r="AA80" i="35"/>
  <c r="AO80" i="35" s="1"/>
  <c r="AP80" i="35" s="1"/>
  <c r="W80" i="35"/>
  <c r="AA79" i="35"/>
  <c r="AO79" i="35" s="1"/>
  <c r="AP79" i="35" s="1"/>
  <c r="W79" i="35"/>
  <c r="P86" i="40"/>
  <c r="O91" i="40"/>
  <c r="O87" i="40"/>
  <c r="C67" i="37"/>
  <c r="G68" i="37"/>
  <c r="AI102" i="46"/>
  <c r="AL104" i="46"/>
  <c r="AH104" i="46"/>
  <c r="AH105" i="46"/>
  <c r="AL105" i="46"/>
  <c r="M74" i="49"/>
  <c r="I74" i="49"/>
  <c r="M75" i="49"/>
  <c r="I75" i="49"/>
  <c r="G74" i="49"/>
  <c r="Q67" i="43"/>
  <c r="Q69" i="43"/>
  <c r="AC93" i="48"/>
  <c r="AC89" i="48"/>
  <c r="AD89" i="48" s="1"/>
  <c r="AD88" i="48"/>
  <c r="A101" i="44"/>
  <c r="A97" i="44"/>
  <c r="B96" i="44"/>
  <c r="AL10" i="34"/>
  <c r="AJ10" i="34"/>
  <c r="C72" i="28"/>
  <c r="G73" i="28"/>
  <c r="Z22" i="38"/>
  <c r="AD22" i="38" s="1"/>
  <c r="O75" i="39"/>
  <c r="P75" i="39" s="1"/>
  <c r="P74" i="39"/>
  <c r="K69" i="35"/>
  <c r="G67" i="35"/>
  <c r="K70" i="35"/>
  <c r="AJ85" i="32"/>
  <c r="AJ84" i="32"/>
  <c r="H38" i="48"/>
  <c r="H40" i="48" s="1"/>
  <c r="F40" i="48"/>
  <c r="O83" i="37"/>
  <c r="P82" i="37"/>
  <c r="AA75" i="31"/>
  <c r="AO75" i="31" s="1"/>
  <c r="AP75" i="31" s="1"/>
  <c r="W75" i="31"/>
  <c r="AA74" i="31"/>
  <c r="AO74" i="31" s="1"/>
  <c r="W74" i="31"/>
  <c r="X62" i="33"/>
  <c r="M75" i="29"/>
  <c r="I75" i="29"/>
  <c r="G74" i="29"/>
  <c r="M74" i="29"/>
  <c r="I74" i="29"/>
  <c r="O92" i="26"/>
  <c r="P91" i="26"/>
  <c r="O96" i="26"/>
  <c r="Y70" i="41"/>
  <c r="Y69" i="41"/>
  <c r="O83" i="33"/>
  <c r="P82" i="33"/>
  <c r="AI92" i="40"/>
  <c r="AL94" i="40"/>
  <c r="AH94" i="40"/>
  <c r="AL95" i="40"/>
  <c r="AH95" i="40"/>
  <c r="AP69" i="34"/>
  <c r="AJ6" i="33"/>
  <c r="AN5" i="33" s="1"/>
  <c r="AR5" i="33" s="1"/>
  <c r="AL3" i="33"/>
  <c r="AL6" i="33" s="1"/>
  <c r="AN6" i="33" s="1"/>
  <c r="AR6" i="33" s="1"/>
  <c r="AL85" i="49"/>
  <c r="AI82" i="49"/>
  <c r="AL84" i="49"/>
  <c r="AH84" i="49"/>
  <c r="AH85" i="49"/>
  <c r="Z22" i="40"/>
  <c r="AD22" i="40" s="1"/>
  <c r="AN16" i="37"/>
  <c r="AR16" i="37" s="1"/>
  <c r="AJ84" i="31"/>
  <c r="AJ85" i="31"/>
  <c r="O110" i="59"/>
  <c r="O105" i="59"/>
  <c r="P104" i="59"/>
  <c r="D38" i="46"/>
  <c r="AE38" i="46"/>
  <c r="AE34" i="46"/>
  <c r="R37" i="46"/>
  <c r="R33" i="46"/>
  <c r="D42" i="46"/>
  <c r="W75" i="43"/>
  <c r="AA74" i="43"/>
  <c r="AO74" i="43" s="1"/>
  <c r="AP74" i="43" s="1"/>
  <c r="AA75" i="43"/>
  <c r="AO75" i="43" s="1"/>
  <c r="AP75" i="43" s="1"/>
  <c r="W74" i="43"/>
  <c r="AK4" i="61"/>
  <c r="AL3" i="61"/>
  <c r="B4" i="53"/>
  <c r="AP4" i="19"/>
  <c r="AP4" i="53"/>
  <c r="C10" i="50"/>
  <c r="D67" i="50" s="1"/>
  <c r="B4" i="19"/>
  <c r="A101" i="31"/>
  <c r="A97" i="31"/>
  <c r="B96" i="31"/>
  <c r="Y78" i="59"/>
  <c r="Y77" i="59"/>
  <c r="W78" i="59"/>
  <c r="W77" i="59"/>
  <c r="AL79" i="29"/>
  <c r="AH79" i="29"/>
  <c r="AL80" i="29"/>
  <c r="AH80" i="29"/>
  <c r="AI77" i="29"/>
  <c r="B87" i="45"/>
  <c r="A88" i="45"/>
  <c r="P78" i="44"/>
  <c r="Q78" i="44" s="1"/>
  <c r="O79" i="44"/>
  <c r="A84" i="46"/>
  <c r="B83" i="46"/>
  <c r="L27" i="47"/>
  <c r="P26" i="47"/>
  <c r="Q67" i="40"/>
  <c r="Q69" i="40"/>
  <c r="I22" i="50"/>
  <c r="I15" i="50"/>
  <c r="P83" i="30"/>
  <c r="Q83" i="30" s="1"/>
  <c r="O84" i="30"/>
  <c r="K69" i="29"/>
  <c r="G67" i="29"/>
  <c r="K70" i="29"/>
  <c r="M75" i="50"/>
  <c r="I75" i="50"/>
  <c r="G74" i="50"/>
  <c r="M74" i="50"/>
  <c r="I74" i="50"/>
  <c r="G68" i="36"/>
  <c r="C67" i="36"/>
  <c r="C67" i="45"/>
  <c r="G68" i="45"/>
  <c r="O80" i="26"/>
  <c r="P80" i="26" s="1"/>
  <c r="P79" i="26"/>
  <c r="O96" i="38"/>
  <c r="O92" i="38"/>
  <c r="P91" i="38"/>
  <c r="J47" i="50"/>
  <c r="C74" i="43"/>
  <c r="C73" i="43"/>
  <c r="B91" i="43"/>
  <c r="A96" i="43"/>
  <c r="A92" i="43"/>
  <c r="Y6" i="23"/>
  <c r="X5" i="23" s="1"/>
  <c r="Z4" i="38"/>
  <c r="AD4" i="38" s="1"/>
  <c r="AP69" i="39"/>
  <c r="Q74" i="30"/>
  <c r="Q72" i="30"/>
  <c r="N27" i="42"/>
  <c r="N29" i="42" s="1"/>
  <c r="L29" i="42"/>
  <c r="AF4" i="23"/>
  <c r="O80" i="36"/>
  <c r="P80" i="36" s="1"/>
  <c r="P79" i="36"/>
  <c r="O90" i="59"/>
  <c r="P90" i="59" s="1"/>
  <c r="P89" i="59"/>
  <c r="AN16" i="40"/>
  <c r="AR16" i="40" s="1"/>
  <c r="Z10" i="40"/>
  <c r="AD10" i="40" s="1"/>
  <c r="O83" i="50"/>
  <c r="P82" i="50"/>
  <c r="L29" i="33"/>
  <c r="N27" i="33"/>
  <c r="A85" i="41"/>
  <c r="B85" i="41" s="1"/>
  <c r="B84" i="41"/>
  <c r="M74" i="31"/>
  <c r="I74" i="31"/>
  <c r="M75" i="31"/>
  <c r="I75" i="31"/>
  <c r="G74" i="31"/>
  <c r="C79" i="44"/>
  <c r="C78" i="44"/>
  <c r="A95" i="59"/>
  <c r="B94" i="59"/>
  <c r="K69" i="34"/>
  <c r="G67" i="34"/>
  <c r="K70" i="34"/>
  <c r="A80" i="46"/>
  <c r="B80" i="46" s="1"/>
  <c r="B79" i="46"/>
  <c r="H43" i="49"/>
  <c r="H45" i="49" s="1"/>
  <c r="J45" i="49" s="1"/>
  <c r="F45" i="49"/>
  <c r="J44" i="49" s="1"/>
  <c r="X87" i="32"/>
  <c r="O79" i="46"/>
  <c r="P78" i="46"/>
  <c r="Q78" i="46" s="1"/>
  <c r="B87" i="39"/>
  <c r="A88" i="39"/>
  <c r="P15" i="34"/>
  <c r="P16" i="34" s="1"/>
  <c r="P86" i="49"/>
  <c r="O91" i="49"/>
  <c r="O87" i="49"/>
  <c r="C72" i="34"/>
  <c r="G73" i="34"/>
  <c r="Z16" i="35"/>
  <c r="AD16" i="35" s="1"/>
  <c r="AA75" i="50"/>
  <c r="AO75" i="50" s="1"/>
  <c r="W75" i="50"/>
  <c r="AA74" i="50"/>
  <c r="AO74" i="50" s="1"/>
  <c r="W74" i="50"/>
  <c r="Q69" i="39"/>
  <c r="Q67" i="39"/>
  <c r="AC88" i="47"/>
  <c r="AC84" i="47"/>
  <c r="AD84" i="47" s="1"/>
  <c r="AD83" i="47"/>
  <c r="AJ85" i="50"/>
  <c r="AJ84" i="50"/>
  <c r="A85" i="34"/>
  <c r="B85" i="34" s="1"/>
  <c r="B84" i="34"/>
  <c r="G62" i="26"/>
  <c r="K64" i="26"/>
  <c r="K65" i="26"/>
  <c r="AL10" i="31"/>
  <c r="AJ10" i="31"/>
  <c r="X62" i="40"/>
  <c r="A80" i="30"/>
  <c r="B80" i="30" s="1"/>
  <c r="B79" i="30"/>
  <c r="V13" i="31"/>
  <c r="Z13" i="31"/>
  <c r="O83" i="44"/>
  <c r="P82" i="44"/>
  <c r="B84" i="47"/>
  <c r="A85" i="47"/>
  <c r="B85" i="47" s="1"/>
  <c r="X67" i="36"/>
  <c r="AL10" i="33"/>
  <c r="AJ10" i="33"/>
  <c r="X67" i="29"/>
  <c r="Z22" i="39"/>
  <c r="AD22" i="39" s="1"/>
  <c r="AN16" i="39"/>
  <c r="AR16" i="39" s="1"/>
  <c r="C74" i="45"/>
  <c r="C73" i="45"/>
  <c r="AJ80" i="41"/>
  <c r="AJ79" i="41"/>
  <c r="C78" i="35"/>
  <c r="C79" i="35"/>
  <c r="A88" i="36"/>
  <c r="B87" i="36"/>
  <c r="F38" i="47"/>
  <c r="C72" i="47"/>
  <c r="G73" i="47"/>
  <c r="X15" i="31"/>
  <c r="X13" i="40"/>
  <c r="X16" i="40" s="1"/>
  <c r="Z16" i="40" s="1"/>
  <c r="AD16" i="40" s="1"/>
  <c r="V16" i="40"/>
  <c r="Z15" i="40" s="1"/>
  <c r="AD15" i="40" s="1"/>
  <c r="O79" i="34"/>
  <c r="P78" i="34"/>
  <c r="Q78" i="34" s="1"/>
  <c r="B91" i="37"/>
  <c r="A96" i="37"/>
  <c r="A92" i="37"/>
  <c r="B92" i="42"/>
  <c r="A93" i="42"/>
  <c r="B92" i="50"/>
  <c r="A93" i="50"/>
  <c r="C79" i="32"/>
  <c r="C78" i="32"/>
  <c r="Q83" i="59"/>
  <c r="Q81" i="59"/>
  <c r="AA80" i="42"/>
  <c r="AO80" i="42" s="1"/>
  <c r="AP80" i="42" s="1"/>
  <c r="W80" i="42"/>
  <c r="AA79" i="42"/>
  <c r="AO79" i="42" s="1"/>
  <c r="AP79" i="42" s="1"/>
  <c r="W79" i="42"/>
  <c r="X67" i="47"/>
  <c r="P107" i="32"/>
  <c r="O108" i="32"/>
  <c r="A101" i="27"/>
  <c r="A97" i="27"/>
  <c r="B96" i="27"/>
  <c r="A85" i="40"/>
  <c r="B85" i="40" s="1"/>
  <c r="B84" i="40"/>
  <c r="P87" i="36"/>
  <c r="O88" i="36"/>
  <c r="D43" i="47"/>
  <c r="F43" i="47" s="1"/>
  <c r="H43" i="47" s="1"/>
  <c r="D39" i="47"/>
  <c r="F39" i="47" s="1"/>
  <c r="H39" i="47" s="1"/>
  <c r="AE39" i="47"/>
  <c r="AG39" i="47" s="1"/>
  <c r="AE43" i="47"/>
  <c r="R38" i="47"/>
  <c r="R34" i="47"/>
  <c r="R42" i="47"/>
  <c r="D47" i="47"/>
  <c r="C67" i="46"/>
  <c r="G68" i="46"/>
  <c r="AL79" i="47"/>
  <c r="AI77" i="47"/>
  <c r="AH80" i="47"/>
  <c r="AL80" i="47"/>
  <c r="AH79" i="47"/>
  <c r="AJ6" i="34"/>
  <c r="AN5" i="34" s="1"/>
  <c r="AR5" i="34" s="1"/>
  <c r="AL3" i="34"/>
  <c r="AL6" i="34" s="1"/>
  <c r="AN6" i="34" s="1"/>
  <c r="AR6" i="34" s="1"/>
  <c r="M74" i="27"/>
  <c r="I74" i="27"/>
  <c r="M75" i="27"/>
  <c r="I75" i="27"/>
  <c r="G74" i="27"/>
  <c r="G67" i="42"/>
  <c r="K70" i="42"/>
  <c r="K69" i="42"/>
  <c r="N27" i="34"/>
  <c r="L29" i="34"/>
  <c r="P27" i="34" s="1"/>
  <c r="Z22" i="34"/>
  <c r="AD22" i="34" s="1"/>
  <c r="AJ84" i="27"/>
  <c r="AJ85" i="27"/>
  <c r="C72" i="33"/>
  <c r="G73" i="33"/>
  <c r="B96" i="34"/>
  <c r="A101" i="34"/>
  <c r="A97" i="34"/>
  <c r="O95" i="59"/>
  <c r="P94" i="59"/>
  <c r="Q94" i="59" s="1"/>
  <c r="M69" i="48"/>
  <c r="I69" i="48"/>
  <c r="M70" i="48"/>
  <c r="I70" i="48"/>
  <c r="G69" i="48"/>
  <c r="C78" i="29"/>
  <c r="C79" i="29"/>
  <c r="M75" i="35"/>
  <c r="I75" i="35"/>
  <c r="G74" i="35"/>
  <c r="M74" i="35"/>
  <c r="I74" i="35"/>
  <c r="AN10" i="38"/>
  <c r="AR10" i="38" s="1"/>
  <c r="O87" i="44"/>
  <c r="P86" i="44"/>
  <c r="O91" i="44"/>
  <c r="B92" i="40"/>
  <c r="A93" i="40"/>
  <c r="AA80" i="38"/>
  <c r="AO80" i="38" s="1"/>
  <c r="AP80" i="38" s="1"/>
  <c r="W80" i="38"/>
  <c r="AA79" i="38"/>
  <c r="AO79" i="38" s="1"/>
  <c r="W79" i="38"/>
  <c r="C79" i="49"/>
  <c r="C78" i="49"/>
  <c r="P15" i="36"/>
  <c r="P16" i="36" s="1"/>
  <c r="C72" i="40"/>
  <c r="G73" i="40"/>
  <c r="AG5" i="50"/>
  <c r="AG4" i="50"/>
  <c r="AG3" i="50"/>
  <c r="AA28" i="50"/>
  <c r="AA27" i="50"/>
  <c r="I27" i="50"/>
  <c r="I28" i="50"/>
  <c r="B91" i="30"/>
  <c r="A96" i="30"/>
  <c r="A92" i="30"/>
  <c r="X6" i="24"/>
  <c r="AC84" i="35"/>
  <c r="AD84" i="35" s="1"/>
  <c r="AD83" i="35"/>
  <c r="AC88" i="35"/>
  <c r="A84" i="39"/>
  <c r="B83" i="39"/>
  <c r="X62" i="31"/>
  <c r="L27" i="29"/>
  <c r="P26" i="29"/>
  <c r="A85" i="49"/>
  <c r="B85" i="49" s="1"/>
  <c r="B84" i="49"/>
  <c r="O104" i="32"/>
  <c r="P103" i="32"/>
  <c r="Q103" i="32" s="1"/>
  <c r="Y65" i="43"/>
  <c r="Y64" i="43"/>
  <c r="P28" i="35"/>
  <c r="Y70" i="30"/>
  <c r="Y69" i="30"/>
  <c r="O75" i="33"/>
  <c r="P75" i="33" s="1"/>
  <c r="P74" i="33"/>
  <c r="AJ84" i="26"/>
  <c r="AJ85" i="26"/>
  <c r="B96" i="38"/>
  <c r="A101" i="38"/>
  <c r="A97" i="38"/>
  <c r="B87" i="26"/>
  <c r="A88" i="26"/>
  <c r="Q74" i="48"/>
  <c r="Q72" i="48"/>
  <c r="V34" i="48"/>
  <c r="V35" i="48" s="1"/>
  <c r="X35" i="48" s="1"/>
  <c r="AB35" i="48" s="1"/>
  <c r="T34" i="48"/>
  <c r="T35" i="48" s="1"/>
  <c r="X34" i="48" s="1"/>
  <c r="AB34" i="48" s="1"/>
  <c r="X13" i="36"/>
  <c r="X16" i="36" s="1"/>
  <c r="Z16" i="36" s="1"/>
  <c r="AD16" i="36" s="1"/>
  <c r="V16" i="36"/>
  <c r="Z15" i="36" s="1"/>
  <c r="AD15" i="36" s="1"/>
  <c r="Y65" i="44"/>
  <c r="Y64" i="44"/>
  <c r="Q69" i="33"/>
  <c r="Q67" i="33"/>
  <c r="V57" i="50"/>
  <c r="T57" i="50"/>
  <c r="AA75" i="44"/>
  <c r="AO75" i="44" s="1"/>
  <c r="W75" i="44"/>
  <c r="AA74" i="44"/>
  <c r="AO74" i="44" s="1"/>
  <c r="W74" i="44"/>
  <c r="AL85" i="36"/>
  <c r="AH85" i="36"/>
  <c r="AL84" i="36"/>
  <c r="AH84" i="36"/>
  <c r="AI82" i="36"/>
  <c r="AP74" i="29"/>
  <c r="P28" i="32"/>
  <c r="AL79" i="38"/>
  <c r="AH79" i="38"/>
  <c r="AL80" i="38"/>
  <c r="AH80" i="38"/>
  <c r="AI77" i="38"/>
  <c r="A85" i="28"/>
  <c r="B85" i="28" s="1"/>
  <c r="B84" i="28"/>
  <c r="AA80" i="41"/>
  <c r="AO80" i="41" s="1"/>
  <c r="AP80" i="41" s="1"/>
  <c r="W80" i="41"/>
  <c r="AA79" i="41"/>
  <c r="AO79" i="41" s="1"/>
  <c r="W79" i="41"/>
  <c r="P87" i="42"/>
  <c r="O88" i="42"/>
  <c r="B91" i="48"/>
  <c r="A96" i="48"/>
  <c r="A92" i="48"/>
  <c r="O80" i="48"/>
  <c r="P80" i="48" s="1"/>
  <c r="P79" i="48"/>
  <c r="P74" i="28"/>
  <c r="O75" i="28"/>
  <c r="P75" i="28" s="1"/>
  <c r="Y65" i="49"/>
  <c r="Y64" i="49"/>
  <c r="AA75" i="45"/>
  <c r="AO75" i="45" s="1"/>
  <c r="W75" i="45"/>
  <c r="AA74" i="45"/>
  <c r="AO74" i="45" s="1"/>
  <c r="W74" i="45"/>
  <c r="X13" i="39"/>
  <c r="X16" i="39" s="1"/>
  <c r="Z16" i="39" s="1"/>
  <c r="AD16" i="39" s="1"/>
  <c r="V16" i="39"/>
  <c r="Z15" i="39" s="1"/>
  <c r="AD15" i="39" s="1"/>
  <c r="Y65" i="37"/>
  <c r="Y64" i="37"/>
  <c r="Q74" i="36"/>
  <c r="Q72" i="36"/>
  <c r="AJ84" i="39"/>
  <c r="AJ85" i="39"/>
  <c r="Q67" i="34"/>
  <c r="Q69" i="34"/>
  <c r="AA80" i="29"/>
  <c r="AO80" i="29" s="1"/>
  <c r="AP80" i="29" s="1"/>
  <c r="W80" i="29"/>
  <c r="AA79" i="29"/>
  <c r="AO79" i="29" s="1"/>
  <c r="AP79" i="29" s="1"/>
  <c r="W79" i="29"/>
  <c r="AE53" i="49"/>
  <c r="AE49" i="49"/>
  <c r="AG49" i="49" s="1"/>
  <c r="R48" i="49"/>
  <c r="R44" i="49"/>
  <c r="D49" i="49"/>
  <c r="F49" i="49" s="1"/>
  <c r="H49" i="49" s="1"/>
  <c r="R52" i="49"/>
  <c r="D57" i="49"/>
  <c r="AJ6" i="35"/>
  <c r="AN5" i="35" s="1"/>
  <c r="AR5" i="35" s="1"/>
  <c r="AL3" i="35"/>
  <c r="AL6" i="35" s="1"/>
  <c r="AN6" i="35" s="1"/>
  <c r="AR6" i="35" s="1"/>
  <c r="B92" i="41"/>
  <c r="A93" i="41"/>
  <c r="AI82" i="34"/>
  <c r="AL84" i="34"/>
  <c r="AH84" i="34"/>
  <c r="AL85" i="34"/>
  <c r="AH85" i="34"/>
  <c r="P99" i="32"/>
  <c r="O100" i="32"/>
  <c r="P100" i="32" s="1"/>
  <c r="O83" i="28"/>
  <c r="P82" i="28"/>
  <c r="A89" i="40"/>
  <c r="B88" i="40"/>
  <c r="G68" i="43"/>
  <c r="C67" i="43"/>
  <c r="S15" i="50"/>
  <c r="S13" i="50"/>
  <c r="S14" i="50"/>
  <c r="A101" i="33"/>
  <c r="A97" i="33"/>
  <c r="B96" i="33"/>
  <c r="A84" i="30"/>
  <c r="B83" i="30"/>
  <c r="P82" i="39"/>
  <c r="O83" i="39"/>
  <c r="H6" i="22"/>
  <c r="I6" i="22" s="1"/>
  <c r="D6" i="22"/>
  <c r="Z9" i="31"/>
  <c r="K70" i="44"/>
  <c r="K69" i="44"/>
  <c r="G67" i="44"/>
  <c r="Q67" i="50"/>
  <c r="Q69" i="50"/>
  <c r="X4" i="35"/>
  <c r="V4" i="35"/>
  <c r="AL10" i="36"/>
  <c r="AJ10" i="36"/>
  <c r="G68" i="39"/>
  <c r="C67" i="39"/>
  <c r="K64" i="37"/>
  <c r="G62" i="37"/>
  <c r="K65" i="37"/>
  <c r="O80" i="35"/>
  <c r="P80" i="35" s="1"/>
  <c r="P79" i="35"/>
  <c r="M70" i="37"/>
  <c r="I70" i="37"/>
  <c r="G69" i="37"/>
  <c r="M69" i="37"/>
  <c r="I69" i="37"/>
  <c r="Q74" i="26"/>
  <c r="Q72" i="26"/>
  <c r="A84" i="26"/>
  <c r="B83" i="26"/>
  <c r="O83" i="27"/>
  <c r="P82" i="27"/>
  <c r="Q72" i="41"/>
  <c r="Q74" i="41"/>
  <c r="Y65" i="27"/>
  <c r="Y64" i="27"/>
  <c r="Z28" i="40"/>
  <c r="AD28" i="40" s="1"/>
  <c r="M75" i="28"/>
  <c r="I75" i="28"/>
  <c r="G74" i="28"/>
  <c r="M74" i="28"/>
  <c r="I74" i="28"/>
  <c r="M75" i="38"/>
  <c r="I75" i="38"/>
  <c r="G74" i="38"/>
  <c r="M74" i="38"/>
  <c r="I74" i="38"/>
  <c r="X22" i="38"/>
  <c r="V22" i="38"/>
  <c r="AA75" i="39"/>
  <c r="AO75" i="39" s="1"/>
  <c r="AP75" i="39" s="1"/>
  <c r="W75" i="39"/>
  <c r="AA74" i="39"/>
  <c r="AO74" i="39" s="1"/>
  <c r="W74" i="39"/>
  <c r="M75" i="41"/>
  <c r="I75" i="41"/>
  <c r="G74" i="41"/>
  <c r="M74" i="41"/>
  <c r="I74" i="41"/>
  <c r="AI82" i="32"/>
  <c r="AL84" i="32"/>
  <c r="AH84" i="32"/>
  <c r="AL85" i="32"/>
  <c r="AH85" i="32"/>
  <c r="K69" i="38"/>
  <c r="G67" i="38"/>
  <c r="K70" i="38"/>
  <c r="P86" i="37"/>
  <c r="O91" i="37"/>
  <c r="O87" i="37"/>
  <c r="AC89" i="37"/>
  <c r="AD89" i="37" s="1"/>
  <c r="AD88" i="37"/>
  <c r="AC93" i="37"/>
  <c r="X13" i="34"/>
  <c r="X16" i="34" s="1"/>
  <c r="Z16" i="34" s="1"/>
  <c r="AD16" i="34" s="1"/>
  <c r="V16" i="34"/>
  <c r="Z15" i="34" s="1"/>
  <c r="AD15" i="34" s="1"/>
  <c r="P82" i="43"/>
  <c r="O83" i="43"/>
  <c r="K69" i="50"/>
  <c r="G67" i="50"/>
  <c r="K70" i="50"/>
  <c r="AN16" i="36"/>
  <c r="AR16" i="36" s="1"/>
  <c r="C72" i="29"/>
  <c r="G73" i="29"/>
  <c r="AN11" i="39"/>
  <c r="AR11" i="39" s="1"/>
  <c r="AL13" i="39" s="1"/>
  <c r="P15" i="39"/>
  <c r="P16" i="39" s="1"/>
  <c r="X22" i="32"/>
  <c r="X23" i="32" s="1"/>
  <c r="V22" i="32"/>
  <c r="V23" i="32" s="1"/>
  <c r="Z22" i="32" s="1"/>
  <c r="X67" i="38"/>
  <c r="AC93" i="49"/>
  <c r="AC89" i="49"/>
  <c r="AD89" i="49" s="1"/>
  <c r="AD88" i="49"/>
  <c r="P83" i="47"/>
  <c r="Q83" i="47" s="1"/>
  <c r="O84" i="47"/>
  <c r="AL85" i="31"/>
  <c r="AH85" i="31"/>
  <c r="AI82" i="31"/>
  <c r="AL84" i="31"/>
  <c r="AH84" i="31"/>
  <c r="H8" i="24"/>
  <c r="I8" i="24" s="1"/>
  <c r="D8" i="24"/>
  <c r="B92" i="28"/>
  <c r="A93" i="28"/>
  <c r="AE58" i="50"/>
  <c r="AE54" i="50"/>
  <c r="AG54" i="50" s="1"/>
  <c r="R53" i="50"/>
  <c r="D54" i="50"/>
  <c r="D58" i="50"/>
  <c r="AJ5" i="61"/>
  <c r="B5" i="20"/>
  <c r="C9" i="49"/>
  <c r="R49" i="49" s="1"/>
  <c r="AP5" i="20"/>
  <c r="A89" i="41"/>
  <c r="B88" i="41"/>
  <c r="X75" i="59"/>
  <c r="O83" i="34"/>
  <c r="P82" i="34"/>
  <c r="B91" i="45"/>
  <c r="A96" i="45"/>
  <c r="A92" i="45"/>
  <c r="A85" i="38"/>
  <c r="B85" i="38" s="1"/>
  <c r="B84" i="38"/>
  <c r="Q72" i="38"/>
  <c r="Q74" i="38"/>
  <c r="O83" i="46"/>
  <c r="P82" i="46"/>
  <c r="AA5" i="23"/>
  <c r="X4" i="23"/>
  <c r="AC89" i="33"/>
  <c r="AD89" i="33" s="1"/>
  <c r="AD88" i="33"/>
  <c r="AC93" i="33"/>
  <c r="AG48" i="49"/>
  <c r="M70" i="36"/>
  <c r="I70" i="36"/>
  <c r="I69" i="36"/>
  <c r="M69" i="36"/>
  <c r="G69" i="36"/>
  <c r="X3" i="31"/>
  <c r="X5" i="31" s="1"/>
  <c r="V3" i="31"/>
  <c r="V5" i="31" s="1"/>
  <c r="Z4" i="31" s="1"/>
  <c r="M70" i="45"/>
  <c r="I70" i="45"/>
  <c r="G69" i="45"/>
  <c r="M69" i="45"/>
  <c r="I69" i="45"/>
  <c r="C72" i="44"/>
  <c r="G73" i="44"/>
  <c r="AA80" i="26"/>
  <c r="AO80" i="26" s="1"/>
  <c r="AP80" i="26" s="1"/>
  <c r="W80" i="26"/>
  <c r="AA79" i="26"/>
  <c r="AO79" i="26" s="1"/>
  <c r="AP79" i="26" s="1"/>
  <c r="W79" i="26"/>
  <c r="G68" i="26"/>
  <c r="C67" i="26"/>
  <c r="A89" i="47"/>
  <c r="B88" i="47"/>
  <c r="AC89" i="28"/>
  <c r="AD89" i="28" s="1"/>
  <c r="AD88" i="28"/>
  <c r="AC93" i="28"/>
  <c r="AG4" i="22"/>
  <c r="X4" i="38"/>
  <c r="V4" i="38"/>
  <c r="K70" i="49"/>
  <c r="K69" i="49"/>
  <c r="G67" i="49"/>
  <c r="W80" i="47"/>
  <c r="AA79" i="47"/>
  <c r="AO79" i="47" s="1"/>
  <c r="AA80" i="47"/>
  <c r="AO80" i="47" s="1"/>
  <c r="W79" i="47"/>
  <c r="AA80" i="36"/>
  <c r="AO80" i="36" s="1"/>
  <c r="AP80" i="36" s="1"/>
  <c r="W80" i="36"/>
  <c r="AA79" i="36"/>
  <c r="AO79" i="36" s="1"/>
  <c r="W79" i="36"/>
  <c r="AN10" i="35"/>
  <c r="AR10" i="35" s="1"/>
  <c r="AG40" i="48"/>
  <c r="P86" i="50"/>
  <c r="O91" i="50"/>
  <c r="O87" i="50"/>
  <c r="A89" i="32"/>
  <c r="B88" i="32"/>
  <c r="L22" i="31" l="1"/>
  <c r="L23" i="31" s="1"/>
  <c r="J23" i="31"/>
  <c r="N22" i="31" s="1"/>
  <c r="L15" i="31"/>
  <c r="L17" i="31" s="1"/>
  <c r="N15" i="31"/>
  <c r="N17" i="31" s="1"/>
  <c r="P14" i="31"/>
  <c r="P15" i="31" s="1"/>
  <c r="P28" i="46"/>
  <c r="P27" i="46"/>
  <c r="S4" i="45"/>
  <c r="Z2" i="45" s="1"/>
  <c r="AL12" i="37"/>
  <c r="L16" i="50"/>
  <c r="P27" i="28"/>
  <c r="Z2" i="30"/>
  <c r="AN8" i="30"/>
  <c r="Z20" i="30"/>
  <c r="Z2" i="29"/>
  <c r="AN8" i="29"/>
  <c r="Z20" i="29"/>
  <c r="Z2" i="28"/>
  <c r="AN8" i="28"/>
  <c r="Z20" i="28"/>
  <c r="N28" i="41"/>
  <c r="Z20" i="26"/>
  <c r="AN8" i="26"/>
  <c r="Z2" i="26"/>
  <c r="P27" i="33"/>
  <c r="AA8" i="25"/>
  <c r="AG8" i="25" s="1"/>
  <c r="X7" i="25"/>
  <c r="D9" i="65"/>
  <c r="J9" i="66"/>
  <c r="B9" i="65" s="1"/>
  <c r="I9" i="66"/>
  <c r="D9" i="66"/>
  <c r="L10" i="66"/>
  <c r="B8" i="66"/>
  <c r="A8" i="66"/>
  <c r="X14" i="41"/>
  <c r="X2" i="41"/>
  <c r="V2" i="41"/>
  <c r="Z20" i="41"/>
  <c r="V13" i="41"/>
  <c r="AN8" i="41"/>
  <c r="T4" i="41"/>
  <c r="Z2" i="41"/>
  <c r="M27" i="59"/>
  <c r="Q27" i="59"/>
  <c r="N27" i="59"/>
  <c r="P27" i="59" s="1"/>
  <c r="AD11" i="59"/>
  <c r="AA5" i="45"/>
  <c r="CJ99" i="61"/>
  <c r="CH101" i="61"/>
  <c r="CE104" i="61"/>
  <c r="CF103" i="61"/>
  <c r="A8" i="65"/>
  <c r="CI100" i="61"/>
  <c r="CK98" i="61"/>
  <c r="CG102" i="61"/>
  <c r="P26" i="43"/>
  <c r="L27" i="43"/>
  <c r="Z20" i="43"/>
  <c r="Z2" i="43"/>
  <c r="AN8" i="43"/>
  <c r="N16" i="59"/>
  <c r="M16" i="59"/>
  <c r="AD30" i="59"/>
  <c r="AH29" i="59"/>
  <c r="AE27" i="59"/>
  <c r="AH30" i="59"/>
  <c r="AC16" i="45"/>
  <c r="AC15" i="45"/>
  <c r="Y16" i="45"/>
  <c r="Y15" i="45"/>
  <c r="W15" i="45"/>
  <c r="AS17" i="59"/>
  <c r="AT14" i="59"/>
  <c r="AW17" i="59"/>
  <c r="AW16" i="59"/>
  <c r="AA23" i="45"/>
  <c r="AA22" i="45"/>
  <c r="S22" i="45"/>
  <c r="Y28" i="45"/>
  <c r="Z25" i="45"/>
  <c r="AC27" i="45"/>
  <c r="AC28" i="45"/>
  <c r="Y27" i="45"/>
  <c r="AQ4" i="59"/>
  <c r="AN4" i="59"/>
  <c r="AP4" i="59" s="1"/>
  <c r="AM4" i="59"/>
  <c r="M15" i="59"/>
  <c r="Q19" i="59"/>
  <c r="S16" i="59"/>
  <c r="Q18" i="59"/>
  <c r="S15" i="59"/>
  <c r="AK5" i="45"/>
  <c r="AQ5" i="45"/>
  <c r="AQ6" i="45"/>
  <c r="AM5" i="45"/>
  <c r="AM6" i="45"/>
  <c r="AB7" i="59"/>
  <c r="AH6" i="59"/>
  <c r="AH5" i="59"/>
  <c r="X4" i="59"/>
  <c r="AB8" i="59"/>
  <c r="AN13" i="45"/>
  <c r="AQ15" i="45"/>
  <c r="AQ16" i="45"/>
  <c r="AM15" i="45"/>
  <c r="AM16" i="45"/>
  <c r="AD24" i="59"/>
  <c r="AF24" i="59"/>
  <c r="X21" i="59"/>
  <c r="W23" i="59"/>
  <c r="AF23" i="59"/>
  <c r="AD23" i="59"/>
  <c r="AB15" i="59"/>
  <c r="X15" i="59"/>
  <c r="W14" i="45"/>
  <c r="AM9" i="59"/>
  <c r="AQ13" i="59"/>
  <c r="AQ12" i="59"/>
  <c r="AW10" i="59"/>
  <c r="AW11" i="59"/>
  <c r="AO10" i="45"/>
  <c r="AO11" i="45"/>
  <c r="AG10" i="45"/>
  <c r="Y23" i="45"/>
  <c r="W25" i="45"/>
  <c r="W24" i="45"/>
  <c r="AC22" i="45"/>
  <c r="AC23" i="45"/>
  <c r="Y22" i="45"/>
  <c r="AW6" i="59"/>
  <c r="AM5" i="59"/>
  <c r="AW5" i="59"/>
  <c r="AQ5" i="59"/>
  <c r="S22" i="59"/>
  <c r="M22" i="59"/>
  <c r="S23" i="59"/>
  <c r="T20" i="59"/>
  <c r="X3" i="59"/>
  <c r="AD6" i="59"/>
  <c r="AF5" i="59"/>
  <c r="AF6" i="59"/>
  <c r="W5" i="59"/>
  <c r="AD5" i="59"/>
  <c r="AH11" i="59"/>
  <c r="AH12" i="59"/>
  <c r="AE9" i="59"/>
  <c r="AD16" i="59"/>
  <c r="AF16" i="59"/>
  <c r="X14" i="59"/>
  <c r="AF17" i="59"/>
  <c r="AD17" i="59"/>
  <c r="AB14" i="59"/>
  <c r="AM11" i="45"/>
  <c r="AK13" i="45"/>
  <c r="AQ10" i="45"/>
  <c r="AK12" i="45"/>
  <c r="AM10" i="45"/>
  <c r="AQ11" i="45"/>
  <c r="X16" i="59"/>
  <c r="AB16" i="59"/>
  <c r="AH16" i="59"/>
  <c r="AH17" i="59"/>
  <c r="Z7" i="45"/>
  <c r="AC9" i="45"/>
  <c r="AC10" i="45"/>
  <c r="Y9" i="45"/>
  <c r="Y10" i="45"/>
  <c r="O16" i="45"/>
  <c r="M18" i="45"/>
  <c r="O15" i="45"/>
  <c r="M19" i="45"/>
  <c r="O27" i="45"/>
  <c r="O28" i="45"/>
  <c r="J28" i="45"/>
  <c r="L28" i="45" s="1"/>
  <c r="M28" i="45"/>
  <c r="AM3" i="59"/>
  <c r="AV5" i="59"/>
  <c r="AU6" i="59"/>
  <c r="AQ3" i="59"/>
  <c r="AN3" i="59"/>
  <c r="AS5" i="59"/>
  <c r="AV6" i="59"/>
  <c r="AS6" i="59"/>
  <c r="AU5" i="59"/>
  <c r="AK4" i="45"/>
  <c r="AD29" i="59"/>
  <c r="AB25" i="59"/>
  <c r="AB26" i="59"/>
  <c r="X22" i="59"/>
  <c r="AH24" i="59"/>
  <c r="AH23" i="59"/>
  <c r="AL10" i="59"/>
  <c r="AU11" i="59"/>
  <c r="AM8" i="59"/>
  <c r="AS10" i="59"/>
  <c r="AS11" i="59"/>
  <c r="AN8" i="59"/>
  <c r="AU10" i="59"/>
  <c r="S27" i="59"/>
  <c r="S28" i="59"/>
  <c r="Q28" i="59"/>
  <c r="M28" i="59"/>
  <c r="N28" i="59"/>
  <c r="W13" i="45"/>
  <c r="AA15" i="45"/>
  <c r="AA16" i="45"/>
  <c r="AC5" i="45"/>
  <c r="W7" i="45"/>
  <c r="Y5" i="45"/>
  <c r="AC4" i="45"/>
  <c r="W6" i="45"/>
  <c r="Y4" i="45"/>
  <c r="M22" i="45"/>
  <c r="N21" i="45"/>
  <c r="M23" i="45"/>
  <c r="J27" i="45"/>
  <c r="M27" i="45"/>
  <c r="AO6" i="45"/>
  <c r="AK3" i="45"/>
  <c r="AO5" i="45"/>
  <c r="Z2" i="47"/>
  <c r="Z20" i="47"/>
  <c r="AN8" i="47"/>
  <c r="S22" i="50"/>
  <c r="Z20" i="50" s="1"/>
  <c r="AA23" i="50"/>
  <c r="J39" i="48"/>
  <c r="N39" i="48" s="1"/>
  <c r="AQ39" i="48" s="1"/>
  <c r="Z2" i="48"/>
  <c r="Z20" i="48"/>
  <c r="AN8" i="48"/>
  <c r="Z20" i="27"/>
  <c r="AN8" i="27"/>
  <c r="Z2" i="27"/>
  <c r="AL12" i="40"/>
  <c r="J40" i="48"/>
  <c r="N40" i="48" s="1"/>
  <c r="AQ40" i="48" s="1"/>
  <c r="H10" i="25"/>
  <c r="I10" i="25" s="1"/>
  <c r="D10" i="25"/>
  <c r="F10" i="25" s="1"/>
  <c r="G10" i="25" s="1"/>
  <c r="AV10" i="25"/>
  <c r="Y9" i="25"/>
  <c r="F9" i="25"/>
  <c r="T32" i="45"/>
  <c r="V32" i="45"/>
  <c r="D37" i="44"/>
  <c r="F37" i="44" s="1"/>
  <c r="H37" i="44" s="1"/>
  <c r="AE33" i="44"/>
  <c r="AG33" i="44" s="1"/>
  <c r="R32" i="44"/>
  <c r="AE11" i="61"/>
  <c r="V14" i="68" s="1"/>
  <c r="C4" i="43"/>
  <c r="B11" i="25"/>
  <c r="AP11" i="25"/>
  <c r="X24" i="35"/>
  <c r="L8" i="35" s="1"/>
  <c r="AI50" i="50"/>
  <c r="AG45" i="48"/>
  <c r="T39" i="49"/>
  <c r="T40" i="49" s="1"/>
  <c r="X39" i="49" s="1"/>
  <c r="X40" i="49" s="1"/>
  <c r="AI40" i="48"/>
  <c r="J42" i="48"/>
  <c r="AI45" i="49"/>
  <c r="L10" i="37"/>
  <c r="AE50" i="49"/>
  <c r="AI49" i="49" s="1"/>
  <c r="L9" i="35"/>
  <c r="H53" i="49"/>
  <c r="V49" i="49"/>
  <c r="T49" i="49"/>
  <c r="R39" i="48"/>
  <c r="V39" i="48" s="1"/>
  <c r="V40" i="48" s="1"/>
  <c r="D53" i="48"/>
  <c r="F53" i="48" s="1"/>
  <c r="R47" i="46"/>
  <c r="D52" i="46"/>
  <c r="F52" i="46" s="1"/>
  <c r="V49" i="50"/>
  <c r="V50" i="50" s="1"/>
  <c r="T49" i="50"/>
  <c r="T50" i="50" s="1"/>
  <c r="X49" i="50" s="1"/>
  <c r="H52" i="47"/>
  <c r="T47" i="47"/>
  <c r="V47" i="47"/>
  <c r="L11" i="37"/>
  <c r="AG50" i="49"/>
  <c r="AI35" i="47"/>
  <c r="AM35" i="47" s="1"/>
  <c r="AS35" i="47" s="1"/>
  <c r="L9" i="36"/>
  <c r="AE45" i="48"/>
  <c r="AI44" i="48" s="1"/>
  <c r="Z5" i="38"/>
  <c r="AD5" i="38" s="1"/>
  <c r="X7" i="38" s="1"/>
  <c r="Z23" i="37"/>
  <c r="AD23" i="37" s="1"/>
  <c r="X25" i="37" s="1"/>
  <c r="L9" i="37" s="1"/>
  <c r="J37" i="47"/>
  <c r="Z23" i="33"/>
  <c r="AD23" i="33" s="1"/>
  <c r="X25" i="33" s="1"/>
  <c r="L9" i="33" s="1"/>
  <c r="AN11" i="31"/>
  <c r="AR11" i="31" s="1"/>
  <c r="AL12" i="31" s="1"/>
  <c r="X45" i="50"/>
  <c r="Z5" i="33"/>
  <c r="AD5" i="33" s="1"/>
  <c r="X6" i="33" s="1"/>
  <c r="Z5" i="35"/>
  <c r="AD5" i="35" s="1"/>
  <c r="X7" i="35" s="1"/>
  <c r="L7" i="35" s="1"/>
  <c r="AN11" i="33"/>
  <c r="AR11" i="33" s="1"/>
  <c r="AL13" i="33" s="1"/>
  <c r="L11" i="33" s="1"/>
  <c r="AN11" i="34"/>
  <c r="AR11" i="34" s="1"/>
  <c r="AL13" i="34" s="1"/>
  <c r="L11" i="34" s="1"/>
  <c r="Z5" i="31"/>
  <c r="Z5" i="39"/>
  <c r="AD5" i="39" s="1"/>
  <c r="X6" i="39" s="1"/>
  <c r="Z10" i="31"/>
  <c r="Z23" i="40"/>
  <c r="AD23" i="40" s="1"/>
  <c r="X25" i="40" s="1"/>
  <c r="L9" i="40" s="1"/>
  <c r="Z23" i="38"/>
  <c r="AD23" i="38" s="1"/>
  <c r="X25" i="38" s="1"/>
  <c r="L9" i="38" s="1"/>
  <c r="Y7" i="23"/>
  <c r="AA7" i="23" s="1"/>
  <c r="AG7" i="23" s="1"/>
  <c r="Z5" i="32"/>
  <c r="L11" i="39"/>
  <c r="AA6" i="22"/>
  <c r="X5" i="22"/>
  <c r="AR35" i="48"/>
  <c r="AT35" i="48" s="1"/>
  <c r="E5" i="48" s="1"/>
  <c r="AR34" i="48"/>
  <c r="AT34" i="48" s="1"/>
  <c r="D5" i="48" s="1"/>
  <c r="AA5" i="21"/>
  <c r="AG5" i="21" s="1"/>
  <c r="X4" i="21"/>
  <c r="AJ90" i="28"/>
  <c r="AJ89" i="28"/>
  <c r="AL90" i="33"/>
  <c r="AH90" i="33"/>
  <c r="AI87" i="33"/>
  <c r="AL89" i="33"/>
  <c r="AH89" i="33"/>
  <c r="B92" i="45"/>
  <c r="A93" i="45"/>
  <c r="H5" i="20"/>
  <c r="I5" i="20" s="1"/>
  <c r="D5" i="20"/>
  <c r="F5" i="20" s="1"/>
  <c r="G5" i="20" s="1"/>
  <c r="A94" i="28"/>
  <c r="B93" i="28"/>
  <c r="AN11" i="35"/>
  <c r="AR11" i="35" s="1"/>
  <c r="AL12" i="35" s="1"/>
  <c r="L10" i="35" s="1"/>
  <c r="AF4" i="22"/>
  <c r="AF5" i="22" s="1"/>
  <c r="AI87" i="28"/>
  <c r="AL89" i="28"/>
  <c r="AH89" i="28"/>
  <c r="AL90" i="28"/>
  <c r="AH90" i="28"/>
  <c r="K75" i="44"/>
  <c r="K74" i="44"/>
  <c r="G72" i="44"/>
  <c r="O84" i="46"/>
  <c r="P83" i="46"/>
  <c r="Q83" i="46" s="1"/>
  <c r="B96" i="45"/>
  <c r="A101" i="45"/>
  <c r="A97" i="45"/>
  <c r="AJ6" i="61"/>
  <c r="AA9" i="68" s="1"/>
  <c r="AP6" i="20"/>
  <c r="C9" i="48"/>
  <c r="R49" i="48" s="1"/>
  <c r="B6" i="20"/>
  <c r="N19" i="39"/>
  <c r="L5" i="39" s="1"/>
  <c r="N18" i="39"/>
  <c r="L4" i="39" s="1"/>
  <c r="P83" i="43"/>
  <c r="Q83" i="43" s="1"/>
  <c r="O84" i="43"/>
  <c r="AC94" i="37"/>
  <c r="AD94" i="37" s="1"/>
  <c r="AD93" i="37"/>
  <c r="AC98" i="37"/>
  <c r="P91" i="37"/>
  <c r="O96" i="37"/>
  <c r="O92" i="37"/>
  <c r="X72" i="41"/>
  <c r="A85" i="26"/>
  <c r="B85" i="26" s="1"/>
  <c r="B84" i="26"/>
  <c r="A85" i="30"/>
  <c r="B85" i="30" s="1"/>
  <c r="B84" i="30"/>
  <c r="A106" i="33"/>
  <c r="A102" i="33"/>
  <c r="B101" i="33"/>
  <c r="G67" i="43"/>
  <c r="K69" i="43"/>
  <c r="K70" i="43"/>
  <c r="A94" i="41"/>
  <c r="B93" i="41"/>
  <c r="F57" i="49"/>
  <c r="V48" i="49"/>
  <c r="T48" i="49"/>
  <c r="X67" i="34"/>
  <c r="X72" i="36"/>
  <c r="B92" i="48"/>
  <c r="A93" i="48"/>
  <c r="P88" i="42"/>
  <c r="Q88" i="42" s="1"/>
  <c r="O89" i="42"/>
  <c r="C84" i="28"/>
  <c r="C83" i="28"/>
  <c r="Y70" i="33"/>
  <c r="Y69" i="33"/>
  <c r="X72" i="48"/>
  <c r="A85" i="39"/>
  <c r="B85" i="39" s="1"/>
  <c r="B84" i="39"/>
  <c r="AJ85" i="35"/>
  <c r="AJ84" i="35"/>
  <c r="B96" i="30"/>
  <c r="A101" i="30"/>
  <c r="A97" i="30"/>
  <c r="K74" i="40"/>
  <c r="G72" i="40"/>
  <c r="K75" i="40"/>
  <c r="O88" i="44"/>
  <c r="P87" i="44"/>
  <c r="C77" i="29"/>
  <c r="G78" i="29"/>
  <c r="B101" i="34"/>
  <c r="A106" i="34"/>
  <c r="A102" i="34"/>
  <c r="K75" i="33"/>
  <c r="K74" i="33"/>
  <c r="G72" i="33"/>
  <c r="F47" i="47"/>
  <c r="AG43" i="47"/>
  <c r="P88" i="36"/>
  <c r="Q88" i="36" s="1"/>
  <c r="O89" i="36"/>
  <c r="O109" i="32"/>
  <c r="P108" i="32"/>
  <c r="Q108" i="32" s="1"/>
  <c r="X81" i="59"/>
  <c r="A94" i="50"/>
  <c r="B93" i="50"/>
  <c r="B92" i="37"/>
  <c r="A93" i="37"/>
  <c r="H38" i="47"/>
  <c r="H40" i="47" s="1"/>
  <c r="F40" i="47"/>
  <c r="C77" i="35"/>
  <c r="G78" i="35"/>
  <c r="M75" i="45"/>
  <c r="I75" i="45"/>
  <c r="G74" i="45"/>
  <c r="M74" i="45"/>
  <c r="I74" i="45"/>
  <c r="Z23" i="39"/>
  <c r="AD23" i="39" s="1"/>
  <c r="X25" i="39" s="1"/>
  <c r="L9" i="39" s="1"/>
  <c r="C79" i="30"/>
  <c r="C78" i="30"/>
  <c r="C84" i="34"/>
  <c r="C83" i="34"/>
  <c r="AC93" i="47"/>
  <c r="AC89" i="47"/>
  <c r="AD89" i="47" s="1"/>
  <c r="AD88" i="47"/>
  <c r="Q79" i="36"/>
  <c r="Q77" i="36"/>
  <c r="Q79" i="26"/>
  <c r="Q77" i="26"/>
  <c r="A89" i="45"/>
  <c r="B88" i="45"/>
  <c r="H4" i="19"/>
  <c r="I4" i="19" s="1"/>
  <c r="D4" i="19"/>
  <c r="H4" i="53"/>
  <c r="I4" i="53" s="1"/>
  <c r="D4" i="53"/>
  <c r="F42" i="46"/>
  <c r="AG38" i="46"/>
  <c r="P110" i="59"/>
  <c r="O116" i="59"/>
  <c r="O111" i="59"/>
  <c r="Z23" i="32"/>
  <c r="P83" i="33"/>
  <c r="Q83" i="33" s="1"/>
  <c r="O84" i="33"/>
  <c r="P92" i="26"/>
  <c r="O93" i="26"/>
  <c r="K69" i="37"/>
  <c r="G67" i="37"/>
  <c r="K70" i="37"/>
  <c r="AN11" i="36"/>
  <c r="AR11" i="36" s="1"/>
  <c r="AL13" i="36" s="1"/>
  <c r="L11" i="36" s="1"/>
  <c r="Y70" i="27"/>
  <c r="Y69" i="27"/>
  <c r="H7" i="22"/>
  <c r="I7" i="22" s="1"/>
  <c r="D7" i="22"/>
  <c r="F7" i="22" s="1"/>
  <c r="G7" i="22" s="1"/>
  <c r="Q72" i="40"/>
  <c r="Q74" i="40"/>
  <c r="C84" i="27"/>
  <c r="C83" i="27"/>
  <c r="AJ89" i="30"/>
  <c r="AJ90" i="30"/>
  <c r="AI7" i="61"/>
  <c r="Z10" i="68" s="1"/>
  <c r="AP7" i="21"/>
  <c r="Y6" i="21" s="1"/>
  <c r="C8" i="47"/>
  <c r="D53" i="47" s="1"/>
  <c r="F53" i="47" s="1"/>
  <c r="H53" i="47" s="1"/>
  <c r="B7" i="21"/>
  <c r="Y70" i="46"/>
  <c r="Y69" i="46"/>
  <c r="Q72" i="34"/>
  <c r="Q74" i="34"/>
  <c r="AP79" i="30"/>
  <c r="C77" i="28"/>
  <c r="G78" i="28"/>
  <c r="R94" i="32"/>
  <c r="X92" i="32"/>
  <c r="A90" i="29"/>
  <c r="B90" i="29" s="1"/>
  <c r="B89" i="29"/>
  <c r="O88" i="31"/>
  <c r="P87" i="31"/>
  <c r="AF6" i="24"/>
  <c r="AF7" i="24" s="1"/>
  <c r="A90" i="49"/>
  <c r="B90" i="49" s="1"/>
  <c r="B89" i="49"/>
  <c r="C72" i="36"/>
  <c r="G73" i="36"/>
  <c r="A85" i="36"/>
  <c r="B85" i="36" s="1"/>
  <c r="B84" i="36"/>
  <c r="P28" i="38"/>
  <c r="C77" i="41"/>
  <c r="G78" i="41"/>
  <c r="AC94" i="27"/>
  <c r="AD94" i="27" s="1"/>
  <c r="AD93" i="27"/>
  <c r="AC98" i="27"/>
  <c r="Y75" i="29"/>
  <c r="Y74" i="29"/>
  <c r="O80" i="27"/>
  <c r="P80" i="27" s="1"/>
  <c r="P79" i="27"/>
  <c r="P92" i="36"/>
  <c r="O93" i="36"/>
  <c r="A85" i="43"/>
  <c r="B85" i="43" s="1"/>
  <c r="B84" i="43"/>
  <c r="AD106" i="59"/>
  <c r="AC112" i="59"/>
  <c r="AC107" i="59"/>
  <c r="AD107" i="59" s="1"/>
  <c r="O85" i="38"/>
  <c r="P85" i="38" s="1"/>
  <c r="P84" i="38"/>
  <c r="L10" i="40"/>
  <c r="A89" i="37"/>
  <c r="B88" i="37"/>
  <c r="AL84" i="41"/>
  <c r="AH84" i="41"/>
  <c r="AL85" i="41"/>
  <c r="AH85" i="41"/>
  <c r="AI82" i="41"/>
  <c r="C84" i="42"/>
  <c r="C83" i="42"/>
  <c r="AC98" i="26"/>
  <c r="AC94" i="26"/>
  <c r="AD94" i="26" s="1"/>
  <c r="AD93" i="26"/>
  <c r="A85" i="37"/>
  <c r="B85" i="37" s="1"/>
  <c r="B84" i="37"/>
  <c r="O88" i="45"/>
  <c r="P87" i="45"/>
  <c r="L7" i="36"/>
  <c r="C77" i="33"/>
  <c r="G78" i="33"/>
  <c r="O89" i="29"/>
  <c r="P88" i="29"/>
  <c r="Q88" i="29" s="1"/>
  <c r="AE40" i="47"/>
  <c r="AI39" i="47" s="1"/>
  <c r="O93" i="47"/>
  <c r="P92" i="47"/>
  <c r="AA85" i="42"/>
  <c r="AO85" i="42" s="1"/>
  <c r="AP85" i="42" s="1"/>
  <c r="W85" i="42"/>
  <c r="AA84" i="42"/>
  <c r="AO84" i="42" s="1"/>
  <c r="AP84" i="42" s="1"/>
  <c r="W84" i="42"/>
  <c r="P27" i="42"/>
  <c r="P28" i="42"/>
  <c r="X67" i="44"/>
  <c r="A89" i="43"/>
  <c r="B88" i="43"/>
  <c r="O89" i="38"/>
  <c r="P88" i="38"/>
  <c r="Q88" i="38" s="1"/>
  <c r="G78" i="42"/>
  <c r="C77" i="42"/>
  <c r="P79" i="28"/>
  <c r="O80" i="28"/>
  <c r="P80" i="28" s="1"/>
  <c r="AA85" i="41"/>
  <c r="AO85" i="41" s="1"/>
  <c r="AP85" i="41" s="1"/>
  <c r="W85" i="41"/>
  <c r="AA84" i="41"/>
  <c r="AO84" i="41" s="1"/>
  <c r="AP84" i="41" s="1"/>
  <c r="W84" i="41"/>
  <c r="AC94" i="31"/>
  <c r="AD94" i="31" s="1"/>
  <c r="AD93" i="31"/>
  <c r="AC98" i="31"/>
  <c r="Q72" i="37"/>
  <c r="Q74" i="37"/>
  <c r="G6" i="23"/>
  <c r="O88" i="27"/>
  <c r="P87" i="27"/>
  <c r="O84" i="40"/>
  <c r="P83" i="40"/>
  <c r="Q83" i="40" s="1"/>
  <c r="O80" i="49"/>
  <c r="P80" i="49" s="1"/>
  <c r="P79" i="49"/>
  <c r="P87" i="39"/>
  <c r="O88" i="39"/>
  <c r="AC28" i="50"/>
  <c r="Y28" i="50"/>
  <c r="Z25" i="50"/>
  <c r="AC27" i="50"/>
  <c r="Y27" i="50"/>
  <c r="AI87" i="34"/>
  <c r="AL89" i="34"/>
  <c r="AH89" i="34"/>
  <c r="AL90" i="34"/>
  <c r="AH90" i="34"/>
  <c r="P92" i="41"/>
  <c r="O93" i="41"/>
  <c r="AC98" i="39"/>
  <c r="AC94" i="39"/>
  <c r="AD94" i="39" s="1"/>
  <c r="AD93" i="39"/>
  <c r="AN11" i="32"/>
  <c r="AR11" i="32" s="1"/>
  <c r="AL13" i="32" s="1"/>
  <c r="AP74" i="34"/>
  <c r="Q74" i="49"/>
  <c r="Q72" i="49"/>
  <c r="P92" i="42"/>
  <c r="O93" i="42"/>
  <c r="Q79" i="30"/>
  <c r="Q77" i="30"/>
  <c r="AC89" i="38"/>
  <c r="AD89" i="38" s="1"/>
  <c r="AD88" i="38"/>
  <c r="AC93" i="38"/>
  <c r="AL90" i="36"/>
  <c r="AH90" i="36"/>
  <c r="AL89" i="36"/>
  <c r="AH89" i="36"/>
  <c r="AI87" i="36"/>
  <c r="X6" i="36"/>
  <c r="L6" i="36" s="1"/>
  <c r="N18" i="33"/>
  <c r="L4" i="33" s="1"/>
  <c r="N19" i="33"/>
  <c r="L5" i="33" s="1"/>
  <c r="C78" i="36"/>
  <c r="C79" i="36"/>
  <c r="AG9" i="61"/>
  <c r="X12" i="68" s="1"/>
  <c r="B9" i="23"/>
  <c r="C6" i="45"/>
  <c r="AP9" i="23"/>
  <c r="M80" i="40"/>
  <c r="I80" i="40"/>
  <c r="G79" i="40"/>
  <c r="M79" i="40"/>
  <c r="I79" i="40"/>
  <c r="M75" i="37"/>
  <c r="I75" i="37"/>
  <c r="G74" i="37"/>
  <c r="M74" i="37"/>
  <c r="I74" i="37"/>
  <c r="AA80" i="40"/>
  <c r="AO80" i="40" s="1"/>
  <c r="AP80" i="40" s="1"/>
  <c r="W80" i="40"/>
  <c r="AA79" i="40"/>
  <c r="AO79" i="40" s="1"/>
  <c r="AP79" i="40" s="1"/>
  <c r="W79" i="40"/>
  <c r="H48" i="49"/>
  <c r="H50" i="49" s="1"/>
  <c r="F50" i="49"/>
  <c r="X7" i="37"/>
  <c r="O88" i="46"/>
  <c r="P87" i="46"/>
  <c r="O88" i="34"/>
  <c r="P87" i="34"/>
  <c r="AJ85" i="29"/>
  <c r="AJ84" i="29"/>
  <c r="B101" i="28"/>
  <c r="A106" i="28"/>
  <c r="A102" i="28"/>
  <c r="AE38" i="45"/>
  <c r="D38" i="45"/>
  <c r="AE34" i="45"/>
  <c r="R33" i="45"/>
  <c r="D42" i="45"/>
  <c r="R37" i="45"/>
  <c r="AJ100" i="40"/>
  <c r="AJ99" i="40"/>
  <c r="AL12" i="39"/>
  <c r="L10" i="39" s="1"/>
  <c r="AC98" i="32"/>
  <c r="AC94" i="32"/>
  <c r="AD94" i="32" s="1"/>
  <c r="AD93" i="32"/>
  <c r="Z5" i="34"/>
  <c r="AD5" i="34" s="1"/>
  <c r="X6" i="34" s="1"/>
  <c r="L6" i="34" s="1"/>
  <c r="Y70" i="45"/>
  <c r="Y69" i="45"/>
  <c r="O88" i="28"/>
  <c r="P87" i="28"/>
  <c r="I78" i="59"/>
  <c r="G75" i="59"/>
  <c r="K77" i="59"/>
  <c r="K78" i="59"/>
  <c r="I77" i="59"/>
  <c r="B101" i="41"/>
  <c r="A106" i="41"/>
  <c r="A102" i="41"/>
  <c r="Q77" i="29"/>
  <c r="Q79" i="29"/>
  <c r="F45" i="48"/>
  <c r="X72" i="35"/>
  <c r="AN13" i="50"/>
  <c r="AQ16" i="50"/>
  <c r="AM16" i="50"/>
  <c r="AQ15" i="50"/>
  <c r="AM15" i="50"/>
  <c r="A90" i="42"/>
  <c r="B90" i="42" s="1"/>
  <c r="B89" i="42"/>
  <c r="B101" i="40"/>
  <c r="A106" i="40"/>
  <c r="A102" i="40"/>
  <c r="K74" i="35"/>
  <c r="G72" i="35"/>
  <c r="K75" i="35"/>
  <c r="O84" i="45"/>
  <c r="P83" i="45"/>
  <c r="Q83" i="45" s="1"/>
  <c r="B105" i="59"/>
  <c r="A106" i="59"/>
  <c r="AC94" i="50"/>
  <c r="AD94" i="50" s="1"/>
  <c r="AD93" i="50"/>
  <c r="AC98" i="50"/>
  <c r="P112" i="32"/>
  <c r="O113" i="32"/>
  <c r="Y70" i="37"/>
  <c r="Y69" i="37"/>
  <c r="B97" i="42"/>
  <c r="A98" i="42"/>
  <c r="C88" i="59"/>
  <c r="C89" i="59"/>
  <c r="Z39" i="49"/>
  <c r="AK39" i="49"/>
  <c r="AM39" i="49" s="1"/>
  <c r="AS39" i="49" s="1"/>
  <c r="L44" i="49"/>
  <c r="N44" i="49" s="1"/>
  <c r="AQ44" i="49" s="1"/>
  <c r="O88" i="50"/>
  <c r="P87" i="50"/>
  <c r="AC94" i="33"/>
  <c r="AD94" i="33" s="1"/>
  <c r="AD93" i="33"/>
  <c r="AC98" i="33"/>
  <c r="AG5" i="23"/>
  <c r="F58" i="50"/>
  <c r="P84" i="47"/>
  <c r="O85" i="47"/>
  <c r="P85" i="47" s="1"/>
  <c r="Y75" i="41"/>
  <c r="Y74" i="41"/>
  <c r="Y75" i="26"/>
  <c r="Y74" i="26"/>
  <c r="G67" i="39"/>
  <c r="K70" i="39"/>
  <c r="K69" i="39"/>
  <c r="X67" i="50"/>
  <c r="F6" i="22"/>
  <c r="P83" i="39"/>
  <c r="Q83" i="39" s="1"/>
  <c r="O84" i="39"/>
  <c r="W14" i="50"/>
  <c r="Q97" i="32"/>
  <c r="Q99" i="32"/>
  <c r="T52" i="49"/>
  <c r="V52" i="49"/>
  <c r="Y70" i="34"/>
  <c r="Y69" i="34"/>
  <c r="Q72" i="28"/>
  <c r="Q74" i="28"/>
  <c r="B96" i="48"/>
  <c r="A101" i="48"/>
  <c r="A97" i="48"/>
  <c r="X67" i="33"/>
  <c r="C84" i="49"/>
  <c r="C83" i="49"/>
  <c r="N27" i="29"/>
  <c r="N29" i="29" s="1"/>
  <c r="P28" i="29" s="1"/>
  <c r="L29" i="29"/>
  <c r="P27" i="29" s="1"/>
  <c r="AL84" i="35"/>
  <c r="AH84" i="35"/>
  <c r="AL85" i="35"/>
  <c r="AH85" i="35"/>
  <c r="AI82" i="35"/>
  <c r="AO6" i="50"/>
  <c r="AO5" i="50"/>
  <c r="AK3" i="50"/>
  <c r="AP79" i="38"/>
  <c r="AA96" i="59"/>
  <c r="AQ96" i="59" s="1"/>
  <c r="AR96" i="59" s="1"/>
  <c r="AA95" i="59"/>
  <c r="AQ95" i="59" s="1"/>
  <c r="V42" i="47"/>
  <c r="T42" i="47"/>
  <c r="A98" i="27"/>
  <c r="B97" i="27"/>
  <c r="G78" i="32"/>
  <c r="C77" i="32"/>
  <c r="B96" i="37"/>
  <c r="A101" i="37"/>
  <c r="A97" i="37"/>
  <c r="AA80" i="34"/>
  <c r="AO80" i="34" s="1"/>
  <c r="AP80" i="34" s="1"/>
  <c r="W80" i="34"/>
  <c r="AA79" i="34"/>
  <c r="AO79" i="34" s="1"/>
  <c r="W79" i="34"/>
  <c r="C84" i="47"/>
  <c r="C83" i="47"/>
  <c r="Y70" i="39"/>
  <c r="Y69" i="39"/>
  <c r="P87" i="49"/>
  <c r="O88" i="49"/>
  <c r="N18" i="34"/>
  <c r="L4" i="34" s="1"/>
  <c r="N19" i="34"/>
  <c r="L5" i="34" s="1"/>
  <c r="C79" i="46"/>
  <c r="C78" i="46"/>
  <c r="B95" i="59"/>
  <c r="A96" i="59"/>
  <c r="B96" i="59" s="1"/>
  <c r="C83" i="41"/>
  <c r="C84" i="41"/>
  <c r="O84" i="50"/>
  <c r="P83" i="50"/>
  <c r="Q83" i="50" s="1"/>
  <c r="Y75" i="30"/>
  <c r="Y74" i="30"/>
  <c r="G73" i="43"/>
  <c r="C72" i="43"/>
  <c r="K69" i="45"/>
  <c r="G67" i="45"/>
  <c r="K70" i="45"/>
  <c r="X67" i="40"/>
  <c r="A85" i="46"/>
  <c r="B85" i="46" s="1"/>
  <c r="B84" i="46"/>
  <c r="A98" i="31"/>
  <c r="B97" i="31"/>
  <c r="AE59" i="50"/>
  <c r="AG59" i="50" s="1"/>
  <c r="AE63" i="50"/>
  <c r="D59" i="50"/>
  <c r="F59" i="50" s="1"/>
  <c r="H59" i="50" s="1"/>
  <c r="R58" i="50"/>
  <c r="D63" i="50"/>
  <c r="R54" i="50"/>
  <c r="AL4" i="61"/>
  <c r="AC7" i="68" s="1"/>
  <c r="AM3" i="61"/>
  <c r="AD6" i="68" s="1"/>
  <c r="C11" i="50"/>
  <c r="D68" i="50" s="1"/>
  <c r="F68" i="50" s="1"/>
  <c r="H68" i="50" s="1"/>
  <c r="B4" i="18"/>
  <c r="AP4" i="18"/>
  <c r="T33" i="46"/>
  <c r="V33" i="46"/>
  <c r="F38" i="46"/>
  <c r="Q74" i="39"/>
  <c r="Q72" i="39"/>
  <c r="A98" i="44"/>
  <c r="B97" i="44"/>
  <c r="AJ89" i="48"/>
  <c r="AJ90" i="48"/>
  <c r="X67" i="43"/>
  <c r="AF8" i="25"/>
  <c r="X67" i="27"/>
  <c r="AH8" i="61"/>
  <c r="Y11" i="68" s="1"/>
  <c r="AP8" i="22"/>
  <c r="Y7" i="22" s="1"/>
  <c r="X6" i="22" s="1"/>
  <c r="B8" i="22"/>
  <c r="C7" i="46"/>
  <c r="AL90" i="30"/>
  <c r="AH90" i="30"/>
  <c r="AI87" i="30"/>
  <c r="AL89" i="30"/>
  <c r="AH89" i="30"/>
  <c r="AE49" i="48"/>
  <c r="AG49" i="48" s="1"/>
  <c r="R48" i="48"/>
  <c r="AE53" i="48"/>
  <c r="R44" i="48"/>
  <c r="D49" i="48"/>
  <c r="F49" i="48" s="1"/>
  <c r="H49" i="48" s="1"/>
  <c r="R52" i="48"/>
  <c r="D57" i="48"/>
  <c r="AA80" i="45"/>
  <c r="AO80" i="45" s="1"/>
  <c r="W80" i="45"/>
  <c r="AA79" i="45"/>
  <c r="AO79" i="45" s="1"/>
  <c r="W79" i="45"/>
  <c r="A89" i="48"/>
  <c r="B88" i="48"/>
  <c r="M80" i="28"/>
  <c r="I80" i="28"/>
  <c r="G79" i="28"/>
  <c r="M79" i="28"/>
  <c r="I79" i="28"/>
  <c r="G73" i="26"/>
  <c r="C72" i="26"/>
  <c r="Z95" i="32"/>
  <c r="Z94" i="32"/>
  <c r="R92" i="32"/>
  <c r="Y95" i="32"/>
  <c r="Y94" i="32"/>
  <c r="A90" i="27"/>
  <c r="B90" i="27" s="1"/>
  <c r="B89" i="27"/>
  <c r="AJ89" i="42"/>
  <c r="AJ90" i="42"/>
  <c r="A89" i="30"/>
  <c r="B88" i="30"/>
  <c r="P92" i="30"/>
  <c r="O93" i="30"/>
  <c r="A90" i="50"/>
  <c r="B90" i="50" s="1"/>
  <c r="B89" i="50"/>
  <c r="N27" i="38"/>
  <c r="L29" i="38"/>
  <c r="P27" i="38" s="1"/>
  <c r="O80" i="33"/>
  <c r="P80" i="33" s="1"/>
  <c r="P79" i="33"/>
  <c r="AJ89" i="27"/>
  <c r="AJ90" i="27"/>
  <c r="C77" i="34"/>
  <c r="G78" i="34"/>
  <c r="AA80" i="27"/>
  <c r="AO80" i="27" s="1"/>
  <c r="W80" i="27"/>
  <c r="AA79" i="27"/>
  <c r="AO79" i="27" s="1"/>
  <c r="W79" i="27"/>
  <c r="O85" i="48"/>
  <c r="P85" i="48" s="1"/>
  <c r="P84" i="48"/>
  <c r="B97" i="29"/>
  <c r="A98" i="29"/>
  <c r="B92" i="39"/>
  <c r="A93" i="39"/>
  <c r="O80" i="39"/>
  <c r="P80" i="39" s="1"/>
  <c r="P79" i="39"/>
  <c r="A106" i="49"/>
  <c r="A102" i="49"/>
  <c r="B101" i="49"/>
  <c r="C79" i="39"/>
  <c r="C78" i="39"/>
  <c r="C84" i="33"/>
  <c r="C83" i="33"/>
  <c r="P91" i="45"/>
  <c r="O96" i="45"/>
  <c r="O92" i="45"/>
  <c r="M79" i="33"/>
  <c r="I79" i="33"/>
  <c r="M80" i="33"/>
  <c r="I80" i="33"/>
  <c r="G79" i="33"/>
  <c r="A94" i="49"/>
  <c r="B93" i="49"/>
  <c r="P92" i="35"/>
  <c r="O93" i="35"/>
  <c r="AC89" i="44"/>
  <c r="AD89" i="44" s="1"/>
  <c r="AD88" i="44"/>
  <c r="AC93" i="44"/>
  <c r="K75" i="31"/>
  <c r="K74" i="31"/>
  <c r="G72" i="31"/>
  <c r="C77" i="47"/>
  <c r="G78" i="47"/>
  <c r="AA80" i="37"/>
  <c r="AO80" i="37" s="1"/>
  <c r="AP80" i="37" s="1"/>
  <c r="W80" i="37"/>
  <c r="AA79" i="37"/>
  <c r="AO79" i="37" s="1"/>
  <c r="W79" i="37"/>
  <c r="M79" i="42"/>
  <c r="I79" i="42"/>
  <c r="M80" i="42"/>
  <c r="I80" i="42"/>
  <c r="G79" i="42"/>
  <c r="A94" i="31"/>
  <c r="B93" i="31"/>
  <c r="O85" i="41"/>
  <c r="P85" i="41" s="1"/>
  <c r="P84" i="41"/>
  <c r="O101" i="59"/>
  <c r="P100" i="59"/>
  <c r="Q100" i="59" s="1"/>
  <c r="AJ89" i="31"/>
  <c r="AJ90" i="31"/>
  <c r="Q74" i="31"/>
  <c r="Q72" i="31"/>
  <c r="B97" i="47"/>
  <c r="A98" i="47"/>
  <c r="AA80" i="49"/>
  <c r="AO80" i="49" s="1"/>
  <c r="W80" i="49"/>
  <c r="AA79" i="49"/>
  <c r="AO79" i="49" s="1"/>
  <c r="W79" i="49"/>
  <c r="V43" i="48"/>
  <c r="T43" i="48"/>
  <c r="C83" i="29"/>
  <c r="C84" i="29"/>
  <c r="O101" i="41"/>
  <c r="O97" i="41"/>
  <c r="P96" i="41"/>
  <c r="C84" i="50"/>
  <c r="C83" i="50"/>
  <c r="X24" i="36"/>
  <c r="L8" i="36" s="1"/>
  <c r="AJ6" i="31"/>
  <c r="AN5" i="31" s="1"/>
  <c r="AR5" i="31" s="1"/>
  <c r="AL3" i="31"/>
  <c r="AL6" i="31" s="1"/>
  <c r="AN6" i="31" s="1"/>
  <c r="AR6" i="31" s="1"/>
  <c r="P79" i="43"/>
  <c r="O80" i="43"/>
  <c r="P80" i="43" s="1"/>
  <c r="AJ85" i="38"/>
  <c r="AJ84" i="38"/>
  <c r="H47" i="48"/>
  <c r="P29" i="59"/>
  <c r="B97" i="35"/>
  <c r="A98" i="35"/>
  <c r="AG4" i="21"/>
  <c r="O85" i="26"/>
  <c r="P85" i="26" s="1"/>
  <c r="P84" i="26"/>
  <c r="A94" i="32"/>
  <c r="B93" i="32"/>
  <c r="H8" i="23"/>
  <c r="I8" i="23" s="1"/>
  <c r="D8" i="23"/>
  <c r="F8" i="23" s="1"/>
  <c r="G8" i="23" s="1"/>
  <c r="Y70" i="49"/>
  <c r="Y69" i="49"/>
  <c r="A94" i="29"/>
  <c r="B93" i="29"/>
  <c r="C79" i="45"/>
  <c r="C78" i="45"/>
  <c r="A90" i="44"/>
  <c r="B90" i="44" s="1"/>
  <c r="B89" i="44"/>
  <c r="O85" i="36"/>
  <c r="P85" i="36" s="1"/>
  <c r="P84" i="36"/>
  <c r="P79" i="40"/>
  <c r="O80" i="40"/>
  <c r="P80" i="40" s="1"/>
  <c r="P91" i="46"/>
  <c r="O96" i="46"/>
  <c r="O92" i="46"/>
  <c r="P91" i="34"/>
  <c r="O96" i="34"/>
  <c r="O92" i="34"/>
  <c r="AL84" i="29"/>
  <c r="AH84" i="29"/>
  <c r="AL85" i="29"/>
  <c r="AH85" i="29"/>
  <c r="AI82" i="29"/>
  <c r="F4" i="20"/>
  <c r="D9" i="24"/>
  <c r="F9" i="24" s="1"/>
  <c r="G9" i="24" s="1"/>
  <c r="H9" i="24"/>
  <c r="I9" i="24" s="1"/>
  <c r="AI97" i="40"/>
  <c r="AL99" i="40"/>
  <c r="AH99" i="40"/>
  <c r="AL100" i="40"/>
  <c r="AH100" i="40"/>
  <c r="O88" i="33"/>
  <c r="P87" i="33"/>
  <c r="O92" i="43"/>
  <c r="P91" i="43"/>
  <c r="O96" i="43"/>
  <c r="AC114" i="46"/>
  <c r="AD114" i="46" s="1"/>
  <c r="AD113" i="46"/>
  <c r="AC118" i="46"/>
  <c r="O97" i="48"/>
  <c r="P96" i="48"/>
  <c r="O101" i="48"/>
  <c r="G67" i="30"/>
  <c r="K70" i="30"/>
  <c r="K69" i="30"/>
  <c r="S4" i="50"/>
  <c r="AA5" i="50"/>
  <c r="AA4" i="50"/>
  <c r="C79" i="26"/>
  <c r="C78" i="26"/>
  <c r="P91" i="28"/>
  <c r="O96" i="28"/>
  <c r="O92" i="28"/>
  <c r="G72" i="32"/>
  <c r="K74" i="32"/>
  <c r="K75" i="32"/>
  <c r="M80" i="38"/>
  <c r="I80" i="38"/>
  <c r="G79" i="38"/>
  <c r="M79" i="38"/>
  <c r="I79" i="38"/>
  <c r="B92" i="26"/>
  <c r="A93" i="26"/>
  <c r="AP74" i="33"/>
  <c r="P28" i="37"/>
  <c r="P83" i="31"/>
  <c r="Q83" i="31" s="1"/>
  <c r="O84" i="31"/>
  <c r="Y75" i="35"/>
  <c r="Y74" i="35"/>
  <c r="AK13" i="50"/>
  <c r="AK12" i="50"/>
  <c r="AQ11" i="50"/>
  <c r="AM11" i="50"/>
  <c r="AQ10" i="50"/>
  <c r="AM10" i="50"/>
  <c r="Q77" i="38"/>
  <c r="Q79" i="38"/>
  <c r="G72" i="42"/>
  <c r="K75" i="42"/>
  <c r="K74" i="42"/>
  <c r="AJ90" i="50"/>
  <c r="AJ89" i="50"/>
  <c r="Y75" i="42"/>
  <c r="Y74" i="42"/>
  <c r="P116" i="32"/>
  <c r="O121" i="32"/>
  <c r="O117" i="32"/>
  <c r="B97" i="50"/>
  <c r="A98" i="50"/>
  <c r="B101" i="42"/>
  <c r="A106" i="42"/>
  <c r="A102" i="42"/>
  <c r="AC94" i="45"/>
  <c r="AD94" i="45" s="1"/>
  <c r="AD93" i="45"/>
  <c r="AC98" i="45"/>
  <c r="A90" i="28"/>
  <c r="B90" i="28" s="1"/>
  <c r="B89" i="28"/>
  <c r="A93" i="36"/>
  <c r="B92" i="36"/>
  <c r="O89" i="35"/>
  <c r="P88" i="35"/>
  <c r="Q88" i="35" s="1"/>
  <c r="H62" i="50"/>
  <c r="X72" i="38"/>
  <c r="C83" i="38"/>
  <c r="C84" i="38"/>
  <c r="AV5" i="20"/>
  <c r="AG58" i="50"/>
  <c r="AJ90" i="49"/>
  <c r="AJ89" i="49"/>
  <c r="AJ90" i="37"/>
  <c r="AJ89" i="37"/>
  <c r="P91" i="50"/>
  <c r="O96" i="50"/>
  <c r="O92" i="50"/>
  <c r="AC94" i="28"/>
  <c r="AD94" i="28" s="1"/>
  <c r="AD93" i="28"/>
  <c r="AC98" i="28"/>
  <c r="B89" i="47"/>
  <c r="A90" i="47"/>
  <c r="B90" i="47" s="1"/>
  <c r="G67" i="26"/>
  <c r="K69" i="26"/>
  <c r="K70" i="26"/>
  <c r="AJ89" i="33"/>
  <c r="AJ90" i="33"/>
  <c r="Y75" i="38"/>
  <c r="Y74" i="38"/>
  <c r="AE54" i="49"/>
  <c r="AG54" i="49" s="1"/>
  <c r="AE58" i="49"/>
  <c r="D54" i="49"/>
  <c r="R53" i="49"/>
  <c r="D58" i="49"/>
  <c r="F58" i="49" s="1"/>
  <c r="H58" i="49" s="1"/>
  <c r="D62" i="49"/>
  <c r="R57" i="49"/>
  <c r="F54" i="50"/>
  <c r="J52" i="50"/>
  <c r="F8" i="24"/>
  <c r="W85" i="47"/>
  <c r="AA84" i="47"/>
  <c r="AO84" i="47" s="1"/>
  <c r="AA85" i="47"/>
  <c r="AO85" i="47" s="1"/>
  <c r="W84" i="47"/>
  <c r="AL90" i="49"/>
  <c r="AI87" i="49"/>
  <c r="AH89" i="49"/>
  <c r="AL89" i="49"/>
  <c r="AH90" i="49"/>
  <c r="F67" i="50"/>
  <c r="AI87" i="37"/>
  <c r="AL89" i="37"/>
  <c r="AH89" i="37"/>
  <c r="AL90" i="37"/>
  <c r="AH90" i="37"/>
  <c r="P83" i="27"/>
  <c r="Q83" i="27" s="1"/>
  <c r="O84" i="27"/>
  <c r="X72" i="26"/>
  <c r="Q77" i="35"/>
  <c r="Q79" i="35"/>
  <c r="Y70" i="50"/>
  <c r="Y69" i="50"/>
  <c r="AA15" i="50"/>
  <c r="AA16" i="50"/>
  <c r="W13" i="50"/>
  <c r="A90" i="40"/>
  <c r="B90" i="40" s="1"/>
  <c r="B89" i="40"/>
  <c r="AG53" i="49"/>
  <c r="Q79" i="48"/>
  <c r="Q77" i="48"/>
  <c r="A89" i="26"/>
  <c r="B88" i="26"/>
  <c r="B97" i="38"/>
  <c r="A98" i="38"/>
  <c r="Q74" i="33"/>
  <c r="Q72" i="33"/>
  <c r="W105" i="32"/>
  <c r="AA104" i="32"/>
  <c r="AO104" i="32" s="1"/>
  <c r="AP104" i="32" s="1"/>
  <c r="W104" i="32"/>
  <c r="AA105" i="32"/>
  <c r="AO105" i="32" s="1"/>
  <c r="AP105" i="32" s="1"/>
  <c r="M28" i="50"/>
  <c r="O27" i="50"/>
  <c r="O28" i="50"/>
  <c r="J28" i="50"/>
  <c r="L28" i="50" s="1"/>
  <c r="AK4" i="50"/>
  <c r="N19" i="36"/>
  <c r="L5" i="36" s="1"/>
  <c r="N18" i="36"/>
  <c r="L4" i="36" s="1"/>
  <c r="C77" i="49"/>
  <c r="G78" i="49"/>
  <c r="O92" i="44"/>
  <c r="P91" i="44"/>
  <c r="O96" i="44"/>
  <c r="AN11" i="38"/>
  <c r="AR11" i="38" s="1"/>
  <c r="AL12" i="38" s="1"/>
  <c r="L10" i="38" s="1"/>
  <c r="O96" i="59"/>
  <c r="P96" i="59" s="1"/>
  <c r="P95" i="59"/>
  <c r="Z23" i="34"/>
  <c r="AD23" i="34" s="1"/>
  <c r="X25" i="34" s="1"/>
  <c r="L9" i="34" s="1"/>
  <c r="V34" i="47"/>
  <c r="V35" i="47" s="1"/>
  <c r="X35" i="47" s="1"/>
  <c r="AB35" i="47" s="1"/>
  <c r="T34" i="47"/>
  <c r="T35" i="47" s="1"/>
  <c r="X34" i="47" s="1"/>
  <c r="AB34" i="47" s="1"/>
  <c r="A106" i="27"/>
  <c r="A102" i="27"/>
  <c r="B101" i="27"/>
  <c r="M80" i="32"/>
  <c r="I80" i="32"/>
  <c r="G79" i="32"/>
  <c r="I79" i="32"/>
  <c r="M79" i="32"/>
  <c r="A94" i="42"/>
  <c r="B93" i="42"/>
  <c r="P79" i="34"/>
  <c r="O80" i="34"/>
  <c r="P80" i="34" s="1"/>
  <c r="A89" i="36"/>
  <c r="B88" i="36"/>
  <c r="P83" i="44"/>
  <c r="Q83" i="44" s="1"/>
  <c r="O84" i="44"/>
  <c r="V16" i="31"/>
  <c r="Z15" i="31" s="1"/>
  <c r="X13" i="31"/>
  <c r="X16" i="31" s="1"/>
  <c r="Z16" i="31" s="1"/>
  <c r="AJ85" i="47"/>
  <c r="AJ84" i="47"/>
  <c r="X67" i="39"/>
  <c r="P91" i="49"/>
  <c r="O96" i="49"/>
  <c r="O92" i="49"/>
  <c r="A89" i="39"/>
  <c r="B88" i="39"/>
  <c r="AA80" i="46"/>
  <c r="AO80" i="46" s="1"/>
  <c r="W80" i="46"/>
  <c r="AA79" i="46"/>
  <c r="AO79" i="46" s="1"/>
  <c r="W79" i="46"/>
  <c r="C77" i="44"/>
  <c r="G78" i="44"/>
  <c r="Q89" i="59"/>
  <c r="Q87" i="59"/>
  <c r="X72" i="30"/>
  <c r="AA6" i="23"/>
  <c r="AG6" i="23" s="1"/>
  <c r="B92" i="43"/>
  <c r="A93" i="43"/>
  <c r="M75" i="43"/>
  <c r="I74" i="43"/>
  <c r="I75" i="43"/>
  <c r="G74" i="43"/>
  <c r="M74" i="43"/>
  <c r="P92" i="38"/>
  <c r="O93" i="38"/>
  <c r="O85" i="30"/>
  <c r="P85" i="30" s="1"/>
  <c r="P84" i="30"/>
  <c r="M18" i="50"/>
  <c r="O15" i="50"/>
  <c r="M19" i="50"/>
  <c r="O16" i="50"/>
  <c r="Y70" i="40"/>
  <c r="Y69" i="40"/>
  <c r="N27" i="47"/>
  <c r="N29" i="47" s="1"/>
  <c r="P28" i="47" s="1"/>
  <c r="L29" i="47"/>
  <c r="P27" i="47" s="1"/>
  <c r="O80" i="44"/>
  <c r="P80" i="44" s="1"/>
  <c r="P79" i="44"/>
  <c r="A106" i="31"/>
  <c r="A102" i="31"/>
  <c r="B101" i="31"/>
  <c r="AV4" i="53"/>
  <c r="AK5" i="61"/>
  <c r="C10" i="49"/>
  <c r="D67" i="49" s="1"/>
  <c r="F67" i="49" s="1"/>
  <c r="B5" i="19"/>
  <c r="B5" i="53"/>
  <c r="AP5" i="19"/>
  <c r="Y4" i="19" s="1"/>
  <c r="AP5" i="53"/>
  <c r="Y4" i="53" s="1"/>
  <c r="V37" i="46"/>
  <c r="T37" i="46"/>
  <c r="O97" i="26"/>
  <c r="P96" i="26"/>
  <c r="O101" i="26"/>
  <c r="K74" i="28"/>
  <c r="G72" i="28"/>
  <c r="K75" i="28"/>
  <c r="A106" i="44"/>
  <c r="A102" i="44"/>
  <c r="B101" i="44"/>
  <c r="AL90" i="48"/>
  <c r="AH90" i="48"/>
  <c r="AI87" i="48"/>
  <c r="AL89" i="48"/>
  <c r="AH89" i="48"/>
  <c r="Y70" i="43"/>
  <c r="Y69" i="43"/>
  <c r="O88" i="40"/>
  <c r="P87" i="40"/>
  <c r="P88" i="48"/>
  <c r="Q88" i="48" s="1"/>
  <c r="O89" i="48"/>
  <c r="R43" i="47"/>
  <c r="AE48" i="47"/>
  <c r="AE44" i="47"/>
  <c r="AG44" i="47" s="1"/>
  <c r="D44" i="47"/>
  <c r="F44" i="47" s="1"/>
  <c r="H44" i="47" s="1"/>
  <c r="D48" i="47"/>
  <c r="F48" i="47" s="1"/>
  <c r="H48" i="47" s="1"/>
  <c r="R39" i="47"/>
  <c r="AC98" i="30"/>
  <c r="AC94" i="30"/>
  <c r="AD94" i="30" s="1"/>
  <c r="AD93" i="30"/>
  <c r="AV6" i="21"/>
  <c r="Q72" i="46"/>
  <c r="Q74" i="46"/>
  <c r="P79" i="45"/>
  <c r="O80" i="45"/>
  <c r="P80" i="45" s="1"/>
  <c r="Q74" i="44"/>
  <c r="Q72" i="44"/>
  <c r="C72" i="46"/>
  <c r="G73" i="46"/>
  <c r="M74" i="26"/>
  <c r="I74" i="26"/>
  <c r="M75" i="26"/>
  <c r="I75" i="26"/>
  <c r="G74" i="26"/>
  <c r="A94" i="38"/>
  <c r="B93" i="38"/>
  <c r="G73" i="48"/>
  <c r="C72" i="48"/>
  <c r="Z28" i="31"/>
  <c r="AL90" i="42"/>
  <c r="AH90" i="42"/>
  <c r="AI87" i="42"/>
  <c r="AL89" i="42"/>
  <c r="AH89" i="42"/>
  <c r="O92" i="31"/>
  <c r="P91" i="31"/>
  <c r="O96" i="31"/>
  <c r="AA85" i="29"/>
  <c r="AO85" i="29" s="1"/>
  <c r="AP85" i="29" s="1"/>
  <c r="W85" i="29"/>
  <c r="AA84" i="29"/>
  <c r="AO84" i="29" s="1"/>
  <c r="W84" i="29"/>
  <c r="AN16" i="31"/>
  <c r="AA80" i="33"/>
  <c r="AO80" i="33" s="1"/>
  <c r="AP80" i="33" s="1"/>
  <c r="W80" i="33"/>
  <c r="AA79" i="33"/>
  <c r="AO79" i="33" s="1"/>
  <c r="W79" i="33"/>
  <c r="AA80" i="50"/>
  <c r="AO80" i="50" s="1"/>
  <c r="W80" i="50"/>
  <c r="AA79" i="50"/>
  <c r="AO79" i="50" s="1"/>
  <c r="W79" i="50"/>
  <c r="AL90" i="27"/>
  <c r="AH90" i="27"/>
  <c r="AI87" i="27"/>
  <c r="AL89" i="27"/>
  <c r="AH89" i="27"/>
  <c r="K75" i="27"/>
  <c r="K74" i="27"/>
  <c r="G72" i="27"/>
  <c r="R62" i="50"/>
  <c r="M80" i="34"/>
  <c r="I80" i="34"/>
  <c r="G79" i="34"/>
  <c r="M79" i="34"/>
  <c r="I79" i="34"/>
  <c r="AL102" i="59"/>
  <c r="AL101" i="59"/>
  <c r="A94" i="27"/>
  <c r="B93" i="27"/>
  <c r="AA85" i="48"/>
  <c r="AO85" i="48" s="1"/>
  <c r="W85" i="48"/>
  <c r="AA84" i="48"/>
  <c r="AO84" i="48" s="1"/>
  <c r="W84" i="48"/>
  <c r="P83" i="49"/>
  <c r="Q83" i="49" s="1"/>
  <c r="O84" i="49"/>
  <c r="B101" i="29"/>
  <c r="A106" i="29"/>
  <c r="A102" i="29"/>
  <c r="B96" i="39"/>
  <c r="A97" i="39"/>
  <c r="A101" i="39"/>
  <c r="AA80" i="39"/>
  <c r="AO80" i="39" s="1"/>
  <c r="AP80" i="39" s="1"/>
  <c r="W80" i="39"/>
  <c r="AA79" i="39"/>
  <c r="AO79" i="39" s="1"/>
  <c r="AP79" i="39" s="1"/>
  <c r="W79" i="39"/>
  <c r="P92" i="29"/>
  <c r="O93" i="29"/>
  <c r="N27" i="30"/>
  <c r="N29" i="30" s="1"/>
  <c r="P28" i="30" s="1"/>
  <c r="L29" i="30"/>
  <c r="P27" i="30" s="1"/>
  <c r="A90" i="31"/>
  <c r="B90" i="31" s="1"/>
  <c r="B89" i="31"/>
  <c r="AC89" i="41"/>
  <c r="AD89" i="41" s="1"/>
  <c r="AD88" i="41"/>
  <c r="AC93" i="41"/>
  <c r="AJ89" i="26"/>
  <c r="AJ90" i="26"/>
  <c r="N18" i="40"/>
  <c r="L4" i="40" s="1"/>
  <c r="N19" i="40"/>
  <c r="L5" i="40" s="1"/>
  <c r="X22" i="31"/>
  <c r="X23" i="31" s="1"/>
  <c r="V22" i="31"/>
  <c r="V23" i="31" s="1"/>
  <c r="Z22" i="31" s="1"/>
  <c r="N18" i="37"/>
  <c r="L4" i="37" s="1"/>
  <c r="N19" i="37"/>
  <c r="L5" i="37" s="1"/>
  <c r="AA85" i="35"/>
  <c r="AO85" i="35" s="1"/>
  <c r="AP85" i="35" s="1"/>
  <c r="W85" i="35"/>
  <c r="AA84" i="35"/>
  <c r="AO84" i="35" s="1"/>
  <c r="W84" i="35"/>
  <c r="B96" i="46"/>
  <c r="A97" i="46"/>
  <c r="A101" i="46"/>
  <c r="O101" i="35"/>
  <c r="O97" i="35"/>
  <c r="P96" i="35"/>
  <c r="AJ84" i="44"/>
  <c r="AJ85" i="44"/>
  <c r="M80" i="47"/>
  <c r="G79" i="47"/>
  <c r="I80" i="47"/>
  <c r="M79" i="47"/>
  <c r="I79" i="47"/>
  <c r="P79" i="37"/>
  <c r="O80" i="37"/>
  <c r="P80" i="37" s="1"/>
  <c r="Y70" i="31"/>
  <c r="Y69" i="31"/>
  <c r="Z5" i="40"/>
  <c r="AD5" i="40" s="1"/>
  <c r="X6" i="40" s="1"/>
  <c r="K74" i="50"/>
  <c r="G72" i="50"/>
  <c r="K75" i="50"/>
  <c r="C77" i="50"/>
  <c r="G78" i="50"/>
  <c r="AO11" i="50"/>
  <c r="AO10" i="50"/>
  <c r="AG10" i="50"/>
  <c r="Y4" i="20"/>
  <c r="AA8" i="24"/>
  <c r="AL90" i="31"/>
  <c r="AH90" i="31"/>
  <c r="AI87" i="31"/>
  <c r="AL89" i="31"/>
  <c r="AH89" i="31"/>
  <c r="O92" i="27"/>
  <c r="P91" i="27"/>
  <c r="O96" i="27"/>
  <c r="K75" i="49"/>
  <c r="K74" i="49"/>
  <c r="G72" i="49"/>
  <c r="B101" i="47"/>
  <c r="A106" i="47"/>
  <c r="A102" i="47"/>
  <c r="O92" i="39"/>
  <c r="P91" i="39"/>
  <c r="O96" i="39"/>
  <c r="AP74" i="40"/>
  <c r="AC94" i="34"/>
  <c r="AD94" i="34" s="1"/>
  <c r="AD93" i="34"/>
  <c r="AC98" i="34"/>
  <c r="AG55" i="50"/>
  <c r="P28" i="40"/>
  <c r="AJ89" i="39"/>
  <c r="AJ90" i="39"/>
  <c r="O97" i="42"/>
  <c r="P96" i="42"/>
  <c r="O101" i="42"/>
  <c r="W80" i="43"/>
  <c r="AA79" i="43"/>
  <c r="AO79" i="43" s="1"/>
  <c r="AA80" i="43"/>
  <c r="AO80" i="43" s="1"/>
  <c r="AP80" i="43" s="1"/>
  <c r="W79" i="43"/>
  <c r="AL84" i="38"/>
  <c r="AH84" i="38"/>
  <c r="AL85" i="38"/>
  <c r="AH85" i="38"/>
  <c r="AI82" i="38"/>
  <c r="AC94" i="36"/>
  <c r="AD94" i="36" s="1"/>
  <c r="AD93" i="36"/>
  <c r="AC98" i="36"/>
  <c r="N27" i="44"/>
  <c r="N29" i="44" s="1"/>
  <c r="P28" i="44" s="1"/>
  <c r="L29" i="44"/>
  <c r="P27" i="44" s="1"/>
  <c r="X72" i="47"/>
  <c r="P28" i="39"/>
  <c r="B101" i="35"/>
  <c r="A106" i="35"/>
  <c r="A102" i="35"/>
  <c r="AA85" i="26"/>
  <c r="AO85" i="26" s="1"/>
  <c r="AP85" i="26" s="1"/>
  <c r="W85" i="26"/>
  <c r="AA84" i="26"/>
  <c r="AO84" i="26" s="1"/>
  <c r="AP84" i="26" s="1"/>
  <c r="W84" i="26"/>
  <c r="AE39" i="46"/>
  <c r="AG39" i="46" s="1"/>
  <c r="D39" i="46"/>
  <c r="F39" i="46" s="1"/>
  <c r="H39" i="46" s="1"/>
  <c r="R38" i="46"/>
  <c r="R34" i="46"/>
  <c r="D43" i="46"/>
  <c r="F43" i="46" s="1"/>
  <c r="H43" i="46" s="1"/>
  <c r="AE43" i="46"/>
  <c r="R42" i="46"/>
  <c r="D47" i="46"/>
  <c r="X67" i="49"/>
  <c r="H42" i="47"/>
  <c r="Q77" i="47"/>
  <c r="Q79" i="47"/>
  <c r="AA85" i="36"/>
  <c r="AO85" i="36" s="1"/>
  <c r="AP85" i="36" s="1"/>
  <c r="W85" i="36"/>
  <c r="AA84" i="36"/>
  <c r="AO84" i="36" s="1"/>
  <c r="AP84" i="36" s="1"/>
  <c r="W84" i="36"/>
  <c r="O80" i="31"/>
  <c r="P80" i="31" s="1"/>
  <c r="P79" i="31"/>
  <c r="N18" i="32"/>
  <c r="L4" i="32" s="1"/>
  <c r="AP54" i="32" s="1"/>
  <c r="N19" i="32"/>
  <c r="L5" i="32" s="1"/>
  <c r="AP55" i="32" s="1"/>
  <c r="M83" i="59"/>
  <c r="M84" i="59"/>
  <c r="G83" i="59"/>
  <c r="AV9" i="24"/>
  <c r="Q74" i="27"/>
  <c r="Q72" i="27"/>
  <c r="P88" i="26"/>
  <c r="Q88" i="26" s="1"/>
  <c r="O89" i="26"/>
  <c r="AJ90" i="32"/>
  <c r="AJ89" i="32"/>
  <c r="G73" i="30"/>
  <c r="C72" i="30"/>
  <c r="L29" i="27"/>
  <c r="P27" i="27" s="1"/>
  <c r="N27" i="27"/>
  <c r="N29" i="27" s="1"/>
  <c r="P28" i="27" s="1"/>
  <c r="AJ110" i="46"/>
  <c r="AJ109" i="46"/>
  <c r="A94" i="47"/>
  <c r="B93" i="47"/>
  <c r="A90" i="38"/>
  <c r="B90" i="38" s="1"/>
  <c r="B89" i="38"/>
  <c r="X67" i="28"/>
  <c r="C77" i="31"/>
  <c r="G78" i="31"/>
  <c r="Q77" i="41"/>
  <c r="Q79" i="41"/>
  <c r="C77" i="38"/>
  <c r="G78" i="38"/>
  <c r="C77" i="27"/>
  <c r="G78" i="27"/>
  <c r="C79" i="48"/>
  <c r="C78" i="48"/>
  <c r="B96" i="26"/>
  <c r="A101" i="26"/>
  <c r="A97" i="26"/>
  <c r="N27" i="37"/>
  <c r="L29" i="37"/>
  <c r="P27" i="37" s="1"/>
  <c r="L6" i="37" s="1"/>
  <c r="P88" i="30"/>
  <c r="Q88" i="30" s="1"/>
  <c r="O89" i="30"/>
  <c r="AC9" i="50"/>
  <c r="Y9" i="50"/>
  <c r="Z7" i="50"/>
  <c r="AC10" i="50"/>
  <c r="Y10" i="50"/>
  <c r="A94" i="35"/>
  <c r="B93" i="35"/>
  <c r="P16" i="38"/>
  <c r="N19" i="38" s="1"/>
  <c r="L5" i="38" s="1"/>
  <c r="C79" i="37"/>
  <c r="C78" i="37"/>
  <c r="B101" i="32"/>
  <c r="A102" i="32"/>
  <c r="A106" i="32"/>
  <c r="G73" i="39"/>
  <c r="C72" i="39"/>
  <c r="AI87" i="50"/>
  <c r="AL89" i="50"/>
  <c r="AH89" i="50"/>
  <c r="AL90" i="50"/>
  <c r="AH90" i="50"/>
  <c r="X72" i="42"/>
  <c r="B101" i="50"/>
  <c r="A106" i="50"/>
  <c r="A102" i="50"/>
  <c r="AJ90" i="45"/>
  <c r="AJ89" i="45"/>
  <c r="A101" i="36"/>
  <c r="A97" i="36"/>
  <c r="B96" i="36"/>
  <c r="A90" i="32"/>
  <c r="B90" i="32" s="1"/>
  <c r="B89" i="32"/>
  <c r="AP79" i="36"/>
  <c r="O84" i="34"/>
  <c r="P83" i="34"/>
  <c r="Q83" i="34" s="1"/>
  <c r="A90" i="41"/>
  <c r="B90" i="41" s="1"/>
  <c r="B89" i="41"/>
  <c r="T53" i="50"/>
  <c r="V53" i="50"/>
  <c r="AC98" i="49"/>
  <c r="AC94" i="49"/>
  <c r="AD94" i="49" s="1"/>
  <c r="AD93" i="49"/>
  <c r="K74" i="29"/>
  <c r="G72" i="29"/>
  <c r="K75" i="29"/>
  <c r="O88" i="37"/>
  <c r="P87" i="37"/>
  <c r="AP74" i="39"/>
  <c r="A98" i="33"/>
  <c r="B97" i="33"/>
  <c r="AC15" i="50"/>
  <c r="Y15" i="50"/>
  <c r="AC16" i="50"/>
  <c r="Y16" i="50"/>
  <c r="W15" i="50"/>
  <c r="O84" i="28"/>
  <c r="P83" i="28"/>
  <c r="Q83" i="28" s="1"/>
  <c r="V44" i="49"/>
  <c r="V45" i="49" s="1"/>
  <c r="T44" i="49"/>
  <c r="T45" i="49" s="1"/>
  <c r="X44" i="49" s="1"/>
  <c r="Y75" i="36"/>
  <c r="Y74" i="36"/>
  <c r="AP79" i="41"/>
  <c r="Y75" i="48"/>
  <c r="Y74" i="48"/>
  <c r="B101" i="38"/>
  <c r="A106" i="38"/>
  <c r="A102" i="38"/>
  <c r="P104" i="32"/>
  <c r="O105" i="32"/>
  <c r="P105" i="32" s="1"/>
  <c r="AC89" i="35"/>
  <c r="AD89" i="35" s="1"/>
  <c r="AD88" i="35"/>
  <c r="AC93" i="35"/>
  <c r="B92" i="30"/>
  <c r="A93" i="30"/>
  <c r="J27" i="50"/>
  <c r="M27" i="50"/>
  <c r="AQ5" i="50"/>
  <c r="AM5" i="50"/>
  <c r="AK5" i="50"/>
  <c r="AQ6" i="50"/>
  <c r="AM6" i="50"/>
  <c r="M79" i="49"/>
  <c r="I79" i="49"/>
  <c r="M80" i="49"/>
  <c r="I80" i="49"/>
  <c r="G79" i="49"/>
  <c r="A94" i="40"/>
  <c r="B93" i="40"/>
  <c r="M80" i="29"/>
  <c r="I80" i="29"/>
  <c r="G79" i="29"/>
  <c r="M79" i="29"/>
  <c r="I79" i="29"/>
  <c r="B97" i="34"/>
  <c r="A98" i="34"/>
  <c r="K69" i="46"/>
  <c r="G67" i="46"/>
  <c r="K70" i="46"/>
  <c r="V38" i="47"/>
  <c r="T38" i="47"/>
  <c r="C84" i="40"/>
  <c r="C83" i="40"/>
  <c r="W83" i="59"/>
  <c r="Y84" i="59"/>
  <c r="Y83" i="59"/>
  <c r="W84" i="59"/>
  <c r="K74" i="47"/>
  <c r="G72" i="47"/>
  <c r="K75" i="47"/>
  <c r="M80" i="35"/>
  <c r="I80" i="35"/>
  <c r="G79" i="35"/>
  <c r="M79" i="35"/>
  <c r="I79" i="35"/>
  <c r="C72" i="45"/>
  <c r="G73" i="45"/>
  <c r="AI82" i="47"/>
  <c r="AL84" i="47"/>
  <c r="AH85" i="47"/>
  <c r="AL85" i="47"/>
  <c r="AH84" i="47"/>
  <c r="K74" i="34"/>
  <c r="G72" i="34"/>
  <c r="K75" i="34"/>
  <c r="P79" i="46"/>
  <c r="O80" i="46"/>
  <c r="P80" i="46" s="1"/>
  <c r="M79" i="44"/>
  <c r="I79" i="44"/>
  <c r="M80" i="44"/>
  <c r="I80" i="44"/>
  <c r="G79" i="44"/>
  <c r="B96" i="43"/>
  <c r="A101" i="43"/>
  <c r="A97" i="43"/>
  <c r="J50" i="50"/>
  <c r="J49" i="50"/>
  <c r="O101" i="38"/>
  <c r="O97" i="38"/>
  <c r="P96" i="38"/>
  <c r="G67" i="36"/>
  <c r="K70" i="36"/>
  <c r="K69" i="36"/>
  <c r="AA85" i="30"/>
  <c r="AO85" i="30" s="1"/>
  <c r="AP85" i="30" s="1"/>
  <c r="W85" i="30"/>
  <c r="AA84" i="30"/>
  <c r="AO84" i="30" s="1"/>
  <c r="AP84" i="30" s="1"/>
  <c r="W84" i="30"/>
  <c r="N21" i="50"/>
  <c r="M23" i="50"/>
  <c r="M22" i="50"/>
  <c r="AA80" i="44"/>
  <c r="AO80" i="44" s="1"/>
  <c r="AP80" i="44" s="1"/>
  <c r="W80" i="44"/>
  <c r="AA79" i="44"/>
  <c r="AO79" i="44" s="1"/>
  <c r="AP79" i="44" s="1"/>
  <c r="W79" i="44"/>
  <c r="AV4" i="19"/>
  <c r="AG34" i="46"/>
  <c r="AG35" i="46" s="1"/>
  <c r="AE35" i="46"/>
  <c r="AI34" i="46" s="1"/>
  <c r="AM34" i="46" s="1"/>
  <c r="AS34" i="46" s="1"/>
  <c r="P105" i="59"/>
  <c r="O106" i="59"/>
  <c r="AP74" i="31"/>
  <c r="O84" i="37"/>
  <c r="P83" i="37"/>
  <c r="Q83" i="37" s="1"/>
  <c r="AC98" i="48"/>
  <c r="AC94" i="48"/>
  <c r="AD94" i="48" s="1"/>
  <c r="AD93" i="48"/>
  <c r="P91" i="40"/>
  <c r="O96" i="40"/>
  <c r="O92" i="40"/>
  <c r="AV7" i="22"/>
  <c r="A94" i="33"/>
  <c r="B93" i="33"/>
  <c r="H6" i="21"/>
  <c r="I6" i="21" s="1"/>
  <c r="D6" i="21"/>
  <c r="X67" i="46"/>
  <c r="M75" i="46"/>
  <c r="I75" i="46"/>
  <c r="G74" i="46"/>
  <c r="M74" i="46"/>
  <c r="I74" i="46"/>
  <c r="C83" i="35"/>
  <c r="C84" i="35"/>
  <c r="M74" i="48"/>
  <c r="I74" i="48"/>
  <c r="M75" i="48"/>
  <c r="I75" i="48"/>
  <c r="G74" i="48"/>
  <c r="AC98" i="42"/>
  <c r="AC94" i="42"/>
  <c r="AD94" i="42" s="1"/>
  <c r="AD93" i="42"/>
  <c r="O97" i="30"/>
  <c r="P96" i="30"/>
  <c r="O101" i="30"/>
  <c r="O85" i="29"/>
  <c r="P85" i="29" s="1"/>
  <c r="P84" i="29"/>
  <c r="M74" i="36"/>
  <c r="I74" i="36"/>
  <c r="M75" i="36"/>
  <c r="I75" i="36"/>
  <c r="G74" i="36"/>
  <c r="G67" i="48"/>
  <c r="K70" i="48"/>
  <c r="K69" i="48"/>
  <c r="A94" i="34"/>
  <c r="B93" i="34"/>
  <c r="M80" i="41"/>
  <c r="I80" i="41"/>
  <c r="G79" i="41"/>
  <c r="M79" i="41"/>
  <c r="I79" i="41"/>
  <c r="P79" i="50"/>
  <c r="O80" i="50"/>
  <c r="P80" i="50" s="1"/>
  <c r="X72" i="29"/>
  <c r="Q72" i="50"/>
  <c r="Q74" i="50"/>
  <c r="O97" i="36"/>
  <c r="O101" i="36"/>
  <c r="P96" i="36"/>
  <c r="AN101" i="59"/>
  <c r="AJ101" i="59"/>
  <c r="AN102" i="59"/>
  <c r="AJ102" i="59"/>
  <c r="AK99" i="59"/>
  <c r="AA85" i="38"/>
  <c r="AO85" i="38" s="1"/>
  <c r="AP85" i="38" s="1"/>
  <c r="W85" i="38"/>
  <c r="AA84" i="38"/>
  <c r="AO84" i="38" s="1"/>
  <c r="W84" i="38"/>
  <c r="L11" i="40"/>
  <c r="Q79" i="42"/>
  <c r="Q77" i="42"/>
  <c r="O101" i="29"/>
  <c r="O97" i="29"/>
  <c r="P96" i="29"/>
  <c r="A89" i="46"/>
  <c r="B88" i="46"/>
  <c r="B97" i="49"/>
  <c r="A98" i="49"/>
  <c r="G4" i="21"/>
  <c r="P88" i="47"/>
  <c r="Q88" i="47" s="1"/>
  <c r="O89" i="47"/>
  <c r="AJ85" i="41"/>
  <c r="AJ84" i="41"/>
  <c r="AL90" i="26"/>
  <c r="AH90" i="26"/>
  <c r="AI87" i="26"/>
  <c r="AL89" i="26"/>
  <c r="AH89" i="26"/>
  <c r="O85" i="35"/>
  <c r="P85" i="35" s="1"/>
  <c r="P84" i="35"/>
  <c r="B92" i="46"/>
  <c r="A93" i="46"/>
  <c r="AG40" i="47"/>
  <c r="P96" i="47"/>
  <c r="O97" i="47"/>
  <c r="O101" i="47"/>
  <c r="L29" i="26"/>
  <c r="P27" i="26" s="1"/>
  <c r="N27" i="26"/>
  <c r="N29" i="26" s="1"/>
  <c r="P28" i="26" s="1"/>
  <c r="AL85" i="44"/>
  <c r="AH85" i="44"/>
  <c r="AI82" i="44"/>
  <c r="AL84" i="44"/>
  <c r="AH84" i="44"/>
  <c r="O85" i="42"/>
  <c r="P85" i="42" s="1"/>
  <c r="P84" i="42"/>
  <c r="C79" i="43"/>
  <c r="C78" i="43"/>
  <c r="Y70" i="44"/>
  <c r="Y69" i="44"/>
  <c r="X67" i="31"/>
  <c r="M80" i="50"/>
  <c r="I80" i="50"/>
  <c r="G79" i="50"/>
  <c r="M79" i="50"/>
  <c r="I79" i="50"/>
  <c r="AA80" i="28"/>
  <c r="AO80" i="28" s="1"/>
  <c r="AP80" i="28" s="1"/>
  <c r="W80" i="28"/>
  <c r="AA79" i="28"/>
  <c r="AO79" i="28" s="1"/>
  <c r="AP79" i="28" s="1"/>
  <c r="W79" i="28"/>
  <c r="L29" i="31"/>
  <c r="P27" i="31" s="1"/>
  <c r="N27" i="31"/>
  <c r="N29" i="31" s="1"/>
  <c r="P28" i="31" s="1"/>
  <c r="Q72" i="43"/>
  <c r="Q74" i="43"/>
  <c r="A85" i="48"/>
  <c r="B85" i="48" s="1"/>
  <c r="B84" i="48"/>
  <c r="A94" i="44"/>
  <c r="B93" i="44"/>
  <c r="AG48" i="48"/>
  <c r="W25" i="50"/>
  <c r="W24" i="50"/>
  <c r="AC23" i="50"/>
  <c r="Y23" i="50"/>
  <c r="AC22" i="50"/>
  <c r="Y22" i="50"/>
  <c r="A90" i="35"/>
  <c r="B90" i="35" s="1"/>
  <c r="B89" i="35"/>
  <c r="AJ90" i="34"/>
  <c r="AJ89" i="34"/>
  <c r="AE55" i="50"/>
  <c r="AI54" i="50" s="1"/>
  <c r="N27" i="40"/>
  <c r="L29" i="40"/>
  <c r="P27" i="40" s="1"/>
  <c r="A90" i="34"/>
  <c r="B90" i="34" s="1"/>
  <c r="B89" i="34"/>
  <c r="AL90" i="39"/>
  <c r="AH90" i="39"/>
  <c r="AI87" i="39"/>
  <c r="AL89" i="39"/>
  <c r="AH89" i="39"/>
  <c r="C84" i="31"/>
  <c r="C83" i="31"/>
  <c r="N19" i="35"/>
  <c r="L5" i="35" s="1"/>
  <c r="N18" i="35"/>
  <c r="L4" i="35" s="1"/>
  <c r="AJ89" i="36"/>
  <c r="AJ90" i="36"/>
  <c r="Y75" i="47"/>
  <c r="Y74" i="47"/>
  <c r="N27" i="39"/>
  <c r="L29" i="39"/>
  <c r="P27" i="39" s="1"/>
  <c r="B100" i="59"/>
  <c r="A101" i="59"/>
  <c r="AV8" i="23"/>
  <c r="C77" i="40"/>
  <c r="G78" i="40"/>
  <c r="C72" i="37"/>
  <c r="G73" i="37"/>
  <c r="J47" i="49"/>
  <c r="AA80" i="31"/>
  <c r="AO80" i="31" s="1"/>
  <c r="AP80" i="31" s="1"/>
  <c r="W80" i="31"/>
  <c r="AA79" i="31"/>
  <c r="AO79" i="31" s="1"/>
  <c r="W79" i="31"/>
  <c r="A90" i="33"/>
  <c r="B90" i="33" s="1"/>
  <c r="B89" i="33"/>
  <c r="AC89" i="29"/>
  <c r="AD89" i="29" s="1"/>
  <c r="AD88" i="29"/>
  <c r="AC93" i="29"/>
  <c r="C81" i="59"/>
  <c r="G82" i="59"/>
  <c r="C84" i="32"/>
  <c r="C83" i="32"/>
  <c r="B97" i="28"/>
  <c r="A98" i="28"/>
  <c r="AF10" i="61"/>
  <c r="W13" i="68" s="1"/>
  <c r="B10" i="24"/>
  <c r="C5" i="44"/>
  <c r="AP10" i="24"/>
  <c r="Y9" i="24" s="1"/>
  <c r="AC104" i="40"/>
  <c r="AD104" i="40" s="1"/>
  <c r="AD103" i="40"/>
  <c r="AC108" i="40"/>
  <c r="O92" i="33"/>
  <c r="P91" i="33"/>
  <c r="O96" i="33"/>
  <c r="P87" i="43"/>
  <c r="O88" i="43"/>
  <c r="AI87" i="32"/>
  <c r="AL89" i="32"/>
  <c r="AH89" i="32"/>
  <c r="AL90" i="32"/>
  <c r="AH90" i="32"/>
  <c r="K74" i="41"/>
  <c r="G72" i="41"/>
  <c r="K75" i="41"/>
  <c r="K74" i="38"/>
  <c r="G72" i="38"/>
  <c r="K75" i="38"/>
  <c r="M74" i="30"/>
  <c r="I74" i="30"/>
  <c r="M75" i="30"/>
  <c r="I75" i="30"/>
  <c r="G74" i="30"/>
  <c r="X67" i="45"/>
  <c r="AI107" i="46"/>
  <c r="AL109" i="46"/>
  <c r="AH109" i="46"/>
  <c r="AH110" i="46"/>
  <c r="AL110" i="46"/>
  <c r="P92" i="48"/>
  <c r="O93" i="48"/>
  <c r="C84" i="44"/>
  <c r="C83" i="44"/>
  <c r="Y70" i="28"/>
  <c r="Y69" i="28"/>
  <c r="B97" i="41"/>
  <c r="A98" i="41"/>
  <c r="O89" i="41"/>
  <c r="P88" i="41"/>
  <c r="Q88" i="41" s="1"/>
  <c r="Q72" i="45"/>
  <c r="Q74" i="45"/>
  <c r="M79" i="31"/>
  <c r="I79" i="31"/>
  <c r="M80" i="31"/>
  <c r="I80" i="31"/>
  <c r="G79" i="31"/>
  <c r="H45" i="48"/>
  <c r="M79" i="27"/>
  <c r="I79" i="27"/>
  <c r="M80" i="27"/>
  <c r="I80" i="27"/>
  <c r="G79" i="27"/>
  <c r="W6" i="50"/>
  <c r="AC5" i="50"/>
  <c r="Y5" i="50"/>
  <c r="AC4" i="50"/>
  <c r="Y4" i="50"/>
  <c r="W7" i="50"/>
  <c r="B97" i="40"/>
  <c r="A98" i="40"/>
  <c r="A116" i="59"/>
  <c r="B110" i="59"/>
  <c r="A111" i="59"/>
  <c r="B97" i="32"/>
  <c r="A98" i="32"/>
  <c r="M74" i="39"/>
  <c r="I74" i="39"/>
  <c r="M75" i="39"/>
  <c r="I75" i="39"/>
  <c r="G74" i="39"/>
  <c r="X67" i="37"/>
  <c r="A85" i="45"/>
  <c r="B85" i="45" s="1"/>
  <c r="B84" i="45"/>
  <c r="AI87" i="45"/>
  <c r="AL89" i="45"/>
  <c r="AH89" i="45"/>
  <c r="AL90" i="45"/>
  <c r="AH90" i="45"/>
  <c r="Z40" i="49"/>
  <c r="AK40" i="49"/>
  <c r="AM40" i="49" s="1"/>
  <c r="AS40" i="49" s="1"/>
  <c r="L45" i="49"/>
  <c r="N45" i="49" s="1"/>
  <c r="AQ45" i="49" s="1"/>
  <c r="N23" i="31" l="1"/>
  <c r="P16" i="31"/>
  <c r="R27" i="59"/>
  <c r="R29" i="59" s="1"/>
  <c r="L6" i="33"/>
  <c r="AB39" i="49"/>
  <c r="L23" i="66"/>
  <c r="I23" i="66" s="1"/>
  <c r="L47" i="66"/>
  <c r="J47" i="66" s="1"/>
  <c r="B47" i="65" s="1"/>
  <c r="AI40" i="47"/>
  <c r="L107" i="66"/>
  <c r="I107" i="66" s="1"/>
  <c r="D72" i="50"/>
  <c r="F72" i="50" s="1"/>
  <c r="R67" i="50"/>
  <c r="D47" i="65"/>
  <c r="A47" i="65" s="1"/>
  <c r="I47" i="66"/>
  <c r="D62" i="66"/>
  <c r="L67" i="66"/>
  <c r="B9" i="66"/>
  <c r="A9" i="66"/>
  <c r="D10" i="66"/>
  <c r="L11" i="66"/>
  <c r="D86" i="66"/>
  <c r="AA9" i="25"/>
  <c r="AG9" i="25" s="1"/>
  <c r="AF9" i="25" s="1"/>
  <c r="X8" i="25"/>
  <c r="D10" i="65"/>
  <c r="I10" i="66"/>
  <c r="J10" i="66"/>
  <c r="B10" i="65" s="1"/>
  <c r="X4" i="41"/>
  <c r="V4" i="41"/>
  <c r="V16" i="41"/>
  <c r="X13" i="41"/>
  <c r="X16" i="41" s="1"/>
  <c r="J39" i="47"/>
  <c r="N39" i="47" s="1"/>
  <c r="AQ39" i="47" s="1"/>
  <c r="T50" i="49"/>
  <c r="X49" i="49" s="1"/>
  <c r="CE105" i="61"/>
  <c r="CK99" i="61"/>
  <c r="A9" i="65"/>
  <c r="CJ100" i="61"/>
  <c r="CG103" i="61"/>
  <c r="CH102" i="61"/>
  <c r="CL98" i="61"/>
  <c r="CF104" i="61"/>
  <c r="CI101" i="61"/>
  <c r="N27" i="43"/>
  <c r="N29" i="43" s="1"/>
  <c r="P28" i="43" s="1"/>
  <c r="L29" i="43"/>
  <c r="P27" i="43" s="1"/>
  <c r="P16" i="59"/>
  <c r="R16" i="59"/>
  <c r="N28" i="45"/>
  <c r="L27" i="45"/>
  <c r="P26" i="45"/>
  <c r="AR8" i="59"/>
  <c r="AP8" i="59"/>
  <c r="Z20" i="45"/>
  <c r="P28" i="59"/>
  <c r="R28" i="59" s="1"/>
  <c r="T25" i="59"/>
  <c r="AE3" i="59"/>
  <c r="X5" i="59"/>
  <c r="AN8" i="45"/>
  <c r="AE21" i="59"/>
  <c r="X23" i="59"/>
  <c r="AR4" i="59"/>
  <c r="AT8" i="59"/>
  <c r="AN10" i="59"/>
  <c r="AM10" i="59"/>
  <c r="AP3" i="59"/>
  <c r="AL12" i="32"/>
  <c r="X24" i="39"/>
  <c r="L8" i="39" s="1"/>
  <c r="X24" i="37"/>
  <c r="L8" i="37" s="1"/>
  <c r="T39" i="48"/>
  <c r="T40" i="48" s="1"/>
  <c r="X39" i="48" s="1"/>
  <c r="X40" i="48" s="1"/>
  <c r="AV11" i="25"/>
  <c r="Y10" i="25"/>
  <c r="AE12" i="61"/>
  <c r="V15" i="68" s="1"/>
  <c r="B12" i="25"/>
  <c r="AP12" i="25"/>
  <c r="C4" i="42"/>
  <c r="H11" i="25"/>
  <c r="I11" i="25" s="1"/>
  <c r="D11" i="25"/>
  <c r="F11" i="25" s="1"/>
  <c r="G11" i="25" s="1"/>
  <c r="V32" i="44"/>
  <c r="T32" i="44"/>
  <c r="AE33" i="43"/>
  <c r="AG33" i="43" s="1"/>
  <c r="R32" i="43"/>
  <c r="D37" i="43"/>
  <c r="F37" i="43" s="1"/>
  <c r="H37" i="43" s="1"/>
  <c r="G9" i="25"/>
  <c r="X24" i="33"/>
  <c r="L8" i="33" s="1"/>
  <c r="AL13" i="31"/>
  <c r="AI45" i="48"/>
  <c r="J40" i="47"/>
  <c r="N40" i="47" s="1"/>
  <c r="AQ40" i="47" s="1"/>
  <c r="J44" i="48"/>
  <c r="J45" i="48"/>
  <c r="X7" i="33"/>
  <c r="L7" i="33" s="1"/>
  <c r="X24" i="40"/>
  <c r="L8" i="40" s="1"/>
  <c r="X7" i="34"/>
  <c r="L7" i="34" s="1"/>
  <c r="X6" i="35"/>
  <c r="L6" i="35" s="1"/>
  <c r="AI50" i="49"/>
  <c r="F45" i="47"/>
  <c r="AL12" i="33"/>
  <c r="L10" i="33" s="1"/>
  <c r="X7" i="40"/>
  <c r="L7" i="40" s="1"/>
  <c r="AE55" i="49"/>
  <c r="AI54" i="49" s="1"/>
  <c r="X50" i="50"/>
  <c r="V47" i="46"/>
  <c r="T47" i="46"/>
  <c r="V50" i="49"/>
  <c r="H53" i="48"/>
  <c r="R47" i="45"/>
  <c r="D52" i="45"/>
  <c r="F52" i="45" s="1"/>
  <c r="T49" i="48"/>
  <c r="V49" i="48"/>
  <c r="H52" i="46"/>
  <c r="X7" i="39"/>
  <c r="X6" i="23"/>
  <c r="AG60" i="50"/>
  <c r="X24" i="38"/>
  <c r="L8" i="38" s="1"/>
  <c r="X6" i="38"/>
  <c r="L6" i="38" s="1"/>
  <c r="Y8" i="23"/>
  <c r="X7" i="23" s="1"/>
  <c r="L6" i="39"/>
  <c r="AE50" i="48"/>
  <c r="AI49" i="48" s="1"/>
  <c r="H45" i="47"/>
  <c r="AE60" i="50"/>
  <c r="AI59" i="50" s="1"/>
  <c r="L7" i="37"/>
  <c r="AL12" i="36"/>
  <c r="L10" i="36" s="1"/>
  <c r="AG50" i="48"/>
  <c r="AL12" i="34"/>
  <c r="L10" i="34" s="1"/>
  <c r="F50" i="48"/>
  <c r="L7" i="38"/>
  <c r="L6" i="40"/>
  <c r="H54" i="50"/>
  <c r="H55" i="50" s="1"/>
  <c r="J55" i="50" s="1"/>
  <c r="F55" i="50"/>
  <c r="J54" i="50" s="1"/>
  <c r="N28" i="50"/>
  <c r="X45" i="49"/>
  <c r="AI35" i="46"/>
  <c r="AM35" i="46" s="1"/>
  <c r="AS35" i="46" s="1"/>
  <c r="AG55" i="49"/>
  <c r="AA9" i="24"/>
  <c r="AG9" i="24" s="1"/>
  <c r="X8" i="24"/>
  <c r="AR35" i="47"/>
  <c r="AT35" i="47" s="1"/>
  <c r="E5" i="47" s="1"/>
  <c r="AR34" i="47"/>
  <c r="AT34" i="47" s="1"/>
  <c r="D5" i="47" s="1"/>
  <c r="C84" i="45"/>
  <c r="C83" i="45"/>
  <c r="B111" i="59"/>
  <c r="A112" i="59"/>
  <c r="A99" i="41"/>
  <c r="B98" i="41"/>
  <c r="O93" i="33"/>
  <c r="P92" i="33"/>
  <c r="A102" i="59"/>
  <c r="B102" i="59" s="1"/>
  <c r="B101" i="59"/>
  <c r="C89" i="34"/>
  <c r="C88" i="34"/>
  <c r="P96" i="40"/>
  <c r="O101" i="40"/>
  <c r="O97" i="40"/>
  <c r="G78" i="48"/>
  <c r="C77" i="48"/>
  <c r="Y75" i="45"/>
  <c r="Y74" i="45"/>
  <c r="AP79" i="31"/>
  <c r="C82" i="31"/>
  <c r="G83" i="31"/>
  <c r="C84" i="48"/>
  <c r="C83" i="48"/>
  <c r="G78" i="43"/>
  <c r="C77" i="43"/>
  <c r="O98" i="47"/>
  <c r="P97" i="47"/>
  <c r="P89" i="47"/>
  <c r="O90" i="47"/>
  <c r="P90" i="47" s="1"/>
  <c r="P97" i="29"/>
  <c r="O98" i="29"/>
  <c r="X72" i="50"/>
  <c r="AJ94" i="42"/>
  <c r="AJ95" i="42"/>
  <c r="AA85" i="37"/>
  <c r="AO85" i="37" s="1"/>
  <c r="AP85" i="37" s="1"/>
  <c r="W85" i="37"/>
  <c r="AA84" i="37"/>
  <c r="AO84" i="37" s="1"/>
  <c r="AP84" i="37" s="1"/>
  <c r="W84" i="37"/>
  <c r="AA4" i="19"/>
  <c r="Q77" i="46"/>
  <c r="Q79" i="46"/>
  <c r="C82" i="40"/>
  <c r="G83" i="40"/>
  <c r="X24" i="34"/>
  <c r="L8" i="34" s="1"/>
  <c r="A95" i="40"/>
  <c r="B95" i="40" s="1"/>
  <c r="B94" i="40"/>
  <c r="A94" i="30"/>
  <c r="B93" i="30"/>
  <c r="AL89" i="35"/>
  <c r="AH89" i="35"/>
  <c r="AL90" i="35"/>
  <c r="AH90" i="35"/>
  <c r="AI87" i="35"/>
  <c r="Q102" i="32"/>
  <c r="Q104" i="32"/>
  <c r="AA85" i="28"/>
  <c r="AO85" i="28" s="1"/>
  <c r="AP85" i="28" s="1"/>
  <c r="W85" i="28"/>
  <c r="AA84" i="28"/>
  <c r="AO84" i="28" s="1"/>
  <c r="AP84" i="28" s="1"/>
  <c r="W84" i="28"/>
  <c r="AL95" i="49"/>
  <c r="AI92" i="49"/>
  <c r="AH94" i="49"/>
  <c r="AL94" i="49"/>
  <c r="AH95" i="49"/>
  <c r="P84" i="34"/>
  <c r="O85" i="34"/>
  <c r="P85" i="34" s="1"/>
  <c r="A98" i="36"/>
  <c r="B97" i="36"/>
  <c r="B106" i="50"/>
  <c r="A111" i="50"/>
  <c r="A107" i="50"/>
  <c r="M79" i="48"/>
  <c r="I79" i="48"/>
  <c r="M80" i="48"/>
  <c r="I80" i="48"/>
  <c r="G79" i="48"/>
  <c r="X77" i="41"/>
  <c r="K80" i="31"/>
  <c r="K79" i="31"/>
  <c r="G77" i="31"/>
  <c r="B94" i="47"/>
  <c r="A95" i="47"/>
  <c r="B95" i="47" s="1"/>
  <c r="G72" i="30"/>
  <c r="K75" i="30"/>
  <c r="K74" i="30"/>
  <c r="X72" i="27"/>
  <c r="Q79" i="31"/>
  <c r="Q77" i="31"/>
  <c r="Y79" i="47"/>
  <c r="Y80" i="47"/>
  <c r="B106" i="35"/>
  <c r="A111" i="35"/>
  <c r="A107" i="35"/>
  <c r="AC99" i="36"/>
  <c r="AD99" i="36" s="1"/>
  <c r="AD98" i="36"/>
  <c r="AC103" i="36"/>
  <c r="O102" i="42"/>
  <c r="P101" i="42"/>
  <c r="O106" i="42"/>
  <c r="AI55" i="50"/>
  <c r="AJ95" i="34"/>
  <c r="AJ94" i="34"/>
  <c r="O97" i="27"/>
  <c r="P96" i="27"/>
  <c r="O101" i="27"/>
  <c r="B101" i="46"/>
  <c r="A102" i="46"/>
  <c r="A106" i="46"/>
  <c r="AP84" i="35"/>
  <c r="AC94" i="41"/>
  <c r="AD94" i="41" s="1"/>
  <c r="AD93" i="41"/>
  <c r="AC98" i="41"/>
  <c r="O94" i="29"/>
  <c r="P93" i="29"/>
  <c r="Q93" i="29" s="1"/>
  <c r="B102" i="29"/>
  <c r="A103" i="29"/>
  <c r="AA84" i="49"/>
  <c r="AO84" i="49" s="1"/>
  <c r="W84" i="49"/>
  <c r="W85" i="49"/>
  <c r="AA85" i="49"/>
  <c r="AO85" i="49" s="1"/>
  <c r="K74" i="46"/>
  <c r="G72" i="46"/>
  <c r="K75" i="46"/>
  <c r="X72" i="46"/>
  <c r="AL95" i="30"/>
  <c r="AH95" i="30"/>
  <c r="AI92" i="30"/>
  <c r="AL94" i="30"/>
  <c r="AH94" i="30"/>
  <c r="T39" i="47"/>
  <c r="T40" i="47" s="1"/>
  <c r="X39" i="47" s="1"/>
  <c r="V39" i="47"/>
  <c r="V40" i="47" s="1"/>
  <c r="AG48" i="47"/>
  <c r="O90" i="48"/>
  <c r="P90" i="48" s="1"/>
  <c r="P89" i="48"/>
  <c r="A111" i="44"/>
  <c r="A107" i="44"/>
  <c r="B106" i="44"/>
  <c r="H5" i="19"/>
  <c r="I5" i="19" s="1"/>
  <c r="D5" i="19"/>
  <c r="F5" i="19" s="1"/>
  <c r="G5" i="19" s="1"/>
  <c r="O94" i="38"/>
  <c r="P93" i="38"/>
  <c r="Q93" i="38" s="1"/>
  <c r="A94" i="43"/>
  <c r="B93" i="43"/>
  <c r="K80" i="44"/>
  <c r="K79" i="44"/>
  <c r="G77" i="44"/>
  <c r="O101" i="49"/>
  <c r="P96" i="49"/>
  <c r="O97" i="49"/>
  <c r="A90" i="36"/>
  <c r="B90" i="36" s="1"/>
  <c r="B89" i="36"/>
  <c r="A95" i="42"/>
  <c r="B95" i="42" s="1"/>
  <c r="B94" i="42"/>
  <c r="A111" i="27"/>
  <c r="A107" i="27"/>
  <c r="B106" i="27"/>
  <c r="O97" i="44"/>
  <c r="P96" i="44"/>
  <c r="O101" i="44"/>
  <c r="K80" i="49"/>
  <c r="K79" i="49"/>
  <c r="G77" i="49"/>
  <c r="X72" i="33"/>
  <c r="A90" i="26"/>
  <c r="B90" i="26" s="1"/>
  <c r="B89" i="26"/>
  <c r="T57" i="49"/>
  <c r="V57" i="49"/>
  <c r="F54" i="49"/>
  <c r="J52" i="49"/>
  <c r="AC99" i="28"/>
  <c r="AD99" i="28" s="1"/>
  <c r="AD98" i="28"/>
  <c r="AC103" i="28"/>
  <c r="O93" i="50"/>
  <c r="P92" i="50"/>
  <c r="AA90" i="35"/>
  <c r="AO90" i="35" s="1"/>
  <c r="AP90" i="35" s="1"/>
  <c r="W90" i="35"/>
  <c r="AA89" i="35"/>
  <c r="AO89" i="35" s="1"/>
  <c r="AP89" i="35" s="1"/>
  <c r="W89" i="35"/>
  <c r="AI92" i="45"/>
  <c r="AL94" i="45"/>
  <c r="AH94" i="45"/>
  <c r="AL95" i="45"/>
  <c r="AH95" i="45"/>
  <c r="A99" i="50"/>
  <c r="B98" i="50"/>
  <c r="P117" i="32"/>
  <c r="O118" i="32"/>
  <c r="X77" i="38"/>
  <c r="Z2" i="50"/>
  <c r="AI112" i="46"/>
  <c r="AL114" i="46"/>
  <c r="AH114" i="46"/>
  <c r="AH115" i="46"/>
  <c r="AL115" i="46"/>
  <c r="P96" i="34"/>
  <c r="O101" i="34"/>
  <c r="O97" i="34"/>
  <c r="O93" i="46"/>
  <c r="P92" i="46"/>
  <c r="Q84" i="36"/>
  <c r="Q82" i="36"/>
  <c r="C89" i="44"/>
  <c r="C88" i="44"/>
  <c r="Q84" i="26"/>
  <c r="Q82" i="26"/>
  <c r="A99" i="35"/>
  <c r="B98" i="35"/>
  <c r="H50" i="48"/>
  <c r="Q77" i="43"/>
  <c r="Q79" i="43"/>
  <c r="C82" i="50"/>
  <c r="G83" i="50"/>
  <c r="M85" i="29"/>
  <c r="I85" i="29"/>
  <c r="G84" i="29"/>
  <c r="M84" i="29"/>
  <c r="I84" i="29"/>
  <c r="A99" i="47"/>
  <c r="B98" i="47"/>
  <c r="AP79" i="37"/>
  <c r="O94" i="35"/>
  <c r="P93" i="35"/>
  <c r="Q93" i="35" s="1"/>
  <c r="O93" i="45"/>
  <c r="P92" i="45"/>
  <c r="Z23" i="31"/>
  <c r="M84" i="33"/>
  <c r="I84" i="33"/>
  <c r="M85" i="33"/>
  <c r="I85" i="33"/>
  <c r="G84" i="33"/>
  <c r="C89" i="27"/>
  <c r="C88" i="27"/>
  <c r="V44" i="48"/>
  <c r="V45" i="48" s="1"/>
  <c r="T44" i="48"/>
  <c r="T45" i="48" s="1"/>
  <c r="X44" i="48" s="1"/>
  <c r="AV8" i="22"/>
  <c r="H38" i="46"/>
  <c r="H40" i="46" s="1"/>
  <c r="F40" i="46"/>
  <c r="AM4" i="61"/>
  <c r="AD7" i="68" s="1"/>
  <c r="AN3" i="61"/>
  <c r="AE6" i="68" s="1"/>
  <c r="C12" i="50"/>
  <c r="D77" i="50" s="1"/>
  <c r="B4" i="17"/>
  <c r="AP4" i="17"/>
  <c r="T58" i="50"/>
  <c r="V58" i="50"/>
  <c r="G72" i="43"/>
  <c r="K74" i="43"/>
  <c r="K75" i="43"/>
  <c r="AA85" i="50"/>
  <c r="AO85" i="50" s="1"/>
  <c r="W85" i="50"/>
  <c r="AA84" i="50"/>
  <c r="AO84" i="50" s="1"/>
  <c r="W84" i="50"/>
  <c r="C94" i="59"/>
  <c r="C95" i="59"/>
  <c r="O89" i="49"/>
  <c r="P88" i="49"/>
  <c r="Q88" i="49" s="1"/>
  <c r="M85" i="47"/>
  <c r="I84" i="47"/>
  <c r="M84" i="47"/>
  <c r="G84" i="47"/>
  <c r="I85" i="47"/>
  <c r="AP79" i="34"/>
  <c r="B97" i="37"/>
  <c r="A98" i="37"/>
  <c r="AL13" i="38"/>
  <c r="L11" i="38" s="1"/>
  <c r="M84" i="49"/>
  <c r="I84" i="49"/>
  <c r="I85" i="49"/>
  <c r="M85" i="49"/>
  <c r="G84" i="49"/>
  <c r="B101" i="48"/>
  <c r="A106" i="48"/>
  <c r="A102" i="48"/>
  <c r="X97" i="32"/>
  <c r="G6" i="22"/>
  <c r="Q84" i="47"/>
  <c r="Q82" i="47"/>
  <c r="AJ94" i="33"/>
  <c r="AJ95" i="33"/>
  <c r="O89" i="50"/>
  <c r="P88" i="50"/>
  <c r="Q88" i="50" s="1"/>
  <c r="M89" i="59"/>
  <c r="M90" i="59"/>
  <c r="G89" i="59"/>
  <c r="AC99" i="50"/>
  <c r="AD99" i="50" s="1"/>
  <c r="AD98" i="50"/>
  <c r="AC103" i="50"/>
  <c r="P84" i="45"/>
  <c r="O85" i="45"/>
  <c r="P85" i="45" s="1"/>
  <c r="B106" i="40"/>
  <c r="A111" i="40"/>
  <c r="A107" i="40"/>
  <c r="B106" i="41"/>
  <c r="A111" i="41"/>
  <c r="A107" i="41"/>
  <c r="AC103" i="32"/>
  <c r="AC99" i="32"/>
  <c r="AD99" i="32" s="1"/>
  <c r="AD98" i="32"/>
  <c r="AG34" i="45"/>
  <c r="AG35" i="45" s="1"/>
  <c r="AE35" i="45"/>
  <c r="AI34" i="45" s="1"/>
  <c r="AM34" i="45" s="1"/>
  <c r="AS34" i="45" s="1"/>
  <c r="B106" i="28"/>
  <c r="A111" i="28"/>
  <c r="A107" i="28"/>
  <c r="D43" i="45"/>
  <c r="F43" i="45" s="1"/>
  <c r="H43" i="45" s="1"/>
  <c r="AE39" i="45"/>
  <c r="AG39" i="45" s="1"/>
  <c r="R34" i="45"/>
  <c r="R38" i="45"/>
  <c r="AE43" i="45"/>
  <c r="D39" i="45"/>
  <c r="F39" i="45" s="1"/>
  <c r="H39" i="45" s="1"/>
  <c r="R42" i="45"/>
  <c r="D47" i="45"/>
  <c r="C77" i="36"/>
  <c r="G78" i="36"/>
  <c r="Y80" i="30"/>
  <c r="Y79" i="30"/>
  <c r="Y75" i="49"/>
  <c r="Y74" i="49"/>
  <c r="AJ94" i="39"/>
  <c r="AJ95" i="39"/>
  <c r="O94" i="41"/>
  <c r="P93" i="41"/>
  <c r="Q93" i="41" s="1"/>
  <c r="P88" i="39"/>
  <c r="Q88" i="39" s="1"/>
  <c r="O89" i="39"/>
  <c r="X72" i="37"/>
  <c r="AL95" i="31"/>
  <c r="AH95" i="31"/>
  <c r="AI92" i="31"/>
  <c r="AL94" i="31"/>
  <c r="AH94" i="31"/>
  <c r="O90" i="29"/>
  <c r="P90" i="29" s="1"/>
  <c r="P89" i="29"/>
  <c r="C84" i="37"/>
  <c r="C83" i="37"/>
  <c r="AC103" i="26"/>
  <c r="AC99" i="26"/>
  <c r="AD99" i="26" s="1"/>
  <c r="AD98" i="26"/>
  <c r="AD112" i="59"/>
  <c r="AC118" i="59"/>
  <c r="AC113" i="59"/>
  <c r="AD113" i="59" s="1"/>
  <c r="P93" i="36"/>
  <c r="Q93" i="36" s="1"/>
  <c r="O94" i="36"/>
  <c r="AC99" i="27"/>
  <c r="AD99" i="27" s="1"/>
  <c r="AD98" i="27"/>
  <c r="AC103" i="27"/>
  <c r="K79" i="41"/>
  <c r="G77" i="41"/>
  <c r="K80" i="41"/>
  <c r="K75" i="36"/>
  <c r="K74" i="36"/>
  <c r="G72" i="36"/>
  <c r="H7" i="21"/>
  <c r="I7" i="21" s="1"/>
  <c r="D7" i="21"/>
  <c r="F7" i="21" s="1"/>
  <c r="G7" i="21" s="1"/>
  <c r="Y75" i="40"/>
  <c r="Y74" i="40"/>
  <c r="X77" i="36"/>
  <c r="AC98" i="47"/>
  <c r="AC94" i="47"/>
  <c r="AD94" i="47" s="1"/>
  <c r="AD93" i="47"/>
  <c r="M79" i="30"/>
  <c r="I79" i="30"/>
  <c r="M80" i="30"/>
  <c r="I80" i="30"/>
  <c r="G79" i="30"/>
  <c r="A95" i="50"/>
  <c r="B95" i="50" s="1"/>
  <c r="B94" i="50"/>
  <c r="O90" i="36"/>
  <c r="P90" i="36" s="1"/>
  <c r="P89" i="36"/>
  <c r="P88" i="44"/>
  <c r="Q88" i="44" s="1"/>
  <c r="O89" i="44"/>
  <c r="B97" i="30"/>
  <c r="A98" i="30"/>
  <c r="C82" i="28"/>
  <c r="G83" i="28"/>
  <c r="A94" i="48"/>
  <c r="B93" i="48"/>
  <c r="A95" i="41"/>
  <c r="B95" i="41" s="1"/>
  <c r="B94" i="41"/>
  <c r="C84" i="30"/>
  <c r="C83" i="30"/>
  <c r="C84" i="26"/>
  <c r="C83" i="26"/>
  <c r="P96" i="37"/>
  <c r="O101" i="37"/>
  <c r="O97" i="37"/>
  <c r="AI92" i="37"/>
  <c r="AL94" i="37"/>
  <c r="AH94" i="37"/>
  <c r="AL95" i="37"/>
  <c r="AH95" i="37"/>
  <c r="AJ7" i="61"/>
  <c r="AA10" i="68" s="1"/>
  <c r="B7" i="20"/>
  <c r="C9" i="47"/>
  <c r="R49" i="47" s="1"/>
  <c r="AP7" i="20"/>
  <c r="B101" i="45"/>
  <c r="A106" i="45"/>
  <c r="A102" i="45"/>
  <c r="H67" i="49"/>
  <c r="AL13" i="35"/>
  <c r="L11" i="35" s="1"/>
  <c r="M85" i="32"/>
  <c r="I85" i="32"/>
  <c r="G84" i="32"/>
  <c r="I84" i="32"/>
  <c r="M84" i="32"/>
  <c r="J50" i="49"/>
  <c r="J49" i="49"/>
  <c r="K79" i="40"/>
  <c r="G77" i="40"/>
  <c r="K80" i="40"/>
  <c r="X77" i="42"/>
  <c r="Q82" i="29"/>
  <c r="Q84" i="29"/>
  <c r="AC103" i="48"/>
  <c r="AC99" i="48"/>
  <c r="AD99" i="48" s="1"/>
  <c r="AD98" i="48"/>
  <c r="AA85" i="34"/>
  <c r="AO85" i="34" s="1"/>
  <c r="AP85" i="34" s="1"/>
  <c r="W85" i="34"/>
  <c r="AA84" i="34"/>
  <c r="AO84" i="34" s="1"/>
  <c r="AP84" i="34" s="1"/>
  <c r="W84" i="34"/>
  <c r="K79" i="38"/>
  <c r="G77" i="38"/>
  <c r="K80" i="38"/>
  <c r="AC109" i="40"/>
  <c r="AD109" i="40" s="1"/>
  <c r="AD108" i="40"/>
  <c r="AC113" i="40"/>
  <c r="A99" i="28"/>
  <c r="B98" i="28"/>
  <c r="A99" i="32"/>
  <c r="B98" i="32"/>
  <c r="A117" i="59"/>
  <c r="A122" i="59"/>
  <c r="B116" i="59"/>
  <c r="AA90" i="41"/>
  <c r="AO90" i="41" s="1"/>
  <c r="AP90" i="41" s="1"/>
  <c r="W90" i="41"/>
  <c r="AA89" i="41"/>
  <c r="AO89" i="41" s="1"/>
  <c r="W89" i="41"/>
  <c r="M84" i="44"/>
  <c r="I84" i="44"/>
  <c r="M85" i="44"/>
  <c r="I85" i="44"/>
  <c r="G84" i="44"/>
  <c r="P88" i="43"/>
  <c r="Q88" i="43" s="1"/>
  <c r="O89" i="43"/>
  <c r="O97" i="33"/>
  <c r="P96" i="33"/>
  <c r="O101" i="33"/>
  <c r="AJ105" i="40"/>
  <c r="AJ104" i="40"/>
  <c r="AE38" i="44"/>
  <c r="AE34" i="44"/>
  <c r="R33" i="44"/>
  <c r="R37" i="44"/>
  <c r="D38" i="44"/>
  <c r="D42" i="44"/>
  <c r="AL89" i="29"/>
  <c r="AH89" i="29"/>
  <c r="AL90" i="29"/>
  <c r="AH90" i="29"/>
  <c r="AI87" i="29"/>
  <c r="M84" i="31"/>
  <c r="I84" i="31"/>
  <c r="M85" i="31"/>
  <c r="I85" i="31"/>
  <c r="G84" i="31"/>
  <c r="X72" i="43"/>
  <c r="M80" i="43"/>
  <c r="I79" i="43"/>
  <c r="I80" i="43"/>
  <c r="G79" i="43"/>
  <c r="M79" i="43"/>
  <c r="Q82" i="35"/>
  <c r="Q84" i="35"/>
  <c r="W90" i="47"/>
  <c r="AA89" i="47"/>
  <c r="AO89" i="47" s="1"/>
  <c r="AA90" i="47"/>
  <c r="AO90" i="47" s="1"/>
  <c r="AP90" i="47" s="1"/>
  <c r="W89" i="47"/>
  <c r="O106" i="29"/>
  <c r="O102" i="29"/>
  <c r="P101" i="29"/>
  <c r="O102" i="36"/>
  <c r="O106" i="36"/>
  <c r="P101" i="36"/>
  <c r="Y75" i="50"/>
  <c r="Y74" i="50"/>
  <c r="A95" i="34"/>
  <c r="B95" i="34" s="1"/>
  <c r="B94" i="34"/>
  <c r="O102" i="30"/>
  <c r="P101" i="30"/>
  <c r="O106" i="30"/>
  <c r="AL95" i="42"/>
  <c r="AH95" i="42"/>
  <c r="AI92" i="42"/>
  <c r="AL94" i="42"/>
  <c r="AH94" i="42"/>
  <c r="M85" i="35"/>
  <c r="I85" i="35"/>
  <c r="G84" i="35"/>
  <c r="M84" i="35"/>
  <c r="I84" i="35"/>
  <c r="F6" i="21"/>
  <c r="A95" i="33"/>
  <c r="B95" i="33" s="1"/>
  <c r="B94" i="33"/>
  <c r="AJ94" i="48"/>
  <c r="AJ95" i="48"/>
  <c r="P84" i="37"/>
  <c r="O85" i="37"/>
  <c r="P85" i="37" s="1"/>
  <c r="P97" i="38"/>
  <c r="O98" i="38"/>
  <c r="B97" i="43"/>
  <c r="A98" i="43"/>
  <c r="M85" i="40"/>
  <c r="I85" i="40"/>
  <c r="G84" i="40"/>
  <c r="M84" i="40"/>
  <c r="I84" i="40"/>
  <c r="P84" i="28"/>
  <c r="O85" i="28"/>
  <c r="P85" i="28" s="1"/>
  <c r="A99" i="33"/>
  <c r="B98" i="33"/>
  <c r="AC99" i="49"/>
  <c r="AD99" i="49" s="1"/>
  <c r="AC103" i="49"/>
  <c r="AD98" i="49"/>
  <c r="C89" i="32"/>
  <c r="C88" i="32"/>
  <c r="A106" i="36"/>
  <c r="A102" i="36"/>
  <c r="B101" i="36"/>
  <c r="C77" i="37"/>
  <c r="G78" i="37"/>
  <c r="A95" i="35"/>
  <c r="B95" i="35" s="1"/>
  <c r="B94" i="35"/>
  <c r="O90" i="30"/>
  <c r="P90" i="30" s="1"/>
  <c r="P89" i="30"/>
  <c r="B97" i="26"/>
  <c r="A98" i="26"/>
  <c r="Y80" i="41"/>
  <c r="Y79" i="41"/>
  <c r="O90" i="26"/>
  <c r="P90" i="26" s="1"/>
  <c r="P89" i="26"/>
  <c r="F47" i="46"/>
  <c r="V34" i="46"/>
  <c r="V35" i="46" s="1"/>
  <c r="X35" i="46" s="1"/>
  <c r="AB35" i="46" s="1"/>
  <c r="T34" i="46"/>
  <c r="T35" i="46" s="1"/>
  <c r="X34" i="46" s="1"/>
  <c r="AB34" i="46" s="1"/>
  <c r="AJ94" i="36"/>
  <c r="AJ95" i="36"/>
  <c r="AP79" i="43"/>
  <c r="AI92" i="34"/>
  <c r="AL94" i="34"/>
  <c r="AH94" i="34"/>
  <c r="AL95" i="34"/>
  <c r="AH95" i="34"/>
  <c r="P92" i="39"/>
  <c r="O93" i="39"/>
  <c r="B102" i="47"/>
  <c r="A103" i="47"/>
  <c r="AG8" i="24"/>
  <c r="B97" i="46"/>
  <c r="A98" i="46"/>
  <c r="AJ90" i="41"/>
  <c r="AJ89" i="41"/>
  <c r="C89" i="31"/>
  <c r="C88" i="31"/>
  <c r="B101" i="39"/>
  <c r="A106" i="39"/>
  <c r="A102" i="39"/>
  <c r="B106" i="29"/>
  <c r="A111" i="29"/>
  <c r="A107" i="29"/>
  <c r="AP79" i="33"/>
  <c r="O93" i="31"/>
  <c r="P92" i="31"/>
  <c r="Y75" i="46"/>
  <c r="Y74" i="46"/>
  <c r="AC103" i="30"/>
  <c r="AC99" i="30"/>
  <c r="AD99" i="30" s="1"/>
  <c r="AD98" i="30"/>
  <c r="V43" i="47"/>
  <c r="T43" i="47"/>
  <c r="AA90" i="48"/>
  <c r="AO90" i="48" s="1"/>
  <c r="AP90" i="48" s="1"/>
  <c r="W90" i="48"/>
  <c r="AA89" i="48"/>
  <c r="AO89" i="48" s="1"/>
  <c r="AP89" i="48" s="1"/>
  <c r="W89" i="48"/>
  <c r="O89" i="40"/>
  <c r="P88" i="40"/>
  <c r="Q88" i="40" s="1"/>
  <c r="P97" i="26"/>
  <c r="O98" i="26"/>
  <c r="AV5" i="53"/>
  <c r="AE59" i="49"/>
  <c r="AG59" i="49" s="1"/>
  <c r="AE63" i="49"/>
  <c r="D59" i="49"/>
  <c r="F59" i="49" s="1"/>
  <c r="H59" i="49" s="1"/>
  <c r="R58" i="49"/>
  <c r="R54" i="49"/>
  <c r="D63" i="49"/>
  <c r="F63" i="49" s="1"/>
  <c r="H63" i="49" s="1"/>
  <c r="R62" i="49"/>
  <c r="A103" i="31"/>
  <c r="B102" i="31"/>
  <c r="Q84" i="30"/>
  <c r="Q82" i="30"/>
  <c r="W90" i="59"/>
  <c r="W89" i="59"/>
  <c r="Y90" i="59"/>
  <c r="Y89" i="59"/>
  <c r="O85" i="44"/>
  <c r="P85" i="44" s="1"/>
  <c r="P84" i="44"/>
  <c r="Q95" i="59"/>
  <c r="Q93" i="59"/>
  <c r="A99" i="38"/>
  <c r="B98" i="38"/>
  <c r="Y80" i="48"/>
  <c r="Y79" i="48"/>
  <c r="C89" i="40"/>
  <c r="C88" i="40"/>
  <c r="V67" i="50"/>
  <c r="T67" i="50"/>
  <c r="X77" i="35"/>
  <c r="O85" i="27"/>
  <c r="P85" i="27" s="1"/>
  <c r="P84" i="27"/>
  <c r="H67" i="50"/>
  <c r="G8" i="24"/>
  <c r="F62" i="49"/>
  <c r="AG58" i="49"/>
  <c r="AJ95" i="28"/>
  <c r="AJ94" i="28"/>
  <c r="P96" i="50"/>
  <c r="O101" i="50"/>
  <c r="O97" i="50"/>
  <c r="O90" i="35"/>
  <c r="P90" i="35" s="1"/>
  <c r="P89" i="35"/>
  <c r="C89" i="28"/>
  <c r="C88" i="28"/>
  <c r="B102" i="42"/>
  <c r="A103" i="42"/>
  <c r="P121" i="32"/>
  <c r="O126" i="32"/>
  <c r="O122" i="32"/>
  <c r="N18" i="38"/>
  <c r="L4" i="38" s="1"/>
  <c r="Y80" i="38"/>
  <c r="Y79" i="38"/>
  <c r="G78" i="26"/>
  <c r="C77" i="26"/>
  <c r="P97" i="48"/>
  <c r="O98" i="48"/>
  <c r="O97" i="43"/>
  <c r="P96" i="43"/>
  <c r="O101" i="43"/>
  <c r="P96" i="46"/>
  <c r="O101" i="46"/>
  <c r="O97" i="46"/>
  <c r="C77" i="45"/>
  <c r="G78" i="45"/>
  <c r="A95" i="29"/>
  <c r="B95" i="29" s="1"/>
  <c r="B94" i="29"/>
  <c r="M85" i="50"/>
  <c r="I85" i="50"/>
  <c r="G84" i="50"/>
  <c r="M84" i="50"/>
  <c r="I84" i="50"/>
  <c r="P97" i="41"/>
  <c r="O98" i="41"/>
  <c r="C82" i="29"/>
  <c r="G83" i="29"/>
  <c r="Y75" i="31"/>
  <c r="Y74" i="31"/>
  <c r="AA102" i="59"/>
  <c r="AQ102" i="59" s="1"/>
  <c r="AR102" i="59" s="1"/>
  <c r="AA101" i="59"/>
  <c r="AQ101" i="59" s="1"/>
  <c r="AR101" i="59" s="1"/>
  <c r="K79" i="47"/>
  <c r="K80" i="47"/>
  <c r="G77" i="47"/>
  <c r="AC94" i="44"/>
  <c r="AD94" i="44" s="1"/>
  <c r="AD93" i="44"/>
  <c r="AC98" i="44"/>
  <c r="P96" i="45"/>
  <c r="O101" i="45"/>
  <c r="O97" i="45"/>
  <c r="A103" i="49"/>
  <c r="B102" i="49"/>
  <c r="A94" i="39"/>
  <c r="B93" i="39"/>
  <c r="Q84" i="48"/>
  <c r="Q82" i="48"/>
  <c r="K79" i="34"/>
  <c r="G77" i="34"/>
  <c r="K80" i="34"/>
  <c r="C89" i="50"/>
  <c r="C88" i="50"/>
  <c r="A90" i="30"/>
  <c r="B90" i="30" s="1"/>
  <c r="B89" i="30"/>
  <c r="A90" i="48"/>
  <c r="B90" i="48" s="1"/>
  <c r="B89" i="48"/>
  <c r="F57" i="48"/>
  <c r="AG53" i="48"/>
  <c r="AH9" i="61"/>
  <c r="Y12" i="68" s="1"/>
  <c r="B9" i="22"/>
  <c r="C7" i="45"/>
  <c r="AP9" i="22"/>
  <c r="Y75" i="39"/>
  <c r="Y74" i="39"/>
  <c r="AV4" i="18"/>
  <c r="AL5" i="61"/>
  <c r="AC8" i="68" s="1"/>
  <c r="AP5" i="18"/>
  <c r="C11" i="49"/>
  <c r="B5" i="18"/>
  <c r="A99" i="31"/>
  <c r="B98" i="31"/>
  <c r="P84" i="50"/>
  <c r="O85" i="50"/>
  <c r="P85" i="50" s="1"/>
  <c r="B101" i="37"/>
  <c r="A106" i="37"/>
  <c r="A102" i="37"/>
  <c r="A99" i="27"/>
  <c r="B98" i="27"/>
  <c r="AR95" i="59"/>
  <c r="Y100" i="32"/>
  <c r="Y99" i="32"/>
  <c r="O85" i="39"/>
  <c r="P85" i="39" s="1"/>
  <c r="P84" i="39"/>
  <c r="J57" i="50"/>
  <c r="AL95" i="33"/>
  <c r="AH95" i="33"/>
  <c r="AI92" i="33"/>
  <c r="AL94" i="33"/>
  <c r="AH94" i="33"/>
  <c r="C87" i="59"/>
  <c r="G88" i="59"/>
  <c r="AJ95" i="50"/>
  <c r="AJ94" i="50"/>
  <c r="B106" i="59"/>
  <c r="A107" i="59"/>
  <c r="X77" i="29"/>
  <c r="V37" i="45"/>
  <c r="T37" i="45"/>
  <c r="F38" i="45"/>
  <c r="O89" i="34"/>
  <c r="P88" i="34"/>
  <c r="Q88" i="34" s="1"/>
  <c r="H9" i="23"/>
  <c r="I9" i="23" s="1"/>
  <c r="D9" i="23"/>
  <c r="AC94" i="38"/>
  <c r="AD94" i="38" s="1"/>
  <c r="AD93" i="38"/>
  <c r="AC98" i="38"/>
  <c r="X77" i="30"/>
  <c r="X72" i="49"/>
  <c r="AL95" i="39"/>
  <c r="AH95" i="39"/>
  <c r="AI92" i="39"/>
  <c r="AL94" i="39"/>
  <c r="AH94" i="39"/>
  <c r="Q79" i="49"/>
  <c r="Q77" i="49"/>
  <c r="P88" i="27"/>
  <c r="Q88" i="27" s="1"/>
  <c r="O89" i="27"/>
  <c r="Y75" i="37"/>
  <c r="Y74" i="37"/>
  <c r="Q77" i="28"/>
  <c r="Q79" i="28"/>
  <c r="P93" i="47"/>
  <c r="Q93" i="47" s="1"/>
  <c r="O94" i="47"/>
  <c r="A90" i="37"/>
  <c r="B90" i="37" s="1"/>
  <c r="B89" i="37"/>
  <c r="Q82" i="38"/>
  <c r="Q84" i="38"/>
  <c r="AL108" i="59"/>
  <c r="AL107" i="59"/>
  <c r="AJ94" i="27"/>
  <c r="AJ95" i="27"/>
  <c r="C83" i="36"/>
  <c r="C84" i="36"/>
  <c r="C88" i="29"/>
  <c r="C89" i="29"/>
  <c r="X72" i="34"/>
  <c r="R48" i="47"/>
  <c r="AE49" i="47"/>
  <c r="AG49" i="47" s="1"/>
  <c r="AE53" i="47"/>
  <c r="R44" i="47"/>
  <c r="D49" i="47"/>
  <c r="F49" i="47" s="1"/>
  <c r="H49" i="47" s="1"/>
  <c r="R52" i="47"/>
  <c r="D57" i="47"/>
  <c r="C82" i="27"/>
  <c r="G83" i="27"/>
  <c r="O85" i="33"/>
  <c r="P85" i="33" s="1"/>
  <c r="P84" i="33"/>
  <c r="AE40" i="46"/>
  <c r="AI39" i="46" s="1"/>
  <c r="F4" i="19"/>
  <c r="A90" i="45"/>
  <c r="B90" i="45" s="1"/>
  <c r="B89" i="45"/>
  <c r="Y80" i="26"/>
  <c r="Y79" i="26"/>
  <c r="C82" i="34"/>
  <c r="G83" i="34"/>
  <c r="A94" i="37"/>
  <c r="B93" i="37"/>
  <c r="AA90" i="36"/>
  <c r="AO90" i="36" s="1"/>
  <c r="AP90" i="36" s="1"/>
  <c r="W90" i="36"/>
  <c r="AA89" i="36"/>
  <c r="AO89" i="36" s="1"/>
  <c r="W89" i="36"/>
  <c r="H47" i="47"/>
  <c r="B102" i="34"/>
  <c r="A103" i="34"/>
  <c r="B101" i="30"/>
  <c r="A106" i="30"/>
  <c r="A102" i="30"/>
  <c r="C84" i="39"/>
  <c r="C83" i="39"/>
  <c r="M85" i="28"/>
  <c r="I85" i="28"/>
  <c r="G84" i="28"/>
  <c r="M84" i="28"/>
  <c r="I84" i="28"/>
  <c r="A103" i="33"/>
  <c r="B102" i="33"/>
  <c r="P84" i="43"/>
  <c r="O85" i="43"/>
  <c r="P85" i="43" s="1"/>
  <c r="H6" i="20"/>
  <c r="I6" i="20" s="1"/>
  <c r="D6" i="20"/>
  <c r="AK39" i="48"/>
  <c r="AM39" i="48" s="1"/>
  <c r="AS39" i="48" s="1"/>
  <c r="Z39" i="48"/>
  <c r="L44" i="48"/>
  <c r="C89" i="33"/>
  <c r="C88" i="33"/>
  <c r="A99" i="49"/>
  <c r="B98" i="49"/>
  <c r="Q77" i="50"/>
  <c r="Q79" i="50"/>
  <c r="P97" i="30"/>
  <c r="O98" i="30"/>
  <c r="K74" i="45"/>
  <c r="G72" i="45"/>
  <c r="K75" i="45"/>
  <c r="A99" i="34"/>
  <c r="B98" i="34"/>
  <c r="AJ90" i="35"/>
  <c r="AJ89" i="35"/>
  <c r="B102" i="50"/>
  <c r="A103" i="50"/>
  <c r="G72" i="39"/>
  <c r="K75" i="39"/>
  <c r="K74" i="39"/>
  <c r="K80" i="27"/>
  <c r="K79" i="27"/>
  <c r="G77" i="27"/>
  <c r="Y75" i="27"/>
  <c r="Y74" i="27"/>
  <c r="X77" i="47"/>
  <c r="AG43" i="46"/>
  <c r="B102" i="35"/>
  <c r="A103" i="35"/>
  <c r="C82" i="44"/>
  <c r="G83" i="44"/>
  <c r="AV10" i="24"/>
  <c r="AJ90" i="29"/>
  <c r="AJ89" i="29"/>
  <c r="K74" i="37"/>
  <c r="G72" i="37"/>
  <c r="K75" i="37"/>
  <c r="A99" i="40"/>
  <c r="B98" i="40"/>
  <c r="O90" i="41"/>
  <c r="P90" i="41" s="1"/>
  <c r="P89" i="41"/>
  <c r="P93" i="48"/>
  <c r="Q93" i="48" s="1"/>
  <c r="O94" i="48"/>
  <c r="AI102" i="40"/>
  <c r="AL104" i="40"/>
  <c r="AH104" i="40"/>
  <c r="AL105" i="40"/>
  <c r="AH105" i="40"/>
  <c r="H10" i="24"/>
  <c r="I10" i="24" s="1"/>
  <c r="D10" i="24"/>
  <c r="G83" i="32"/>
  <c r="C82" i="32"/>
  <c r="I83" i="59"/>
  <c r="I84" i="59"/>
  <c r="G81" i="59"/>
  <c r="K83" i="59"/>
  <c r="K84" i="59"/>
  <c r="C88" i="35"/>
  <c r="C89" i="35"/>
  <c r="A95" i="44"/>
  <c r="B95" i="44" s="1"/>
  <c r="B94" i="44"/>
  <c r="Y75" i="43"/>
  <c r="Y74" i="43"/>
  <c r="Q84" i="42"/>
  <c r="Q82" i="42"/>
  <c r="A90" i="46"/>
  <c r="B90" i="46" s="1"/>
  <c r="B89" i="46"/>
  <c r="Y80" i="42"/>
  <c r="Y79" i="42"/>
  <c r="AP84" i="38"/>
  <c r="P97" i="36"/>
  <c r="O98" i="36"/>
  <c r="AC103" i="42"/>
  <c r="AC99" i="42"/>
  <c r="AD99" i="42" s="1"/>
  <c r="AD98" i="42"/>
  <c r="C82" i="35"/>
  <c r="G83" i="35"/>
  <c r="AA7" i="22"/>
  <c r="AG7" i="22" s="1"/>
  <c r="O93" i="40"/>
  <c r="P92" i="40"/>
  <c r="AL95" i="48"/>
  <c r="AH95" i="48"/>
  <c r="AI92" i="48"/>
  <c r="AL94" i="48"/>
  <c r="AH94" i="48"/>
  <c r="O107" i="59"/>
  <c r="P106" i="59"/>
  <c r="Q106" i="59" s="1"/>
  <c r="O106" i="38"/>
  <c r="O102" i="38"/>
  <c r="P101" i="38"/>
  <c r="B101" i="43"/>
  <c r="A106" i="43"/>
  <c r="A102" i="43"/>
  <c r="AC94" i="35"/>
  <c r="AD94" i="35" s="1"/>
  <c r="AD93" i="35"/>
  <c r="AC98" i="35"/>
  <c r="B102" i="38"/>
  <c r="A103" i="38"/>
  <c r="O89" i="37"/>
  <c r="P88" i="37"/>
  <c r="Q88" i="37" s="1"/>
  <c r="C88" i="41"/>
  <c r="C89" i="41"/>
  <c r="B106" i="32"/>
  <c r="A107" i="32"/>
  <c r="A111" i="32"/>
  <c r="M80" i="37"/>
  <c r="I80" i="37"/>
  <c r="G79" i="37"/>
  <c r="M79" i="37"/>
  <c r="I79" i="37"/>
  <c r="AA90" i="30"/>
  <c r="AO90" i="30" s="1"/>
  <c r="AP90" i="30" s="1"/>
  <c r="W90" i="30"/>
  <c r="AA89" i="30"/>
  <c r="AO89" i="30" s="1"/>
  <c r="AP89" i="30" s="1"/>
  <c r="W89" i="30"/>
  <c r="B101" i="26"/>
  <c r="A106" i="26"/>
  <c r="A102" i="26"/>
  <c r="C88" i="38"/>
  <c r="C89" i="38"/>
  <c r="AA90" i="26"/>
  <c r="AO90" i="26" s="1"/>
  <c r="AP90" i="26" s="1"/>
  <c r="W90" i="26"/>
  <c r="AA89" i="26"/>
  <c r="AO89" i="26" s="1"/>
  <c r="W89" i="26"/>
  <c r="V42" i="46"/>
  <c r="T42" i="46"/>
  <c r="T38" i="46"/>
  <c r="V38" i="46"/>
  <c r="L7" i="39"/>
  <c r="AL95" i="36"/>
  <c r="AH95" i="36"/>
  <c r="AL94" i="36"/>
  <c r="AH94" i="36"/>
  <c r="AI92" i="36"/>
  <c r="P97" i="42"/>
  <c r="O98" i="42"/>
  <c r="B106" i="47"/>
  <c r="A111" i="47"/>
  <c r="A107" i="47"/>
  <c r="O93" i="27"/>
  <c r="P92" i="27"/>
  <c r="AN8" i="50"/>
  <c r="P97" i="35"/>
  <c r="O98" i="35"/>
  <c r="AL89" i="41"/>
  <c r="AH89" i="41"/>
  <c r="AL90" i="41"/>
  <c r="AH90" i="41"/>
  <c r="AI87" i="41"/>
  <c r="B97" i="39"/>
  <c r="A98" i="39"/>
  <c r="Y75" i="44"/>
  <c r="Y74" i="44"/>
  <c r="AA6" i="21"/>
  <c r="AV5" i="19"/>
  <c r="AK6" i="61"/>
  <c r="AB9" i="68" s="1"/>
  <c r="C10" i="48"/>
  <c r="D67" i="48" s="1"/>
  <c r="F67" i="48" s="1"/>
  <c r="AP6" i="19"/>
  <c r="Y5" i="19" s="1"/>
  <c r="B6" i="19"/>
  <c r="B6" i="53"/>
  <c r="AP6" i="53"/>
  <c r="A111" i="31"/>
  <c r="A107" i="31"/>
  <c r="B106" i="31"/>
  <c r="X87" i="59"/>
  <c r="A90" i="39"/>
  <c r="B90" i="39" s="1"/>
  <c r="B89" i="39"/>
  <c r="AA85" i="44"/>
  <c r="AO85" i="44" s="1"/>
  <c r="AP85" i="44" s="1"/>
  <c r="W85" i="44"/>
  <c r="AA84" i="44"/>
  <c r="AO84" i="44" s="1"/>
  <c r="AP84" i="44" s="1"/>
  <c r="W84" i="44"/>
  <c r="Q77" i="34"/>
  <c r="Q79" i="34"/>
  <c r="O93" i="44"/>
  <c r="P92" i="44"/>
  <c r="X77" i="48"/>
  <c r="Y80" i="35"/>
  <c r="Y79" i="35"/>
  <c r="AA85" i="27"/>
  <c r="AO85" i="27" s="1"/>
  <c r="W85" i="27"/>
  <c r="AA84" i="27"/>
  <c r="AO84" i="27" s="1"/>
  <c r="W84" i="27"/>
  <c r="C89" i="47"/>
  <c r="C88" i="47"/>
  <c r="AI92" i="28"/>
  <c r="AL94" i="28"/>
  <c r="AH94" i="28"/>
  <c r="AL95" i="28"/>
  <c r="AH95" i="28"/>
  <c r="M85" i="38"/>
  <c r="I85" i="38"/>
  <c r="G84" i="38"/>
  <c r="M84" i="38"/>
  <c r="I84" i="38"/>
  <c r="AC99" i="45"/>
  <c r="AD99" i="45" s="1"/>
  <c r="AD98" i="45"/>
  <c r="AC103" i="45"/>
  <c r="B106" i="42"/>
  <c r="A111" i="42"/>
  <c r="A107" i="42"/>
  <c r="O85" i="31"/>
  <c r="P85" i="31" s="1"/>
  <c r="P84" i="31"/>
  <c r="O93" i="28"/>
  <c r="P92" i="28"/>
  <c r="M79" i="26"/>
  <c r="I79" i="26"/>
  <c r="M80" i="26"/>
  <c r="I80" i="26"/>
  <c r="G79" i="26"/>
  <c r="AC119" i="46"/>
  <c r="AD119" i="46" s="1"/>
  <c r="AD118" i="46"/>
  <c r="AC123" i="46"/>
  <c r="Q77" i="40"/>
  <c r="Q79" i="40"/>
  <c r="M80" i="45"/>
  <c r="I80" i="45"/>
  <c r="G79" i="45"/>
  <c r="M79" i="45"/>
  <c r="I79" i="45"/>
  <c r="AF4" i="21"/>
  <c r="AF5" i="21" s="1"/>
  <c r="O106" i="41"/>
  <c r="O102" i="41"/>
  <c r="P101" i="41"/>
  <c r="X72" i="31"/>
  <c r="P101" i="59"/>
  <c r="O102" i="59"/>
  <c r="P102" i="59" s="1"/>
  <c r="A95" i="31"/>
  <c r="B95" i="31" s="1"/>
  <c r="B94" i="31"/>
  <c r="AJ89" i="44"/>
  <c r="AJ90" i="44"/>
  <c r="G78" i="39"/>
  <c r="C77" i="39"/>
  <c r="A111" i="49"/>
  <c r="A107" i="49"/>
  <c r="B106" i="49"/>
  <c r="Q79" i="33"/>
  <c r="Q77" i="33"/>
  <c r="P93" i="30"/>
  <c r="Q93" i="30" s="1"/>
  <c r="O94" i="30"/>
  <c r="V52" i="48"/>
  <c r="T52" i="48"/>
  <c r="V48" i="48"/>
  <c r="T48" i="48"/>
  <c r="AE48" i="46"/>
  <c r="R43" i="46"/>
  <c r="AE44" i="46"/>
  <c r="AG44" i="46" s="1"/>
  <c r="D44" i="46"/>
  <c r="F44" i="46" s="1"/>
  <c r="H44" i="46" s="1"/>
  <c r="D48" i="46"/>
  <c r="F48" i="46" s="1"/>
  <c r="H48" i="46" s="1"/>
  <c r="X72" i="39"/>
  <c r="H4" i="18"/>
  <c r="I4" i="18" s="1"/>
  <c r="D4" i="18"/>
  <c r="V54" i="50"/>
  <c r="V55" i="50" s="1"/>
  <c r="T54" i="50"/>
  <c r="T55" i="50" s="1"/>
  <c r="X54" i="50" s="1"/>
  <c r="AG63" i="50"/>
  <c r="M85" i="41"/>
  <c r="I85" i="41"/>
  <c r="G84" i="41"/>
  <c r="M84" i="41"/>
  <c r="I84" i="41"/>
  <c r="C77" i="46"/>
  <c r="G78" i="46"/>
  <c r="X72" i="28"/>
  <c r="AA85" i="39"/>
  <c r="AO85" i="39" s="1"/>
  <c r="AP85" i="39" s="1"/>
  <c r="W85" i="39"/>
  <c r="AA84" i="39"/>
  <c r="AO84" i="39" s="1"/>
  <c r="W84" i="39"/>
  <c r="H58" i="50"/>
  <c r="H60" i="50" s="1"/>
  <c r="F60" i="50"/>
  <c r="AF5" i="23"/>
  <c r="AF6" i="23" s="1"/>
  <c r="AF7" i="23" s="1"/>
  <c r="A99" i="42"/>
  <c r="B98" i="42"/>
  <c r="AI92" i="50"/>
  <c r="AL94" i="50"/>
  <c r="AH94" i="50"/>
  <c r="AL95" i="50"/>
  <c r="AH95" i="50"/>
  <c r="Y80" i="29"/>
  <c r="Y79" i="29"/>
  <c r="AJ95" i="32"/>
  <c r="AJ94" i="32"/>
  <c r="F42" i="45"/>
  <c r="AG38" i="45"/>
  <c r="AG10" i="61"/>
  <c r="X13" i="68" s="1"/>
  <c r="C6" i="44"/>
  <c r="B10" i="23"/>
  <c r="AP10" i="23"/>
  <c r="J47" i="48"/>
  <c r="AJ90" i="38"/>
  <c r="AJ89" i="38"/>
  <c r="P93" i="42"/>
  <c r="Q93" i="42" s="1"/>
  <c r="O94" i="42"/>
  <c r="AC103" i="39"/>
  <c r="AC99" i="39"/>
  <c r="AD99" i="39" s="1"/>
  <c r="AD98" i="39"/>
  <c r="AA85" i="40"/>
  <c r="AO85" i="40" s="1"/>
  <c r="AP85" i="40" s="1"/>
  <c r="W85" i="40"/>
  <c r="AA84" i="40"/>
  <c r="AO84" i="40" s="1"/>
  <c r="AP84" i="40" s="1"/>
  <c r="W84" i="40"/>
  <c r="AC99" i="31"/>
  <c r="AD99" i="31" s="1"/>
  <c r="AD98" i="31"/>
  <c r="AC103" i="31"/>
  <c r="AA90" i="38"/>
  <c r="AO90" i="38" s="1"/>
  <c r="AP90" i="38" s="1"/>
  <c r="W90" i="38"/>
  <c r="AA89" i="38"/>
  <c r="AO89" i="38" s="1"/>
  <c r="AP89" i="38" s="1"/>
  <c r="W89" i="38"/>
  <c r="K80" i="33"/>
  <c r="K79" i="33"/>
  <c r="G77" i="33"/>
  <c r="O89" i="45"/>
  <c r="P88" i="45"/>
  <c r="Q88" i="45" s="1"/>
  <c r="AJ94" i="26"/>
  <c r="AJ95" i="26"/>
  <c r="G83" i="42"/>
  <c r="C82" i="42"/>
  <c r="Q79" i="27"/>
  <c r="Q77" i="27"/>
  <c r="AL95" i="27"/>
  <c r="AH95" i="27"/>
  <c r="AI92" i="27"/>
  <c r="AL94" i="27"/>
  <c r="AH94" i="27"/>
  <c r="C89" i="49"/>
  <c r="C88" i="49"/>
  <c r="K79" i="28"/>
  <c r="G77" i="28"/>
  <c r="K80" i="28"/>
  <c r="Y75" i="34"/>
  <c r="Y74" i="34"/>
  <c r="AV7" i="21"/>
  <c r="M84" i="27"/>
  <c r="I84" i="27"/>
  <c r="M85" i="27"/>
  <c r="I85" i="27"/>
  <c r="G84" i="27"/>
  <c r="AA85" i="33"/>
  <c r="AO85" i="33" s="1"/>
  <c r="AP85" i="33" s="1"/>
  <c r="W85" i="33"/>
  <c r="AA84" i="33"/>
  <c r="AO84" i="33" s="1"/>
  <c r="AP84" i="33" s="1"/>
  <c r="W84" i="33"/>
  <c r="O112" i="59"/>
  <c r="P111" i="59"/>
  <c r="AG40" i="46"/>
  <c r="F4" i="53"/>
  <c r="X77" i="26"/>
  <c r="AJ90" i="47"/>
  <c r="AJ89" i="47"/>
  <c r="M85" i="34"/>
  <c r="I85" i="34"/>
  <c r="G84" i="34"/>
  <c r="M84" i="34"/>
  <c r="I84" i="34"/>
  <c r="K79" i="35"/>
  <c r="G77" i="35"/>
  <c r="K80" i="35"/>
  <c r="W110" i="32"/>
  <c r="AA109" i="32"/>
  <c r="AO109" i="32" s="1"/>
  <c r="AP109" i="32" s="1"/>
  <c r="W109" i="32"/>
  <c r="AA110" i="32"/>
  <c r="AO110" i="32" s="1"/>
  <c r="AP110" i="32" s="1"/>
  <c r="AG45" i="47"/>
  <c r="B106" i="34"/>
  <c r="A111" i="34"/>
  <c r="A107" i="34"/>
  <c r="K79" i="29"/>
  <c r="G77" i="29"/>
  <c r="K80" i="29"/>
  <c r="O90" i="42"/>
  <c r="P90" i="42" s="1"/>
  <c r="P89" i="42"/>
  <c r="H57" i="49"/>
  <c r="A111" i="33"/>
  <c r="A107" i="33"/>
  <c r="B106" i="33"/>
  <c r="AC99" i="37"/>
  <c r="AD99" i="37" s="1"/>
  <c r="AD98" i="37"/>
  <c r="AC103" i="37"/>
  <c r="W85" i="43"/>
  <c r="AA84" i="43"/>
  <c r="AO84" i="43" s="1"/>
  <c r="AP84" i="43" s="1"/>
  <c r="AA85" i="43"/>
  <c r="AO85" i="43" s="1"/>
  <c r="AP85" i="43" s="1"/>
  <c r="W84" i="43"/>
  <c r="AE54" i="48"/>
  <c r="AG54" i="48" s="1"/>
  <c r="R53" i="48"/>
  <c r="AE58" i="48"/>
  <c r="D54" i="48"/>
  <c r="R57" i="48"/>
  <c r="D58" i="48"/>
  <c r="F58" i="48" s="1"/>
  <c r="H58" i="48" s="1"/>
  <c r="D62" i="48"/>
  <c r="AA85" i="46"/>
  <c r="AO85" i="46" s="1"/>
  <c r="W85" i="46"/>
  <c r="AA84" i="46"/>
  <c r="AO84" i="46" s="1"/>
  <c r="W84" i="46"/>
  <c r="A94" i="45"/>
  <c r="B93" i="45"/>
  <c r="X5" i="21"/>
  <c r="AK40" i="48"/>
  <c r="AM40" i="48" s="1"/>
  <c r="AS40" i="48" s="1"/>
  <c r="Z40" i="48"/>
  <c r="L45" i="48"/>
  <c r="AB40" i="49"/>
  <c r="AR40" i="49" s="1"/>
  <c r="AT40" i="49" s="1"/>
  <c r="E6" i="49" s="1"/>
  <c r="X72" i="45"/>
  <c r="AF11" i="61"/>
  <c r="W14" i="68" s="1"/>
  <c r="AP11" i="24"/>
  <c r="C5" i="43"/>
  <c r="B11" i="24"/>
  <c r="AC94" i="29"/>
  <c r="AD94" i="29" s="1"/>
  <c r="AD93" i="29"/>
  <c r="AC98" i="29"/>
  <c r="P101" i="47"/>
  <c r="O102" i="47"/>
  <c r="O106" i="47"/>
  <c r="A94" i="46"/>
  <c r="B93" i="46"/>
  <c r="L27" i="50"/>
  <c r="P26" i="50"/>
  <c r="B106" i="38"/>
  <c r="A111" i="38"/>
  <c r="A107" i="38"/>
  <c r="AJ95" i="49"/>
  <c r="AJ94" i="49"/>
  <c r="B102" i="32"/>
  <c r="A103" i="32"/>
  <c r="AC99" i="34"/>
  <c r="AD99" i="34" s="1"/>
  <c r="AD98" i="34"/>
  <c r="AC103" i="34"/>
  <c r="O101" i="39"/>
  <c r="O97" i="39"/>
  <c r="P96" i="39"/>
  <c r="AA4" i="20"/>
  <c r="K79" i="50"/>
  <c r="G77" i="50"/>
  <c r="K80" i="50"/>
  <c r="Q77" i="37"/>
  <c r="Q79" i="37"/>
  <c r="O106" i="35"/>
  <c r="O102" i="35"/>
  <c r="P101" i="35"/>
  <c r="O85" i="49"/>
  <c r="P85" i="49" s="1"/>
  <c r="P84" i="49"/>
  <c r="A95" i="27"/>
  <c r="B95" i="27" s="1"/>
  <c r="B94" i="27"/>
  <c r="V62" i="50"/>
  <c r="T62" i="50"/>
  <c r="AP84" i="29"/>
  <c r="O97" i="31"/>
  <c r="P96" i="31"/>
  <c r="O101" i="31"/>
  <c r="G72" i="48"/>
  <c r="K75" i="48"/>
  <c r="K74" i="48"/>
  <c r="A95" i="38"/>
  <c r="B95" i="38" s="1"/>
  <c r="B94" i="38"/>
  <c r="X72" i="44"/>
  <c r="Q77" i="45"/>
  <c r="Q79" i="45"/>
  <c r="AJ94" i="30"/>
  <c r="AJ95" i="30"/>
  <c r="A103" i="44"/>
  <c r="B102" i="44"/>
  <c r="O102" i="26"/>
  <c r="P101" i="26"/>
  <c r="O106" i="26"/>
  <c r="H5" i="53"/>
  <c r="I5" i="53" s="1"/>
  <c r="D5" i="53"/>
  <c r="F5" i="53" s="1"/>
  <c r="G5" i="53" s="1"/>
  <c r="AA4" i="53"/>
  <c r="Q79" i="44"/>
  <c r="Q77" i="44"/>
  <c r="P92" i="49"/>
  <c r="O93" i="49"/>
  <c r="A103" i="27"/>
  <c r="B102" i="27"/>
  <c r="Y75" i="33"/>
  <c r="Y74" i="33"/>
  <c r="V53" i="49"/>
  <c r="T53" i="49"/>
  <c r="Y5" i="20"/>
  <c r="C82" i="38"/>
  <c r="G83" i="38"/>
  <c r="A94" i="36"/>
  <c r="B93" i="36"/>
  <c r="AJ95" i="45"/>
  <c r="AJ94" i="45"/>
  <c r="AA85" i="31"/>
  <c r="AO85" i="31" s="1"/>
  <c r="AP85" i="31" s="1"/>
  <c r="W85" i="31"/>
  <c r="AA84" i="31"/>
  <c r="AO84" i="31" s="1"/>
  <c r="AP84" i="31" s="1"/>
  <c r="W84" i="31"/>
  <c r="A94" i="26"/>
  <c r="B93" i="26"/>
  <c r="P96" i="28"/>
  <c r="O101" i="28"/>
  <c r="O97" i="28"/>
  <c r="O102" i="48"/>
  <c r="P101" i="48"/>
  <c r="O106" i="48"/>
  <c r="AJ115" i="46"/>
  <c r="AJ114" i="46"/>
  <c r="P92" i="43"/>
  <c r="O93" i="43"/>
  <c r="P88" i="33"/>
  <c r="Q88" i="33" s="1"/>
  <c r="O89" i="33"/>
  <c r="G4" i="20"/>
  <c r="O93" i="34"/>
  <c r="P92" i="34"/>
  <c r="J42" i="47"/>
  <c r="A95" i="32"/>
  <c r="B95" i="32" s="1"/>
  <c r="B94" i="32"/>
  <c r="Q82" i="41"/>
  <c r="Q84" i="41"/>
  <c r="AL90" i="44"/>
  <c r="AH90" i="44"/>
  <c r="AI87" i="44"/>
  <c r="AL89" i="44"/>
  <c r="AH89" i="44"/>
  <c r="A95" i="49"/>
  <c r="B95" i="49" s="1"/>
  <c r="B94" i="49"/>
  <c r="C82" i="33"/>
  <c r="G83" i="33"/>
  <c r="M79" i="39"/>
  <c r="I79" i="39"/>
  <c r="M80" i="39"/>
  <c r="I80" i="39"/>
  <c r="G79" i="39"/>
  <c r="Q79" i="39"/>
  <c r="Q77" i="39"/>
  <c r="A99" i="29"/>
  <c r="B98" i="29"/>
  <c r="V92" i="32"/>
  <c r="V95" i="32" s="1"/>
  <c r="T92" i="32"/>
  <c r="T95" i="32" s="1"/>
  <c r="X94" i="32" s="1"/>
  <c r="AB94" i="32" s="1"/>
  <c r="G72" i="26"/>
  <c r="K75" i="26"/>
  <c r="K74" i="26"/>
  <c r="H8" i="22"/>
  <c r="I8" i="22" s="1"/>
  <c r="D8" i="22"/>
  <c r="A99" i="44"/>
  <c r="B98" i="44"/>
  <c r="J37" i="46"/>
  <c r="AE64" i="50"/>
  <c r="AG64" i="50" s="1"/>
  <c r="AE68" i="50"/>
  <c r="D64" i="50"/>
  <c r="F64" i="50" s="1"/>
  <c r="H64" i="50" s="1"/>
  <c r="R63" i="50"/>
  <c r="R59" i="50"/>
  <c r="F63" i="50"/>
  <c r="C84" i="46"/>
  <c r="C83" i="46"/>
  <c r="C82" i="41"/>
  <c r="G83" i="41"/>
  <c r="M80" i="46"/>
  <c r="I80" i="46"/>
  <c r="G79" i="46"/>
  <c r="M79" i="46"/>
  <c r="I79" i="46"/>
  <c r="C82" i="47"/>
  <c r="G83" i="47"/>
  <c r="G77" i="32"/>
  <c r="K79" i="32"/>
  <c r="K80" i="32"/>
  <c r="C82" i="49"/>
  <c r="G83" i="49"/>
  <c r="B97" i="48"/>
  <c r="A98" i="48"/>
  <c r="Y75" i="28"/>
  <c r="Y74" i="28"/>
  <c r="AC99" i="33"/>
  <c r="AD99" i="33" s="1"/>
  <c r="AD98" i="33"/>
  <c r="AC103" i="33"/>
  <c r="O114" i="32"/>
  <c r="P113" i="32"/>
  <c r="Q113" i="32" s="1"/>
  <c r="AA85" i="45"/>
  <c r="AO85" i="45" s="1"/>
  <c r="W85" i="45"/>
  <c r="AA84" i="45"/>
  <c r="AO84" i="45" s="1"/>
  <c r="W84" i="45"/>
  <c r="B102" i="40"/>
  <c r="A103" i="40"/>
  <c r="C89" i="42"/>
  <c r="C88" i="42"/>
  <c r="B102" i="41"/>
  <c r="A103" i="41"/>
  <c r="O89" i="28"/>
  <c r="P88" i="28"/>
  <c r="Q88" i="28" s="1"/>
  <c r="AI92" i="32"/>
  <c r="AL94" i="32"/>
  <c r="AH94" i="32"/>
  <c r="AL95" i="32"/>
  <c r="AH95" i="32"/>
  <c r="V33" i="45"/>
  <c r="T33" i="45"/>
  <c r="B102" i="28"/>
  <c r="A103" i="28"/>
  <c r="O89" i="46"/>
  <c r="P88" i="46"/>
  <c r="Q88" i="46" s="1"/>
  <c r="AV9" i="23"/>
  <c r="Y9" i="23"/>
  <c r="M79" i="36"/>
  <c r="I79" i="36"/>
  <c r="M80" i="36"/>
  <c r="I80" i="36"/>
  <c r="G79" i="36"/>
  <c r="AL89" i="38"/>
  <c r="AH89" i="38"/>
  <c r="AL90" i="38"/>
  <c r="AH90" i="38"/>
  <c r="AI87" i="38"/>
  <c r="P84" i="40"/>
  <c r="O85" i="40"/>
  <c r="P85" i="40" s="1"/>
  <c r="AJ94" i="31"/>
  <c r="AJ95" i="31"/>
  <c r="G77" i="42"/>
  <c r="K80" i="42"/>
  <c r="K79" i="42"/>
  <c r="O90" i="38"/>
  <c r="P90" i="38" s="1"/>
  <c r="P89" i="38"/>
  <c r="B89" i="43"/>
  <c r="A90" i="43"/>
  <c r="B90" i="43" s="1"/>
  <c r="AA90" i="29"/>
  <c r="AO90" i="29" s="1"/>
  <c r="AP90" i="29" s="1"/>
  <c r="W90" i="29"/>
  <c r="AA89" i="29"/>
  <c r="AO89" i="29" s="1"/>
  <c r="AP89" i="29" s="1"/>
  <c r="W89" i="29"/>
  <c r="AL95" i="26"/>
  <c r="AH95" i="26"/>
  <c r="AI92" i="26"/>
  <c r="AL94" i="26"/>
  <c r="AH94" i="26"/>
  <c r="M84" i="42"/>
  <c r="I84" i="42"/>
  <c r="M85" i="42"/>
  <c r="I85" i="42"/>
  <c r="G84" i="42"/>
  <c r="AN107" i="59"/>
  <c r="AJ107" i="59"/>
  <c r="AN108" i="59"/>
  <c r="AJ108" i="59"/>
  <c r="AK105" i="59"/>
  <c r="C84" i="43"/>
  <c r="C83" i="43"/>
  <c r="P88" i="31"/>
  <c r="Q88" i="31" s="1"/>
  <c r="O89" i="31"/>
  <c r="V94" i="32"/>
  <c r="T94" i="32"/>
  <c r="AI8" i="61"/>
  <c r="Z11" i="68" s="1"/>
  <c r="B8" i="21"/>
  <c r="C8" i="46"/>
  <c r="AP8" i="21"/>
  <c r="Y7" i="21" s="1"/>
  <c r="X72" i="40"/>
  <c r="P93" i="26"/>
  <c r="Q93" i="26" s="1"/>
  <c r="O94" i="26"/>
  <c r="O117" i="59"/>
  <c r="P116" i="59"/>
  <c r="O122" i="59"/>
  <c r="H42" i="46"/>
  <c r="Y80" i="36"/>
  <c r="Y79" i="36"/>
  <c r="AI87" i="47"/>
  <c r="AL89" i="47"/>
  <c r="AH90" i="47"/>
  <c r="AL90" i="47"/>
  <c r="AH89" i="47"/>
  <c r="G78" i="30"/>
  <c r="C77" i="30"/>
  <c r="P109" i="32"/>
  <c r="O110" i="32"/>
  <c r="P110" i="32" s="1"/>
  <c r="AE45" i="47"/>
  <c r="AI44" i="47" s="1"/>
  <c r="AA90" i="42"/>
  <c r="AO90" i="42" s="1"/>
  <c r="AP90" i="42" s="1"/>
  <c r="W90" i="42"/>
  <c r="AA89" i="42"/>
  <c r="AO89" i="42" s="1"/>
  <c r="W89" i="42"/>
  <c r="O93" i="37"/>
  <c r="P92" i="37"/>
  <c r="AJ95" i="37"/>
  <c r="AJ94" i="37"/>
  <c r="AV6" i="20"/>
  <c r="B97" i="45"/>
  <c r="A98" i="45"/>
  <c r="P84" i="46"/>
  <c r="O85" i="46"/>
  <c r="P85" i="46" s="1"/>
  <c r="A95" i="28"/>
  <c r="B95" i="28" s="1"/>
  <c r="B94" i="28"/>
  <c r="AG6" i="22"/>
  <c r="D23" i="65" l="1"/>
  <c r="N18" i="31"/>
  <c r="L4" i="31" s="1"/>
  <c r="AP54" i="31" s="1"/>
  <c r="N19" i="31"/>
  <c r="L5" i="31" s="1"/>
  <c r="AP55" i="31" s="1"/>
  <c r="T50" i="48"/>
  <c r="X49" i="48" s="1"/>
  <c r="T28" i="59"/>
  <c r="J23" i="66"/>
  <c r="B23" i="65" s="1"/>
  <c r="L108" i="66"/>
  <c r="J108" i="66" s="1"/>
  <c r="B108" i="65" s="1"/>
  <c r="D107" i="65"/>
  <c r="J107" i="66"/>
  <c r="B107" i="65" s="1"/>
  <c r="D73" i="50"/>
  <c r="F73" i="50" s="1"/>
  <c r="H73" i="50" s="1"/>
  <c r="D22" i="66"/>
  <c r="L24" i="66"/>
  <c r="D44" i="66"/>
  <c r="L48" i="66"/>
  <c r="V50" i="48"/>
  <c r="X50" i="48" s="1"/>
  <c r="AA8" i="23"/>
  <c r="AG8" i="23" s="1"/>
  <c r="AF8" i="23" s="1"/>
  <c r="X50" i="49"/>
  <c r="N44" i="48"/>
  <c r="AQ44" i="48" s="1"/>
  <c r="B62" i="66"/>
  <c r="A62" i="66"/>
  <c r="D63" i="66"/>
  <c r="L68" i="66"/>
  <c r="J67" i="66"/>
  <c r="B67" i="65" s="1"/>
  <c r="D67" i="65"/>
  <c r="I67" i="66"/>
  <c r="D87" i="66"/>
  <c r="T2" i="50"/>
  <c r="T13" i="50"/>
  <c r="V13" i="50" s="1"/>
  <c r="X13" i="50" s="1"/>
  <c r="B10" i="66"/>
  <c r="A10" i="66"/>
  <c r="D11" i="66"/>
  <c r="L12" i="66"/>
  <c r="D30" i="66"/>
  <c r="L32" i="66"/>
  <c r="B86" i="66"/>
  <c r="A86" i="66"/>
  <c r="D11" i="65"/>
  <c r="I11" i="66"/>
  <c r="J11" i="66"/>
  <c r="B11" i="65" s="1"/>
  <c r="AB39" i="48"/>
  <c r="CH103" i="61"/>
  <c r="CK100" i="61"/>
  <c r="A23" i="65"/>
  <c r="CF105" i="61"/>
  <c r="CI102" i="61"/>
  <c r="CJ101" i="61"/>
  <c r="CM98" i="61"/>
  <c r="CE106" i="61"/>
  <c r="CG104" i="61"/>
  <c r="CL99" i="61"/>
  <c r="A10" i="65"/>
  <c r="N45" i="48"/>
  <c r="AQ45" i="48" s="1"/>
  <c r="T27" i="59"/>
  <c r="AR3" i="59"/>
  <c r="AR10" i="59"/>
  <c r="AP10" i="59"/>
  <c r="N27" i="45"/>
  <c r="N29" i="45" s="1"/>
  <c r="P28" i="45" s="1"/>
  <c r="L29" i="45"/>
  <c r="P27" i="45" s="1"/>
  <c r="T32" i="43"/>
  <c r="V32" i="43"/>
  <c r="AV12" i="25"/>
  <c r="Y11" i="25"/>
  <c r="X9" i="25"/>
  <c r="AA10" i="25"/>
  <c r="AG10" i="25" s="1"/>
  <c r="H12" i="25"/>
  <c r="I12" i="25" s="1"/>
  <c r="D12" i="25"/>
  <c r="F12" i="25" s="1"/>
  <c r="R32" i="42"/>
  <c r="D37" i="42"/>
  <c r="F37" i="42" s="1"/>
  <c r="H37" i="42" s="1"/>
  <c r="AE33" i="42"/>
  <c r="AG33" i="42" s="1"/>
  <c r="AE13" i="61"/>
  <c r="V16" i="68" s="1"/>
  <c r="C4" i="41"/>
  <c r="AP13" i="25"/>
  <c r="B13" i="25"/>
  <c r="AI55" i="49"/>
  <c r="AB40" i="48"/>
  <c r="AI50" i="48"/>
  <c r="AI60" i="50"/>
  <c r="AM60" i="50" s="1"/>
  <c r="AS60" i="50" s="1"/>
  <c r="H45" i="46"/>
  <c r="R72" i="50"/>
  <c r="V72" i="50" s="1"/>
  <c r="F60" i="49"/>
  <c r="AI40" i="46"/>
  <c r="R39" i="46"/>
  <c r="V39" i="46" s="1"/>
  <c r="V40" i="46" s="1"/>
  <c r="D53" i="46"/>
  <c r="F53" i="46" s="1"/>
  <c r="T49" i="47"/>
  <c r="V49" i="47"/>
  <c r="T47" i="45"/>
  <c r="V47" i="45"/>
  <c r="D52" i="44"/>
  <c r="F52" i="44" s="1"/>
  <c r="R47" i="44"/>
  <c r="D68" i="49"/>
  <c r="F68" i="49" s="1"/>
  <c r="R67" i="49"/>
  <c r="D72" i="49"/>
  <c r="F72" i="49" s="1"/>
  <c r="H72" i="49" s="1"/>
  <c r="H54" i="49"/>
  <c r="H55" i="49" s="1"/>
  <c r="J55" i="49" s="1"/>
  <c r="F55" i="49"/>
  <c r="J54" i="49" s="1"/>
  <c r="L55" i="49"/>
  <c r="Z50" i="49"/>
  <c r="H52" i="45"/>
  <c r="Y6" i="20"/>
  <c r="AA6" i="20" s="1"/>
  <c r="AG6" i="20" s="1"/>
  <c r="AG40" i="45"/>
  <c r="F45" i="46"/>
  <c r="AG60" i="49"/>
  <c r="L50" i="49"/>
  <c r="N50" i="49" s="1"/>
  <c r="AQ50" i="49" s="1"/>
  <c r="AK45" i="49"/>
  <c r="AM45" i="49" s="1"/>
  <c r="AS45" i="49" s="1"/>
  <c r="Z45" i="49"/>
  <c r="AB45" i="49" s="1"/>
  <c r="J62" i="50"/>
  <c r="AI35" i="45"/>
  <c r="AM35" i="45" s="1"/>
  <c r="AS35" i="45" s="1"/>
  <c r="AE40" i="45"/>
  <c r="AI39" i="45" s="1"/>
  <c r="J37" i="45"/>
  <c r="AE60" i="49"/>
  <c r="AI59" i="49" s="1"/>
  <c r="X40" i="47"/>
  <c r="F50" i="47"/>
  <c r="H60" i="49"/>
  <c r="J57" i="49"/>
  <c r="H50" i="47"/>
  <c r="X45" i="48"/>
  <c r="AA7" i="21"/>
  <c r="AG7" i="21" s="1"/>
  <c r="X6" i="21"/>
  <c r="X95" i="32"/>
  <c r="AB95" i="32" s="1"/>
  <c r="AR95" i="32" s="1"/>
  <c r="X55" i="50"/>
  <c r="AP89" i="42"/>
  <c r="AE49" i="46"/>
  <c r="AG49" i="46" s="1"/>
  <c r="R48" i="46"/>
  <c r="AE53" i="46"/>
  <c r="R44" i="46"/>
  <c r="D49" i="46"/>
  <c r="F49" i="46" s="1"/>
  <c r="H49" i="46" s="1"/>
  <c r="R52" i="46"/>
  <c r="D57" i="46"/>
  <c r="AA90" i="31"/>
  <c r="AO90" i="31" s="1"/>
  <c r="AP90" i="31" s="1"/>
  <c r="W90" i="31"/>
  <c r="AA89" i="31"/>
  <c r="AO89" i="31" s="1"/>
  <c r="AP89" i="31" s="1"/>
  <c r="W89" i="31"/>
  <c r="AA90" i="46"/>
  <c r="AO90" i="46" s="1"/>
  <c r="AP90" i="46" s="1"/>
  <c r="W90" i="46"/>
  <c r="AA89" i="46"/>
  <c r="AO89" i="46" s="1"/>
  <c r="AP89" i="46" s="1"/>
  <c r="W89" i="46"/>
  <c r="AA90" i="28"/>
  <c r="AO90" i="28" s="1"/>
  <c r="AP90" i="28" s="1"/>
  <c r="W90" i="28"/>
  <c r="AA89" i="28"/>
  <c r="AO89" i="28" s="1"/>
  <c r="AP89" i="28" s="1"/>
  <c r="W89" i="28"/>
  <c r="A104" i="41"/>
  <c r="B103" i="41"/>
  <c r="G88" i="42"/>
  <c r="C87" i="42"/>
  <c r="AJ99" i="33"/>
  <c r="AJ100" i="33"/>
  <c r="AG68" i="50"/>
  <c r="A100" i="44"/>
  <c r="B100" i="44" s="1"/>
  <c r="B99" i="44"/>
  <c r="A100" i="29"/>
  <c r="B100" i="29" s="1"/>
  <c r="B99" i="29"/>
  <c r="C94" i="49"/>
  <c r="C93" i="49"/>
  <c r="Y85" i="41"/>
  <c r="Y84" i="41"/>
  <c r="O94" i="34"/>
  <c r="P93" i="34"/>
  <c r="Q93" i="34" s="1"/>
  <c r="AA90" i="33"/>
  <c r="AO90" i="33" s="1"/>
  <c r="AP90" i="33" s="1"/>
  <c r="W90" i="33"/>
  <c r="AA89" i="33"/>
  <c r="AO89" i="33" s="1"/>
  <c r="AP89" i="33" s="1"/>
  <c r="W89" i="33"/>
  <c r="A95" i="36"/>
  <c r="B95" i="36" s="1"/>
  <c r="B94" i="36"/>
  <c r="K84" i="38"/>
  <c r="G82" i="38"/>
  <c r="K85" i="38"/>
  <c r="O94" i="49"/>
  <c r="P93" i="49"/>
  <c r="Q93" i="49" s="1"/>
  <c r="O107" i="26"/>
  <c r="P106" i="26"/>
  <c r="O111" i="26"/>
  <c r="A104" i="44"/>
  <c r="B103" i="44"/>
  <c r="O98" i="31"/>
  <c r="P97" i="31"/>
  <c r="Q84" i="49"/>
  <c r="Q82" i="49"/>
  <c r="Y80" i="37"/>
  <c r="Y79" i="37"/>
  <c r="P97" i="39"/>
  <c r="O98" i="39"/>
  <c r="AI97" i="34"/>
  <c r="AL99" i="34"/>
  <c r="AH99" i="34"/>
  <c r="AL100" i="34"/>
  <c r="AH100" i="34"/>
  <c r="O103" i="47"/>
  <c r="P102" i="47"/>
  <c r="AJ95" i="29"/>
  <c r="AJ94" i="29"/>
  <c r="AE34" i="43"/>
  <c r="AE38" i="43"/>
  <c r="D38" i="43"/>
  <c r="R33" i="43"/>
  <c r="D42" i="43"/>
  <c r="R37" i="43"/>
  <c r="F62" i="48"/>
  <c r="AG58" i="48"/>
  <c r="AC104" i="37"/>
  <c r="AD104" i="37" s="1"/>
  <c r="AD103" i="37"/>
  <c r="AC108" i="37"/>
  <c r="P89" i="45"/>
  <c r="O90" i="45"/>
  <c r="P90" i="45" s="1"/>
  <c r="AL100" i="31"/>
  <c r="AH100" i="31"/>
  <c r="AI97" i="31"/>
  <c r="AL99" i="31"/>
  <c r="AH99" i="31"/>
  <c r="AL100" i="39"/>
  <c r="AH99" i="39"/>
  <c r="AL99" i="39"/>
  <c r="AI97" i="39"/>
  <c r="AH100" i="39"/>
  <c r="AA95" i="42"/>
  <c r="AO95" i="42" s="1"/>
  <c r="AP95" i="42" s="1"/>
  <c r="W95" i="42"/>
  <c r="AA94" i="42"/>
  <c r="AO94" i="42" s="1"/>
  <c r="AP94" i="42" s="1"/>
  <c r="W94" i="42"/>
  <c r="AV10" i="23"/>
  <c r="H42" i="45"/>
  <c r="AE65" i="50"/>
  <c r="AI64" i="50" s="1"/>
  <c r="AA95" i="30"/>
  <c r="AO95" i="30" s="1"/>
  <c r="AP95" i="30" s="1"/>
  <c r="W95" i="30"/>
  <c r="AA94" i="30"/>
  <c r="AO94" i="30" s="1"/>
  <c r="AP94" i="30" s="1"/>
  <c r="W94" i="30"/>
  <c r="Q101" i="59"/>
  <c r="Q99" i="59"/>
  <c r="P102" i="41"/>
  <c r="O103" i="41"/>
  <c r="X77" i="40"/>
  <c r="AI117" i="46"/>
  <c r="AL119" i="46"/>
  <c r="AH119" i="46"/>
  <c r="AH120" i="46"/>
  <c r="AL120" i="46"/>
  <c r="AC104" i="45"/>
  <c r="AD104" i="45" s="1"/>
  <c r="AD103" i="45"/>
  <c r="AC108" i="45"/>
  <c r="C87" i="47"/>
  <c r="G88" i="47"/>
  <c r="X77" i="34"/>
  <c r="H6" i="19"/>
  <c r="I6" i="19" s="1"/>
  <c r="D6" i="19"/>
  <c r="AA5" i="19"/>
  <c r="AG5" i="19" s="1"/>
  <c r="B111" i="47"/>
  <c r="A116" i="47"/>
  <c r="A112" i="47"/>
  <c r="P98" i="42"/>
  <c r="Q98" i="42" s="1"/>
  <c r="O99" i="42"/>
  <c r="AA90" i="37"/>
  <c r="AO90" i="37" s="1"/>
  <c r="AP90" i="37" s="1"/>
  <c r="W90" i="37"/>
  <c r="AA89" i="37"/>
  <c r="AO89" i="37" s="1"/>
  <c r="W89" i="37"/>
  <c r="A104" i="38"/>
  <c r="B103" i="38"/>
  <c r="AL94" i="35"/>
  <c r="AH94" i="35"/>
  <c r="AL95" i="35"/>
  <c r="AH95" i="35"/>
  <c r="AI92" i="35"/>
  <c r="AJ99" i="42"/>
  <c r="AJ100" i="42"/>
  <c r="P98" i="36"/>
  <c r="Q98" i="36" s="1"/>
  <c r="O99" i="36"/>
  <c r="C89" i="46"/>
  <c r="C88" i="46"/>
  <c r="M90" i="35"/>
  <c r="I90" i="35"/>
  <c r="G89" i="35"/>
  <c r="M89" i="35"/>
  <c r="I89" i="35"/>
  <c r="AA95" i="48"/>
  <c r="AO95" i="48" s="1"/>
  <c r="AP95" i="48" s="1"/>
  <c r="W95" i="48"/>
  <c r="AA94" i="48"/>
  <c r="AO94" i="48" s="1"/>
  <c r="AP94" i="48" s="1"/>
  <c r="W94" i="48"/>
  <c r="A100" i="40"/>
  <c r="B100" i="40" s="1"/>
  <c r="B99" i="40"/>
  <c r="AG45" i="46"/>
  <c r="A104" i="50"/>
  <c r="B103" i="50"/>
  <c r="A100" i="34"/>
  <c r="B100" i="34" s="1"/>
  <c r="B99" i="34"/>
  <c r="Q82" i="43"/>
  <c r="Q84" i="43"/>
  <c r="G83" i="39"/>
  <c r="C82" i="39"/>
  <c r="K85" i="27"/>
  <c r="K84" i="27"/>
  <c r="G82" i="27"/>
  <c r="V48" i="47"/>
  <c r="T48" i="47"/>
  <c r="C82" i="36"/>
  <c r="G83" i="36"/>
  <c r="Y85" i="38"/>
  <c r="Y84" i="38"/>
  <c r="W95" i="47"/>
  <c r="AA94" i="47"/>
  <c r="AO94" i="47" s="1"/>
  <c r="AP94" i="47" s="1"/>
  <c r="AA95" i="47"/>
  <c r="AO95" i="47" s="1"/>
  <c r="AP95" i="47" s="1"/>
  <c r="W94" i="47"/>
  <c r="Y80" i="49"/>
  <c r="Y79" i="49"/>
  <c r="F9" i="23"/>
  <c r="P89" i="34"/>
  <c r="O90" i="34"/>
  <c r="P90" i="34" s="1"/>
  <c r="A100" i="27"/>
  <c r="B100" i="27" s="1"/>
  <c r="B99" i="27"/>
  <c r="A100" i="31"/>
  <c r="B100" i="31" s="1"/>
  <c r="B99" i="31"/>
  <c r="AV5" i="18"/>
  <c r="AV9" i="22"/>
  <c r="C87" i="50"/>
  <c r="G88" i="50"/>
  <c r="A95" i="39"/>
  <c r="B95" i="39" s="1"/>
  <c r="B94" i="39"/>
  <c r="P101" i="45"/>
  <c r="O106" i="45"/>
  <c r="O102" i="45"/>
  <c r="AL95" i="44"/>
  <c r="AH95" i="44"/>
  <c r="AI92" i="44"/>
  <c r="AL94" i="44"/>
  <c r="AH94" i="44"/>
  <c r="P101" i="46"/>
  <c r="O106" i="46"/>
  <c r="O102" i="46"/>
  <c r="P97" i="43"/>
  <c r="O98" i="43"/>
  <c r="O98" i="50"/>
  <c r="P97" i="50"/>
  <c r="Q84" i="27"/>
  <c r="Q82" i="27"/>
  <c r="Y95" i="59"/>
  <c r="W96" i="59"/>
  <c r="W95" i="59"/>
  <c r="Y96" i="59"/>
  <c r="AG63" i="49"/>
  <c r="AA90" i="40"/>
  <c r="AO90" i="40" s="1"/>
  <c r="AP90" i="40" s="1"/>
  <c r="W90" i="40"/>
  <c r="AA89" i="40"/>
  <c r="AO89" i="40" s="1"/>
  <c r="AP89" i="40" s="1"/>
  <c r="W89" i="40"/>
  <c r="B102" i="39"/>
  <c r="A103" i="39"/>
  <c r="M89" i="31"/>
  <c r="I89" i="31"/>
  <c r="M90" i="31"/>
  <c r="I90" i="31"/>
  <c r="G89" i="31"/>
  <c r="P93" i="39"/>
  <c r="Q93" i="39" s="1"/>
  <c r="O94" i="39"/>
  <c r="H47" i="46"/>
  <c r="K79" i="37"/>
  <c r="G77" i="37"/>
  <c r="K80" i="37"/>
  <c r="A111" i="36"/>
  <c r="A107" i="36"/>
  <c r="B106" i="36"/>
  <c r="AC104" i="49"/>
  <c r="AD104" i="49" s="1"/>
  <c r="AD103" i="49"/>
  <c r="AC108" i="49"/>
  <c r="C94" i="33"/>
  <c r="C93" i="33"/>
  <c r="T37" i="44"/>
  <c r="V37" i="44"/>
  <c r="O90" i="43"/>
  <c r="P90" i="43" s="1"/>
  <c r="P89" i="43"/>
  <c r="B122" i="59"/>
  <c r="A123" i="59"/>
  <c r="A128" i="59"/>
  <c r="AI107" i="40"/>
  <c r="AL109" i="40"/>
  <c r="AH109" i="40"/>
  <c r="AL110" i="40"/>
  <c r="AH110" i="40"/>
  <c r="AL100" i="48"/>
  <c r="AH100" i="48"/>
  <c r="AI97" i="48"/>
  <c r="AL99" i="48"/>
  <c r="AH99" i="48"/>
  <c r="B106" i="45"/>
  <c r="A111" i="45"/>
  <c r="A107" i="45"/>
  <c r="R53" i="47"/>
  <c r="AE54" i="47"/>
  <c r="AG54" i="47" s="1"/>
  <c r="D54" i="47"/>
  <c r="AE58" i="47"/>
  <c r="D58" i="47"/>
  <c r="F58" i="47" s="1"/>
  <c r="H58" i="47" s="1"/>
  <c r="R57" i="47"/>
  <c r="D62" i="47"/>
  <c r="G83" i="26"/>
  <c r="C82" i="26"/>
  <c r="AA90" i="44"/>
  <c r="AO90" i="44" s="1"/>
  <c r="AP90" i="44" s="1"/>
  <c r="W90" i="44"/>
  <c r="AA89" i="44"/>
  <c r="AO89" i="44" s="1"/>
  <c r="AP89" i="44" s="1"/>
  <c r="W89" i="44"/>
  <c r="AJ95" i="47"/>
  <c r="AJ94" i="47"/>
  <c r="O95" i="36"/>
  <c r="P95" i="36" s="1"/>
  <c r="P94" i="36"/>
  <c r="AL113" i="59"/>
  <c r="AL114" i="59"/>
  <c r="AL100" i="26"/>
  <c r="AH100" i="26"/>
  <c r="AI97" i="26"/>
  <c r="AL99" i="26"/>
  <c r="AH99" i="26"/>
  <c r="Q87" i="29"/>
  <c r="Q89" i="29"/>
  <c r="O90" i="39"/>
  <c r="P90" i="39" s="1"/>
  <c r="P89" i="39"/>
  <c r="AA95" i="41"/>
  <c r="AO95" i="41" s="1"/>
  <c r="AP95" i="41" s="1"/>
  <c r="W95" i="41"/>
  <c r="AA94" i="41"/>
  <c r="AO94" i="41" s="1"/>
  <c r="AP94" i="41" s="1"/>
  <c r="W94" i="41"/>
  <c r="K80" i="36"/>
  <c r="K79" i="36"/>
  <c r="G77" i="36"/>
  <c r="AG43" i="45"/>
  <c r="B111" i="28"/>
  <c r="A116" i="28"/>
  <c r="A112" i="28"/>
  <c r="AJ100" i="32"/>
  <c r="AJ99" i="32"/>
  <c r="B111" i="41"/>
  <c r="A116" i="41"/>
  <c r="A112" i="41"/>
  <c r="AJ100" i="50"/>
  <c r="AJ99" i="50"/>
  <c r="AA90" i="50"/>
  <c r="AO90" i="50" s="1"/>
  <c r="W90" i="50"/>
  <c r="AA89" i="50"/>
  <c r="AO89" i="50" s="1"/>
  <c r="W89" i="50"/>
  <c r="X82" i="47"/>
  <c r="O90" i="49"/>
  <c r="P90" i="49" s="1"/>
  <c r="P89" i="49"/>
  <c r="AN4" i="61"/>
  <c r="AE7" i="68" s="1"/>
  <c r="AO3" i="61"/>
  <c r="AF6" i="68" s="1"/>
  <c r="B4" i="16"/>
  <c r="AP4" i="16"/>
  <c r="C13" i="50"/>
  <c r="Y8" i="22"/>
  <c r="O94" i="45"/>
  <c r="P93" i="45"/>
  <c r="Q93" i="45" s="1"/>
  <c r="K84" i="50"/>
  <c r="G82" i="50"/>
  <c r="K85" i="50"/>
  <c r="X82" i="26"/>
  <c r="Y85" i="36"/>
  <c r="Y84" i="36"/>
  <c r="P101" i="34"/>
  <c r="O106" i="34"/>
  <c r="O102" i="34"/>
  <c r="AJ100" i="28"/>
  <c r="AJ99" i="28"/>
  <c r="O102" i="44"/>
  <c r="P101" i="44"/>
  <c r="O106" i="44"/>
  <c r="A108" i="27"/>
  <c r="B107" i="27"/>
  <c r="P97" i="49"/>
  <c r="O98" i="49"/>
  <c r="O95" i="38"/>
  <c r="P95" i="38" s="1"/>
  <c r="P94" i="38"/>
  <c r="A116" i="44"/>
  <c r="A112" i="44"/>
  <c r="B111" i="44"/>
  <c r="AC99" i="41"/>
  <c r="AD99" i="41" s="1"/>
  <c r="AD98" i="41"/>
  <c r="AC103" i="41"/>
  <c r="O102" i="27"/>
  <c r="P101" i="27"/>
  <c r="O106" i="27"/>
  <c r="P102" i="42"/>
  <c r="O103" i="42"/>
  <c r="AL100" i="36"/>
  <c r="AH100" i="36"/>
  <c r="AL99" i="36"/>
  <c r="AH99" i="36"/>
  <c r="AI97" i="36"/>
  <c r="B111" i="50"/>
  <c r="A116" i="50"/>
  <c r="A112" i="50"/>
  <c r="X102" i="32"/>
  <c r="K84" i="40"/>
  <c r="G82" i="40"/>
  <c r="K85" i="40"/>
  <c r="X77" i="46"/>
  <c r="Q89" i="47"/>
  <c r="Q87" i="47"/>
  <c r="G83" i="48"/>
  <c r="C82" i="48"/>
  <c r="C101" i="59"/>
  <c r="C100" i="59"/>
  <c r="A100" i="41"/>
  <c r="B100" i="41" s="1"/>
  <c r="B99" i="41"/>
  <c r="M85" i="45"/>
  <c r="I85" i="45"/>
  <c r="G84" i="45"/>
  <c r="M84" i="45"/>
  <c r="I84" i="45"/>
  <c r="Z40" i="47"/>
  <c r="AK40" i="47"/>
  <c r="AM40" i="47" s="1"/>
  <c r="AS40" i="47" s="1"/>
  <c r="L45" i="47"/>
  <c r="O118" i="59"/>
  <c r="P117" i="59"/>
  <c r="H8" i="21"/>
  <c r="I8" i="21" s="1"/>
  <c r="D8" i="21"/>
  <c r="G83" i="43"/>
  <c r="C82" i="43"/>
  <c r="C89" i="43"/>
  <c r="C88" i="43"/>
  <c r="AA9" i="23"/>
  <c r="AG9" i="23" s="1"/>
  <c r="P89" i="46"/>
  <c r="O90" i="46"/>
  <c r="P90" i="46" s="1"/>
  <c r="P89" i="28"/>
  <c r="O90" i="28"/>
  <c r="P90" i="28" s="1"/>
  <c r="M89" i="42"/>
  <c r="I89" i="42"/>
  <c r="M90" i="42"/>
  <c r="I90" i="42"/>
  <c r="G89" i="42"/>
  <c r="W115" i="32"/>
  <c r="AA114" i="32"/>
  <c r="AO114" i="32" s="1"/>
  <c r="AP114" i="32" s="1"/>
  <c r="W114" i="32"/>
  <c r="AA115" i="32"/>
  <c r="AO115" i="32" s="1"/>
  <c r="AP115" i="32" s="1"/>
  <c r="AL100" i="33"/>
  <c r="AH100" i="33"/>
  <c r="AI97" i="33"/>
  <c r="AL99" i="33"/>
  <c r="AH99" i="33"/>
  <c r="K85" i="47"/>
  <c r="K84" i="47"/>
  <c r="G82" i="47"/>
  <c r="H63" i="50"/>
  <c r="H65" i="50" s="1"/>
  <c r="F65" i="50"/>
  <c r="V59" i="50"/>
  <c r="V60" i="50" s="1"/>
  <c r="T59" i="50"/>
  <c r="T60" i="50" s="1"/>
  <c r="X59" i="50" s="1"/>
  <c r="Y80" i="39"/>
  <c r="Y79" i="39"/>
  <c r="C94" i="32"/>
  <c r="C93" i="32"/>
  <c r="P93" i="43"/>
  <c r="Q93" i="43" s="1"/>
  <c r="O94" i="43"/>
  <c r="O107" i="48"/>
  <c r="P106" i="48"/>
  <c r="O111" i="48"/>
  <c r="X5" i="20"/>
  <c r="AA5" i="20"/>
  <c r="AG5" i="20" s="1"/>
  <c r="Y80" i="44"/>
  <c r="Y79" i="44"/>
  <c r="P102" i="35"/>
  <c r="O103" i="35"/>
  <c r="AG4" i="20"/>
  <c r="P101" i="39"/>
  <c r="O106" i="39"/>
  <c r="O102" i="39"/>
  <c r="A104" i="32"/>
  <c r="B103" i="32"/>
  <c r="B107" i="38"/>
  <c r="A108" i="38"/>
  <c r="N27" i="50"/>
  <c r="N29" i="50" s="1"/>
  <c r="P28" i="50" s="1"/>
  <c r="L29" i="50"/>
  <c r="P27" i="50" s="1"/>
  <c r="AL94" i="29"/>
  <c r="AH94" i="29"/>
  <c r="AL95" i="29"/>
  <c r="AH95" i="29"/>
  <c r="AI92" i="29"/>
  <c r="AV11" i="24"/>
  <c r="V53" i="48"/>
  <c r="T53" i="48"/>
  <c r="AJ100" i="37"/>
  <c r="AJ99" i="37"/>
  <c r="AI45" i="47"/>
  <c r="G4" i="53"/>
  <c r="O113" i="59"/>
  <c r="P112" i="59"/>
  <c r="Q112" i="59" s="1"/>
  <c r="G88" i="49"/>
  <c r="C87" i="49"/>
  <c r="Y80" i="27"/>
  <c r="Y79" i="27"/>
  <c r="AC108" i="39"/>
  <c r="AC104" i="39"/>
  <c r="AD104" i="39" s="1"/>
  <c r="AD103" i="39"/>
  <c r="H10" i="23"/>
  <c r="I10" i="23" s="1"/>
  <c r="D10" i="23"/>
  <c r="F10" i="23" s="1"/>
  <c r="G10" i="23" s="1"/>
  <c r="T43" i="46"/>
  <c r="V43" i="46"/>
  <c r="A108" i="49"/>
  <c r="B107" i="49"/>
  <c r="O111" i="41"/>
  <c r="O107" i="41"/>
  <c r="P106" i="41"/>
  <c r="Y80" i="40"/>
  <c r="Y79" i="40"/>
  <c r="Q84" i="31"/>
  <c r="Q82" i="31"/>
  <c r="B107" i="42"/>
  <c r="A108" i="42"/>
  <c r="AJ100" i="45"/>
  <c r="AJ99" i="45"/>
  <c r="M90" i="47"/>
  <c r="I89" i="47"/>
  <c r="M89" i="47"/>
  <c r="G89" i="47"/>
  <c r="I90" i="47"/>
  <c r="Y80" i="34"/>
  <c r="Y79" i="34"/>
  <c r="AV6" i="19"/>
  <c r="O99" i="35"/>
  <c r="P98" i="35"/>
  <c r="Q98" i="35" s="1"/>
  <c r="M90" i="38"/>
  <c r="I90" i="38"/>
  <c r="G89" i="38"/>
  <c r="M89" i="38"/>
  <c r="I89" i="38"/>
  <c r="B102" i="26"/>
  <c r="A103" i="26"/>
  <c r="B111" i="32"/>
  <c r="A112" i="32"/>
  <c r="A116" i="32"/>
  <c r="P89" i="37"/>
  <c r="O90" i="37"/>
  <c r="P90" i="37" s="1"/>
  <c r="AL100" i="42"/>
  <c r="AH100" i="42"/>
  <c r="AI97" i="42"/>
  <c r="AL99" i="42"/>
  <c r="AH99" i="42"/>
  <c r="C87" i="35"/>
  <c r="G88" i="35"/>
  <c r="X8" i="23"/>
  <c r="Q87" i="41"/>
  <c r="Q89" i="41"/>
  <c r="A104" i="35"/>
  <c r="B103" i="35"/>
  <c r="A100" i="49"/>
  <c r="B100" i="49" s="1"/>
  <c r="B99" i="49"/>
  <c r="C87" i="33"/>
  <c r="G88" i="33"/>
  <c r="F6" i="20"/>
  <c r="M84" i="39"/>
  <c r="I84" i="39"/>
  <c r="M85" i="39"/>
  <c r="I85" i="39"/>
  <c r="G84" i="39"/>
  <c r="A104" i="34"/>
  <c r="B103" i="34"/>
  <c r="K84" i="34"/>
  <c r="G82" i="34"/>
  <c r="K85" i="34"/>
  <c r="C89" i="45"/>
  <c r="C88" i="45"/>
  <c r="Q84" i="33"/>
  <c r="Q82" i="33"/>
  <c r="T44" i="47"/>
  <c r="T45" i="47" s="1"/>
  <c r="X44" i="47" s="1"/>
  <c r="V44" i="47"/>
  <c r="V45" i="47" s="1"/>
  <c r="M90" i="29"/>
  <c r="I90" i="29"/>
  <c r="G89" i="29"/>
  <c r="M89" i="29"/>
  <c r="I89" i="29"/>
  <c r="X77" i="49"/>
  <c r="AC99" i="38"/>
  <c r="AD99" i="38" s="1"/>
  <c r="AD98" i="38"/>
  <c r="AC103" i="38"/>
  <c r="A108" i="59"/>
  <c r="B108" i="59" s="1"/>
  <c r="B107" i="59"/>
  <c r="K90" i="59"/>
  <c r="I89" i="59"/>
  <c r="I90" i="59"/>
  <c r="G87" i="59"/>
  <c r="K89" i="59"/>
  <c r="B102" i="37"/>
  <c r="A103" i="37"/>
  <c r="AL6" i="61"/>
  <c r="AC9" i="68" s="1"/>
  <c r="AP6" i="18"/>
  <c r="B6" i="18"/>
  <c r="C11" i="48"/>
  <c r="T13" i="48" s="1"/>
  <c r="V13" i="48" s="1"/>
  <c r="AE48" i="45"/>
  <c r="R43" i="45"/>
  <c r="AE44" i="45"/>
  <c r="AG44" i="45" s="1"/>
  <c r="D44" i="45"/>
  <c r="D48" i="45"/>
  <c r="F48" i="45" s="1"/>
  <c r="H48" i="45" s="1"/>
  <c r="H57" i="48"/>
  <c r="C89" i="48"/>
  <c r="C88" i="48"/>
  <c r="M90" i="50"/>
  <c r="I90" i="50"/>
  <c r="G89" i="50"/>
  <c r="M89" i="50"/>
  <c r="I89" i="50"/>
  <c r="Y85" i="48"/>
  <c r="Y84" i="48"/>
  <c r="K84" i="29"/>
  <c r="G82" i="29"/>
  <c r="K85" i="29"/>
  <c r="K79" i="45"/>
  <c r="G77" i="45"/>
  <c r="K80" i="45"/>
  <c r="G77" i="26"/>
  <c r="K80" i="26"/>
  <c r="K79" i="26"/>
  <c r="C87" i="28"/>
  <c r="G88" i="28"/>
  <c r="P101" i="50"/>
  <c r="O106" i="50"/>
  <c r="O102" i="50"/>
  <c r="X93" i="59"/>
  <c r="Y85" i="30"/>
  <c r="Y84" i="30"/>
  <c r="V54" i="49"/>
  <c r="V55" i="49" s="1"/>
  <c r="T54" i="49"/>
  <c r="T55" i="49" s="1"/>
  <c r="X54" i="49" s="1"/>
  <c r="P89" i="40"/>
  <c r="O90" i="40"/>
  <c r="P90" i="40" s="1"/>
  <c r="AJ99" i="30"/>
  <c r="AJ100" i="30"/>
  <c r="B107" i="29"/>
  <c r="A108" i="29"/>
  <c r="B106" i="39"/>
  <c r="A111" i="39"/>
  <c r="A107" i="39"/>
  <c r="AF8" i="24"/>
  <c r="AF9" i="24" s="1"/>
  <c r="A99" i="26"/>
  <c r="B98" i="26"/>
  <c r="G88" i="32"/>
  <c r="C87" i="32"/>
  <c r="AL100" i="49"/>
  <c r="AH100" i="49"/>
  <c r="AL99" i="49"/>
  <c r="AH99" i="49"/>
  <c r="AI97" i="49"/>
  <c r="Q82" i="28"/>
  <c r="Q84" i="28"/>
  <c r="A99" i="43"/>
  <c r="B98" i="43"/>
  <c r="Q82" i="37"/>
  <c r="Q84" i="37"/>
  <c r="P102" i="30"/>
  <c r="O103" i="30"/>
  <c r="H67" i="48"/>
  <c r="P102" i="29"/>
  <c r="O103" i="29"/>
  <c r="X82" i="35"/>
  <c r="V33" i="44"/>
  <c r="T33" i="44"/>
  <c r="O102" i="33"/>
  <c r="P101" i="33"/>
  <c r="O106" i="33"/>
  <c r="AA90" i="43"/>
  <c r="AO90" i="43" s="1"/>
  <c r="AP90" i="43" s="1"/>
  <c r="W90" i="43"/>
  <c r="AA89" i="43"/>
  <c r="AO89" i="43" s="1"/>
  <c r="AP89" i="43" s="1"/>
  <c r="W89" i="43"/>
  <c r="A118" i="59"/>
  <c r="B117" i="59"/>
  <c r="A100" i="28"/>
  <c r="B100" i="28" s="1"/>
  <c r="B99" i="28"/>
  <c r="AC108" i="48"/>
  <c r="AC104" i="48"/>
  <c r="AD104" i="48" s="1"/>
  <c r="AD103" i="48"/>
  <c r="H7" i="20"/>
  <c r="I7" i="20" s="1"/>
  <c r="D7" i="20"/>
  <c r="F7" i="20" s="1"/>
  <c r="G7" i="20" s="1"/>
  <c r="O98" i="37"/>
  <c r="P97" i="37"/>
  <c r="M84" i="26"/>
  <c r="I84" i="26"/>
  <c r="M85" i="26"/>
  <c r="I85" i="26"/>
  <c r="G84" i="26"/>
  <c r="C93" i="41"/>
  <c r="C94" i="41"/>
  <c r="A95" i="48"/>
  <c r="B95" i="48" s="1"/>
  <c r="B94" i="48"/>
  <c r="A99" i="30"/>
  <c r="B98" i="30"/>
  <c r="J47" i="47"/>
  <c r="C94" i="50"/>
  <c r="C93" i="50"/>
  <c r="AI92" i="47"/>
  <c r="AL94" i="47"/>
  <c r="AH95" i="47"/>
  <c r="AL95" i="47"/>
  <c r="AH94" i="47"/>
  <c r="J42" i="46"/>
  <c r="AC104" i="27"/>
  <c r="AD104" i="27" s="1"/>
  <c r="AD103" i="27"/>
  <c r="AC108" i="27"/>
  <c r="AA95" i="36"/>
  <c r="AO95" i="36" s="1"/>
  <c r="AP95" i="36" s="1"/>
  <c r="W95" i="36"/>
  <c r="AA94" i="36"/>
  <c r="AO94" i="36" s="1"/>
  <c r="AP94" i="36" s="1"/>
  <c r="W94" i="36"/>
  <c r="AC108" i="26"/>
  <c r="AC104" i="26"/>
  <c r="AD104" i="26" s="1"/>
  <c r="AD103" i="26"/>
  <c r="AA90" i="39"/>
  <c r="AO90" i="39" s="1"/>
  <c r="AP90" i="39" s="1"/>
  <c r="W90" i="39"/>
  <c r="AA89" i="39"/>
  <c r="AO89" i="39" s="1"/>
  <c r="AP89" i="39" s="1"/>
  <c r="W89" i="39"/>
  <c r="O95" i="41"/>
  <c r="P95" i="41" s="1"/>
  <c r="P94" i="41"/>
  <c r="F47" i="45"/>
  <c r="T38" i="45"/>
  <c r="V38" i="45"/>
  <c r="AI97" i="32"/>
  <c r="AL99" i="32"/>
  <c r="AH99" i="32"/>
  <c r="AL100" i="32"/>
  <c r="AH100" i="32"/>
  <c r="AI97" i="50"/>
  <c r="AL99" i="50"/>
  <c r="AH99" i="50"/>
  <c r="AL100" i="50"/>
  <c r="AH100" i="50"/>
  <c r="P89" i="50"/>
  <c r="O90" i="50"/>
  <c r="P90" i="50" s="1"/>
  <c r="B102" i="48"/>
  <c r="A103" i="48"/>
  <c r="G95" i="59"/>
  <c r="M95" i="59"/>
  <c r="M96" i="59"/>
  <c r="AV4" i="17"/>
  <c r="AM5" i="61"/>
  <c r="AD8" i="68" s="1"/>
  <c r="AP5" i="17"/>
  <c r="Y4" i="17" s="1"/>
  <c r="B5" i="17"/>
  <c r="C12" i="49"/>
  <c r="C87" i="27"/>
  <c r="G88" i="27"/>
  <c r="X82" i="36"/>
  <c r="O119" i="32"/>
  <c r="P118" i="32"/>
  <c r="Q118" i="32" s="1"/>
  <c r="A100" i="50"/>
  <c r="B100" i="50" s="1"/>
  <c r="B99" i="50"/>
  <c r="AI97" i="28"/>
  <c r="AL99" i="28"/>
  <c r="AH99" i="28"/>
  <c r="AL100" i="28"/>
  <c r="AH100" i="28"/>
  <c r="A116" i="27"/>
  <c r="A112" i="27"/>
  <c r="B111" i="27"/>
  <c r="C88" i="36"/>
  <c r="C89" i="36"/>
  <c r="AG50" i="47"/>
  <c r="AJ95" i="41"/>
  <c r="AJ94" i="41"/>
  <c r="B107" i="35"/>
  <c r="A108" i="35"/>
  <c r="Y80" i="31"/>
  <c r="Y79" i="31"/>
  <c r="Q82" i="34"/>
  <c r="Q84" i="34"/>
  <c r="Y105" i="32"/>
  <c r="Y104" i="32"/>
  <c r="A95" i="30"/>
  <c r="B95" i="30" s="1"/>
  <c r="B94" i="30"/>
  <c r="Y80" i="46"/>
  <c r="Y79" i="46"/>
  <c r="O99" i="29"/>
  <c r="P98" i="29"/>
  <c r="Q98" i="29" s="1"/>
  <c r="M84" i="48"/>
  <c r="I84" i="48"/>
  <c r="M85" i="48"/>
  <c r="I85" i="48"/>
  <c r="G84" i="48"/>
  <c r="C87" i="34"/>
  <c r="G88" i="34"/>
  <c r="A113" i="59"/>
  <c r="B112" i="59"/>
  <c r="Q82" i="46"/>
  <c r="Q84" i="46"/>
  <c r="O94" i="37"/>
  <c r="P93" i="37"/>
  <c r="Q93" i="37" s="1"/>
  <c r="A99" i="45"/>
  <c r="B98" i="45"/>
  <c r="Q107" i="32"/>
  <c r="Q109" i="32"/>
  <c r="O95" i="26"/>
  <c r="P95" i="26" s="1"/>
  <c r="P94" i="26"/>
  <c r="AI9" i="61"/>
  <c r="Z12" i="68" s="1"/>
  <c r="B9" i="21"/>
  <c r="C8" i="45"/>
  <c r="AP9" i="21"/>
  <c r="Y8" i="21" s="1"/>
  <c r="M85" i="43"/>
  <c r="I84" i="43"/>
  <c r="I85" i="43"/>
  <c r="G84" i="43"/>
  <c r="M84" i="43"/>
  <c r="A104" i="28"/>
  <c r="B103" i="28"/>
  <c r="A104" i="40"/>
  <c r="B103" i="40"/>
  <c r="P114" i="32"/>
  <c r="O115" i="32"/>
  <c r="P115" i="32" s="1"/>
  <c r="A99" i="48"/>
  <c r="B98" i="48"/>
  <c r="K84" i="49"/>
  <c r="K85" i="49"/>
  <c r="G82" i="49"/>
  <c r="C82" i="46"/>
  <c r="G83" i="46"/>
  <c r="T63" i="50"/>
  <c r="V63" i="50"/>
  <c r="J40" i="46"/>
  <c r="N40" i="46" s="1"/>
  <c r="AQ40" i="46" s="1"/>
  <c r="J39" i="46"/>
  <c r="N39" i="46" s="1"/>
  <c r="AQ39" i="46" s="1"/>
  <c r="X77" i="39"/>
  <c r="K85" i="33"/>
  <c r="K84" i="33"/>
  <c r="G82" i="33"/>
  <c r="J44" i="47"/>
  <c r="J45" i="47"/>
  <c r="O98" i="28"/>
  <c r="P97" i="28"/>
  <c r="A95" i="26"/>
  <c r="B95" i="26" s="1"/>
  <c r="B94" i="26"/>
  <c r="X77" i="44"/>
  <c r="P102" i="26"/>
  <c r="O103" i="26"/>
  <c r="X77" i="45"/>
  <c r="O102" i="31"/>
  <c r="P101" i="31"/>
  <c r="O106" i="31"/>
  <c r="C94" i="27"/>
  <c r="C93" i="27"/>
  <c r="O111" i="35"/>
  <c r="O107" i="35"/>
  <c r="P106" i="35"/>
  <c r="X4" i="20"/>
  <c r="AC104" i="34"/>
  <c r="AD104" i="34" s="1"/>
  <c r="AD103" i="34"/>
  <c r="AC108" i="34"/>
  <c r="B111" i="38"/>
  <c r="A116" i="38"/>
  <c r="A112" i="38"/>
  <c r="A95" i="46"/>
  <c r="B95" i="46" s="1"/>
  <c r="B94" i="46"/>
  <c r="AF12" i="61"/>
  <c r="W15" i="68" s="1"/>
  <c r="B12" i="24"/>
  <c r="C5" i="42"/>
  <c r="AP12" i="24"/>
  <c r="A95" i="45"/>
  <c r="B95" i="45" s="1"/>
  <c r="B94" i="45"/>
  <c r="V57" i="48"/>
  <c r="T57" i="48"/>
  <c r="AI97" i="37"/>
  <c r="AL99" i="37"/>
  <c r="AH99" i="37"/>
  <c r="AL100" i="37"/>
  <c r="AH100" i="37"/>
  <c r="A108" i="33"/>
  <c r="B107" i="33"/>
  <c r="Q89" i="42"/>
  <c r="Q87" i="42"/>
  <c r="B107" i="34"/>
  <c r="A108" i="34"/>
  <c r="I90" i="49"/>
  <c r="I89" i="49"/>
  <c r="M90" i="49"/>
  <c r="M89" i="49"/>
  <c r="G89" i="49"/>
  <c r="X77" i="27"/>
  <c r="AC104" i="31"/>
  <c r="AD104" i="31" s="1"/>
  <c r="AD103" i="31"/>
  <c r="AC108" i="31"/>
  <c r="J49" i="48"/>
  <c r="J50" i="48"/>
  <c r="D43" i="44"/>
  <c r="F43" i="44" s="1"/>
  <c r="H43" i="44" s="1"/>
  <c r="AE39" i="44"/>
  <c r="AG39" i="44" s="1"/>
  <c r="D39" i="44"/>
  <c r="F39" i="44" s="1"/>
  <c r="H39" i="44" s="1"/>
  <c r="R38" i="44"/>
  <c r="AE43" i="44"/>
  <c r="R34" i="44"/>
  <c r="R42" i="44"/>
  <c r="D47" i="44"/>
  <c r="AR35" i="46"/>
  <c r="AR34" i="46"/>
  <c r="AG48" i="46"/>
  <c r="Y80" i="33"/>
  <c r="Y79" i="33"/>
  <c r="A116" i="49"/>
  <c r="A112" i="49"/>
  <c r="B111" i="49"/>
  <c r="C94" i="31"/>
  <c r="C93" i="31"/>
  <c r="AC124" i="46"/>
  <c r="AD124" i="46" s="1"/>
  <c r="AD123" i="46"/>
  <c r="AC128" i="46"/>
  <c r="O94" i="28"/>
  <c r="P93" i="28"/>
  <c r="Q93" i="28" s="1"/>
  <c r="B111" i="42"/>
  <c r="A116" i="42"/>
  <c r="A112" i="42"/>
  <c r="AI97" i="45"/>
  <c r="AL99" i="45"/>
  <c r="AH99" i="45"/>
  <c r="AL100" i="45"/>
  <c r="AH100" i="45"/>
  <c r="C89" i="39"/>
  <c r="C88" i="39"/>
  <c r="A108" i="31"/>
  <c r="B107" i="31"/>
  <c r="AV6" i="53"/>
  <c r="AE59" i="48"/>
  <c r="AG59" i="48" s="1"/>
  <c r="AE63" i="48"/>
  <c r="R58" i="48"/>
  <c r="R54" i="48"/>
  <c r="D59" i="48"/>
  <c r="F59" i="48" s="1"/>
  <c r="H59" i="48" s="1"/>
  <c r="D63" i="48"/>
  <c r="F63" i="48" s="1"/>
  <c r="H63" i="48" s="1"/>
  <c r="R62" i="48"/>
  <c r="AG6" i="21"/>
  <c r="P93" i="27"/>
  <c r="Q93" i="27" s="1"/>
  <c r="O94" i="27"/>
  <c r="AP89" i="26"/>
  <c r="C87" i="38"/>
  <c r="G88" i="38"/>
  <c r="B106" i="26"/>
  <c r="A111" i="26"/>
  <c r="A107" i="26"/>
  <c r="B107" i="32"/>
  <c r="A108" i="32"/>
  <c r="M90" i="41"/>
  <c r="I90" i="41"/>
  <c r="G89" i="41"/>
  <c r="M89" i="41"/>
  <c r="I89" i="41"/>
  <c r="AC99" i="35"/>
  <c r="AD99" i="35" s="1"/>
  <c r="AD98" i="35"/>
  <c r="AC103" i="35"/>
  <c r="B102" i="43"/>
  <c r="A103" i="43"/>
  <c r="P102" i="38"/>
  <c r="O103" i="38"/>
  <c r="AA107" i="59"/>
  <c r="AQ107" i="59" s="1"/>
  <c r="AR107" i="59" s="1"/>
  <c r="AA108" i="59"/>
  <c r="AQ108" i="59" s="1"/>
  <c r="AR108" i="59" s="1"/>
  <c r="AC108" i="42"/>
  <c r="AC104" i="42"/>
  <c r="AD104" i="42" s="1"/>
  <c r="AD103" i="42"/>
  <c r="Y85" i="42"/>
  <c r="Y84" i="42"/>
  <c r="P98" i="30"/>
  <c r="Q98" i="30" s="1"/>
  <c r="O99" i="30"/>
  <c r="X77" i="50"/>
  <c r="M89" i="33"/>
  <c r="I89" i="33"/>
  <c r="M90" i="33"/>
  <c r="I90" i="33"/>
  <c r="G89" i="33"/>
  <c r="A104" i="33"/>
  <c r="B103" i="33"/>
  <c r="B102" i="30"/>
  <c r="A103" i="30"/>
  <c r="G4" i="19"/>
  <c r="F57" i="47"/>
  <c r="AG53" i="47"/>
  <c r="C87" i="29"/>
  <c r="G88" i="29"/>
  <c r="C89" i="37"/>
  <c r="C88" i="37"/>
  <c r="X77" i="28"/>
  <c r="O90" i="27"/>
  <c r="P90" i="27" s="1"/>
  <c r="P89" i="27"/>
  <c r="AJ95" i="38"/>
  <c r="AJ94" i="38"/>
  <c r="H38" i="45"/>
  <c r="H40" i="45" s="1"/>
  <c r="F40" i="45"/>
  <c r="J60" i="50"/>
  <c r="J59" i="50"/>
  <c r="B106" i="37"/>
  <c r="A111" i="37"/>
  <c r="A107" i="37"/>
  <c r="Q82" i="50"/>
  <c r="Q84" i="50"/>
  <c r="H5" i="18"/>
  <c r="I5" i="18" s="1"/>
  <c r="D5" i="18"/>
  <c r="F5" i="18" s="1"/>
  <c r="G5" i="18" s="1"/>
  <c r="Y4" i="18"/>
  <c r="H9" i="22"/>
  <c r="I9" i="22" s="1"/>
  <c r="D9" i="22"/>
  <c r="F9" i="22" s="1"/>
  <c r="G9" i="22" s="1"/>
  <c r="AE55" i="48"/>
  <c r="AI54" i="48" s="1"/>
  <c r="X82" i="48"/>
  <c r="A104" i="49"/>
  <c r="B103" i="49"/>
  <c r="AC99" i="44"/>
  <c r="AD99" i="44" s="1"/>
  <c r="AD98" i="44"/>
  <c r="AC103" i="44"/>
  <c r="O99" i="41"/>
  <c r="P98" i="41"/>
  <c r="Q98" i="41" s="1"/>
  <c r="O102" i="43"/>
  <c r="P101" i="43"/>
  <c r="O106" i="43"/>
  <c r="P122" i="32"/>
  <c r="O123" i="32"/>
  <c r="M90" i="28"/>
  <c r="I90" i="28"/>
  <c r="G89" i="28"/>
  <c r="M89" i="28"/>
  <c r="I89" i="28"/>
  <c r="C87" i="40"/>
  <c r="G88" i="40"/>
  <c r="Q84" i="44"/>
  <c r="Q82" i="44"/>
  <c r="X82" i="30"/>
  <c r="A104" i="31"/>
  <c r="B103" i="31"/>
  <c r="V58" i="49"/>
  <c r="T58" i="49"/>
  <c r="Y5" i="53"/>
  <c r="P98" i="26"/>
  <c r="Q98" i="26" s="1"/>
  <c r="O99" i="26"/>
  <c r="AL100" i="30"/>
  <c r="AH100" i="30"/>
  <c r="AI97" i="30"/>
  <c r="AL99" i="30"/>
  <c r="AH99" i="30"/>
  <c r="P93" i="31"/>
  <c r="Q93" i="31" s="1"/>
  <c r="O94" i="31"/>
  <c r="B111" i="29"/>
  <c r="A116" i="29"/>
  <c r="A112" i="29"/>
  <c r="A99" i="46"/>
  <c r="B98" i="46"/>
  <c r="H72" i="50"/>
  <c r="A104" i="47"/>
  <c r="B103" i="47"/>
  <c r="C93" i="35"/>
  <c r="C94" i="35"/>
  <c r="M90" i="32"/>
  <c r="I90" i="32"/>
  <c r="G89" i="32"/>
  <c r="I89" i="32"/>
  <c r="M89" i="32"/>
  <c r="G6" i="21"/>
  <c r="O107" i="36"/>
  <c r="O111" i="36"/>
  <c r="P106" i="36"/>
  <c r="O111" i="29"/>
  <c r="O107" i="29"/>
  <c r="P106" i="29"/>
  <c r="Y85" i="35"/>
  <c r="Y84" i="35"/>
  <c r="F42" i="44"/>
  <c r="AG34" i="44"/>
  <c r="AG35" i="44" s="1"/>
  <c r="AE35" i="44"/>
  <c r="AI34" i="44" s="1"/>
  <c r="AM34" i="44" s="1"/>
  <c r="AS34" i="44" s="1"/>
  <c r="AC114" i="40"/>
  <c r="AD114" i="40" s="1"/>
  <c r="AD113" i="40"/>
  <c r="AC118" i="40"/>
  <c r="X82" i="29"/>
  <c r="AJ8" i="61"/>
  <c r="AA11" i="68" s="1"/>
  <c r="C9" i="46"/>
  <c r="R49" i="46" s="1"/>
  <c r="B8" i="20"/>
  <c r="AP8" i="20"/>
  <c r="P101" i="37"/>
  <c r="O106" i="37"/>
  <c r="O102" i="37"/>
  <c r="G83" i="30"/>
  <c r="C82" i="30"/>
  <c r="Q89" i="36"/>
  <c r="Q87" i="36"/>
  <c r="AC103" i="47"/>
  <c r="AC99" i="47"/>
  <c r="AD99" i="47" s="1"/>
  <c r="AD98" i="47"/>
  <c r="AJ99" i="27"/>
  <c r="AJ100" i="27"/>
  <c r="AN114" i="59"/>
  <c r="AJ114" i="59"/>
  <c r="AK111" i="59"/>
  <c r="AN113" i="59"/>
  <c r="AJ113" i="59"/>
  <c r="C82" i="37"/>
  <c r="G83" i="37"/>
  <c r="V42" i="45"/>
  <c r="T42" i="45"/>
  <c r="V34" i="45"/>
  <c r="V35" i="45" s="1"/>
  <c r="X35" i="45" s="1"/>
  <c r="AB35" i="45" s="1"/>
  <c r="T34" i="45"/>
  <c r="T35" i="45" s="1"/>
  <c r="X34" i="45" s="1"/>
  <c r="AB34" i="45" s="1"/>
  <c r="AC108" i="32"/>
  <c r="AC104" i="32"/>
  <c r="AD104" i="32" s="1"/>
  <c r="AD103" i="32"/>
  <c r="B107" i="40"/>
  <c r="A108" i="40"/>
  <c r="Q82" i="45"/>
  <c r="Q84" i="45"/>
  <c r="B106" i="48"/>
  <c r="A111" i="48"/>
  <c r="A107" i="48"/>
  <c r="C93" i="59"/>
  <c r="G94" i="59"/>
  <c r="H4" i="17"/>
  <c r="I4" i="17" s="1"/>
  <c r="D4" i="17"/>
  <c r="M89" i="27"/>
  <c r="I89" i="27"/>
  <c r="M90" i="27"/>
  <c r="I90" i="27"/>
  <c r="G89" i="27"/>
  <c r="AA95" i="35"/>
  <c r="AO95" i="35" s="1"/>
  <c r="AP95" i="35" s="1"/>
  <c r="W95" i="35"/>
  <c r="AA94" i="35"/>
  <c r="AO94" i="35" s="1"/>
  <c r="AP94" i="35" s="1"/>
  <c r="W94" i="35"/>
  <c r="X77" i="43"/>
  <c r="A100" i="35"/>
  <c r="B100" i="35" s="1"/>
  <c r="B99" i="35"/>
  <c r="C87" i="44"/>
  <c r="G88" i="44"/>
  <c r="O94" i="46"/>
  <c r="P93" i="46"/>
  <c r="Q93" i="46" s="1"/>
  <c r="O94" i="50"/>
  <c r="P93" i="50"/>
  <c r="Q93" i="50" s="1"/>
  <c r="C89" i="26"/>
  <c r="C88" i="26"/>
  <c r="O98" i="44"/>
  <c r="P97" i="44"/>
  <c r="O102" i="49"/>
  <c r="O106" i="49"/>
  <c r="P101" i="49"/>
  <c r="B94" i="43"/>
  <c r="A95" i="43"/>
  <c r="B95" i="43" s="1"/>
  <c r="AE50" i="47"/>
  <c r="AI49" i="47" s="1"/>
  <c r="AA95" i="29"/>
  <c r="AO95" i="29" s="1"/>
  <c r="AP95" i="29" s="1"/>
  <c r="W95" i="29"/>
  <c r="AA94" i="29"/>
  <c r="AO94" i="29" s="1"/>
  <c r="AP94" i="29" s="1"/>
  <c r="W94" i="29"/>
  <c r="AL94" i="41"/>
  <c r="AH94" i="41"/>
  <c r="AL95" i="41"/>
  <c r="AH95" i="41"/>
  <c r="AI92" i="41"/>
  <c r="B106" i="46"/>
  <c r="A107" i="46"/>
  <c r="A111" i="46"/>
  <c r="O98" i="27"/>
  <c r="P97" i="27"/>
  <c r="O107" i="42"/>
  <c r="P106" i="42"/>
  <c r="O111" i="42"/>
  <c r="AC104" i="36"/>
  <c r="AD104" i="36" s="1"/>
  <c r="AD103" i="36"/>
  <c r="AC108" i="36"/>
  <c r="B111" i="35"/>
  <c r="A116" i="35"/>
  <c r="A112" i="35"/>
  <c r="X77" i="31"/>
  <c r="AG4" i="19"/>
  <c r="P98" i="47"/>
  <c r="Q98" i="47" s="1"/>
  <c r="O99" i="47"/>
  <c r="G77" i="48"/>
  <c r="K80" i="48"/>
  <c r="K79" i="48"/>
  <c r="O98" i="40"/>
  <c r="P97" i="40"/>
  <c r="M90" i="34"/>
  <c r="I90" i="34"/>
  <c r="G89" i="34"/>
  <c r="M89" i="34"/>
  <c r="I89" i="34"/>
  <c r="P93" i="33"/>
  <c r="Q93" i="33" s="1"/>
  <c r="O94" i="33"/>
  <c r="AR39" i="49"/>
  <c r="AT39" i="49" s="1"/>
  <c r="D6" i="49" s="1"/>
  <c r="AF6" i="22"/>
  <c r="AF7" i="22" s="1"/>
  <c r="C94" i="28"/>
  <c r="C93" i="28"/>
  <c r="G77" i="30"/>
  <c r="K80" i="30"/>
  <c r="K79" i="30"/>
  <c r="O128" i="59"/>
  <c r="O123" i="59"/>
  <c r="P122" i="59"/>
  <c r="AA95" i="26"/>
  <c r="AO95" i="26" s="1"/>
  <c r="AP95" i="26" s="1"/>
  <c r="W95" i="26"/>
  <c r="AA94" i="26"/>
  <c r="AO94" i="26" s="1"/>
  <c r="AP94" i="26" s="1"/>
  <c r="W94" i="26"/>
  <c r="AV8" i="21"/>
  <c r="O90" i="31"/>
  <c r="P90" i="31" s="1"/>
  <c r="P89" i="31"/>
  <c r="Q87" i="38"/>
  <c r="Q89" i="38"/>
  <c r="Q82" i="40"/>
  <c r="Q84" i="40"/>
  <c r="AC104" i="33"/>
  <c r="AD104" i="33" s="1"/>
  <c r="AD103" i="33"/>
  <c r="AC108" i="33"/>
  <c r="K84" i="41"/>
  <c r="G82" i="41"/>
  <c r="K85" i="41"/>
  <c r="M85" i="46"/>
  <c r="I85" i="46"/>
  <c r="G84" i="46"/>
  <c r="M84" i="46"/>
  <c r="I84" i="46"/>
  <c r="F8" i="22"/>
  <c r="X82" i="41"/>
  <c r="O90" i="33"/>
  <c r="P90" i="33" s="1"/>
  <c r="P89" i="33"/>
  <c r="P102" i="48"/>
  <c r="O103" i="48"/>
  <c r="P101" i="28"/>
  <c r="O106" i="28"/>
  <c r="O102" i="28"/>
  <c r="A104" i="27"/>
  <c r="B103" i="27"/>
  <c r="AG4" i="53"/>
  <c r="Y80" i="45"/>
  <c r="Y79" i="45"/>
  <c r="C93" i="38"/>
  <c r="C94" i="38"/>
  <c r="X77" i="37"/>
  <c r="F77" i="50"/>
  <c r="AJ100" i="34"/>
  <c r="AJ99" i="34"/>
  <c r="P106" i="47"/>
  <c r="O107" i="47"/>
  <c r="O111" i="47"/>
  <c r="AC99" i="29"/>
  <c r="AD99" i="29" s="1"/>
  <c r="AD98" i="29"/>
  <c r="AC103" i="29"/>
  <c r="D11" i="24"/>
  <c r="F11" i="24" s="1"/>
  <c r="G11" i="24" s="1"/>
  <c r="H11" i="24"/>
  <c r="I11" i="24" s="1"/>
  <c r="F54" i="48"/>
  <c r="J52" i="48"/>
  <c r="A116" i="33"/>
  <c r="A112" i="33"/>
  <c r="B111" i="33"/>
  <c r="B111" i="34"/>
  <c r="A116" i="34"/>
  <c r="A112" i="34"/>
  <c r="G82" i="42"/>
  <c r="K85" i="42"/>
  <c r="K84" i="42"/>
  <c r="AA90" i="45"/>
  <c r="AO90" i="45" s="1"/>
  <c r="AP90" i="45" s="1"/>
  <c r="W90" i="45"/>
  <c r="AA89" i="45"/>
  <c r="AO89" i="45" s="1"/>
  <c r="AP89" i="45" s="1"/>
  <c r="W89" i="45"/>
  <c r="AJ99" i="31"/>
  <c r="AJ100" i="31"/>
  <c r="AJ100" i="39"/>
  <c r="AJ99" i="39"/>
  <c r="O95" i="42"/>
  <c r="P95" i="42" s="1"/>
  <c r="P94" i="42"/>
  <c r="AG11" i="61"/>
  <c r="X14" i="68" s="1"/>
  <c r="AP11" i="23"/>
  <c r="Y10" i="23" s="1"/>
  <c r="C6" i="43"/>
  <c r="B11" i="23"/>
  <c r="A100" i="42"/>
  <c r="B100" i="42" s="1"/>
  <c r="B99" i="42"/>
  <c r="AP84" i="39"/>
  <c r="K79" i="46"/>
  <c r="G77" i="46"/>
  <c r="K80" i="46"/>
  <c r="AG65" i="50"/>
  <c r="F4" i="18"/>
  <c r="O95" i="30"/>
  <c r="P95" i="30" s="1"/>
  <c r="P94" i="30"/>
  <c r="X77" i="33"/>
  <c r="G77" i="39"/>
  <c r="K80" i="39"/>
  <c r="K79" i="39"/>
  <c r="AJ120" i="46"/>
  <c r="AJ119" i="46"/>
  <c r="P93" i="44"/>
  <c r="Q93" i="44" s="1"/>
  <c r="O94" i="44"/>
  <c r="A116" i="31"/>
  <c r="A112" i="31"/>
  <c r="B111" i="31"/>
  <c r="H6" i="53"/>
  <c r="I6" i="53" s="1"/>
  <c r="D6" i="53"/>
  <c r="F6" i="53" s="1"/>
  <c r="G6" i="53" s="1"/>
  <c r="AK7" i="61"/>
  <c r="AB10" i="68" s="1"/>
  <c r="B7" i="19"/>
  <c r="C10" i="47"/>
  <c r="D67" i="47" s="1"/>
  <c r="F67" i="47" s="1"/>
  <c r="AP7" i="19"/>
  <c r="AP7" i="53"/>
  <c r="B7" i="53"/>
  <c r="A99" i="39"/>
  <c r="B98" i="39"/>
  <c r="B107" i="47"/>
  <c r="A108" i="47"/>
  <c r="C87" i="41"/>
  <c r="G88" i="41"/>
  <c r="AJ95" i="35"/>
  <c r="AJ94" i="35"/>
  <c r="B106" i="43"/>
  <c r="A111" i="43"/>
  <c r="A107" i="43"/>
  <c r="O111" i="38"/>
  <c r="O107" i="38"/>
  <c r="P106" i="38"/>
  <c r="P107" i="59"/>
  <c r="O108" i="59"/>
  <c r="P108" i="59" s="1"/>
  <c r="O94" i="40"/>
  <c r="P93" i="40"/>
  <c r="Q93" i="40" s="1"/>
  <c r="K84" i="35"/>
  <c r="G82" i="35"/>
  <c r="K85" i="35"/>
  <c r="X82" i="42"/>
  <c r="C94" i="44"/>
  <c r="C93" i="44"/>
  <c r="G82" i="32"/>
  <c r="K84" i="32"/>
  <c r="K85" i="32"/>
  <c r="F10" i="24"/>
  <c r="O95" i="48"/>
  <c r="P95" i="48" s="1"/>
  <c r="P94" i="48"/>
  <c r="Y10" i="24"/>
  <c r="K85" i="44"/>
  <c r="K84" i="44"/>
  <c r="G82" i="44"/>
  <c r="AE45" i="46"/>
  <c r="AI44" i="46" s="1"/>
  <c r="Y80" i="50"/>
  <c r="Y79" i="50"/>
  <c r="AF10" i="25"/>
  <c r="B106" i="30"/>
  <c r="A111" i="30"/>
  <c r="A107" i="30"/>
  <c r="AP89" i="36"/>
  <c r="A95" i="37"/>
  <c r="B95" i="37" s="1"/>
  <c r="B94" i="37"/>
  <c r="V52" i="47"/>
  <c r="T52" i="47"/>
  <c r="M84" i="36"/>
  <c r="I84" i="36"/>
  <c r="M85" i="36"/>
  <c r="I85" i="36"/>
  <c r="G84" i="36"/>
  <c r="X82" i="38"/>
  <c r="P94" i="47"/>
  <c r="O95" i="47"/>
  <c r="P95" i="47" s="1"/>
  <c r="Y80" i="28"/>
  <c r="Y79" i="28"/>
  <c r="AA90" i="27"/>
  <c r="AO90" i="27" s="1"/>
  <c r="AP90" i="27" s="1"/>
  <c r="W90" i="27"/>
  <c r="AA89" i="27"/>
  <c r="AO89" i="27" s="1"/>
  <c r="AP89" i="27" s="1"/>
  <c r="W89" i="27"/>
  <c r="AL94" i="38"/>
  <c r="AH94" i="38"/>
  <c r="AL95" i="38"/>
  <c r="AH95" i="38"/>
  <c r="AI92" i="38"/>
  <c r="AA90" i="34"/>
  <c r="AO90" i="34" s="1"/>
  <c r="AP90" i="34" s="1"/>
  <c r="W90" i="34"/>
  <c r="AA89" i="34"/>
  <c r="AO89" i="34" s="1"/>
  <c r="AP89" i="34" s="1"/>
  <c r="W89" i="34"/>
  <c r="Q84" i="39"/>
  <c r="Q82" i="39"/>
  <c r="AE64" i="49"/>
  <c r="AG64" i="49" s="1"/>
  <c r="AE68" i="49"/>
  <c r="D64" i="49"/>
  <c r="R63" i="49"/>
  <c r="R59" i="49"/>
  <c r="AH10" i="61"/>
  <c r="Y13" i="68" s="1"/>
  <c r="B10" i="22"/>
  <c r="C7" i="44"/>
  <c r="AP10" i="22"/>
  <c r="Y9" i="22" s="1"/>
  <c r="AG55" i="48"/>
  <c r="C89" i="30"/>
  <c r="C88" i="30"/>
  <c r="O98" i="45"/>
  <c r="P97" i="45"/>
  <c r="AJ94" i="44"/>
  <c r="AJ95" i="44"/>
  <c r="C93" i="29"/>
  <c r="C94" i="29"/>
  <c r="O98" i="46"/>
  <c r="P97" i="46"/>
  <c r="P98" i="48"/>
  <c r="Q98" i="48" s="1"/>
  <c r="O99" i="48"/>
  <c r="P126" i="32"/>
  <c r="O131" i="32"/>
  <c r="O127" i="32"/>
  <c r="A104" i="42"/>
  <c r="B103" i="42"/>
  <c r="Q87" i="35"/>
  <c r="Q89" i="35"/>
  <c r="H62" i="49"/>
  <c r="M90" i="40"/>
  <c r="I90" i="40"/>
  <c r="G89" i="40"/>
  <c r="M89" i="40"/>
  <c r="I89" i="40"/>
  <c r="A100" i="38"/>
  <c r="B100" i="38" s="1"/>
  <c r="B99" i="38"/>
  <c r="T62" i="49"/>
  <c r="V62" i="49"/>
  <c r="AC108" i="30"/>
  <c r="AC104" i="30"/>
  <c r="AD104" i="30" s="1"/>
  <c r="AD103" i="30"/>
  <c r="C87" i="31"/>
  <c r="G88" i="31"/>
  <c r="Q89" i="26"/>
  <c r="Q87" i="26"/>
  <c r="Q89" i="30"/>
  <c r="Q87" i="30"/>
  <c r="A103" i="36"/>
  <c r="B102" i="36"/>
  <c r="AJ99" i="49"/>
  <c r="AJ100" i="49"/>
  <c r="A100" i="33"/>
  <c r="B100" i="33" s="1"/>
  <c r="B99" i="33"/>
  <c r="O99" i="38"/>
  <c r="P98" i="38"/>
  <c r="Q98" i="38" s="1"/>
  <c r="O107" i="30"/>
  <c r="P106" i="30"/>
  <c r="O111" i="30"/>
  <c r="C94" i="34"/>
  <c r="C93" i="34"/>
  <c r="P102" i="36"/>
  <c r="O103" i="36"/>
  <c r="AP89" i="47"/>
  <c r="F38" i="44"/>
  <c r="AG38" i="44"/>
  <c r="O98" i="33"/>
  <c r="P97" i="33"/>
  <c r="AP89" i="41"/>
  <c r="A100" i="32"/>
  <c r="B100" i="32" s="1"/>
  <c r="B99" i="32"/>
  <c r="AJ110" i="40"/>
  <c r="AJ109" i="40"/>
  <c r="AJ99" i="48"/>
  <c r="AJ100" i="48"/>
  <c r="Y85" i="29"/>
  <c r="Y84" i="29"/>
  <c r="B102" i="45"/>
  <c r="A103" i="45"/>
  <c r="AV7" i="20"/>
  <c r="M84" i="30"/>
  <c r="I84" i="30"/>
  <c r="M85" i="30"/>
  <c r="I85" i="30"/>
  <c r="G84" i="30"/>
  <c r="K84" i="28"/>
  <c r="G82" i="28"/>
  <c r="K85" i="28"/>
  <c r="O90" i="44"/>
  <c r="P90" i="44" s="1"/>
  <c r="P89" i="44"/>
  <c r="AL100" i="27"/>
  <c r="AH100" i="27"/>
  <c r="AI97" i="27"/>
  <c r="AL99" i="27"/>
  <c r="AH99" i="27"/>
  <c r="AC124" i="59"/>
  <c r="AC119" i="59"/>
  <c r="AD119" i="59" s="1"/>
  <c r="AD118" i="59"/>
  <c r="AJ99" i="26"/>
  <c r="AJ100" i="26"/>
  <c r="M85" i="37"/>
  <c r="I85" i="37"/>
  <c r="G84" i="37"/>
  <c r="M84" i="37"/>
  <c r="I84" i="37"/>
  <c r="B107" i="28"/>
  <c r="A108" i="28"/>
  <c r="B107" i="41"/>
  <c r="A108" i="41"/>
  <c r="B111" i="40"/>
  <c r="A116" i="40"/>
  <c r="A112" i="40"/>
  <c r="AC104" i="50"/>
  <c r="AD104" i="50" s="1"/>
  <c r="AD103" i="50"/>
  <c r="AC108" i="50"/>
  <c r="Y84" i="47"/>
  <c r="Y85" i="47"/>
  <c r="A99" i="37"/>
  <c r="B98" i="37"/>
  <c r="W89" i="49"/>
  <c r="W90" i="49"/>
  <c r="AA89" i="49"/>
  <c r="AO89" i="49" s="1"/>
  <c r="AA90" i="49"/>
  <c r="AO90" i="49" s="1"/>
  <c r="AE69" i="50"/>
  <c r="AG69" i="50" s="1"/>
  <c r="AE73" i="50"/>
  <c r="D69" i="50"/>
  <c r="R68" i="50"/>
  <c r="O95" i="35"/>
  <c r="P95" i="35" s="1"/>
  <c r="P94" i="35"/>
  <c r="B99" i="47"/>
  <c r="A100" i="47"/>
  <c r="B100" i="47" s="1"/>
  <c r="Y80" i="43"/>
  <c r="Y79" i="43"/>
  <c r="Y85" i="26"/>
  <c r="Y84" i="26"/>
  <c r="M89" i="44"/>
  <c r="I89" i="44"/>
  <c r="M90" i="44"/>
  <c r="I90" i="44"/>
  <c r="G89" i="44"/>
  <c r="O98" i="34"/>
  <c r="P97" i="34"/>
  <c r="AC104" i="28"/>
  <c r="AD104" i="28" s="1"/>
  <c r="AD103" i="28"/>
  <c r="AC108" i="28"/>
  <c r="C94" i="42"/>
  <c r="C93" i="42"/>
  <c r="AA95" i="38"/>
  <c r="AO95" i="38" s="1"/>
  <c r="AP95" i="38" s="1"/>
  <c r="W95" i="38"/>
  <c r="AA94" i="38"/>
  <c r="AO94" i="38" s="1"/>
  <c r="AP94" i="38" s="1"/>
  <c r="W94" i="38"/>
  <c r="A108" i="44"/>
  <c r="B107" i="44"/>
  <c r="Q89" i="48"/>
  <c r="Q87" i="48"/>
  <c r="A104" i="29"/>
  <c r="B103" i="29"/>
  <c r="O95" i="29"/>
  <c r="P95" i="29" s="1"/>
  <c r="P94" i="29"/>
  <c r="B102" i="46"/>
  <c r="A103" i="46"/>
  <c r="AJ99" i="36"/>
  <c r="AJ100" i="36"/>
  <c r="C94" i="47"/>
  <c r="C93" i="47"/>
  <c r="B107" i="50"/>
  <c r="A108" i="50"/>
  <c r="A99" i="36"/>
  <c r="B98" i="36"/>
  <c r="C94" i="40"/>
  <c r="C93" i="40"/>
  <c r="X4" i="19"/>
  <c r="G77" i="43"/>
  <c r="K79" i="43"/>
  <c r="K80" i="43"/>
  <c r="K85" i="31"/>
  <c r="K84" i="31"/>
  <c r="G82" i="31"/>
  <c r="P101" i="40"/>
  <c r="O106" i="40"/>
  <c r="O102" i="40"/>
  <c r="C82" i="45"/>
  <c r="G83" i="45"/>
  <c r="AK39" i="47"/>
  <c r="AM39" i="47" s="1"/>
  <c r="AS39" i="47" s="1"/>
  <c r="Z39" i="47"/>
  <c r="AB39" i="47" s="1"/>
  <c r="L44" i="47"/>
  <c r="J64" i="50" l="1"/>
  <c r="AG50" i="46"/>
  <c r="I108" i="66"/>
  <c r="D108" i="65"/>
  <c r="L109" i="66"/>
  <c r="D109" i="65" s="1"/>
  <c r="AB50" i="49"/>
  <c r="AR40" i="48"/>
  <c r="AT40" i="48" s="1"/>
  <c r="E6" i="48" s="1"/>
  <c r="L55" i="48" s="1"/>
  <c r="A22" i="66"/>
  <c r="B22" i="66"/>
  <c r="D45" i="66"/>
  <c r="L49" i="66"/>
  <c r="D23" i="66"/>
  <c r="L25" i="66"/>
  <c r="D48" i="65"/>
  <c r="A48" i="65" s="1"/>
  <c r="I48" i="66"/>
  <c r="J48" i="66"/>
  <c r="B48" i="65" s="1"/>
  <c r="A44" i="66"/>
  <c r="B44" i="66"/>
  <c r="I24" i="66"/>
  <c r="J24" i="66"/>
  <c r="B24" i="65" s="1"/>
  <c r="D24" i="65"/>
  <c r="A24" i="65" s="1"/>
  <c r="B63" i="66"/>
  <c r="A63" i="66"/>
  <c r="T50" i="47"/>
  <c r="X49" i="47" s="1"/>
  <c r="D64" i="66"/>
  <c r="L69" i="66"/>
  <c r="AR39" i="48"/>
  <c r="AT39" i="48" s="1"/>
  <c r="D6" i="48" s="1"/>
  <c r="AK44" i="48" s="1"/>
  <c r="AM44" i="48" s="1"/>
  <c r="AS44" i="48" s="1"/>
  <c r="J68" i="66"/>
  <c r="B68" i="65" s="1"/>
  <c r="D68" i="65"/>
  <c r="I68" i="66"/>
  <c r="D50" i="66"/>
  <c r="B30" i="66"/>
  <c r="A30" i="66"/>
  <c r="D88" i="66"/>
  <c r="L93" i="66"/>
  <c r="T2" i="49"/>
  <c r="T13" i="49"/>
  <c r="V13" i="49" s="1"/>
  <c r="C4" i="59"/>
  <c r="V2" i="50"/>
  <c r="X2" i="50"/>
  <c r="D12" i="66"/>
  <c r="L13" i="66"/>
  <c r="D12" i="65"/>
  <c r="I12" i="66"/>
  <c r="J12" i="66"/>
  <c r="B12" i="65" s="1"/>
  <c r="X13" i="48"/>
  <c r="T14" i="50"/>
  <c r="V14" i="50" s="1"/>
  <c r="X14" i="50" s="1"/>
  <c r="T20" i="50"/>
  <c r="AH3" i="50"/>
  <c r="AJ3" i="50" s="1"/>
  <c r="AL3" i="50" s="1"/>
  <c r="D31" i="66"/>
  <c r="L33" i="66"/>
  <c r="D32" i="65"/>
  <c r="A32" i="65" s="1"/>
  <c r="I32" i="66"/>
  <c r="J32" i="66"/>
  <c r="B32" i="65" s="1"/>
  <c r="B11" i="66"/>
  <c r="A11" i="66"/>
  <c r="B87" i="66"/>
  <c r="A87" i="66"/>
  <c r="CI103" i="61"/>
  <c r="V8" i="48"/>
  <c r="J22" i="48"/>
  <c r="J15" i="48"/>
  <c r="T2" i="48"/>
  <c r="CM99" i="61"/>
  <c r="CF106" i="61"/>
  <c r="CH104" i="61"/>
  <c r="CL100" i="61"/>
  <c r="CG105" i="61"/>
  <c r="CJ102" i="61"/>
  <c r="CE107" i="61"/>
  <c r="CK101" i="61"/>
  <c r="CN98" i="61"/>
  <c r="A11" i="65"/>
  <c r="R72" i="49"/>
  <c r="T72" i="49" s="1"/>
  <c r="V8" i="49"/>
  <c r="J15" i="49"/>
  <c r="J22" i="49"/>
  <c r="AG55" i="47"/>
  <c r="AE55" i="47"/>
  <c r="AI54" i="47" s="1"/>
  <c r="V50" i="47"/>
  <c r="AE33" i="41"/>
  <c r="AG33" i="41" s="1"/>
  <c r="D37" i="41"/>
  <c r="F37" i="41" s="1"/>
  <c r="H37" i="41" s="1"/>
  <c r="R32" i="41"/>
  <c r="G12" i="25"/>
  <c r="V32" i="42"/>
  <c r="T32" i="42"/>
  <c r="X10" i="25"/>
  <c r="AA11" i="25"/>
  <c r="AG11" i="25" s="1"/>
  <c r="AF11" i="25" s="1"/>
  <c r="H13" i="25"/>
  <c r="I13" i="25" s="1"/>
  <c r="D13" i="25"/>
  <c r="F13" i="25" s="1"/>
  <c r="G13" i="25" s="1"/>
  <c r="AE14" i="61"/>
  <c r="V17" i="68" s="1"/>
  <c r="AP14" i="25"/>
  <c r="C4" i="40"/>
  <c r="B14" i="25"/>
  <c r="AV13" i="25"/>
  <c r="Y12" i="25"/>
  <c r="AA12" i="25" s="1"/>
  <c r="AG12" i="25" s="1"/>
  <c r="AI65" i="50"/>
  <c r="T39" i="46"/>
  <c r="T40" i="46" s="1"/>
  <c r="X39" i="46" s="1"/>
  <c r="X40" i="46" s="1"/>
  <c r="AB40" i="47"/>
  <c r="AR39" i="47" s="1"/>
  <c r="T72" i="50"/>
  <c r="N55" i="49"/>
  <c r="AQ55" i="49" s="1"/>
  <c r="J60" i="49"/>
  <c r="AI60" i="49"/>
  <c r="AM60" i="49" s="1"/>
  <c r="AS60" i="49" s="1"/>
  <c r="J47" i="46"/>
  <c r="J65" i="50"/>
  <c r="J59" i="49"/>
  <c r="Y7" i="20"/>
  <c r="AA7" i="20" s="1"/>
  <c r="AG7" i="20" s="1"/>
  <c r="H50" i="46"/>
  <c r="AE50" i="46"/>
  <c r="AI49" i="46" s="1"/>
  <c r="F50" i="46"/>
  <c r="J39" i="45"/>
  <c r="N39" i="45" s="1"/>
  <c r="AQ39" i="45" s="1"/>
  <c r="J40" i="45"/>
  <c r="N40" i="45" s="1"/>
  <c r="AQ40" i="45" s="1"/>
  <c r="AI40" i="45"/>
  <c r="R77" i="50"/>
  <c r="T77" i="50" s="1"/>
  <c r="D82" i="50"/>
  <c r="F82" i="50" s="1"/>
  <c r="D73" i="49"/>
  <c r="F73" i="49" s="1"/>
  <c r="AG40" i="44"/>
  <c r="AE40" i="44"/>
  <c r="AI39" i="44" s="1"/>
  <c r="H67" i="47"/>
  <c r="T49" i="46"/>
  <c r="V49" i="46"/>
  <c r="D77" i="49"/>
  <c r="F77" i="49" s="1"/>
  <c r="H52" i="44"/>
  <c r="D68" i="48"/>
  <c r="F68" i="48" s="1"/>
  <c r="R67" i="48"/>
  <c r="D72" i="48"/>
  <c r="F72" i="48" s="1"/>
  <c r="H53" i="46"/>
  <c r="R39" i="45"/>
  <c r="D53" i="45"/>
  <c r="F53" i="45" s="1"/>
  <c r="T67" i="49"/>
  <c r="V67" i="49"/>
  <c r="R47" i="43"/>
  <c r="D52" i="43"/>
  <c r="F52" i="43" s="1"/>
  <c r="H54" i="48"/>
  <c r="H55" i="48" s="1"/>
  <c r="J55" i="48" s="1"/>
  <c r="F55" i="48"/>
  <c r="J54" i="48" s="1"/>
  <c r="Z49" i="49"/>
  <c r="AB49" i="49" s="1"/>
  <c r="L54" i="49"/>
  <c r="N54" i="49" s="1"/>
  <c r="AQ54" i="49" s="1"/>
  <c r="H68" i="49"/>
  <c r="T47" i="44"/>
  <c r="V47" i="44"/>
  <c r="N45" i="47"/>
  <c r="AQ45" i="47" s="1"/>
  <c r="AI55" i="48"/>
  <c r="J37" i="44"/>
  <c r="AK44" i="49"/>
  <c r="AM44" i="49" s="1"/>
  <c r="AS44" i="49" s="1"/>
  <c r="Z44" i="49"/>
  <c r="AB44" i="49" s="1"/>
  <c r="L49" i="49"/>
  <c r="N49" i="49" s="1"/>
  <c r="AQ49" i="49" s="1"/>
  <c r="X55" i="49"/>
  <c r="Y5" i="18"/>
  <c r="AA5" i="18" s="1"/>
  <c r="AG5" i="18" s="1"/>
  <c r="AE45" i="45"/>
  <c r="AI44" i="45" s="1"/>
  <c r="H60" i="48"/>
  <c r="AI35" i="44"/>
  <c r="AM35" i="44" s="1"/>
  <c r="AS35" i="44" s="1"/>
  <c r="AA10" i="23"/>
  <c r="X9" i="23"/>
  <c r="AA9" i="22"/>
  <c r="AG9" i="22" s="1"/>
  <c r="AR35" i="45"/>
  <c r="AR34" i="45"/>
  <c r="P106" i="40"/>
  <c r="O111" i="40"/>
  <c r="O107" i="40"/>
  <c r="A100" i="36"/>
  <c r="B100" i="36" s="1"/>
  <c r="B99" i="36"/>
  <c r="A109" i="44"/>
  <c r="B108" i="44"/>
  <c r="A109" i="41"/>
  <c r="B108" i="41"/>
  <c r="Q89" i="44"/>
  <c r="Q87" i="44"/>
  <c r="O116" i="38"/>
  <c r="O112" i="38"/>
  <c r="P111" i="38"/>
  <c r="A121" i="33"/>
  <c r="A117" i="33"/>
  <c r="B116" i="33"/>
  <c r="P111" i="47"/>
  <c r="O112" i="47"/>
  <c r="O116" i="47"/>
  <c r="H77" i="50"/>
  <c r="X82" i="40"/>
  <c r="M95" i="28"/>
  <c r="I95" i="28"/>
  <c r="G94" i="28"/>
  <c r="M94" i="28"/>
  <c r="I94" i="28"/>
  <c r="O99" i="40"/>
  <c r="P98" i="40"/>
  <c r="Q98" i="40" s="1"/>
  <c r="O112" i="42"/>
  <c r="P111" i="42"/>
  <c r="O116" i="42"/>
  <c r="P98" i="27"/>
  <c r="Q98" i="27" s="1"/>
  <c r="O99" i="27"/>
  <c r="A121" i="42"/>
  <c r="B116" i="42"/>
  <c r="A117" i="42"/>
  <c r="AI122" i="46"/>
  <c r="AL124" i="46"/>
  <c r="AH124" i="46"/>
  <c r="AH125" i="46"/>
  <c r="AL125" i="46"/>
  <c r="A113" i="49"/>
  <c r="B112" i="49"/>
  <c r="AG43" i="44"/>
  <c r="AJ104" i="31"/>
  <c r="AJ105" i="31"/>
  <c r="A109" i="34"/>
  <c r="B108" i="34"/>
  <c r="C94" i="45"/>
  <c r="C93" i="45"/>
  <c r="D12" i="24"/>
  <c r="F12" i="24" s="1"/>
  <c r="G12" i="24" s="1"/>
  <c r="H12" i="24"/>
  <c r="I12" i="24" s="1"/>
  <c r="B112" i="38"/>
  <c r="A113" i="38"/>
  <c r="AJ105" i="34"/>
  <c r="AJ104" i="34"/>
  <c r="P107" i="35"/>
  <c r="O108" i="35"/>
  <c r="O107" i="31"/>
  <c r="P106" i="31"/>
  <c r="O111" i="31"/>
  <c r="H9" i="21"/>
  <c r="I9" i="21" s="1"/>
  <c r="D9" i="21"/>
  <c r="F9" i="21" s="1"/>
  <c r="G9" i="21" s="1"/>
  <c r="X107" i="32"/>
  <c r="X82" i="46"/>
  <c r="O100" i="29"/>
  <c r="P100" i="29" s="1"/>
  <c r="P99" i="29"/>
  <c r="C99" i="50"/>
  <c r="C98" i="50"/>
  <c r="AE69" i="49"/>
  <c r="AG69" i="49" s="1"/>
  <c r="AE73" i="49"/>
  <c r="R68" i="49"/>
  <c r="D69" i="49"/>
  <c r="AA4" i="17"/>
  <c r="A104" i="48"/>
  <c r="B103" i="48"/>
  <c r="AJ104" i="26"/>
  <c r="AJ105" i="26"/>
  <c r="AC109" i="27"/>
  <c r="AD109" i="27" s="1"/>
  <c r="AD108" i="27"/>
  <c r="AC113" i="27"/>
  <c r="J49" i="47"/>
  <c r="J50" i="47"/>
  <c r="C94" i="48"/>
  <c r="C93" i="48"/>
  <c r="AC113" i="48"/>
  <c r="AC109" i="48"/>
  <c r="AD109" i="48" s="1"/>
  <c r="AD108" i="48"/>
  <c r="O107" i="33"/>
  <c r="P106" i="33"/>
  <c r="O111" i="33"/>
  <c r="Y85" i="28"/>
  <c r="Y84" i="28"/>
  <c r="B107" i="39"/>
  <c r="A108" i="39"/>
  <c r="F44" i="45"/>
  <c r="J42" i="45"/>
  <c r="AE64" i="48"/>
  <c r="AG64" i="48" s="1"/>
  <c r="AE68" i="48"/>
  <c r="R63" i="48"/>
  <c r="R59" i="48"/>
  <c r="D64" i="48"/>
  <c r="F64" i="48" s="1"/>
  <c r="H64" i="48" s="1"/>
  <c r="A104" i="37"/>
  <c r="B103" i="37"/>
  <c r="AJ100" i="38"/>
  <c r="AJ99" i="38"/>
  <c r="M90" i="45"/>
  <c r="I90" i="45"/>
  <c r="G89" i="45"/>
  <c r="M89" i="45"/>
  <c r="I89" i="45"/>
  <c r="C99" i="49"/>
  <c r="C98" i="49"/>
  <c r="A105" i="35"/>
  <c r="B105" i="35" s="1"/>
  <c r="B104" i="35"/>
  <c r="X87" i="41"/>
  <c r="A109" i="49"/>
  <c r="B108" i="49"/>
  <c r="AL105" i="39"/>
  <c r="AI102" i="39"/>
  <c r="AH104" i="39"/>
  <c r="AL104" i="39"/>
  <c r="AH105" i="39"/>
  <c r="P107" i="48"/>
  <c r="O108" i="48"/>
  <c r="G93" i="32"/>
  <c r="D93" i="32"/>
  <c r="F93" i="32" s="1"/>
  <c r="C92" i="32"/>
  <c r="Q87" i="46"/>
  <c r="Q89" i="46"/>
  <c r="M89" i="43"/>
  <c r="I89" i="43"/>
  <c r="M90" i="43"/>
  <c r="I90" i="43"/>
  <c r="G89" i="43"/>
  <c r="O119" i="59"/>
  <c r="P118" i="59"/>
  <c r="Q118" i="59" s="1"/>
  <c r="Y89" i="47"/>
  <c r="Y90" i="47"/>
  <c r="B116" i="50"/>
  <c r="A121" i="50"/>
  <c r="A117" i="50"/>
  <c r="P103" i="42"/>
  <c r="Q103" i="42" s="1"/>
  <c r="O104" i="42"/>
  <c r="O103" i="27"/>
  <c r="P102" i="27"/>
  <c r="Q92" i="38"/>
  <c r="Q94" i="38"/>
  <c r="O103" i="44"/>
  <c r="P102" i="44"/>
  <c r="X8" i="22"/>
  <c r="AA8" i="22"/>
  <c r="X7" i="22"/>
  <c r="H4" i="16"/>
  <c r="I4" i="16" s="1"/>
  <c r="D4" i="16"/>
  <c r="Q87" i="49"/>
  <c r="Q89" i="49"/>
  <c r="B112" i="41"/>
  <c r="A113" i="41"/>
  <c r="B112" i="28"/>
  <c r="A113" i="28"/>
  <c r="Q89" i="39"/>
  <c r="Q87" i="39"/>
  <c r="V53" i="47"/>
  <c r="T53" i="47"/>
  <c r="B128" i="59"/>
  <c r="A129" i="59"/>
  <c r="A134" i="59"/>
  <c r="M94" i="33"/>
  <c r="I94" i="33"/>
  <c r="M95" i="33"/>
  <c r="I95" i="33"/>
  <c r="G94" i="33"/>
  <c r="Y85" i="27"/>
  <c r="Y84" i="27"/>
  <c r="O99" i="50"/>
  <c r="P98" i="50"/>
  <c r="Q98" i="50" s="1"/>
  <c r="P106" i="45"/>
  <c r="O111" i="45"/>
  <c r="O107" i="45"/>
  <c r="J57" i="48"/>
  <c r="Q87" i="34"/>
  <c r="Q89" i="34"/>
  <c r="AI45" i="46"/>
  <c r="M90" i="46"/>
  <c r="I90" i="46"/>
  <c r="G89" i="46"/>
  <c r="M89" i="46"/>
  <c r="I89" i="46"/>
  <c r="AA100" i="36"/>
  <c r="AO100" i="36" s="1"/>
  <c r="AP100" i="36" s="1"/>
  <c r="W100" i="36"/>
  <c r="AA99" i="36"/>
  <c r="AO99" i="36" s="1"/>
  <c r="AP99" i="36" s="1"/>
  <c r="W99" i="36"/>
  <c r="B112" i="47"/>
  <c r="A113" i="47"/>
  <c r="AJ105" i="45"/>
  <c r="AJ104" i="45"/>
  <c r="Y102" i="59"/>
  <c r="Y101" i="59"/>
  <c r="W102" i="59"/>
  <c r="W101" i="59"/>
  <c r="AJ105" i="37"/>
  <c r="AJ104" i="37"/>
  <c r="AG60" i="48"/>
  <c r="T33" i="43"/>
  <c r="V33" i="43"/>
  <c r="P107" i="26"/>
  <c r="O108" i="26"/>
  <c r="G93" i="49"/>
  <c r="D93" i="49"/>
  <c r="F93" i="49" s="1"/>
  <c r="C92" i="49"/>
  <c r="AE70" i="50"/>
  <c r="AI69" i="50" s="1"/>
  <c r="F57" i="46"/>
  <c r="AG53" i="46"/>
  <c r="D93" i="34"/>
  <c r="F93" i="34" s="1"/>
  <c r="C92" i="34"/>
  <c r="G93" i="34"/>
  <c r="P107" i="30"/>
  <c r="O108" i="30"/>
  <c r="O100" i="38"/>
  <c r="P100" i="38" s="1"/>
  <c r="P99" i="38"/>
  <c r="AJ104" i="30"/>
  <c r="AJ105" i="30"/>
  <c r="M95" i="29"/>
  <c r="I95" i="29"/>
  <c r="G94" i="29"/>
  <c r="M94" i="29"/>
  <c r="I94" i="29"/>
  <c r="V59" i="49"/>
  <c r="V60" i="49" s="1"/>
  <c r="T59" i="49"/>
  <c r="T60" i="49" s="1"/>
  <c r="X59" i="49" s="1"/>
  <c r="Q94" i="47"/>
  <c r="Q92" i="47"/>
  <c r="AV7" i="53"/>
  <c r="H11" i="23"/>
  <c r="I11" i="23" s="1"/>
  <c r="D11" i="23"/>
  <c r="F11" i="23" s="1"/>
  <c r="G11" i="23" s="1"/>
  <c r="B116" i="34"/>
  <c r="A121" i="34"/>
  <c r="A117" i="34"/>
  <c r="A105" i="27"/>
  <c r="B105" i="27" s="1"/>
  <c r="B104" i="27"/>
  <c r="AJ104" i="33"/>
  <c r="AJ105" i="33"/>
  <c r="AA95" i="33"/>
  <c r="AO95" i="33" s="1"/>
  <c r="AP95" i="33" s="1"/>
  <c r="W95" i="33"/>
  <c r="AA94" i="33"/>
  <c r="AO94" i="33" s="1"/>
  <c r="AP94" i="33" s="1"/>
  <c r="W94" i="33"/>
  <c r="C98" i="35"/>
  <c r="C99" i="35"/>
  <c r="X82" i="45"/>
  <c r="AC108" i="47"/>
  <c r="AC104" i="47"/>
  <c r="AD104" i="47" s="1"/>
  <c r="AD103" i="47"/>
  <c r="AE54" i="46"/>
  <c r="AG54" i="46" s="1"/>
  <c r="AE58" i="46"/>
  <c r="R53" i="46"/>
  <c r="D54" i="46"/>
  <c r="D58" i="46"/>
  <c r="F58" i="46" s="1"/>
  <c r="H58" i="46" s="1"/>
  <c r="R57" i="46"/>
  <c r="D62" i="46"/>
  <c r="M95" i="35"/>
  <c r="I95" i="35"/>
  <c r="G94" i="35"/>
  <c r="M94" i="35"/>
  <c r="I94" i="35"/>
  <c r="AA5" i="53"/>
  <c r="X4" i="53"/>
  <c r="A105" i="31"/>
  <c r="B105" i="31" s="1"/>
  <c r="B104" i="31"/>
  <c r="AL105" i="42"/>
  <c r="AH105" i="42"/>
  <c r="AI102" i="42"/>
  <c r="AL104" i="42"/>
  <c r="AH104" i="42"/>
  <c r="O95" i="27"/>
  <c r="P95" i="27" s="1"/>
  <c r="P94" i="27"/>
  <c r="K84" i="45"/>
  <c r="G82" i="45"/>
  <c r="K85" i="45"/>
  <c r="D93" i="40"/>
  <c r="F93" i="40" s="1"/>
  <c r="C92" i="40"/>
  <c r="G93" i="40"/>
  <c r="A109" i="50"/>
  <c r="B108" i="50"/>
  <c r="D93" i="47"/>
  <c r="F93" i="47" s="1"/>
  <c r="C92" i="47"/>
  <c r="G93" i="47"/>
  <c r="A105" i="29"/>
  <c r="B105" i="29" s="1"/>
  <c r="B104" i="29"/>
  <c r="Y90" i="48"/>
  <c r="Y89" i="48"/>
  <c r="AJ105" i="28"/>
  <c r="AJ104" i="28"/>
  <c r="O99" i="34"/>
  <c r="P98" i="34"/>
  <c r="Q98" i="34" s="1"/>
  <c r="AG73" i="50"/>
  <c r="B112" i="40"/>
  <c r="A113" i="40"/>
  <c r="AL119" i="59"/>
  <c r="AL120" i="59"/>
  <c r="A104" i="45"/>
  <c r="B103" i="45"/>
  <c r="C99" i="32"/>
  <c r="C98" i="32"/>
  <c r="P98" i="33"/>
  <c r="Q98" i="33" s="1"/>
  <c r="O99" i="33"/>
  <c r="H38" i="44"/>
  <c r="H40" i="44" s="1"/>
  <c r="F40" i="44"/>
  <c r="M95" i="34"/>
  <c r="I95" i="34"/>
  <c r="G94" i="34"/>
  <c r="M94" i="34"/>
  <c r="I94" i="34"/>
  <c r="A104" i="36"/>
  <c r="B103" i="36"/>
  <c r="X87" i="26"/>
  <c r="AL105" i="30"/>
  <c r="AH105" i="30"/>
  <c r="AI102" i="30"/>
  <c r="AL104" i="30"/>
  <c r="AH104" i="30"/>
  <c r="X87" i="35"/>
  <c r="P127" i="32"/>
  <c r="O128" i="32"/>
  <c r="AA100" i="48"/>
  <c r="AO100" i="48" s="1"/>
  <c r="AP100" i="48" s="1"/>
  <c r="W100" i="48"/>
  <c r="AA99" i="48"/>
  <c r="AO99" i="48" s="1"/>
  <c r="AP99" i="48" s="1"/>
  <c r="W99" i="48"/>
  <c r="C92" i="29"/>
  <c r="G93" i="29"/>
  <c r="D93" i="29"/>
  <c r="F93" i="29" s="1"/>
  <c r="O99" i="45"/>
  <c r="P98" i="45"/>
  <c r="Q98" i="45" s="1"/>
  <c r="H10" i="22"/>
  <c r="I10" i="22" s="1"/>
  <c r="D10" i="22"/>
  <c r="F10" i="22" s="1"/>
  <c r="G10" i="22" s="1"/>
  <c r="V63" i="49"/>
  <c r="T63" i="49"/>
  <c r="AA10" i="24"/>
  <c r="X9" i="24"/>
  <c r="G10" i="24"/>
  <c r="M94" i="44"/>
  <c r="I94" i="44"/>
  <c r="M95" i="44"/>
  <c r="I95" i="44"/>
  <c r="G94" i="44"/>
  <c r="Q107" i="59"/>
  <c r="Q105" i="59"/>
  <c r="B107" i="43"/>
  <c r="A108" i="43"/>
  <c r="A100" i="39"/>
  <c r="B100" i="39" s="1"/>
  <c r="B99" i="39"/>
  <c r="AV7" i="19"/>
  <c r="A121" i="31"/>
  <c r="A117" i="31"/>
  <c r="B116" i="31"/>
  <c r="Q94" i="30"/>
  <c r="Q92" i="30"/>
  <c r="D43" i="43"/>
  <c r="F43" i="43" s="1"/>
  <c r="H43" i="43" s="1"/>
  <c r="D39" i="43"/>
  <c r="F39" i="43" s="1"/>
  <c r="H39" i="43" s="1"/>
  <c r="R38" i="43"/>
  <c r="AE43" i="43"/>
  <c r="R34" i="43"/>
  <c r="AE39" i="43"/>
  <c r="AG39" i="43" s="1"/>
  <c r="R42" i="43"/>
  <c r="D47" i="43"/>
  <c r="AC104" i="29"/>
  <c r="AD104" i="29" s="1"/>
  <c r="AD103" i="29"/>
  <c r="AC108" i="29"/>
  <c r="O108" i="47"/>
  <c r="P107" i="47"/>
  <c r="AF4" i="53"/>
  <c r="P103" i="48"/>
  <c r="Q103" i="48" s="1"/>
  <c r="O104" i="48"/>
  <c r="AL105" i="33"/>
  <c r="AH105" i="33"/>
  <c r="AI102" i="33"/>
  <c r="AL104" i="33"/>
  <c r="AH104" i="33"/>
  <c r="Y85" i="40"/>
  <c r="Y84" i="40"/>
  <c r="P123" i="59"/>
  <c r="O124" i="59"/>
  <c r="AF4" i="19"/>
  <c r="AF5" i="19" s="1"/>
  <c r="AC109" i="36"/>
  <c r="AD109" i="36" s="1"/>
  <c r="AD108" i="36"/>
  <c r="AC113" i="36"/>
  <c r="B111" i="46"/>
  <c r="A112" i="46"/>
  <c r="A116" i="46"/>
  <c r="P98" i="44"/>
  <c r="Q98" i="44" s="1"/>
  <c r="O99" i="44"/>
  <c r="K90" i="44"/>
  <c r="K89" i="44"/>
  <c r="G87" i="44"/>
  <c r="K95" i="59"/>
  <c r="K96" i="59"/>
  <c r="I95" i="59"/>
  <c r="I96" i="59"/>
  <c r="G93" i="59"/>
  <c r="B111" i="48"/>
  <c r="A116" i="48"/>
  <c r="A112" i="48"/>
  <c r="Y85" i="45"/>
  <c r="Y84" i="45"/>
  <c r="AJ105" i="32"/>
  <c r="AJ104" i="32"/>
  <c r="K84" i="37"/>
  <c r="G82" i="37"/>
  <c r="K85" i="37"/>
  <c r="Y90" i="36"/>
  <c r="Y89" i="36"/>
  <c r="AJ9" i="61"/>
  <c r="AA12" i="68" s="1"/>
  <c r="B9" i="20"/>
  <c r="C9" i="45"/>
  <c r="R49" i="45" s="1"/>
  <c r="AP9" i="20"/>
  <c r="AC119" i="40"/>
  <c r="AD119" i="40" s="1"/>
  <c r="AD118" i="40"/>
  <c r="AC123" i="40"/>
  <c r="H42" i="44"/>
  <c r="P107" i="29"/>
  <c r="O108" i="29"/>
  <c r="P107" i="36"/>
  <c r="O108" i="36"/>
  <c r="C92" i="35"/>
  <c r="G93" i="35"/>
  <c r="D93" i="35"/>
  <c r="F93" i="35" s="1"/>
  <c r="B112" i="29"/>
  <c r="A113" i="29"/>
  <c r="O95" i="31"/>
  <c r="P95" i="31" s="1"/>
  <c r="P94" i="31"/>
  <c r="X82" i="44"/>
  <c r="O124" i="32"/>
  <c r="P123" i="32"/>
  <c r="Q123" i="32" s="1"/>
  <c r="P102" i="43"/>
  <c r="O103" i="43"/>
  <c r="AJ99" i="44"/>
  <c r="AJ100" i="44"/>
  <c r="B111" i="37"/>
  <c r="A116" i="37"/>
  <c r="A112" i="37"/>
  <c r="Q89" i="27"/>
  <c r="Q87" i="27"/>
  <c r="C87" i="37"/>
  <c r="G88" i="37"/>
  <c r="K89" i="29"/>
  <c r="G87" i="29"/>
  <c r="K90" i="29"/>
  <c r="O100" i="30"/>
  <c r="P100" i="30" s="1"/>
  <c r="P99" i="30"/>
  <c r="AC113" i="42"/>
  <c r="AC109" i="42"/>
  <c r="AD109" i="42" s="1"/>
  <c r="AD108" i="42"/>
  <c r="A104" i="43"/>
  <c r="B103" i="43"/>
  <c r="AL99" i="35"/>
  <c r="AH99" i="35"/>
  <c r="AL100" i="35"/>
  <c r="AH100" i="35"/>
  <c r="AI97" i="35"/>
  <c r="AA95" i="27"/>
  <c r="AO95" i="27" s="1"/>
  <c r="W95" i="27"/>
  <c r="AA94" i="27"/>
  <c r="AO94" i="27" s="1"/>
  <c r="W94" i="27"/>
  <c r="AF6" i="21"/>
  <c r="AF7" i="21" s="1"/>
  <c r="D93" i="31"/>
  <c r="F93" i="31" s="1"/>
  <c r="C92" i="31"/>
  <c r="G93" i="31"/>
  <c r="A121" i="49"/>
  <c r="A117" i="49"/>
  <c r="B116" i="49"/>
  <c r="F47" i="44"/>
  <c r="V38" i="44"/>
  <c r="T38" i="44"/>
  <c r="AL105" i="31"/>
  <c r="AH105" i="31"/>
  <c r="AI102" i="31"/>
  <c r="AL104" i="31"/>
  <c r="AH104" i="31"/>
  <c r="A109" i="33"/>
  <c r="B108" i="33"/>
  <c r="AF13" i="61"/>
  <c r="W16" i="68" s="1"/>
  <c r="AP13" i="24"/>
  <c r="B13" i="24"/>
  <c r="C5" i="41"/>
  <c r="B116" i="38"/>
  <c r="A121" i="38"/>
  <c r="A117" i="38"/>
  <c r="AI102" i="34"/>
  <c r="AL104" i="34"/>
  <c r="AH104" i="34"/>
  <c r="AL105" i="34"/>
  <c r="AH105" i="34"/>
  <c r="O116" i="35"/>
  <c r="O112" i="35"/>
  <c r="P111" i="35"/>
  <c r="P103" i="26"/>
  <c r="Q103" i="26" s="1"/>
  <c r="O104" i="26"/>
  <c r="C94" i="26"/>
  <c r="C93" i="26"/>
  <c r="N44" i="47"/>
  <c r="AQ44" i="47" s="1"/>
  <c r="K84" i="46"/>
  <c r="G82" i="46"/>
  <c r="K85" i="46"/>
  <c r="A100" i="48"/>
  <c r="B100" i="48" s="1"/>
  <c r="B99" i="48"/>
  <c r="A105" i="40"/>
  <c r="B105" i="40" s="1"/>
  <c r="B104" i="40"/>
  <c r="AI10" i="61"/>
  <c r="Z13" i="68" s="1"/>
  <c r="AP10" i="21"/>
  <c r="Y9" i="21" s="1"/>
  <c r="C8" i="44"/>
  <c r="D53" i="44" s="1"/>
  <c r="F53" i="44" s="1"/>
  <c r="H53" i="44" s="1"/>
  <c r="B10" i="21"/>
  <c r="Y110" i="32"/>
  <c r="Y109" i="32"/>
  <c r="Y85" i="46"/>
  <c r="Y84" i="46"/>
  <c r="A114" i="59"/>
  <c r="B114" i="59" s="1"/>
  <c r="B113" i="59"/>
  <c r="X82" i="34"/>
  <c r="AI50" i="47"/>
  <c r="A113" i="27"/>
  <c r="B112" i="27"/>
  <c r="W120" i="32"/>
  <c r="AA119" i="32"/>
  <c r="AO119" i="32" s="1"/>
  <c r="AP119" i="32" s="1"/>
  <c r="W119" i="32"/>
  <c r="AA120" i="32"/>
  <c r="AO120" i="32" s="1"/>
  <c r="AP120" i="32" s="1"/>
  <c r="K90" i="27"/>
  <c r="K89" i="27"/>
  <c r="G87" i="27"/>
  <c r="H5" i="17"/>
  <c r="I5" i="17" s="1"/>
  <c r="D5" i="17"/>
  <c r="F5" i="17" s="1"/>
  <c r="G5" i="17" s="1"/>
  <c r="Q92" i="41"/>
  <c r="Q94" i="41"/>
  <c r="AL105" i="26"/>
  <c r="AH105" i="26"/>
  <c r="AI102" i="26"/>
  <c r="AL104" i="26"/>
  <c r="AH104" i="26"/>
  <c r="AJ104" i="27"/>
  <c r="AJ105" i="27"/>
  <c r="M95" i="41"/>
  <c r="I95" i="41"/>
  <c r="G94" i="41"/>
  <c r="M94" i="41"/>
  <c r="I94" i="41"/>
  <c r="A119" i="59"/>
  <c r="B118" i="59"/>
  <c r="X82" i="37"/>
  <c r="B111" i="39"/>
  <c r="A116" i="39"/>
  <c r="A112" i="39"/>
  <c r="F60" i="48"/>
  <c r="H6" i="18"/>
  <c r="I6" i="18" s="1"/>
  <c r="D6" i="18"/>
  <c r="AL99" i="38"/>
  <c r="AH99" i="38"/>
  <c r="AL100" i="38"/>
  <c r="AH100" i="38"/>
  <c r="AI97" i="38"/>
  <c r="Y85" i="33"/>
  <c r="Y84" i="33"/>
  <c r="K90" i="33"/>
  <c r="K89" i="33"/>
  <c r="G87" i="33"/>
  <c r="Y90" i="41"/>
  <c r="Y89" i="41"/>
  <c r="K89" i="35"/>
  <c r="G87" i="35"/>
  <c r="K90" i="35"/>
  <c r="Q87" i="37"/>
  <c r="Q89" i="37"/>
  <c r="A104" i="26"/>
  <c r="B103" i="26"/>
  <c r="Y6" i="19"/>
  <c r="Y85" i="31"/>
  <c r="Y84" i="31"/>
  <c r="P107" i="41"/>
  <c r="O108" i="41"/>
  <c r="AC113" i="39"/>
  <c r="AC109" i="39"/>
  <c r="AD109" i="39" s="1"/>
  <c r="AD108" i="39"/>
  <c r="A105" i="32"/>
  <c r="B105" i="32" s="1"/>
  <c r="B104" i="32"/>
  <c r="AF4" i="20"/>
  <c r="AF5" i="20" s="1"/>
  <c r="AF6" i="20" s="1"/>
  <c r="O95" i="43"/>
  <c r="P95" i="43" s="1"/>
  <c r="P94" i="43"/>
  <c r="M95" i="32"/>
  <c r="I95" i="32"/>
  <c r="G94" i="32"/>
  <c r="I94" i="32"/>
  <c r="M94" i="32"/>
  <c r="Q87" i="28"/>
  <c r="Q89" i="28"/>
  <c r="AF9" i="23"/>
  <c r="C98" i="41"/>
  <c r="C99" i="41"/>
  <c r="G82" i="48"/>
  <c r="K85" i="48"/>
  <c r="K84" i="48"/>
  <c r="X87" i="47"/>
  <c r="AC104" i="41"/>
  <c r="AD104" i="41" s="1"/>
  <c r="AD103" i="41"/>
  <c r="AC108" i="41"/>
  <c r="A109" i="27"/>
  <c r="B108" i="27"/>
  <c r="O103" i="34"/>
  <c r="P102" i="34"/>
  <c r="AO4" i="61"/>
  <c r="AF7" i="68" s="1"/>
  <c r="AP3" i="61"/>
  <c r="AG6" i="68" s="1"/>
  <c r="AP4" i="15"/>
  <c r="C14" i="50"/>
  <c r="T4" i="50" s="1"/>
  <c r="X4" i="50" s="1"/>
  <c r="B4" i="15"/>
  <c r="B116" i="41"/>
  <c r="A121" i="41"/>
  <c r="A117" i="41"/>
  <c r="B116" i="28"/>
  <c r="A121" i="28"/>
  <c r="A117" i="28"/>
  <c r="G82" i="26"/>
  <c r="K85" i="26"/>
  <c r="K84" i="26"/>
  <c r="AG58" i="47"/>
  <c r="B107" i="45"/>
  <c r="A108" i="45"/>
  <c r="B123" i="59"/>
  <c r="A124" i="59"/>
  <c r="AC109" i="49"/>
  <c r="AD109" i="49" s="1"/>
  <c r="AD108" i="49"/>
  <c r="AC113" i="49"/>
  <c r="A108" i="36"/>
  <c r="B107" i="36"/>
  <c r="O95" i="39"/>
  <c r="P95" i="39" s="1"/>
  <c r="P94" i="39"/>
  <c r="A104" i="39"/>
  <c r="B103" i="39"/>
  <c r="X82" i="27"/>
  <c r="O103" i="46"/>
  <c r="P102" i="46"/>
  <c r="C99" i="31"/>
  <c r="C98" i="31"/>
  <c r="K85" i="36"/>
  <c r="K84" i="36"/>
  <c r="G82" i="36"/>
  <c r="C99" i="34"/>
  <c r="C98" i="34"/>
  <c r="A105" i="38"/>
  <c r="B105" i="38" s="1"/>
  <c r="B104" i="38"/>
  <c r="B116" i="47"/>
  <c r="A121" i="47"/>
  <c r="A117" i="47"/>
  <c r="K90" i="47"/>
  <c r="K89" i="47"/>
  <c r="G87" i="47"/>
  <c r="AI102" i="45"/>
  <c r="AL104" i="45"/>
  <c r="AH104" i="45"/>
  <c r="AL105" i="45"/>
  <c r="AH105" i="45"/>
  <c r="X99" i="59"/>
  <c r="AI102" i="37"/>
  <c r="AL104" i="37"/>
  <c r="AH104" i="37"/>
  <c r="AL105" i="37"/>
  <c r="AH105" i="37"/>
  <c r="F38" i="43"/>
  <c r="A105" i="44"/>
  <c r="B105" i="44" s="1"/>
  <c r="B104" i="44"/>
  <c r="W94" i="49"/>
  <c r="W95" i="49"/>
  <c r="AA94" i="49"/>
  <c r="AO94" i="49" s="1"/>
  <c r="AA95" i="49"/>
  <c r="AO95" i="49" s="1"/>
  <c r="AA95" i="34"/>
  <c r="AO95" i="34" s="1"/>
  <c r="AP95" i="34" s="1"/>
  <c r="W95" i="34"/>
  <c r="AA94" i="34"/>
  <c r="AO94" i="34" s="1"/>
  <c r="AP94" i="34" s="1"/>
  <c r="W94" i="34"/>
  <c r="I95" i="49"/>
  <c r="I94" i="49"/>
  <c r="M95" i="49"/>
  <c r="M94" i="49"/>
  <c r="G94" i="49"/>
  <c r="V52" i="46"/>
  <c r="T52" i="46"/>
  <c r="T48" i="46"/>
  <c r="V48" i="46"/>
  <c r="A104" i="46"/>
  <c r="B103" i="46"/>
  <c r="Y90" i="26"/>
  <c r="Y89" i="26"/>
  <c r="C98" i="38"/>
  <c r="C99" i="38"/>
  <c r="A105" i="42"/>
  <c r="B105" i="42" s="1"/>
  <c r="B104" i="42"/>
  <c r="O100" i="48"/>
  <c r="P100" i="48" s="1"/>
  <c r="P99" i="48"/>
  <c r="AE48" i="44"/>
  <c r="R43" i="44"/>
  <c r="AE44" i="44"/>
  <c r="AG44" i="44" s="1"/>
  <c r="D44" i="44"/>
  <c r="R39" i="44"/>
  <c r="D48" i="44"/>
  <c r="F48" i="44" s="1"/>
  <c r="H48" i="44" s="1"/>
  <c r="X82" i="39"/>
  <c r="B111" i="30"/>
  <c r="A116" i="30"/>
  <c r="A112" i="30"/>
  <c r="D93" i="44"/>
  <c r="F93" i="44" s="1"/>
  <c r="C92" i="44"/>
  <c r="G93" i="44"/>
  <c r="A109" i="47"/>
  <c r="B108" i="47"/>
  <c r="AK8" i="61"/>
  <c r="AB11" i="68" s="1"/>
  <c r="AP8" i="19"/>
  <c r="B8" i="19"/>
  <c r="AP8" i="53"/>
  <c r="C10" i="46"/>
  <c r="D67" i="46" s="1"/>
  <c r="F67" i="46" s="1"/>
  <c r="B8" i="53"/>
  <c r="A113" i="31"/>
  <c r="B112" i="31"/>
  <c r="Q94" i="42"/>
  <c r="Q92" i="42"/>
  <c r="AA8" i="21"/>
  <c r="W100" i="47"/>
  <c r="AA99" i="47"/>
  <c r="AO99" i="47" s="1"/>
  <c r="AP99" i="47" s="1"/>
  <c r="AA100" i="47"/>
  <c r="AO100" i="47" s="1"/>
  <c r="AP100" i="47" s="1"/>
  <c r="W99" i="47"/>
  <c r="B107" i="48"/>
  <c r="A108" i="48"/>
  <c r="O112" i="36"/>
  <c r="O116" i="36"/>
  <c r="P111" i="36"/>
  <c r="B104" i="47"/>
  <c r="A105" i="47"/>
  <c r="B105" i="47" s="1"/>
  <c r="A100" i="46"/>
  <c r="B100" i="46" s="1"/>
  <c r="B99" i="46"/>
  <c r="Y85" i="44"/>
  <c r="Y84" i="44"/>
  <c r="AC104" i="44"/>
  <c r="AD104" i="44" s="1"/>
  <c r="AD103" i="44"/>
  <c r="AC108" i="44"/>
  <c r="A105" i="49"/>
  <c r="B105" i="49" s="1"/>
  <c r="B104" i="49"/>
  <c r="B107" i="37"/>
  <c r="A108" i="37"/>
  <c r="AJ100" i="35"/>
  <c r="AJ99" i="35"/>
  <c r="A109" i="32"/>
  <c r="B108" i="32"/>
  <c r="B111" i="26"/>
  <c r="A116" i="26"/>
  <c r="A112" i="26"/>
  <c r="K89" i="38"/>
  <c r="G87" i="38"/>
  <c r="K90" i="38"/>
  <c r="AG63" i="48"/>
  <c r="M95" i="40"/>
  <c r="I95" i="40"/>
  <c r="G94" i="40"/>
  <c r="M94" i="40"/>
  <c r="I94" i="40"/>
  <c r="M95" i="47"/>
  <c r="I94" i="47"/>
  <c r="M94" i="47"/>
  <c r="G94" i="47"/>
  <c r="I95" i="47"/>
  <c r="Q92" i="29"/>
  <c r="Q94" i="29"/>
  <c r="X87" i="48"/>
  <c r="G93" i="42"/>
  <c r="D93" i="42"/>
  <c r="F93" i="42" s="1"/>
  <c r="C92" i="42"/>
  <c r="AI102" i="28"/>
  <c r="AL104" i="28"/>
  <c r="AH104" i="28"/>
  <c r="AL105" i="28"/>
  <c r="AH105" i="28"/>
  <c r="C99" i="47"/>
  <c r="C98" i="47"/>
  <c r="A100" i="37"/>
  <c r="B100" i="37" s="1"/>
  <c r="B99" i="37"/>
  <c r="AC109" i="50"/>
  <c r="AD109" i="50" s="1"/>
  <c r="AD108" i="50"/>
  <c r="AC113" i="50"/>
  <c r="B116" i="40"/>
  <c r="A121" i="40"/>
  <c r="A117" i="40"/>
  <c r="A109" i="28"/>
  <c r="B108" i="28"/>
  <c r="AN120" i="59"/>
  <c r="AJ120" i="59"/>
  <c r="AK117" i="59"/>
  <c r="AN119" i="59"/>
  <c r="AJ119" i="59"/>
  <c r="P103" i="36"/>
  <c r="Q103" i="36" s="1"/>
  <c r="O104" i="36"/>
  <c r="O112" i="30"/>
  <c r="P111" i="30"/>
  <c r="O116" i="30"/>
  <c r="C99" i="33"/>
  <c r="C98" i="33"/>
  <c r="Y90" i="30"/>
  <c r="Y89" i="30"/>
  <c r="K90" i="31"/>
  <c r="K89" i="31"/>
  <c r="G87" i="31"/>
  <c r="AC113" i="30"/>
  <c r="AC109" i="30"/>
  <c r="AD109" i="30" s="1"/>
  <c r="AD108" i="30"/>
  <c r="Y90" i="35"/>
  <c r="Y89" i="35"/>
  <c r="P131" i="32"/>
  <c r="O136" i="32"/>
  <c r="O132" i="32"/>
  <c r="G88" i="30"/>
  <c r="C87" i="30"/>
  <c r="AH11" i="61"/>
  <c r="Y14" i="68" s="1"/>
  <c r="AP11" i="22"/>
  <c r="Y10" i="22" s="1"/>
  <c r="B11" i="22"/>
  <c r="C7" i="43"/>
  <c r="F64" i="49"/>
  <c r="J62" i="49"/>
  <c r="C94" i="37"/>
  <c r="C93" i="37"/>
  <c r="Q94" i="48"/>
  <c r="Q92" i="48"/>
  <c r="AA95" i="40"/>
  <c r="AO95" i="40" s="1"/>
  <c r="AP95" i="40" s="1"/>
  <c r="W95" i="40"/>
  <c r="AA94" i="40"/>
  <c r="AO94" i="40" s="1"/>
  <c r="AP94" i="40" s="1"/>
  <c r="W94" i="40"/>
  <c r="B111" i="43"/>
  <c r="A116" i="43"/>
  <c r="A112" i="43"/>
  <c r="R58" i="47"/>
  <c r="AE59" i="47"/>
  <c r="AG59" i="47" s="1"/>
  <c r="D59" i="47"/>
  <c r="AE63" i="47"/>
  <c r="R54" i="47"/>
  <c r="D63" i="47"/>
  <c r="F63" i="47" s="1"/>
  <c r="H63" i="47" s="1"/>
  <c r="R62" i="47"/>
  <c r="O95" i="44"/>
  <c r="P95" i="44" s="1"/>
  <c r="P94" i="44"/>
  <c r="AV11" i="23"/>
  <c r="AJ100" i="29"/>
  <c r="AJ99" i="29"/>
  <c r="M95" i="38"/>
  <c r="I95" i="38"/>
  <c r="G94" i="38"/>
  <c r="M94" i="38"/>
  <c r="I94" i="38"/>
  <c r="O103" i="28"/>
  <c r="P102" i="28"/>
  <c r="G8" i="22"/>
  <c r="X87" i="38"/>
  <c r="Q89" i="31"/>
  <c r="Q87" i="31"/>
  <c r="O134" i="59"/>
  <c r="O129" i="59"/>
  <c r="P128" i="59"/>
  <c r="B112" i="35"/>
  <c r="A113" i="35"/>
  <c r="AJ104" i="36"/>
  <c r="AJ105" i="36"/>
  <c r="P107" i="42"/>
  <c r="O108" i="42"/>
  <c r="B107" i="46"/>
  <c r="A108" i="46"/>
  <c r="O107" i="49"/>
  <c r="O111" i="49"/>
  <c r="P106" i="49"/>
  <c r="G88" i="26"/>
  <c r="C87" i="26"/>
  <c r="AA95" i="50"/>
  <c r="AO95" i="50" s="1"/>
  <c r="W95" i="50"/>
  <c r="AA94" i="50"/>
  <c r="AO94" i="50" s="1"/>
  <c r="W94" i="50"/>
  <c r="AA95" i="46"/>
  <c r="AO95" i="46" s="1"/>
  <c r="AP95" i="46" s="1"/>
  <c r="W95" i="46"/>
  <c r="AA94" i="46"/>
  <c r="AO94" i="46" s="1"/>
  <c r="AP94" i="46" s="1"/>
  <c r="W94" i="46"/>
  <c r="X60" i="50"/>
  <c r="A109" i="40"/>
  <c r="B108" i="40"/>
  <c r="AI102" i="32"/>
  <c r="AL104" i="32"/>
  <c r="AH104" i="32"/>
  <c r="AL105" i="32"/>
  <c r="AH105" i="32"/>
  <c r="AJ100" i="47"/>
  <c r="AJ99" i="47"/>
  <c r="X87" i="36"/>
  <c r="O103" i="37"/>
  <c r="P102" i="37"/>
  <c r="AV8" i="20"/>
  <c r="AJ115" i="40"/>
  <c r="AJ114" i="40"/>
  <c r="O116" i="29"/>
  <c r="O112" i="29"/>
  <c r="P111" i="29"/>
  <c r="B116" i="29"/>
  <c r="A121" i="29"/>
  <c r="A117" i="29"/>
  <c r="AA95" i="31"/>
  <c r="AO95" i="31" s="1"/>
  <c r="AP95" i="31" s="1"/>
  <c r="W95" i="31"/>
  <c r="AA94" i="31"/>
  <c r="AO94" i="31" s="1"/>
  <c r="AP94" i="31" s="1"/>
  <c r="W94" i="31"/>
  <c r="O100" i="26"/>
  <c r="P100" i="26" s="1"/>
  <c r="P99" i="26"/>
  <c r="AA100" i="41"/>
  <c r="AO100" i="41" s="1"/>
  <c r="AP100" i="41" s="1"/>
  <c r="W100" i="41"/>
  <c r="AA99" i="41"/>
  <c r="AO99" i="41" s="1"/>
  <c r="AP99" i="41" s="1"/>
  <c r="W99" i="41"/>
  <c r="AL100" i="44"/>
  <c r="AH100" i="44"/>
  <c r="AI97" i="44"/>
  <c r="AL99" i="44"/>
  <c r="AH99" i="44"/>
  <c r="X82" i="50"/>
  <c r="M90" i="37"/>
  <c r="I90" i="37"/>
  <c r="G89" i="37"/>
  <c r="M89" i="37"/>
  <c r="I89" i="37"/>
  <c r="A105" i="33"/>
  <c r="B105" i="33" s="1"/>
  <c r="B104" i="33"/>
  <c r="AA100" i="30"/>
  <c r="AO100" i="30" s="1"/>
  <c r="AP100" i="30" s="1"/>
  <c r="W100" i="30"/>
  <c r="AA99" i="30"/>
  <c r="AO99" i="30" s="1"/>
  <c r="AP99" i="30" s="1"/>
  <c r="W99" i="30"/>
  <c r="V54" i="48"/>
  <c r="V55" i="48" s="1"/>
  <c r="T54" i="48"/>
  <c r="T55" i="48" s="1"/>
  <c r="X54" i="48" s="1"/>
  <c r="G88" i="39"/>
  <c r="C87" i="39"/>
  <c r="AA95" i="28"/>
  <c r="AO95" i="28" s="1"/>
  <c r="AP95" i="28" s="1"/>
  <c r="W95" i="28"/>
  <c r="AA94" i="28"/>
  <c r="AO94" i="28" s="1"/>
  <c r="AP94" i="28" s="1"/>
  <c r="W94" i="28"/>
  <c r="AC129" i="46"/>
  <c r="AD129" i="46" s="1"/>
  <c r="AD128" i="46"/>
  <c r="AC133" i="46"/>
  <c r="M94" i="31"/>
  <c r="I94" i="31"/>
  <c r="M95" i="31"/>
  <c r="I95" i="31"/>
  <c r="G94" i="31"/>
  <c r="T42" i="44"/>
  <c r="V42" i="44"/>
  <c r="Y90" i="42"/>
  <c r="Y89" i="42"/>
  <c r="AV12" i="24"/>
  <c r="D93" i="27"/>
  <c r="F93" i="27" s="1"/>
  <c r="C92" i="27"/>
  <c r="G93" i="27"/>
  <c r="O103" i="31"/>
  <c r="P102" i="31"/>
  <c r="AV9" i="21"/>
  <c r="Q94" i="26"/>
  <c r="Q92" i="26"/>
  <c r="AA95" i="37"/>
  <c r="AO95" i="37" s="1"/>
  <c r="AP95" i="37" s="1"/>
  <c r="W95" i="37"/>
  <c r="AA94" i="37"/>
  <c r="AO94" i="37" s="1"/>
  <c r="AP94" i="37" s="1"/>
  <c r="W94" i="37"/>
  <c r="Y85" i="34"/>
  <c r="Y84" i="34"/>
  <c r="A109" i="35"/>
  <c r="B108" i="35"/>
  <c r="M89" i="36"/>
  <c r="I89" i="36"/>
  <c r="M90" i="36"/>
  <c r="I90" i="36"/>
  <c r="G89" i="36"/>
  <c r="A121" i="27"/>
  <c r="A117" i="27"/>
  <c r="B116" i="27"/>
  <c r="P119" i="32"/>
  <c r="O120" i="32"/>
  <c r="P120" i="32" s="1"/>
  <c r="AV5" i="17"/>
  <c r="H47" i="45"/>
  <c r="AC113" i="26"/>
  <c r="AC109" i="26"/>
  <c r="AD109" i="26" s="1"/>
  <c r="AD108" i="26"/>
  <c r="AL105" i="27"/>
  <c r="AH105" i="27"/>
  <c r="AI102" i="27"/>
  <c r="AL104" i="27"/>
  <c r="AH104" i="27"/>
  <c r="D93" i="50"/>
  <c r="F93" i="50" s="1"/>
  <c r="C92" i="50"/>
  <c r="G93" i="50"/>
  <c r="A100" i="30"/>
  <c r="B100" i="30" s="1"/>
  <c r="B99" i="30"/>
  <c r="C92" i="41"/>
  <c r="G93" i="41"/>
  <c r="D93" i="41"/>
  <c r="F93" i="41" s="1"/>
  <c r="O99" i="37"/>
  <c r="P98" i="37"/>
  <c r="Q98" i="37" s="1"/>
  <c r="AJ104" i="48"/>
  <c r="AJ105" i="48"/>
  <c r="O103" i="33"/>
  <c r="P102" i="33"/>
  <c r="Y85" i="37"/>
  <c r="Y84" i="37"/>
  <c r="B99" i="43"/>
  <c r="A100" i="43"/>
  <c r="B100" i="43" s="1"/>
  <c r="O103" i="50"/>
  <c r="P102" i="50"/>
  <c r="K89" i="28"/>
  <c r="G87" i="28"/>
  <c r="K90" i="28"/>
  <c r="G88" i="48"/>
  <c r="C87" i="48"/>
  <c r="T43" i="45"/>
  <c r="V43" i="45"/>
  <c r="AV6" i="18"/>
  <c r="C106" i="59"/>
  <c r="C107" i="59"/>
  <c r="X45" i="47"/>
  <c r="X82" i="33"/>
  <c r="B116" i="32"/>
  <c r="A117" i="32"/>
  <c r="A121" i="32"/>
  <c r="AA100" i="35"/>
  <c r="AO100" i="35" s="1"/>
  <c r="AP100" i="35" s="1"/>
  <c r="W100" i="35"/>
  <c r="AA99" i="35"/>
  <c r="AO99" i="35" s="1"/>
  <c r="AP99" i="35" s="1"/>
  <c r="W99" i="35"/>
  <c r="X82" i="31"/>
  <c r="O116" i="41"/>
  <c r="O112" i="41"/>
  <c r="P111" i="41"/>
  <c r="G87" i="49"/>
  <c r="K89" i="49"/>
  <c r="K90" i="49"/>
  <c r="AA114" i="59"/>
  <c r="AQ114" i="59" s="1"/>
  <c r="AR114" i="59" s="1"/>
  <c r="AA113" i="59"/>
  <c r="AQ113" i="59" s="1"/>
  <c r="AR113" i="59" s="1"/>
  <c r="A109" i="38"/>
  <c r="B108" i="38"/>
  <c r="P102" i="39"/>
  <c r="O103" i="39"/>
  <c r="H72" i="48"/>
  <c r="O112" i="48"/>
  <c r="P111" i="48"/>
  <c r="O116" i="48"/>
  <c r="AA95" i="43"/>
  <c r="AO95" i="43" s="1"/>
  <c r="AP95" i="43" s="1"/>
  <c r="W95" i="43"/>
  <c r="AA94" i="43"/>
  <c r="AO94" i="43" s="1"/>
  <c r="AP94" i="43" s="1"/>
  <c r="W94" i="43"/>
  <c r="G100" i="59"/>
  <c r="C99" i="59"/>
  <c r="O107" i="27"/>
  <c r="P106" i="27"/>
  <c r="O111" i="27"/>
  <c r="AJ100" i="41"/>
  <c r="AJ99" i="41"/>
  <c r="A113" i="44"/>
  <c r="B112" i="44"/>
  <c r="O99" i="49"/>
  <c r="P98" i="49"/>
  <c r="Q98" i="49" s="1"/>
  <c r="O107" i="44"/>
  <c r="P106" i="44"/>
  <c r="O111" i="44"/>
  <c r="P106" i="34"/>
  <c r="O111" i="34"/>
  <c r="O107" i="34"/>
  <c r="AA95" i="45"/>
  <c r="AO95" i="45" s="1"/>
  <c r="AP95" i="45" s="1"/>
  <c r="W95" i="45"/>
  <c r="AA94" i="45"/>
  <c r="AO94" i="45" s="1"/>
  <c r="AP94" i="45" s="1"/>
  <c r="W94" i="45"/>
  <c r="AE74" i="50"/>
  <c r="AG74" i="50" s="1"/>
  <c r="AE78" i="50"/>
  <c r="R73" i="50"/>
  <c r="R64" i="50"/>
  <c r="D74" i="50"/>
  <c r="AH4" i="50"/>
  <c r="D78" i="50"/>
  <c r="AN5" i="61"/>
  <c r="AE8" i="68" s="1"/>
  <c r="B5" i="16"/>
  <c r="C13" i="49"/>
  <c r="T14" i="49" s="1"/>
  <c r="V14" i="49" s="1"/>
  <c r="X14" i="49" s="1"/>
  <c r="AP5" i="16"/>
  <c r="Y4" i="16" s="1"/>
  <c r="X87" i="29"/>
  <c r="F62" i="47"/>
  <c r="F54" i="47"/>
  <c r="J52" i="47"/>
  <c r="A116" i="45"/>
  <c r="B111" i="45"/>
  <c r="A112" i="45"/>
  <c r="AJ104" i="49"/>
  <c r="AJ105" i="49"/>
  <c r="A116" i="36"/>
  <c r="A112" i="36"/>
  <c r="B111" i="36"/>
  <c r="AA95" i="39"/>
  <c r="AO95" i="39" s="1"/>
  <c r="AP95" i="39" s="1"/>
  <c r="W95" i="39"/>
  <c r="AA94" i="39"/>
  <c r="AO94" i="39" s="1"/>
  <c r="AP94" i="39" s="1"/>
  <c r="W94" i="39"/>
  <c r="AE65" i="49"/>
  <c r="AI64" i="49" s="1"/>
  <c r="P106" i="46"/>
  <c r="O111" i="46"/>
  <c r="O107" i="46"/>
  <c r="K89" i="50"/>
  <c r="G87" i="50"/>
  <c r="K90" i="50"/>
  <c r="G9" i="23"/>
  <c r="X82" i="43"/>
  <c r="C99" i="40"/>
  <c r="C98" i="40"/>
  <c r="O100" i="42"/>
  <c r="P100" i="42" s="1"/>
  <c r="P99" i="42"/>
  <c r="O104" i="41"/>
  <c r="P103" i="41"/>
  <c r="Q103" i="41" s="1"/>
  <c r="H62" i="48"/>
  <c r="V37" i="43"/>
  <c r="T37" i="43"/>
  <c r="AG38" i="43"/>
  <c r="P103" i="47"/>
  <c r="Q103" i="47" s="1"/>
  <c r="O104" i="47"/>
  <c r="Y85" i="49"/>
  <c r="Y84" i="49"/>
  <c r="O112" i="26"/>
  <c r="P111" i="26"/>
  <c r="O116" i="26"/>
  <c r="O95" i="49"/>
  <c r="P95" i="49" s="1"/>
  <c r="P94" i="49"/>
  <c r="C93" i="36"/>
  <c r="C94" i="36"/>
  <c r="P94" i="34"/>
  <c r="O95" i="34"/>
  <c r="P95" i="34" s="1"/>
  <c r="C99" i="44"/>
  <c r="C98" i="44"/>
  <c r="G87" i="42"/>
  <c r="K90" i="42"/>
  <c r="K89" i="42"/>
  <c r="A105" i="41"/>
  <c r="B105" i="41" s="1"/>
  <c r="B104" i="41"/>
  <c r="AR94" i="32"/>
  <c r="AC109" i="28"/>
  <c r="AD109" i="28" s="1"/>
  <c r="AD108" i="28"/>
  <c r="AC113" i="28"/>
  <c r="Q92" i="35"/>
  <c r="Q94" i="35"/>
  <c r="F69" i="50"/>
  <c r="J67" i="50"/>
  <c r="AI102" i="50"/>
  <c r="AL104" i="50"/>
  <c r="AH104" i="50"/>
  <c r="AL105" i="50"/>
  <c r="AH105" i="50"/>
  <c r="O103" i="40"/>
  <c r="P102" i="40"/>
  <c r="M94" i="42"/>
  <c r="I94" i="42"/>
  <c r="M95" i="42"/>
  <c r="I95" i="42"/>
  <c r="G94" i="42"/>
  <c r="T68" i="50"/>
  <c r="V68" i="50"/>
  <c r="AJ105" i="50"/>
  <c r="AJ104" i="50"/>
  <c r="AC130" i="59"/>
  <c r="AC125" i="59"/>
  <c r="AD125" i="59" s="1"/>
  <c r="AD124" i="59"/>
  <c r="AA100" i="38"/>
  <c r="AO100" i="38" s="1"/>
  <c r="AP100" i="38" s="1"/>
  <c r="W100" i="38"/>
  <c r="AA99" i="38"/>
  <c r="AO99" i="38" s="1"/>
  <c r="AP99" i="38" s="1"/>
  <c r="W99" i="38"/>
  <c r="X87" i="30"/>
  <c r="O99" i="46"/>
  <c r="P98" i="46"/>
  <c r="Q98" i="46" s="1"/>
  <c r="M89" i="30"/>
  <c r="I89" i="30"/>
  <c r="M90" i="30"/>
  <c r="I90" i="30"/>
  <c r="G89" i="30"/>
  <c r="AV10" i="22"/>
  <c r="AG68" i="49"/>
  <c r="Y85" i="39"/>
  <c r="Y84" i="39"/>
  <c r="B107" i="30"/>
  <c r="A108" i="30"/>
  <c r="V77" i="50"/>
  <c r="P94" i="40"/>
  <c r="O95" i="40"/>
  <c r="P95" i="40" s="1"/>
  <c r="P107" i="38"/>
  <c r="O108" i="38"/>
  <c r="K89" i="41"/>
  <c r="G87" i="41"/>
  <c r="K90" i="41"/>
  <c r="D7" i="53"/>
  <c r="H7" i="53"/>
  <c r="I7" i="53" s="1"/>
  <c r="H7" i="19"/>
  <c r="I7" i="19" s="1"/>
  <c r="D7" i="19"/>
  <c r="F7" i="19" s="1"/>
  <c r="G7" i="19" s="1"/>
  <c r="AA95" i="44"/>
  <c r="AO95" i="44" s="1"/>
  <c r="AP95" i="44" s="1"/>
  <c r="W95" i="44"/>
  <c r="AA94" i="44"/>
  <c r="AO94" i="44" s="1"/>
  <c r="AP94" i="44" s="1"/>
  <c r="W94" i="44"/>
  <c r="G4" i="18"/>
  <c r="C99" i="42"/>
  <c r="C98" i="42"/>
  <c r="AG12" i="61"/>
  <c r="X15" i="68" s="1"/>
  <c r="C6" i="42"/>
  <c r="B12" i="23"/>
  <c r="AP12" i="23"/>
  <c r="B112" i="34"/>
  <c r="A113" i="34"/>
  <c r="A113" i="33"/>
  <c r="B112" i="33"/>
  <c r="AL99" i="29"/>
  <c r="AH99" i="29"/>
  <c r="AL100" i="29"/>
  <c r="AH100" i="29"/>
  <c r="AI97" i="29"/>
  <c r="C92" i="38"/>
  <c r="G93" i="38"/>
  <c r="D93" i="38"/>
  <c r="F93" i="38" s="1"/>
  <c r="P106" i="28"/>
  <c r="O111" i="28"/>
  <c r="O107" i="28"/>
  <c r="Q89" i="33"/>
  <c r="Q87" i="33"/>
  <c r="AC109" i="33"/>
  <c r="AD109" i="33" s="1"/>
  <c r="AD108" i="33"/>
  <c r="AC113" i="33"/>
  <c r="Y90" i="38"/>
  <c r="Y89" i="38"/>
  <c r="D93" i="28"/>
  <c r="F93" i="28" s="1"/>
  <c r="C92" i="28"/>
  <c r="G93" i="28"/>
  <c r="O95" i="33"/>
  <c r="P95" i="33" s="1"/>
  <c r="P94" i="33"/>
  <c r="P99" i="47"/>
  <c r="O100" i="47"/>
  <c r="P100" i="47" s="1"/>
  <c r="B116" i="35"/>
  <c r="A121" i="35"/>
  <c r="A117" i="35"/>
  <c r="AL105" i="36"/>
  <c r="AH105" i="36"/>
  <c r="AL104" i="36"/>
  <c r="AH104" i="36"/>
  <c r="AI102" i="36"/>
  <c r="C94" i="43"/>
  <c r="C93" i="43"/>
  <c r="P102" i="49"/>
  <c r="O103" i="49"/>
  <c r="M89" i="26"/>
  <c r="I89" i="26"/>
  <c r="M90" i="26"/>
  <c r="I90" i="26"/>
  <c r="G89" i="26"/>
  <c r="P94" i="50"/>
  <c r="O95" i="50"/>
  <c r="P95" i="50" s="1"/>
  <c r="P94" i="46"/>
  <c r="O95" i="46"/>
  <c r="P95" i="46" s="1"/>
  <c r="F4" i="17"/>
  <c r="AC113" i="32"/>
  <c r="AC109" i="32"/>
  <c r="AD109" i="32" s="1"/>
  <c r="AD108" i="32"/>
  <c r="AI97" i="47"/>
  <c r="AL99" i="47"/>
  <c r="AH100" i="47"/>
  <c r="AL100" i="47"/>
  <c r="AH99" i="47"/>
  <c r="G82" i="30"/>
  <c r="K85" i="30"/>
  <c r="K84" i="30"/>
  <c r="P106" i="37"/>
  <c r="O111" i="37"/>
  <c r="O107" i="37"/>
  <c r="H8" i="20"/>
  <c r="I8" i="20" s="1"/>
  <c r="D8" i="20"/>
  <c r="F8" i="20" s="1"/>
  <c r="G8" i="20" s="1"/>
  <c r="AI112" i="40"/>
  <c r="AL114" i="40"/>
  <c r="AH114" i="40"/>
  <c r="AL115" i="40"/>
  <c r="AH115" i="40"/>
  <c r="AA100" i="26"/>
  <c r="AO100" i="26" s="1"/>
  <c r="AP100" i="26" s="1"/>
  <c r="W100" i="26"/>
  <c r="AA99" i="26"/>
  <c r="AO99" i="26" s="1"/>
  <c r="AP99" i="26" s="1"/>
  <c r="W99" i="26"/>
  <c r="K89" i="40"/>
  <c r="G87" i="40"/>
  <c r="K90" i="40"/>
  <c r="O107" i="43"/>
  <c r="P106" i="43"/>
  <c r="O111" i="43"/>
  <c r="O100" i="41"/>
  <c r="P100" i="41" s="1"/>
  <c r="P99" i="41"/>
  <c r="AA4" i="18"/>
  <c r="Y85" i="50"/>
  <c r="Y84" i="50"/>
  <c r="H57" i="47"/>
  <c r="A104" i="30"/>
  <c r="B103" i="30"/>
  <c r="AJ104" i="42"/>
  <c r="AJ105" i="42"/>
  <c r="O104" i="38"/>
  <c r="P103" i="38"/>
  <c r="Q103" i="38" s="1"/>
  <c r="AC104" i="35"/>
  <c r="AD104" i="35" s="1"/>
  <c r="AD103" i="35"/>
  <c r="AC108" i="35"/>
  <c r="B107" i="26"/>
  <c r="A108" i="26"/>
  <c r="V62" i="48"/>
  <c r="T62" i="48"/>
  <c r="V58" i="48"/>
  <c r="T58" i="48"/>
  <c r="Y6" i="53"/>
  <c r="X5" i="53" s="1"/>
  <c r="A109" i="31"/>
  <c r="B108" i="31"/>
  <c r="M89" i="39"/>
  <c r="I89" i="39"/>
  <c r="M90" i="39"/>
  <c r="I90" i="39"/>
  <c r="G89" i="39"/>
  <c r="B112" i="42"/>
  <c r="A113" i="42"/>
  <c r="P94" i="28"/>
  <c r="O95" i="28"/>
  <c r="P95" i="28" s="1"/>
  <c r="AJ125" i="46"/>
  <c r="AJ124" i="46"/>
  <c r="T34" i="44"/>
  <c r="T35" i="44" s="1"/>
  <c r="X34" i="44" s="1"/>
  <c r="AB34" i="44" s="1"/>
  <c r="V34" i="44"/>
  <c r="V35" i="44" s="1"/>
  <c r="X35" i="44" s="1"/>
  <c r="AB35" i="44" s="1"/>
  <c r="AC109" i="31"/>
  <c r="AD109" i="31" s="1"/>
  <c r="AD108" i="31"/>
  <c r="AC113" i="31"/>
  <c r="X87" i="42"/>
  <c r="AE34" i="42"/>
  <c r="R33" i="42"/>
  <c r="D38" i="42"/>
  <c r="AE38" i="42"/>
  <c r="D42" i="42"/>
  <c r="R37" i="42"/>
  <c r="C94" i="46"/>
  <c r="C93" i="46"/>
  <c r="AC109" i="34"/>
  <c r="AD109" i="34" s="1"/>
  <c r="AD108" i="34"/>
  <c r="AC113" i="34"/>
  <c r="M94" i="27"/>
  <c r="I94" i="27"/>
  <c r="M95" i="27"/>
  <c r="I95" i="27"/>
  <c r="G94" i="27"/>
  <c r="O99" i="28"/>
  <c r="P98" i="28"/>
  <c r="Q98" i="28" s="1"/>
  <c r="Q112" i="32"/>
  <c r="Q114" i="32"/>
  <c r="A105" i="28"/>
  <c r="B105" i="28" s="1"/>
  <c r="B104" i="28"/>
  <c r="AE53" i="45"/>
  <c r="R48" i="45"/>
  <c r="AE49" i="45"/>
  <c r="AG49" i="45" s="1"/>
  <c r="D49" i="45"/>
  <c r="R44" i="45"/>
  <c r="R52" i="45"/>
  <c r="D57" i="45"/>
  <c r="A100" i="45"/>
  <c r="B100" i="45" s="1"/>
  <c r="B99" i="45"/>
  <c r="P94" i="37"/>
  <c r="O95" i="37"/>
  <c r="P95" i="37" s="1"/>
  <c r="K89" i="34"/>
  <c r="G87" i="34"/>
  <c r="K90" i="34"/>
  <c r="AA100" i="29"/>
  <c r="AO100" i="29" s="1"/>
  <c r="AP100" i="29" s="1"/>
  <c r="W100" i="29"/>
  <c r="AA99" i="29"/>
  <c r="AO99" i="29" s="1"/>
  <c r="AP99" i="29" s="1"/>
  <c r="W99" i="29"/>
  <c r="C94" i="30"/>
  <c r="C93" i="30"/>
  <c r="C87" i="36"/>
  <c r="G88" i="36"/>
  <c r="AM6" i="61"/>
  <c r="AD9" i="68" s="1"/>
  <c r="AP6" i="17"/>
  <c r="C12" i="48"/>
  <c r="B6" i="17"/>
  <c r="Q87" i="50"/>
  <c r="Q89" i="50"/>
  <c r="J45" i="46"/>
  <c r="J44" i="46"/>
  <c r="M95" i="50"/>
  <c r="I95" i="50"/>
  <c r="G94" i="50"/>
  <c r="M94" i="50"/>
  <c r="I94" i="50"/>
  <c r="AL105" i="48"/>
  <c r="AH105" i="48"/>
  <c r="AI102" i="48"/>
  <c r="AL104" i="48"/>
  <c r="AH104" i="48"/>
  <c r="C99" i="28"/>
  <c r="C98" i="28"/>
  <c r="O104" i="29"/>
  <c r="P103" i="29"/>
  <c r="Q103" i="29" s="1"/>
  <c r="P103" i="30"/>
  <c r="Q103" i="30" s="1"/>
  <c r="O104" i="30"/>
  <c r="X82" i="28"/>
  <c r="G87" i="32"/>
  <c r="K89" i="32"/>
  <c r="K90" i="32"/>
  <c r="A100" i="26"/>
  <c r="B100" i="26" s="1"/>
  <c r="B99" i="26"/>
  <c r="A109" i="29"/>
  <c r="B108" i="29"/>
  <c r="Q87" i="40"/>
  <c r="Q89" i="40"/>
  <c r="P106" i="50"/>
  <c r="O111" i="50"/>
  <c r="O107" i="50"/>
  <c r="M89" i="48"/>
  <c r="I89" i="48"/>
  <c r="M90" i="48"/>
  <c r="I90" i="48"/>
  <c r="G89" i="48"/>
  <c r="V39" i="45"/>
  <c r="V40" i="45" s="1"/>
  <c r="T39" i="45"/>
  <c r="T40" i="45" s="1"/>
  <c r="X39" i="45" s="1"/>
  <c r="AG48" i="45"/>
  <c r="AL7" i="61"/>
  <c r="AC10" i="68" s="1"/>
  <c r="B7" i="18"/>
  <c r="AP7" i="18"/>
  <c r="C11" i="47"/>
  <c r="T13" i="47" s="1"/>
  <c r="V13" i="47" s="1"/>
  <c r="AC104" i="38"/>
  <c r="AD104" i="38" s="1"/>
  <c r="AD103" i="38"/>
  <c r="AC108" i="38"/>
  <c r="C87" i="45"/>
  <c r="G88" i="45"/>
  <c r="A105" i="34"/>
  <c r="B105" i="34" s="1"/>
  <c r="B104" i="34"/>
  <c r="G6" i="20"/>
  <c r="B112" i="32"/>
  <c r="A113" i="32"/>
  <c r="O100" i="35"/>
  <c r="P100" i="35" s="1"/>
  <c r="P99" i="35"/>
  <c r="A109" i="42"/>
  <c r="B108" i="42"/>
  <c r="AJ105" i="39"/>
  <c r="AJ104" i="39"/>
  <c r="O114" i="59"/>
  <c r="P114" i="59" s="1"/>
  <c r="P113" i="59"/>
  <c r="Y11" i="24"/>
  <c r="P106" i="39"/>
  <c r="O111" i="39"/>
  <c r="O107" i="39"/>
  <c r="O104" i="35"/>
  <c r="P103" i="35"/>
  <c r="Q103" i="35" s="1"/>
  <c r="G88" i="43"/>
  <c r="C87" i="43"/>
  <c r="G82" i="43"/>
  <c r="K84" i="43"/>
  <c r="K85" i="43"/>
  <c r="F8" i="21"/>
  <c r="M102" i="59"/>
  <c r="G101" i="59"/>
  <c r="M101" i="59"/>
  <c r="B112" i="50"/>
  <c r="A113" i="50"/>
  <c r="AL99" i="41"/>
  <c r="AH99" i="41"/>
  <c r="AL100" i="41"/>
  <c r="AH100" i="41"/>
  <c r="AI97" i="41"/>
  <c r="A121" i="44"/>
  <c r="A117" i="44"/>
  <c r="B116" i="44"/>
  <c r="P94" i="45"/>
  <c r="O95" i="45"/>
  <c r="P95" i="45" s="1"/>
  <c r="AV4" i="16"/>
  <c r="AG45" i="45"/>
  <c r="Y90" i="29"/>
  <c r="Y89" i="29"/>
  <c r="Q94" i="36"/>
  <c r="Q92" i="36"/>
  <c r="V57" i="47"/>
  <c r="T57" i="47"/>
  <c r="Q89" i="43"/>
  <c r="Q87" i="43"/>
  <c r="D93" i="33"/>
  <c r="F93" i="33" s="1"/>
  <c r="C92" i="33"/>
  <c r="G93" i="33"/>
  <c r="AL105" i="49"/>
  <c r="AH105" i="49"/>
  <c r="AL104" i="49"/>
  <c r="AH104" i="49"/>
  <c r="AI102" i="49"/>
  <c r="AG65" i="49"/>
  <c r="P98" i="43"/>
  <c r="Q98" i="43" s="1"/>
  <c r="O99" i="43"/>
  <c r="O103" i="45"/>
  <c r="P102" i="45"/>
  <c r="C94" i="39"/>
  <c r="C93" i="39"/>
  <c r="C99" i="27"/>
  <c r="C98" i="27"/>
  <c r="G82" i="39"/>
  <c r="K85" i="39"/>
  <c r="K84" i="39"/>
  <c r="Y85" i="43"/>
  <c r="Y84" i="43"/>
  <c r="A105" i="50"/>
  <c r="B105" i="50" s="1"/>
  <c r="B104" i="50"/>
  <c r="C87" i="46"/>
  <c r="G88" i="46"/>
  <c r="O100" i="36"/>
  <c r="P100" i="36" s="1"/>
  <c r="P99" i="36"/>
  <c r="AP89" i="37"/>
  <c r="AA100" i="42"/>
  <c r="AO100" i="42" s="1"/>
  <c r="AP100" i="42" s="1"/>
  <c r="W100" i="42"/>
  <c r="AA99" i="42"/>
  <c r="AO99" i="42" s="1"/>
  <c r="AP99" i="42" s="1"/>
  <c r="W99" i="42"/>
  <c r="F6" i="19"/>
  <c r="AC109" i="45"/>
  <c r="AD109" i="45" s="1"/>
  <c r="AD108" i="45"/>
  <c r="AC113" i="45"/>
  <c r="Q87" i="45"/>
  <c r="Q89" i="45"/>
  <c r="AC109" i="37"/>
  <c r="AD109" i="37" s="1"/>
  <c r="AD108" i="37"/>
  <c r="AC113" i="37"/>
  <c r="AE60" i="48"/>
  <c r="AI59" i="48" s="1"/>
  <c r="F42" i="43"/>
  <c r="AG34" i="43"/>
  <c r="AG35" i="43" s="1"/>
  <c r="AE35" i="43"/>
  <c r="AI34" i="43" s="1"/>
  <c r="AM34" i="43" s="1"/>
  <c r="AS34" i="43" s="1"/>
  <c r="P98" i="39"/>
  <c r="Q98" i="39" s="1"/>
  <c r="O99" i="39"/>
  <c r="X82" i="49"/>
  <c r="P98" i="31"/>
  <c r="Q98" i="31" s="1"/>
  <c r="O99" i="31"/>
  <c r="C98" i="29"/>
  <c r="C99" i="29"/>
  <c r="AG70" i="50"/>
  <c r="V44" i="46"/>
  <c r="V45" i="46" s="1"/>
  <c r="T44" i="46"/>
  <c r="T45" i="46" s="1"/>
  <c r="X44" i="46" s="1"/>
  <c r="H77" i="49"/>
  <c r="X7" i="21"/>
  <c r="AI50" i="46" l="1"/>
  <c r="J16" i="48"/>
  <c r="J28" i="48"/>
  <c r="L28" i="48" s="1"/>
  <c r="N28" i="48" s="1"/>
  <c r="J27" i="48"/>
  <c r="AR50" i="49"/>
  <c r="Z50" i="48"/>
  <c r="AB50" i="48" s="1"/>
  <c r="AK45" i="48"/>
  <c r="AM45" i="48" s="1"/>
  <c r="AS45" i="48" s="1"/>
  <c r="J109" i="66"/>
  <c r="B109" i="65" s="1"/>
  <c r="I109" i="66"/>
  <c r="L110" i="66"/>
  <c r="J110" i="66" s="1"/>
  <c r="B110" i="65" s="1"/>
  <c r="Z44" i="48"/>
  <c r="AB44" i="48" s="1"/>
  <c r="Z49" i="48"/>
  <c r="AB49" i="48" s="1"/>
  <c r="L50" i="48"/>
  <c r="N50" i="48" s="1"/>
  <c r="AQ50" i="48" s="1"/>
  <c r="Z45" i="48"/>
  <c r="AB45" i="48" s="1"/>
  <c r="L54" i="48"/>
  <c r="N54" i="48" s="1"/>
  <c r="AQ54" i="48" s="1"/>
  <c r="T50" i="46"/>
  <c r="X49" i="46" s="1"/>
  <c r="X6" i="20"/>
  <c r="AG70" i="49"/>
  <c r="L49" i="48"/>
  <c r="N49" i="48" s="1"/>
  <c r="AQ49" i="48" s="1"/>
  <c r="X50" i="47"/>
  <c r="D24" i="66"/>
  <c r="L26" i="66"/>
  <c r="D110" i="65"/>
  <c r="B23" i="66"/>
  <c r="A23" i="66"/>
  <c r="D46" i="66"/>
  <c r="L50" i="66"/>
  <c r="I110" i="66"/>
  <c r="D49" i="65"/>
  <c r="A49" i="65" s="1"/>
  <c r="J49" i="66"/>
  <c r="B49" i="65" s="1"/>
  <c r="I49" i="66"/>
  <c r="A45" i="66"/>
  <c r="B45" i="66"/>
  <c r="J25" i="66"/>
  <c r="B25" i="65" s="1"/>
  <c r="I25" i="66"/>
  <c r="D25" i="65"/>
  <c r="D65" i="66"/>
  <c r="L70" i="66"/>
  <c r="D26" i="66"/>
  <c r="L28" i="66"/>
  <c r="I69" i="66"/>
  <c r="J69" i="66"/>
  <c r="B69" i="65" s="1"/>
  <c r="D69" i="65"/>
  <c r="B64" i="66"/>
  <c r="A64" i="66"/>
  <c r="T20" i="48"/>
  <c r="T14" i="48"/>
  <c r="V14" i="48" s="1"/>
  <c r="D13" i="66"/>
  <c r="L14" i="66"/>
  <c r="T20" i="49"/>
  <c r="V20" i="49" s="1"/>
  <c r="D33" i="65"/>
  <c r="A33" i="65" s="1"/>
  <c r="J33" i="66"/>
  <c r="B33" i="65" s="1"/>
  <c r="I33" i="66"/>
  <c r="B12" i="66"/>
  <c r="A12" i="66"/>
  <c r="D93" i="65"/>
  <c r="I93" i="66"/>
  <c r="J93" i="66"/>
  <c r="B93" i="65" s="1"/>
  <c r="D89" i="66"/>
  <c r="L94" i="66"/>
  <c r="D32" i="66"/>
  <c r="L34" i="66"/>
  <c r="V4" i="50"/>
  <c r="AH3" i="48"/>
  <c r="AJ3" i="48" s="1"/>
  <c r="A31" i="66"/>
  <c r="B31" i="66"/>
  <c r="A88" i="66"/>
  <c r="B88" i="66"/>
  <c r="X13" i="47"/>
  <c r="D51" i="66"/>
  <c r="L54" i="66"/>
  <c r="AH3" i="49"/>
  <c r="X11" i="25"/>
  <c r="X13" i="49"/>
  <c r="X20" i="50"/>
  <c r="V20" i="50"/>
  <c r="D13" i="65"/>
  <c r="I13" i="66"/>
  <c r="J13" i="66"/>
  <c r="B13" i="65" s="1"/>
  <c r="AG34" i="59"/>
  <c r="D39" i="59"/>
  <c r="F39" i="59" s="1"/>
  <c r="H39" i="59" s="1"/>
  <c r="R33" i="59"/>
  <c r="X2" i="49"/>
  <c r="V2" i="49"/>
  <c r="B50" i="66"/>
  <c r="A50" i="66"/>
  <c r="CK102" i="61"/>
  <c r="CF107" i="61"/>
  <c r="CN99" i="61"/>
  <c r="CH105" i="61"/>
  <c r="CE108" i="61"/>
  <c r="J23" i="48"/>
  <c r="N22" i="48" s="1"/>
  <c r="L22" i="48"/>
  <c r="L23" i="48" s="1"/>
  <c r="CM100" i="61"/>
  <c r="CI104" i="61"/>
  <c r="X8" i="48"/>
  <c r="V8" i="47"/>
  <c r="T2" i="47"/>
  <c r="J22" i="47"/>
  <c r="J15" i="47"/>
  <c r="CL101" i="61"/>
  <c r="CJ103" i="61"/>
  <c r="X2" i="48"/>
  <c r="V2" i="48"/>
  <c r="D77" i="48"/>
  <c r="V26" i="48"/>
  <c r="T3" i="48"/>
  <c r="V9" i="48"/>
  <c r="X9" i="48" s="1"/>
  <c r="CG106" i="61"/>
  <c r="CO98" i="61"/>
  <c r="A12" i="65"/>
  <c r="A25" i="65"/>
  <c r="L15" i="48"/>
  <c r="N15" i="48"/>
  <c r="P14" i="48"/>
  <c r="V72" i="49"/>
  <c r="AR40" i="47"/>
  <c r="D87" i="50"/>
  <c r="AH8" i="50"/>
  <c r="AJ3" i="49"/>
  <c r="N15" i="49"/>
  <c r="N17" i="49" s="1"/>
  <c r="P14" i="49"/>
  <c r="L15" i="49"/>
  <c r="L17" i="49" s="1"/>
  <c r="V26" i="49"/>
  <c r="T3" i="49"/>
  <c r="V9" i="49"/>
  <c r="X9" i="49" s="1"/>
  <c r="X8" i="49"/>
  <c r="J23" i="49"/>
  <c r="N22" i="49" s="1"/>
  <c r="L22" i="49"/>
  <c r="L23" i="49" s="1"/>
  <c r="AI55" i="47"/>
  <c r="AF12" i="25"/>
  <c r="R32" i="40"/>
  <c r="AE33" i="40"/>
  <c r="AG33" i="40" s="1"/>
  <c r="D37" i="40"/>
  <c r="F37" i="40" s="1"/>
  <c r="H37" i="40" s="1"/>
  <c r="AV14" i="25"/>
  <c r="Y13" i="25"/>
  <c r="V32" i="41"/>
  <c r="T32" i="41"/>
  <c r="H14" i="25"/>
  <c r="I14" i="25" s="1"/>
  <c r="D14" i="25"/>
  <c r="F14" i="25" s="1"/>
  <c r="AE15" i="61"/>
  <c r="V18" i="68" s="1"/>
  <c r="AP15" i="25"/>
  <c r="C4" i="39"/>
  <c r="B15" i="25"/>
  <c r="J50" i="46"/>
  <c r="V50" i="46"/>
  <c r="Y8" i="20"/>
  <c r="X7" i="20" s="1"/>
  <c r="AI40" i="44"/>
  <c r="R69" i="50"/>
  <c r="J49" i="46"/>
  <c r="R82" i="50"/>
  <c r="AE70" i="49"/>
  <c r="AI69" i="49" s="1"/>
  <c r="J37" i="43"/>
  <c r="J39" i="44"/>
  <c r="N39" i="44" s="1"/>
  <c r="AQ39" i="44" s="1"/>
  <c r="J40" i="44"/>
  <c r="N40" i="44" s="1"/>
  <c r="AQ40" i="44" s="1"/>
  <c r="N55" i="48"/>
  <c r="AQ55" i="48" s="1"/>
  <c r="D68" i="47"/>
  <c r="F68" i="47" s="1"/>
  <c r="R67" i="47"/>
  <c r="H54" i="47"/>
  <c r="H55" i="47" s="1"/>
  <c r="J55" i="47" s="1"/>
  <c r="F55" i="47"/>
  <c r="J54" i="47" s="1"/>
  <c r="D83" i="50"/>
  <c r="F83" i="50" s="1"/>
  <c r="H83" i="50" s="1"/>
  <c r="R72" i="48"/>
  <c r="V72" i="48" s="1"/>
  <c r="H53" i="45"/>
  <c r="V67" i="48"/>
  <c r="T67" i="48"/>
  <c r="D73" i="48"/>
  <c r="H68" i="48"/>
  <c r="H67" i="46"/>
  <c r="H52" i="43"/>
  <c r="R47" i="42"/>
  <c r="D52" i="42"/>
  <c r="F52" i="42" s="1"/>
  <c r="R77" i="49"/>
  <c r="D82" i="49"/>
  <c r="F82" i="49" s="1"/>
  <c r="H82" i="49" s="1"/>
  <c r="D72" i="47"/>
  <c r="F72" i="47" s="1"/>
  <c r="V49" i="45"/>
  <c r="T49" i="45"/>
  <c r="T47" i="43"/>
  <c r="V47" i="43"/>
  <c r="AR49" i="49"/>
  <c r="X4" i="18"/>
  <c r="AI65" i="49"/>
  <c r="AR44" i="49"/>
  <c r="AT44" i="49" s="1"/>
  <c r="D7" i="49" s="1"/>
  <c r="AK49" i="49" s="1"/>
  <c r="AM49" i="49" s="1"/>
  <c r="AS49" i="49" s="1"/>
  <c r="AR45" i="49"/>
  <c r="AT45" i="49" s="1"/>
  <c r="E7" i="49" s="1"/>
  <c r="AK50" i="49" s="1"/>
  <c r="AM50" i="49" s="1"/>
  <c r="AS50" i="49" s="1"/>
  <c r="H69" i="50"/>
  <c r="H70" i="50" s="1"/>
  <c r="J70" i="50" s="1"/>
  <c r="F70" i="50"/>
  <c r="J69" i="50" s="1"/>
  <c r="AE40" i="43"/>
  <c r="AI39" i="43" s="1"/>
  <c r="F65" i="48"/>
  <c r="AE65" i="48"/>
  <c r="AI64" i="48" s="1"/>
  <c r="J62" i="48"/>
  <c r="AG65" i="48"/>
  <c r="AG40" i="43"/>
  <c r="H65" i="48"/>
  <c r="X60" i="49"/>
  <c r="AI70" i="50"/>
  <c r="AI45" i="45"/>
  <c r="H93" i="35"/>
  <c r="AG50" i="45"/>
  <c r="H93" i="50"/>
  <c r="AE50" i="45"/>
  <c r="AI49" i="45" s="1"/>
  <c r="H93" i="41"/>
  <c r="H93" i="31"/>
  <c r="H93" i="33"/>
  <c r="H93" i="42"/>
  <c r="H93" i="29"/>
  <c r="X40" i="45"/>
  <c r="H93" i="27"/>
  <c r="H93" i="47"/>
  <c r="H42" i="43"/>
  <c r="M94" i="39"/>
  <c r="I94" i="39"/>
  <c r="M95" i="39"/>
  <c r="I95" i="39"/>
  <c r="G94" i="39"/>
  <c r="AA11" i="24"/>
  <c r="AG11" i="24" s="1"/>
  <c r="C104" i="34"/>
  <c r="C103" i="34"/>
  <c r="K89" i="45"/>
  <c r="G87" i="45"/>
  <c r="K90" i="45"/>
  <c r="AV6" i="17"/>
  <c r="Q92" i="37"/>
  <c r="Q94" i="37"/>
  <c r="AG34" i="42"/>
  <c r="AG35" i="42" s="1"/>
  <c r="AE35" i="42"/>
  <c r="AI34" i="42" s="1"/>
  <c r="AM34" i="42" s="1"/>
  <c r="AS34" i="42" s="1"/>
  <c r="AL110" i="33"/>
  <c r="AH110" i="33"/>
  <c r="AI107" i="33"/>
  <c r="AL109" i="33"/>
  <c r="AH109" i="33"/>
  <c r="M99" i="42"/>
  <c r="I99" i="42"/>
  <c r="M100" i="42"/>
  <c r="I100" i="42"/>
  <c r="G99" i="42"/>
  <c r="F7" i="53"/>
  <c r="C103" i="41"/>
  <c r="C104" i="41"/>
  <c r="O112" i="27"/>
  <c r="P111" i="27"/>
  <c r="O116" i="27"/>
  <c r="O100" i="31"/>
  <c r="P100" i="31" s="1"/>
  <c r="P99" i="31"/>
  <c r="X87" i="45"/>
  <c r="AA100" i="43"/>
  <c r="AO100" i="43" s="1"/>
  <c r="AP100" i="43" s="1"/>
  <c r="W100" i="43"/>
  <c r="AA99" i="43"/>
  <c r="AO99" i="43" s="1"/>
  <c r="AP99" i="43" s="1"/>
  <c r="W99" i="43"/>
  <c r="Q92" i="45"/>
  <c r="Q94" i="45"/>
  <c r="A118" i="44"/>
  <c r="B117" i="44"/>
  <c r="G8" i="21"/>
  <c r="P111" i="39"/>
  <c r="O116" i="39"/>
  <c r="O112" i="39"/>
  <c r="AA100" i="31"/>
  <c r="AO100" i="31" s="1"/>
  <c r="AP100" i="31" s="1"/>
  <c r="W100" i="31"/>
  <c r="AA99" i="31"/>
  <c r="AO99" i="31" s="1"/>
  <c r="AP99" i="31" s="1"/>
  <c r="W99" i="31"/>
  <c r="AI35" i="43"/>
  <c r="AM35" i="43" s="1"/>
  <c r="AS35" i="43" s="1"/>
  <c r="AC114" i="37"/>
  <c r="AD114" i="37" s="1"/>
  <c r="AD113" i="37"/>
  <c r="AC118" i="37"/>
  <c r="Y90" i="45"/>
  <c r="Y89" i="45"/>
  <c r="AC114" i="45"/>
  <c r="AD114" i="45" s="1"/>
  <c r="AD113" i="45"/>
  <c r="AC118" i="45"/>
  <c r="C97" i="27"/>
  <c r="G98" i="27"/>
  <c r="G93" i="39"/>
  <c r="D93" i="39"/>
  <c r="F93" i="39" s="1"/>
  <c r="C92" i="39"/>
  <c r="X87" i="43"/>
  <c r="H82" i="50"/>
  <c r="A126" i="44"/>
  <c r="A122" i="44"/>
  <c r="B121" i="44"/>
  <c r="AA105" i="35"/>
  <c r="AO105" i="35" s="1"/>
  <c r="AP105" i="35" s="1"/>
  <c r="W105" i="35"/>
  <c r="AA104" i="35"/>
  <c r="AO104" i="35" s="1"/>
  <c r="AP104" i="35" s="1"/>
  <c r="W104" i="35"/>
  <c r="AJ105" i="38"/>
  <c r="AJ104" i="38"/>
  <c r="AV7" i="18"/>
  <c r="O105" i="30"/>
  <c r="P105" i="30" s="1"/>
  <c r="P104" i="30"/>
  <c r="AR34" i="44"/>
  <c r="AT34" i="44" s="1"/>
  <c r="D5" i="44" s="1"/>
  <c r="AR35" i="44"/>
  <c r="AT35" i="44" s="1"/>
  <c r="E5" i="44" s="1"/>
  <c r="Y90" i="50"/>
  <c r="Y89" i="50"/>
  <c r="AE69" i="48"/>
  <c r="AG69" i="48" s="1"/>
  <c r="R68" i="48"/>
  <c r="AE73" i="48"/>
  <c r="D69" i="48"/>
  <c r="F57" i="45"/>
  <c r="C104" i="28"/>
  <c r="C103" i="28"/>
  <c r="P99" i="28"/>
  <c r="O100" i="28"/>
  <c r="P100" i="28" s="1"/>
  <c r="AJ110" i="34"/>
  <c r="AJ109" i="34"/>
  <c r="V37" i="42"/>
  <c r="T37" i="42"/>
  <c r="T33" i="42"/>
  <c r="V33" i="42"/>
  <c r="AC114" i="31"/>
  <c r="AD114" i="31" s="1"/>
  <c r="AD113" i="31"/>
  <c r="AC118" i="31"/>
  <c r="A114" i="42"/>
  <c r="B113" i="42"/>
  <c r="AA105" i="38"/>
  <c r="AO105" i="38" s="1"/>
  <c r="AP105" i="38" s="1"/>
  <c r="W105" i="38"/>
  <c r="AA104" i="38"/>
  <c r="AO104" i="38" s="1"/>
  <c r="AP104" i="38" s="1"/>
  <c r="W104" i="38"/>
  <c r="O108" i="37"/>
  <c r="P107" i="37"/>
  <c r="AJ110" i="32"/>
  <c r="AJ109" i="32"/>
  <c r="Q92" i="50"/>
  <c r="Q94" i="50"/>
  <c r="B121" i="35"/>
  <c r="A126" i="35"/>
  <c r="A122" i="35"/>
  <c r="Q94" i="33"/>
  <c r="Q92" i="33"/>
  <c r="H93" i="28"/>
  <c r="AJ109" i="33"/>
  <c r="AJ110" i="33"/>
  <c r="P111" i="28"/>
  <c r="O116" i="28"/>
  <c r="O112" i="28"/>
  <c r="K94" i="38"/>
  <c r="L95" i="38"/>
  <c r="G92" i="38"/>
  <c r="K95" i="38"/>
  <c r="L94" i="38"/>
  <c r="D92" i="38"/>
  <c r="AV12" i="23"/>
  <c r="G98" i="42"/>
  <c r="C97" i="42"/>
  <c r="O109" i="38"/>
  <c r="P108" i="38"/>
  <c r="Q108" i="38" s="1"/>
  <c r="AA10" i="22"/>
  <c r="AG10" i="22" s="1"/>
  <c r="AD130" i="59"/>
  <c r="AC136" i="59"/>
  <c r="AC131" i="59"/>
  <c r="AD131" i="59" s="1"/>
  <c r="X92" i="35"/>
  <c r="R94" i="35"/>
  <c r="AI107" i="28"/>
  <c r="AL109" i="28"/>
  <c r="AH109" i="28"/>
  <c r="AL110" i="28"/>
  <c r="AH110" i="28"/>
  <c r="C97" i="44"/>
  <c r="G98" i="44"/>
  <c r="W105" i="47"/>
  <c r="AA104" i="47"/>
  <c r="AO104" i="47" s="1"/>
  <c r="AP104" i="47" s="1"/>
  <c r="AA105" i="47"/>
  <c r="AO105" i="47" s="1"/>
  <c r="AP105" i="47" s="1"/>
  <c r="W104" i="47"/>
  <c r="O105" i="41"/>
  <c r="P105" i="41" s="1"/>
  <c r="P104" i="41"/>
  <c r="M100" i="40"/>
  <c r="I100" i="40"/>
  <c r="G99" i="40"/>
  <c r="M99" i="40"/>
  <c r="I99" i="40"/>
  <c r="A121" i="36"/>
  <c r="A117" i="36"/>
  <c r="B116" i="36"/>
  <c r="AV5" i="16"/>
  <c r="F78" i="50"/>
  <c r="T73" i="50"/>
  <c r="V73" i="50"/>
  <c r="AA100" i="49"/>
  <c r="AO100" i="49" s="1"/>
  <c r="W100" i="49"/>
  <c r="AA99" i="49"/>
  <c r="AO99" i="49" s="1"/>
  <c r="W99" i="49"/>
  <c r="O117" i="48"/>
  <c r="P116" i="48"/>
  <c r="O121" i="48"/>
  <c r="O104" i="39"/>
  <c r="P103" i="39"/>
  <c r="Q103" i="39" s="1"/>
  <c r="P112" i="41"/>
  <c r="O113" i="41"/>
  <c r="G87" i="48"/>
  <c r="K90" i="48"/>
  <c r="K89" i="48"/>
  <c r="A126" i="27"/>
  <c r="A122" i="27"/>
  <c r="B121" i="27"/>
  <c r="A110" i="35"/>
  <c r="B110" i="35" s="1"/>
  <c r="B109" i="35"/>
  <c r="R94" i="26"/>
  <c r="X92" i="26"/>
  <c r="K95" i="27"/>
  <c r="L94" i="27"/>
  <c r="D92" i="27"/>
  <c r="K94" i="27"/>
  <c r="L95" i="27"/>
  <c r="G92" i="27"/>
  <c r="X55" i="48"/>
  <c r="B117" i="29"/>
  <c r="A118" i="29"/>
  <c r="O104" i="37"/>
  <c r="P103" i="37"/>
  <c r="Q103" i="37" s="1"/>
  <c r="G87" i="26"/>
  <c r="K90" i="26"/>
  <c r="K89" i="26"/>
  <c r="O112" i="49"/>
  <c r="O116" i="49"/>
  <c r="P111" i="49"/>
  <c r="A109" i="46"/>
  <c r="B108" i="46"/>
  <c r="Y90" i="31"/>
  <c r="Y89" i="31"/>
  <c r="T54" i="47"/>
  <c r="T55" i="47" s="1"/>
  <c r="X54" i="47" s="1"/>
  <c r="V54" i="47"/>
  <c r="V55" i="47" s="1"/>
  <c r="V58" i="47"/>
  <c r="T58" i="47"/>
  <c r="B116" i="43"/>
  <c r="A121" i="43"/>
  <c r="A117" i="43"/>
  <c r="AE44" i="43"/>
  <c r="AG44" i="43" s="1"/>
  <c r="AE48" i="43"/>
  <c r="R43" i="43"/>
  <c r="D44" i="43"/>
  <c r="D48" i="43"/>
  <c r="F48" i="43" s="1"/>
  <c r="H48" i="43" s="1"/>
  <c r="G87" i="30"/>
  <c r="K90" i="30"/>
  <c r="K89" i="30"/>
  <c r="P136" i="32"/>
  <c r="O141" i="32"/>
  <c r="O137" i="32"/>
  <c r="AJ109" i="30"/>
  <c r="AJ110" i="30"/>
  <c r="O117" i="30"/>
  <c r="P116" i="30"/>
  <c r="O121" i="30"/>
  <c r="AA105" i="36"/>
  <c r="AO105" i="36" s="1"/>
  <c r="AP105" i="36" s="1"/>
  <c r="W105" i="36"/>
  <c r="AA104" i="36"/>
  <c r="AO104" i="36" s="1"/>
  <c r="AP104" i="36" s="1"/>
  <c r="W104" i="36"/>
  <c r="B117" i="40"/>
  <c r="A118" i="40"/>
  <c r="AJ110" i="50"/>
  <c r="AJ109" i="50"/>
  <c r="L95" i="42"/>
  <c r="G92" i="42"/>
  <c r="K95" i="42"/>
  <c r="L94" i="42"/>
  <c r="D92" i="42"/>
  <c r="K94" i="42"/>
  <c r="C103" i="49"/>
  <c r="C104" i="49"/>
  <c r="Z95" i="42"/>
  <c r="Z94" i="42"/>
  <c r="R92" i="42"/>
  <c r="Y95" i="42"/>
  <c r="Y94" i="42"/>
  <c r="A114" i="31"/>
  <c r="B113" i="31"/>
  <c r="AV8" i="53"/>
  <c r="H93" i="44"/>
  <c r="F44" i="44"/>
  <c r="J42" i="44"/>
  <c r="Q99" i="48"/>
  <c r="Q97" i="48"/>
  <c r="M100" i="38"/>
  <c r="I100" i="38"/>
  <c r="G99" i="38"/>
  <c r="M99" i="38"/>
  <c r="I99" i="38"/>
  <c r="H38" i="43"/>
  <c r="H40" i="43" s="1"/>
  <c r="F40" i="43"/>
  <c r="B117" i="47"/>
  <c r="A118" i="47"/>
  <c r="C97" i="31"/>
  <c r="G98" i="31"/>
  <c r="AJ109" i="49"/>
  <c r="AJ110" i="49"/>
  <c r="AE60" i="47"/>
  <c r="AI59" i="47" s="1"/>
  <c r="B121" i="28"/>
  <c r="A126" i="28"/>
  <c r="A122" i="28"/>
  <c r="AP4" i="61"/>
  <c r="AG7" i="68" s="1"/>
  <c r="AQ3" i="61"/>
  <c r="AH6" i="68" s="1"/>
  <c r="C15" i="50"/>
  <c r="R87" i="50" s="1"/>
  <c r="B4" i="14"/>
  <c r="AP4" i="14"/>
  <c r="AC109" i="41"/>
  <c r="AD109" i="41" s="1"/>
  <c r="AD108" i="41"/>
  <c r="AC113" i="41"/>
  <c r="C97" i="41"/>
  <c r="G98" i="41"/>
  <c r="Y90" i="28"/>
  <c r="Y89" i="28"/>
  <c r="AC118" i="39"/>
  <c r="AC114" i="39"/>
  <c r="AD114" i="39" s="1"/>
  <c r="AD113" i="39"/>
  <c r="A105" i="26"/>
  <c r="B105" i="26" s="1"/>
  <c r="B104" i="26"/>
  <c r="F6" i="18"/>
  <c r="Y95" i="41"/>
  <c r="Y94" i="41"/>
  <c r="Z95" i="41"/>
  <c r="Z94" i="41"/>
  <c r="R92" i="41"/>
  <c r="C112" i="59"/>
  <c r="C113" i="59"/>
  <c r="H10" i="21"/>
  <c r="I10" i="21" s="1"/>
  <c r="D10" i="21"/>
  <c r="M94" i="26"/>
  <c r="I94" i="26"/>
  <c r="M95" i="26"/>
  <c r="I95" i="26"/>
  <c r="G94" i="26"/>
  <c r="P112" i="35"/>
  <c r="O113" i="35"/>
  <c r="B117" i="38"/>
  <c r="A118" i="38"/>
  <c r="AE34" i="41"/>
  <c r="D38" i="41"/>
  <c r="AE38" i="41"/>
  <c r="R33" i="41"/>
  <c r="R37" i="41"/>
  <c r="D42" i="41"/>
  <c r="A118" i="49"/>
  <c r="B117" i="49"/>
  <c r="B104" i="43"/>
  <c r="A105" i="43"/>
  <c r="B105" i="43" s="1"/>
  <c r="Q99" i="30"/>
  <c r="Q97" i="30"/>
  <c r="Y90" i="27"/>
  <c r="Y89" i="27"/>
  <c r="B116" i="37"/>
  <c r="A121" i="37"/>
  <c r="A117" i="37"/>
  <c r="P124" i="32"/>
  <c r="O125" i="32"/>
  <c r="P125" i="32" s="1"/>
  <c r="AE54" i="45"/>
  <c r="AG54" i="45" s="1"/>
  <c r="AE58" i="45"/>
  <c r="R53" i="45"/>
  <c r="D54" i="45"/>
  <c r="D58" i="45"/>
  <c r="F58" i="45" s="1"/>
  <c r="H58" i="45" s="1"/>
  <c r="R57" i="45"/>
  <c r="D62" i="45"/>
  <c r="B116" i="48"/>
  <c r="A121" i="48"/>
  <c r="A117" i="48"/>
  <c r="AA100" i="44"/>
  <c r="AO100" i="44" s="1"/>
  <c r="AP100" i="44" s="1"/>
  <c r="W100" i="44"/>
  <c r="AA99" i="44"/>
  <c r="AO99" i="44" s="1"/>
  <c r="AP99" i="44" s="1"/>
  <c r="W99" i="44"/>
  <c r="O105" i="48"/>
  <c r="P105" i="48" s="1"/>
  <c r="P104" i="48"/>
  <c r="P108" i="47"/>
  <c r="Q108" i="47" s="1"/>
  <c r="O109" i="47"/>
  <c r="R94" i="30"/>
  <c r="X92" i="30"/>
  <c r="Y7" i="19"/>
  <c r="X6" i="19" s="1"/>
  <c r="C99" i="39"/>
  <c r="C98" i="39"/>
  <c r="Z108" i="59"/>
  <c r="W107" i="59"/>
  <c r="Y108" i="59"/>
  <c r="Z107" i="59"/>
  <c r="Y107" i="59"/>
  <c r="W108" i="59"/>
  <c r="R105" i="59"/>
  <c r="X10" i="24"/>
  <c r="P99" i="45"/>
  <c r="O100" i="45"/>
  <c r="P100" i="45" s="1"/>
  <c r="A105" i="36"/>
  <c r="B105" i="36" s="1"/>
  <c r="B104" i="36"/>
  <c r="G98" i="32"/>
  <c r="C97" i="32"/>
  <c r="AG75" i="50"/>
  <c r="A110" i="50"/>
  <c r="B110" i="50" s="1"/>
  <c r="B109" i="50"/>
  <c r="AG5" i="53"/>
  <c r="F62" i="46"/>
  <c r="T53" i="46"/>
  <c r="V53" i="46"/>
  <c r="AI102" i="47"/>
  <c r="AL104" i="47"/>
  <c r="AH105" i="47"/>
  <c r="AL105" i="47"/>
  <c r="AH104" i="47"/>
  <c r="B117" i="34"/>
  <c r="A118" i="34"/>
  <c r="Z95" i="47"/>
  <c r="Z94" i="47"/>
  <c r="R92" i="47"/>
  <c r="Y94" i="47"/>
  <c r="Y95" i="47"/>
  <c r="Q97" i="38"/>
  <c r="Q99" i="38"/>
  <c r="AG55" i="46"/>
  <c r="H93" i="49"/>
  <c r="A114" i="47"/>
  <c r="B113" i="47"/>
  <c r="Y90" i="34"/>
  <c r="Y89" i="34"/>
  <c r="Y90" i="39"/>
  <c r="Y89" i="39"/>
  <c r="A114" i="28"/>
  <c r="B113" i="28"/>
  <c r="AG8" i="22"/>
  <c r="X92" i="38"/>
  <c r="R94" i="38"/>
  <c r="O105" i="42"/>
  <c r="P105" i="42" s="1"/>
  <c r="P104" i="42"/>
  <c r="Y90" i="46"/>
  <c r="Y89" i="46"/>
  <c r="H93" i="32"/>
  <c r="A110" i="49"/>
  <c r="B110" i="49" s="1"/>
  <c r="B109" i="49"/>
  <c r="M99" i="49"/>
  <c r="I99" i="49"/>
  <c r="M100" i="49"/>
  <c r="I100" i="49"/>
  <c r="G99" i="49"/>
  <c r="AC118" i="48"/>
  <c r="AC114" i="48"/>
  <c r="AD114" i="48" s="1"/>
  <c r="AD113" i="48"/>
  <c r="A105" i="48"/>
  <c r="B105" i="48" s="1"/>
  <c r="B104" i="48"/>
  <c r="V68" i="49"/>
  <c r="T68" i="49"/>
  <c r="M100" i="50"/>
  <c r="I100" i="50"/>
  <c r="G99" i="50"/>
  <c r="M99" i="50"/>
  <c r="I99" i="50"/>
  <c r="O109" i="35"/>
  <c r="P108" i="35"/>
  <c r="Q108" i="35" s="1"/>
  <c r="M95" i="45"/>
  <c r="I95" i="45"/>
  <c r="G94" i="45"/>
  <c r="M94" i="45"/>
  <c r="I94" i="45"/>
  <c r="AG45" i="44"/>
  <c r="O113" i="47"/>
  <c r="P112" i="47"/>
  <c r="A126" i="33"/>
  <c r="A122" i="33"/>
  <c r="B121" i="33"/>
  <c r="O121" i="38"/>
  <c r="O117" i="38"/>
  <c r="P116" i="38"/>
  <c r="Y90" i="44"/>
  <c r="Y89" i="44"/>
  <c r="C98" i="36"/>
  <c r="C99" i="36"/>
  <c r="M100" i="29"/>
  <c r="I100" i="29"/>
  <c r="G99" i="29"/>
  <c r="M99" i="29"/>
  <c r="I99" i="29"/>
  <c r="O100" i="39"/>
  <c r="P100" i="39" s="1"/>
  <c r="P99" i="39"/>
  <c r="AJ110" i="45"/>
  <c r="AJ109" i="45"/>
  <c r="C104" i="50"/>
  <c r="C103" i="50"/>
  <c r="K90" i="36"/>
  <c r="K89" i="36"/>
  <c r="G87" i="36"/>
  <c r="X112" i="32"/>
  <c r="AJ109" i="31"/>
  <c r="AJ110" i="31"/>
  <c r="A110" i="31"/>
  <c r="B110" i="31" s="1"/>
  <c r="B109" i="31"/>
  <c r="G93" i="43"/>
  <c r="D93" i="43"/>
  <c r="F93" i="43" s="1"/>
  <c r="C92" i="43"/>
  <c r="O117" i="26"/>
  <c r="P116" i="26"/>
  <c r="O121" i="26"/>
  <c r="O108" i="46"/>
  <c r="P107" i="46"/>
  <c r="O112" i="44"/>
  <c r="P111" i="44"/>
  <c r="O116" i="44"/>
  <c r="O100" i="49"/>
  <c r="P100" i="49" s="1"/>
  <c r="P99" i="49"/>
  <c r="O121" i="41"/>
  <c r="O117" i="41"/>
  <c r="P116" i="41"/>
  <c r="M107" i="59"/>
  <c r="M108" i="59"/>
  <c r="G107" i="59"/>
  <c r="C99" i="43"/>
  <c r="C98" i="43"/>
  <c r="AA100" i="37"/>
  <c r="AO100" i="37" s="1"/>
  <c r="AP100" i="37" s="1"/>
  <c r="W100" i="37"/>
  <c r="AA99" i="37"/>
  <c r="AO99" i="37" s="1"/>
  <c r="AP99" i="37" s="1"/>
  <c r="W99" i="37"/>
  <c r="K94" i="41"/>
  <c r="L95" i="41"/>
  <c r="G92" i="41"/>
  <c r="K95" i="41"/>
  <c r="L94" i="41"/>
  <c r="D92" i="41"/>
  <c r="L94" i="50"/>
  <c r="D92" i="50"/>
  <c r="K94" i="50"/>
  <c r="L95" i="50"/>
  <c r="G92" i="50"/>
  <c r="K95" i="50"/>
  <c r="AJ109" i="26"/>
  <c r="AJ110" i="26"/>
  <c r="Q117" i="32"/>
  <c r="Q119" i="32"/>
  <c r="AA9" i="21"/>
  <c r="AG9" i="21" s="1"/>
  <c r="AC134" i="46"/>
  <c r="AD134" i="46" s="1"/>
  <c r="AD133" i="46"/>
  <c r="AC138" i="46"/>
  <c r="C104" i="33"/>
  <c r="C103" i="33"/>
  <c r="Q99" i="26"/>
  <c r="Q97" i="26"/>
  <c r="B121" i="29"/>
  <c r="A126" i="29"/>
  <c r="A122" i="29"/>
  <c r="P107" i="49"/>
  <c r="O108" i="49"/>
  <c r="A114" i="35"/>
  <c r="B113" i="35"/>
  <c r="P129" i="59"/>
  <c r="O130" i="59"/>
  <c r="X87" i="31"/>
  <c r="O104" i="28"/>
  <c r="P103" i="28"/>
  <c r="Q103" i="28" s="1"/>
  <c r="AG63" i="47"/>
  <c r="Z95" i="48"/>
  <c r="Z94" i="48"/>
  <c r="R92" i="48"/>
  <c r="Y95" i="48"/>
  <c r="Y94" i="48"/>
  <c r="H11" i="22"/>
  <c r="I11" i="22" s="1"/>
  <c r="D11" i="22"/>
  <c r="AL110" i="30"/>
  <c r="AH110" i="30"/>
  <c r="AI107" i="30"/>
  <c r="AL109" i="30"/>
  <c r="AH109" i="30"/>
  <c r="B121" i="40"/>
  <c r="A126" i="40"/>
  <c r="A122" i="40"/>
  <c r="AI107" i="50"/>
  <c r="AL109" i="50"/>
  <c r="AH109" i="50"/>
  <c r="AL110" i="50"/>
  <c r="AH110" i="50"/>
  <c r="A109" i="37"/>
  <c r="B108" i="37"/>
  <c r="AC109" i="44"/>
  <c r="AD109" i="44" s="1"/>
  <c r="AD108" i="44"/>
  <c r="AC113" i="44"/>
  <c r="R94" i="42"/>
  <c r="X92" i="42"/>
  <c r="H8" i="19"/>
  <c r="I8" i="19" s="1"/>
  <c r="D8" i="19"/>
  <c r="B109" i="47"/>
  <c r="A110" i="47"/>
  <c r="B110" i="47" s="1"/>
  <c r="B112" i="30"/>
  <c r="A113" i="30"/>
  <c r="C97" i="38"/>
  <c r="G98" i="38"/>
  <c r="B121" i="47"/>
  <c r="A126" i="47"/>
  <c r="A122" i="47"/>
  <c r="C103" i="38"/>
  <c r="C104" i="38"/>
  <c r="C97" i="34"/>
  <c r="G98" i="34"/>
  <c r="M99" i="31"/>
  <c r="I99" i="31"/>
  <c r="M100" i="31"/>
  <c r="I100" i="31"/>
  <c r="G99" i="31"/>
  <c r="AL110" i="49"/>
  <c r="AH110" i="49"/>
  <c r="AL109" i="49"/>
  <c r="AH109" i="49"/>
  <c r="AI107" i="49"/>
  <c r="A109" i="45"/>
  <c r="B108" i="45"/>
  <c r="H4" i="15"/>
  <c r="I4" i="15" s="1"/>
  <c r="D4" i="15"/>
  <c r="AO5" i="61"/>
  <c r="AF8" i="68" s="1"/>
  <c r="AP5" i="15"/>
  <c r="Y4" i="15" s="1"/>
  <c r="B5" i="15"/>
  <c r="C14" i="49"/>
  <c r="T4" i="49" s="1"/>
  <c r="AJ105" i="41"/>
  <c r="AJ104" i="41"/>
  <c r="Q94" i="43"/>
  <c r="Q92" i="43"/>
  <c r="C104" i="32"/>
  <c r="C103" i="32"/>
  <c r="O109" i="41"/>
  <c r="P108" i="41"/>
  <c r="Q108" i="41" s="1"/>
  <c r="X87" i="37"/>
  <c r="B112" i="39"/>
  <c r="A113" i="39"/>
  <c r="B119" i="59"/>
  <c r="A120" i="59"/>
  <c r="B120" i="59" s="1"/>
  <c r="A114" i="27"/>
  <c r="B113" i="27"/>
  <c r="AE53" i="44"/>
  <c r="AE49" i="44"/>
  <c r="AG49" i="44" s="1"/>
  <c r="R44" i="44"/>
  <c r="R48" i="44"/>
  <c r="D49" i="44"/>
  <c r="F49" i="44" s="1"/>
  <c r="H49" i="44" s="1"/>
  <c r="R52" i="44"/>
  <c r="D57" i="44"/>
  <c r="C104" i="40"/>
  <c r="C103" i="40"/>
  <c r="O105" i="26"/>
  <c r="P105" i="26" s="1"/>
  <c r="P104" i="26"/>
  <c r="O121" i="35"/>
  <c r="O117" i="35"/>
  <c r="P116" i="35"/>
  <c r="B121" i="38"/>
  <c r="A126" i="38"/>
  <c r="A122" i="38"/>
  <c r="D13" i="24"/>
  <c r="F13" i="24" s="1"/>
  <c r="H13" i="24"/>
  <c r="I13" i="24" s="1"/>
  <c r="H47" i="44"/>
  <c r="A126" i="49"/>
  <c r="A122" i="49"/>
  <c r="B121" i="49"/>
  <c r="AJ109" i="42"/>
  <c r="AJ110" i="42"/>
  <c r="X87" i="27"/>
  <c r="P103" i="43"/>
  <c r="Q103" i="43" s="1"/>
  <c r="O104" i="43"/>
  <c r="A114" i="29"/>
  <c r="B113" i="29"/>
  <c r="K94" i="35"/>
  <c r="L95" i="35"/>
  <c r="G92" i="35"/>
  <c r="K95" i="35"/>
  <c r="L94" i="35"/>
  <c r="D92" i="35"/>
  <c r="O109" i="29"/>
  <c r="P108" i="29"/>
  <c r="Q108" i="29" s="1"/>
  <c r="AC124" i="40"/>
  <c r="AD124" i="40" s="1"/>
  <c r="AD123" i="40"/>
  <c r="AC128" i="40"/>
  <c r="H9" i="20"/>
  <c r="I9" i="20" s="1"/>
  <c r="D9" i="20"/>
  <c r="F9" i="20" s="1"/>
  <c r="AC114" i="36"/>
  <c r="AD114" i="36" s="1"/>
  <c r="AD113" i="36"/>
  <c r="AC118" i="36"/>
  <c r="AA105" i="48"/>
  <c r="AO105" i="48" s="1"/>
  <c r="AP105" i="48" s="1"/>
  <c r="W105" i="48"/>
  <c r="AA104" i="48"/>
  <c r="AO104" i="48" s="1"/>
  <c r="AP104" i="48" s="1"/>
  <c r="W104" i="48"/>
  <c r="AC109" i="29"/>
  <c r="AD109" i="29" s="1"/>
  <c r="AD108" i="29"/>
  <c r="AC113" i="29"/>
  <c r="V34" i="43"/>
  <c r="V35" i="43" s="1"/>
  <c r="X35" i="43" s="1"/>
  <c r="AB35" i="43" s="1"/>
  <c r="T34" i="43"/>
  <c r="T35" i="43" s="1"/>
  <c r="X34" i="43" s="1"/>
  <c r="AB34" i="43" s="1"/>
  <c r="X105" i="59"/>
  <c r="R107" i="59"/>
  <c r="O129" i="32"/>
  <c r="P128" i="32"/>
  <c r="Q128" i="32" s="1"/>
  <c r="M100" i="32"/>
  <c r="I100" i="32"/>
  <c r="G99" i="32"/>
  <c r="I99" i="32"/>
  <c r="M99" i="32"/>
  <c r="A114" i="40"/>
  <c r="B113" i="40"/>
  <c r="AE75" i="50"/>
  <c r="AI74" i="50" s="1"/>
  <c r="L94" i="47"/>
  <c r="D92" i="47"/>
  <c r="L95" i="47"/>
  <c r="K95" i="47"/>
  <c r="K94" i="47"/>
  <c r="G92" i="47"/>
  <c r="V57" i="46"/>
  <c r="T57" i="46"/>
  <c r="AG58" i="46"/>
  <c r="AC113" i="47"/>
  <c r="AC109" i="47"/>
  <c r="AD109" i="47" s="1"/>
  <c r="AD108" i="47"/>
  <c r="M100" i="35"/>
  <c r="I100" i="35"/>
  <c r="G99" i="35"/>
  <c r="M99" i="35"/>
  <c r="I99" i="35"/>
  <c r="B121" i="34"/>
  <c r="A126" i="34"/>
  <c r="A122" i="34"/>
  <c r="Y7" i="53"/>
  <c r="X6" i="53" s="1"/>
  <c r="R94" i="47"/>
  <c r="X92" i="47"/>
  <c r="L94" i="34"/>
  <c r="D92" i="34"/>
  <c r="K94" i="34"/>
  <c r="L95" i="34"/>
  <c r="G92" i="34"/>
  <c r="K95" i="34"/>
  <c r="H57" i="46"/>
  <c r="J59" i="48"/>
  <c r="J60" i="48"/>
  <c r="AA100" i="50"/>
  <c r="AO100" i="50" s="1"/>
  <c r="W100" i="50"/>
  <c r="AA99" i="50"/>
  <c r="AO99" i="50" s="1"/>
  <c r="W99" i="50"/>
  <c r="X87" i="39"/>
  <c r="F4" i="16"/>
  <c r="Y95" i="38"/>
  <c r="Y94" i="38"/>
  <c r="Z95" i="38"/>
  <c r="Z94" i="38"/>
  <c r="R92" i="38"/>
  <c r="AA105" i="42"/>
  <c r="AO105" i="42" s="1"/>
  <c r="AP105" i="42" s="1"/>
  <c r="W105" i="42"/>
  <c r="AA104" i="42"/>
  <c r="AO104" i="42" s="1"/>
  <c r="AP104" i="42" s="1"/>
  <c r="W104" i="42"/>
  <c r="A105" i="37"/>
  <c r="B105" i="37" s="1"/>
  <c r="B104" i="37"/>
  <c r="V59" i="48"/>
  <c r="V60" i="48" s="1"/>
  <c r="T59" i="48"/>
  <c r="T60" i="48" s="1"/>
  <c r="X59" i="48" s="1"/>
  <c r="A109" i="39"/>
  <c r="B108" i="39"/>
  <c r="O108" i="33"/>
  <c r="P107" i="33"/>
  <c r="G93" i="48"/>
  <c r="D93" i="48"/>
  <c r="F93" i="48" s="1"/>
  <c r="C92" i="48"/>
  <c r="AC114" i="27"/>
  <c r="AD114" i="27" s="1"/>
  <c r="AD113" i="27"/>
  <c r="AC118" i="27"/>
  <c r="AG4" i="17"/>
  <c r="AG73" i="49"/>
  <c r="O112" i="31"/>
  <c r="P111" i="31"/>
  <c r="O116" i="31"/>
  <c r="B117" i="42"/>
  <c r="A118" i="42"/>
  <c r="O100" i="27"/>
  <c r="P100" i="27" s="1"/>
  <c r="P99" i="27"/>
  <c r="P112" i="42"/>
  <c r="O113" i="42"/>
  <c r="X87" i="44"/>
  <c r="O108" i="40"/>
  <c r="P107" i="40"/>
  <c r="AJ110" i="37"/>
  <c r="AJ109" i="37"/>
  <c r="K89" i="46"/>
  <c r="G87" i="46"/>
  <c r="K90" i="46"/>
  <c r="M99" i="27"/>
  <c r="I99" i="27"/>
  <c r="M100" i="27"/>
  <c r="I100" i="27"/>
  <c r="G99" i="27"/>
  <c r="K95" i="33"/>
  <c r="L94" i="33"/>
  <c r="D92" i="33"/>
  <c r="K94" i="33"/>
  <c r="L95" i="33"/>
  <c r="G92" i="33"/>
  <c r="AL104" i="38"/>
  <c r="AH104" i="38"/>
  <c r="AL105" i="38"/>
  <c r="AH105" i="38"/>
  <c r="AI102" i="38"/>
  <c r="O108" i="50"/>
  <c r="P107" i="50"/>
  <c r="A110" i="29"/>
  <c r="B110" i="29" s="1"/>
  <c r="B109" i="29"/>
  <c r="V52" i="45"/>
  <c r="T52" i="45"/>
  <c r="AI107" i="34"/>
  <c r="AL109" i="34"/>
  <c r="AH109" i="34"/>
  <c r="AL110" i="34"/>
  <c r="AH110" i="34"/>
  <c r="AC109" i="35"/>
  <c r="AD109" i="35" s="1"/>
  <c r="AD108" i="35"/>
  <c r="AC113" i="35"/>
  <c r="P107" i="43"/>
  <c r="O108" i="43"/>
  <c r="H12" i="23"/>
  <c r="I12" i="23" s="1"/>
  <c r="D12" i="23"/>
  <c r="F12" i="23" s="1"/>
  <c r="A109" i="30"/>
  <c r="B108" i="30"/>
  <c r="AA100" i="46"/>
  <c r="AO100" i="46" s="1"/>
  <c r="AP100" i="46" s="1"/>
  <c r="W100" i="46"/>
  <c r="AA99" i="46"/>
  <c r="AO99" i="46" s="1"/>
  <c r="AP99" i="46" s="1"/>
  <c r="W99" i="46"/>
  <c r="Y95" i="35"/>
  <c r="Y94" i="35"/>
  <c r="Z95" i="35"/>
  <c r="Z94" i="35"/>
  <c r="R92" i="35"/>
  <c r="M94" i="36"/>
  <c r="I94" i="36"/>
  <c r="M95" i="36"/>
  <c r="I95" i="36"/>
  <c r="G94" i="36"/>
  <c r="B112" i="45"/>
  <c r="A113" i="45"/>
  <c r="AE74" i="49"/>
  <c r="AG74" i="49" s="1"/>
  <c r="AE78" i="49"/>
  <c r="D74" i="49"/>
  <c r="R64" i="49"/>
  <c r="R73" i="49"/>
  <c r="D78" i="49"/>
  <c r="F74" i="50"/>
  <c r="J72" i="50"/>
  <c r="B121" i="32"/>
  <c r="A122" i="32"/>
  <c r="A126" i="32"/>
  <c r="X45" i="46"/>
  <c r="C97" i="29"/>
  <c r="G98" i="29"/>
  <c r="W100" i="39"/>
  <c r="AA99" i="39"/>
  <c r="AO99" i="39" s="1"/>
  <c r="AP99" i="39" s="1"/>
  <c r="W99" i="39"/>
  <c r="AA100" i="39"/>
  <c r="AO100" i="39" s="1"/>
  <c r="AP100" i="39" s="1"/>
  <c r="AI107" i="37"/>
  <c r="AL109" i="37"/>
  <c r="AH109" i="37"/>
  <c r="AL110" i="37"/>
  <c r="AH110" i="37"/>
  <c r="AI107" i="45"/>
  <c r="AL109" i="45"/>
  <c r="AH109" i="45"/>
  <c r="AL110" i="45"/>
  <c r="AH110" i="45"/>
  <c r="G6" i="19"/>
  <c r="Q99" i="36"/>
  <c r="Q97" i="36"/>
  <c r="O100" i="43"/>
  <c r="P100" i="43" s="1"/>
  <c r="P99" i="43"/>
  <c r="X92" i="36"/>
  <c r="R94" i="36"/>
  <c r="AA4" i="16"/>
  <c r="G87" i="43"/>
  <c r="K90" i="43"/>
  <c r="K89" i="43"/>
  <c r="P107" i="39"/>
  <c r="O108" i="39"/>
  <c r="Q113" i="59"/>
  <c r="Q111" i="59"/>
  <c r="AL8" i="61"/>
  <c r="AC11" i="68" s="1"/>
  <c r="C11" i="46"/>
  <c r="T13" i="46" s="1"/>
  <c r="V13" i="46" s="1"/>
  <c r="B8" i="18"/>
  <c r="AP8" i="18"/>
  <c r="P111" i="50"/>
  <c r="O116" i="50"/>
  <c r="O112" i="50"/>
  <c r="X87" i="40"/>
  <c r="AA105" i="29"/>
  <c r="AO105" i="29" s="1"/>
  <c r="AP105" i="29" s="1"/>
  <c r="W105" i="29"/>
  <c r="AA104" i="29"/>
  <c r="AO104" i="29" s="1"/>
  <c r="AP104" i="29" s="1"/>
  <c r="W104" i="29"/>
  <c r="C97" i="28"/>
  <c r="G98" i="28"/>
  <c r="AM7" i="61"/>
  <c r="AD10" i="68" s="1"/>
  <c r="AP7" i="17"/>
  <c r="B7" i="17"/>
  <c r="C12" i="47"/>
  <c r="AH3" i="47" s="1"/>
  <c r="G93" i="30"/>
  <c r="D93" i="30"/>
  <c r="F93" i="30" s="1"/>
  <c r="C92" i="30"/>
  <c r="V44" i="45"/>
  <c r="V45" i="45" s="1"/>
  <c r="T44" i="45"/>
  <c r="T45" i="45" s="1"/>
  <c r="X44" i="45" s="1"/>
  <c r="AG53" i="45"/>
  <c r="Y115" i="32"/>
  <c r="Y114" i="32"/>
  <c r="D93" i="46"/>
  <c r="F93" i="46" s="1"/>
  <c r="C92" i="46"/>
  <c r="G93" i="46"/>
  <c r="AG38" i="42"/>
  <c r="AL110" i="31"/>
  <c r="AH110" i="31"/>
  <c r="AI107" i="31"/>
  <c r="AL109" i="31"/>
  <c r="AH109" i="31"/>
  <c r="AA6" i="53"/>
  <c r="AG6" i="53" s="1"/>
  <c r="AJ105" i="35"/>
  <c r="AJ104" i="35"/>
  <c r="AG4" i="18"/>
  <c r="AC118" i="32"/>
  <c r="AC114" i="32"/>
  <c r="AD114" i="32" s="1"/>
  <c r="AD113" i="32"/>
  <c r="Q92" i="46"/>
  <c r="Q94" i="46"/>
  <c r="M94" i="43"/>
  <c r="I94" i="43"/>
  <c r="M95" i="43"/>
  <c r="I95" i="43"/>
  <c r="G94" i="43"/>
  <c r="X87" i="33"/>
  <c r="H93" i="38"/>
  <c r="A114" i="33"/>
  <c r="B113" i="33"/>
  <c r="D43" i="42"/>
  <c r="F43" i="42" s="1"/>
  <c r="H43" i="42" s="1"/>
  <c r="AE39" i="42"/>
  <c r="AG39" i="42" s="1"/>
  <c r="R34" i="42"/>
  <c r="AE43" i="42"/>
  <c r="D39" i="42"/>
  <c r="F39" i="42" s="1"/>
  <c r="H39" i="42" s="1"/>
  <c r="R38" i="42"/>
  <c r="R42" i="42"/>
  <c r="D47" i="42"/>
  <c r="P99" i="46"/>
  <c r="O100" i="46"/>
  <c r="P100" i="46" s="1"/>
  <c r="AL126" i="59"/>
  <c r="AL125" i="59"/>
  <c r="AC114" i="28"/>
  <c r="AD114" i="28" s="1"/>
  <c r="AD113" i="28"/>
  <c r="AC118" i="28"/>
  <c r="C92" i="36"/>
  <c r="G93" i="36"/>
  <c r="D93" i="36"/>
  <c r="F93" i="36" s="1"/>
  <c r="P111" i="46"/>
  <c r="O116" i="46"/>
  <c r="O112" i="46"/>
  <c r="H62" i="47"/>
  <c r="H5" i="16"/>
  <c r="I5" i="16" s="1"/>
  <c r="D5" i="16"/>
  <c r="F5" i="16" s="1"/>
  <c r="G5" i="16" s="1"/>
  <c r="O108" i="34"/>
  <c r="P107" i="34"/>
  <c r="P112" i="48"/>
  <c r="O113" i="48"/>
  <c r="B117" i="32"/>
  <c r="A118" i="32"/>
  <c r="C105" i="59"/>
  <c r="G106" i="59"/>
  <c r="D106" i="59"/>
  <c r="F106" i="59" s="1"/>
  <c r="O104" i="50"/>
  <c r="P103" i="50"/>
  <c r="Q103" i="50" s="1"/>
  <c r="P99" i="37"/>
  <c r="O100" i="37"/>
  <c r="P100" i="37" s="1"/>
  <c r="AL110" i="26"/>
  <c r="AH110" i="26"/>
  <c r="AI107" i="26"/>
  <c r="AL109" i="26"/>
  <c r="AH109" i="26"/>
  <c r="Y5" i="17"/>
  <c r="P103" i="31"/>
  <c r="Q103" i="31" s="1"/>
  <c r="O104" i="31"/>
  <c r="Y12" i="24"/>
  <c r="AJ130" i="46"/>
  <c r="AJ129" i="46"/>
  <c r="P112" i="29"/>
  <c r="O113" i="29"/>
  <c r="P108" i="42"/>
  <c r="Q108" i="42" s="1"/>
  <c r="O109" i="42"/>
  <c r="P134" i="59"/>
  <c r="O140" i="59"/>
  <c r="O135" i="59"/>
  <c r="Q94" i="44"/>
  <c r="Q92" i="44"/>
  <c r="V62" i="47"/>
  <c r="T62" i="47"/>
  <c r="F59" i="47"/>
  <c r="J57" i="47"/>
  <c r="R94" i="48"/>
  <c r="X92" i="48"/>
  <c r="D93" i="37"/>
  <c r="F93" i="37" s="1"/>
  <c r="C92" i="37"/>
  <c r="G93" i="37"/>
  <c r="H64" i="49"/>
  <c r="H65" i="49" s="1"/>
  <c r="J65" i="49" s="1"/>
  <c r="F65" i="49"/>
  <c r="J64" i="49" s="1"/>
  <c r="AV11" i="22"/>
  <c r="AC118" i="30"/>
  <c r="AC114" i="30"/>
  <c r="AD114" i="30" s="1"/>
  <c r="AD113" i="30"/>
  <c r="C97" i="33"/>
  <c r="G98" i="33"/>
  <c r="P112" i="30"/>
  <c r="O113" i="30"/>
  <c r="AF7" i="20"/>
  <c r="C97" i="47"/>
  <c r="G98" i="47"/>
  <c r="X92" i="29"/>
  <c r="R94" i="29"/>
  <c r="B112" i="26"/>
  <c r="A113" i="26"/>
  <c r="A110" i="32"/>
  <c r="B110" i="32" s="1"/>
  <c r="B109" i="32"/>
  <c r="AJ104" i="44"/>
  <c r="AJ105" i="44"/>
  <c r="C99" i="46"/>
  <c r="C98" i="46"/>
  <c r="O117" i="36"/>
  <c r="O121" i="36"/>
  <c r="P116" i="36"/>
  <c r="A109" i="48"/>
  <c r="B108" i="48"/>
  <c r="AG8" i="21"/>
  <c r="D8" i="53"/>
  <c r="F8" i="53" s="1"/>
  <c r="G8" i="53" s="1"/>
  <c r="H8" i="53"/>
  <c r="I8" i="53" s="1"/>
  <c r="AV8" i="19"/>
  <c r="B116" i="30"/>
  <c r="A121" i="30"/>
  <c r="A117" i="30"/>
  <c r="V43" i="44"/>
  <c r="T43" i="44"/>
  <c r="A105" i="46"/>
  <c r="B105" i="46" s="1"/>
  <c r="B104" i="46"/>
  <c r="C104" i="44"/>
  <c r="C103" i="44"/>
  <c r="M100" i="34"/>
  <c r="I100" i="34"/>
  <c r="G99" i="34"/>
  <c r="M99" i="34"/>
  <c r="I99" i="34"/>
  <c r="A105" i="39"/>
  <c r="B105" i="39" s="1"/>
  <c r="B104" i="39"/>
  <c r="A109" i="36"/>
  <c r="B108" i="36"/>
  <c r="B117" i="41"/>
  <c r="A118" i="41"/>
  <c r="AE79" i="50"/>
  <c r="AG79" i="50" s="1"/>
  <c r="AE83" i="50"/>
  <c r="R78" i="50"/>
  <c r="D79" i="50"/>
  <c r="F79" i="50" s="1"/>
  <c r="H79" i="50" s="1"/>
  <c r="T22" i="50"/>
  <c r="R74" i="50"/>
  <c r="AL104" i="41"/>
  <c r="AH104" i="41"/>
  <c r="AL105" i="41"/>
  <c r="AH105" i="41"/>
  <c r="AI102" i="41"/>
  <c r="AJ110" i="39"/>
  <c r="AJ109" i="39"/>
  <c r="AA6" i="19"/>
  <c r="X5" i="19"/>
  <c r="Y90" i="37"/>
  <c r="Y89" i="37"/>
  <c r="B116" i="39"/>
  <c r="A121" i="39"/>
  <c r="A117" i="39"/>
  <c r="AV10" i="21"/>
  <c r="AA105" i="26"/>
  <c r="AO105" i="26" s="1"/>
  <c r="AP105" i="26" s="1"/>
  <c r="W105" i="26"/>
  <c r="AA104" i="26"/>
  <c r="AO104" i="26" s="1"/>
  <c r="AP104" i="26" s="1"/>
  <c r="W104" i="26"/>
  <c r="AV13" i="24"/>
  <c r="A110" i="33"/>
  <c r="B110" i="33" s="1"/>
  <c r="B109" i="33"/>
  <c r="AL110" i="42"/>
  <c r="AH110" i="42"/>
  <c r="AI107" i="42"/>
  <c r="AL109" i="42"/>
  <c r="AH109" i="42"/>
  <c r="K89" i="37"/>
  <c r="G87" i="37"/>
  <c r="K90" i="37"/>
  <c r="AJ120" i="40"/>
  <c r="AJ119" i="40"/>
  <c r="AJ10" i="61"/>
  <c r="AA13" i="68" s="1"/>
  <c r="AP10" i="20"/>
  <c r="Y9" i="20" s="1"/>
  <c r="B10" i="20"/>
  <c r="C9" i="44"/>
  <c r="R49" i="44" s="1"/>
  <c r="B116" i="46"/>
  <c r="A117" i="46"/>
  <c r="A121" i="46"/>
  <c r="AJ109" i="36"/>
  <c r="AJ110" i="36"/>
  <c r="AJ105" i="29"/>
  <c r="AJ104" i="29"/>
  <c r="F47" i="43"/>
  <c r="AG43" i="43"/>
  <c r="A118" i="31"/>
  <c r="B117" i="31"/>
  <c r="A109" i="43"/>
  <c r="B108" i="43"/>
  <c r="O100" i="33"/>
  <c r="P100" i="33" s="1"/>
  <c r="P99" i="33"/>
  <c r="AA100" i="34"/>
  <c r="AO100" i="34" s="1"/>
  <c r="AP100" i="34" s="1"/>
  <c r="W100" i="34"/>
  <c r="AA99" i="34"/>
  <c r="AO99" i="34" s="1"/>
  <c r="AP99" i="34" s="1"/>
  <c r="W99" i="34"/>
  <c r="L94" i="40"/>
  <c r="D92" i="40"/>
  <c r="K94" i="40"/>
  <c r="L95" i="40"/>
  <c r="G92" i="40"/>
  <c r="K95" i="40"/>
  <c r="Q94" i="27"/>
  <c r="Q92" i="27"/>
  <c r="C104" i="31"/>
  <c r="C103" i="31"/>
  <c r="C97" i="35"/>
  <c r="G98" i="35"/>
  <c r="P108" i="30"/>
  <c r="Q108" i="30" s="1"/>
  <c r="O109" i="30"/>
  <c r="H93" i="34"/>
  <c r="O108" i="45"/>
  <c r="P107" i="45"/>
  <c r="P99" i="50"/>
  <c r="O100" i="50"/>
  <c r="P100" i="50" s="1"/>
  <c r="A140" i="59"/>
  <c r="B134" i="59"/>
  <c r="A135" i="59"/>
  <c r="A114" i="41"/>
  <c r="B113" i="41"/>
  <c r="X87" i="49"/>
  <c r="B117" i="50"/>
  <c r="A118" i="50"/>
  <c r="AA120" i="59"/>
  <c r="AQ120" i="59" s="1"/>
  <c r="AR120" i="59" s="1"/>
  <c r="AA119" i="59"/>
  <c r="AQ119" i="59" s="1"/>
  <c r="AR119" i="59" s="1"/>
  <c r="P108" i="48"/>
  <c r="Q108" i="48" s="1"/>
  <c r="O109" i="48"/>
  <c r="C103" i="35"/>
  <c r="C104" i="35"/>
  <c r="V63" i="48"/>
  <c r="T63" i="48"/>
  <c r="H44" i="45"/>
  <c r="H45" i="45" s="1"/>
  <c r="J45" i="45" s="1"/>
  <c r="F45" i="45"/>
  <c r="J44" i="45" s="1"/>
  <c r="AJ109" i="48"/>
  <c r="AJ110" i="48"/>
  <c r="M94" i="48"/>
  <c r="I94" i="48"/>
  <c r="M95" i="48"/>
  <c r="I95" i="48"/>
  <c r="G94" i="48"/>
  <c r="AJ109" i="27"/>
  <c r="AJ110" i="27"/>
  <c r="A114" i="49"/>
  <c r="B113" i="49"/>
  <c r="AA100" i="27"/>
  <c r="AO100" i="27" s="1"/>
  <c r="AP100" i="27" s="1"/>
  <c r="W100" i="27"/>
  <c r="AA99" i="27"/>
  <c r="AO99" i="27" s="1"/>
  <c r="AP99" i="27" s="1"/>
  <c r="W99" i="27"/>
  <c r="AA100" i="40"/>
  <c r="AO100" i="40" s="1"/>
  <c r="AP100" i="40" s="1"/>
  <c r="W100" i="40"/>
  <c r="AA99" i="40"/>
  <c r="AO99" i="40" s="1"/>
  <c r="AP99" i="40" s="1"/>
  <c r="W99" i="40"/>
  <c r="A110" i="44"/>
  <c r="B110" i="44" s="1"/>
  <c r="B109" i="44"/>
  <c r="P111" i="40"/>
  <c r="O116" i="40"/>
  <c r="O112" i="40"/>
  <c r="AG10" i="23"/>
  <c r="Y95" i="36"/>
  <c r="Y94" i="36"/>
  <c r="Z95" i="36"/>
  <c r="R92" i="36"/>
  <c r="Z94" i="36"/>
  <c r="O105" i="35"/>
  <c r="P105" i="35" s="1"/>
  <c r="P104" i="35"/>
  <c r="Q97" i="35"/>
  <c r="Q99" i="35"/>
  <c r="H7" i="18"/>
  <c r="I7" i="18" s="1"/>
  <c r="D7" i="18"/>
  <c r="F7" i="18" s="1"/>
  <c r="G7" i="18" s="1"/>
  <c r="AA105" i="30"/>
  <c r="AO105" i="30" s="1"/>
  <c r="AP105" i="30" s="1"/>
  <c r="W105" i="30"/>
  <c r="AA104" i="30"/>
  <c r="AO104" i="30" s="1"/>
  <c r="AP104" i="30" s="1"/>
  <c r="W104" i="30"/>
  <c r="T48" i="45"/>
  <c r="V48" i="45"/>
  <c r="F42" i="42"/>
  <c r="O105" i="38"/>
  <c r="P105" i="38" s="1"/>
  <c r="P104" i="38"/>
  <c r="Q97" i="41"/>
  <c r="Q99" i="41"/>
  <c r="P111" i="37"/>
  <c r="O116" i="37"/>
  <c r="O112" i="37"/>
  <c r="AI107" i="32"/>
  <c r="AL109" i="32"/>
  <c r="AH109" i="32"/>
  <c r="AL110" i="32"/>
  <c r="AH110" i="32"/>
  <c r="Y90" i="33"/>
  <c r="Y89" i="33"/>
  <c r="M99" i="44"/>
  <c r="I99" i="44"/>
  <c r="M100" i="44"/>
  <c r="I100" i="44"/>
  <c r="G99" i="44"/>
  <c r="AG78" i="50"/>
  <c r="O104" i="45"/>
  <c r="P103" i="45"/>
  <c r="Q103" i="45" s="1"/>
  <c r="Y90" i="43"/>
  <c r="Y89" i="43"/>
  <c r="A114" i="50"/>
  <c r="B113" i="50"/>
  <c r="A110" i="42"/>
  <c r="B110" i="42" s="1"/>
  <c r="B109" i="42"/>
  <c r="A114" i="32"/>
  <c r="B113" i="32"/>
  <c r="AC109" i="38"/>
  <c r="AD109" i="38" s="1"/>
  <c r="AD108" i="38"/>
  <c r="AC113" i="38"/>
  <c r="R63" i="47"/>
  <c r="AE64" i="47"/>
  <c r="AG64" i="47" s="1"/>
  <c r="R59" i="47"/>
  <c r="AE68" i="47"/>
  <c r="D64" i="47"/>
  <c r="Y90" i="40"/>
  <c r="Y89" i="40"/>
  <c r="C99" i="26"/>
  <c r="C98" i="26"/>
  <c r="O105" i="29"/>
  <c r="P105" i="29" s="1"/>
  <c r="P104" i="29"/>
  <c r="M100" i="28"/>
  <c r="I100" i="28"/>
  <c r="G99" i="28"/>
  <c r="M99" i="28"/>
  <c r="I99" i="28"/>
  <c r="X87" i="50"/>
  <c r="H6" i="17"/>
  <c r="I6" i="17" s="1"/>
  <c r="D6" i="17"/>
  <c r="M94" i="30"/>
  <c r="I94" i="30"/>
  <c r="M95" i="30"/>
  <c r="I95" i="30"/>
  <c r="G94" i="30"/>
  <c r="C99" i="45"/>
  <c r="C98" i="45"/>
  <c r="F49" i="45"/>
  <c r="J47" i="45"/>
  <c r="AA100" i="28"/>
  <c r="AO100" i="28" s="1"/>
  <c r="AP100" i="28" s="1"/>
  <c r="W100" i="28"/>
  <c r="AA99" i="28"/>
  <c r="AO99" i="28" s="1"/>
  <c r="AP99" i="28" s="1"/>
  <c r="W99" i="28"/>
  <c r="AC114" i="34"/>
  <c r="AD114" i="34" s="1"/>
  <c r="AD113" i="34"/>
  <c r="AC118" i="34"/>
  <c r="M95" i="46"/>
  <c r="I95" i="46"/>
  <c r="G94" i="46"/>
  <c r="M94" i="46"/>
  <c r="I94" i="46"/>
  <c r="F38" i="42"/>
  <c r="Q92" i="28"/>
  <c r="Q94" i="28"/>
  <c r="A109" i="26"/>
  <c r="B108" i="26"/>
  <c r="AL104" i="35"/>
  <c r="AH104" i="35"/>
  <c r="AL105" i="35"/>
  <c r="AH105" i="35"/>
  <c r="AI102" i="35"/>
  <c r="A105" i="30"/>
  <c r="B105" i="30" s="1"/>
  <c r="B104" i="30"/>
  <c r="V82" i="50"/>
  <c r="T82" i="50"/>
  <c r="O112" i="43"/>
  <c r="P111" i="43"/>
  <c r="O116" i="43"/>
  <c r="G4" i="17"/>
  <c r="P103" i="49"/>
  <c r="Q103" i="49" s="1"/>
  <c r="O104" i="49"/>
  <c r="B117" i="35"/>
  <c r="A118" i="35"/>
  <c r="Q99" i="47"/>
  <c r="Q97" i="47"/>
  <c r="L94" i="28"/>
  <c r="D92" i="28"/>
  <c r="K94" i="28"/>
  <c r="L95" i="28"/>
  <c r="G92" i="28"/>
  <c r="K95" i="28"/>
  <c r="AC114" i="33"/>
  <c r="AD114" i="33" s="1"/>
  <c r="AD113" i="33"/>
  <c r="AC118" i="33"/>
  <c r="O108" i="28"/>
  <c r="P107" i="28"/>
  <c r="A114" i="34"/>
  <c r="B113" i="34"/>
  <c r="AG13" i="61"/>
  <c r="X16" i="68" s="1"/>
  <c r="C6" i="41"/>
  <c r="B13" i="23"/>
  <c r="AP13" i="23"/>
  <c r="Q92" i="40"/>
  <c r="Q94" i="40"/>
  <c r="H73" i="49"/>
  <c r="AN125" i="59"/>
  <c r="AJ125" i="59"/>
  <c r="AN126" i="59"/>
  <c r="AJ126" i="59"/>
  <c r="AK123" i="59"/>
  <c r="O104" i="40"/>
  <c r="P103" i="40"/>
  <c r="Q103" i="40" s="1"/>
  <c r="AJ110" i="28"/>
  <c r="AJ109" i="28"/>
  <c r="Q92" i="34"/>
  <c r="Q94" i="34"/>
  <c r="Q92" i="49"/>
  <c r="Q94" i="49"/>
  <c r="P112" i="26"/>
  <c r="O113" i="26"/>
  <c r="P104" i="47"/>
  <c r="O105" i="47"/>
  <c r="P105" i="47" s="1"/>
  <c r="AA105" i="41"/>
  <c r="AO105" i="41" s="1"/>
  <c r="AP105" i="41" s="1"/>
  <c r="W105" i="41"/>
  <c r="AA104" i="41"/>
  <c r="AO104" i="41" s="1"/>
  <c r="AP104" i="41" s="1"/>
  <c r="W104" i="41"/>
  <c r="Q99" i="42"/>
  <c r="Q97" i="42"/>
  <c r="C97" i="40"/>
  <c r="G98" i="40"/>
  <c r="F87" i="50"/>
  <c r="A113" i="36"/>
  <c r="B112" i="36"/>
  <c r="A121" i="45"/>
  <c r="A117" i="45"/>
  <c r="B116" i="45"/>
  <c r="AN6" i="61"/>
  <c r="AE9" i="68" s="1"/>
  <c r="B6" i="16"/>
  <c r="AP6" i="16"/>
  <c r="Y5" i="16" s="1"/>
  <c r="C13" i="48"/>
  <c r="AH4" i="48" s="1"/>
  <c r="AJ4" i="48" s="1"/>
  <c r="AL4" i="48" s="1"/>
  <c r="AJ4" i="50"/>
  <c r="V64" i="50"/>
  <c r="V65" i="50" s="1"/>
  <c r="T64" i="50"/>
  <c r="T65" i="50" s="1"/>
  <c r="X64" i="50" s="1"/>
  <c r="P111" i="34"/>
  <c r="O116" i="34"/>
  <c r="O112" i="34"/>
  <c r="O108" i="44"/>
  <c r="P107" i="44"/>
  <c r="A114" i="44"/>
  <c r="B113" i="44"/>
  <c r="O108" i="27"/>
  <c r="P107" i="27"/>
  <c r="I102" i="59"/>
  <c r="G99" i="59"/>
  <c r="K101" i="59"/>
  <c r="K102" i="59"/>
  <c r="I101" i="59"/>
  <c r="A110" i="38"/>
  <c r="B110" i="38" s="1"/>
  <c r="B109" i="38"/>
  <c r="Y6" i="18"/>
  <c r="P103" i="33"/>
  <c r="Q103" i="33" s="1"/>
  <c r="O104" i="33"/>
  <c r="C99" i="30"/>
  <c r="C98" i="30"/>
  <c r="AC118" i="26"/>
  <c r="AC114" i="26"/>
  <c r="AD114" i="26" s="1"/>
  <c r="AD113" i="26"/>
  <c r="A118" i="27"/>
  <c r="B117" i="27"/>
  <c r="Z95" i="26"/>
  <c r="Z94" i="26"/>
  <c r="R92" i="26"/>
  <c r="Y95" i="26"/>
  <c r="Y94" i="26"/>
  <c r="AI127" i="46"/>
  <c r="AL129" i="46"/>
  <c r="AH129" i="46"/>
  <c r="AH130" i="46"/>
  <c r="AL130" i="46"/>
  <c r="G87" i="39"/>
  <c r="K90" i="39"/>
  <c r="K89" i="39"/>
  <c r="O121" i="29"/>
  <c r="O117" i="29"/>
  <c r="P116" i="29"/>
  <c r="A110" i="40"/>
  <c r="B110" i="40" s="1"/>
  <c r="B109" i="40"/>
  <c r="F77" i="48"/>
  <c r="Y11" i="23"/>
  <c r="B112" i="43"/>
  <c r="A113" i="43"/>
  <c r="M95" i="37"/>
  <c r="I95" i="37"/>
  <c r="G94" i="37"/>
  <c r="M94" i="37"/>
  <c r="I94" i="37"/>
  <c r="AH12" i="61"/>
  <c r="Y15" i="68" s="1"/>
  <c r="C7" i="42"/>
  <c r="B12" i="22"/>
  <c r="AP12" i="22"/>
  <c r="Y11" i="22" s="1"/>
  <c r="P132" i="32"/>
  <c r="O133" i="32"/>
  <c r="M99" i="33"/>
  <c r="I99" i="33"/>
  <c r="M100" i="33"/>
  <c r="I100" i="33"/>
  <c r="G99" i="33"/>
  <c r="O105" i="36"/>
  <c r="P105" i="36" s="1"/>
  <c r="P104" i="36"/>
  <c r="A110" i="28"/>
  <c r="B110" i="28" s="1"/>
  <c r="B109" i="28"/>
  <c r="AC114" i="50"/>
  <c r="AD114" i="50" s="1"/>
  <c r="AD113" i="50"/>
  <c r="AC118" i="50"/>
  <c r="C99" i="37"/>
  <c r="C98" i="37"/>
  <c r="M100" i="47"/>
  <c r="I99" i="47"/>
  <c r="M99" i="47"/>
  <c r="G99" i="47"/>
  <c r="I100" i="47"/>
  <c r="Y95" i="29"/>
  <c r="Y94" i="29"/>
  <c r="Z95" i="29"/>
  <c r="Z94" i="29"/>
  <c r="R92" i="29"/>
  <c r="B116" i="26"/>
  <c r="A121" i="26"/>
  <c r="A117" i="26"/>
  <c r="AL105" i="44"/>
  <c r="AH105" i="44"/>
  <c r="AI102" i="44"/>
  <c r="AL104" i="44"/>
  <c r="AH104" i="44"/>
  <c r="C104" i="47"/>
  <c r="C103" i="47"/>
  <c r="P112" i="36"/>
  <c r="O113" i="36"/>
  <c r="X8" i="21"/>
  <c r="AE59" i="46"/>
  <c r="AG59" i="46" s="1"/>
  <c r="AE63" i="46"/>
  <c r="R58" i="46"/>
  <c r="R54" i="46"/>
  <c r="D59" i="46"/>
  <c r="F59" i="46" s="1"/>
  <c r="H59" i="46" s="1"/>
  <c r="D63" i="46"/>
  <c r="F63" i="46" s="1"/>
  <c r="H63" i="46" s="1"/>
  <c r="R62" i="46"/>
  <c r="AK9" i="61"/>
  <c r="AB12" i="68" s="1"/>
  <c r="AP9" i="53"/>
  <c r="B9" i="19"/>
  <c r="C10" i="45"/>
  <c r="AP9" i="19"/>
  <c r="B9" i="53"/>
  <c r="K95" i="44"/>
  <c r="L94" i="44"/>
  <c r="D92" i="44"/>
  <c r="K94" i="44"/>
  <c r="L95" i="44"/>
  <c r="G92" i="44"/>
  <c r="V39" i="44"/>
  <c r="V40" i="44" s="1"/>
  <c r="T39" i="44"/>
  <c r="T40" i="44" s="1"/>
  <c r="X39" i="44" s="1"/>
  <c r="AG48" i="44"/>
  <c r="C104" i="42"/>
  <c r="C103" i="42"/>
  <c r="O104" i="46"/>
  <c r="P103" i="46"/>
  <c r="Q103" i="46" s="1"/>
  <c r="Q94" i="39"/>
  <c r="Q92" i="39"/>
  <c r="AC114" i="49"/>
  <c r="AD114" i="49" s="1"/>
  <c r="AD113" i="49"/>
  <c r="AC118" i="49"/>
  <c r="B124" i="59"/>
  <c r="A125" i="59"/>
  <c r="AG60" i="47"/>
  <c r="B117" i="28"/>
  <c r="A118" i="28"/>
  <c r="B121" i="41"/>
  <c r="A126" i="41"/>
  <c r="A122" i="41"/>
  <c r="AV4" i="15"/>
  <c r="O104" i="34"/>
  <c r="P103" i="34"/>
  <c r="Q103" i="34" s="1"/>
  <c r="A110" i="27"/>
  <c r="B110" i="27" s="1"/>
  <c r="B109" i="27"/>
  <c r="M100" i="41"/>
  <c r="I100" i="41"/>
  <c r="G99" i="41"/>
  <c r="M99" i="41"/>
  <c r="I99" i="41"/>
  <c r="X87" i="28"/>
  <c r="AL110" i="39"/>
  <c r="AI107" i="39"/>
  <c r="AH109" i="39"/>
  <c r="AL109" i="39"/>
  <c r="AH110" i="39"/>
  <c r="X92" i="41"/>
  <c r="R94" i="41"/>
  <c r="AI11" i="61"/>
  <c r="Z14" i="68" s="1"/>
  <c r="B11" i="21"/>
  <c r="AP11" i="21"/>
  <c r="Y10" i="21" s="1"/>
  <c r="C8" i="43"/>
  <c r="C99" i="48"/>
  <c r="C98" i="48"/>
  <c r="G93" i="26"/>
  <c r="D93" i="26"/>
  <c r="F93" i="26" s="1"/>
  <c r="C92" i="26"/>
  <c r="AF14" i="61"/>
  <c r="W17" i="68" s="1"/>
  <c r="B14" i="24"/>
  <c r="AP14" i="24"/>
  <c r="C5" i="40"/>
  <c r="K95" i="31"/>
  <c r="L94" i="31"/>
  <c r="D92" i="31"/>
  <c r="K94" i="31"/>
  <c r="L95" i="31"/>
  <c r="G92" i="31"/>
  <c r="AC118" i="42"/>
  <c r="AC114" i="42"/>
  <c r="AD114" i="42" s="1"/>
  <c r="AD113" i="42"/>
  <c r="B112" i="37"/>
  <c r="A113" i="37"/>
  <c r="W125" i="32"/>
  <c r="AA124" i="32"/>
  <c r="AO124" i="32" s="1"/>
  <c r="AP124" i="32" s="1"/>
  <c r="W124" i="32"/>
  <c r="AA125" i="32"/>
  <c r="AO125" i="32" s="1"/>
  <c r="AP125" i="32" s="1"/>
  <c r="Q94" i="31"/>
  <c r="Q92" i="31"/>
  <c r="P108" i="36"/>
  <c r="Q108" i="36" s="1"/>
  <c r="O109" i="36"/>
  <c r="AI117" i="40"/>
  <c r="AL119" i="40"/>
  <c r="AH119" i="40"/>
  <c r="AL120" i="40"/>
  <c r="AH120" i="40"/>
  <c r="AV9" i="20"/>
  <c r="B112" i="48"/>
  <c r="A113" i="48"/>
  <c r="O100" i="44"/>
  <c r="P100" i="44" s="1"/>
  <c r="P99" i="44"/>
  <c r="B112" i="46"/>
  <c r="A113" i="46"/>
  <c r="AL110" i="36"/>
  <c r="AH110" i="36"/>
  <c r="AL109" i="36"/>
  <c r="AH109" i="36"/>
  <c r="AI107" i="36"/>
  <c r="O125" i="59"/>
  <c r="P124" i="59"/>
  <c r="Q124" i="59" s="1"/>
  <c r="AL104" i="29"/>
  <c r="AH104" i="29"/>
  <c r="AL105" i="29"/>
  <c r="AH105" i="29"/>
  <c r="AI102" i="29"/>
  <c r="V42" i="43"/>
  <c r="T42" i="43"/>
  <c r="T38" i="43"/>
  <c r="V38" i="43"/>
  <c r="Z95" i="30"/>
  <c r="Z94" i="30"/>
  <c r="R92" i="30"/>
  <c r="Y95" i="30"/>
  <c r="Y94" i="30"/>
  <c r="A126" i="31"/>
  <c r="A122" i="31"/>
  <c r="B121" i="31"/>
  <c r="AG10" i="24"/>
  <c r="AA100" i="45"/>
  <c r="AO100" i="45" s="1"/>
  <c r="AP100" i="45" s="1"/>
  <c r="W100" i="45"/>
  <c r="AA99" i="45"/>
  <c r="AO99" i="45" s="1"/>
  <c r="AP99" i="45" s="1"/>
  <c r="W99" i="45"/>
  <c r="K94" i="29"/>
  <c r="L95" i="29"/>
  <c r="G92" i="29"/>
  <c r="K95" i="29"/>
  <c r="L94" i="29"/>
  <c r="D92" i="29"/>
  <c r="AA100" i="33"/>
  <c r="AO100" i="33" s="1"/>
  <c r="AP100" i="33" s="1"/>
  <c r="W100" i="33"/>
  <c r="AA99" i="33"/>
  <c r="AO99" i="33" s="1"/>
  <c r="AP99" i="33" s="1"/>
  <c r="W99" i="33"/>
  <c r="A105" i="45"/>
  <c r="B105" i="45" s="1"/>
  <c r="B104" i="45"/>
  <c r="P99" i="34"/>
  <c r="O100" i="34"/>
  <c r="P100" i="34" s="1"/>
  <c r="C103" i="29"/>
  <c r="C104" i="29"/>
  <c r="H93" i="40"/>
  <c r="F54" i="46"/>
  <c r="J52" i="46"/>
  <c r="AJ105" i="47"/>
  <c r="AJ104" i="47"/>
  <c r="C104" i="27"/>
  <c r="C103" i="27"/>
  <c r="AE55" i="46"/>
  <c r="AI54" i="46" s="1"/>
  <c r="L95" i="49"/>
  <c r="G92" i="49"/>
  <c r="K94" i="49"/>
  <c r="D92" i="49"/>
  <c r="K95" i="49"/>
  <c r="L94" i="49"/>
  <c r="P108" i="26"/>
  <c r="Q108" i="26" s="1"/>
  <c r="O109" i="26"/>
  <c r="AI60" i="48"/>
  <c r="AM60" i="48" s="1"/>
  <c r="AS60" i="48" s="1"/>
  <c r="X87" i="34"/>
  <c r="O116" i="45"/>
  <c r="P111" i="45"/>
  <c r="O112" i="45"/>
  <c r="B129" i="59"/>
  <c r="A130" i="59"/>
  <c r="Y90" i="49"/>
  <c r="Y89" i="49"/>
  <c r="P103" i="44"/>
  <c r="Q103" i="44" s="1"/>
  <c r="O104" i="44"/>
  <c r="P103" i="27"/>
  <c r="Q103" i="27" s="1"/>
  <c r="O104" i="27"/>
  <c r="B121" i="50"/>
  <c r="A126" i="50"/>
  <c r="A122" i="50"/>
  <c r="O120" i="59"/>
  <c r="P120" i="59" s="1"/>
  <c r="P119" i="59"/>
  <c r="X87" i="46"/>
  <c r="L95" i="32"/>
  <c r="G92" i="32"/>
  <c r="L94" i="32"/>
  <c r="D92" i="32"/>
  <c r="K94" i="32"/>
  <c r="K95" i="32"/>
  <c r="G98" i="49"/>
  <c r="C97" i="49"/>
  <c r="F73" i="48"/>
  <c r="AG68" i="48"/>
  <c r="AE70" i="48"/>
  <c r="AI69" i="48" s="1"/>
  <c r="O112" i="33"/>
  <c r="P111" i="33"/>
  <c r="O116" i="33"/>
  <c r="AL110" i="48"/>
  <c r="AH110" i="48"/>
  <c r="AI107" i="48"/>
  <c r="AL109" i="48"/>
  <c r="AH109" i="48"/>
  <c r="AL110" i="27"/>
  <c r="AH110" i="27"/>
  <c r="AI107" i="27"/>
  <c r="AL109" i="27"/>
  <c r="AH109" i="27"/>
  <c r="F69" i="49"/>
  <c r="J67" i="49"/>
  <c r="C97" i="50"/>
  <c r="G98" i="50"/>
  <c r="Q97" i="29"/>
  <c r="Q99" i="29"/>
  <c r="O108" i="31"/>
  <c r="P107" i="31"/>
  <c r="A114" i="38"/>
  <c r="B113" i="38"/>
  <c r="D93" i="45"/>
  <c r="F93" i="45" s="1"/>
  <c r="C92" i="45"/>
  <c r="G93" i="45"/>
  <c r="A110" i="34"/>
  <c r="B110" i="34" s="1"/>
  <c r="B109" i="34"/>
  <c r="AE45" i="44"/>
  <c r="AI44" i="44" s="1"/>
  <c r="A126" i="42"/>
  <c r="A122" i="42"/>
  <c r="B121" i="42"/>
  <c r="O121" i="42"/>
  <c r="O117" i="42"/>
  <c r="P116" i="42"/>
  <c r="P99" i="40"/>
  <c r="O100" i="40"/>
  <c r="P100" i="40" s="1"/>
  <c r="P116" i="47"/>
  <c r="O117" i="47"/>
  <c r="O121" i="47"/>
  <c r="A118" i="33"/>
  <c r="B117" i="33"/>
  <c r="P112" i="38"/>
  <c r="O113" i="38"/>
  <c r="A110" i="41"/>
  <c r="B110" i="41" s="1"/>
  <c r="B109" i="41"/>
  <c r="X9" i="22"/>
  <c r="AT50" i="49" l="1"/>
  <c r="E8" i="49" s="1"/>
  <c r="P26" i="48"/>
  <c r="L27" i="48"/>
  <c r="L16" i="48"/>
  <c r="L17" i="48" s="1"/>
  <c r="P15" i="48" s="1"/>
  <c r="N16" i="48"/>
  <c r="N17" i="48" s="1"/>
  <c r="AR50" i="48"/>
  <c r="AR49" i="48"/>
  <c r="J40" i="43"/>
  <c r="N40" i="43" s="1"/>
  <c r="AQ40" i="43" s="1"/>
  <c r="V10" i="49"/>
  <c r="Z9" i="49" s="1"/>
  <c r="X50" i="46"/>
  <c r="AR45" i="48"/>
  <c r="AT45" i="48" s="1"/>
  <c r="E7" i="48" s="1"/>
  <c r="AK50" i="48" s="1"/>
  <c r="AM50" i="48" s="1"/>
  <c r="AS50" i="48" s="1"/>
  <c r="AI70" i="49"/>
  <c r="AR44" i="48"/>
  <c r="AT44" i="48" s="1"/>
  <c r="D7" i="48" s="1"/>
  <c r="AK49" i="48" s="1"/>
  <c r="AM49" i="48" s="1"/>
  <c r="AS49" i="48" s="1"/>
  <c r="V50" i="45"/>
  <c r="Y8" i="19"/>
  <c r="J39" i="43"/>
  <c r="N39" i="43" s="1"/>
  <c r="AQ39" i="43" s="1"/>
  <c r="X20" i="49"/>
  <c r="D102" i="66"/>
  <c r="L111" i="66"/>
  <c r="D47" i="66"/>
  <c r="L51" i="66"/>
  <c r="D25" i="66"/>
  <c r="L27" i="66"/>
  <c r="D50" i="65"/>
  <c r="A50" i="65" s="1"/>
  <c r="I50" i="66"/>
  <c r="J50" i="66"/>
  <c r="B50" i="65" s="1"/>
  <c r="B46" i="66"/>
  <c r="A46" i="66"/>
  <c r="D26" i="65"/>
  <c r="A26" i="65" s="1"/>
  <c r="I26" i="66"/>
  <c r="J26" i="66"/>
  <c r="B26" i="65" s="1"/>
  <c r="A24" i="66"/>
  <c r="B24" i="66"/>
  <c r="A65" i="66"/>
  <c r="B65" i="66"/>
  <c r="D66" i="66"/>
  <c r="L71" i="66"/>
  <c r="D28" i="65"/>
  <c r="I28" i="66"/>
  <c r="J28" i="66"/>
  <c r="B28" i="65" s="1"/>
  <c r="B26" i="66"/>
  <c r="A26" i="66"/>
  <c r="D27" i="66"/>
  <c r="L29" i="66"/>
  <c r="I70" i="66"/>
  <c r="J70" i="66"/>
  <c r="B70" i="65" s="1"/>
  <c r="D70" i="65"/>
  <c r="D52" i="66"/>
  <c r="L55" i="66"/>
  <c r="AH8" i="48"/>
  <c r="AJ8" i="48" s="1"/>
  <c r="D54" i="65"/>
  <c r="I54" i="66"/>
  <c r="J54" i="66"/>
  <c r="B54" i="65" s="1"/>
  <c r="V4" i="49"/>
  <c r="X4" i="49"/>
  <c r="AE34" i="59"/>
  <c r="AI34" i="59"/>
  <c r="B51" i="66"/>
  <c r="A51" i="66"/>
  <c r="D90" i="66"/>
  <c r="L95" i="66"/>
  <c r="X13" i="46"/>
  <c r="D14" i="66"/>
  <c r="L15" i="66"/>
  <c r="D34" i="65"/>
  <c r="A34" i="65" s="1"/>
  <c r="I34" i="66"/>
  <c r="J34" i="66"/>
  <c r="B34" i="65" s="1"/>
  <c r="D94" i="65"/>
  <c r="I94" i="66"/>
  <c r="J94" i="66"/>
  <c r="B94" i="65" s="1"/>
  <c r="D14" i="65"/>
  <c r="I14" i="66"/>
  <c r="J14" i="66"/>
  <c r="B14" i="65" s="1"/>
  <c r="X14" i="48"/>
  <c r="T20" i="47"/>
  <c r="T14" i="47"/>
  <c r="V14" i="47" s="1"/>
  <c r="D33" i="66"/>
  <c r="L35" i="66"/>
  <c r="T33" i="59"/>
  <c r="V33" i="59"/>
  <c r="B32" i="66"/>
  <c r="A32" i="66"/>
  <c r="B89" i="66"/>
  <c r="A89" i="66"/>
  <c r="B13" i="66"/>
  <c r="A13" i="66"/>
  <c r="X20" i="48"/>
  <c r="V20" i="48"/>
  <c r="N23" i="48"/>
  <c r="AA8" i="20"/>
  <c r="CH106" i="61"/>
  <c r="AJ14" i="48"/>
  <c r="T21" i="48"/>
  <c r="V27" i="48"/>
  <c r="X27" i="48" s="1"/>
  <c r="T15" i="48"/>
  <c r="V3" i="48"/>
  <c r="X3" i="48"/>
  <c r="P14" i="47"/>
  <c r="L15" i="47"/>
  <c r="L17" i="47" s="1"/>
  <c r="N15" i="47"/>
  <c r="N17" i="47" s="1"/>
  <c r="X8" i="47"/>
  <c r="AL3" i="48"/>
  <c r="CJ104" i="61"/>
  <c r="CG107" i="61"/>
  <c r="CL102" i="61"/>
  <c r="D72" i="46"/>
  <c r="F72" i="46" s="1"/>
  <c r="V8" i="46"/>
  <c r="J22" i="46"/>
  <c r="J15" i="46"/>
  <c r="T2" i="46"/>
  <c r="AJ3" i="47"/>
  <c r="V10" i="48"/>
  <c r="Z9" i="48" s="1"/>
  <c r="D67" i="45"/>
  <c r="F67" i="45" s="1"/>
  <c r="H67" i="45" s="1"/>
  <c r="V8" i="45"/>
  <c r="T2" i="45"/>
  <c r="T13" i="45"/>
  <c r="J22" i="45"/>
  <c r="J15" i="45"/>
  <c r="CF108" i="61"/>
  <c r="D77" i="47"/>
  <c r="F77" i="47" s="1"/>
  <c r="V26" i="47"/>
  <c r="V9" i="47"/>
  <c r="X9" i="47" s="1"/>
  <c r="T3" i="47"/>
  <c r="CK103" i="61"/>
  <c r="CP98" i="61"/>
  <c r="A13" i="65"/>
  <c r="X26" i="48"/>
  <c r="L22" i="47"/>
  <c r="L23" i="47" s="1"/>
  <c r="J23" i="47"/>
  <c r="N22" i="47" s="1"/>
  <c r="X10" i="48"/>
  <c r="CE109" i="61"/>
  <c r="CM101" i="61"/>
  <c r="CI105" i="61"/>
  <c r="CN100" i="61"/>
  <c r="CO99" i="61"/>
  <c r="X2" i="47"/>
  <c r="V2" i="47"/>
  <c r="P15" i="49"/>
  <c r="P16" i="49" s="1"/>
  <c r="N19" i="49" s="1"/>
  <c r="N23" i="49"/>
  <c r="R69" i="49"/>
  <c r="T69" i="49" s="1"/>
  <c r="T70" i="49" s="1"/>
  <c r="X69" i="49" s="1"/>
  <c r="AH8" i="49"/>
  <c r="AJ14" i="49"/>
  <c r="T15" i="49"/>
  <c r="T21" i="49"/>
  <c r="V27" i="49"/>
  <c r="X27" i="49" s="1"/>
  <c r="AH4" i="49"/>
  <c r="X26" i="49"/>
  <c r="AL3" i="49"/>
  <c r="AL8" i="50"/>
  <c r="AJ8" i="50"/>
  <c r="X10" i="49"/>
  <c r="X3" i="49"/>
  <c r="V3" i="49"/>
  <c r="H15" i="25"/>
  <c r="I15" i="25" s="1"/>
  <c r="D15" i="25"/>
  <c r="F15" i="25" s="1"/>
  <c r="G15" i="25" s="1"/>
  <c r="AE16" i="61"/>
  <c r="V19" i="68" s="1"/>
  <c r="C4" i="38"/>
  <c r="AP16" i="25"/>
  <c r="B16" i="25"/>
  <c r="D37" i="39"/>
  <c r="F37" i="39" s="1"/>
  <c r="H37" i="39" s="1"/>
  <c r="R32" i="39"/>
  <c r="AE33" i="39"/>
  <c r="AG33" i="39" s="1"/>
  <c r="G14" i="25"/>
  <c r="X12" i="25"/>
  <c r="AA13" i="25"/>
  <c r="AG13" i="25" s="1"/>
  <c r="AF13" i="25" s="1"/>
  <c r="V32" i="40"/>
  <c r="T32" i="40"/>
  <c r="AV15" i="25"/>
  <c r="Y14" i="25"/>
  <c r="T50" i="45"/>
  <c r="X49" i="45" s="1"/>
  <c r="T72" i="48"/>
  <c r="V69" i="50"/>
  <c r="V70" i="50" s="1"/>
  <c r="T69" i="50"/>
  <c r="T70" i="50" s="1"/>
  <c r="X69" i="50" s="1"/>
  <c r="AG45" i="43"/>
  <c r="AG70" i="48"/>
  <c r="AI70" i="48" s="1"/>
  <c r="Y8" i="53"/>
  <c r="X7" i="53" s="1"/>
  <c r="R72" i="47"/>
  <c r="V72" i="47" s="1"/>
  <c r="D73" i="47"/>
  <c r="F73" i="47" s="1"/>
  <c r="H73" i="47" s="1"/>
  <c r="AE50" i="44"/>
  <c r="AI49" i="44" s="1"/>
  <c r="J37" i="42"/>
  <c r="AG50" i="44"/>
  <c r="AI50" i="45"/>
  <c r="AT49" i="49"/>
  <c r="D8" i="49" s="1"/>
  <c r="AK54" i="49" s="1"/>
  <c r="AM54" i="49" s="1"/>
  <c r="AS54" i="49" s="1"/>
  <c r="Z55" i="49"/>
  <c r="AB55" i="49" s="1"/>
  <c r="L60" i="49"/>
  <c r="N60" i="49" s="1"/>
  <c r="AQ60" i="49" s="1"/>
  <c r="AK55" i="49"/>
  <c r="AM55" i="49" s="1"/>
  <c r="AS55" i="49" s="1"/>
  <c r="Z54" i="49"/>
  <c r="AB54" i="49" s="1"/>
  <c r="H69" i="49"/>
  <c r="H70" i="49" s="1"/>
  <c r="J70" i="49" s="1"/>
  <c r="F70" i="49"/>
  <c r="J69" i="49" s="1"/>
  <c r="R47" i="41"/>
  <c r="D52" i="41"/>
  <c r="F52" i="41" s="1"/>
  <c r="D68" i="46"/>
  <c r="F68" i="46" s="1"/>
  <c r="R67" i="46"/>
  <c r="R77" i="48"/>
  <c r="D82" i="48"/>
  <c r="F82" i="48" s="1"/>
  <c r="H82" i="48" s="1"/>
  <c r="H52" i="42"/>
  <c r="V67" i="47"/>
  <c r="T67" i="47"/>
  <c r="H54" i="46"/>
  <c r="H55" i="46" s="1"/>
  <c r="J55" i="46" s="1"/>
  <c r="F55" i="46"/>
  <c r="J54" i="46" s="1"/>
  <c r="R39" i="43"/>
  <c r="T39" i="43" s="1"/>
  <c r="T40" i="43" s="1"/>
  <c r="X39" i="43" s="1"/>
  <c r="D53" i="43"/>
  <c r="F53" i="43" s="1"/>
  <c r="D83" i="49"/>
  <c r="F83" i="49" s="1"/>
  <c r="D87" i="49"/>
  <c r="F87" i="49" s="1"/>
  <c r="H87" i="49" s="1"/>
  <c r="R82" i="49"/>
  <c r="R79" i="50"/>
  <c r="D88" i="50"/>
  <c r="F88" i="50" s="1"/>
  <c r="H88" i="50" s="1"/>
  <c r="T77" i="49"/>
  <c r="V77" i="49"/>
  <c r="V47" i="42"/>
  <c r="T47" i="42"/>
  <c r="H68" i="47"/>
  <c r="V49" i="44"/>
  <c r="T49" i="44"/>
  <c r="J64" i="48"/>
  <c r="J65" i="48"/>
  <c r="AE55" i="45"/>
  <c r="AI54" i="45" s="1"/>
  <c r="AG80" i="50"/>
  <c r="AG55" i="45"/>
  <c r="AI60" i="47"/>
  <c r="AM60" i="47" s="1"/>
  <c r="AS60" i="47" s="1"/>
  <c r="AE80" i="50"/>
  <c r="AI79" i="50" s="1"/>
  <c r="H93" i="39"/>
  <c r="AI40" i="43"/>
  <c r="AI65" i="48"/>
  <c r="H50" i="44"/>
  <c r="AI35" i="42"/>
  <c r="AM35" i="42" s="1"/>
  <c r="AS35" i="42" s="1"/>
  <c r="X65" i="50"/>
  <c r="AE45" i="43"/>
  <c r="AI44" i="43" s="1"/>
  <c r="H93" i="37"/>
  <c r="H93" i="46"/>
  <c r="H93" i="43"/>
  <c r="H93" i="30"/>
  <c r="Y7" i="18"/>
  <c r="AA7" i="18" s="1"/>
  <c r="AG7" i="18" s="1"/>
  <c r="H93" i="36"/>
  <c r="X40" i="44"/>
  <c r="AA8" i="19"/>
  <c r="AG8" i="19" s="1"/>
  <c r="AA5" i="16"/>
  <c r="AG5" i="16" s="1"/>
  <c r="X4" i="16"/>
  <c r="X60" i="48"/>
  <c r="AA10" i="21"/>
  <c r="X9" i="21"/>
  <c r="AA11" i="22"/>
  <c r="X10" i="22"/>
  <c r="R37" i="40"/>
  <c r="R33" i="40"/>
  <c r="AE38" i="40"/>
  <c r="D38" i="40"/>
  <c r="AE34" i="40"/>
  <c r="D42" i="40"/>
  <c r="P104" i="34"/>
  <c r="O105" i="34"/>
  <c r="P105" i="34" s="1"/>
  <c r="A119" i="28"/>
  <c r="B118" i="28"/>
  <c r="Z95" i="39"/>
  <c r="Z94" i="39"/>
  <c r="R92" i="39"/>
  <c r="Y95" i="39"/>
  <c r="Y94" i="39"/>
  <c r="D9" i="53"/>
  <c r="F9" i="53" s="1"/>
  <c r="G9" i="53" s="1"/>
  <c r="H9" i="53"/>
  <c r="I9" i="53" s="1"/>
  <c r="M100" i="37"/>
  <c r="I100" i="37"/>
  <c r="G99" i="37"/>
  <c r="M99" i="37"/>
  <c r="I99" i="37"/>
  <c r="H93" i="45"/>
  <c r="P108" i="31"/>
  <c r="Q108" i="31" s="1"/>
  <c r="O109" i="31"/>
  <c r="C108" i="41"/>
  <c r="C109" i="41"/>
  <c r="A119" i="33"/>
  <c r="B118" i="33"/>
  <c r="A123" i="42"/>
  <c r="B122" i="42"/>
  <c r="C109" i="34"/>
  <c r="C108" i="34"/>
  <c r="O117" i="33"/>
  <c r="P116" i="33"/>
  <c r="O121" i="33"/>
  <c r="B126" i="50"/>
  <c r="A131" i="50"/>
  <c r="A127" i="50"/>
  <c r="O105" i="44"/>
  <c r="P105" i="44" s="1"/>
  <c r="P104" i="44"/>
  <c r="M104" i="27"/>
  <c r="I104" i="27"/>
  <c r="M105" i="27"/>
  <c r="I105" i="27"/>
  <c r="G104" i="27"/>
  <c r="C104" i="45"/>
  <c r="C103" i="45"/>
  <c r="F92" i="29"/>
  <c r="AF10" i="24"/>
  <c r="AF11" i="24" s="1"/>
  <c r="P125" i="59"/>
  <c r="O126" i="59"/>
  <c r="P126" i="59" s="1"/>
  <c r="X92" i="31"/>
  <c r="R94" i="31"/>
  <c r="A114" i="37"/>
  <c r="B113" i="37"/>
  <c r="F92" i="31"/>
  <c r="H14" i="24"/>
  <c r="I14" i="24" s="1"/>
  <c r="D14" i="24"/>
  <c r="F14" i="24" s="1"/>
  <c r="G14" i="24" s="1"/>
  <c r="L95" i="26"/>
  <c r="G92" i="26"/>
  <c r="K95" i="26"/>
  <c r="L94" i="26"/>
  <c r="D92" i="26"/>
  <c r="K94" i="26"/>
  <c r="M99" i="48"/>
  <c r="I99" i="48"/>
  <c r="M100" i="48"/>
  <c r="I100" i="48"/>
  <c r="G99" i="48"/>
  <c r="H11" i="21"/>
  <c r="I11" i="21" s="1"/>
  <c r="D11" i="21"/>
  <c r="F11" i="21" s="1"/>
  <c r="G11" i="21" s="1"/>
  <c r="C109" i="27"/>
  <c r="C108" i="27"/>
  <c r="B126" i="41"/>
  <c r="A131" i="41"/>
  <c r="A127" i="41"/>
  <c r="AJ114" i="49"/>
  <c r="AJ115" i="49"/>
  <c r="AA105" i="46"/>
  <c r="AO105" i="46" s="1"/>
  <c r="AP105" i="46" s="1"/>
  <c r="W105" i="46"/>
  <c r="AA104" i="46"/>
  <c r="AO104" i="46" s="1"/>
  <c r="AP104" i="46" s="1"/>
  <c r="W104" i="46"/>
  <c r="AE59" i="45"/>
  <c r="AG59" i="45" s="1"/>
  <c r="AE63" i="45"/>
  <c r="R58" i="45"/>
  <c r="D59" i="45"/>
  <c r="F59" i="45" s="1"/>
  <c r="H59" i="45" s="1"/>
  <c r="R54" i="45"/>
  <c r="D63" i="45"/>
  <c r="F63" i="45" s="1"/>
  <c r="H63" i="45" s="1"/>
  <c r="R62" i="45"/>
  <c r="V54" i="46"/>
  <c r="V55" i="46" s="1"/>
  <c r="T54" i="46"/>
  <c r="T55" i="46" s="1"/>
  <c r="X54" i="46" s="1"/>
  <c r="C102" i="47"/>
  <c r="G103" i="47"/>
  <c r="B117" i="26"/>
  <c r="A118" i="26"/>
  <c r="V92" i="29"/>
  <c r="V95" i="29" s="1"/>
  <c r="T92" i="29"/>
  <c r="T95" i="29" s="1"/>
  <c r="X94" i="29" s="1"/>
  <c r="AB94" i="29" s="1"/>
  <c r="AJ115" i="50"/>
  <c r="AJ114" i="50"/>
  <c r="Q104" i="36"/>
  <c r="Q102" i="36"/>
  <c r="AH13" i="61"/>
  <c r="Y16" i="68" s="1"/>
  <c r="C7" i="41"/>
  <c r="AP13" i="22"/>
  <c r="Y12" i="22" s="1"/>
  <c r="B13" i="22"/>
  <c r="AA11" i="23"/>
  <c r="AG11" i="23" s="1"/>
  <c r="X10" i="23"/>
  <c r="H77" i="48"/>
  <c r="O126" i="29"/>
  <c r="O122" i="29"/>
  <c r="P121" i="29"/>
  <c r="V92" i="26"/>
  <c r="V95" i="26" s="1"/>
  <c r="T92" i="26"/>
  <c r="T95" i="26" s="1"/>
  <c r="X94" i="26" s="1"/>
  <c r="AB94" i="26" s="1"/>
  <c r="AJ114" i="26"/>
  <c r="AJ115" i="26"/>
  <c r="M99" i="30"/>
  <c r="I99" i="30"/>
  <c r="M100" i="30"/>
  <c r="I100" i="30"/>
  <c r="G99" i="30"/>
  <c r="C108" i="38"/>
  <c r="C109" i="38"/>
  <c r="O113" i="34"/>
  <c r="P112" i="34"/>
  <c r="AE74" i="48"/>
  <c r="AG74" i="48" s="1"/>
  <c r="R64" i="48"/>
  <c r="AE78" i="48"/>
  <c r="R73" i="48"/>
  <c r="D74" i="48"/>
  <c r="D78" i="48"/>
  <c r="A114" i="36"/>
  <c r="B113" i="36"/>
  <c r="X97" i="42"/>
  <c r="Q104" i="47"/>
  <c r="Q102" i="47"/>
  <c r="Y95" i="49"/>
  <c r="Z94" i="49"/>
  <c r="Z95" i="49"/>
  <c r="Y94" i="49"/>
  <c r="R92" i="49"/>
  <c r="X92" i="40"/>
  <c r="R94" i="40"/>
  <c r="AV13" i="23"/>
  <c r="AC119" i="33"/>
  <c r="AD119" i="33" s="1"/>
  <c r="AD118" i="33"/>
  <c r="AC123" i="33"/>
  <c r="O117" i="43"/>
  <c r="P116" i="43"/>
  <c r="O121" i="43"/>
  <c r="Z95" i="28"/>
  <c r="Z94" i="28"/>
  <c r="R92" i="28"/>
  <c r="Y95" i="28"/>
  <c r="Y94" i="28"/>
  <c r="C97" i="45"/>
  <c r="G98" i="45"/>
  <c r="Q102" i="29"/>
  <c r="Q104" i="29"/>
  <c r="G98" i="26"/>
  <c r="C97" i="26"/>
  <c r="AG68" i="47"/>
  <c r="AC114" i="38"/>
  <c r="AD114" i="38" s="1"/>
  <c r="AD113" i="38"/>
  <c r="AC118" i="38"/>
  <c r="X97" i="41"/>
  <c r="Q102" i="35"/>
  <c r="Q104" i="35"/>
  <c r="A115" i="49"/>
  <c r="B115" i="49" s="1"/>
  <c r="B114" i="49"/>
  <c r="O110" i="48"/>
  <c r="P110" i="48" s="1"/>
  <c r="P109" i="48"/>
  <c r="B135" i="59"/>
  <c r="A136" i="59"/>
  <c r="Q97" i="50"/>
  <c r="Q99" i="50"/>
  <c r="AA110" i="30"/>
  <c r="AO110" i="30" s="1"/>
  <c r="AP110" i="30" s="1"/>
  <c r="W110" i="30"/>
  <c r="AA109" i="30"/>
  <c r="AO109" i="30" s="1"/>
  <c r="AP109" i="30" s="1"/>
  <c r="W109" i="30"/>
  <c r="B109" i="43"/>
  <c r="A110" i="43"/>
  <c r="B110" i="43" s="1"/>
  <c r="AJ11" i="61"/>
  <c r="AA14" i="68" s="1"/>
  <c r="C9" i="43"/>
  <c r="AP11" i="20"/>
  <c r="Y10" i="20" s="1"/>
  <c r="B11" i="20"/>
  <c r="AG6" i="19"/>
  <c r="AG83" i="50"/>
  <c r="P117" i="36"/>
  <c r="O118" i="36"/>
  <c r="A114" i="26"/>
  <c r="B113" i="26"/>
  <c r="P113" i="30"/>
  <c r="Q113" i="30" s="1"/>
  <c r="O114" i="30"/>
  <c r="AL115" i="30"/>
  <c r="AH115" i="30"/>
  <c r="AI112" i="30"/>
  <c r="AL114" i="30"/>
  <c r="AH114" i="30"/>
  <c r="AA12" i="24"/>
  <c r="AA105" i="50"/>
  <c r="AO105" i="50" s="1"/>
  <c r="W105" i="50"/>
  <c r="AA104" i="50"/>
  <c r="AO104" i="50" s="1"/>
  <c r="W104" i="50"/>
  <c r="I107" i="59"/>
  <c r="I108" i="59"/>
  <c r="L107" i="59"/>
  <c r="G105" i="59"/>
  <c r="L108" i="59"/>
  <c r="K107" i="59"/>
  <c r="K108" i="59"/>
  <c r="D105" i="59"/>
  <c r="O109" i="34"/>
  <c r="P108" i="34"/>
  <c r="Q108" i="34" s="1"/>
  <c r="AI112" i="28"/>
  <c r="AL114" i="28"/>
  <c r="AH114" i="28"/>
  <c r="AL115" i="28"/>
  <c r="AH115" i="28"/>
  <c r="Q97" i="46"/>
  <c r="Q99" i="46"/>
  <c r="A115" i="33"/>
  <c r="B115" i="33" s="1"/>
  <c r="B114" i="33"/>
  <c r="X92" i="46"/>
  <c r="R94" i="46"/>
  <c r="AC123" i="32"/>
  <c r="AC119" i="32"/>
  <c r="AD119" i="32" s="1"/>
  <c r="AD118" i="32"/>
  <c r="L95" i="30"/>
  <c r="G92" i="30"/>
  <c r="K95" i="30"/>
  <c r="L94" i="30"/>
  <c r="D92" i="30"/>
  <c r="K94" i="30"/>
  <c r="AE69" i="47"/>
  <c r="AG69" i="47" s="1"/>
  <c r="R68" i="47"/>
  <c r="AE73" i="47"/>
  <c r="D69" i="47"/>
  <c r="K99" i="28"/>
  <c r="G97" i="28"/>
  <c r="K100" i="28"/>
  <c r="AL9" i="61"/>
  <c r="AC12" i="68" s="1"/>
  <c r="AP9" i="18"/>
  <c r="C11" i="45"/>
  <c r="AH3" i="45" s="1"/>
  <c r="AJ3" i="45" s="1"/>
  <c r="AL3" i="45" s="1"/>
  <c r="B9" i="18"/>
  <c r="W114" i="59"/>
  <c r="W113" i="59"/>
  <c r="Y114" i="59"/>
  <c r="Y113" i="59"/>
  <c r="AG4" i="16"/>
  <c r="B126" i="32"/>
  <c r="A127" i="32"/>
  <c r="A131" i="32"/>
  <c r="V73" i="49"/>
  <c r="T73" i="49"/>
  <c r="V92" i="35"/>
  <c r="V95" i="35" s="1"/>
  <c r="T92" i="35"/>
  <c r="T95" i="35" s="1"/>
  <c r="X94" i="35" s="1"/>
  <c r="AB94" i="35" s="1"/>
  <c r="G12" i="23"/>
  <c r="P108" i="43"/>
  <c r="Q108" i="43" s="1"/>
  <c r="O109" i="43"/>
  <c r="AL109" i="35"/>
  <c r="AH109" i="35"/>
  <c r="AL110" i="35"/>
  <c r="AH110" i="35"/>
  <c r="AI107" i="35"/>
  <c r="P113" i="42"/>
  <c r="Q113" i="42" s="1"/>
  <c r="O114" i="42"/>
  <c r="B118" i="42"/>
  <c r="A119" i="42"/>
  <c r="O113" i="31"/>
  <c r="P112" i="31"/>
  <c r="AG75" i="49"/>
  <c r="AC119" i="27"/>
  <c r="AD119" i="27" s="1"/>
  <c r="AD118" i="27"/>
  <c r="AC123" i="27"/>
  <c r="H93" i="48"/>
  <c r="G4" i="16"/>
  <c r="AA7" i="53"/>
  <c r="AG7" i="53" s="1"/>
  <c r="AC118" i="47"/>
  <c r="AC114" i="47"/>
  <c r="AD114" i="47" s="1"/>
  <c r="AD113" i="47"/>
  <c r="V107" i="59"/>
  <c r="T107" i="59"/>
  <c r="AJ114" i="36"/>
  <c r="AJ115" i="36"/>
  <c r="AC129" i="40"/>
  <c r="AD129" i="40" s="1"/>
  <c r="AD128" i="40"/>
  <c r="AC133" i="40"/>
  <c r="O110" i="29"/>
  <c r="P110" i="29" s="1"/>
  <c r="P109" i="29"/>
  <c r="A115" i="29"/>
  <c r="B115" i="29" s="1"/>
  <c r="B114" i="29"/>
  <c r="AA105" i="43"/>
  <c r="AO105" i="43" s="1"/>
  <c r="AP105" i="43" s="1"/>
  <c r="W105" i="43"/>
  <c r="AA104" i="43"/>
  <c r="AO104" i="43" s="1"/>
  <c r="AP104" i="43" s="1"/>
  <c r="W104" i="43"/>
  <c r="A123" i="49"/>
  <c r="B122" i="49"/>
  <c r="Q104" i="26"/>
  <c r="Q102" i="26"/>
  <c r="F57" i="44"/>
  <c r="V44" i="44"/>
  <c r="V45" i="44" s="1"/>
  <c r="T44" i="44"/>
  <c r="T45" i="44" s="1"/>
  <c r="X44" i="44" s="1"/>
  <c r="C118" i="59"/>
  <c r="C119" i="59"/>
  <c r="AA110" i="41"/>
  <c r="AO110" i="41" s="1"/>
  <c r="AP110" i="41" s="1"/>
  <c r="W110" i="41"/>
  <c r="AA109" i="41"/>
  <c r="AO109" i="41" s="1"/>
  <c r="AP109" i="41" s="1"/>
  <c r="W109" i="41"/>
  <c r="Z95" i="43"/>
  <c r="Z94" i="43"/>
  <c r="R92" i="43"/>
  <c r="Y95" i="43"/>
  <c r="Y94" i="43"/>
  <c r="AV5" i="15"/>
  <c r="M105" i="38"/>
  <c r="I105" i="38"/>
  <c r="G104" i="38"/>
  <c r="M104" i="38"/>
  <c r="I104" i="38"/>
  <c r="V94" i="42"/>
  <c r="T94" i="42"/>
  <c r="AE65" i="47"/>
  <c r="AI64" i="47" s="1"/>
  <c r="AA105" i="28"/>
  <c r="AO105" i="28" s="1"/>
  <c r="AP105" i="28" s="1"/>
  <c r="W105" i="28"/>
  <c r="AA104" i="28"/>
  <c r="AO104" i="28" s="1"/>
  <c r="AP104" i="28" s="1"/>
  <c r="W104" i="28"/>
  <c r="A115" i="35"/>
  <c r="B115" i="35" s="1"/>
  <c r="B114" i="35"/>
  <c r="B126" i="29"/>
  <c r="A131" i="29"/>
  <c r="A127" i="29"/>
  <c r="X97" i="26"/>
  <c r="C102" i="33"/>
  <c r="G103" i="33"/>
  <c r="AC139" i="46"/>
  <c r="AD139" i="46" s="1"/>
  <c r="AD138" i="46"/>
  <c r="AC143" i="46"/>
  <c r="R119" i="32"/>
  <c r="X117" i="32"/>
  <c r="F92" i="41"/>
  <c r="O122" i="26"/>
  <c r="P121" i="26"/>
  <c r="O126" i="26"/>
  <c r="L95" i="43"/>
  <c r="G92" i="43"/>
  <c r="K95" i="43"/>
  <c r="L94" i="43"/>
  <c r="D92" i="43"/>
  <c r="K94" i="43"/>
  <c r="Q99" i="39"/>
  <c r="Q97" i="39"/>
  <c r="P113" i="47"/>
  <c r="Q113" i="47" s="1"/>
  <c r="O114" i="47"/>
  <c r="AL115" i="48"/>
  <c r="AH115" i="48"/>
  <c r="AI112" i="48"/>
  <c r="AL114" i="48"/>
  <c r="AH114" i="48"/>
  <c r="A115" i="28"/>
  <c r="B115" i="28" s="1"/>
  <c r="B114" i="28"/>
  <c r="AI55" i="46"/>
  <c r="H62" i="46"/>
  <c r="C109" i="50"/>
  <c r="C108" i="50"/>
  <c r="G98" i="39"/>
  <c r="C97" i="39"/>
  <c r="V94" i="30"/>
  <c r="T94" i="30"/>
  <c r="Q104" i="48"/>
  <c r="Q102" i="48"/>
  <c r="F62" i="45"/>
  <c r="T53" i="45"/>
  <c r="V53" i="45"/>
  <c r="B121" i="37"/>
  <c r="A126" i="37"/>
  <c r="A122" i="37"/>
  <c r="X97" i="30"/>
  <c r="A119" i="49"/>
  <c r="B118" i="49"/>
  <c r="V33" i="41"/>
  <c r="T33" i="41"/>
  <c r="A119" i="38"/>
  <c r="B118" i="38"/>
  <c r="F10" i="21"/>
  <c r="M113" i="59"/>
  <c r="M114" i="59"/>
  <c r="G113" i="59"/>
  <c r="V92" i="41"/>
  <c r="V95" i="41" s="1"/>
  <c r="T92" i="41"/>
  <c r="T95" i="41" s="1"/>
  <c r="X94" i="41" s="1"/>
  <c r="AB94" i="41" s="1"/>
  <c r="G6" i="18"/>
  <c r="AL115" i="39"/>
  <c r="AI112" i="39"/>
  <c r="AH114" i="39"/>
  <c r="AL114" i="39"/>
  <c r="AH115" i="39"/>
  <c r="AC114" i="41"/>
  <c r="AD114" i="41" s="1"/>
  <c r="AD113" i="41"/>
  <c r="AC118" i="41"/>
  <c r="AV4" i="14"/>
  <c r="AP5" i="61"/>
  <c r="AG8" i="68" s="1"/>
  <c r="B5" i="14"/>
  <c r="C15" i="49"/>
  <c r="R87" i="49" s="1"/>
  <c r="V87" i="49" s="1"/>
  <c r="AP5" i="14"/>
  <c r="H44" i="44"/>
  <c r="H45" i="44" s="1"/>
  <c r="J45" i="44" s="1"/>
  <c r="F45" i="44"/>
  <c r="J44" i="44" s="1"/>
  <c r="A115" i="31"/>
  <c r="B115" i="31" s="1"/>
  <c r="B114" i="31"/>
  <c r="C102" i="49"/>
  <c r="G103" i="49"/>
  <c r="P117" i="30"/>
  <c r="O118" i="30"/>
  <c r="B117" i="43"/>
  <c r="A118" i="43"/>
  <c r="P112" i="49"/>
  <c r="O113" i="49"/>
  <c r="AA105" i="37"/>
  <c r="AO105" i="37" s="1"/>
  <c r="AP105" i="37" s="1"/>
  <c r="W105" i="37"/>
  <c r="AA104" i="37"/>
  <c r="AO104" i="37" s="1"/>
  <c r="AP104" i="37" s="1"/>
  <c r="W104" i="37"/>
  <c r="A119" i="29"/>
  <c r="B118" i="29"/>
  <c r="O122" i="48"/>
  <c r="P121" i="48"/>
  <c r="O126" i="48"/>
  <c r="A118" i="36"/>
  <c r="B117" i="36"/>
  <c r="Q102" i="41"/>
  <c r="Q104" i="41"/>
  <c r="AD136" i="59"/>
  <c r="AC142" i="59"/>
  <c r="AC137" i="59"/>
  <c r="AD137" i="59" s="1"/>
  <c r="G97" i="42"/>
  <c r="K100" i="42"/>
  <c r="K99" i="42"/>
  <c r="O113" i="28"/>
  <c r="P112" i="28"/>
  <c r="B126" i="35"/>
  <c r="A131" i="35"/>
  <c r="A127" i="35"/>
  <c r="O109" i="37"/>
  <c r="P108" i="37"/>
  <c r="Q108" i="37" s="1"/>
  <c r="A115" i="42"/>
  <c r="B115" i="42" s="1"/>
  <c r="B114" i="42"/>
  <c r="Q97" i="28"/>
  <c r="Q99" i="28"/>
  <c r="Q104" i="30"/>
  <c r="Q102" i="30"/>
  <c r="A123" i="44"/>
  <c r="B122" i="44"/>
  <c r="AC119" i="45"/>
  <c r="AD119" i="45" s="1"/>
  <c r="AD118" i="45"/>
  <c r="AC123" i="45"/>
  <c r="AC119" i="37"/>
  <c r="AD119" i="37" s="1"/>
  <c r="AD118" i="37"/>
  <c r="AC123" i="37"/>
  <c r="A119" i="44"/>
  <c r="B118" i="44"/>
  <c r="Q99" i="31"/>
  <c r="Q97" i="31"/>
  <c r="C102" i="41"/>
  <c r="G103" i="41"/>
  <c r="G7" i="53"/>
  <c r="Z95" i="37"/>
  <c r="Z94" i="37"/>
  <c r="R92" i="37"/>
  <c r="Y95" i="37"/>
  <c r="Y94" i="37"/>
  <c r="C102" i="34"/>
  <c r="G103" i="34"/>
  <c r="O126" i="42"/>
  <c r="O122" i="42"/>
  <c r="P121" i="42"/>
  <c r="K100" i="49"/>
  <c r="K99" i="49"/>
  <c r="G97" i="49"/>
  <c r="O105" i="27"/>
  <c r="P105" i="27" s="1"/>
  <c r="P104" i="27"/>
  <c r="O110" i="26"/>
  <c r="P110" i="26" s="1"/>
  <c r="P109" i="26"/>
  <c r="C102" i="29"/>
  <c r="G103" i="29"/>
  <c r="A123" i="31"/>
  <c r="B122" i="31"/>
  <c r="V92" i="30"/>
  <c r="V95" i="30" s="1"/>
  <c r="T92" i="30"/>
  <c r="T95" i="30" s="1"/>
  <c r="X94" i="30" s="1"/>
  <c r="AB94" i="30" s="1"/>
  <c r="AL115" i="42"/>
  <c r="AH115" i="42"/>
  <c r="AI112" i="42"/>
  <c r="AL114" i="42"/>
  <c r="AH114" i="42"/>
  <c r="O114" i="38"/>
  <c r="P113" i="38"/>
  <c r="Q113" i="38" s="1"/>
  <c r="P121" i="47"/>
  <c r="O122" i="47"/>
  <c r="O126" i="47"/>
  <c r="P117" i="42"/>
  <c r="O118" i="42"/>
  <c r="A131" i="42"/>
  <c r="A127" i="42"/>
  <c r="B126" i="42"/>
  <c r="A115" i="38"/>
  <c r="B115" i="38" s="1"/>
  <c r="B114" i="38"/>
  <c r="D97" i="50"/>
  <c r="K99" i="50"/>
  <c r="G97" i="50"/>
  <c r="K100" i="50"/>
  <c r="H73" i="48"/>
  <c r="F92" i="32"/>
  <c r="AA105" i="44"/>
  <c r="AO105" i="44" s="1"/>
  <c r="AP105" i="44" s="1"/>
  <c r="W105" i="44"/>
  <c r="AA104" i="44"/>
  <c r="AO104" i="44" s="1"/>
  <c r="AP104" i="44" s="1"/>
  <c r="W104" i="44"/>
  <c r="O113" i="45"/>
  <c r="P112" i="45"/>
  <c r="M105" i="29"/>
  <c r="I105" i="29"/>
  <c r="G104" i="29"/>
  <c r="M104" i="29"/>
  <c r="I104" i="29"/>
  <c r="Q99" i="44"/>
  <c r="Q97" i="44"/>
  <c r="A114" i="48"/>
  <c r="B113" i="48"/>
  <c r="O110" i="36"/>
  <c r="P110" i="36" s="1"/>
  <c r="P109" i="36"/>
  <c r="AJ114" i="42"/>
  <c r="AJ115" i="42"/>
  <c r="AF15" i="61"/>
  <c r="W18" i="68" s="1"/>
  <c r="AP15" i="24"/>
  <c r="B15" i="24"/>
  <c r="C5" i="39"/>
  <c r="H93" i="26"/>
  <c r="AI12" i="61"/>
  <c r="Z15" i="68" s="1"/>
  <c r="B12" i="21"/>
  <c r="AP12" i="21"/>
  <c r="Y11" i="21" s="1"/>
  <c r="C8" i="42"/>
  <c r="T94" i="41"/>
  <c r="V94" i="41"/>
  <c r="AA105" i="34"/>
  <c r="AO105" i="34" s="1"/>
  <c r="AP105" i="34" s="1"/>
  <c r="W105" i="34"/>
  <c r="AA104" i="34"/>
  <c r="AO104" i="34" s="1"/>
  <c r="AP104" i="34" s="1"/>
  <c r="W104" i="34"/>
  <c r="A126" i="59"/>
  <c r="B126" i="59" s="1"/>
  <c r="B125" i="59"/>
  <c r="AL115" i="49"/>
  <c r="AH115" i="49"/>
  <c r="AL114" i="49"/>
  <c r="AH114" i="49"/>
  <c r="AI112" i="49"/>
  <c r="P104" i="46"/>
  <c r="O105" i="46"/>
  <c r="P105" i="46" s="1"/>
  <c r="G103" i="42"/>
  <c r="C102" i="42"/>
  <c r="H9" i="19"/>
  <c r="I9" i="19" s="1"/>
  <c r="D9" i="19"/>
  <c r="F9" i="19" s="1"/>
  <c r="G9" i="19" s="1"/>
  <c r="V62" i="46"/>
  <c r="T62" i="46"/>
  <c r="T58" i="46"/>
  <c r="V58" i="46"/>
  <c r="M105" i="47"/>
  <c r="I104" i="47"/>
  <c r="M104" i="47"/>
  <c r="G104" i="47"/>
  <c r="I105" i="47"/>
  <c r="B121" i="26"/>
  <c r="A126" i="26"/>
  <c r="A122" i="26"/>
  <c r="C97" i="37"/>
  <c r="G98" i="37"/>
  <c r="AI112" i="50"/>
  <c r="AL114" i="50"/>
  <c r="AH114" i="50"/>
  <c r="AL115" i="50"/>
  <c r="AH115" i="50"/>
  <c r="AV12" i="22"/>
  <c r="C109" i="40"/>
  <c r="C108" i="40"/>
  <c r="AL115" i="26"/>
  <c r="AH115" i="26"/>
  <c r="AI112" i="26"/>
  <c r="AL114" i="26"/>
  <c r="AH114" i="26"/>
  <c r="O105" i="33"/>
  <c r="P105" i="33" s="1"/>
  <c r="P104" i="33"/>
  <c r="A115" i="44"/>
  <c r="B115" i="44" s="1"/>
  <c r="B114" i="44"/>
  <c r="P116" i="34"/>
  <c r="O121" i="34"/>
  <c r="O117" i="34"/>
  <c r="AV6" i="16"/>
  <c r="B117" i="45"/>
  <c r="A118" i="45"/>
  <c r="K99" i="40"/>
  <c r="G97" i="40"/>
  <c r="K100" i="40"/>
  <c r="P113" i="26"/>
  <c r="Q113" i="26" s="1"/>
  <c r="O114" i="26"/>
  <c r="X92" i="34"/>
  <c r="R94" i="34"/>
  <c r="Z95" i="40"/>
  <c r="Z94" i="40"/>
  <c r="R92" i="40"/>
  <c r="Y95" i="40"/>
  <c r="Y94" i="40"/>
  <c r="H13" i="23"/>
  <c r="I13" i="23" s="1"/>
  <c r="D13" i="23"/>
  <c r="F13" i="23" s="1"/>
  <c r="G13" i="23" s="1"/>
  <c r="A115" i="34"/>
  <c r="B115" i="34" s="1"/>
  <c r="B114" i="34"/>
  <c r="O109" i="28"/>
  <c r="P108" i="28"/>
  <c r="Q108" i="28" s="1"/>
  <c r="AJ114" i="33"/>
  <c r="AJ115" i="33"/>
  <c r="Y99" i="47"/>
  <c r="Y100" i="47"/>
  <c r="O105" i="49"/>
  <c r="P105" i="49" s="1"/>
  <c r="P104" i="49"/>
  <c r="AC119" i="34"/>
  <c r="AD119" i="34" s="1"/>
  <c r="AD118" i="34"/>
  <c r="AC123" i="34"/>
  <c r="M100" i="45"/>
  <c r="I100" i="45"/>
  <c r="G99" i="45"/>
  <c r="M99" i="45"/>
  <c r="I99" i="45"/>
  <c r="M99" i="26"/>
  <c r="I99" i="26"/>
  <c r="M100" i="26"/>
  <c r="I100" i="26"/>
  <c r="G99" i="26"/>
  <c r="T59" i="47"/>
  <c r="T60" i="47" s="1"/>
  <c r="X59" i="47" s="1"/>
  <c r="V59" i="47"/>
  <c r="V60" i="47" s="1"/>
  <c r="AJ110" i="38"/>
  <c r="AJ109" i="38"/>
  <c r="A115" i="32"/>
  <c r="B115" i="32" s="1"/>
  <c r="B114" i="32"/>
  <c r="A115" i="50"/>
  <c r="B115" i="50" s="1"/>
  <c r="B114" i="50"/>
  <c r="AA105" i="45"/>
  <c r="AO105" i="45" s="1"/>
  <c r="AP105" i="45" s="1"/>
  <c r="W105" i="45"/>
  <c r="AA104" i="45"/>
  <c r="AO104" i="45" s="1"/>
  <c r="AP104" i="45" s="1"/>
  <c r="W104" i="45"/>
  <c r="O113" i="37"/>
  <c r="P112" i="37"/>
  <c r="Y100" i="41"/>
  <c r="Y99" i="41"/>
  <c r="H42" i="42"/>
  <c r="T92" i="36"/>
  <c r="T95" i="36" s="1"/>
  <c r="X94" i="36" s="1"/>
  <c r="AB94" i="36" s="1"/>
  <c r="V92" i="36"/>
  <c r="V95" i="36" s="1"/>
  <c r="O113" i="40"/>
  <c r="P112" i="40"/>
  <c r="C109" i="44"/>
  <c r="C108" i="44"/>
  <c r="AA110" i="48"/>
  <c r="AO110" i="48" s="1"/>
  <c r="AP110" i="48" s="1"/>
  <c r="W110" i="48"/>
  <c r="AA109" i="48"/>
  <c r="AO109" i="48" s="1"/>
  <c r="AP109" i="48" s="1"/>
  <c r="W109" i="48"/>
  <c r="A119" i="50"/>
  <c r="B118" i="50"/>
  <c r="AR35" i="43"/>
  <c r="AR34" i="43"/>
  <c r="C102" i="31"/>
  <c r="G103" i="31"/>
  <c r="Z95" i="27"/>
  <c r="Z94" i="27"/>
  <c r="R92" i="27"/>
  <c r="Y95" i="27"/>
  <c r="Y94" i="27"/>
  <c r="AE54" i="44"/>
  <c r="AG54" i="44" s="1"/>
  <c r="D54" i="44"/>
  <c r="R53" i="44"/>
  <c r="AE58" i="44"/>
  <c r="D58" i="44"/>
  <c r="F58" i="44" s="1"/>
  <c r="H58" i="44" s="1"/>
  <c r="R57" i="44"/>
  <c r="D62" i="44"/>
  <c r="B117" i="39"/>
  <c r="A118" i="39"/>
  <c r="V74" i="50"/>
  <c r="V75" i="50" s="1"/>
  <c r="T74" i="50"/>
  <c r="T75" i="50" s="1"/>
  <c r="X74" i="50" s="1"/>
  <c r="C104" i="39"/>
  <c r="C103" i="39"/>
  <c r="A110" i="48"/>
  <c r="B110" i="48" s="1"/>
  <c r="B109" i="48"/>
  <c r="C97" i="46"/>
  <c r="G98" i="46"/>
  <c r="AC123" i="30"/>
  <c r="AC119" i="30"/>
  <c r="AD119" i="30" s="1"/>
  <c r="AD118" i="30"/>
  <c r="V94" i="48"/>
  <c r="T94" i="48"/>
  <c r="O110" i="42"/>
  <c r="P110" i="42" s="1"/>
  <c r="P109" i="42"/>
  <c r="O114" i="29"/>
  <c r="P113" i="29"/>
  <c r="Q113" i="29" s="1"/>
  <c r="O105" i="31"/>
  <c r="P105" i="31" s="1"/>
  <c r="P104" i="31"/>
  <c r="P104" i="50"/>
  <c r="O105" i="50"/>
  <c r="P105" i="50" s="1"/>
  <c r="A119" i="32"/>
  <c r="B118" i="32"/>
  <c r="P113" i="48"/>
  <c r="Q113" i="48" s="1"/>
  <c r="O114" i="48"/>
  <c r="K95" i="36"/>
  <c r="K94" i="36"/>
  <c r="L95" i="36"/>
  <c r="G92" i="36"/>
  <c r="L94" i="36"/>
  <c r="D92" i="36"/>
  <c r="F47" i="42"/>
  <c r="AG43" i="42"/>
  <c r="Z95" i="46"/>
  <c r="Z94" i="46"/>
  <c r="R92" i="46"/>
  <c r="Y95" i="46"/>
  <c r="Y94" i="46"/>
  <c r="L94" i="46"/>
  <c r="D92" i="46"/>
  <c r="K94" i="46"/>
  <c r="L95" i="46"/>
  <c r="G92" i="46"/>
  <c r="K95" i="46"/>
  <c r="H7" i="17"/>
  <c r="I7" i="17" s="1"/>
  <c r="D7" i="17"/>
  <c r="F7" i="17" s="1"/>
  <c r="G7" i="17" s="1"/>
  <c r="O113" i="50"/>
  <c r="P112" i="50"/>
  <c r="AV8" i="18"/>
  <c r="X111" i="59"/>
  <c r="K99" i="29"/>
  <c r="G97" i="29"/>
  <c r="K100" i="29"/>
  <c r="B122" i="32"/>
  <c r="A123" i="32"/>
  <c r="V64" i="49"/>
  <c r="V65" i="49" s="1"/>
  <c r="T64" i="49"/>
  <c r="T65" i="49" s="1"/>
  <c r="X64" i="49" s="1"/>
  <c r="A114" i="45"/>
  <c r="B113" i="45"/>
  <c r="C108" i="29"/>
  <c r="C109" i="29"/>
  <c r="F92" i="33"/>
  <c r="O109" i="40"/>
  <c r="P108" i="40"/>
  <c r="Q108" i="40" s="1"/>
  <c r="AF4" i="17"/>
  <c r="AJ114" i="27"/>
  <c r="AJ115" i="27"/>
  <c r="A110" i="39"/>
  <c r="B110" i="39" s="1"/>
  <c r="B109" i="39"/>
  <c r="H60" i="46"/>
  <c r="V94" i="47"/>
  <c r="T94" i="47"/>
  <c r="B122" i="34"/>
  <c r="A123" i="34"/>
  <c r="AG60" i="46"/>
  <c r="F92" i="47"/>
  <c r="A115" i="40"/>
  <c r="B115" i="40" s="1"/>
  <c r="B114" i="40"/>
  <c r="W130" i="32"/>
  <c r="AA129" i="32"/>
  <c r="AO129" i="32" s="1"/>
  <c r="AP129" i="32" s="1"/>
  <c r="W129" i="32"/>
  <c r="AA130" i="32"/>
  <c r="AO130" i="32" s="1"/>
  <c r="AP130" i="32" s="1"/>
  <c r="AC114" i="29"/>
  <c r="AD114" i="29" s="1"/>
  <c r="AD113" i="29"/>
  <c r="AC118" i="29"/>
  <c r="AL115" i="36"/>
  <c r="AH115" i="36"/>
  <c r="AL114" i="36"/>
  <c r="AH114" i="36"/>
  <c r="AI112" i="36"/>
  <c r="AJ125" i="40"/>
  <c r="AJ124" i="40"/>
  <c r="F92" i="35"/>
  <c r="A131" i="49"/>
  <c r="A127" i="49"/>
  <c r="B126" i="49"/>
  <c r="G13" i="24"/>
  <c r="T52" i="44"/>
  <c r="V52" i="44"/>
  <c r="O110" i="41"/>
  <c r="P110" i="41" s="1"/>
  <c r="P109" i="41"/>
  <c r="R94" i="43"/>
  <c r="X92" i="43"/>
  <c r="AO6" i="61"/>
  <c r="AF9" i="68" s="1"/>
  <c r="B6" i="15"/>
  <c r="C14" i="48"/>
  <c r="T22" i="48" s="1"/>
  <c r="AP6" i="15"/>
  <c r="C102" i="38"/>
  <c r="G103" i="38"/>
  <c r="A114" i="30"/>
  <c r="B113" i="30"/>
  <c r="F8" i="19"/>
  <c r="AC114" i="44"/>
  <c r="AD114" i="44" s="1"/>
  <c r="AD113" i="44"/>
  <c r="AC118" i="44"/>
  <c r="A110" i="37"/>
  <c r="B110" i="37" s="1"/>
  <c r="B109" i="37"/>
  <c r="B122" i="40"/>
  <c r="A123" i="40"/>
  <c r="H72" i="47"/>
  <c r="P104" i="28"/>
  <c r="O105" i="28"/>
  <c r="P105" i="28" s="1"/>
  <c r="O131" i="59"/>
  <c r="P130" i="59"/>
  <c r="Q130" i="59" s="1"/>
  <c r="P108" i="49"/>
  <c r="Q108" i="49" s="1"/>
  <c r="O109" i="49"/>
  <c r="M104" i="33"/>
  <c r="I104" i="33"/>
  <c r="M105" i="33"/>
  <c r="I105" i="33"/>
  <c r="G104" i="33"/>
  <c r="AJ135" i="46"/>
  <c r="AJ134" i="46"/>
  <c r="Z120" i="32"/>
  <c r="Z119" i="32"/>
  <c r="R117" i="32"/>
  <c r="Y120" i="32"/>
  <c r="Y119" i="32"/>
  <c r="G98" i="43"/>
  <c r="C97" i="43"/>
  <c r="Q99" i="49"/>
  <c r="Q97" i="49"/>
  <c r="O113" i="44"/>
  <c r="P112" i="44"/>
  <c r="C109" i="31"/>
  <c r="C108" i="31"/>
  <c r="C102" i="50"/>
  <c r="G103" i="50"/>
  <c r="A123" i="33"/>
  <c r="B122" i="33"/>
  <c r="AC123" i="48"/>
  <c r="AC119" i="48"/>
  <c r="AD119" i="48" s="1"/>
  <c r="AD118" i="48"/>
  <c r="Q104" i="42"/>
  <c r="Q102" i="42"/>
  <c r="A119" i="34"/>
  <c r="B118" i="34"/>
  <c r="AI75" i="50"/>
  <c r="V105" i="59"/>
  <c r="V108" i="59" s="1"/>
  <c r="T105" i="59"/>
  <c r="T108" i="59" s="1"/>
  <c r="X107" i="59" s="1"/>
  <c r="AB107" i="59" s="1"/>
  <c r="I100" i="39"/>
  <c r="M99" i="39"/>
  <c r="I99" i="39"/>
  <c r="M100" i="39"/>
  <c r="G99" i="39"/>
  <c r="B117" i="48"/>
  <c r="A118" i="48"/>
  <c r="V57" i="45"/>
  <c r="T57" i="45"/>
  <c r="AG58" i="45"/>
  <c r="C104" i="43"/>
  <c r="C103" i="43"/>
  <c r="J47" i="44"/>
  <c r="AG38" i="41"/>
  <c r="C111" i="59"/>
  <c r="G112" i="59"/>
  <c r="AC123" i="39"/>
  <c r="AC119" i="39"/>
  <c r="AD119" i="39" s="1"/>
  <c r="AD118" i="39"/>
  <c r="K99" i="41"/>
  <c r="G97" i="41"/>
  <c r="K100" i="41"/>
  <c r="AJ110" i="41"/>
  <c r="AJ109" i="41"/>
  <c r="H4" i="14"/>
  <c r="I4" i="14" s="1"/>
  <c r="D4" i="14"/>
  <c r="B122" i="28"/>
  <c r="A123" i="28"/>
  <c r="K100" i="31"/>
  <c r="K99" i="31"/>
  <c r="G97" i="31"/>
  <c r="Y100" i="48"/>
  <c r="Y99" i="48"/>
  <c r="A119" i="40"/>
  <c r="B118" i="40"/>
  <c r="F44" i="43"/>
  <c r="J42" i="43"/>
  <c r="B121" i="43"/>
  <c r="A126" i="43"/>
  <c r="A122" i="43"/>
  <c r="X55" i="47"/>
  <c r="A110" i="46"/>
  <c r="B110" i="46" s="1"/>
  <c r="B109" i="46"/>
  <c r="P104" i="37"/>
  <c r="O105" i="37"/>
  <c r="P105" i="37" s="1"/>
  <c r="F92" i="27"/>
  <c r="V94" i="26"/>
  <c r="T94" i="26"/>
  <c r="A123" i="27"/>
  <c r="B122" i="27"/>
  <c r="A126" i="36"/>
  <c r="A122" i="36"/>
  <c r="B121" i="36"/>
  <c r="K100" i="44"/>
  <c r="K99" i="44"/>
  <c r="G97" i="44"/>
  <c r="T94" i="35"/>
  <c r="V94" i="35"/>
  <c r="AL132" i="59"/>
  <c r="AL131" i="59"/>
  <c r="AA110" i="38"/>
  <c r="AO110" i="38" s="1"/>
  <c r="AP110" i="38" s="1"/>
  <c r="W110" i="38"/>
  <c r="AA109" i="38"/>
  <c r="AO109" i="38" s="1"/>
  <c r="AP109" i="38" s="1"/>
  <c r="W109" i="38"/>
  <c r="P116" i="28"/>
  <c r="O121" i="28"/>
  <c r="O117" i="28"/>
  <c r="Z95" i="33"/>
  <c r="Z94" i="33"/>
  <c r="R92" i="33"/>
  <c r="Y95" i="33"/>
  <c r="Y94" i="33"/>
  <c r="AC119" i="31"/>
  <c r="AD119" i="31" s="1"/>
  <c r="AD118" i="31"/>
  <c r="AC123" i="31"/>
  <c r="C102" i="28"/>
  <c r="G103" i="28"/>
  <c r="F69" i="48"/>
  <c r="J67" i="48"/>
  <c r="A131" i="44"/>
  <c r="A127" i="44"/>
  <c r="B126" i="44"/>
  <c r="L95" i="39"/>
  <c r="G92" i="39"/>
  <c r="K95" i="39"/>
  <c r="L94" i="39"/>
  <c r="D92" i="39"/>
  <c r="K94" i="39"/>
  <c r="K100" i="27"/>
  <c r="K99" i="27"/>
  <c r="G97" i="27"/>
  <c r="AJ115" i="45"/>
  <c r="AJ114" i="45"/>
  <c r="AJ115" i="37"/>
  <c r="AJ114" i="37"/>
  <c r="X92" i="45"/>
  <c r="R94" i="45"/>
  <c r="O113" i="27"/>
  <c r="P112" i="27"/>
  <c r="M105" i="34"/>
  <c r="I105" i="34"/>
  <c r="G104" i="34"/>
  <c r="M104" i="34"/>
  <c r="I104" i="34"/>
  <c r="H12" i="22"/>
  <c r="I12" i="22" s="1"/>
  <c r="D12" i="22"/>
  <c r="F12" i="22" s="1"/>
  <c r="G12" i="22" s="1"/>
  <c r="A114" i="43"/>
  <c r="B113" i="43"/>
  <c r="AC123" i="26"/>
  <c r="AC119" i="26"/>
  <c r="AD119" i="26" s="1"/>
  <c r="AD118" i="26"/>
  <c r="AA105" i="33"/>
  <c r="AO105" i="33" s="1"/>
  <c r="AP105" i="33" s="1"/>
  <c r="W105" i="33"/>
  <c r="AA104" i="33"/>
  <c r="AO104" i="33" s="1"/>
  <c r="AP104" i="33" s="1"/>
  <c r="W104" i="33"/>
  <c r="AL4" i="50"/>
  <c r="H6" i="16"/>
  <c r="I6" i="16" s="1"/>
  <c r="D6" i="16"/>
  <c r="F6" i="16" s="1"/>
  <c r="G6" i="16" s="1"/>
  <c r="A126" i="45"/>
  <c r="A122" i="45"/>
  <c r="B121" i="45"/>
  <c r="H87" i="50"/>
  <c r="Z95" i="34"/>
  <c r="Z94" i="34"/>
  <c r="R92" i="34"/>
  <c r="Y95" i="34"/>
  <c r="Y94" i="34"/>
  <c r="AA105" i="40"/>
  <c r="AO105" i="40" s="1"/>
  <c r="AP105" i="40" s="1"/>
  <c r="W105" i="40"/>
  <c r="AA104" i="40"/>
  <c r="AO104" i="40" s="1"/>
  <c r="AP104" i="40" s="1"/>
  <c r="W104" i="40"/>
  <c r="AE43" i="41"/>
  <c r="AE39" i="41"/>
  <c r="AG39" i="41" s="1"/>
  <c r="R34" i="41"/>
  <c r="D39" i="41"/>
  <c r="F39" i="41" s="1"/>
  <c r="H39" i="41" s="1"/>
  <c r="R42" i="41"/>
  <c r="D43" i="41"/>
  <c r="F43" i="41" s="1"/>
  <c r="H43" i="41" s="1"/>
  <c r="R38" i="41"/>
  <c r="D47" i="41"/>
  <c r="AL115" i="33"/>
  <c r="AH115" i="33"/>
  <c r="AI112" i="33"/>
  <c r="AL114" i="33"/>
  <c r="AH114" i="33"/>
  <c r="X97" i="47"/>
  <c r="AA105" i="49"/>
  <c r="AO105" i="49" s="1"/>
  <c r="W105" i="49"/>
  <c r="AA104" i="49"/>
  <c r="AO104" i="49" s="1"/>
  <c r="W104" i="49"/>
  <c r="P112" i="43"/>
  <c r="O113" i="43"/>
  <c r="C104" i="30"/>
  <c r="C103" i="30"/>
  <c r="A110" i="26"/>
  <c r="B110" i="26" s="1"/>
  <c r="B109" i="26"/>
  <c r="H38" i="42"/>
  <c r="H40" i="42" s="1"/>
  <c r="F40" i="42"/>
  <c r="AJ115" i="34"/>
  <c r="AJ114" i="34"/>
  <c r="F6" i="17"/>
  <c r="AL109" i="38"/>
  <c r="AH109" i="38"/>
  <c r="AL110" i="38"/>
  <c r="AH110" i="38"/>
  <c r="AI107" i="38"/>
  <c r="P104" i="45"/>
  <c r="O105" i="45"/>
  <c r="P105" i="45" s="1"/>
  <c r="P116" i="37"/>
  <c r="O121" i="37"/>
  <c r="O117" i="37"/>
  <c r="Q102" i="38"/>
  <c r="Q104" i="38"/>
  <c r="X97" i="35"/>
  <c r="AF10" i="23"/>
  <c r="P116" i="40"/>
  <c r="O121" i="40"/>
  <c r="O117" i="40"/>
  <c r="M105" i="35"/>
  <c r="I105" i="35"/>
  <c r="G104" i="35"/>
  <c r="M104" i="35"/>
  <c r="I104" i="35"/>
  <c r="A141" i="59"/>
  <c r="A146" i="59"/>
  <c r="B140" i="59"/>
  <c r="O109" i="45"/>
  <c r="P108" i="45"/>
  <c r="Q108" i="45" s="1"/>
  <c r="K99" i="35"/>
  <c r="G97" i="35"/>
  <c r="K100" i="35"/>
  <c r="M104" i="31"/>
  <c r="I104" i="31"/>
  <c r="M105" i="31"/>
  <c r="I105" i="31"/>
  <c r="G104" i="31"/>
  <c r="X92" i="27"/>
  <c r="R94" i="27"/>
  <c r="Q99" i="33"/>
  <c r="Q97" i="33"/>
  <c r="H47" i="43"/>
  <c r="B121" i="46"/>
  <c r="A122" i="46"/>
  <c r="A126" i="46"/>
  <c r="H10" i="20"/>
  <c r="I10" i="20" s="1"/>
  <c r="D10" i="20"/>
  <c r="C109" i="33"/>
  <c r="C108" i="33"/>
  <c r="B121" i="39"/>
  <c r="A126" i="39"/>
  <c r="A122" i="39"/>
  <c r="T78" i="50"/>
  <c r="V78" i="50"/>
  <c r="A119" i="41"/>
  <c r="B118" i="41"/>
  <c r="C102" i="44"/>
  <c r="G103" i="44"/>
  <c r="B117" i="30"/>
  <c r="A118" i="30"/>
  <c r="M100" i="46"/>
  <c r="I100" i="46"/>
  <c r="G99" i="46"/>
  <c r="M99" i="46"/>
  <c r="I99" i="46"/>
  <c r="K100" i="47"/>
  <c r="K99" i="47"/>
  <c r="G97" i="47"/>
  <c r="L94" i="37"/>
  <c r="D92" i="37"/>
  <c r="K94" i="37"/>
  <c r="L95" i="37"/>
  <c r="G92" i="37"/>
  <c r="K95" i="37"/>
  <c r="Z95" i="44"/>
  <c r="Z94" i="44"/>
  <c r="R92" i="44"/>
  <c r="Y95" i="44"/>
  <c r="Y94" i="44"/>
  <c r="O136" i="59"/>
  <c r="P135" i="59"/>
  <c r="AA110" i="42"/>
  <c r="AO110" i="42" s="1"/>
  <c r="AP110" i="42" s="1"/>
  <c r="W110" i="42"/>
  <c r="AA109" i="42"/>
  <c r="AO109" i="42" s="1"/>
  <c r="AP109" i="42" s="1"/>
  <c r="W109" i="42"/>
  <c r="AA105" i="31"/>
  <c r="AO105" i="31" s="1"/>
  <c r="AP105" i="31" s="1"/>
  <c r="W105" i="31"/>
  <c r="AA104" i="31"/>
  <c r="AO104" i="31" s="1"/>
  <c r="AP104" i="31" s="1"/>
  <c r="W104" i="31"/>
  <c r="H106" i="59"/>
  <c r="O113" i="46"/>
  <c r="P112" i="46"/>
  <c r="AC119" i="28"/>
  <c r="AD119" i="28" s="1"/>
  <c r="AD118" i="28"/>
  <c r="AC123" i="28"/>
  <c r="V42" i="42"/>
  <c r="T42" i="42"/>
  <c r="V34" i="42"/>
  <c r="V35" i="42" s="1"/>
  <c r="X35" i="42" s="1"/>
  <c r="AB35" i="42" s="1"/>
  <c r="T34" i="42"/>
  <c r="T35" i="42" s="1"/>
  <c r="X34" i="42" s="1"/>
  <c r="AB34" i="42" s="1"/>
  <c r="AJ115" i="32"/>
  <c r="AJ114" i="32"/>
  <c r="AF4" i="18"/>
  <c r="AF5" i="18" s="1"/>
  <c r="AG40" i="42"/>
  <c r="AV7" i="17"/>
  <c r="P116" i="50"/>
  <c r="O121" i="50"/>
  <c r="O117" i="50"/>
  <c r="H8" i="18"/>
  <c r="I8" i="18" s="1"/>
  <c r="D8" i="18"/>
  <c r="F8" i="18" s="1"/>
  <c r="G8" i="18" s="1"/>
  <c r="O109" i="39"/>
  <c r="P108" i="39"/>
  <c r="Q108" i="39" s="1"/>
  <c r="T94" i="36"/>
  <c r="V94" i="36"/>
  <c r="Q99" i="43"/>
  <c r="Q97" i="43"/>
  <c r="Y100" i="36"/>
  <c r="Y99" i="36"/>
  <c r="H74" i="50"/>
  <c r="H75" i="50" s="1"/>
  <c r="J75" i="50" s="1"/>
  <c r="F75" i="50"/>
  <c r="J74" i="50" s="1"/>
  <c r="F74" i="49"/>
  <c r="J72" i="49"/>
  <c r="AC114" i="35"/>
  <c r="AD114" i="35" s="1"/>
  <c r="AD113" i="35"/>
  <c r="AC118" i="35"/>
  <c r="Q99" i="27"/>
  <c r="Q97" i="27"/>
  <c r="O117" i="31"/>
  <c r="P116" i="31"/>
  <c r="O121" i="31"/>
  <c r="AL115" i="27"/>
  <c r="AH115" i="27"/>
  <c r="AI112" i="27"/>
  <c r="AL114" i="27"/>
  <c r="AH114" i="27"/>
  <c r="F60" i="46"/>
  <c r="F92" i="34"/>
  <c r="B126" i="34"/>
  <c r="A131" i="34"/>
  <c r="A127" i="34"/>
  <c r="AJ110" i="47"/>
  <c r="AJ109" i="47"/>
  <c r="AE60" i="46"/>
  <c r="AI59" i="46" s="1"/>
  <c r="P129" i="32"/>
  <c r="O130" i="32"/>
  <c r="P130" i="32" s="1"/>
  <c r="AJ110" i="29"/>
  <c r="AJ109" i="29"/>
  <c r="G9" i="20"/>
  <c r="AI122" i="40"/>
  <c r="AL124" i="40"/>
  <c r="AH124" i="40"/>
  <c r="AL125" i="40"/>
  <c r="AH125" i="40"/>
  <c r="B122" i="38"/>
  <c r="A123" i="38"/>
  <c r="P117" i="35"/>
  <c r="O118" i="35"/>
  <c r="C102" i="40"/>
  <c r="G103" i="40"/>
  <c r="AG53" i="44"/>
  <c r="A115" i="27"/>
  <c r="B115" i="27" s="1"/>
  <c r="B114" i="27"/>
  <c r="A114" i="39"/>
  <c r="B113" i="39"/>
  <c r="G103" i="32"/>
  <c r="C102" i="32"/>
  <c r="AE79" i="49"/>
  <c r="AG79" i="49" s="1"/>
  <c r="AE83" i="49"/>
  <c r="D79" i="49"/>
  <c r="F79" i="49" s="1"/>
  <c r="H79" i="49" s="1"/>
  <c r="R78" i="49"/>
  <c r="R74" i="49"/>
  <c r="F4" i="15"/>
  <c r="A110" i="45"/>
  <c r="B110" i="45" s="1"/>
  <c r="B109" i="45"/>
  <c r="K99" i="34"/>
  <c r="G97" i="34"/>
  <c r="K100" i="34"/>
  <c r="B122" i="47"/>
  <c r="A123" i="47"/>
  <c r="K99" i="38"/>
  <c r="G97" i="38"/>
  <c r="K100" i="38"/>
  <c r="AJ109" i="44"/>
  <c r="AJ110" i="44"/>
  <c r="B126" i="40"/>
  <c r="A131" i="40"/>
  <c r="A127" i="40"/>
  <c r="AI132" i="46"/>
  <c r="AL134" i="46"/>
  <c r="AH134" i="46"/>
  <c r="AH135" i="46"/>
  <c r="AL135" i="46"/>
  <c r="F92" i="50"/>
  <c r="M99" i="43"/>
  <c r="I99" i="43"/>
  <c r="M100" i="43"/>
  <c r="I100" i="43"/>
  <c r="G99" i="43"/>
  <c r="P117" i="41"/>
  <c r="O118" i="41"/>
  <c r="P117" i="26"/>
  <c r="O118" i="26"/>
  <c r="M105" i="50"/>
  <c r="I105" i="50"/>
  <c r="G104" i="50"/>
  <c r="M104" i="50"/>
  <c r="I104" i="50"/>
  <c r="M99" i="36"/>
  <c r="I99" i="36"/>
  <c r="M100" i="36"/>
  <c r="I100" i="36"/>
  <c r="G99" i="36"/>
  <c r="P117" i="38"/>
  <c r="O118" i="38"/>
  <c r="A131" i="33"/>
  <c r="A127" i="33"/>
  <c r="B126" i="33"/>
  <c r="AA110" i="35"/>
  <c r="AO110" i="35" s="1"/>
  <c r="AP110" i="35" s="1"/>
  <c r="W110" i="35"/>
  <c r="AA109" i="35"/>
  <c r="AO109" i="35" s="1"/>
  <c r="AP109" i="35" s="1"/>
  <c r="W109" i="35"/>
  <c r="C108" i="49"/>
  <c r="C109" i="49"/>
  <c r="AF8" i="22"/>
  <c r="AF9" i="22" s="1"/>
  <c r="AF10" i="22" s="1"/>
  <c r="B114" i="47"/>
  <c r="A115" i="47"/>
  <c r="B115" i="47" s="1"/>
  <c r="X97" i="38"/>
  <c r="V92" i="47"/>
  <c r="V95" i="47" s="1"/>
  <c r="T92" i="47"/>
  <c r="T95" i="47" s="1"/>
  <c r="X94" i="47" s="1"/>
  <c r="AB94" i="47" s="1"/>
  <c r="G97" i="32"/>
  <c r="K99" i="32"/>
  <c r="K100" i="32"/>
  <c r="C103" i="36"/>
  <c r="C104" i="36"/>
  <c r="X7" i="19"/>
  <c r="AA7" i="19"/>
  <c r="AG7" i="19" s="1"/>
  <c r="P109" i="47"/>
  <c r="O110" i="47"/>
  <c r="P110" i="47" s="1"/>
  <c r="B121" i="48"/>
  <c r="A126" i="48"/>
  <c r="A122" i="48"/>
  <c r="Q122" i="32"/>
  <c r="Q124" i="32"/>
  <c r="F42" i="41"/>
  <c r="F38" i="41"/>
  <c r="O114" i="35"/>
  <c r="P113" i="35"/>
  <c r="Q113" i="35" s="1"/>
  <c r="C104" i="26"/>
  <c r="C103" i="26"/>
  <c r="AL109" i="41"/>
  <c r="AH109" i="41"/>
  <c r="AL110" i="41"/>
  <c r="AH110" i="41"/>
  <c r="AI107" i="41"/>
  <c r="AE84" i="50"/>
  <c r="AG84" i="50" s="1"/>
  <c r="AE88" i="50"/>
  <c r="R83" i="50"/>
  <c r="D84" i="50"/>
  <c r="B126" i="28"/>
  <c r="A131" i="28"/>
  <c r="A127" i="28"/>
  <c r="X97" i="48"/>
  <c r="F92" i="42"/>
  <c r="O122" i="30"/>
  <c r="P121" i="30"/>
  <c r="O126" i="30"/>
  <c r="P137" i="32"/>
  <c r="O138" i="32"/>
  <c r="T43" i="43"/>
  <c r="V43" i="43"/>
  <c r="AG8" i="20"/>
  <c r="A131" i="27"/>
  <c r="A127" i="27"/>
  <c r="B126" i="27"/>
  <c r="W104" i="39"/>
  <c r="W105" i="39"/>
  <c r="AA104" i="39"/>
  <c r="AO104" i="39" s="1"/>
  <c r="AP104" i="39" s="1"/>
  <c r="AA105" i="39"/>
  <c r="AO105" i="39" s="1"/>
  <c r="AP105" i="39" s="1"/>
  <c r="P117" i="48"/>
  <c r="O118" i="48"/>
  <c r="J77" i="50"/>
  <c r="O110" i="38"/>
  <c r="P110" i="38" s="1"/>
  <c r="P109" i="38"/>
  <c r="F92" i="38"/>
  <c r="X92" i="33"/>
  <c r="R94" i="33"/>
  <c r="X92" i="50"/>
  <c r="R94" i="50"/>
  <c r="AJ114" i="31"/>
  <c r="AJ115" i="31"/>
  <c r="M105" i="28"/>
  <c r="I105" i="28"/>
  <c r="G104" i="28"/>
  <c r="M104" i="28"/>
  <c r="I104" i="28"/>
  <c r="AG73" i="48"/>
  <c r="Z40" i="44"/>
  <c r="AK40" i="44"/>
  <c r="AM40" i="44" s="1"/>
  <c r="AS40" i="44" s="1"/>
  <c r="L45" i="44"/>
  <c r="AL114" i="45"/>
  <c r="AH114" i="45"/>
  <c r="AI112" i="45"/>
  <c r="AH115" i="45"/>
  <c r="AL115" i="45"/>
  <c r="AI112" i="37"/>
  <c r="AL114" i="37"/>
  <c r="AH114" i="37"/>
  <c r="AL115" i="37"/>
  <c r="AH115" i="37"/>
  <c r="P112" i="39"/>
  <c r="O113" i="39"/>
  <c r="Z95" i="45"/>
  <c r="Z94" i="45"/>
  <c r="R92" i="45"/>
  <c r="Y95" i="45"/>
  <c r="Y94" i="45"/>
  <c r="Y6" i="17"/>
  <c r="X5" i="17" s="1"/>
  <c r="O118" i="47"/>
  <c r="P117" i="47"/>
  <c r="L94" i="45"/>
  <c r="D92" i="45"/>
  <c r="K94" i="45"/>
  <c r="L95" i="45"/>
  <c r="G92" i="45"/>
  <c r="K95" i="45"/>
  <c r="X97" i="29"/>
  <c r="O113" i="33"/>
  <c r="P112" i="33"/>
  <c r="F92" i="49"/>
  <c r="Q97" i="34"/>
  <c r="Q99" i="34"/>
  <c r="AA110" i="36"/>
  <c r="AO110" i="36" s="1"/>
  <c r="AP110" i="36" s="1"/>
  <c r="W110" i="36"/>
  <c r="AA109" i="36"/>
  <c r="AO109" i="36" s="1"/>
  <c r="AP109" i="36" s="1"/>
  <c r="W109" i="36"/>
  <c r="AE53" i="43"/>
  <c r="R48" i="43"/>
  <c r="AE49" i="43"/>
  <c r="AG49" i="43" s="1"/>
  <c r="R44" i="43"/>
  <c r="D49" i="43"/>
  <c r="R52" i="43"/>
  <c r="D57" i="43"/>
  <c r="M104" i="42"/>
  <c r="I104" i="42"/>
  <c r="M105" i="42"/>
  <c r="I105" i="42"/>
  <c r="G104" i="42"/>
  <c r="F92" i="44"/>
  <c r="AV9" i="53"/>
  <c r="AG63" i="46"/>
  <c r="P113" i="36"/>
  <c r="Q113" i="36" s="1"/>
  <c r="O114" i="36"/>
  <c r="O134" i="32"/>
  <c r="P133" i="32"/>
  <c r="Q133" i="32" s="1"/>
  <c r="Q97" i="40"/>
  <c r="Q99" i="40"/>
  <c r="Y100" i="29"/>
  <c r="Y99" i="29"/>
  <c r="Q119" i="59"/>
  <c r="Q117" i="59"/>
  <c r="B122" i="50"/>
  <c r="A123" i="50"/>
  <c r="AA105" i="27"/>
  <c r="AO105" i="27" s="1"/>
  <c r="AP105" i="27" s="1"/>
  <c r="W105" i="27"/>
  <c r="AA104" i="27"/>
  <c r="AO104" i="27" s="1"/>
  <c r="AP104" i="27" s="1"/>
  <c r="W104" i="27"/>
  <c r="B130" i="59"/>
  <c r="A131" i="59"/>
  <c r="O121" i="45"/>
  <c r="P116" i="45"/>
  <c r="O117" i="45"/>
  <c r="AA110" i="26"/>
  <c r="AO110" i="26" s="1"/>
  <c r="AP110" i="26" s="1"/>
  <c r="W110" i="26"/>
  <c r="AA109" i="26"/>
  <c r="AO109" i="26" s="1"/>
  <c r="AP109" i="26" s="1"/>
  <c r="W109" i="26"/>
  <c r="C102" i="27"/>
  <c r="G103" i="27"/>
  <c r="A131" i="31"/>
  <c r="A127" i="31"/>
  <c r="B126" i="31"/>
  <c r="AA126" i="59"/>
  <c r="AQ126" i="59" s="1"/>
  <c r="AR126" i="59" s="1"/>
  <c r="AA125" i="59"/>
  <c r="AQ125" i="59" s="1"/>
  <c r="AR125" i="59" s="1"/>
  <c r="A114" i="46"/>
  <c r="B113" i="46"/>
  <c r="AA9" i="20"/>
  <c r="AG9" i="20" s="1"/>
  <c r="Z95" i="31"/>
  <c r="Z94" i="31"/>
  <c r="R92" i="31"/>
  <c r="Y95" i="31"/>
  <c r="Y94" i="31"/>
  <c r="AC119" i="42"/>
  <c r="AD119" i="42" s="1"/>
  <c r="AD118" i="42"/>
  <c r="AC123" i="42"/>
  <c r="AV14" i="24"/>
  <c r="G98" i="48"/>
  <c r="C97" i="48"/>
  <c r="AV11" i="21"/>
  <c r="AA4" i="15"/>
  <c r="B122" i="41"/>
  <c r="A123" i="41"/>
  <c r="AC119" i="49"/>
  <c r="AD119" i="49" s="1"/>
  <c r="AD118" i="49"/>
  <c r="AC123" i="49"/>
  <c r="R94" i="39"/>
  <c r="X92" i="39"/>
  <c r="AV9" i="19"/>
  <c r="AK10" i="61"/>
  <c r="AB13" i="68" s="1"/>
  <c r="B10" i="19"/>
  <c r="AP10" i="19"/>
  <c r="Y9" i="19" s="1"/>
  <c r="C10" i="44"/>
  <c r="B10" i="53"/>
  <c r="AP10" i="53"/>
  <c r="AC119" i="50"/>
  <c r="AD119" i="50" s="1"/>
  <c r="AD118" i="50"/>
  <c r="AC123" i="50"/>
  <c r="C109" i="28"/>
  <c r="C108" i="28"/>
  <c r="AE48" i="42"/>
  <c r="AE44" i="42"/>
  <c r="AG44" i="42" s="1"/>
  <c r="R43" i="42"/>
  <c r="D44" i="42"/>
  <c r="R39" i="42"/>
  <c r="D48" i="42"/>
  <c r="F48" i="42" s="1"/>
  <c r="H48" i="42" s="1"/>
  <c r="P117" i="29"/>
  <c r="O118" i="29"/>
  <c r="A119" i="27"/>
  <c r="B118" i="27"/>
  <c r="G98" i="30"/>
  <c r="C97" i="30"/>
  <c r="AA6" i="18"/>
  <c r="X5" i="18"/>
  <c r="P108" i="27"/>
  <c r="Q108" i="27" s="1"/>
  <c r="O109" i="27"/>
  <c r="P108" i="44"/>
  <c r="Q108" i="44" s="1"/>
  <c r="O109" i="44"/>
  <c r="AN7" i="61"/>
  <c r="AE10" i="68" s="1"/>
  <c r="AP7" i="16"/>
  <c r="B7" i="16"/>
  <c r="C13" i="47"/>
  <c r="AH8" i="47" s="1"/>
  <c r="Y100" i="42"/>
  <c r="Y99" i="42"/>
  <c r="R94" i="49"/>
  <c r="X92" i="49"/>
  <c r="P104" i="40"/>
  <c r="O105" i="40"/>
  <c r="P105" i="40" s="1"/>
  <c r="AG14" i="61"/>
  <c r="X17" i="68" s="1"/>
  <c r="C6" i="40"/>
  <c r="B14" i="23"/>
  <c r="AP14" i="23"/>
  <c r="F92" i="28"/>
  <c r="A119" i="35"/>
  <c r="B118" i="35"/>
  <c r="X92" i="28"/>
  <c r="R94" i="28"/>
  <c r="AI112" i="34"/>
  <c r="AL114" i="34"/>
  <c r="AH114" i="34"/>
  <c r="AL115" i="34"/>
  <c r="AH115" i="34"/>
  <c r="H49" i="45"/>
  <c r="H50" i="45" s="1"/>
  <c r="J50" i="45" s="1"/>
  <c r="F50" i="45"/>
  <c r="J49" i="45" s="1"/>
  <c r="F64" i="47"/>
  <c r="J62" i="47"/>
  <c r="T63" i="47"/>
  <c r="V63" i="47"/>
  <c r="C109" i="42"/>
  <c r="C108" i="42"/>
  <c r="Y100" i="35"/>
  <c r="Y99" i="35"/>
  <c r="C102" i="35"/>
  <c r="G103" i="35"/>
  <c r="A115" i="41"/>
  <c r="B115" i="41" s="1"/>
  <c r="B114" i="41"/>
  <c r="J57" i="46"/>
  <c r="O110" i="30"/>
  <c r="P110" i="30" s="1"/>
  <c r="P109" i="30"/>
  <c r="F92" i="40"/>
  <c r="A119" i="31"/>
  <c r="B118" i="31"/>
  <c r="B117" i="46"/>
  <c r="A118" i="46"/>
  <c r="AV10" i="20"/>
  <c r="Y13" i="24"/>
  <c r="V22" i="50"/>
  <c r="X22" i="50"/>
  <c r="A110" i="36"/>
  <c r="B110" i="36" s="1"/>
  <c r="B109" i="36"/>
  <c r="M104" i="44"/>
  <c r="I104" i="44"/>
  <c r="M105" i="44"/>
  <c r="I105" i="44"/>
  <c r="G104" i="44"/>
  <c r="C104" i="46"/>
  <c r="C103" i="46"/>
  <c r="B121" i="30"/>
  <c r="A126" i="30"/>
  <c r="A122" i="30"/>
  <c r="AF8" i="21"/>
  <c r="AF9" i="21" s="1"/>
  <c r="O122" i="36"/>
  <c r="O126" i="36"/>
  <c r="P121" i="36"/>
  <c r="C109" i="32"/>
  <c r="C108" i="32"/>
  <c r="T94" i="29"/>
  <c r="V94" i="29"/>
  <c r="K100" i="33"/>
  <c r="K99" i="33"/>
  <c r="G97" i="33"/>
  <c r="AJ114" i="30"/>
  <c r="AJ115" i="30"/>
  <c r="H59" i="47"/>
  <c r="H60" i="47" s="1"/>
  <c r="J60" i="47" s="1"/>
  <c r="F60" i="47"/>
  <c r="J59" i="47" s="1"/>
  <c r="X92" i="44"/>
  <c r="R94" i="44"/>
  <c r="O141" i="59"/>
  <c r="P140" i="59"/>
  <c r="O146" i="59"/>
  <c r="AA5" i="17"/>
  <c r="X4" i="17"/>
  <c r="Q97" i="37"/>
  <c r="Q99" i="37"/>
  <c r="P116" i="46"/>
  <c r="O121" i="46"/>
  <c r="O117" i="46"/>
  <c r="AJ115" i="28"/>
  <c r="AJ114" i="28"/>
  <c r="V38" i="42"/>
  <c r="T38" i="42"/>
  <c r="AI112" i="32"/>
  <c r="AL114" i="32"/>
  <c r="AH114" i="32"/>
  <c r="AL115" i="32"/>
  <c r="AH115" i="32"/>
  <c r="AE40" i="42"/>
  <c r="AI39" i="42" s="1"/>
  <c r="X45" i="45"/>
  <c r="AM8" i="61"/>
  <c r="AD11" i="68" s="1"/>
  <c r="AP8" i="17"/>
  <c r="C12" i="46"/>
  <c r="AH3" i="46" s="1"/>
  <c r="B8" i="17"/>
  <c r="AE64" i="46"/>
  <c r="AG64" i="46" s="1"/>
  <c r="AE68" i="46"/>
  <c r="R63" i="46"/>
  <c r="D64" i="46"/>
  <c r="F64" i="46" s="1"/>
  <c r="H64" i="46" s="1"/>
  <c r="R59" i="46"/>
  <c r="X97" i="36"/>
  <c r="F78" i="49"/>
  <c r="AG78" i="49"/>
  <c r="A110" i="30"/>
  <c r="B110" i="30" s="1"/>
  <c r="B109" i="30"/>
  <c r="AJ110" i="35"/>
  <c r="AJ109" i="35"/>
  <c r="O109" i="50"/>
  <c r="P108" i="50"/>
  <c r="Q108" i="50" s="1"/>
  <c r="AE75" i="49"/>
  <c r="AI74" i="49" s="1"/>
  <c r="L95" i="48"/>
  <c r="G92" i="48"/>
  <c r="K95" i="48"/>
  <c r="L94" i="48"/>
  <c r="D92" i="48"/>
  <c r="K94" i="48"/>
  <c r="P108" i="33"/>
  <c r="Q108" i="33" s="1"/>
  <c r="O109" i="33"/>
  <c r="C104" i="37"/>
  <c r="C103" i="37"/>
  <c r="V92" i="38"/>
  <c r="V95" i="38" s="1"/>
  <c r="T92" i="38"/>
  <c r="T95" i="38" s="1"/>
  <c r="X94" i="38" s="1"/>
  <c r="AB94" i="38" s="1"/>
  <c r="AI107" i="47"/>
  <c r="AL109" i="47"/>
  <c r="AH110" i="47"/>
  <c r="AL110" i="47"/>
  <c r="AH109" i="47"/>
  <c r="AL109" i="29"/>
  <c r="AH109" i="29"/>
  <c r="AL110" i="29"/>
  <c r="AH110" i="29"/>
  <c r="AI107" i="29"/>
  <c r="AC119" i="36"/>
  <c r="AD119" i="36" s="1"/>
  <c r="AD118" i="36"/>
  <c r="AC123" i="36"/>
  <c r="AA110" i="29"/>
  <c r="AO110" i="29" s="1"/>
  <c r="AP110" i="29" s="1"/>
  <c r="W110" i="29"/>
  <c r="AA109" i="29"/>
  <c r="AO109" i="29" s="1"/>
  <c r="AP109" i="29" s="1"/>
  <c r="W109" i="29"/>
  <c r="O105" i="43"/>
  <c r="P105" i="43" s="1"/>
  <c r="P104" i="43"/>
  <c r="F50" i="44"/>
  <c r="B126" i="38"/>
  <c r="A131" i="38"/>
  <c r="A127" i="38"/>
  <c r="O126" i="35"/>
  <c r="O122" i="35"/>
  <c r="P121" i="35"/>
  <c r="M105" i="40"/>
  <c r="I105" i="40"/>
  <c r="G104" i="40"/>
  <c r="M104" i="40"/>
  <c r="I104" i="40"/>
  <c r="V48" i="44"/>
  <c r="V50" i="44" s="1"/>
  <c r="T48" i="44"/>
  <c r="T50" i="44" s="1"/>
  <c r="X49" i="44" s="1"/>
  <c r="M105" i="32"/>
  <c r="I105" i="32"/>
  <c r="G104" i="32"/>
  <c r="I104" i="32"/>
  <c r="M104" i="32"/>
  <c r="H5" i="15"/>
  <c r="I5" i="15" s="1"/>
  <c r="D5" i="15"/>
  <c r="F5" i="15" s="1"/>
  <c r="G5" i="15" s="1"/>
  <c r="A131" i="47"/>
  <c r="B126" i="47"/>
  <c r="A127" i="47"/>
  <c r="C109" i="47"/>
  <c r="C108" i="47"/>
  <c r="AL110" i="44"/>
  <c r="AH110" i="44"/>
  <c r="AI107" i="44"/>
  <c r="AL109" i="44"/>
  <c r="AH109" i="44"/>
  <c r="F11" i="22"/>
  <c r="V92" i="48"/>
  <c r="V95" i="48" s="1"/>
  <c r="T92" i="48"/>
  <c r="T95" i="48" s="1"/>
  <c r="X94" i="48" s="1"/>
  <c r="AB94" i="48" s="1"/>
  <c r="AG65" i="47"/>
  <c r="B122" i="29"/>
  <c r="A123" i="29"/>
  <c r="Y100" i="26"/>
  <c r="Y99" i="26"/>
  <c r="O126" i="41"/>
  <c r="O122" i="41"/>
  <c r="P121" i="41"/>
  <c r="O117" i="44"/>
  <c r="P116" i="44"/>
  <c r="O121" i="44"/>
  <c r="O109" i="46"/>
  <c r="P108" i="46"/>
  <c r="Q108" i="46" s="1"/>
  <c r="C97" i="36"/>
  <c r="G98" i="36"/>
  <c r="O126" i="38"/>
  <c r="O122" i="38"/>
  <c r="P121" i="38"/>
  <c r="AI45" i="44"/>
  <c r="O110" i="35"/>
  <c r="P110" i="35" s="1"/>
  <c r="P109" i="35"/>
  <c r="C104" i="48"/>
  <c r="C103" i="48"/>
  <c r="AJ114" i="48"/>
  <c r="AJ115" i="48"/>
  <c r="T94" i="38"/>
  <c r="V94" i="38"/>
  <c r="Y100" i="38"/>
  <c r="Y99" i="38"/>
  <c r="AF5" i="53"/>
  <c r="AF6" i="53" s="1"/>
  <c r="Q97" i="45"/>
  <c r="Q99" i="45"/>
  <c r="W110" i="47"/>
  <c r="AA109" i="47"/>
  <c r="AO109" i="47" s="1"/>
  <c r="AP109" i="47" s="1"/>
  <c r="AA110" i="47"/>
  <c r="AO110" i="47" s="1"/>
  <c r="AP110" i="47" s="1"/>
  <c r="W109" i="47"/>
  <c r="F54" i="45"/>
  <c r="J52" i="45"/>
  <c r="B117" i="37"/>
  <c r="A118" i="37"/>
  <c r="Y100" i="30"/>
  <c r="Y99" i="30"/>
  <c r="V37" i="41"/>
  <c r="T37" i="41"/>
  <c r="AG34" i="41"/>
  <c r="AG35" i="41" s="1"/>
  <c r="AE35" i="41"/>
  <c r="AI34" i="41" s="1"/>
  <c r="AM34" i="41" s="1"/>
  <c r="AS34" i="41" s="1"/>
  <c r="AJ115" i="39"/>
  <c r="AJ114" i="39"/>
  <c r="AQ4" i="61"/>
  <c r="AH7" i="68" s="1"/>
  <c r="AR3" i="61"/>
  <c r="AI6" i="68" s="1"/>
  <c r="C16" i="50"/>
  <c r="D98" i="50" s="1"/>
  <c r="F98" i="50" s="1"/>
  <c r="H98" i="50" s="1"/>
  <c r="AP4" i="13"/>
  <c r="B4" i="13"/>
  <c r="A119" i="47"/>
  <c r="B118" i="47"/>
  <c r="V92" i="42"/>
  <c r="V95" i="42" s="1"/>
  <c r="T92" i="42"/>
  <c r="T95" i="42" s="1"/>
  <c r="X94" i="42" s="1"/>
  <c r="AB94" i="42" s="1"/>
  <c r="M104" i="49"/>
  <c r="I104" i="49"/>
  <c r="M105" i="49"/>
  <c r="I105" i="49"/>
  <c r="G104" i="49"/>
  <c r="P141" i="32"/>
  <c r="O146" i="32"/>
  <c r="O142" i="32"/>
  <c r="AG48" i="43"/>
  <c r="O117" i="49"/>
  <c r="O121" i="49"/>
  <c r="P116" i="49"/>
  <c r="X8" i="20"/>
  <c r="C108" i="35"/>
  <c r="C109" i="35"/>
  <c r="O114" i="41"/>
  <c r="P113" i="41"/>
  <c r="Q113" i="41" s="1"/>
  <c r="O105" i="39"/>
  <c r="P105" i="39" s="1"/>
  <c r="P104" i="39"/>
  <c r="H78" i="50"/>
  <c r="H80" i="50" s="1"/>
  <c r="F80" i="50"/>
  <c r="AN131" i="59"/>
  <c r="AJ131" i="59"/>
  <c r="AN132" i="59"/>
  <c r="AJ132" i="59"/>
  <c r="AK129" i="59"/>
  <c r="Y12" i="23"/>
  <c r="X11" i="23" s="1"/>
  <c r="B122" i="35"/>
  <c r="A123" i="35"/>
  <c r="Z95" i="50"/>
  <c r="Z94" i="50"/>
  <c r="R92" i="50"/>
  <c r="Y95" i="50"/>
  <c r="Y94" i="50"/>
  <c r="AL115" i="31"/>
  <c r="AH115" i="31"/>
  <c r="AI112" i="31"/>
  <c r="AL114" i="31"/>
  <c r="AH114" i="31"/>
  <c r="H57" i="45"/>
  <c r="V68" i="48"/>
  <c r="T68" i="48"/>
  <c r="V87" i="50"/>
  <c r="T87" i="50"/>
  <c r="Z39" i="44"/>
  <c r="AB39" i="44" s="1"/>
  <c r="AK39" i="44"/>
  <c r="AM39" i="44" s="1"/>
  <c r="AS39" i="44" s="1"/>
  <c r="L44" i="44"/>
  <c r="P116" i="39"/>
  <c r="O121" i="39"/>
  <c r="O117" i="39"/>
  <c r="O117" i="27"/>
  <c r="P116" i="27"/>
  <c r="O121" i="27"/>
  <c r="M105" i="41"/>
  <c r="I105" i="41"/>
  <c r="G104" i="41"/>
  <c r="M104" i="41"/>
  <c r="I104" i="41"/>
  <c r="X92" i="37"/>
  <c r="R94" i="37"/>
  <c r="X11" i="24"/>
  <c r="N27" i="48" l="1"/>
  <c r="N29" i="48" s="1"/>
  <c r="P28" i="48" s="1"/>
  <c r="L29" i="48"/>
  <c r="P27" i="48" s="1"/>
  <c r="V39" i="43"/>
  <c r="V40" i="43" s="1"/>
  <c r="AT49" i="48"/>
  <c r="D8" i="48" s="1"/>
  <c r="Z54" i="48" s="1"/>
  <c r="AB54" i="48" s="1"/>
  <c r="AL8" i="48"/>
  <c r="X50" i="45"/>
  <c r="AT50" i="48"/>
  <c r="E8" i="48" s="1"/>
  <c r="Z55" i="48" s="1"/>
  <c r="AB55" i="48" s="1"/>
  <c r="Z10" i="49"/>
  <c r="V5" i="49"/>
  <c r="Z4" i="49" s="1"/>
  <c r="X5" i="49"/>
  <c r="L86" i="66"/>
  <c r="V69" i="49"/>
  <c r="V70" i="49" s="1"/>
  <c r="X70" i="49" s="1"/>
  <c r="L44" i="66"/>
  <c r="J44" i="66" s="1"/>
  <c r="B44" i="65" s="1"/>
  <c r="T72" i="47"/>
  <c r="T87" i="49"/>
  <c r="I51" i="66"/>
  <c r="D51" i="65"/>
  <c r="A51" i="65" s="1"/>
  <c r="J51" i="66"/>
  <c r="B51" i="65" s="1"/>
  <c r="D48" i="66"/>
  <c r="L52" i="66"/>
  <c r="A47" i="66"/>
  <c r="B47" i="66"/>
  <c r="D27" i="65"/>
  <c r="A27" i="65" s="1"/>
  <c r="J27" i="66"/>
  <c r="B27" i="65" s="1"/>
  <c r="I27" i="66"/>
  <c r="I111" i="66"/>
  <c r="D111" i="65"/>
  <c r="J111" i="66"/>
  <c r="B111" i="65" s="1"/>
  <c r="D103" i="66"/>
  <c r="L112" i="66"/>
  <c r="A25" i="66"/>
  <c r="B25" i="66"/>
  <c r="B102" i="66"/>
  <c r="A102" i="66"/>
  <c r="AA8" i="53"/>
  <c r="AG8" i="53" s="1"/>
  <c r="J77" i="49"/>
  <c r="D97" i="49"/>
  <c r="F97" i="49" s="1"/>
  <c r="D71" i="65"/>
  <c r="J71" i="66"/>
  <c r="B71" i="65" s="1"/>
  <c r="I71" i="66"/>
  <c r="I44" i="66"/>
  <c r="A66" i="66"/>
  <c r="B66" i="66"/>
  <c r="I29" i="66"/>
  <c r="D29" i="65"/>
  <c r="J29" i="66"/>
  <c r="B29" i="65" s="1"/>
  <c r="L30" i="66"/>
  <c r="D28" i="66"/>
  <c r="I86" i="66"/>
  <c r="J86" i="66"/>
  <c r="B86" i="65" s="1"/>
  <c r="D86" i="65"/>
  <c r="A86" i="65" s="1"/>
  <c r="D67" i="66"/>
  <c r="L72" i="66"/>
  <c r="B27" i="66"/>
  <c r="A27" i="66"/>
  <c r="V8" i="41"/>
  <c r="J15" i="41"/>
  <c r="J22" i="41"/>
  <c r="AH4" i="47"/>
  <c r="AJ4" i="47" s="1"/>
  <c r="AL4" i="47" s="1"/>
  <c r="B33" i="66"/>
  <c r="A33" i="66"/>
  <c r="X20" i="47"/>
  <c r="V20" i="47"/>
  <c r="D15" i="65"/>
  <c r="J15" i="66"/>
  <c r="B15" i="65" s="1"/>
  <c r="I15" i="66"/>
  <c r="D95" i="65"/>
  <c r="J95" i="66"/>
  <c r="B95" i="65" s="1"/>
  <c r="I95" i="66"/>
  <c r="D55" i="65"/>
  <c r="J55" i="66"/>
  <c r="B55" i="65" s="1"/>
  <c r="I55" i="66"/>
  <c r="D15" i="66"/>
  <c r="L16" i="66"/>
  <c r="D53" i="66"/>
  <c r="L56" i="66"/>
  <c r="B14" i="66"/>
  <c r="A14" i="66"/>
  <c r="B90" i="66"/>
  <c r="A90" i="66"/>
  <c r="B52" i="66"/>
  <c r="A52" i="66"/>
  <c r="D34" i="66"/>
  <c r="L36" i="66"/>
  <c r="T14" i="46"/>
  <c r="V14" i="46" s="1"/>
  <c r="T20" i="46"/>
  <c r="D91" i="66"/>
  <c r="L96" i="66"/>
  <c r="V22" i="48"/>
  <c r="X22" i="48"/>
  <c r="AA14" i="25"/>
  <c r="AG14" i="25" s="1"/>
  <c r="AF14" i="25" s="1"/>
  <c r="X13" i="25"/>
  <c r="D35" i="65"/>
  <c r="A35" i="65" s="1"/>
  <c r="J35" i="66"/>
  <c r="B35" i="65" s="1"/>
  <c r="I35" i="66"/>
  <c r="X14" i="47"/>
  <c r="V28" i="48"/>
  <c r="Z27" i="48" s="1"/>
  <c r="X28" i="48"/>
  <c r="P15" i="47"/>
  <c r="P16" i="47" s="1"/>
  <c r="N18" i="47" s="1"/>
  <c r="L4" i="47" s="1"/>
  <c r="AP39" i="47" s="1"/>
  <c r="AT39" i="47" s="1"/>
  <c r="D6" i="47" s="1"/>
  <c r="Z10" i="48"/>
  <c r="CP99" i="61"/>
  <c r="D73" i="46"/>
  <c r="F73" i="46" s="1"/>
  <c r="H73" i="46" s="1"/>
  <c r="V26" i="46"/>
  <c r="V9" i="46"/>
  <c r="X9" i="46" s="1"/>
  <c r="T3" i="46"/>
  <c r="CF109" i="61"/>
  <c r="D67" i="44"/>
  <c r="F67" i="44" s="1"/>
  <c r="H67" i="44" s="1"/>
  <c r="V8" i="44"/>
  <c r="T2" i="44"/>
  <c r="J15" i="44"/>
  <c r="T13" i="44"/>
  <c r="J22" i="44"/>
  <c r="D53" i="42"/>
  <c r="F53" i="42" s="1"/>
  <c r="H53" i="42" s="1"/>
  <c r="V8" i="42"/>
  <c r="J15" i="42"/>
  <c r="J22" i="42"/>
  <c r="T2" i="42"/>
  <c r="T13" i="42"/>
  <c r="CE110" i="61"/>
  <c r="V26" i="45"/>
  <c r="T20" i="45"/>
  <c r="T14" i="45"/>
  <c r="V14" i="45" s="1"/>
  <c r="X14" i="45" s="1"/>
  <c r="T3" i="45"/>
  <c r="V9" i="45"/>
  <c r="X9" i="45" s="1"/>
  <c r="N23" i="47"/>
  <c r="V2" i="45"/>
  <c r="X2" i="45"/>
  <c r="AL3" i="47"/>
  <c r="N15" i="46"/>
  <c r="N17" i="46" s="1"/>
  <c r="P14" i="46"/>
  <c r="L15" i="46"/>
  <c r="L17" i="46" s="1"/>
  <c r="V21" i="48"/>
  <c r="X21" i="48"/>
  <c r="CJ105" i="61"/>
  <c r="CM102" i="61"/>
  <c r="R69" i="48"/>
  <c r="V69" i="48" s="1"/>
  <c r="V70" i="48" s="1"/>
  <c r="AH5" i="48"/>
  <c r="AH9" i="48"/>
  <c r="AJ15" i="48"/>
  <c r="AL15" i="48" s="1"/>
  <c r="T4" i="48"/>
  <c r="A14" i="65"/>
  <c r="AJ8" i="47"/>
  <c r="AL8" i="47"/>
  <c r="X26" i="47"/>
  <c r="L15" i="45"/>
  <c r="L17" i="45" s="1"/>
  <c r="N15" i="45"/>
  <c r="N17" i="45" s="1"/>
  <c r="P14" i="45"/>
  <c r="X8" i="45"/>
  <c r="J23" i="46"/>
  <c r="N22" i="46" s="1"/>
  <c r="L22" i="46"/>
  <c r="L23" i="46" s="1"/>
  <c r="V10" i="47"/>
  <c r="Z9" i="47" s="1"/>
  <c r="AL14" i="48"/>
  <c r="CL103" i="61"/>
  <c r="AJ14" i="47"/>
  <c r="V27" i="47"/>
  <c r="X27" i="47" s="1"/>
  <c r="T15" i="47"/>
  <c r="T21" i="47"/>
  <c r="CK104" i="61"/>
  <c r="R49" i="43"/>
  <c r="V49" i="43" s="1"/>
  <c r="V8" i="43"/>
  <c r="T2" i="43"/>
  <c r="J15" i="43"/>
  <c r="T13" i="43"/>
  <c r="J22" i="43"/>
  <c r="V3" i="47"/>
  <c r="X3" i="47"/>
  <c r="J23" i="45"/>
  <c r="N22" i="45" s="1"/>
  <c r="L22" i="45"/>
  <c r="L23" i="45" s="1"/>
  <c r="V2" i="46"/>
  <c r="X2" i="46"/>
  <c r="X8" i="46"/>
  <c r="X10" i="47"/>
  <c r="V15" i="48"/>
  <c r="Z13" i="48"/>
  <c r="CQ98" i="61"/>
  <c r="CN101" i="61"/>
  <c r="CH107" i="61"/>
  <c r="CO100" i="61"/>
  <c r="CI106" i="61"/>
  <c r="CG108" i="61"/>
  <c r="P16" i="48"/>
  <c r="N19" i="48" s="1"/>
  <c r="L5" i="48" s="1"/>
  <c r="V13" i="45"/>
  <c r="AJ3" i="46"/>
  <c r="L5" i="49"/>
  <c r="AG75" i="48"/>
  <c r="N18" i="49"/>
  <c r="L4" i="49" s="1"/>
  <c r="Z5" i="49"/>
  <c r="V28" i="49"/>
  <c r="Z27" i="49" s="1"/>
  <c r="X28" i="49"/>
  <c r="V15" i="49"/>
  <c r="Z13" i="49"/>
  <c r="R84" i="50"/>
  <c r="T84" i="50" s="1"/>
  <c r="AH10" i="50"/>
  <c r="AH5" i="49"/>
  <c r="AJ5" i="49" s="1"/>
  <c r="AL5" i="49" s="1"/>
  <c r="AH9" i="49"/>
  <c r="AJ15" i="49"/>
  <c r="AL15" i="49" s="1"/>
  <c r="T22" i="49"/>
  <c r="AJ4" i="49"/>
  <c r="AL14" i="49"/>
  <c r="AL8" i="49"/>
  <c r="AJ8" i="49"/>
  <c r="X21" i="49"/>
  <c r="V21" i="49"/>
  <c r="AB40" i="44"/>
  <c r="AR40" i="44" s="1"/>
  <c r="AT40" i="44" s="1"/>
  <c r="E6" i="44" s="1"/>
  <c r="H60" i="45"/>
  <c r="AV16" i="25"/>
  <c r="Y15" i="25"/>
  <c r="X14" i="25" s="1"/>
  <c r="T32" i="39"/>
  <c r="V32" i="39"/>
  <c r="R32" i="38"/>
  <c r="AE33" i="38"/>
  <c r="AG33" i="38" s="1"/>
  <c r="D37" i="38"/>
  <c r="F37" i="38" s="1"/>
  <c r="H37" i="38" s="1"/>
  <c r="D16" i="25"/>
  <c r="F16" i="25" s="1"/>
  <c r="G16" i="25" s="1"/>
  <c r="H16" i="25"/>
  <c r="I16" i="25" s="1"/>
  <c r="AE17" i="61"/>
  <c r="V20" i="68" s="1"/>
  <c r="AP17" i="25"/>
  <c r="C4" i="37"/>
  <c r="B17" i="25"/>
  <c r="AI55" i="45"/>
  <c r="AI45" i="43"/>
  <c r="AR55" i="49"/>
  <c r="AT55" i="49" s="1"/>
  <c r="E9" i="49" s="1"/>
  <c r="Z60" i="49" s="1"/>
  <c r="AB60" i="49" s="1"/>
  <c r="X70" i="50"/>
  <c r="J39" i="42"/>
  <c r="N39" i="42" s="1"/>
  <c r="AQ39" i="42" s="1"/>
  <c r="J40" i="42"/>
  <c r="N40" i="42" s="1"/>
  <c r="AQ40" i="42" s="1"/>
  <c r="AE60" i="45"/>
  <c r="AI59" i="45" s="1"/>
  <c r="AG60" i="45"/>
  <c r="AI50" i="44"/>
  <c r="X6" i="18"/>
  <c r="AR54" i="49"/>
  <c r="AT54" i="49" s="1"/>
  <c r="D9" i="49" s="1"/>
  <c r="AK59" i="49" s="1"/>
  <c r="AM59" i="49" s="1"/>
  <c r="AS59" i="49" s="1"/>
  <c r="AI80" i="50"/>
  <c r="D77" i="46"/>
  <c r="F77" i="46" s="1"/>
  <c r="R72" i="46"/>
  <c r="V72" i="46" s="1"/>
  <c r="L59" i="49"/>
  <c r="N59" i="49" s="1"/>
  <c r="AQ59" i="49" s="1"/>
  <c r="R79" i="49"/>
  <c r="D88" i="49"/>
  <c r="F88" i="49" s="1"/>
  <c r="H53" i="43"/>
  <c r="V77" i="48"/>
  <c r="T77" i="48"/>
  <c r="V67" i="46"/>
  <c r="T67" i="46"/>
  <c r="H52" i="41"/>
  <c r="H54" i="45"/>
  <c r="H55" i="45" s="1"/>
  <c r="J55" i="45" s="1"/>
  <c r="F55" i="45"/>
  <c r="J54" i="45" s="1"/>
  <c r="D83" i="48"/>
  <c r="F83" i="48" s="1"/>
  <c r="R82" i="48"/>
  <c r="D87" i="48"/>
  <c r="F87" i="48" s="1"/>
  <c r="H87" i="48" s="1"/>
  <c r="D68" i="45"/>
  <c r="F68" i="45" s="1"/>
  <c r="R67" i="45"/>
  <c r="H83" i="49"/>
  <c r="H68" i="46"/>
  <c r="V47" i="41"/>
  <c r="T47" i="41"/>
  <c r="H69" i="48"/>
  <c r="H70" i="48" s="1"/>
  <c r="J70" i="48" s="1"/>
  <c r="F70" i="48"/>
  <c r="J69" i="48" s="1"/>
  <c r="D72" i="45"/>
  <c r="F72" i="45" s="1"/>
  <c r="T79" i="50"/>
  <c r="T80" i="50" s="1"/>
  <c r="X79" i="50" s="1"/>
  <c r="V79" i="50"/>
  <c r="V80" i="50" s="1"/>
  <c r="X50" i="44"/>
  <c r="D52" i="40"/>
  <c r="F52" i="40" s="1"/>
  <c r="R47" i="40"/>
  <c r="R77" i="47"/>
  <c r="D82" i="47"/>
  <c r="F82" i="47" s="1"/>
  <c r="V82" i="49"/>
  <c r="T82" i="49"/>
  <c r="AG55" i="44"/>
  <c r="AE55" i="44"/>
  <c r="AI54" i="44" s="1"/>
  <c r="AE75" i="48"/>
  <c r="AI74" i="48" s="1"/>
  <c r="N45" i="44"/>
  <c r="AQ45" i="44" s="1"/>
  <c r="F60" i="45"/>
  <c r="AI65" i="47"/>
  <c r="AE80" i="49"/>
  <c r="AI79" i="49" s="1"/>
  <c r="AG80" i="49"/>
  <c r="J37" i="41"/>
  <c r="J57" i="45"/>
  <c r="Y8" i="18"/>
  <c r="X7" i="18" s="1"/>
  <c r="J15" i="50"/>
  <c r="J22" i="50"/>
  <c r="V8" i="50"/>
  <c r="V26" i="50"/>
  <c r="V9" i="50"/>
  <c r="X9" i="50" s="1"/>
  <c r="T3" i="50"/>
  <c r="V27" i="50"/>
  <c r="X27" i="50" s="1"/>
  <c r="AJ14" i="50"/>
  <c r="T15" i="50"/>
  <c r="T21" i="50"/>
  <c r="AJ15" i="50"/>
  <c r="AL15" i="50" s="1"/>
  <c r="AH9" i="50"/>
  <c r="AH5" i="50"/>
  <c r="AE50" i="43"/>
  <c r="AI49" i="43" s="1"/>
  <c r="AG50" i="43"/>
  <c r="X108" i="59"/>
  <c r="AB108" i="59" s="1"/>
  <c r="AT108" i="59" s="1"/>
  <c r="X95" i="26"/>
  <c r="AB95" i="26" s="1"/>
  <c r="AR95" i="26" s="1"/>
  <c r="X55" i="46"/>
  <c r="X95" i="42"/>
  <c r="AB95" i="42" s="1"/>
  <c r="AR95" i="42" s="1"/>
  <c r="AI35" i="41"/>
  <c r="AM35" i="41" s="1"/>
  <c r="AS35" i="41" s="1"/>
  <c r="AG65" i="46"/>
  <c r="X75" i="50"/>
  <c r="N44" i="44"/>
  <c r="AQ44" i="44" s="1"/>
  <c r="X95" i="35"/>
  <c r="AB95" i="35" s="1"/>
  <c r="AR94" i="35" s="1"/>
  <c r="X95" i="48"/>
  <c r="AB95" i="48" s="1"/>
  <c r="AR95" i="48" s="1"/>
  <c r="X95" i="47"/>
  <c r="AB95" i="47" s="1"/>
  <c r="AR94" i="47" s="1"/>
  <c r="X40" i="43"/>
  <c r="X60" i="47"/>
  <c r="X45" i="44"/>
  <c r="X95" i="38"/>
  <c r="AB95" i="38" s="1"/>
  <c r="AR95" i="38" s="1"/>
  <c r="C107" i="35"/>
  <c r="G108" i="35"/>
  <c r="O147" i="32"/>
  <c r="P146" i="32"/>
  <c r="AR4" i="61"/>
  <c r="AI7" i="68" s="1"/>
  <c r="AS3" i="61"/>
  <c r="AJ6" i="68" s="1"/>
  <c r="AP4" i="12"/>
  <c r="C17" i="50"/>
  <c r="AE94" i="50" s="1"/>
  <c r="AG94" i="50" s="1"/>
  <c r="B4" i="12"/>
  <c r="O122" i="44"/>
  <c r="P121" i="44"/>
  <c r="O126" i="44"/>
  <c r="P122" i="41"/>
  <c r="O123" i="41"/>
  <c r="A124" i="29"/>
  <c r="B123" i="29"/>
  <c r="T63" i="46"/>
  <c r="V63" i="46"/>
  <c r="G108" i="32"/>
  <c r="C107" i="32"/>
  <c r="AA10" i="20"/>
  <c r="Q102" i="40"/>
  <c r="Q104" i="40"/>
  <c r="O119" i="29"/>
  <c r="P118" i="29"/>
  <c r="Q118" i="29" s="1"/>
  <c r="AA9" i="19"/>
  <c r="AG9" i="19" s="1"/>
  <c r="AA11" i="21"/>
  <c r="AG11" i="21" s="1"/>
  <c r="P121" i="39"/>
  <c r="O126" i="39"/>
  <c r="O122" i="39"/>
  <c r="AR35" i="42"/>
  <c r="AT35" i="42" s="1"/>
  <c r="E5" i="42" s="1"/>
  <c r="AR34" i="42"/>
  <c r="AT34" i="42" s="1"/>
  <c r="D5" i="42" s="1"/>
  <c r="O131" i="41"/>
  <c r="O127" i="41"/>
  <c r="P126" i="41"/>
  <c r="M110" i="47"/>
  <c r="I109" i="47"/>
  <c r="M109" i="47"/>
  <c r="G109" i="47"/>
  <c r="I110" i="47"/>
  <c r="B131" i="38"/>
  <c r="A136" i="38"/>
  <c r="A132" i="38"/>
  <c r="AL120" i="36"/>
  <c r="AH120" i="36"/>
  <c r="AL119" i="36"/>
  <c r="AH119" i="36"/>
  <c r="AI117" i="36"/>
  <c r="F92" i="48"/>
  <c r="AG68" i="46"/>
  <c r="AV8" i="17"/>
  <c r="AG5" i="17"/>
  <c r="M110" i="32"/>
  <c r="I110" i="32"/>
  <c r="G109" i="32"/>
  <c r="I109" i="32"/>
  <c r="M109" i="32"/>
  <c r="Q109" i="30"/>
  <c r="Q107" i="30"/>
  <c r="C113" i="41"/>
  <c r="C114" i="41"/>
  <c r="K104" i="35"/>
  <c r="G102" i="35"/>
  <c r="K105" i="35"/>
  <c r="G108" i="42"/>
  <c r="C107" i="42"/>
  <c r="AG15" i="61"/>
  <c r="X18" i="68" s="1"/>
  <c r="C6" i="39"/>
  <c r="AP15" i="23"/>
  <c r="B15" i="23"/>
  <c r="R73" i="47"/>
  <c r="AE74" i="47"/>
  <c r="AG74" i="47" s="1"/>
  <c r="R64" i="47"/>
  <c r="D74" i="47"/>
  <c r="AE78" i="47"/>
  <c r="D78" i="47"/>
  <c r="AA110" i="27"/>
  <c r="AO110" i="27" s="1"/>
  <c r="AP110" i="27" s="1"/>
  <c r="W110" i="27"/>
  <c r="AA109" i="27"/>
  <c r="AO109" i="27" s="1"/>
  <c r="AP109" i="27" s="1"/>
  <c r="W109" i="27"/>
  <c r="AG6" i="18"/>
  <c r="V43" i="42"/>
  <c r="T43" i="42"/>
  <c r="M110" i="28"/>
  <c r="I110" i="28"/>
  <c r="G109" i="28"/>
  <c r="M109" i="28"/>
  <c r="I109" i="28"/>
  <c r="AV10" i="19"/>
  <c r="AL120" i="49"/>
  <c r="AH120" i="49"/>
  <c r="AL119" i="49"/>
  <c r="AH119" i="49"/>
  <c r="AI117" i="49"/>
  <c r="AC124" i="42"/>
  <c r="AD124" i="42" s="1"/>
  <c r="AD123" i="42"/>
  <c r="AC128" i="42"/>
  <c r="X9" i="20"/>
  <c r="A128" i="31"/>
  <c r="B127" i="31"/>
  <c r="O118" i="45"/>
  <c r="P117" i="45"/>
  <c r="Y119" i="59"/>
  <c r="W120" i="59"/>
  <c r="W119" i="59"/>
  <c r="Y120" i="59"/>
  <c r="W135" i="32"/>
  <c r="AA134" i="32"/>
  <c r="AO134" i="32" s="1"/>
  <c r="AP134" i="32" s="1"/>
  <c r="W134" i="32"/>
  <c r="AA135" i="32"/>
  <c r="AO135" i="32" s="1"/>
  <c r="AP135" i="32" s="1"/>
  <c r="V52" i="43"/>
  <c r="T52" i="43"/>
  <c r="T48" i="43"/>
  <c r="V48" i="43"/>
  <c r="Y100" i="34"/>
  <c r="Y99" i="34"/>
  <c r="F92" i="45"/>
  <c r="AA6" i="17"/>
  <c r="AG6" i="17" s="1"/>
  <c r="P118" i="48"/>
  <c r="Q118" i="48" s="1"/>
  <c r="O119" i="48"/>
  <c r="A128" i="27"/>
  <c r="B127" i="27"/>
  <c r="B131" i="28"/>
  <c r="A136" i="28"/>
  <c r="A132" i="28"/>
  <c r="AG88" i="50"/>
  <c r="G103" i="26"/>
  <c r="C102" i="26"/>
  <c r="AA115" i="35"/>
  <c r="AO115" i="35" s="1"/>
  <c r="AP115" i="35" s="1"/>
  <c r="W115" i="35"/>
  <c r="AA114" i="35"/>
  <c r="AO114" i="35" s="1"/>
  <c r="AP114" i="35" s="1"/>
  <c r="W114" i="35"/>
  <c r="B122" i="48"/>
  <c r="A123" i="48"/>
  <c r="M104" i="36"/>
  <c r="I104" i="36"/>
  <c r="M105" i="36"/>
  <c r="I105" i="36"/>
  <c r="G104" i="36"/>
  <c r="B131" i="40"/>
  <c r="A136" i="40"/>
  <c r="A132" i="40"/>
  <c r="G4" i="15"/>
  <c r="G102" i="32"/>
  <c r="K104" i="32"/>
  <c r="K105" i="32"/>
  <c r="C114" i="27"/>
  <c r="C113" i="27"/>
  <c r="K104" i="40"/>
  <c r="G102" i="40"/>
  <c r="K105" i="40"/>
  <c r="A124" i="38"/>
  <c r="B123" i="38"/>
  <c r="W109" i="39"/>
  <c r="W110" i="39"/>
  <c r="AA109" i="39"/>
  <c r="AO109" i="39" s="1"/>
  <c r="AP109" i="39" s="1"/>
  <c r="AA110" i="39"/>
  <c r="AO110" i="39" s="1"/>
  <c r="AP110" i="39" s="1"/>
  <c r="O118" i="50"/>
  <c r="P117" i="50"/>
  <c r="AJ120" i="28"/>
  <c r="AJ119" i="28"/>
  <c r="B122" i="39"/>
  <c r="A123" i="39"/>
  <c r="C107" i="33"/>
  <c r="G108" i="33"/>
  <c r="P109" i="45"/>
  <c r="O110" i="45"/>
  <c r="P110" i="45" s="1"/>
  <c r="O118" i="40"/>
  <c r="P117" i="40"/>
  <c r="O118" i="37"/>
  <c r="P117" i="37"/>
  <c r="M104" i="30"/>
  <c r="I104" i="30"/>
  <c r="M105" i="30"/>
  <c r="I105" i="30"/>
  <c r="G104" i="30"/>
  <c r="F47" i="41"/>
  <c r="B114" i="43"/>
  <c r="A115" i="43"/>
  <c r="B115" i="43" s="1"/>
  <c r="AL120" i="31"/>
  <c r="AH120" i="31"/>
  <c r="AI117" i="31"/>
  <c r="AL119" i="31"/>
  <c r="AH119" i="31"/>
  <c r="T92" i="33"/>
  <c r="T95" i="33" s="1"/>
  <c r="X94" i="33" s="1"/>
  <c r="AB94" i="33" s="1"/>
  <c r="V92" i="33"/>
  <c r="V95" i="33" s="1"/>
  <c r="P121" i="28"/>
  <c r="O126" i="28"/>
  <c r="O122" i="28"/>
  <c r="A123" i="36"/>
  <c r="B122" i="36"/>
  <c r="A120" i="40"/>
  <c r="B120" i="40" s="1"/>
  <c r="B119" i="40"/>
  <c r="A124" i="28"/>
  <c r="B123" i="28"/>
  <c r="AJ120" i="39"/>
  <c r="AJ119" i="39"/>
  <c r="K114" i="59"/>
  <c r="I113" i="59"/>
  <c r="I114" i="59"/>
  <c r="G111" i="59"/>
  <c r="K113" i="59"/>
  <c r="J50" i="44"/>
  <c r="J49" i="44"/>
  <c r="J62" i="46"/>
  <c r="A120" i="34"/>
  <c r="B120" i="34" s="1"/>
  <c r="B119" i="34"/>
  <c r="AL120" i="48"/>
  <c r="AH120" i="48"/>
  <c r="AI117" i="48"/>
  <c r="AL119" i="48"/>
  <c r="AH119" i="48"/>
  <c r="P113" i="44"/>
  <c r="Q113" i="44" s="1"/>
  <c r="O114" i="44"/>
  <c r="P131" i="59"/>
  <c r="O132" i="59"/>
  <c r="P132" i="59" s="1"/>
  <c r="C109" i="37"/>
  <c r="C108" i="37"/>
  <c r="AO7" i="61"/>
  <c r="AF10" i="68" s="1"/>
  <c r="AP7" i="15"/>
  <c r="B7" i="15"/>
  <c r="C14" i="47"/>
  <c r="T22" i="47" s="1"/>
  <c r="AJ115" i="29"/>
  <c r="AJ114" i="29"/>
  <c r="AA110" i="40"/>
  <c r="AO110" i="40" s="1"/>
  <c r="AP110" i="40" s="1"/>
  <c r="W110" i="40"/>
  <c r="AA109" i="40"/>
  <c r="AO109" i="40" s="1"/>
  <c r="AP109" i="40" s="1"/>
  <c r="W109" i="40"/>
  <c r="M110" i="29"/>
  <c r="I110" i="29"/>
  <c r="G109" i="29"/>
  <c r="M109" i="29"/>
  <c r="I109" i="29"/>
  <c r="A120" i="32"/>
  <c r="B120" i="32" s="1"/>
  <c r="B119" i="32"/>
  <c r="AL120" i="30"/>
  <c r="AH120" i="30"/>
  <c r="AI117" i="30"/>
  <c r="AL119" i="30"/>
  <c r="AH119" i="30"/>
  <c r="I105" i="39"/>
  <c r="I104" i="39"/>
  <c r="M105" i="39"/>
  <c r="M104" i="39"/>
  <c r="G104" i="39"/>
  <c r="C107" i="44"/>
  <c r="G108" i="44"/>
  <c r="C114" i="32"/>
  <c r="C113" i="32"/>
  <c r="AI117" i="34"/>
  <c r="AL119" i="34"/>
  <c r="AH119" i="34"/>
  <c r="AL120" i="34"/>
  <c r="AH120" i="34"/>
  <c r="P109" i="28"/>
  <c r="O110" i="28"/>
  <c r="P110" i="28" s="1"/>
  <c r="O115" i="26"/>
  <c r="P115" i="26" s="1"/>
  <c r="P114" i="26"/>
  <c r="A119" i="45"/>
  <c r="B118" i="45"/>
  <c r="O118" i="34"/>
  <c r="P117" i="34"/>
  <c r="C114" i="44"/>
  <c r="C113" i="44"/>
  <c r="M110" i="40"/>
  <c r="I110" i="40"/>
  <c r="G109" i="40"/>
  <c r="M109" i="40"/>
  <c r="I109" i="40"/>
  <c r="B126" i="26"/>
  <c r="A131" i="26"/>
  <c r="A127" i="26"/>
  <c r="G102" i="42"/>
  <c r="K105" i="42"/>
  <c r="K104" i="42"/>
  <c r="Q102" i="46"/>
  <c r="Q104" i="46"/>
  <c r="C125" i="59"/>
  <c r="C124" i="59"/>
  <c r="R48" i="42"/>
  <c r="AE53" i="42"/>
  <c r="AE49" i="42"/>
  <c r="AG49" i="42" s="1"/>
  <c r="R44" i="42"/>
  <c r="D49" i="42"/>
  <c r="F49" i="42" s="1"/>
  <c r="H49" i="42" s="1"/>
  <c r="R52" i="42"/>
  <c r="D57" i="42"/>
  <c r="AV15" i="24"/>
  <c r="Q109" i="36"/>
  <c r="Q107" i="36"/>
  <c r="A115" i="48"/>
  <c r="B115" i="48" s="1"/>
  <c r="B114" i="48"/>
  <c r="F97" i="50"/>
  <c r="AA115" i="38"/>
  <c r="AO115" i="38" s="1"/>
  <c r="AP115" i="38" s="1"/>
  <c r="W115" i="38"/>
  <c r="AA114" i="38"/>
  <c r="AO114" i="38" s="1"/>
  <c r="AP114" i="38" s="1"/>
  <c r="W114" i="38"/>
  <c r="O131" i="42"/>
  <c r="O127" i="42"/>
  <c r="P126" i="42"/>
  <c r="AC124" i="37"/>
  <c r="AD124" i="37" s="1"/>
  <c r="AD123" i="37"/>
  <c r="AC128" i="37"/>
  <c r="AJ120" i="45"/>
  <c r="AJ119" i="45"/>
  <c r="B127" i="35"/>
  <c r="A128" i="35"/>
  <c r="O114" i="28"/>
  <c r="P113" i="28"/>
  <c r="Q113" i="28" s="1"/>
  <c r="AC148" i="59"/>
  <c r="AC143" i="59"/>
  <c r="AD143" i="59" s="1"/>
  <c r="AD142" i="59"/>
  <c r="X102" i="41"/>
  <c r="P122" i="48"/>
  <c r="O123" i="48"/>
  <c r="P113" i="49"/>
  <c r="Q113" i="49" s="1"/>
  <c r="O114" i="49"/>
  <c r="C114" i="31"/>
  <c r="C113" i="31"/>
  <c r="AP6" i="61"/>
  <c r="AG9" i="68" s="1"/>
  <c r="B6" i="14"/>
  <c r="C15" i="48"/>
  <c r="D97" i="48" s="1"/>
  <c r="AP6" i="14"/>
  <c r="B122" i="37"/>
  <c r="A123" i="37"/>
  <c r="Y105" i="48"/>
  <c r="Y104" i="48"/>
  <c r="G97" i="39"/>
  <c r="K100" i="39"/>
  <c r="K99" i="39"/>
  <c r="M110" i="50"/>
  <c r="I110" i="50"/>
  <c r="G109" i="50"/>
  <c r="M109" i="50"/>
  <c r="I109" i="50"/>
  <c r="P114" i="47"/>
  <c r="O115" i="47"/>
  <c r="P115" i="47" s="1"/>
  <c r="F92" i="43"/>
  <c r="AC144" i="46"/>
  <c r="AD144" i="46" s="1"/>
  <c r="AD143" i="46"/>
  <c r="AC148" i="46"/>
  <c r="K105" i="33"/>
  <c r="K104" i="33"/>
  <c r="G102" i="33"/>
  <c r="B127" i="29"/>
  <c r="A128" i="29"/>
  <c r="V92" i="43"/>
  <c r="V95" i="43" s="1"/>
  <c r="T92" i="43"/>
  <c r="T95" i="43" s="1"/>
  <c r="X94" i="43" s="1"/>
  <c r="AB94" i="43" s="1"/>
  <c r="G119" i="59"/>
  <c r="M119" i="59"/>
  <c r="M120" i="59"/>
  <c r="C113" i="29"/>
  <c r="C114" i="29"/>
  <c r="AJ130" i="40"/>
  <c r="AJ129" i="40"/>
  <c r="AF7" i="53"/>
  <c r="AI75" i="49"/>
  <c r="AA110" i="43"/>
  <c r="AO110" i="43" s="1"/>
  <c r="AP110" i="43" s="1"/>
  <c r="W110" i="43"/>
  <c r="AA109" i="43"/>
  <c r="AO109" i="43" s="1"/>
  <c r="AP109" i="43" s="1"/>
  <c r="W109" i="43"/>
  <c r="AE64" i="45"/>
  <c r="AG64" i="45" s="1"/>
  <c r="AE68" i="45"/>
  <c r="R63" i="45"/>
  <c r="D64" i="45"/>
  <c r="R59" i="45"/>
  <c r="AC128" i="32"/>
  <c r="AC124" i="32"/>
  <c r="AD124" i="32" s="1"/>
  <c r="AD123" i="32"/>
  <c r="C114" i="33"/>
  <c r="C113" i="33"/>
  <c r="P109" i="34"/>
  <c r="O110" i="34"/>
  <c r="P110" i="34" s="1"/>
  <c r="P118" i="36"/>
  <c r="Q118" i="36" s="1"/>
  <c r="O119" i="36"/>
  <c r="AV11" i="20"/>
  <c r="C109" i="43"/>
  <c r="C108" i="43"/>
  <c r="Q109" i="48"/>
  <c r="Q107" i="48"/>
  <c r="C113" i="49"/>
  <c r="C114" i="49"/>
  <c r="Y105" i="35"/>
  <c r="Y104" i="35"/>
  <c r="AG70" i="47"/>
  <c r="AC124" i="33"/>
  <c r="AD124" i="33" s="1"/>
  <c r="AD123" i="33"/>
  <c r="AC128" i="33"/>
  <c r="V92" i="49"/>
  <c r="V95" i="49" s="1"/>
  <c r="T92" i="49"/>
  <c r="T95" i="49" s="1"/>
  <c r="X94" i="49" s="1"/>
  <c r="AB94" i="49" s="1"/>
  <c r="F78" i="48"/>
  <c r="V64" i="48"/>
  <c r="V65" i="48" s="1"/>
  <c r="T64" i="48"/>
  <c r="T65" i="48" s="1"/>
  <c r="X64" i="48" s="1"/>
  <c r="O114" i="34"/>
  <c r="P113" i="34"/>
  <c r="Q113" i="34" s="1"/>
  <c r="O131" i="29"/>
  <c r="O127" i="29"/>
  <c r="P126" i="29"/>
  <c r="AF11" i="23"/>
  <c r="AV13" i="22"/>
  <c r="X102" i="36"/>
  <c r="A119" i="26"/>
  <c r="B118" i="26"/>
  <c r="V62" i="45"/>
  <c r="T62" i="45"/>
  <c r="T58" i="45"/>
  <c r="V58" i="45"/>
  <c r="C102" i="45"/>
  <c r="G103" i="45"/>
  <c r="B131" i="50"/>
  <c r="A136" i="50"/>
  <c r="A132" i="50"/>
  <c r="O118" i="33"/>
  <c r="P117" i="33"/>
  <c r="A124" i="42"/>
  <c r="B123" i="42"/>
  <c r="A120" i="33"/>
  <c r="B120" i="33" s="1"/>
  <c r="B119" i="33"/>
  <c r="F42" i="40"/>
  <c r="T33" i="40"/>
  <c r="V33" i="40"/>
  <c r="AG11" i="22"/>
  <c r="P117" i="39"/>
  <c r="O118" i="39"/>
  <c r="G103" i="48"/>
  <c r="C102" i="48"/>
  <c r="C107" i="47"/>
  <c r="G108" i="47"/>
  <c r="Q104" i="43"/>
  <c r="Q102" i="43"/>
  <c r="AJ119" i="36"/>
  <c r="AJ120" i="36"/>
  <c r="O152" i="59"/>
  <c r="O147" i="59"/>
  <c r="P146" i="59"/>
  <c r="C107" i="28"/>
  <c r="G108" i="28"/>
  <c r="AE59" i="44"/>
  <c r="AG59" i="44" s="1"/>
  <c r="AE63" i="44"/>
  <c r="D59" i="44"/>
  <c r="F59" i="44" s="1"/>
  <c r="H59" i="44" s="1"/>
  <c r="R58" i="44"/>
  <c r="R54" i="44"/>
  <c r="D63" i="44"/>
  <c r="F63" i="44" s="1"/>
  <c r="H63" i="44" s="1"/>
  <c r="R62" i="44"/>
  <c r="O118" i="27"/>
  <c r="P117" i="27"/>
  <c r="AA115" i="41"/>
  <c r="AO115" i="41" s="1"/>
  <c r="AP115" i="41" s="1"/>
  <c r="W115" i="41"/>
  <c r="AA114" i="41"/>
  <c r="AO114" i="41" s="1"/>
  <c r="AP114" i="41" s="1"/>
  <c r="W114" i="41"/>
  <c r="H4" i="13"/>
  <c r="I4" i="13" s="1"/>
  <c r="D4" i="13"/>
  <c r="X95" i="30"/>
  <c r="AB95" i="30" s="1"/>
  <c r="AR95" i="30" s="1"/>
  <c r="M104" i="48"/>
  <c r="I104" i="48"/>
  <c r="M105" i="48"/>
  <c r="I105" i="48"/>
  <c r="G104" i="48"/>
  <c r="AA110" i="46"/>
  <c r="AO110" i="46" s="1"/>
  <c r="AP110" i="46" s="1"/>
  <c r="W110" i="46"/>
  <c r="AA109" i="46"/>
  <c r="AO109" i="46" s="1"/>
  <c r="AP109" i="46" s="1"/>
  <c r="W109" i="46"/>
  <c r="G11" i="22"/>
  <c r="M105" i="37"/>
  <c r="I105" i="37"/>
  <c r="G104" i="37"/>
  <c r="M104" i="37"/>
  <c r="I104" i="37"/>
  <c r="V94" i="37"/>
  <c r="T94" i="37"/>
  <c r="A124" i="35"/>
  <c r="B123" i="35"/>
  <c r="O115" i="41"/>
  <c r="P115" i="41" s="1"/>
  <c r="P114" i="41"/>
  <c r="AV4" i="13"/>
  <c r="X97" i="45"/>
  <c r="Q107" i="35"/>
  <c r="Q109" i="35"/>
  <c r="P122" i="38"/>
  <c r="O123" i="38"/>
  <c r="K100" i="36"/>
  <c r="K99" i="36"/>
  <c r="G97" i="36"/>
  <c r="P109" i="46"/>
  <c r="O110" i="46"/>
  <c r="P110" i="46" s="1"/>
  <c r="O118" i="44"/>
  <c r="P117" i="44"/>
  <c r="B127" i="47"/>
  <c r="A128" i="47"/>
  <c r="P122" i="35"/>
  <c r="O123" i="35"/>
  <c r="O110" i="33"/>
  <c r="P110" i="33" s="1"/>
  <c r="P109" i="33"/>
  <c r="AA110" i="50"/>
  <c r="AO110" i="50" s="1"/>
  <c r="W110" i="50"/>
  <c r="AA109" i="50"/>
  <c r="AO109" i="50" s="1"/>
  <c r="W109" i="50"/>
  <c r="X95" i="36"/>
  <c r="AB95" i="36" s="1"/>
  <c r="AR95" i="36" s="1"/>
  <c r="V59" i="46"/>
  <c r="V60" i="46" s="1"/>
  <c r="T59" i="46"/>
  <c r="T60" i="46" s="1"/>
  <c r="X59" i="46" s="1"/>
  <c r="AM9" i="61"/>
  <c r="AD12" i="68" s="1"/>
  <c r="AP9" i="17"/>
  <c r="C12" i="45"/>
  <c r="B9" i="17"/>
  <c r="O118" i="46"/>
  <c r="P117" i="46"/>
  <c r="X97" i="37"/>
  <c r="O142" i="59"/>
  <c r="P141" i="59"/>
  <c r="C102" i="46"/>
  <c r="G103" i="46"/>
  <c r="AA13" i="24"/>
  <c r="AG13" i="24" s="1"/>
  <c r="A120" i="31"/>
  <c r="B120" i="31" s="1"/>
  <c r="B119" i="31"/>
  <c r="M109" i="42"/>
  <c r="I109" i="42"/>
  <c r="M110" i="42"/>
  <c r="I110" i="42"/>
  <c r="G109" i="42"/>
  <c r="H64" i="47"/>
  <c r="H65" i="47" s="1"/>
  <c r="J65" i="47" s="1"/>
  <c r="F65" i="47"/>
  <c r="J64" i="47" s="1"/>
  <c r="A120" i="35"/>
  <c r="B120" i="35" s="1"/>
  <c r="B119" i="35"/>
  <c r="AV14" i="23"/>
  <c r="V94" i="49"/>
  <c r="T94" i="49"/>
  <c r="H7" i="16"/>
  <c r="I7" i="16" s="1"/>
  <c r="D7" i="16"/>
  <c r="F7" i="16" s="1"/>
  <c r="G7" i="16" s="1"/>
  <c r="O110" i="44"/>
  <c r="P110" i="44" s="1"/>
  <c r="P109" i="44"/>
  <c r="AC124" i="50"/>
  <c r="AD124" i="50" s="1"/>
  <c r="AD123" i="50"/>
  <c r="AC128" i="50"/>
  <c r="AV10" i="53"/>
  <c r="H10" i="19"/>
  <c r="I10" i="19" s="1"/>
  <c r="D10" i="19"/>
  <c r="V94" i="39"/>
  <c r="T94" i="39"/>
  <c r="A124" i="41"/>
  <c r="B123" i="41"/>
  <c r="Y14" i="24"/>
  <c r="AJ120" i="42"/>
  <c r="AJ119" i="42"/>
  <c r="A136" i="31"/>
  <c r="A132" i="31"/>
  <c r="B131" i="31"/>
  <c r="K105" i="27"/>
  <c r="K104" i="27"/>
  <c r="G102" i="27"/>
  <c r="X117" i="59"/>
  <c r="P134" i="32"/>
  <c r="O135" i="32"/>
  <c r="P135" i="32" s="1"/>
  <c r="AE65" i="46"/>
  <c r="AI64" i="46" s="1"/>
  <c r="F49" i="43"/>
  <c r="J47" i="43"/>
  <c r="AG53" i="43"/>
  <c r="P113" i="33"/>
  <c r="Q113" i="33" s="1"/>
  <c r="O114" i="33"/>
  <c r="V94" i="50"/>
  <c r="T94" i="50"/>
  <c r="A136" i="27"/>
  <c r="A132" i="27"/>
  <c r="B131" i="27"/>
  <c r="O127" i="30"/>
  <c r="P126" i="30"/>
  <c r="O131" i="30"/>
  <c r="F95" i="42"/>
  <c r="H92" i="42"/>
  <c r="H95" i="42" s="1"/>
  <c r="M104" i="26"/>
  <c r="I104" i="26"/>
  <c r="M105" i="26"/>
  <c r="I105" i="26"/>
  <c r="G104" i="26"/>
  <c r="O115" i="35"/>
  <c r="P115" i="35" s="1"/>
  <c r="P114" i="35"/>
  <c r="H42" i="41"/>
  <c r="B126" i="48"/>
  <c r="A131" i="48"/>
  <c r="A127" i="48"/>
  <c r="Q109" i="47"/>
  <c r="Q107" i="47"/>
  <c r="C102" i="36"/>
  <c r="G103" i="36"/>
  <c r="C114" i="47"/>
  <c r="C113" i="47"/>
  <c r="A128" i="33"/>
  <c r="B127" i="33"/>
  <c r="AG83" i="49"/>
  <c r="H92" i="34"/>
  <c r="H95" i="34" s="1"/>
  <c r="F95" i="34"/>
  <c r="O118" i="31"/>
  <c r="P117" i="31"/>
  <c r="AC119" i="35"/>
  <c r="AD119" i="35" s="1"/>
  <c r="AD118" i="35"/>
  <c r="AC123" i="35"/>
  <c r="O110" i="39"/>
  <c r="P110" i="39" s="1"/>
  <c r="P109" i="39"/>
  <c r="P121" i="50"/>
  <c r="O126" i="50"/>
  <c r="O122" i="50"/>
  <c r="AI117" i="28"/>
  <c r="AL119" i="28"/>
  <c r="AH119" i="28"/>
  <c r="AL120" i="28"/>
  <c r="AH120" i="28"/>
  <c r="T92" i="44"/>
  <c r="T95" i="44" s="1"/>
  <c r="X94" i="44" s="1"/>
  <c r="V92" i="44"/>
  <c r="V95" i="44" s="1"/>
  <c r="A120" i="41"/>
  <c r="B120" i="41" s="1"/>
  <c r="B119" i="41"/>
  <c r="B126" i="39"/>
  <c r="A131" i="39"/>
  <c r="A127" i="39"/>
  <c r="M109" i="33"/>
  <c r="I109" i="33"/>
  <c r="M110" i="33"/>
  <c r="I110" i="33"/>
  <c r="G109" i="33"/>
  <c r="F10" i="20"/>
  <c r="B126" i="46"/>
  <c r="A127" i="46"/>
  <c r="A131" i="46"/>
  <c r="V94" i="27"/>
  <c r="T94" i="27"/>
  <c r="P121" i="40"/>
  <c r="O126" i="40"/>
  <c r="O122" i="40"/>
  <c r="P121" i="37"/>
  <c r="O126" i="37"/>
  <c r="O122" i="37"/>
  <c r="Q102" i="45"/>
  <c r="Q104" i="45"/>
  <c r="P113" i="43"/>
  <c r="Q113" i="43" s="1"/>
  <c r="O114" i="43"/>
  <c r="V38" i="41"/>
  <c r="T38" i="41"/>
  <c r="V34" i="41"/>
  <c r="V35" i="41" s="1"/>
  <c r="X35" i="41" s="1"/>
  <c r="AB35" i="41" s="1"/>
  <c r="T34" i="41"/>
  <c r="T35" i="41" s="1"/>
  <c r="X34" i="41" s="1"/>
  <c r="AB34" i="41" s="1"/>
  <c r="AJ119" i="26"/>
  <c r="AJ120" i="26"/>
  <c r="P113" i="27"/>
  <c r="Q113" i="27" s="1"/>
  <c r="O114" i="27"/>
  <c r="A128" i="44"/>
  <c r="B127" i="44"/>
  <c r="A131" i="36"/>
  <c r="A127" i="36"/>
  <c r="B126" i="36"/>
  <c r="A124" i="27"/>
  <c r="B123" i="27"/>
  <c r="F95" i="27"/>
  <c r="H92" i="27"/>
  <c r="H95" i="27" s="1"/>
  <c r="C109" i="46"/>
  <c r="C108" i="46"/>
  <c r="B122" i="43"/>
  <c r="A123" i="43"/>
  <c r="H44" i="43"/>
  <c r="H45" i="43" s="1"/>
  <c r="J45" i="43" s="1"/>
  <c r="F45" i="43"/>
  <c r="J44" i="43" s="1"/>
  <c r="AL120" i="39"/>
  <c r="AI117" i="39"/>
  <c r="AH119" i="39"/>
  <c r="AL119" i="39"/>
  <c r="AH120" i="39"/>
  <c r="G103" i="43"/>
  <c r="C102" i="43"/>
  <c r="Y105" i="42"/>
  <c r="Y104" i="42"/>
  <c r="AC128" i="48"/>
  <c r="AC124" i="48"/>
  <c r="AD124" i="48" s="1"/>
  <c r="AD123" i="48"/>
  <c r="D102" i="50"/>
  <c r="K104" i="50"/>
  <c r="G102" i="50"/>
  <c r="K105" i="50"/>
  <c r="C107" i="31"/>
  <c r="G108" i="31"/>
  <c r="Y100" i="49"/>
  <c r="Y99" i="49"/>
  <c r="V117" i="32"/>
  <c r="V120" i="32" s="1"/>
  <c r="T117" i="32"/>
  <c r="T120" i="32" s="1"/>
  <c r="X119" i="32" s="1"/>
  <c r="AB119" i="32" s="1"/>
  <c r="O110" i="49"/>
  <c r="P110" i="49" s="1"/>
  <c r="P109" i="49"/>
  <c r="A124" i="40"/>
  <c r="B123" i="40"/>
  <c r="AC119" i="44"/>
  <c r="AD119" i="44" s="1"/>
  <c r="AD118" i="44"/>
  <c r="AC123" i="44"/>
  <c r="G8" i="19"/>
  <c r="AV6" i="15"/>
  <c r="AL114" i="29"/>
  <c r="AH114" i="29"/>
  <c r="AL115" i="29"/>
  <c r="AH115" i="29"/>
  <c r="AI112" i="29"/>
  <c r="AI60" i="46"/>
  <c r="AM60" i="46" s="1"/>
  <c r="AS60" i="46" s="1"/>
  <c r="C109" i="39"/>
  <c r="C108" i="39"/>
  <c r="P109" i="40"/>
  <c r="O110" i="40"/>
  <c r="P110" i="40" s="1"/>
  <c r="C107" i="29"/>
  <c r="G108" i="29"/>
  <c r="A115" i="45"/>
  <c r="B115" i="45" s="1"/>
  <c r="B114" i="45"/>
  <c r="H47" i="42"/>
  <c r="O115" i="48"/>
  <c r="P115" i="48" s="1"/>
  <c r="P114" i="48"/>
  <c r="AA115" i="29"/>
  <c r="AO115" i="29" s="1"/>
  <c r="AP115" i="29" s="1"/>
  <c r="W115" i="29"/>
  <c r="AA114" i="29"/>
  <c r="AO114" i="29" s="1"/>
  <c r="AP114" i="29" s="1"/>
  <c r="W114" i="29"/>
  <c r="AC128" i="30"/>
  <c r="AC124" i="30"/>
  <c r="AD124" i="30" s="1"/>
  <c r="AD123" i="30"/>
  <c r="AG58" i="44"/>
  <c r="A120" i="50"/>
  <c r="B120" i="50" s="1"/>
  <c r="B119" i="50"/>
  <c r="M109" i="44"/>
  <c r="I109" i="44"/>
  <c r="M110" i="44"/>
  <c r="I110" i="44"/>
  <c r="G109" i="44"/>
  <c r="AA115" i="26"/>
  <c r="AO115" i="26" s="1"/>
  <c r="AP115" i="26" s="1"/>
  <c r="W115" i="26"/>
  <c r="AA114" i="26"/>
  <c r="AO114" i="26" s="1"/>
  <c r="AP114" i="26" s="1"/>
  <c r="W114" i="26"/>
  <c r="P121" i="34"/>
  <c r="O126" i="34"/>
  <c r="O122" i="34"/>
  <c r="Q104" i="33"/>
  <c r="Q102" i="33"/>
  <c r="K99" i="37"/>
  <c r="G97" i="37"/>
  <c r="K100" i="37"/>
  <c r="AV12" i="21"/>
  <c r="AF16" i="61"/>
  <c r="W19" i="68" s="1"/>
  <c r="AP16" i="24"/>
  <c r="B16" i="24"/>
  <c r="C5" i="38"/>
  <c r="Y100" i="44"/>
  <c r="Y99" i="44"/>
  <c r="O114" i="45"/>
  <c r="P113" i="45"/>
  <c r="Q113" i="45" s="1"/>
  <c r="H92" i="32"/>
  <c r="H95" i="32" s="1"/>
  <c r="F95" i="32"/>
  <c r="A128" i="42"/>
  <c r="B127" i="42"/>
  <c r="O131" i="47"/>
  <c r="P126" i="47"/>
  <c r="O127" i="47"/>
  <c r="O115" i="38"/>
  <c r="P115" i="38" s="1"/>
  <c r="P114" i="38"/>
  <c r="X95" i="41"/>
  <c r="AB95" i="41" s="1"/>
  <c r="AR95" i="41" s="1"/>
  <c r="Q104" i="27"/>
  <c r="Q102" i="27"/>
  <c r="K104" i="34"/>
  <c r="G102" i="34"/>
  <c r="K105" i="34"/>
  <c r="K104" i="41"/>
  <c r="G102" i="41"/>
  <c r="K105" i="41"/>
  <c r="AJ120" i="37"/>
  <c r="AJ119" i="37"/>
  <c r="AL119" i="45"/>
  <c r="AH119" i="45"/>
  <c r="AH120" i="45"/>
  <c r="AL120" i="45"/>
  <c r="AI117" i="45"/>
  <c r="A124" i="44"/>
  <c r="B123" i="44"/>
  <c r="X97" i="28"/>
  <c r="C114" i="42"/>
  <c r="C113" i="42"/>
  <c r="B131" i="35"/>
  <c r="A136" i="35"/>
  <c r="A132" i="35"/>
  <c r="AL137" i="59"/>
  <c r="AL138" i="59"/>
  <c r="Y105" i="41"/>
  <c r="Y104" i="41"/>
  <c r="AV5" i="14"/>
  <c r="Y4" i="14"/>
  <c r="AC119" i="41"/>
  <c r="AD119" i="41" s="1"/>
  <c r="AD118" i="41"/>
  <c r="AC123" i="41"/>
  <c r="G10" i="21"/>
  <c r="B126" i="37"/>
  <c r="A131" i="37"/>
  <c r="A127" i="37"/>
  <c r="H62" i="45"/>
  <c r="X102" i="48"/>
  <c r="F65" i="46"/>
  <c r="W115" i="47"/>
  <c r="AA114" i="47"/>
  <c r="AO114" i="47" s="1"/>
  <c r="AP114" i="47" s="1"/>
  <c r="AA115" i="47"/>
  <c r="AO115" i="47" s="1"/>
  <c r="AP115" i="47" s="1"/>
  <c r="W114" i="47"/>
  <c r="O127" i="26"/>
  <c r="P126" i="26"/>
  <c r="O131" i="26"/>
  <c r="H92" i="41"/>
  <c r="H95" i="41" s="1"/>
  <c r="F95" i="41"/>
  <c r="AJ140" i="46"/>
  <c r="AJ139" i="46"/>
  <c r="B131" i="29"/>
  <c r="A136" i="29"/>
  <c r="A132" i="29"/>
  <c r="C117" i="59"/>
  <c r="G118" i="59"/>
  <c r="H57" i="44"/>
  <c r="A124" i="49"/>
  <c r="B123" i="49"/>
  <c r="Q107" i="29"/>
  <c r="Q109" i="29"/>
  <c r="AI127" i="40"/>
  <c r="AL129" i="40"/>
  <c r="AH129" i="40"/>
  <c r="AL130" i="40"/>
  <c r="AH130" i="40"/>
  <c r="AJ115" i="47"/>
  <c r="AJ114" i="47"/>
  <c r="AC124" i="27"/>
  <c r="AD124" i="27" s="1"/>
  <c r="AD123" i="27"/>
  <c r="AC128" i="27"/>
  <c r="O115" i="42"/>
  <c r="P115" i="42" s="1"/>
  <c r="P114" i="42"/>
  <c r="AF4" i="16"/>
  <c r="AF5" i="16" s="1"/>
  <c r="AV9" i="18"/>
  <c r="F69" i="47"/>
  <c r="J67" i="47"/>
  <c r="V94" i="46"/>
  <c r="T94" i="46"/>
  <c r="X97" i="46"/>
  <c r="F105" i="59"/>
  <c r="X95" i="29"/>
  <c r="AB95" i="29" s="1"/>
  <c r="AR94" i="29" s="1"/>
  <c r="AF6" i="19"/>
  <c r="AF7" i="19" s="1"/>
  <c r="AE54" i="43"/>
  <c r="AG54" i="43" s="1"/>
  <c r="AE58" i="43"/>
  <c r="R53" i="43"/>
  <c r="D54" i="43"/>
  <c r="D58" i="43"/>
  <c r="F58" i="43" s="1"/>
  <c r="H58" i="43" s="1"/>
  <c r="R57" i="43"/>
  <c r="D62" i="43"/>
  <c r="X97" i="50"/>
  <c r="AC119" i="38"/>
  <c r="AD119" i="38" s="1"/>
  <c r="AD118" i="38"/>
  <c r="AC123" i="38"/>
  <c r="AE70" i="47"/>
  <c r="AI69" i="47" s="1"/>
  <c r="X102" i="29"/>
  <c r="O122" i="43"/>
  <c r="P121" i="43"/>
  <c r="O126" i="43"/>
  <c r="AJ119" i="33"/>
  <c r="AJ120" i="33"/>
  <c r="Y104" i="47"/>
  <c r="Y105" i="47"/>
  <c r="F74" i="48"/>
  <c r="J72" i="48"/>
  <c r="M110" i="38"/>
  <c r="I110" i="38"/>
  <c r="G109" i="38"/>
  <c r="M109" i="38"/>
  <c r="I109" i="38"/>
  <c r="AE48" i="41"/>
  <c r="D44" i="41"/>
  <c r="AE44" i="41"/>
  <c r="AG44" i="41" s="1"/>
  <c r="R43" i="41"/>
  <c r="D48" i="41"/>
  <c r="F48" i="41" s="1"/>
  <c r="H48" i="41" s="1"/>
  <c r="K105" i="47"/>
  <c r="K104" i="47"/>
  <c r="G102" i="47"/>
  <c r="H72" i="46"/>
  <c r="AG63" i="45"/>
  <c r="C107" i="27"/>
  <c r="G108" i="27"/>
  <c r="F92" i="26"/>
  <c r="F95" i="31"/>
  <c r="H92" i="31"/>
  <c r="H95" i="31" s="1"/>
  <c r="A115" i="37"/>
  <c r="B115" i="37" s="1"/>
  <c r="B114" i="37"/>
  <c r="M105" i="45"/>
  <c r="I105" i="45"/>
  <c r="G104" i="45"/>
  <c r="M104" i="45"/>
  <c r="I104" i="45"/>
  <c r="Q104" i="44"/>
  <c r="Q102" i="44"/>
  <c r="C107" i="34"/>
  <c r="G108" i="34"/>
  <c r="M110" i="41"/>
  <c r="I110" i="41"/>
  <c r="G109" i="41"/>
  <c r="M109" i="41"/>
  <c r="I109" i="41"/>
  <c r="O110" i="31"/>
  <c r="P110" i="31" s="1"/>
  <c r="P109" i="31"/>
  <c r="Q102" i="34"/>
  <c r="Q104" i="34"/>
  <c r="AG34" i="40"/>
  <c r="AG35" i="40" s="1"/>
  <c r="AE35" i="40"/>
  <c r="AI34" i="40" s="1"/>
  <c r="AM34" i="40" s="1"/>
  <c r="AS34" i="40" s="1"/>
  <c r="V37" i="40"/>
  <c r="T37" i="40"/>
  <c r="AA12" i="23"/>
  <c r="AG12" i="23" s="1"/>
  <c r="P117" i="49"/>
  <c r="O118" i="49"/>
  <c r="A136" i="47"/>
  <c r="A132" i="47"/>
  <c r="B131" i="47"/>
  <c r="B127" i="38"/>
  <c r="A128" i="38"/>
  <c r="C102" i="37"/>
  <c r="G103" i="37"/>
  <c r="AE69" i="46"/>
  <c r="AG69" i="46" s="1"/>
  <c r="AE73" i="46"/>
  <c r="R68" i="46"/>
  <c r="D69" i="46"/>
  <c r="P122" i="36"/>
  <c r="O123" i="36"/>
  <c r="B126" i="30"/>
  <c r="A131" i="30"/>
  <c r="A127" i="30"/>
  <c r="V94" i="28"/>
  <c r="T94" i="28"/>
  <c r="D43" i="40"/>
  <c r="F43" i="40" s="1"/>
  <c r="H43" i="40" s="1"/>
  <c r="AE43" i="40"/>
  <c r="R34" i="40"/>
  <c r="R38" i="40"/>
  <c r="AE39" i="40"/>
  <c r="AG39" i="40" s="1"/>
  <c r="D39" i="40"/>
  <c r="F39" i="40" s="1"/>
  <c r="H39" i="40" s="1"/>
  <c r="R42" i="40"/>
  <c r="D47" i="40"/>
  <c r="AN8" i="61"/>
  <c r="AE11" i="68" s="1"/>
  <c r="B8" i="16"/>
  <c r="C13" i="46"/>
  <c r="AH4" i="46" s="1"/>
  <c r="AJ4" i="46" s="1"/>
  <c r="AL4" i="46" s="1"/>
  <c r="AP8" i="16"/>
  <c r="O110" i="27"/>
  <c r="P110" i="27" s="1"/>
  <c r="P109" i="27"/>
  <c r="F44" i="42"/>
  <c r="J42" i="42"/>
  <c r="AI117" i="50"/>
  <c r="AL119" i="50"/>
  <c r="AH119" i="50"/>
  <c r="AL120" i="50"/>
  <c r="AH120" i="50"/>
  <c r="AJ119" i="49"/>
  <c r="AJ120" i="49"/>
  <c r="AG4" i="15"/>
  <c r="AQ5" i="61"/>
  <c r="AH8" i="68" s="1"/>
  <c r="C16" i="49"/>
  <c r="AP5" i="13"/>
  <c r="B5" i="13"/>
  <c r="O122" i="27"/>
  <c r="P121" i="27"/>
  <c r="O126" i="27"/>
  <c r="V92" i="50"/>
  <c r="V95" i="50" s="1"/>
  <c r="T92" i="50"/>
  <c r="T95" i="50" s="1"/>
  <c r="X94" i="50" s="1"/>
  <c r="Q102" i="39"/>
  <c r="Q104" i="39"/>
  <c r="M110" i="35"/>
  <c r="I110" i="35"/>
  <c r="G109" i="35"/>
  <c r="M109" i="35"/>
  <c r="I109" i="35"/>
  <c r="O122" i="49"/>
  <c r="O126" i="49"/>
  <c r="P121" i="49"/>
  <c r="P142" i="32"/>
  <c r="O143" i="32"/>
  <c r="B119" i="47"/>
  <c r="A120" i="47"/>
  <c r="B120" i="47" s="1"/>
  <c r="AE89" i="50"/>
  <c r="AG89" i="50" s="1"/>
  <c r="AE93" i="50"/>
  <c r="R88" i="50"/>
  <c r="D89" i="50"/>
  <c r="A119" i="37"/>
  <c r="B118" i="37"/>
  <c r="Y100" i="45"/>
  <c r="Y99" i="45"/>
  <c r="O131" i="38"/>
  <c r="O127" i="38"/>
  <c r="P126" i="38"/>
  <c r="O131" i="35"/>
  <c r="O127" i="35"/>
  <c r="P126" i="35"/>
  <c r="AC124" i="36"/>
  <c r="AD124" i="36" s="1"/>
  <c r="AD123" i="36"/>
  <c r="AC128" i="36"/>
  <c r="AA110" i="33"/>
  <c r="AO110" i="33" s="1"/>
  <c r="AP110" i="33" s="1"/>
  <c r="W110" i="33"/>
  <c r="AA109" i="33"/>
  <c r="AO109" i="33" s="1"/>
  <c r="AP109" i="33" s="1"/>
  <c r="W109" i="33"/>
  <c r="P109" i="50"/>
  <c r="O110" i="50"/>
  <c r="P110" i="50" s="1"/>
  <c r="C109" i="30"/>
  <c r="C108" i="30"/>
  <c r="H78" i="49"/>
  <c r="H80" i="49" s="1"/>
  <c r="F80" i="49"/>
  <c r="H8" i="17"/>
  <c r="I8" i="17" s="1"/>
  <c r="D8" i="17"/>
  <c r="P121" i="46"/>
  <c r="O126" i="46"/>
  <c r="O122" i="46"/>
  <c r="Y100" i="37"/>
  <c r="Y99" i="37"/>
  <c r="V94" i="44"/>
  <c r="T94" i="44"/>
  <c r="O127" i="36"/>
  <c r="O131" i="36"/>
  <c r="P126" i="36"/>
  <c r="B122" i="30"/>
  <c r="A123" i="30"/>
  <c r="M105" i="46"/>
  <c r="I105" i="46"/>
  <c r="G104" i="46"/>
  <c r="M104" i="46"/>
  <c r="I104" i="46"/>
  <c r="C108" i="36"/>
  <c r="C109" i="36"/>
  <c r="A119" i="46"/>
  <c r="B118" i="46"/>
  <c r="H92" i="40"/>
  <c r="H95" i="40" s="1"/>
  <c r="F95" i="40"/>
  <c r="J60" i="46"/>
  <c r="J59" i="46"/>
  <c r="H92" i="28"/>
  <c r="H95" i="28" s="1"/>
  <c r="F95" i="28"/>
  <c r="H14" i="23"/>
  <c r="I14" i="23" s="1"/>
  <c r="D14" i="23"/>
  <c r="F14" i="23" s="1"/>
  <c r="G14" i="23" s="1"/>
  <c r="AV7" i="16"/>
  <c r="AA110" i="44"/>
  <c r="AO110" i="44" s="1"/>
  <c r="AP110" i="44" s="1"/>
  <c r="W110" i="44"/>
  <c r="AA109" i="44"/>
  <c r="AO109" i="44" s="1"/>
  <c r="AP109" i="44" s="1"/>
  <c r="W109" i="44"/>
  <c r="G97" i="30"/>
  <c r="K100" i="30"/>
  <c r="K99" i="30"/>
  <c r="A120" i="27"/>
  <c r="B120" i="27" s="1"/>
  <c r="B119" i="27"/>
  <c r="V39" i="42"/>
  <c r="V40" i="42" s="1"/>
  <c r="T39" i="42"/>
  <c r="T40" i="42" s="1"/>
  <c r="X39" i="42" s="1"/>
  <c r="AG48" i="42"/>
  <c r="AJ120" i="50"/>
  <c r="AJ119" i="50"/>
  <c r="H10" i="53"/>
  <c r="I10" i="53" s="1"/>
  <c r="D10" i="53"/>
  <c r="AK11" i="61"/>
  <c r="AB14" i="68" s="1"/>
  <c r="AP11" i="19"/>
  <c r="C10" i="43"/>
  <c r="B11" i="19"/>
  <c r="AP11" i="53"/>
  <c r="B11" i="53"/>
  <c r="AC124" i="49"/>
  <c r="AD124" i="49" s="1"/>
  <c r="AD123" i="49"/>
  <c r="AC128" i="49"/>
  <c r="G97" i="48"/>
  <c r="K100" i="48"/>
  <c r="K99" i="48"/>
  <c r="AL119" i="42"/>
  <c r="AH119" i="42"/>
  <c r="AL120" i="42"/>
  <c r="AH120" i="42"/>
  <c r="AI117" i="42"/>
  <c r="T92" i="31"/>
  <c r="T95" i="31" s="1"/>
  <c r="X94" i="31" s="1"/>
  <c r="AB94" i="31" s="1"/>
  <c r="V92" i="31"/>
  <c r="V95" i="31" s="1"/>
  <c r="A115" i="46"/>
  <c r="B115" i="46" s="1"/>
  <c r="B114" i="46"/>
  <c r="O126" i="45"/>
  <c r="P121" i="45"/>
  <c r="O122" i="45"/>
  <c r="A124" i="50"/>
  <c r="B123" i="50"/>
  <c r="X97" i="40"/>
  <c r="O115" i="36"/>
  <c r="P115" i="36" s="1"/>
  <c r="P114" i="36"/>
  <c r="V44" i="43"/>
  <c r="V45" i="43" s="1"/>
  <c r="T44" i="43"/>
  <c r="T45" i="43" s="1"/>
  <c r="X44" i="43" s="1"/>
  <c r="V92" i="45"/>
  <c r="V95" i="45" s="1"/>
  <c r="T92" i="45"/>
  <c r="T95" i="45" s="1"/>
  <c r="X94" i="45" s="1"/>
  <c r="O114" i="39"/>
  <c r="P113" i="39"/>
  <c r="Q113" i="39" s="1"/>
  <c r="H92" i="38"/>
  <c r="H95" i="38" s="1"/>
  <c r="F95" i="38"/>
  <c r="J80" i="50"/>
  <c r="J79" i="50"/>
  <c r="F84" i="50"/>
  <c r="J82" i="50"/>
  <c r="R124" i="32"/>
  <c r="X122" i="32"/>
  <c r="M109" i="49"/>
  <c r="I109" i="49"/>
  <c r="M110" i="49"/>
  <c r="I110" i="49"/>
  <c r="G109" i="49"/>
  <c r="A136" i="33"/>
  <c r="A132" i="33"/>
  <c r="B131" i="33"/>
  <c r="O119" i="41"/>
  <c r="P118" i="41"/>
  <c r="Q118" i="41" s="1"/>
  <c r="H92" i="50"/>
  <c r="H95" i="50" s="1"/>
  <c r="F95" i="50"/>
  <c r="A124" i="47"/>
  <c r="B123" i="47"/>
  <c r="V74" i="49"/>
  <c r="V75" i="49" s="1"/>
  <c r="T74" i="49"/>
  <c r="T75" i="49" s="1"/>
  <c r="X74" i="49" s="1"/>
  <c r="A115" i="39"/>
  <c r="B115" i="39" s="1"/>
  <c r="B114" i="39"/>
  <c r="O119" i="35"/>
  <c r="P118" i="35"/>
  <c r="Q118" i="35" s="1"/>
  <c r="B127" i="34"/>
  <c r="A128" i="34"/>
  <c r="Y100" i="27"/>
  <c r="Y99" i="27"/>
  <c r="AJ115" i="35"/>
  <c r="AJ114" i="35"/>
  <c r="H74" i="49"/>
  <c r="H75" i="49" s="1"/>
  <c r="J75" i="49" s="1"/>
  <c r="F75" i="49"/>
  <c r="J74" i="49" s="1"/>
  <c r="Y100" i="43"/>
  <c r="Y99" i="43"/>
  <c r="AI40" i="42"/>
  <c r="O137" i="59"/>
  <c r="P136" i="59"/>
  <c r="Q136" i="59" s="1"/>
  <c r="F92" i="37"/>
  <c r="K105" i="44"/>
  <c r="K104" i="44"/>
  <c r="G102" i="44"/>
  <c r="B122" i="46"/>
  <c r="A123" i="46"/>
  <c r="Y100" i="33"/>
  <c r="Y99" i="33"/>
  <c r="B146" i="59"/>
  <c r="A147" i="59"/>
  <c r="A152" i="59"/>
  <c r="X102" i="38"/>
  <c r="C109" i="26"/>
  <c r="C108" i="26"/>
  <c r="B122" i="45"/>
  <c r="A123" i="45"/>
  <c r="AL120" i="26"/>
  <c r="AH120" i="26"/>
  <c r="AI117" i="26"/>
  <c r="AL119" i="26"/>
  <c r="AH119" i="26"/>
  <c r="V94" i="45"/>
  <c r="T94" i="45"/>
  <c r="A136" i="44"/>
  <c r="A132" i="44"/>
  <c r="B131" i="44"/>
  <c r="AC124" i="31"/>
  <c r="AD124" i="31" s="1"/>
  <c r="AD123" i="31"/>
  <c r="AC128" i="31"/>
  <c r="B126" i="43"/>
  <c r="A131" i="43"/>
  <c r="A127" i="43"/>
  <c r="F4" i="14"/>
  <c r="AC128" i="39"/>
  <c r="AC124" i="39"/>
  <c r="AD124" i="39" s="1"/>
  <c r="AD123" i="39"/>
  <c r="AG40" i="41"/>
  <c r="M104" i="43"/>
  <c r="I104" i="43"/>
  <c r="M105" i="43"/>
  <c r="I105" i="43"/>
  <c r="G104" i="43"/>
  <c r="X102" i="42"/>
  <c r="M109" i="31"/>
  <c r="I109" i="31"/>
  <c r="M110" i="31"/>
  <c r="I110" i="31"/>
  <c r="G109" i="31"/>
  <c r="X97" i="49"/>
  <c r="AA110" i="49"/>
  <c r="AO110" i="49" s="1"/>
  <c r="W110" i="49"/>
  <c r="AA109" i="49"/>
  <c r="AO109" i="49" s="1"/>
  <c r="W109" i="49"/>
  <c r="Q102" i="28"/>
  <c r="Q104" i="28"/>
  <c r="AJ114" i="44"/>
  <c r="AJ115" i="44"/>
  <c r="AE79" i="48"/>
  <c r="AG79" i="48" s="1"/>
  <c r="AE83" i="48"/>
  <c r="R78" i="48"/>
  <c r="R74" i="48"/>
  <c r="D79" i="48"/>
  <c r="F79" i="48" s="1"/>
  <c r="H79" i="48" s="1"/>
  <c r="V94" i="43"/>
  <c r="T94" i="43"/>
  <c r="A128" i="49"/>
  <c r="B127" i="49"/>
  <c r="AT107" i="59"/>
  <c r="C114" i="40"/>
  <c r="C113" i="40"/>
  <c r="A124" i="34"/>
  <c r="B123" i="34"/>
  <c r="A124" i="32"/>
  <c r="B123" i="32"/>
  <c r="AA8" i="18"/>
  <c r="AG8" i="18" s="1"/>
  <c r="O114" i="50"/>
  <c r="P113" i="50"/>
  <c r="Q113" i="50" s="1"/>
  <c r="AE45" i="42"/>
  <c r="AI44" i="42" s="1"/>
  <c r="F92" i="36"/>
  <c r="AA115" i="48"/>
  <c r="AO115" i="48" s="1"/>
  <c r="AP115" i="48" s="1"/>
  <c r="W115" i="48"/>
  <c r="AA114" i="48"/>
  <c r="AO114" i="48" s="1"/>
  <c r="AP114" i="48" s="1"/>
  <c r="W114" i="48"/>
  <c r="Q102" i="50"/>
  <c r="Q104" i="50"/>
  <c r="O115" i="29"/>
  <c r="P115" i="29" s="1"/>
  <c r="P114" i="29"/>
  <c r="Q109" i="42"/>
  <c r="Q107" i="42"/>
  <c r="C109" i="48"/>
  <c r="C108" i="48"/>
  <c r="F62" i="44"/>
  <c r="V53" i="44"/>
  <c r="T53" i="44"/>
  <c r="T92" i="27"/>
  <c r="T95" i="27" s="1"/>
  <c r="X94" i="27" s="1"/>
  <c r="V92" i="27"/>
  <c r="V95" i="27" s="1"/>
  <c r="K105" i="31"/>
  <c r="K104" i="31"/>
  <c r="G102" i="31"/>
  <c r="C114" i="50"/>
  <c r="C113" i="50"/>
  <c r="AC124" i="34"/>
  <c r="AD124" i="34" s="1"/>
  <c r="AD123" i="34"/>
  <c r="AC128" i="34"/>
  <c r="C114" i="34"/>
  <c r="C113" i="34"/>
  <c r="V94" i="34"/>
  <c r="T94" i="34"/>
  <c r="H12" i="21"/>
  <c r="I12" i="21" s="1"/>
  <c r="D12" i="21"/>
  <c r="D38" i="39"/>
  <c r="R33" i="39"/>
  <c r="AE34" i="39"/>
  <c r="AE38" i="39"/>
  <c r="D42" i="39"/>
  <c r="R37" i="39"/>
  <c r="X97" i="44"/>
  <c r="A136" i="42"/>
  <c r="A132" i="42"/>
  <c r="B131" i="42"/>
  <c r="O123" i="47"/>
  <c r="P122" i="47"/>
  <c r="K104" i="29"/>
  <c r="G102" i="29"/>
  <c r="K105" i="29"/>
  <c r="V92" i="37"/>
  <c r="V95" i="37" s="1"/>
  <c r="T92" i="37"/>
  <c r="T95" i="37" s="1"/>
  <c r="X94" i="37" s="1"/>
  <c r="AB94" i="37" s="1"/>
  <c r="Y100" i="31"/>
  <c r="Y99" i="31"/>
  <c r="A120" i="44"/>
  <c r="B120" i="44" s="1"/>
  <c r="B119" i="44"/>
  <c r="AI117" i="37"/>
  <c r="AL119" i="37"/>
  <c r="AH119" i="37"/>
  <c r="AL120" i="37"/>
  <c r="AH120" i="37"/>
  <c r="Y105" i="30"/>
  <c r="Y104" i="30"/>
  <c r="Y100" i="28"/>
  <c r="Y99" i="28"/>
  <c r="AA110" i="37"/>
  <c r="AO110" i="37" s="1"/>
  <c r="AP110" i="37" s="1"/>
  <c r="W110" i="37"/>
  <c r="AA109" i="37"/>
  <c r="AO109" i="37" s="1"/>
  <c r="AP109" i="37" s="1"/>
  <c r="W109" i="37"/>
  <c r="O127" i="48"/>
  <c r="P126" i="48"/>
  <c r="O131" i="48"/>
  <c r="A120" i="29"/>
  <c r="B120" i="29" s="1"/>
  <c r="B119" i="29"/>
  <c r="A119" i="43"/>
  <c r="B118" i="43"/>
  <c r="P118" i="30"/>
  <c r="Q118" i="30" s="1"/>
  <c r="O119" i="30"/>
  <c r="K105" i="49"/>
  <c r="K104" i="49"/>
  <c r="G102" i="49"/>
  <c r="D102" i="49"/>
  <c r="AE84" i="49"/>
  <c r="AG84" i="49" s="1"/>
  <c r="AE88" i="49"/>
  <c r="D84" i="49"/>
  <c r="R83" i="49"/>
  <c r="AJ115" i="41"/>
  <c r="AJ114" i="41"/>
  <c r="H65" i="46"/>
  <c r="Y100" i="39"/>
  <c r="Y99" i="39"/>
  <c r="AI137" i="46"/>
  <c r="AL139" i="46"/>
  <c r="AH139" i="46"/>
  <c r="AH140" i="46"/>
  <c r="AL140" i="46"/>
  <c r="Y105" i="26"/>
  <c r="Y104" i="26"/>
  <c r="AI112" i="47"/>
  <c r="AL114" i="47"/>
  <c r="AH115" i="47"/>
  <c r="AL115" i="47"/>
  <c r="AH114" i="47"/>
  <c r="AJ119" i="27"/>
  <c r="AJ120" i="27"/>
  <c r="P113" i="31"/>
  <c r="Q113" i="31" s="1"/>
  <c r="O114" i="31"/>
  <c r="AA115" i="42"/>
  <c r="AO115" i="42" s="1"/>
  <c r="AP115" i="42" s="1"/>
  <c r="W115" i="42"/>
  <c r="AA114" i="42"/>
  <c r="AO114" i="42" s="1"/>
  <c r="AP114" i="42" s="1"/>
  <c r="W114" i="42"/>
  <c r="B131" i="32"/>
  <c r="A132" i="32"/>
  <c r="A136" i="32"/>
  <c r="AL10" i="61"/>
  <c r="AC13" i="68" s="1"/>
  <c r="AP10" i="18"/>
  <c r="C11" i="44"/>
  <c r="AH3" i="44" s="1"/>
  <c r="AJ3" i="44" s="1"/>
  <c r="B10" i="18"/>
  <c r="AG73" i="47"/>
  <c r="F92" i="30"/>
  <c r="AJ120" i="32"/>
  <c r="AJ119" i="32"/>
  <c r="Y100" i="46"/>
  <c r="Y99" i="46"/>
  <c r="AG12" i="24"/>
  <c r="O115" i="30"/>
  <c r="P115" i="30" s="1"/>
  <c r="P114" i="30"/>
  <c r="AG85" i="50"/>
  <c r="AJ12" i="61"/>
  <c r="AA15" i="68" s="1"/>
  <c r="AP12" i="20"/>
  <c r="C9" i="42"/>
  <c r="B12" i="20"/>
  <c r="R97" i="50"/>
  <c r="Y100" i="50"/>
  <c r="Y99" i="50"/>
  <c r="AJ115" i="38"/>
  <c r="AJ114" i="38"/>
  <c r="H77" i="47"/>
  <c r="G97" i="26"/>
  <c r="K100" i="26"/>
  <c r="K99" i="26"/>
  <c r="Y105" i="29"/>
  <c r="Y104" i="29"/>
  <c r="K99" i="45"/>
  <c r="G97" i="45"/>
  <c r="K100" i="45"/>
  <c r="V92" i="28"/>
  <c r="V95" i="28" s="1"/>
  <c r="T92" i="28"/>
  <c r="T95" i="28" s="1"/>
  <c r="X94" i="28" s="1"/>
  <c r="AB94" i="28" s="1"/>
  <c r="AL120" i="33"/>
  <c r="AH120" i="33"/>
  <c r="AI117" i="33"/>
  <c r="AL119" i="33"/>
  <c r="AH119" i="33"/>
  <c r="V94" i="40"/>
  <c r="T94" i="40"/>
  <c r="X102" i="47"/>
  <c r="V73" i="48"/>
  <c r="T73" i="48"/>
  <c r="C107" i="38"/>
  <c r="G108" i="38"/>
  <c r="AH14" i="61"/>
  <c r="Y17" i="68" s="1"/>
  <c r="AP14" i="22"/>
  <c r="B14" i="22"/>
  <c r="C7" i="40"/>
  <c r="V54" i="45"/>
  <c r="V55" i="45" s="1"/>
  <c r="T54" i="45"/>
  <c r="T55" i="45" s="1"/>
  <c r="X54" i="45" s="1"/>
  <c r="B127" i="41"/>
  <c r="A128" i="41"/>
  <c r="M109" i="27"/>
  <c r="I109" i="27"/>
  <c r="M110" i="27"/>
  <c r="I110" i="27"/>
  <c r="G109" i="27"/>
  <c r="V94" i="31"/>
  <c r="T94" i="31"/>
  <c r="O122" i="33"/>
  <c r="P121" i="33"/>
  <c r="O126" i="33"/>
  <c r="M110" i="34"/>
  <c r="I110" i="34"/>
  <c r="G109" i="34"/>
  <c r="M109" i="34"/>
  <c r="I109" i="34"/>
  <c r="C107" i="41"/>
  <c r="G108" i="41"/>
  <c r="AA110" i="31"/>
  <c r="AO110" i="31" s="1"/>
  <c r="AP110" i="31" s="1"/>
  <c r="W110" i="31"/>
  <c r="AA109" i="31"/>
  <c r="AO109" i="31" s="1"/>
  <c r="AP109" i="31" s="1"/>
  <c r="W109" i="31"/>
  <c r="F38" i="40"/>
  <c r="AG10" i="21"/>
  <c r="AF8" i="19"/>
  <c r="A132" i="59"/>
  <c r="B132" i="59" s="1"/>
  <c r="B131" i="59"/>
  <c r="Y100" i="40"/>
  <c r="Y99" i="40"/>
  <c r="AA115" i="36"/>
  <c r="AO115" i="36" s="1"/>
  <c r="AP115" i="36" s="1"/>
  <c r="W115" i="36"/>
  <c r="AA114" i="36"/>
  <c r="AO114" i="36" s="1"/>
  <c r="AP114" i="36" s="1"/>
  <c r="W114" i="36"/>
  <c r="Y9" i="53"/>
  <c r="F95" i="44"/>
  <c r="H92" i="44"/>
  <c r="H95" i="44" s="1"/>
  <c r="F57" i="43"/>
  <c r="X97" i="34"/>
  <c r="F95" i="49"/>
  <c r="H92" i="49"/>
  <c r="H95" i="49" s="1"/>
  <c r="P118" i="47"/>
  <c r="Q118" i="47" s="1"/>
  <c r="O119" i="47"/>
  <c r="V94" i="33"/>
  <c r="T94" i="33"/>
  <c r="Q107" i="38"/>
  <c r="Q109" i="38"/>
  <c r="AF8" i="20"/>
  <c r="AF9" i="20" s="1"/>
  <c r="O139" i="32"/>
  <c r="P138" i="32"/>
  <c r="Q138" i="32" s="1"/>
  <c r="P122" i="30"/>
  <c r="O123" i="30"/>
  <c r="B127" i="28"/>
  <c r="A128" i="28"/>
  <c r="T83" i="50"/>
  <c r="V83" i="50"/>
  <c r="H38" i="41"/>
  <c r="H40" i="41" s="1"/>
  <c r="F40" i="41"/>
  <c r="J39" i="41" s="1"/>
  <c r="N39" i="41" s="1"/>
  <c r="AQ39" i="41" s="1"/>
  <c r="Z125" i="32"/>
  <c r="Z124" i="32"/>
  <c r="R122" i="32"/>
  <c r="Y125" i="32"/>
  <c r="Y124" i="32"/>
  <c r="C107" i="49"/>
  <c r="G108" i="49"/>
  <c r="O119" i="38"/>
  <c r="P118" i="38"/>
  <c r="Q118" i="38" s="1"/>
  <c r="P118" i="26"/>
  <c r="Q118" i="26" s="1"/>
  <c r="O119" i="26"/>
  <c r="B127" i="40"/>
  <c r="A128" i="40"/>
  <c r="C109" i="45"/>
  <c r="C108" i="45"/>
  <c r="V78" i="49"/>
  <c r="T78" i="49"/>
  <c r="Q127" i="32"/>
  <c r="Q129" i="32"/>
  <c r="B131" i="34"/>
  <c r="A136" i="34"/>
  <c r="A132" i="34"/>
  <c r="O122" i="31"/>
  <c r="P121" i="31"/>
  <c r="O126" i="31"/>
  <c r="X97" i="27"/>
  <c r="AL114" i="35"/>
  <c r="AH114" i="35"/>
  <c r="AL115" i="35"/>
  <c r="AH115" i="35"/>
  <c r="AI112" i="35"/>
  <c r="X97" i="43"/>
  <c r="Y7" i="17"/>
  <c r="AC124" i="28"/>
  <c r="AD124" i="28" s="1"/>
  <c r="AD123" i="28"/>
  <c r="AC128" i="28"/>
  <c r="O114" i="46"/>
  <c r="P113" i="46"/>
  <c r="Q113" i="46" s="1"/>
  <c r="A119" i="30"/>
  <c r="B118" i="30"/>
  <c r="X97" i="33"/>
  <c r="AA110" i="45"/>
  <c r="AO110" i="45" s="1"/>
  <c r="AP110" i="45" s="1"/>
  <c r="W110" i="45"/>
  <c r="AA109" i="45"/>
  <c r="AO109" i="45" s="1"/>
  <c r="AP109" i="45" s="1"/>
  <c r="W109" i="45"/>
  <c r="A142" i="59"/>
  <c r="B141" i="59"/>
  <c r="Y105" i="38"/>
  <c r="Y104" i="38"/>
  <c r="G6" i="17"/>
  <c r="G103" i="30"/>
  <c r="C102" i="30"/>
  <c r="V42" i="41"/>
  <c r="T42" i="41"/>
  <c r="AG43" i="41"/>
  <c r="V92" i="34"/>
  <c r="V95" i="34" s="1"/>
  <c r="T92" i="34"/>
  <c r="T95" i="34" s="1"/>
  <c r="X94" i="34" s="1"/>
  <c r="AB94" i="34" s="1"/>
  <c r="A131" i="45"/>
  <c r="A127" i="45"/>
  <c r="B126" i="45"/>
  <c r="AC128" i="26"/>
  <c r="AC124" i="26"/>
  <c r="AD124" i="26" s="1"/>
  <c r="AD123" i="26"/>
  <c r="F92" i="39"/>
  <c r="K104" i="28"/>
  <c r="G102" i="28"/>
  <c r="K105" i="28"/>
  <c r="AJ119" i="31"/>
  <c r="AJ120" i="31"/>
  <c r="O118" i="28"/>
  <c r="P117" i="28"/>
  <c r="Q102" i="37"/>
  <c r="Q104" i="37"/>
  <c r="AE40" i="41"/>
  <c r="AI39" i="41" s="1"/>
  <c r="A119" i="48"/>
  <c r="B118" i="48"/>
  <c r="AJ119" i="48"/>
  <c r="AJ120" i="48"/>
  <c r="A124" i="33"/>
  <c r="B123" i="33"/>
  <c r="G97" i="43"/>
  <c r="K100" i="43"/>
  <c r="K99" i="43"/>
  <c r="AA131" i="59"/>
  <c r="AQ131" i="59" s="1"/>
  <c r="AR131" i="59" s="1"/>
  <c r="AA132" i="59"/>
  <c r="AQ132" i="59" s="1"/>
  <c r="AR132" i="59" s="1"/>
  <c r="AL115" i="44"/>
  <c r="AH115" i="44"/>
  <c r="AI112" i="44"/>
  <c r="AL114" i="44"/>
  <c r="AH114" i="44"/>
  <c r="A115" i="30"/>
  <c r="B115" i="30" s="1"/>
  <c r="B114" i="30"/>
  <c r="K104" i="38"/>
  <c r="G102" i="38"/>
  <c r="K105" i="38"/>
  <c r="H6" i="15"/>
  <c r="I6" i="15" s="1"/>
  <c r="D6" i="15"/>
  <c r="F6" i="15" s="1"/>
  <c r="G6" i="15" s="1"/>
  <c r="Q107" i="41"/>
  <c r="Q109" i="41"/>
  <c r="A136" i="49"/>
  <c r="A132" i="49"/>
  <c r="B131" i="49"/>
  <c r="H92" i="35"/>
  <c r="H95" i="35" s="1"/>
  <c r="F95" i="35"/>
  <c r="AC119" i="29"/>
  <c r="AD119" i="29" s="1"/>
  <c r="AD118" i="29"/>
  <c r="AC123" i="29"/>
  <c r="F95" i="47"/>
  <c r="H92" i="47"/>
  <c r="H95" i="47" s="1"/>
  <c r="F95" i="33"/>
  <c r="H92" i="33"/>
  <c r="H95" i="33" s="1"/>
  <c r="X65" i="49"/>
  <c r="F92" i="46"/>
  <c r="V92" i="46"/>
  <c r="V95" i="46" s="1"/>
  <c r="T92" i="46"/>
  <c r="T95" i="46" s="1"/>
  <c r="X94" i="46" s="1"/>
  <c r="AB94" i="46" s="1"/>
  <c r="AG45" i="42"/>
  <c r="Q104" i="31"/>
  <c r="Q102" i="31"/>
  <c r="AJ119" i="30"/>
  <c r="AJ120" i="30"/>
  <c r="K99" i="46"/>
  <c r="G97" i="46"/>
  <c r="K100" i="46"/>
  <c r="G103" i="39"/>
  <c r="C102" i="39"/>
  <c r="A119" i="39"/>
  <c r="B118" i="39"/>
  <c r="T57" i="44"/>
  <c r="V57" i="44"/>
  <c r="F54" i="44"/>
  <c r="J52" i="44"/>
  <c r="O114" i="40"/>
  <c r="P113" i="40"/>
  <c r="Q113" i="40" s="1"/>
  <c r="O114" i="37"/>
  <c r="P113" i="37"/>
  <c r="Q113" i="37" s="1"/>
  <c r="AJ120" i="34"/>
  <c r="AJ119" i="34"/>
  <c r="Q104" i="49"/>
  <c r="Q102" i="49"/>
  <c r="AA110" i="28"/>
  <c r="AO110" i="28" s="1"/>
  <c r="AP110" i="28" s="1"/>
  <c r="W110" i="28"/>
  <c r="AA109" i="28"/>
  <c r="AO109" i="28" s="1"/>
  <c r="AP109" i="28" s="1"/>
  <c r="W109" i="28"/>
  <c r="V92" i="40"/>
  <c r="V95" i="40" s="1"/>
  <c r="T92" i="40"/>
  <c r="T95" i="40" s="1"/>
  <c r="X94" i="40" s="1"/>
  <c r="AB94" i="40" s="1"/>
  <c r="Y6" i="16"/>
  <c r="C107" i="40"/>
  <c r="G108" i="40"/>
  <c r="AA12" i="22"/>
  <c r="AG12" i="22" s="1"/>
  <c r="B122" i="26"/>
  <c r="A123" i="26"/>
  <c r="AI13" i="61"/>
  <c r="Z16" i="68" s="1"/>
  <c r="B13" i="21"/>
  <c r="AP13" i="21"/>
  <c r="C8" i="41"/>
  <c r="D15" i="24"/>
  <c r="F15" i="24" s="1"/>
  <c r="G15" i="24" s="1"/>
  <c r="H15" i="24"/>
  <c r="I15" i="24" s="1"/>
  <c r="C113" i="38"/>
  <c r="C114" i="38"/>
  <c r="O119" i="42"/>
  <c r="P118" i="42"/>
  <c r="Q118" i="42" s="1"/>
  <c r="A124" i="31"/>
  <c r="B123" i="31"/>
  <c r="Q109" i="26"/>
  <c r="Q107" i="26"/>
  <c r="P122" i="42"/>
  <c r="O123" i="42"/>
  <c r="X97" i="31"/>
  <c r="AC124" i="45"/>
  <c r="AD124" i="45" s="1"/>
  <c r="AD123" i="45"/>
  <c r="AC128" i="45"/>
  <c r="X102" i="30"/>
  <c r="P109" i="37"/>
  <c r="O110" i="37"/>
  <c r="P110" i="37" s="1"/>
  <c r="AN138" i="59"/>
  <c r="AJ138" i="59"/>
  <c r="AK135" i="59"/>
  <c r="AN137" i="59"/>
  <c r="AJ137" i="59"/>
  <c r="A119" i="36"/>
  <c r="B118" i="36"/>
  <c r="H5" i="14"/>
  <c r="I5" i="14" s="1"/>
  <c r="D5" i="14"/>
  <c r="F5" i="14" s="1"/>
  <c r="G5" i="14" s="1"/>
  <c r="AL114" i="41"/>
  <c r="AH114" i="41"/>
  <c r="AL115" i="41"/>
  <c r="AH115" i="41"/>
  <c r="AI112" i="41"/>
  <c r="A120" i="38"/>
  <c r="B120" i="38" s="1"/>
  <c r="B119" i="38"/>
  <c r="A120" i="49"/>
  <c r="B120" i="49" s="1"/>
  <c r="B119" i="49"/>
  <c r="C107" i="50"/>
  <c r="G108" i="50"/>
  <c r="C114" i="28"/>
  <c r="C113" i="28"/>
  <c r="X97" i="39"/>
  <c r="P122" i="26"/>
  <c r="O123" i="26"/>
  <c r="V119" i="32"/>
  <c r="T119" i="32"/>
  <c r="C113" i="35"/>
  <c r="C114" i="35"/>
  <c r="Y5" i="15"/>
  <c r="X102" i="26"/>
  <c r="AC134" i="40"/>
  <c r="AD134" i="40" s="1"/>
  <c r="AD133" i="40"/>
  <c r="AC138" i="40"/>
  <c r="AC123" i="47"/>
  <c r="AC119" i="47"/>
  <c r="AD119" i="47" s="1"/>
  <c r="AD118" i="47"/>
  <c r="AL120" i="27"/>
  <c r="AH120" i="27"/>
  <c r="AI117" i="27"/>
  <c r="AL119" i="27"/>
  <c r="AH119" i="27"/>
  <c r="A120" i="42"/>
  <c r="B120" i="42" s="1"/>
  <c r="B119" i="42"/>
  <c r="O110" i="43"/>
  <c r="P110" i="43" s="1"/>
  <c r="P109" i="43"/>
  <c r="B127" i="32"/>
  <c r="A128" i="32"/>
  <c r="H9" i="18"/>
  <c r="I9" i="18" s="1"/>
  <c r="D9" i="18"/>
  <c r="T68" i="47"/>
  <c r="V68" i="47"/>
  <c r="AI117" i="32"/>
  <c r="AL119" i="32"/>
  <c r="AH119" i="32"/>
  <c r="AL120" i="32"/>
  <c r="AH120" i="32"/>
  <c r="AA110" i="34"/>
  <c r="AO110" i="34" s="1"/>
  <c r="AP110" i="34" s="1"/>
  <c r="W110" i="34"/>
  <c r="AA109" i="34"/>
  <c r="AO109" i="34" s="1"/>
  <c r="AP109" i="34" s="1"/>
  <c r="W109" i="34"/>
  <c r="X12" i="24"/>
  <c r="AA115" i="30"/>
  <c r="AO115" i="30" s="1"/>
  <c r="AP115" i="30" s="1"/>
  <c r="W115" i="30"/>
  <c r="AA114" i="30"/>
  <c r="AO114" i="30" s="1"/>
  <c r="AP114" i="30" s="1"/>
  <c r="W114" i="30"/>
  <c r="A115" i="26"/>
  <c r="B115" i="26" s="1"/>
  <c r="B114" i="26"/>
  <c r="AE85" i="50"/>
  <c r="AI84" i="50" s="1"/>
  <c r="H11" i="20"/>
  <c r="I11" i="20" s="1"/>
  <c r="D11" i="20"/>
  <c r="F11" i="20" s="1"/>
  <c r="G11" i="20" s="1"/>
  <c r="A137" i="59"/>
  <c r="B136" i="59"/>
  <c r="X102" i="35"/>
  <c r="AL114" i="38"/>
  <c r="AH114" i="38"/>
  <c r="AL115" i="38"/>
  <c r="AH115" i="38"/>
  <c r="AI112" i="38"/>
  <c r="P117" i="43"/>
  <c r="O118" i="43"/>
  <c r="Y13" i="23"/>
  <c r="X12" i="23" s="1"/>
  <c r="A115" i="36"/>
  <c r="B115" i="36" s="1"/>
  <c r="B114" i="36"/>
  <c r="AG78" i="48"/>
  <c r="P122" i="29"/>
  <c r="O123" i="29"/>
  <c r="H13" i="22"/>
  <c r="I13" i="22" s="1"/>
  <c r="D13" i="22"/>
  <c r="F13" i="22" s="1"/>
  <c r="G13" i="22" s="1"/>
  <c r="Y105" i="36"/>
  <c r="Y104" i="36"/>
  <c r="B131" i="41"/>
  <c r="A136" i="41"/>
  <c r="A132" i="41"/>
  <c r="Q125" i="59"/>
  <c r="Q123" i="59"/>
  <c r="H92" i="29"/>
  <c r="H95" i="29" s="1"/>
  <c r="F95" i="29"/>
  <c r="B127" i="50"/>
  <c r="A128" i="50"/>
  <c r="V92" i="39"/>
  <c r="V95" i="39" s="1"/>
  <c r="T92" i="39"/>
  <c r="T95" i="39" s="1"/>
  <c r="X94" i="39" s="1"/>
  <c r="AB94" i="39" s="1"/>
  <c r="A120" i="28"/>
  <c r="B120" i="28" s="1"/>
  <c r="B119" i="28"/>
  <c r="AG38" i="40"/>
  <c r="X11" i="22"/>
  <c r="X10" i="21"/>
  <c r="X8" i="19"/>
  <c r="L59" i="48" l="1"/>
  <c r="N59" i="48" s="1"/>
  <c r="AQ59" i="48" s="1"/>
  <c r="AR54" i="48"/>
  <c r="V23" i="48"/>
  <c r="Z22" i="48" s="1"/>
  <c r="AK54" i="48"/>
  <c r="AM54" i="48" s="1"/>
  <c r="AS54" i="48" s="1"/>
  <c r="AT54" i="48" s="1"/>
  <c r="D9" i="48" s="1"/>
  <c r="T72" i="46"/>
  <c r="AK55" i="48"/>
  <c r="AM55" i="48" s="1"/>
  <c r="AS55" i="48" s="1"/>
  <c r="L60" i="48"/>
  <c r="N60" i="48" s="1"/>
  <c r="AQ60" i="48" s="1"/>
  <c r="AP60" i="48"/>
  <c r="X23" i="48"/>
  <c r="L49" i="47"/>
  <c r="N49" i="47" s="1"/>
  <c r="AQ49" i="47" s="1"/>
  <c r="Z49" i="47"/>
  <c r="AB49" i="47" s="1"/>
  <c r="L54" i="47"/>
  <c r="N54" i="47" s="1"/>
  <c r="AQ54" i="47" s="1"/>
  <c r="AK44" i="47"/>
  <c r="AM44" i="47" s="1"/>
  <c r="AS44" i="47" s="1"/>
  <c r="Z44" i="47"/>
  <c r="AB44" i="47" s="1"/>
  <c r="AP64" i="47"/>
  <c r="V10" i="46"/>
  <c r="Z9" i="46" s="1"/>
  <c r="V10" i="45"/>
  <c r="Z9" i="45" s="1"/>
  <c r="AP65" i="49"/>
  <c r="AP64" i="49"/>
  <c r="L65" i="66"/>
  <c r="D65" i="65" s="1"/>
  <c r="A65" i="65" s="1"/>
  <c r="L171" i="66"/>
  <c r="J171" i="66" s="1"/>
  <c r="B171" i="65" s="1"/>
  <c r="D146" i="66"/>
  <c r="B146" i="66" s="1"/>
  <c r="L87" i="66"/>
  <c r="D87" i="65" s="1"/>
  <c r="A87" i="65" s="1"/>
  <c r="D44" i="65"/>
  <c r="A44" i="65" s="1"/>
  <c r="AG75" i="47"/>
  <c r="J79" i="49"/>
  <c r="T69" i="48"/>
  <c r="T70" i="48" s="1"/>
  <c r="X69" i="48" s="1"/>
  <c r="X70" i="48" s="1"/>
  <c r="AE75" i="47"/>
  <c r="AI74" i="47" s="1"/>
  <c r="J80" i="49"/>
  <c r="T49" i="43"/>
  <c r="AF8" i="53"/>
  <c r="D112" i="65"/>
  <c r="I112" i="66"/>
  <c r="J112" i="66"/>
  <c r="B112" i="65" s="1"/>
  <c r="D52" i="65"/>
  <c r="A52" i="65" s="1"/>
  <c r="I52" i="66"/>
  <c r="J52" i="66"/>
  <c r="B52" i="65" s="1"/>
  <c r="B103" i="66"/>
  <c r="A103" i="66"/>
  <c r="B48" i="66"/>
  <c r="A48" i="66"/>
  <c r="D104" i="66"/>
  <c r="L113" i="66"/>
  <c r="D49" i="66"/>
  <c r="L53" i="66"/>
  <c r="I65" i="66"/>
  <c r="J65" i="66"/>
  <c r="B65" i="65" s="1"/>
  <c r="A146" i="66"/>
  <c r="D42" i="66"/>
  <c r="L45" i="66"/>
  <c r="I87" i="66"/>
  <c r="D29" i="66"/>
  <c r="L31" i="66"/>
  <c r="I72" i="66"/>
  <c r="J72" i="66"/>
  <c r="B72" i="65" s="1"/>
  <c r="D72" i="65"/>
  <c r="A72" i="65" s="1"/>
  <c r="D171" i="65"/>
  <c r="A171" i="65" s="1"/>
  <c r="B67" i="66"/>
  <c r="A67" i="66"/>
  <c r="D68" i="66"/>
  <c r="L73" i="66"/>
  <c r="B28" i="66"/>
  <c r="A28" i="66"/>
  <c r="Z28" i="48"/>
  <c r="J30" i="66"/>
  <c r="B30" i="65" s="1"/>
  <c r="D30" i="65"/>
  <c r="A30" i="65" s="1"/>
  <c r="I30" i="66"/>
  <c r="AH10" i="49"/>
  <c r="AL10" i="49" s="1"/>
  <c r="D98" i="49"/>
  <c r="F98" i="49" s="1"/>
  <c r="H98" i="49" s="1"/>
  <c r="L137" i="66"/>
  <c r="D36" i="65"/>
  <c r="A36" i="65" s="1"/>
  <c r="I36" i="66"/>
  <c r="J36" i="66"/>
  <c r="B36" i="65" s="1"/>
  <c r="B53" i="66"/>
  <c r="A53" i="66"/>
  <c r="B15" i="66"/>
  <c r="A15" i="66"/>
  <c r="V26" i="41"/>
  <c r="T20" i="41"/>
  <c r="V9" i="41"/>
  <c r="X9" i="41" s="1"/>
  <c r="T3" i="41"/>
  <c r="AH3" i="41"/>
  <c r="L197" i="66"/>
  <c r="AL3" i="44"/>
  <c r="D54" i="66"/>
  <c r="L57" i="66"/>
  <c r="AH10" i="48"/>
  <c r="AL10" i="48" s="1"/>
  <c r="R87" i="48"/>
  <c r="D92" i="66"/>
  <c r="L97" i="66"/>
  <c r="AH8" i="46"/>
  <c r="AJ8" i="46" s="1"/>
  <c r="B34" i="66"/>
  <c r="A34" i="66"/>
  <c r="L22" i="41"/>
  <c r="L23" i="41" s="1"/>
  <c r="J23" i="41"/>
  <c r="N22" i="41" s="1"/>
  <c r="AH8" i="45"/>
  <c r="AH4" i="45"/>
  <c r="AJ4" i="45" s="1"/>
  <c r="AL4" i="45" s="1"/>
  <c r="X22" i="47"/>
  <c r="V22" i="47"/>
  <c r="CR98" i="61"/>
  <c r="D16" i="66"/>
  <c r="L17" i="66"/>
  <c r="X15" i="49"/>
  <c r="X16" i="49" s="1"/>
  <c r="Z16" i="49" s="1"/>
  <c r="V16" i="49"/>
  <c r="Z15" i="49" s="1"/>
  <c r="X15" i="48"/>
  <c r="X16" i="48" s="1"/>
  <c r="Z16" i="48" s="1"/>
  <c r="V16" i="48"/>
  <c r="Z15" i="48" s="1"/>
  <c r="D96" i="65"/>
  <c r="I96" i="66"/>
  <c r="J96" i="66"/>
  <c r="B96" i="65" s="1"/>
  <c r="X20" i="46"/>
  <c r="V20" i="46"/>
  <c r="P14" i="41"/>
  <c r="L15" i="41"/>
  <c r="L17" i="41" s="1"/>
  <c r="N15" i="41"/>
  <c r="N17" i="41" s="1"/>
  <c r="R97" i="49"/>
  <c r="V97" i="49" s="1"/>
  <c r="L77" i="66"/>
  <c r="D35" i="66"/>
  <c r="L37" i="66"/>
  <c r="B91" i="66"/>
  <c r="A91" i="66"/>
  <c r="X14" i="46"/>
  <c r="D56" i="65"/>
  <c r="I56" i="66"/>
  <c r="J56" i="66"/>
  <c r="B56" i="65" s="1"/>
  <c r="D16" i="65"/>
  <c r="A16" i="65" s="1"/>
  <c r="I16" i="66"/>
  <c r="J16" i="66"/>
  <c r="B16" i="65" s="1"/>
  <c r="V10" i="41"/>
  <c r="Z9" i="41" s="1"/>
  <c r="X8" i="41"/>
  <c r="X10" i="41" s="1"/>
  <c r="J60" i="45"/>
  <c r="H60" i="44"/>
  <c r="F60" i="44"/>
  <c r="Z10" i="47"/>
  <c r="X10" i="46"/>
  <c r="AR39" i="44"/>
  <c r="AT39" i="44" s="1"/>
  <c r="D6" i="44" s="1"/>
  <c r="AK44" i="44" s="1"/>
  <c r="AM44" i="44" s="1"/>
  <c r="AS44" i="44" s="1"/>
  <c r="AI75" i="48"/>
  <c r="N19" i="47"/>
  <c r="L5" i="47" s="1"/>
  <c r="AP40" i="47" s="1"/>
  <c r="AT40" i="47" s="1"/>
  <c r="E6" i="47" s="1"/>
  <c r="X10" i="45"/>
  <c r="P15" i="46"/>
  <c r="P16" i="46" s="1"/>
  <c r="N18" i="46" s="1"/>
  <c r="L4" i="46" s="1"/>
  <c r="AJ16" i="48"/>
  <c r="AN15" i="48" s="1"/>
  <c r="AL16" i="48"/>
  <c r="CH108" i="61"/>
  <c r="CG109" i="61"/>
  <c r="CO101" i="61"/>
  <c r="X13" i="45"/>
  <c r="A54" i="65"/>
  <c r="V13" i="43"/>
  <c r="V15" i="47"/>
  <c r="Z13" i="47"/>
  <c r="AJ5" i="48"/>
  <c r="AN3" i="48"/>
  <c r="X3" i="45"/>
  <c r="V3" i="45"/>
  <c r="L22" i="42"/>
  <c r="L23" i="42" s="1"/>
  <c r="J23" i="42"/>
  <c r="N22" i="42" s="1"/>
  <c r="J23" i="44"/>
  <c r="N22" i="44" s="1"/>
  <c r="L22" i="44"/>
  <c r="L23" i="44" s="1"/>
  <c r="X8" i="44"/>
  <c r="V3" i="46"/>
  <c r="X3" i="46"/>
  <c r="X26" i="46"/>
  <c r="CI107" i="61"/>
  <c r="V26" i="44"/>
  <c r="T3" i="44"/>
  <c r="T20" i="44"/>
  <c r="T14" i="44"/>
  <c r="V14" i="44" s="1"/>
  <c r="X14" i="44" s="1"/>
  <c r="V9" i="44"/>
  <c r="X9" i="44" s="1"/>
  <c r="CJ106" i="61"/>
  <c r="CP100" i="61"/>
  <c r="CM103" i="61"/>
  <c r="CE111" i="61"/>
  <c r="CL104" i="61"/>
  <c r="CQ99" i="61"/>
  <c r="AL3" i="46"/>
  <c r="N23" i="45"/>
  <c r="N15" i="43"/>
  <c r="N17" i="43" s="1"/>
  <c r="P14" i="43"/>
  <c r="L15" i="43"/>
  <c r="L17" i="43" s="1"/>
  <c r="A93" i="65"/>
  <c r="X4" i="48"/>
  <c r="X5" i="48" s="1"/>
  <c r="V4" i="48"/>
  <c r="V5" i="48" s="1"/>
  <c r="Z4" i="48" s="1"/>
  <c r="N15" i="42"/>
  <c r="N17" i="42" s="1"/>
  <c r="P14" i="42"/>
  <c r="L15" i="42"/>
  <c r="L17" i="42" s="1"/>
  <c r="V13" i="44"/>
  <c r="CN102" i="61"/>
  <c r="CF110" i="61"/>
  <c r="A15" i="65"/>
  <c r="V2" i="43"/>
  <c r="X2" i="43"/>
  <c r="AL14" i="47"/>
  <c r="N23" i="46"/>
  <c r="V28" i="47"/>
  <c r="Z27" i="47" s="1"/>
  <c r="A67" i="65"/>
  <c r="X20" i="45"/>
  <c r="V20" i="45"/>
  <c r="V13" i="42"/>
  <c r="X8" i="42"/>
  <c r="L15" i="44"/>
  <c r="L17" i="44" s="1"/>
  <c r="N15" i="44"/>
  <c r="N17" i="44" s="1"/>
  <c r="P14" i="44"/>
  <c r="A28" i="65"/>
  <c r="R49" i="42"/>
  <c r="T49" i="42" s="1"/>
  <c r="V26" i="42"/>
  <c r="AH3" i="42"/>
  <c r="T20" i="42"/>
  <c r="T3" i="42"/>
  <c r="T14" i="42"/>
  <c r="V14" i="42" s="1"/>
  <c r="X14" i="42" s="1"/>
  <c r="V9" i="42"/>
  <c r="X9" i="42" s="1"/>
  <c r="CK105" i="61"/>
  <c r="D67" i="43"/>
  <c r="F67" i="43" s="1"/>
  <c r="H67" i="43" s="1"/>
  <c r="V26" i="43"/>
  <c r="V9" i="43"/>
  <c r="X9" i="43" s="1"/>
  <c r="T14" i="43"/>
  <c r="V14" i="43" s="1"/>
  <c r="X14" i="43" s="1"/>
  <c r="AH3" i="43"/>
  <c r="T20" i="43"/>
  <c r="T3" i="43"/>
  <c r="AJ14" i="46"/>
  <c r="T21" i="46"/>
  <c r="T15" i="46"/>
  <c r="V27" i="46"/>
  <c r="X27" i="46" s="1"/>
  <c r="D73" i="45"/>
  <c r="F73" i="45" s="1"/>
  <c r="H73" i="45" s="1"/>
  <c r="AJ14" i="45"/>
  <c r="T4" i="45"/>
  <c r="T15" i="45"/>
  <c r="V27" i="45"/>
  <c r="X27" i="45" s="1"/>
  <c r="T21" i="45"/>
  <c r="R69" i="47"/>
  <c r="T69" i="47" s="1"/>
  <c r="T70" i="47" s="1"/>
  <c r="X69" i="47" s="1"/>
  <c r="AH5" i="47"/>
  <c r="AJ15" i="47"/>
  <c r="AL15" i="47" s="1"/>
  <c r="AH9" i="47"/>
  <c r="T4" i="47"/>
  <c r="J23" i="43"/>
  <c r="N22" i="43" s="1"/>
  <c r="L22" i="43"/>
  <c r="L23" i="43" s="1"/>
  <c r="X8" i="43"/>
  <c r="V21" i="47"/>
  <c r="X21" i="47"/>
  <c r="X23" i="47" s="1"/>
  <c r="P15" i="45"/>
  <c r="P16" i="45" s="1"/>
  <c r="N19" i="45" s="1"/>
  <c r="X28" i="47"/>
  <c r="AJ9" i="48"/>
  <c r="AL9" i="48"/>
  <c r="N18" i="48"/>
  <c r="L4" i="48" s="1"/>
  <c r="X26" i="45"/>
  <c r="V2" i="42"/>
  <c r="X2" i="42"/>
  <c r="X2" i="44"/>
  <c r="V2" i="44"/>
  <c r="AN3" i="49"/>
  <c r="AI60" i="45"/>
  <c r="AM60" i="45" s="1"/>
  <c r="AS60" i="45" s="1"/>
  <c r="V84" i="50"/>
  <c r="V85" i="50" s="1"/>
  <c r="T85" i="50"/>
  <c r="X84" i="50" s="1"/>
  <c r="J40" i="41"/>
  <c r="N40" i="41" s="1"/>
  <c r="AQ40" i="41" s="1"/>
  <c r="T50" i="43"/>
  <c r="X49" i="43" s="1"/>
  <c r="AJ16" i="49"/>
  <c r="AN15" i="49" s="1"/>
  <c r="Y6" i="15"/>
  <c r="X5" i="15" s="1"/>
  <c r="AG40" i="40"/>
  <c r="AE40" i="40"/>
  <c r="AI39" i="40" s="1"/>
  <c r="AL16" i="49"/>
  <c r="Z28" i="49"/>
  <c r="AL4" i="49"/>
  <c r="AL6" i="49" s="1"/>
  <c r="AJ6" i="49"/>
  <c r="AL9" i="49"/>
  <c r="AJ9" i="49"/>
  <c r="V22" i="49"/>
  <c r="V23" i="49" s="1"/>
  <c r="Z22" i="49" s="1"/>
  <c r="X22" i="49"/>
  <c r="X23" i="49" s="1"/>
  <c r="AL10" i="50"/>
  <c r="AJ10" i="50"/>
  <c r="AV17" i="25"/>
  <c r="D17" i="25"/>
  <c r="F17" i="25" s="1"/>
  <c r="G17" i="25" s="1"/>
  <c r="H17" i="25"/>
  <c r="I17" i="25" s="1"/>
  <c r="AE18" i="61"/>
  <c r="V21" i="68" s="1"/>
  <c r="C4" i="36"/>
  <c r="B18" i="25"/>
  <c r="AP18" i="25"/>
  <c r="D37" i="37"/>
  <c r="F37" i="37" s="1"/>
  <c r="H37" i="37" s="1"/>
  <c r="AE33" i="37"/>
  <c r="AG33" i="37" s="1"/>
  <c r="R32" i="37"/>
  <c r="V32" i="38"/>
  <c r="T32" i="38"/>
  <c r="AA15" i="25"/>
  <c r="AR55" i="48"/>
  <c r="AT55" i="48" s="1"/>
  <c r="E9" i="48" s="1"/>
  <c r="AR94" i="26"/>
  <c r="AR95" i="35"/>
  <c r="D94" i="50"/>
  <c r="F94" i="50" s="1"/>
  <c r="H94" i="50" s="1"/>
  <c r="AE98" i="50"/>
  <c r="AG98" i="50" s="1"/>
  <c r="H50" i="42"/>
  <c r="R93" i="50"/>
  <c r="V93" i="50" s="1"/>
  <c r="F50" i="42"/>
  <c r="AI80" i="49"/>
  <c r="AE80" i="48"/>
  <c r="AI79" i="48" s="1"/>
  <c r="AI55" i="44"/>
  <c r="J59" i="45"/>
  <c r="L65" i="49"/>
  <c r="N65" i="49" s="1"/>
  <c r="AQ65" i="49" s="1"/>
  <c r="V50" i="43"/>
  <c r="X80" i="50"/>
  <c r="L64" i="49"/>
  <c r="N64" i="49" s="1"/>
  <c r="AQ64" i="49" s="1"/>
  <c r="Z59" i="49"/>
  <c r="AB59" i="49" s="1"/>
  <c r="R39" i="41"/>
  <c r="V39" i="41" s="1"/>
  <c r="V40" i="41" s="1"/>
  <c r="D53" i="41"/>
  <c r="F53" i="41" s="1"/>
  <c r="H54" i="44"/>
  <c r="H55" i="44" s="1"/>
  <c r="F55" i="44"/>
  <c r="H82" i="47"/>
  <c r="H52" i="40"/>
  <c r="H68" i="45"/>
  <c r="T79" i="49"/>
  <c r="T80" i="49" s="1"/>
  <c r="X79" i="49" s="1"/>
  <c r="V79" i="49"/>
  <c r="V80" i="49" s="1"/>
  <c r="D68" i="44"/>
  <c r="F68" i="44" s="1"/>
  <c r="R67" i="44"/>
  <c r="R84" i="49"/>
  <c r="D77" i="45"/>
  <c r="R79" i="48"/>
  <c r="D88" i="48"/>
  <c r="F88" i="48" s="1"/>
  <c r="R47" i="39"/>
  <c r="D52" i="39"/>
  <c r="F52" i="39" s="1"/>
  <c r="V77" i="47"/>
  <c r="T77" i="47"/>
  <c r="R77" i="46"/>
  <c r="D82" i="46"/>
  <c r="F82" i="46" s="1"/>
  <c r="H69" i="47"/>
  <c r="H70" i="47" s="1"/>
  <c r="J70" i="47" s="1"/>
  <c r="F70" i="47"/>
  <c r="J69" i="47" s="1"/>
  <c r="D72" i="44"/>
  <c r="F72" i="44" s="1"/>
  <c r="R72" i="45"/>
  <c r="T72" i="45" s="1"/>
  <c r="T82" i="48"/>
  <c r="V82" i="48"/>
  <c r="D83" i="47"/>
  <c r="F83" i="47" s="1"/>
  <c r="H83" i="47" s="1"/>
  <c r="R82" i="47"/>
  <c r="D87" i="47"/>
  <c r="F87" i="47" s="1"/>
  <c r="L55" i="44"/>
  <c r="Z50" i="44"/>
  <c r="AB50" i="44" s="1"/>
  <c r="V47" i="40"/>
  <c r="T47" i="40"/>
  <c r="V67" i="45"/>
  <c r="T67" i="45"/>
  <c r="H83" i="48"/>
  <c r="H88" i="49"/>
  <c r="AE50" i="42"/>
  <c r="AI49" i="42" s="1"/>
  <c r="AG80" i="48"/>
  <c r="AG50" i="42"/>
  <c r="AI45" i="42"/>
  <c r="AE60" i="44"/>
  <c r="AI59" i="44" s="1"/>
  <c r="AG65" i="45"/>
  <c r="AG60" i="44"/>
  <c r="J37" i="40"/>
  <c r="AE65" i="45"/>
  <c r="AI64" i="45" s="1"/>
  <c r="AI50" i="43"/>
  <c r="Y15" i="24"/>
  <c r="AK45" i="44"/>
  <c r="AM45" i="44" s="1"/>
  <c r="AS45" i="44" s="1"/>
  <c r="Z45" i="44"/>
  <c r="AB45" i="44" s="1"/>
  <c r="L50" i="44"/>
  <c r="N50" i="44" s="1"/>
  <c r="AQ50" i="44" s="1"/>
  <c r="H84" i="50"/>
  <c r="H85" i="50" s="1"/>
  <c r="J85" i="50" s="1"/>
  <c r="F85" i="50"/>
  <c r="J84" i="50" s="1"/>
  <c r="X8" i="50"/>
  <c r="X10" i="50" s="1"/>
  <c r="V10" i="50"/>
  <c r="Z9" i="50" s="1"/>
  <c r="V21" i="50"/>
  <c r="V23" i="50" s="1"/>
  <c r="Z22" i="50" s="1"/>
  <c r="X21" i="50"/>
  <c r="X23" i="50" s="1"/>
  <c r="X3" i="50"/>
  <c r="X5" i="50" s="1"/>
  <c r="V3" i="50"/>
  <c r="V5" i="50" s="1"/>
  <c r="Z4" i="50" s="1"/>
  <c r="J23" i="50"/>
  <c r="N22" i="50" s="1"/>
  <c r="L22" i="50"/>
  <c r="L23" i="50" s="1"/>
  <c r="AJ5" i="50"/>
  <c r="AN3" i="50"/>
  <c r="V15" i="50"/>
  <c r="Z13" i="50"/>
  <c r="P14" i="50"/>
  <c r="L15" i="50"/>
  <c r="L17" i="50" s="1"/>
  <c r="N15" i="50"/>
  <c r="N17" i="50" s="1"/>
  <c r="AL9" i="50"/>
  <c r="AJ9" i="50"/>
  <c r="AL14" i="50"/>
  <c r="AL16" i="50" s="1"/>
  <c r="AJ16" i="50"/>
  <c r="AN15" i="50" s="1"/>
  <c r="X26" i="50"/>
  <c r="X28" i="50" s="1"/>
  <c r="V28" i="50"/>
  <c r="Z27" i="50" s="1"/>
  <c r="X95" i="43"/>
  <c r="AB95" i="43" s="1"/>
  <c r="AR95" i="43" s="1"/>
  <c r="AR95" i="47"/>
  <c r="X45" i="43"/>
  <c r="X60" i="46"/>
  <c r="X75" i="49"/>
  <c r="X95" i="34"/>
  <c r="AB95" i="34" s="1"/>
  <c r="AR94" i="34" s="1"/>
  <c r="AB94" i="50"/>
  <c r="X95" i="50"/>
  <c r="AB95" i="50" s="1"/>
  <c r="X95" i="28"/>
  <c r="AB95" i="28" s="1"/>
  <c r="AR94" i="28" s="1"/>
  <c r="X95" i="49"/>
  <c r="AB95" i="49" s="1"/>
  <c r="AR94" i="49" s="1"/>
  <c r="J57" i="44"/>
  <c r="X95" i="33"/>
  <c r="AB95" i="33" s="1"/>
  <c r="AR95" i="33" s="1"/>
  <c r="AR94" i="48"/>
  <c r="AR94" i="42"/>
  <c r="X95" i="31"/>
  <c r="AB95" i="31" s="1"/>
  <c r="AR94" i="31" s="1"/>
  <c r="AG85" i="49"/>
  <c r="Y7" i="16"/>
  <c r="AA7" i="16" s="1"/>
  <c r="AG7" i="16" s="1"/>
  <c r="AE55" i="43"/>
  <c r="AI54" i="43" s="1"/>
  <c r="Y8" i="17"/>
  <c r="AA8" i="17" s="1"/>
  <c r="AG8" i="17" s="1"/>
  <c r="AB94" i="27"/>
  <c r="X95" i="27"/>
  <c r="AB95" i="27" s="1"/>
  <c r="AR35" i="41"/>
  <c r="AT35" i="41" s="1"/>
  <c r="E5" i="41" s="1"/>
  <c r="AR34" i="41"/>
  <c r="AT34" i="41" s="1"/>
  <c r="D5" i="41" s="1"/>
  <c r="X95" i="37"/>
  <c r="AB95" i="37" s="1"/>
  <c r="AR94" i="37" s="1"/>
  <c r="X40" i="42"/>
  <c r="AB94" i="45"/>
  <c r="X95" i="45"/>
  <c r="AB95" i="45" s="1"/>
  <c r="X95" i="39"/>
  <c r="AB95" i="39" s="1"/>
  <c r="AR95" i="39" s="1"/>
  <c r="X95" i="46"/>
  <c r="AB95" i="46" s="1"/>
  <c r="AR95" i="46" s="1"/>
  <c r="AB94" i="44"/>
  <c r="X95" i="44"/>
  <c r="AB95" i="44" s="1"/>
  <c r="A129" i="32"/>
  <c r="B128" i="32"/>
  <c r="AJ120" i="47"/>
  <c r="AJ119" i="47"/>
  <c r="AJ135" i="40"/>
  <c r="AJ134" i="40"/>
  <c r="AA5" i="15"/>
  <c r="X4" i="15"/>
  <c r="C112" i="35"/>
  <c r="G113" i="35"/>
  <c r="A120" i="36"/>
  <c r="B120" i="36" s="1"/>
  <c r="B119" i="36"/>
  <c r="Q107" i="37"/>
  <c r="Q109" i="37"/>
  <c r="AJ125" i="45"/>
  <c r="AJ124" i="45"/>
  <c r="X107" i="26"/>
  <c r="O120" i="42"/>
  <c r="P120" i="42" s="1"/>
  <c r="P119" i="42"/>
  <c r="AV13" i="21"/>
  <c r="K109" i="40"/>
  <c r="G107" i="40"/>
  <c r="K110" i="40"/>
  <c r="A120" i="39"/>
  <c r="B120" i="39" s="1"/>
  <c r="B119" i="39"/>
  <c r="A141" i="49"/>
  <c r="A137" i="49"/>
  <c r="B136" i="49"/>
  <c r="C114" i="30"/>
  <c r="C113" i="30"/>
  <c r="A120" i="48"/>
  <c r="B120" i="48" s="1"/>
  <c r="B119" i="48"/>
  <c r="X102" i="37"/>
  <c r="O119" i="28"/>
  <c r="P118" i="28"/>
  <c r="Q118" i="28" s="1"/>
  <c r="AC133" i="26"/>
  <c r="AC129" i="26"/>
  <c r="AD129" i="26" s="1"/>
  <c r="AD128" i="26"/>
  <c r="AE45" i="41"/>
  <c r="AI44" i="41" s="1"/>
  <c r="G102" i="30"/>
  <c r="K105" i="30"/>
  <c r="K104" i="30"/>
  <c r="A120" i="30"/>
  <c r="B120" i="30" s="1"/>
  <c r="B119" i="30"/>
  <c r="P114" i="46"/>
  <c r="O115" i="46"/>
  <c r="P115" i="46" s="1"/>
  <c r="AA7" i="17"/>
  <c r="AG7" i="17" s="1"/>
  <c r="B132" i="34"/>
  <c r="A133" i="34"/>
  <c r="Z130" i="32"/>
  <c r="Z129" i="32"/>
  <c r="R127" i="32"/>
  <c r="Y130" i="32"/>
  <c r="Y129" i="32"/>
  <c r="AA120" i="26"/>
  <c r="AO120" i="26" s="1"/>
  <c r="AP120" i="26" s="1"/>
  <c r="W120" i="26"/>
  <c r="AA119" i="26"/>
  <c r="AO119" i="26" s="1"/>
  <c r="AP119" i="26" s="1"/>
  <c r="W119" i="26"/>
  <c r="C130" i="59"/>
  <c r="C131" i="59"/>
  <c r="X55" i="45"/>
  <c r="AE44" i="40"/>
  <c r="AG44" i="40" s="1"/>
  <c r="R43" i="40"/>
  <c r="AE48" i="40"/>
  <c r="D44" i="40"/>
  <c r="F44" i="40" s="1"/>
  <c r="H44" i="40" s="1"/>
  <c r="D48" i="40"/>
  <c r="F48" i="40" s="1"/>
  <c r="H48" i="40" s="1"/>
  <c r="H12" i="20"/>
  <c r="I12" i="20" s="1"/>
  <c r="D12" i="20"/>
  <c r="F12" i="20" s="1"/>
  <c r="G12" i="20" s="1"/>
  <c r="AI85" i="50"/>
  <c r="AF12" i="24"/>
  <c r="F95" i="30"/>
  <c r="H92" i="30"/>
  <c r="H95" i="30" s="1"/>
  <c r="H10" i="18"/>
  <c r="I10" i="18" s="1"/>
  <c r="D10" i="18"/>
  <c r="F10" i="18" s="1"/>
  <c r="G10" i="18" s="1"/>
  <c r="B136" i="32"/>
  <c r="A137" i="32"/>
  <c r="A141" i="32"/>
  <c r="O115" i="31"/>
  <c r="P115" i="31" s="1"/>
  <c r="P114" i="31"/>
  <c r="V83" i="49"/>
  <c r="T83" i="49"/>
  <c r="C118" i="29"/>
  <c r="C119" i="29"/>
  <c r="V37" i="39"/>
  <c r="T37" i="39"/>
  <c r="T33" i="39"/>
  <c r="V33" i="39"/>
  <c r="C112" i="34"/>
  <c r="G113" i="34"/>
  <c r="AI122" i="34"/>
  <c r="AL124" i="34"/>
  <c r="AH124" i="34"/>
  <c r="AL125" i="34"/>
  <c r="AH125" i="34"/>
  <c r="G108" i="48"/>
  <c r="C107" i="48"/>
  <c r="Q112" i="29"/>
  <c r="Q114" i="29"/>
  <c r="AA115" i="50"/>
  <c r="AO115" i="50" s="1"/>
  <c r="W115" i="50"/>
  <c r="AA114" i="50"/>
  <c r="AO114" i="50" s="1"/>
  <c r="W114" i="50"/>
  <c r="A129" i="49"/>
  <c r="B128" i="49"/>
  <c r="AJ125" i="39"/>
  <c r="AJ124" i="39"/>
  <c r="B131" i="43"/>
  <c r="A136" i="43"/>
  <c r="A132" i="43"/>
  <c r="AL125" i="31"/>
  <c r="AH125" i="31"/>
  <c r="AI122" i="31"/>
  <c r="AL124" i="31"/>
  <c r="AH124" i="31"/>
  <c r="M109" i="26"/>
  <c r="I109" i="26"/>
  <c r="M110" i="26"/>
  <c r="I110" i="26"/>
  <c r="G109" i="26"/>
  <c r="B147" i="59"/>
  <c r="A148" i="59"/>
  <c r="AA138" i="59"/>
  <c r="AQ138" i="59" s="1"/>
  <c r="AR138" i="59" s="1"/>
  <c r="AA137" i="59"/>
  <c r="AQ137" i="59" s="1"/>
  <c r="AR137" i="59" s="1"/>
  <c r="A129" i="34"/>
  <c r="B128" i="34"/>
  <c r="AA120" i="35"/>
  <c r="AO120" i="35" s="1"/>
  <c r="AP120" i="35" s="1"/>
  <c r="W120" i="35"/>
  <c r="AA119" i="35"/>
  <c r="AO119" i="35" s="1"/>
  <c r="AP119" i="35" s="1"/>
  <c r="W119" i="35"/>
  <c r="C114" i="39"/>
  <c r="C113" i="39"/>
  <c r="B124" i="47"/>
  <c r="A125" i="47"/>
  <c r="B125" i="47" s="1"/>
  <c r="O120" i="41"/>
  <c r="P120" i="41" s="1"/>
  <c r="P119" i="41"/>
  <c r="O115" i="39"/>
  <c r="P115" i="39" s="1"/>
  <c r="P114" i="39"/>
  <c r="Q114" i="36"/>
  <c r="Q112" i="36"/>
  <c r="C114" i="46"/>
  <c r="C113" i="46"/>
  <c r="AC129" i="49"/>
  <c r="AD129" i="49" s="1"/>
  <c r="AD128" i="49"/>
  <c r="AC133" i="49"/>
  <c r="D11" i="53"/>
  <c r="F11" i="53" s="1"/>
  <c r="G11" i="53" s="1"/>
  <c r="H11" i="53"/>
  <c r="I11" i="53" s="1"/>
  <c r="AV11" i="19"/>
  <c r="M109" i="36"/>
  <c r="I109" i="36"/>
  <c r="M110" i="36"/>
  <c r="I110" i="36"/>
  <c r="G109" i="36"/>
  <c r="A124" i="30"/>
  <c r="B123" i="30"/>
  <c r="P127" i="36"/>
  <c r="O128" i="36"/>
  <c r="F8" i="17"/>
  <c r="G108" i="30"/>
  <c r="C107" i="30"/>
  <c r="T88" i="50"/>
  <c r="V88" i="50"/>
  <c r="O127" i="27"/>
  <c r="P126" i="27"/>
  <c r="O131" i="27"/>
  <c r="AV5" i="13"/>
  <c r="AN9" i="61"/>
  <c r="AE12" i="68" s="1"/>
  <c r="C13" i="45"/>
  <c r="AP9" i="16"/>
  <c r="B9" i="16"/>
  <c r="B131" i="30"/>
  <c r="A136" i="30"/>
  <c r="A132" i="30"/>
  <c r="T68" i="46"/>
  <c r="V68" i="46"/>
  <c r="A129" i="38"/>
  <c r="B128" i="38"/>
  <c r="A141" i="47"/>
  <c r="A137" i="47"/>
  <c r="B136" i="47"/>
  <c r="AI35" i="40"/>
  <c r="AM35" i="40" s="1"/>
  <c r="AS35" i="40" s="1"/>
  <c r="K109" i="34"/>
  <c r="G107" i="34"/>
  <c r="K110" i="34"/>
  <c r="V43" i="41"/>
  <c r="T43" i="41"/>
  <c r="AJ120" i="38"/>
  <c r="AJ119" i="38"/>
  <c r="F62" i="43"/>
  <c r="T53" i="43"/>
  <c r="V53" i="43"/>
  <c r="H105" i="59"/>
  <c r="H108" i="59" s="1"/>
  <c r="F108" i="59"/>
  <c r="AJ124" i="27"/>
  <c r="AJ125" i="27"/>
  <c r="AL119" i="41"/>
  <c r="AH119" i="41"/>
  <c r="AL120" i="41"/>
  <c r="AH120" i="41"/>
  <c r="AI117" i="41"/>
  <c r="B136" i="35"/>
  <c r="A141" i="35"/>
  <c r="A137" i="35"/>
  <c r="X102" i="27"/>
  <c r="O128" i="47"/>
  <c r="P127" i="47"/>
  <c r="A129" i="42"/>
  <c r="B128" i="42"/>
  <c r="O115" i="45"/>
  <c r="P115" i="45" s="1"/>
  <c r="P114" i="45"/>
  <c r="D16" i="24"/>
  <c r="F16" i="24" s="1"/>
  <c r="G16" i="24" s="1"/>
  <c r="H16" i="24"/>
  <c r="I16" i="24" s="1"/>
  <c r="Y105" i="33"/>
  <c r="Y104" i="33"/>
  <c r="C114" i="45"/>
  <c r="C113" i="45"/>
  <c r="AJ119" i="44"/>
  <c r="AJ120" i="44"/>
  <c r="Q109" i="49"/>
  <c r="Q107" i="49"/>
  <c r="T97" i="49"/>
  <c r="F102" i="50"/>
  <c r="AC133" i="48"/>
  <c r="AC129" i="48"/>
  <c r="AD129" i="48" s="1"/>
  <c r="AD128" i="48"/>
  <c r="G102" i="43"/>
  <c r="K105" i="43"/>
  <c r="K104" i="43"/>
  <c r="A128" i="36"/>
  <c r="B127" i="36"/>
  <c r="A129" i="44"/>
  <c r="B128" i="44"/>
  <c r="AA115" i="43"/>
  <c r="AO115" i="43" s="1"/>
  <c r="AP115" i="43" s="1"/>
  <c r="W115" i="43"/>
  <c r="AA114" i="43"/>
  <c r="AO114" i="43" s="1"/>
  <c r="AP114" i="43" s="1"/>
  <c r="W114" i="43"/>
  <c r="P126" i="37"/>
  <c r="O131" i="37"/>
  <c r="O127" i="37"/>
  <c r="O123" i="40"/>
  <c r="P122" i="40"/>
  <c r="B131" i="46"/>
  <c r="A132" i="46"/>
  <c r="A136" i="46"/>
  <c r="G10" i="20"/>
  <c r="B131" i="39"/>
  <c r="A136" i="39"/>
  <c r="A132" i="39"/>
  <c r="AE85" i="49"/>
  <c r="AI84" i="49" s="1"/>
  <c r="C112" i="47"/>
  <c r="G113" i="47"/>
  <c r="K105" i="36"/>
  <c r="K104" i="36"/>
  <c r="G102" i="36"/>
  <c r="B131" i="48"/>
  <c r="A136" i="48"/>
  <c r="A132" i="48"/>
  <c r="Q112" i="35"/>
  <c r="Q114" i="35"/>
  <c r="O132" i="30"/>
  <c r="P131" i="30"/>
  <c r="O136" i="30"/>
  <c r="AA115" i="33"/>
  <c r="AO115" i="33" s="1"/>
  <c r="AP115" i="33" s="1"/>
  <c r="W115" i="33"/>
  <c r="AA114" i="33"/>
  <c r="AO114" i="33" s="1"/>
  <c r="AP114" i="33" s="1"/>
  <c r="W114" i="33"/>
  <c r="H49" i="43"/>
  <c r="H50" i="43" s="1"/>
  <c r="J50" i="43" s="1"/>
  <c r="F50" i="43"/>
  <c r="J49" i="43" s="1"/>
  <c r="A133" i="31"/>
  <c r="B132" i="31"/>
  <c r="AA14" i="24"/>
  <c r="AG14" i="24" s="1"/>
  <c r="AC129" i="50"/>
  <c r="AD129" i="50" s="1"/>
  <c r="AD128" i="50"/>
  <c r="AC133" i="50"/>
  <c r="X13" i="24"/>
  <c r="AM10" i="61"/>
  <c r="AD13" i="68" s="1"/>
  <c r="C12" i="44"/>
  <c r="B10" i="17"/>
  <c r="AP10" i="17"/>
  <c r="O124" i="35"/>
  <c r="P123" i="35"/>
  <c r="Q123" i="35" s="1"/>
  <c r="P118" i="44"/>
  <c r="Q118" i="44" s="1"/>
  <c r="O119" i="44"/>
  <c r="Y110" i="35"/>
  <c r="Y109" i="35"/>
  <c r="P118" i="27"/>
  <c r="Q118" i="27" s="1"/>
  <c r="O119" i="27"/>
  <c r="V54" i="44"/>
  <c r="V55" i="44" s="1"/>
  <c r="T54" i="44"/>
  <c r="T55" i="44" s="1"/>
  <c r="X54" i="44" s="1"/>
  <c r="O119" i="39"/>
  <c r="P118" i="39"/>
  <c r="Q118" i="39" s="1"/>
  <c r="AF11" i="22"/>
  <c r="AF12" i="22" s="1"/>
  <c r="A125" i="42"/>
  <c r="B125" i="42" s="1"/>
  <c r="B124" i="42"/>
  <c r="B136" i="50"/>
  <c r="A141" i="50"/>
  <c r="A137" i="50"/>
  <c r="P114" i="34"/>
  <c r="O115" i="34"/>
  <c r="P115" i="34" s="1"/>
  <c r="H78" i="48"/>
  <c r="H80" i="48" s="1"/>
  <c r="F80" i="48"/>
  <c r="AI70" i="47"/>
  <c r="M114" i="49"/>
  <c r="I114" i="49"/>
  <c r="M115" i="49"/>
  <c r="I115" i="49"/>
  <c r="G114" i="49"/>
  <c r="AR95" i="29"/>
  <c r="AJ125" i="32"/>
  <c r="AJ124" i="32"/>
  <c r="T63" i="45"/>
  <c r="V63" i="45"/>
  <c r="M115" i="29"/>
  <c r="I115" i="29"/>
  <c r="G114" i="29"/>
  <c r="M114" i="29"/>
  <c r="I114" i="29"/>
  <c r="AJ145" i="46"/>
  <c r="AJ144" i="46"/>
  <c r="AV6" i="14"/>
  <c r="C112" i="31"/>
  <c r="G113" i="31"/>
  <c r="AA115" i="28"/>
  <c r="AO115" i="28" s="1"/>
  <c r="AP115" i="28" s="1"/>
  <c r="W115" i="28"/>
  <c r="AA114" i="28"/>
  <c r="AO114" i="28" s="1"/>
  <c r="AP114" i="28" s="1"/>
  <c r="W114" i="28"/>
  <c r="AJ125" i="37"/>
  <c r="AJ124" i="37"/>
  <c r="O136" i="42"/>
  <c r="O132" i="42"/>
  <c r="P131" i="42"/>
  <c r="H97" i="50"/>
  <c r="V52" i="42"/>
  <c r="T52" i="42"/>
  <c r="AG53" i="42"/>
  <c r="X102" i="46"/>
  <c r="B127" i="26"/>
  <c r="A128" i="26"/>
  <c r="O119" i="34"/>
  <c r="P118" i="34"/>
  <c r="Q118" i="34" s="1"/>
  <c r="AO8" i="61"/>
  <c r="AF11" i="68" s="1"/>
  <c r="C14" i="46"/>
  <c r="T22" i="46" s="1"/>
  <c r="B8" i="15"/>
  <c r="AP8" i="15"/>
  <c r="A125" i="28"/>
  <c r="B125" i="28" s="1"/>
  <c r="B124" i="28"/>
  <c r="P126" i="28"/>
  <c r="O131" i="28"/>
  <c r="O127" i="28"/>
  <c r="C114" i="43"/>
  <c r="C113" i="43"/>
  <c r="H47" i="41"/>
  <c r="Q107" i="45"/>
  <c r="Q109" i="45"/>
  <c r="A124" i="39"/>
  <c r="B123" i="39"/>
  <c r="A124" i="48"/>
  <c r="B123" i="48"/>
  <c r="B132" i="28"/>
  <c r="A133" i="28"/>
  <c r="A129" i="27"/>
  <c r="B128" i="27"/>
  <c r="H92" i="45"/>
  <c r="H95" i="45" s="1"/>
  <c r="F95" i="45"/>
  <c r="AI65" i="46"/>
  <c r="A129" i="31"/>
  <c r="B128" i="31"/>
  <c r="AJ125" i="42"/>
  <c r="AJ124" i="42"/>
  <c r="F78" i="47"/>
  <c r="AV15" i="23"/>
  <c r="M115" i="41"/>
  <c r="I115" i="41"/>
  <c r="G114" i="41"/>
  <c r="M114" i="41"/>
  <c r="I114" i="41"/>
  <c r="AG70" i="46"/>
  <c r="AK39" i="42"/>
  <c r="AM39" i="42" s="1"/>
  <c r="AS39" i="42" s="1"/>
  <c r="L44" i="42"/>
  <c r="Z39" i="42"/>
  <c r="AB39" i="42" s="1"/>
  <c r="Y105" i="40"/>
  <c r="Y104" i="40"/>
  <c r="A125" i="29"/>
  <c r="B125" i="29" s="1"/>
  <c r="B124" i="29"/>
  <c r="AV4" i="12"/>
  <c r="P147" i="32"/>
  <c r="O148" i="32"/>
  <c r="AR94" i="38"/>
  <c r="A129" i="50"/>
  <c r="B128" i="50"/>
  <c r="P118" i="43"/>
  <c r="Q118" i="43" s="1"/>
  <c r="O119" i="43"/>
  <c r="Y126" i="59"/>
  <c r="Y125" i="59"/>
  <c r="W126" i="59"/>
  <c r="W125" i="59"/>
  <c r="AI117" i="47"/>
  <c r="AL119" i="47"/>
  <c r="AH120" i="47"/>
  <c r="AL120" i="47"/>
  <c r="AH119" i="47"/>
  <c r="C118" i="49"/>
  <c r="C119" i="49"/>
  <c r="AL124" i="45"/>
  <c r="AH124" i="45"/>
  <c r="AH125" i="45"/>
  <c r="AL125" i="45"/>
  <c r="AI122" i="45"/>
  <c r="G102" i="39"/>
  <c r="K104" i="39"/>
  <c r="K105" i="39"/>
  <c r="A125" i="33"/>
  <c r="B125" i="33" s="1"/>
  <c r="B124" i="33"/>
  <c r="F95" i="39"/>
  <c r="H92" i="39"/>
  <c r="H95" i="39" s="1"/>
  <c r="C107" i="45"/>
  <c r="G108" i="45"/>
  <c r="K110" i="49"/>
  <c r="K109" i="49"/>
  <c r="G107" i="49"/>
  <c r="A129" i="28"/>
  <c r="B128" i="28"/>
  <c r="O127" i="33"/>
  <c r="P126" i="33"/>
  <c r="O131" i="33"/>
  <c r="AA115" i="31"/>
  <c r="AO115" i="31" s="1"/>
  <c r="AP115" i="31" s="1"/>
  <c r="W115" i="31"/>
  <c r="AA114" i="31"/>
  <c r="AO114" i="31" s="1"/>
  <c r="AP114" i="31" s="1"/>
  <c r="W114" i="31"/>
  <c r="F84" i="49"/>
  <c r="J82" i="49"/>
  <c r="A133" i="42"/>
  <c r="B132" i="42"/>
  <c r="F38" i="39"/>
  <c r="M115" i="34"/>
  <c r="I115" i="34"/>
  <c r="G114" i="34"/>
  <c r="M114" i="34"/>
  <c r="I114" i="34"/>
  <c r="A125" i="32"/>
  <c r="B125" i="32" s="1"/>
  <c r="B124" i="32"/>
  <c r="A124" i="46"/>
  <c r="B123" i="46"/>
  <c r="O138" i="59"/>
  <c r="P138" i="59" s="1"/>
  <c r="P137" i="59"/>
  <c r="O120" i="35"/>
  <c r="P120" i="35" s="1"/>
  <c r="P119" i="35"/>
  <c r="O131" i="45"/>
  <c r="P126" i="45"/>
  <c r="O127" i="45"/>
  <c r="AV11" i="53"/>
  <c r="AC129" i="36"/>
  <c r="AD129" i="36" s="1"/>
  <c r="AD128" i="36"/>
  <c r="AC133" i="36"/>
  <c r="P127" i="38"/>
  <c r="O128" i="38"/>
  <c r="AE89" i="49"/>
  <c r="AG89" i="49" s="1"/>
  <c r="AE93" i="49"/>
  <c r="R88" i="49"/>
  <c r="D89" i="49"/>
  <c r="AV8" i="16"/>
  <c r="AF12" i="23"/>
  <c r="AL119" i="38"/>
  <c r="AH119" i="38"/>
  <c r="AL120" i="38"/>
  <c r="AH120" i="38"/>
  <c r="AI117" i="38"/>
  <c r="AG58" i="43"/>
  <c r="Q114" i="42"/>
  <c r="Q112" i="42"/>
  <c r="A125" i="49"/>
  <c r="B125" i="49" s="1"/>
  <c r="B124" i="49"/>
  <c r="B132" i="29"/>
  <c r="A133" i="29"/>
  <c r="AA4" i="14"/>
  <c r="AV16" i="24"/>
  <c r="O115" i="27"/>
  <c r="P115" i="27" s="1"/>
  <c r="P114" i="27"/>
  <c r="X102" i="45"/>
  <c r="P118" i="31"/>
  <c r="Q118" i="31" s="1"/>
  <c r="O119" i="31"/>
  <c r="M115" i="47"/>
  <c r="I114" i="47"/>
  <c r="M114" i="47"/>
  <c r="G114" i="47"/>
  <c r="I115" i="47"/>
  <c r="A141" i="31"/>
  <c r="A137" i="31"/>
  <c r="B136" i="31"/>
  <c r="Y10" i="53"/>
  <c r="X9" i="53" s="1"/>
  <c r="AJ125" i="50"/>
  <c r="AJ124" i="50"/>
  <c r="Y14" i="23"/>
  <c r="C118" i="35"/>
  <c r="C119" i="35"/>
  <c r="C119" i="31"/>
  <c r="C118" i="31"/>
  <c r="O143" i="59"/>
  <c r="P142" i="59"/>
  <c r="Q142" i="59" s="1"/>
  <c r="O119" i="46"/>
  <c r="P118" i="46"/>
  <c r="Q118" i="46" s="1"/>
  <c r="H9" i="17"/>
  <c r="I9" i="17" s="1"/>
  <c r="D9" i="17"/>
  <c r="F9" i="17" s="1"/>
  <c r="G9" i="17" s="1"/>
  <c r="O124" i="38"/>
  <c r="P123" i="38"/>
  <c r="Q123" i="38" s="1"/>
  <c r="V58" i="44"/>
  <c r="T58" i="44"/>
  <c r="P147" i="59"/>
  <c r="O148" i="59"/>
  <c r="K110" i="47"/>
  <c r="K109" i="47"/>
  <c r="G107" i="47"/>
  <c r="P127" i="29"/>
  <c r="O128" i="29"/>
  <c r="AC129" i="33"/>
  <c r="AD129" i="33" s="1"/>
  <c r="AD128" i="33"/>
  <c r="AC133" i="33"/>
  <c r="C112" i="49"/>
  <c r="G113" i="49"/>
  <c r="G108" i="43"/>
  <c r="C107" i="43"/>
  <c r="O120" i="36"/>
  <c r="P120" i="36" s="1"/>
  <c r="P119" i="36"/>
  <c r="AI122" i="32"/>
  <c r="AL124" i="32"/>
  <c r="AH124" i="32"/>
  <c r="AL125" i="32"/>
  <c r="AH125" i="32"/>
  <c r="AG68" i="45"/>
  <c r="C112" i="29"/>
  <c r="G113" i="29"/>
  <c r="AI142" i="46"/>
  <c r="AL144" i="46"/>
  <c r="AH144" i="46"/>
  <c r="AH145" i="46"/>
  <c r="AL145" i="46"/>
  <c r="Q114" i="47"/>
  <c r="Q112" i="47"/>
  <c r="A124" i="37"/>
  <c r="B123" i="37"/>
  <c r="AE84" i="48"/>
  <c r="AG84" i="48" s="1"/>
  <c r="AE88" i="48"/>
  <c r="R83" i="48"/>
  <c r="D84" i="48"/>
  <c r="M114" i="31"/>
  <c r="I114" i="31"/>
  <c r="M115" i="31"/>
  <c r="I115" i="31"/>
  <c r="G114" i="31"/>
  <c r="P123" i="48"/>
  <c r="Q123" i="48" s="1"/>
  <c r="O124" i="48"/>
  <c r="AL143" i="59"/>
  <c r="AL144" i="59"/>
  <c r="P114" i="28"/>
  <c r="O115" i="28"/>
  <c r="P115" i="28" s="1"/>
  <c r="AI122" i="37"/>
  <c r="AL124" i="37"/>
  <c r="AH124" i="37"/>
  <c r="AL125" i="37"/>
  <c r="AH125" i="37"/>
  <c r="AR94" i="41"/>
  <c r="C114" i="48"/>
  <c r="C113" i="48"/>
  <c r="V48" i="42"/>
  <c r="T48" i="42"/>
  <c r="Y105" i="46"/>
  <c r="Y104" i="46"/>
  <c r="B131" i="26"/>
  <c r="A136" i="26"/>
  <c r="A132" i="26"/>
  <c r="C112" i="44"/>
  <c r="G113" i="44"/>
  <c r="K110" i="44"/>
  <c r="K109" i="44"/>
  <c r="G107" i="44"/>
  <c r="AE79" i="47"/>
  <c r="AG79" i="47" s="1"/>
  <c r="R78" i="47"/>
  <c r="AE83" i="47"/>
  <c r="D79" i="47"/>
  <c r="F79" i="47" s="1"/>
  <c r="H79" i="47" s="1"/>
  <c r="R74" i="47"/>
  <c r="C107" i="37"/>
  <c r="G108" i="37"/>
  <c r="Q131" i="59"/>
  <c r="Q129" i="59"/>
  <c r="C119" i="34"/>
  <c r="C118" i="34"/>
  <c r="B136" i="28"/>
  <c r="A141" i="28"/>
  <c r="A137" i="28"/>
  <c r="O120" i="48"/>
  <c r="P120" i="48" s="1"/>
  <c r="P119" i="48"/>
  <c r="AL124" i="42"/>
  <c r="AH124" i="42"/>
  <c r="AL125" i="42"/>
  <c r="AH125" i="42"/>
  <c r="AI122" i="42"/>
  <c r="AG78" i="47"/>
  <c r="T73" i="47"/>
  <c r="V73" i="47"/>
  <c r="AE43" i="39"/>
  <c r="R34" i="39"/>
  <c r="D39" i="39"/>
  <c r="F39" i="39" s="1"/>
  <c r="H39" i="39" s="1"/>
  <c r="R38" i="39"/>
  <c r="D43" i="39"/>
  <c r="F43" i="39" s="1"/>
  <c r="H43" i="39" s="1"/>
  <c r="AE39" i="39"/>
  <c r="AG39" i="39" s="1"/>
  <c r="R42" i="39"/>
  <c r="D47" i="39"/>
  <c r="C112" i="41"/>
  <c r="G113" i="41"/>
  <c r="AE70" i="46"/>
  <c r="AI69" i="46" s="1"/>
  <c r="B132" i="38"/>
  <c r="A133" i="38"/>
  <c r="P127" i="41"/>
  <c r="O128" i="41"/>
  <c r="AK40" i="42"/>
  <c r="AM40" i="42" s="1"/>
  <c r="AS40" i="42" s="1"/>
  <c r="Z40" i="42"/>
  <c r="L45" i="42"/>
  <c r="AA120" i="29"/>
  <c r="AO120" i="29" s="1"/>
  <c r="AP120" i="29" s="1"/>
  <c r="W120" i="29"/>
  <c r="AA119" i="29"/>
  <c r="AO119" i="29" s="1"/>
  <c r="AP119" i="29" s="1"/>
  <c r="W119" i="29"/>
  <c r="AG10" i="20"/>
  <c r="O124" i="41"/>
  <c r="P123" i="41"/>
  <c r="Q123" i="41" s="1"/>
  <c r="O123" i="44"/>
  <c r="P122" i="44"/>
  <c r="AS4" i="61"/>
  <c r="AJ7" i="68" s="1"/>
  <c r="AT3" i="61"/>
  <c r="AK6" i="68" s="1"/>
  <c r="AP4" i="11"/>
  <c r="B4" i="11"/>
  <c r="C18" i="50"/>
  <c r="D107" i="50" s="1"/>
  <c r="C113" i="36"/>
  <c r="C114" i="36"/>
  <c r="C114" i="26"/>
  <c r="C113" i="26"/>
  <c r="B132" i="41"/>
  <c r="A133" i="41"/>
  <c r="C119" i="42"/>
  <c r="C118" i="42"/>
  <c r="AI132" i="40"/>
  <c r="AL134" i="40"/>
  <c r="AH134" i="40"/>
  <c r="AL135" i="40"/>
  <c r="AH135" i="40"/>
  <c r="O124" i="42"/>
  <c r="P123" i="42"/>
  <c r="Q123" i="42" s="1"/>
  <c r="M115" i="38"/>
  <c r="I115" i="38"/>
  <c r="G114" i="38"/>
  <c r="M114" i="38"/>
  <c r="I114" i="38"/>
  <c r="H13" i="21"/>
  <c r="I13" i="21" s="1"/>
  <c r="D13" i="21"/>
  <c r="F13" i="21" s="1"/>
  <c r="G13" i="21" s="1"/>
  <c r="A124" i="26"/>
  <c r="B123" i="26"/>
  <c r="AA115" i="40"/>
  <c r="AO115" i="40" s="1"/>
  <c r="AP115" i="40" s="1"/>
  <c r="W115" i="40"/>
  <c r="AA114" i="40"/>
  <c r="AO114" i="40" s="1"/>
  <c r="AP114" i="40" s="1"/>
  <c r="W114" i="40"/>
  <c r="X107" i="41"/>
  <c r="AC129" i="28"/>
  <c r="AD129" i="28" s="1"/>
  <c r="AD128" i="28"/>
  <c r="AC133" i="28"/>
  <c r="O123" i="31"/>
  <c r="P122" i="31"/>
  <c r="A129" i="40"/>
  <c r="B128" i="40"/>
  <c r="W140" i="32"/>
  <c r="AA139" i="32"/>
  <c r="AO139" i="32" s="1"/>
  <c r="AP139" i="32" s="1"/>
  <c r="W139" i="32"/>
  <c r="AA140" i="32"/>
  <c r="AO140" i="32" s="1"/>
  <c r="AP140" i="32" s="1"/>
  <c r="X107" i="38"/>
  <c r="A129" i="41"/>
  <c r="B128" i="41"/>
  <c r="R53" i="42"/>
  <c r="AE54" i="42"/>
  <c r="AG54" i="42" s="1"/>
  <c r="AE58" i="42"/>
  <c r="D54" i="42"/>
  <c r="D58" i="42"/>
  <c r="F58" i="42" s="1"/>
  <c r="H58" i="42" s="1"/>
  <c r="R57" i="42"/>
  <c r="D62" i="42"/>
  <c r="F102" i="49"/>
  <c r="A120" i="43"/>
  <c r="B120" i="43" s="1"/>
  <c r="B119" i="43"/>
  <c r="P127" i="48"/>
  <c r="O128" i="48"/>
  <c r="C112" i="50"/>
  <c r="G113" i="50"/>
  <c r="P114" i="50"/>
  <c r="O115" i="50"/>
  <c r="P115" i="50" s="1"/>
  <c r="A125" i="34"/>
  <c r="B125" i="34" s="1"/>
  <c r="B124" i="34"/>
  <c r="V74" i="48"/>
  <c r="V75" i="48" s="1"/>
  <c r="T74" i="48"/>
  <c r="T75" i="48" s="1"/>
  <c r="X74" i="48" s="1"/>
  <c r="G4" i="14"/>
  <c r="AJ124" i="49"/>
  <c r="AJ125" i="49"/>
  <c r="M109" i="30"/>
  <c r="I109" i="30"/>
  <c r="M110" i="30"/>
  <c r="I110" i="30"/>
  <c r="G109" i="30"/>
  <c r="C119" i="47"/>
  <c r="C118" i="47"/>
  <c r="H44" i="42"/>
  <c r="H45" i="42" s="1"/>
  <c r="J45" i="42" s="1"/>
  <c r="F45" i="42"/>
  <c r="J44" i="42" s="1"/>
  <c r="F47" i="40"/>
  <c r="T38" i="40"/>
  <c r="V38" i="40"/>
  <c r="AG73" i="46"/>
  <c r="X102" i="34"/>
  <c r="K110" i="27"/>
  <c r="K109" i="27"/>
  <c r="G107" i="27"/>
  <c r="V57" i="43"/>
  <c r="T57" i="43"/>
  <c r="AL125" i="27"/>
  <c r="AH125" i="27"/>
  <c r="AI122" i="27"/>
  <c r="AL124" i="27"/>
  <c r="AH124" i="27"/>
  <c r="K119" i="59"/>
  <c r="K120" i="59"/>
  <c r="I119" i="59"/>
  <c r="I120" i="59"/>
  <c r="G117" i="59"/>
  <c r="P127" i="26"/>
  <c r="O128" i="26"/>
  <c r="B127" i="37"/>
  <c r="A128" i="37"/>
  <c r="X102" i="33"/>
  <c r="AJ124" i="30"/>
  <c r="AJ125" i="30"/>
  <c r="Q114" i="48"/>
  <c r="Q112" i="48"/>
  <c r="Q107" i="40"/>
  <c r="Q109" i="40"/>
  <c r="AL120" i="44"/>
  <c r="AH120" i="44"/>
  <c r="AI117" i="44"/>
  <c r="AL119" i="44"/>
  <c r="AH119" i="44"/>
  <c r="C107" i="46"/>
  <c r="G108" i="46"/>
  <c r="A136" i="36"/>
  <c r="A132" i="36"/>
  <c r="B131" i="36"/>
  <c r="P126" i="40"/>
  <c r="O131" i="40"/>
  <c r="O127" i="40"/>
  <c r="B127" i="46"/>
  <c r="A128" i="46"/>
  <c r="Q107" i="39"/>
  <c r="Q109" i="39"/>
  <c r="AC124" i="35"/>
  <c r="AD124" i="35" s="1"/>
  <c r="AD123" i="35"/>
  <c r="AC128" i="35"/>
  <c r="Y109" i="47"/>
  <c r="Y110" i="47"/>
  <c r="X123" i="59"/>
  <c r="B136" i="41"/>
  <c r="A141" i="41"/>
  <c r="A137" i="41"/>
  <c r="X95" i="40"/>
  <c r="AB95" i="40" s="1"/>
  <c r="AR94" i="40" s="1"/>
  <c r="F9" i="18"/>
  <c r="Q109" i="43"/>
  <c r="Q107" i="43"/>
  <c r="AC128" i="47"/>
  <c r="AC124" i="47"/>
  <c r="AD124" i="47" s="1"/>
  <c r="AD123" i="47"/>
  <c r="P123" i="26"/>
  <c r="Q123" i="26" s="1"/>
  <c r="O124" i="26"/>
  <c r="C112" i="28"/>
  <c r="G113" i="28"/>
  <c r="K109" i="50"/>
  <c r="G107" i="50"/>
  <c r="K110" i="50"/>
  <c r="A125" i="31"/>
  <c r="B125" i="31" s="1"/>
  <c r="B124" i="31"/>
  <c r="C112" i="38"/>
  <c r="G113" i="38"/>
  <c r="AI14" i="61"/>
  <c r="Z17" i="68" s="1"/>
  <c r="AP14" i="21"/>
  <c r="C8" i="40"/>
  <c r="B14" i="21"/>
  <c r="AA6" i="16"/>
  <c r="X5" i="16"/>
  <c r="Y105" i="49"/>
  <c r="Y104" i="49"/>
  <c r="AA115" i="37"/>
  <c r="AO115" i="37" s="1"/>
  <c r="AP115" i="37" s="1"/>
  <c r="W115" i="37"/>
  <c r="AA114" i="37"/>
  <c r="AO114" i="37" s="1"/>
  <c r="AP114" i="37" s="1"/>
  <c r="W114" i="37"/>
  <c r="P114" i="40"/>
  <c r="O115" i="40"/>
  <c r="P115" i="40" s="1"/>
  <c r="X102" i="31"/>
  <c r="H92" i="46"/>
  <c r="H95" i="46" s="1"/>
  <c r="F95" i="46"/>
  <c r="AJ120" i="29"/>
  <c r="AJ119" i="29"/>
  <c r="Y110" i="41"/>
  <c r="Y109" i="41"/>
  <c r="AJ124" i="26"/>
  <c r="AJ125" i="26"/>
  <c r="B127" i="45"/>
  <c r="A128" i="45"/>
  <c r="AJ125" i="28"/>
  <c r="AJ124" i="28"/>
  <c r="M110" i="45"/>
  <c r="I110" i="45"/>
  <c r="G109" i="45"/>
  <c r="M109" i="45"/>
  <c r="I109" i="45"/>
  <c r="O120" i="38"/>
  <c r="P120" i="38" s="1"/>
  <c r="P119" i="38"/>
  <c r="V122" i="32"/>
  <c r="V125" i="32" s="1"/>
  <c r="T122" i="32"/>
  <c r="T125" i="32" s="1"/>
  <c r="X124" i="32" s="1"/>
  <c r="AB124" i="32" s="1"/>
  <c r="P139" i="32"/>
  <c r="O140" i="32"/>
  <c r="P140" i="32" s="1"/>
  <c r="Y110" i="38"/>
  <c r="Y109" i="38"/>
  <c r="P119" i="47"/>
  <c r="O120" i="47"/>
  <c r="P120" i="47" s="1"/>
  <c r="AF10" i="21"/>
  <c r="AF11" i="21" s="1"/>
  <c r="H38" i="40"/>
  <c r="H40" i="40" s="1"/>
  <c r="F40" i="40"/>
  <c r="K109" i="41"/>
  <c r="G107" i="41"/>
  <c r="K110" i="41"/>
  <c r="AV14" i="22"/>
  <c r="K109" i="38"/>
  <c r="G107" i="38"/>
  <c r="K110" i="38"/>
  <c r="AV12" i="20"/>
  <c r="AV10" i="18"/>
  <c r="X120" i="32"/>
  <c r="AB120" i="32" s="1"/>
  <c r="AR119" i="32" s="1"/>
  <c r="AG88" i="49"/>
  <c r="O120" i="30"/>
  <c r="P120" i="30" s="1"/>
  <c r="P119" i="30"/>
  <c r="C119" i="44"/>
  <c r="C118" i="44"/>
  <c r="A141" i="42"/>
  <c r="A137" i="42"/>
  <c r="B136" i="42"/>
  <c r="AG38" i="39"/>
  <c r="F12" i="21"/>
  <c r="AC129" i="34"/>
  <c r="AD129" i="34" s="1"/>
  <c r="AD128" i="34"/>
  <c r="AC133" i="34"/>
  <c r="M115" i="50"/>
  <c r="I115" i="50"/>
  <c r="G114" i="50"/>
  <c r="M114" i="50"/>
  <c r="I114" i="50"/>
  <c r="Y110" i="42"/>
  <c r="Y109" i="42"/>
  <c r="X102" i="50"/>
  <c r="F95" i="36"/>
  <c r="H92" i="36"/>
  <c r="H95" i="36" s="1"/>
  <c r="C112" i="40"/>
  <c r="G113" i="40"/>
  <c r="V78" i="48"/>
  <c r="T78" i="48"/>
  <c r="X102" i="28"/>
  <c r="AC133" i="39"/>
  <c r="AC129" i="39"/>
  <c r="AD129" i="39" s="1"/>
  <c r="AD128" i="39"/>
  <c r="AC129" i="31"/>
  <c r="AD129" i="31" s="1"/>
  <c r="AD128" i="31"/>
  <c r="AC133" i="31"/>
  <c r="A133" i="44"/>
  <c r="B132" i="44"/>
  <c r="H92" i="37"/>
  <c r="H95" i="37" s="1"/>
  <c r="F95" i="37"/>
  <c r="A133" i="33"/>
  <c r="B132" i="33"/>
  <c r="V124" i="32"/>
  <c r="T124" i="32"/>
  <c r="A125" i="50"/>
  <c r="B125" i="50" s="1"/>
  <c r="B124" i="50"/>
  <c r="AL125" i="49"/>
  <c r="AH125" i="49"/>
  <c r="AL124" i="49"/>
  <c r="AH124" i="49"/>
  <c r="AI122" i="49"/>
  <c r="H11" i="19"/>
  <c r="I11" i="19" s="1"/>
  <c r="D11" i="19"/>
  <c r="F11" i="19" s="1"/>
  <c r="G11" i="19" s="1"/>
  <c r="F10" i="53"/>
  <c r="C119" i="27"/>
  <c r="C118" i="27"/>
  <c r="O123" i="46"/>
  <c r="P122" i="46"/>
  <c r="H77" i="46"/>
  <c r="AJ124" i="36"/>
  <c r="AJ125" i="36"/>
  <c r="P127" i="35"/>
  <c r="O128" i="35"/>
  <c r="O136" i="38"/>
  <c r="O132" i="38"/>
  <c r="P131" i="38"/>
  <c r="O127" i="49"/>
  <c r="O131" i="49"/>
  <c r="P126" i="49"/>
  <c r="X102" i="39"/>
  <c r="O123" i="27"/>
  <c r="P122" i="27"/>
  <c r="AQ6" i="61"/>
  <c r="AH9" i="68" s="1"/>
  <c r="C16" i="48"/>
  <c r="B6" i="13"/>
  <c r="AP6" i="13"/>
  <c r="Q109" i="27"/>
  <c r="Q107" i="27"/>
  <c r="AE74" i="46"/>
  <c r="AG74" i="46" s="1"/>
  <c r="AE78" i="46"/>
  <c r="R64" i="46"/>
  <c r="R73" i="46"/>
  <c r="D74" i="46"/>
  <c r="D78" i="46"/>
  <c r="V42" i="40"/>
  <c r="T42" i="40"/>
  <c r="V34" i="40"/>
  <c r="V35" i="40" s="1"/>
  <c r="X35" i="40" s="1"/>
  <c r="AB35" i="40" s="1"/>
  <c r="T34" i="40"/>
  <c r="T35" i="40" s="1"/>
  <c r="X34" i="40" s="1"/>
  <c r="AB34" i="40" s="1"/>
  <c r="P123" i="36"/>
  <c r="Q123" i="36" s="1"/>
  <c r="O124" i="36"/>
  <c r="K104" i="37"/>
  <c r="G102" i="37"/>
  <c r="K105" i="37"/>
  <c r="Y105" i="34"/>
  <c r="Y104" i="34"/>
  <c r="Y105" i="44"/>
  <c r="Y104" i="44"/>
  <c r="F44" i="41"/>
  <c r="J42" i="41"/>
  <c r="Y9" i="18"/>
  <c r="X107" i="29"/>
  <c r="B136" i="29"/>
  <c r="A141" i="29"/>
  <c r="A137" i="29"/>
  <c r="B131" i="37"/>
  <c r="A136" i="37"/>
  <c r="A132" i="37"/>
  <c r="AC124" i="41"/>
  <c r="AD124" i="41" s="1"/>
  <c r="AD123" i="41"/>
  <c r="AC128" i="41"/>
  <c r="Y5" i="14"/>
  <c r="X4" i="14" s="1"/>
  <c r="G113" i="42"/>
  <c r="C112" i="42"/>
  <c r="Q112" i="38"/>
  <c r="Q114" i="38"/>
  <c r="O136" i="47"/>
  <c r="O132" i="47"/>
  <c r="P131" i="47"/>
  <c r="AF17" i="61"/>
  <c r="W20" i="68" s="1"/>
  <c r="AP17" i="24"/>
  <c r="C5" i="37"/>
  <c r="B17" i="24"/>
  <c r="O123" i="34"/>
  <c r="P122" i="34"/>
  <c r="C119" i="50"/>
  <c r="C118" i="50"/>
  <c r="AL125" i="30"/>
  <c r="AH125" i="30"/>
  <c r="AI122" i="30"/>
  <c r="AL124" i="30"/>
  <c r="AH124" i="30"/>
  <c r="G108" i="39"/>
  <c r="C107" i="39"/>
  <c r="K110" i="31"/>
  <c r="K109" i="31"/>
  <c r="G107" i="31"/>
  <c r="AJ124" i="48"/>
  <c r="AJ125" i="48"/>
  <c r="M110" i="46"/>
  <c r="I110" i="46"/>
  <c r="G109" i="46"/>
  <c r="M109" i="46"/>
  <c r="I109" i="46"/>
  <c r="A125" i="27"/>
  <c r="B125" i="27" s="1"/>
  <c r="B124" i="27"/>
  <c r="AA115" i="27"/>
  <c r="AO115" i="27" s="1"/>
  <c r="AP115" i="27" s="1"/>
  <c r="W115" i="27"/>
  <c r="AA114" i="27"/>
  <c r="AO114" i="27" s="1"/>
  <c r="AP114" i="27" s="1"/>
  <c r="W114" i="27"/>
  <c r="Y105" i="45"/>
  <c r="Y104" i="45"/>
  <c r="O123" i="50"/>
  <c r="P122" i="50"/>
  <c r="AJ120" i="35"/>
  <c r="AJ119" i="35"/>
  <c r="X107" i="47"/>
  <c r="P127" i="30"/>
  <c r="O128" i="30"/>
  <c r="A133" i="27"/>
  <c r="B132" i="27"/>
  <c r="AG55" i="43"/>
  <c r="Q132" i="32"/>
  <c r="Q134" i="32"/>
  <c r="AI122" i="50"/>
  <c r="AL124" i="50"/>
  <c r="AH124" i="50"/>
  <c r="AL125" i="50"/>
  <c r="AH125" i="50"/>
  <c r="K104" i="46"/>
  <c r="G102" i="46"/>
  <c r="K105" i="46"/>
  <c r="AE69" i="45"/>
  <c r="AG69" i="45" s="1"/>
  <c r="AE73" i="45"/>
  <c r="R68" i="45"/>
  <c r="D69" i="45"/>
  <c r="Q107" i="46"/>
  <c r="Q109" i="46"/>
  <c r="Y4" i="13"/>
  <c r="A125" i="35"/>
  <c r="B125" i="35" s="1"/>
  <c r="B124" i="35"/>
  <c r="F4" i="13"/>
  <c r="T62" i="44"/>
  <c r="V62" i="44"/>
  <c r="K109" i="28"/>
  <c r="G107" i="28"/>
  <c r="K110" i="28"/>
  <c r="O158" i="59"/>
  <c r="O153" i="59"/>
  <c r="P152" i="59"/>
  <c r="Y105" i="43"/>
  <c r="Y104" i="43"/>
  <c r="C119" i="33"/>
  <c r="C118" i="33"/>
  <c r="P118" i="33"/>
  <c r="Q118" i="33" s="1"/>
  <c r="O119" i="33"/>
  <c r="O136" i="29"/>
  <c r="O132" i="29"/>
  <c r="P131" i="29"/>
  <c r="X65" i="48"/>
  <c r="AJ124" i="33"/>
  <c r="AJ125" i="33"/>
  <c r="Y110" i="48"/>
  <c r="Y109" i="48"/>
  <c r="M109" i="43"/>
  <c r="I109" i="43"/>
  <c r="M110" i="43"/>
  <c r="I110" i="43"/>
  <c r="G109" i="43"/>
  <c r="AA120" i="36"/>
  <c r="AO120" i="36" s="1"/>
  <c r="AP120" i="36" s="1"/>
  <c r="W120" i="36"/>
  <c r="AA119" i="36"/>
  <c r="AO119" i="36" s="1"/>
  <c r="AP119" i="36" s="1"/>
  <c r="W119" i="36"/>
  <c r="C112" i="33"/>
  <c r="G113" i="33"/>
  <c r="AC133" i="32"/>
  <c r="AC129" i="32"/>
  <c r="AD129" i="32" s="1"/>
  <c r="AD128" i="32"/>
  <c r="V59" i="45"/>
  <c r="V60" i="45" s="1"/>
  <c r="T59" i="45"/>
  <c r="T60" i="45" s="1"/>
  <c r="X59" i="45" s="1"/>
  <c r="H6" i="14"/>
  <c r="I6" i="14" s="1"/>
  <c r="D6" i="14"/>
  <c r="F6" i="14" s="1"/>
  <c r="G6" i="14" s="1"/>
  <c r="O115" i="49"/>
  <c r="P115" i="49" s="1"/>
  <c r="P114" i="49"/>
  <c r="AN144" i="59"/>
  <c r="AJ144" i="59"/>
  <c r="AK141" i="59"/>
  <c r="AN143" i="59"/>
  <c r="AJ143" i="59"/>
  <c r="A129" i="35"/>
  <c r="B128" i="35"/>
  <c r="H97" i="49"/>
  <c r="Y110" i="36"/>
  <c r="Y109" i="36"/>
  <c r="V44" i="42"/>
  <c r="V45" i="42" s="1"/>
  <c r="T44" i="42"/>
  <c r="T45" i="42" s="1"/>
  <c r="X44" i="42" s="1"/>
  <c r="G124" i="59"/>
  <c r="C123" i="59"/>
  <c r="M114" i="44"/>
  <c r="I114" i="44"/>
  <c r="M115" i="44"/>
  <c r="I115" i="44"/>
  <c r="G114" i="44"/>
  <c r="A120" i="45"/>
  <c r="B120" i="45" s="1"/>
  <c r="B119" i="45"/>
  <c r="Q107" i="28"/>
  <c r="Q109" i="28"/>
  <c r="G113" i="32"/>
  <c r="C112" i="32"/>
  <c r="C119" i="32"/>
  <c r="C118" i="32"/>
  <c r="H7" i="15"/>
  <c r="I7" i="15" s="1"/>
  <c r="D7" i="15"/>
  <c r="F7" i="15" s="1"/>
  <c r="G7" i="15" s="1"/>
  <c r="M110" i="37"/>
  <c r="I110" i="37"/>
  <c r="G109" i="37"/>
  <c r="M109" i="37"/>
  <c r="I109" i="37"/>
  <c r="O115" i="44"/>
  <c r="P115" i="44" s="1"/>
  <c r="P114" i="44"/>
  <c r="J65" i="46"/>
  <c r="J64" i="46"/>
  <c r="C119" i="40"/>
  <c r="C118" i="40"/>
  <c r="A124" i="36"/>
  <c r="B123" i="36"/>
  <c r="O119" i="37"/>
  <c r="P118" i="37"/>
  <c r="Q118" i="37" s="1"/>
  <c r="O119" i="40"/>
  <c r="P118" i="40"/>
  <c r="Q118" i="40" s="1"/>
  <c r="K110" i="33"/>
  <c r="K109" i="33"/>
  <c r="G107" i="33"/>
  <c r="C112" i="27"/>
  <c r="G113" i="27"/>
  <c r="B132" i="40"/>
  <c r="A133" i="40"/>
  <c r="AG90" i="50"/>
  <c r="AA120" i="48"/>
  <c r="AO120" i="48" s="1"/>
  <c r="AP120" i="48" s="1"/>
  <c r="W120" i="48"/>
  <c r="AA119" i="48"/>
  <c r="AO119" i="48" s="1"/>
  <c r="AP119" i="48" s="1"/>
  <c r="W119" i="48"/>
  <c r="O119" i="45"/>
  <c r="P118" i="45"/>
  <c r="Q118" i="45" s="1"/>
  <c r="Y10" i="19"/>
  <c r="AF6" i="18"/>
  <c r="AF7" i="18" s="1"/>
  <c r="AF8" i="18" s="1"/>
  <c r="F74" i="47"/>
  <c r="J72" i="47"/>
  <c r="AG16" i="61"/>
  <c r="X19" i="68" s="1"/>
  <c r="C6" i="38"/>
  <c r="B16" i="23"/>
  <c r="AP16" i="23"/>
  <c r="Y110" i="30"/>
  <c r="Y109" i="30"/>
  <c r="AR94" i="36"/>
  <c r="F95" i="48"/>
  <c r="H92" i="48"/>
  <c r="H95" i="48" s="1"/>
  <c r="B136" i="38"/>
  <c r="A141" i="38"/>
  <c r="A137" i="38"/>
  <c r="O136" i="41"/>
  <c r="O132" i="41"/>
  <c r="P131" i="41"/>
  <c r="P122" i="39"/>
  <c r="O123" i="39"/>
  <c r="O120" i="29"/>
  <c r="P120" i="29" s="1"/>
  <c r="P119" i="29"/>
  <c r="AR94" i="30"/>
  <c r="H4" i="12"/>
  <c r="I4" i="12" s="1"/>
  <c r="D4" i="12"/>
  <c r="AR5" i="61"/>
  <c r="AI8" i="68" s="1"/>
  <c r="C17" i="49"/>
  <c r="AE94" i="49" s="1"/>
  <c r="AG94" i="49" s="1"/>
  <c r="B5" i="12"/>
  <c r="AP5" i="12"/>
  <c r="C119" i="28"/>
  <c r="C118" i="28"/>
  <c r="H72" i="45"/>
  <c r="Y105" i="31"/>
  <c r="Y104" i="31"/>
  <c r="AC124" i="29"/>
  <c r="AD124" i="29" s="1"/>
  <c r="AD123" i="29"/>
  <c r="AC128" i="29"/>
  <c r="Y105" i="37"/>
  <c r="Y104" i="37"/>
  <c r="B136" i="34"/>
  <c r="A141" i="34"/>
  <c r="A137" i="34"/>
  <c r="AA120" i="38"/>
  <c r="AO120" i="38" s="1"/>
  <c r="AP120" i="38" s="1"/>
  <c r="W120" i="38"/>
  <c r="AA119" i="38"/>
  <c r="AO119" i="38" s="1"/>
  <c r="AP119" i="38" s="1"/>
  <c r="W119" i="38"/>
  <c r="H14" i="22"/>
  <c r="I14" i="22" s="1"/>
  <c r="D14" i="22"/>
  <c r="F14" i="22" s="1"/>
  <c r="G14" i="22" s="1"/>
  <c r="Q114" i="30"/>
  <c r="Q112" i="30"/>
  <c r="AE64" i="44"/>
  <c r="AG64" i="44" s="1"/>
  <c r="D64" i="44"/>
  <c r="AE68" i="44"/>
  <c r="R63" i="44"/>
  <c r="R59" i="44"/>
  <c r="D77" i="44"/>
  <c r="B132" i="32"/>
  <c r="A133" i="32"/>
  <c r="F42" i="39"/>
  <c r="M109" i="48"/>
  <c r="I109" i="48"/>
  <c r="M110" i="48"/>
  <c r="I110" i="48"/>
  <c r="G109" i="48"/>
  <c r="AL125" i="39"/>
  <c r="AI122" i="39"/>
  <c r="AH124" i="39"/>
  <c r="AL124" i="39"/>
  <c r="AH125" i="39"/>
  <c r="A124" i="45"/>
  <c r="B123" i="45"/>
  <c r="AK12" i="61"/>
  <c r="AB15" i="68" s="1"/>
  <c r="C10" i="42"/>
  <c r="B12" i="19"/>
  <c r="AP12" i="19"/>
  <c r="AP12" i="53"/>
  <c r="B12" i="53"/>
  <c r="C107" i="36"/>
  <c r="G108" i="36"/>
  <c r="A120" i="37"/>
  <c r="B120" i="37" s="1"/>
  <c r="B119" i="37"/>
  <c r="O127" i="43"/>
  <c r="P126" i="43"/>
  <c r="O131" i="43"/>
  <c r="O124" i="29"/>
  <c r="P123" i="29"/>
  <c r="Q123" i="29" s="1"/>
  <c r="X13" i="23"/>
  <c r="AA13" i="23"/>
  <c r="AG13" i="23" s="1"/>
  <c r="A138" i="59"/>
  <c r="B138" i="59" s="1"/>
  <c r="B137" i="59"/>
  <c r="AC139" i="40"/>
  <c r="AD139" i="40" s="1"/>
  <c r="AD138" i="40"/>
  <c r="AC143" i="40"/>
  <c r="M115" i="35"/>
  <c r="I115" i="35"/>
  <c r="G114" i="35"/>
  <c r="M114" i="35"/>
  <c r="I114" i="35"/>
  <c r="M115" i="28"/>
  <c r="I115" i="28"/>
  <c r="G114" i="28"/>
  <c r="M114" i="28"/>
  <c r="I114" i="28"/>
  <c r="C118" i="38"/>
  <c r="C119" i="38"/>
  <c r="AC129" i="45"/>
  <c r="AD129" i="45" s="1"/>
  <c r="AD128" i="45"/>
  <c r="AC133" i="45"/>
  <c r="Y110" i="26"/>
  <c r="Y109" i="26"/>
  <c r="AA120" i="42"/>
  <c r="AO120" i="42" s="1"/>
  <c r="AP120" i="42" s="1"/>
  <c r="W120" i="42"/>
  <c r="W119" i="42"/>
  <c r="AA119" i="42"/>
  <c r="AO119" i="42" s="1"/>
  <c r="AP119" i="42" s="1"/>
  <c r="AE49" i="41"/>
  <c r="AG49" i="41" s="1"/>
  <c r="R48" i="41"/>
  <c r="AE53" i="41"/>
  <c r="D49" i="41"/>
  <c r="F49" i="41" s="1"/>
  <c r="H49" i="41" s="1"/>
  <c r="R44" i="41"/>
  <c r="R52" i="41"/>
  <c r="D57" i="41"/>
  <c r="X102" i="49"/>
  <c r="P114" i="37"/>
  <c r="O115" i="37"/>
  <c r="P115" i="37" s="1"/>
  <c r="J55" i="44"/>
  <c r="J54" i="44"/>
  <c r="AL119" i="29"/>
  <c r="AH119" i="29"/>
  <c r="AL120" i="29"/>
  <c r="AH120" i="29"/>
  <c r="AI117" i="29"/>
  <c r="A133" i="49"/>
  <c r="B132" i="49"/>
  <c r="AL125" i="26"/>
  <c r="AH125" i="26"/>
  <c r="AI122" i="26"/>
  <c r="AL124" i="26"/>
  <c r="AH124" i="26"/>
  <c r="A136" i="45"/>
  <c r="A132" i="45"/>
  <c r="B131" i="45"/>
  <c r="AG45" i="41"/>
  <c r="A143" i="59"/>
  <c r="B142" i="59"/>
  <c r="AA115" i="46"/>
  <c r="AO115" i="46" s="1"/>
  <c r="AP115" i="46" s="1"/>
  <c r="W115" i="46"/>
  <c r="AA114" i="46"/>
  <c r="AO114" i="46" s="1"/>
  <c r="AP114" i="46" s="1"/>
  <c r="W114" i="46"/>
  <c r="AI122" i="28"/>
  <c r="AL124" i="28"/>
  <c r="AH124" i="28"/>
  <c r="AL125" i="28"/>
  <c r="AH125" i="28"/>
  <c r="O127" i="31"/>
  <c r="P126" i="31"/>
  <c r="O131" i="31"/>
  <c r="R129" i="32"/>
  <c r="X127" i="32"/>
  <c r="O120" i="26"/>
  <c r="P120" i="26" s="1"/>
  <c r="P119" i="26"/>
  <c r="P123" i="30"/>
  <c r="Q123" i="30" s="1"/>
  <c r="O124" i="30"/>
  <c r="W120" i="47"/>
  <c r="AA119" i="47"/>
  <c r="AO119" i="47" s="1"/>
  <c r="AP119" i="47" s="1"/>
  <c r="AA120" i="47"/>
  <c r="AO120" i="47" s="1"/>
  <c r="AP120" i="47" s="1"/>
  <c r="W119" i="47"/>
  <c r="H57" i="43"/>
  <c r="AA9" i="53"/>
  <c r="X8" i="53"/>
  <c r="O123" i="33"/>
  <c r="P122" i="33"/>
  <c r="AH15" i="61"/>
  <c r="Y18" i="68" s="1"/>
  <c r="AP15" i="22"/>
  <c r="B15" i="22"/>
  <c r="C7" i="39"/>
  <c r="V97" i="50"/>
  <c r="T97" i="50"/>
  <c r="AJ13" i="61"/>
  <c r="AA16" i="68" s="1"/>
  <c r="C9" i="41"/>
  <c r="AP13" i="20"/>
  <c r="B13" i="20"/>
  <c r="AL11" i="61"/>
  <c r="AC14" i="68" s="1"/>
  <c r="B11" i="18"/>
  <c r="C11" i="43"/>
  <c r="D72" i="43" s="1"/>
  <c r="AP11" i="18"/>
  <c r="AA120" i="30"/>
  <c r="AO120" i="30" s="1"/>
  <c r="AP120" i="30" s="1"/>
  <c r="W120" i="30"/>
  <c r="AA119" i="30"/>
  <c r="AO119" i="30" s="1"/>
  <c r="AP119" i="30" s="1"/>
  <c r="W119" i="30"/>
  <c r="O132" i="48"/>
  <c r="P131" i="48"/>
  <c r="O136" i="48"/>
  <c r="P123" i="47"/>
  <c r="Q123" i="47" s="1"/>
  <c r="O124" i="47"/>
  <c r="AG34" i="39"/>
  <c r="AG35" i="39" s="1"/>
  <c r="AE35" i="39"/>
  <c r="AI34" i="39" s="1"/>
  <c r="AM34" i="39" s="1"/>
  <c r="AS34" i="39" s="1"/>
  <c r="AJ125" i="34"/>
  <c r="AJ124" i="34"/>
  <c r="H62" i="44"/>
  <c r="X107" i="42"/>
  <c r="R102" i="50"/>
  <c r="Y105" i="50"/>
  <c r="Y104" i="50"/>
  <c r="M115" i="40"/>
  <c r="I115" i="40"/>
  <c r="G114" i="40"/>
  <c r="M114" i="40"/>
  <c r="I114" i="40"/>
  <c r="AG83" i="48"/>
  <c r="Y105" i="28"/>
  <c r="Y104" i="28"/>
  <c r="AI40" i="41"/>
  <c r="B127" i="43"/>
  <c r="A128" i="43"/>
  <c r="AJ124" i="31"/>
  <c r="AJ125" i="31"/>
  <c r="A141" i="44"/>
  <c r="A137" i="44"/>
  <c r="B136" i="44"/>
  <c r="G108" i="26"/>
  <c r="C107" i="26"/>
  <c r="B152" i="59"/>
  <c r="A153" i="59"/>
  <c r="A158" i="59"/>
  <c r="AA120" i="41"/>
  <c r="AO120" i="41" s="1"/>
  <c r="AP120" i="41" s="1"/>
  <c r="W120" i="41"/>
  <c r="AA119" i="41"/>
  <c r="AO119" i="41" s="1"/>
  <c r="AP119" i="41" s="1"/>
  <c r="W119" i="41"/>
  <c r="A141" i="33"/>
  <c r="A137" i="33"/>
  <c r="B136" i="33"/>
  <c r="W114" i="39"/>
  <c r="W115" i="39"/>
  <c r="AA114" i="39"/>
  <c r="AO114" i="39" s="1"/>
  <c r="AP114" i="39" s="1"/>
  <c r="AA115" i="39"/>
  <c r="AO115" i="39" s="1"/>
  <c r="AP115" i="39" s="1"/>
  <c r="O123" i="45"/>
  <c r="P122" i="45"/>
  <c r="F97" i="48"/>
  <c r="AE63" i="43"/>
  <c r="AE59" i="43"/>
  <c r="AG59" i="43" s="1"/>
  <c r="R58" i="43"/>
  <c r="D59" i="43"/>
  <c r="R54" i="43"/>
  <c r="D63" i="43"/>
  <c r="F63" i="43" s="1"/>
  <c r="H63" i="43" s="1"/>
  <c r="R62" i="43"/>
  <c r="A120" i="46"/>
  <c r="B120" i="46" s="1"/>
  <c r="B119" i="46"/>
  <c r="O132" i="36"/>
  <c r="O136" i="36"/>
  <c r="P131" i="36"/>
  <c r="P126" i="46"/>
  <c r="O131" i="46"/>
  <c r="O127" i="46"/>
  <c r="Q107" i="50"/>
  <c r="Q109" i="50"/>
  <c r="AL125" i="36"/>
  <c r="AH125" i="36"/>
  <c r="AL124" i="36"/>
  <c r="AH124" i="36"/>
  <c r="AI122" i="36"/>
  <c r="O136" i="35"/>
  <c r="O132" i="35"/>
  <c r="P131" i="35"/>
  <c r="F89" i="50"/>
  <c r="J87" i="50"/>
  <c r="AE95" i="50"/>
  <c r="AI94" i="50" s="1"/>
  <c r="AG93" i="50"/>
  <c r="AG95" i="50" s="1"/>
  <c r="O144" i="32"/>
  <c r="P143" i="32"/>
  <c r="Q143" i="32" s="1"/>
  <c r="P122" i="49"/>
  <c r="O123" i="49"/>
  <c r="Y105" i="39"/>
  <c r="Y104" i="39"/>
  <c r="H5" i="13"/>
  <c r="I5" i="13" s="1"/>
  <c r="D5" i="13"/>
  <c r="F5" i="13" s="1"/>
  <c r="G5" i="13" s="1"/>
  <c r="AF4" i="15"/>
  <c r="H8" i="16"/>
  <c r="I8" i="16" s="1"/>
  <c r="D8" i="16"/>
  <c r="AG43" i="40"/>
  <c r="B127" i="30"/>
  <c r="A128" i="30"/>
  <c r="F69" i="46"/>
  <c r="J67" i="46"/>
  <c r="A133" i="47"/>
  <c r="B132" i="47"/>
  <c r="P118" i="49"/>
  <c r="Q118" i="49" s="1"/>
  <c r="O119" i="49"/>
  <c r="Q109" i="31"/>
  <c r="Q107" i="31"/>
  <c r="X102" i="44"/>
  <c r="C114" i="37"/>
  <c r="C113" i="37"/>
  <c r="F95" i="26"/>
  <c r="H92" i="26"/>
  <c r="H95" i="26" s="1"/>
  <c r="T39" i="41"/>
  <c r="T40" i="41" s="1"/>
  <c r="X39" i="41" s="1"/>
  <c r="AG48" i="41"/>
  <c r="H74" i="48"/>
  <c r="H75" i="48" s="1"/>
  <c r="J75" i="48" s="1"/>
  <c r="F75" i="48"/>
  <c r="J74" i="48" s="1"/>
  <c r="P122" i="43"/>
  <c r="O123" i="43"/>
  <c r="AC124" i="38"/>
  <c r="AD124" i="38" s="1"/>
  <c r="AD123" i="38"/>
  <c r="AC128" i="38"/>
  <c r="F54" i="43"/>
  <c r="J52" i="43"/>
  <c r="AC129" i="27"/>
  <c r="AD129" i="27" s="1"/>
  <c r="AD128" i="27"/>
  <c r="AC133" i="27"/>
  <c r="Y110" i="29"/>
  <c r="Y109" i="29"/>
  <c r="O132" i="26"/>
  <c r="P131" i="26"/>
  <c r="O136" i="26"/>
  <c r="AJ120" i="41"/>
  <c r="AJ119" i="41"/>
  <c r="B132" i="35"/>
  <c r="A133" i="35"/>
  <c r="M114" i="42"/>
  <c r="I114" i="42"/>
  <c r="M115" i="42"/>
  <c r="I115" i="42"/>
  <c r="G114" i="42"/>
  <c r="A125" i="44"/>
  <c r="B125" i="44" s="1"/>
  <c r="B124" i="44"/>
  <c r="Y105" i="27"/>
  <c r="Y104" i="27"/>
  <c r="AA115" i="45"/>
  <c r="AO115" i="45" s="1"/>
  <c r="AP115" i="45" s="1"/>
  <c r="W114" i="45"/>
  <c r="W115" i="45"/>
  <c r="AA114" i="45"/>
  <c r="AO114" i="45" s="1"/>
  <c r="AP114" i="45" s="1"/>
  <c r="AE34" i="38"/>
  <c r="D38" i="38"/>
  <c r="R33" i="38"/>
  <c r="AE38" i="38"/>
  <c r="R37" i="38"/>
  <c r="D42" i="38"/>
  <c r="Y12" i="21"/>
  <c r="P126" i="34"/>
  <c r="O131" i="34"/>
  <c r="O127" i="34"/>
  <c r="AC133" i="30"/>
  <c r="AC129" i="30"/>
  <c r="AD129" i="30" s="1"/>
  <c r="AD128" i="30"/>
  <c r="K109" i="29"/>
  <c r="G107" i="29"/>
  <c r="K110" i="29"/>
  <c r="I110" i="39"/>
  <c r="I109" i="39"/>
  <c r="M110" i="39"/>
  <c r="M109" i="39"/>
  <c r="G109" i="39"/>
  <c r="AC124" i="44"/>
  <c r="AD124" i="44" s="1"/>
  <c r="AD123" i="44"/>
  <c r="AC128" i="44"/>
  <c r="A125" i="40"/>
  <c r="B125" i="40" s="1"/>
  <c r="B124" i="40"/>
  <c r="AL125" i="48"/>
  <c r="AH125" i="48"/>
  <c r="AI122" i="48"/>
  <c r="AL124" i="48"/>
  <c r="AH124" i="48"/>
  <c r="A124" i="43"/>
  <c r="B123" i="43"/>
  <c r="O115" i="43"/>
  <c r="P115" i="43" s="1"/>
  <c r="P114" i="43"/>
  <c r="O123" i="37"/>
  <c r="P122" i="37"/>
  <c r="B127" i="39"/>
  <c r="A128" i="39"/>
  <c r="C118" i="41"/>
  <c r="C119" i="41"/>
  <c r="P126" i="50"/>
  <c r="O131" i="50"/>
  <c r="O127" i="50"/>
  <c r="AL119" i="35"/>
  <c r="AH119" i="35"/>
  <c r="AL120" i="35"/>
  <c r="AH120" i="35"/>
  <c r="AI117" i="35"/>
  <c r="A129" i="33"/>
  <c r="B128" i="33"/>
  <c r="B127" i="48"/>
  <c r="A128" i="48"/>
  <c r="A141" i="27"/>
  <c r="A137" i="27"/>
  <c r="B136" i="27"/>
  <c r="O115" i="33"/>
  <c r="P115" i="33" s="1"/>
  <c r="P114" i="33"/>
  <c r="A125" i="41"/>
  <c r="B125" i="41" s="1"/>
  <c r="B124" i="41"/>
  <c r="F10" i="19"/>
  <c r="Q109" i="44"/>
  <c r="Q107" i="44"/>
  <c r="AF13" i="24"/>
  <c r="AV9" i="17"/>
  <c r="Q109" i="33"/>
  <c r="Q107" i="33"/>
  <c r="A129" i="47"/>
  <c r="B128" i="47"/>
  <c r="X107" i="35"/>
  <c r="Q112" i="41"/>
  <c r="Q114" i="41"/>
  <c r="AG63" i="44"/>
  <c r="X102" i="43"/>
  <c r="G102" i="48"/>
  <c r="K105" i="48"/>
  <c r="D102" i="48"/>
  <c r="K104" i="48"/>
  <c r="H42" i="40"/>
  <c r="B132" i="50"/>
  <c r="A133" i="50"/>
  <c r="K104" i="45"/>
  <c r="G102" i="45"/>
  <c r="K105" i="45"/>
  <c r="A120" i="26"/>
  <c r="B120" i="26" s="1"/>
  <c r="B119" i="26"/>
  <c r="Y13" i="22"/>
  <c r="AA115" i="34"/>
  <c r="AO115" i="34" s="1"/>
  <c r="AP115" i="34" s="1"/>
  <c r="W115" i="34"/>
  <c r="AA114" i="34"/>
  <c r="AO114" i="34" s="1"/>
  <c r="AP114" i="34" s="1"/>
  <c r="W114" i="34"/>
  <c r="J77" i="48"/>
  <c r="AL125" i="33"/>
  <c r="AH125" i="33"/>
  <c r="AI122" i="33"/>
  <c r="AL124" i="33"/>
  <c r="AH124" i="33"/>
  <c r="X107" i="48"/>
  <c r="Y11" i="20"/>
  <c r="Q107" i="34"/>
  <c r="Q109" i="34"/>
  <c r="M114" i="33"/>
  <c r="I114" i="33"/>
  <c r="M115" i="33"/>
  <c r="I115" i="33"/>
  <c r="G114" i="33"/>
  <c r="F77" i="45"/>
  <c r="F64" i="45"/>
  <c r="J62" i="45"/>
  <c r="J60" i="44"/>
  <c r="A129" i="29"/>
  <c r="B128" i="29"/>
  <c r="AC149" i="46"/>
  <c r="AD149" i="46" s="1"/>
  <c r="AD148" i="46"/>
  <c r="F95" i="43"/>
  <c r="H92" i="43"/>
  <c r="H95" i="43" s="1"/>
  <c r="AP7" i="61"/>
  <c r="AG10" i="68" s="1"/>
  <c r="C15" i="47"/>
  <c r="B7" i="14"/>
  <c r="AP7" i="14"/>
  <c r="AA115" i="49"/>
  <c r="AO115" i="49" s="1"/>
  <c r="W115" i="49"/>
  <c r="AA114" i="49"/>
  <c r="AO114" i="49" s="1"/>
  <c r="W114" i="49"/>
  <c r="AC154" i="59"/>
  <c r="AC149" i="59"/>
  <c r="AD149" i="59" s="1"/>
  <c r="AD148" i="59"/>
  <c r="AC129" i="37"/>
  <c r="AD129" i="37" s="1"/>
  <c r="AD128" i="37"/>
  <c r="AC133" i="37"/>
  <c r="P127" i="42"/>
  <c r="O128" i="42"/>
  <c r="X107" i="36"/>
  <c r="F57" i="42"/>
  <c r="M126" i="59"/>
  <c r="G125" i="59"/>
  <c r="M125" i="59"/>
  <c r="Q114" i="26"/>
  <c r="Q112" i="26"/>
  <c r="M115" i="32"/>
  <c r="I115" i="32"/>
  <c r="G114" i="32"/>
  <c r="I114" i="32"/>
  <c r="M114" i="32"/>
  <c r="J47" i="42"/>
  <c r="AV7" i="15"/>
  <c r="Y7" i="15"/>
  <c r="AA115" i="44"/>
  <c r="AO115" i="44" s="1"/>
  <c r="AP115" i="44" s="1"/>
  <c r="W115" i="44"/>
  <c r="AA114" i="44"/>
  <c r="AO114" i="44" s="1"/>
  <c r="AP114" i="44" s="1"/>
  <c r="W114" i="44"/>
  <c r="O123" i="28"/>
  <c r="P122" i="28"/>
  <c r="O119" i="50"/>
  <c r="P118" i="50"/>
  <c r="Q118" i="50" s="1"/>
  <c r="A125" i="38"/>
  <c r="B125" i="38" s="1"/>
  <c r="B124" i="38"/>
  <c r="M114" i="27"/>
  <c r="I114" i="27"/>
  <c r="M115" i="27"/>
  <c r="I115" i="27"/>
  <c r="G114" i="27"/>
  <c r="B136" i="40"/>
  <c r="A141" i="40"/>
  <c r="A137" i="40"/>
  <c r="G102" i="26"/>
  <c r="K105" i="26"/>
  <c r="K104" i="26"/>
  <c r="AE90" i="50"/>
  <c r="AI89" i="50" s="1"/>
  <c r="X6" i="17"/>
  <c r="AC129" i="42"/>
  <c r="AD129" i="42" s="1"/>
  <c r="AD128" i="42"/>
  <c r="AC133" i="42"/>
  <c r="V64" i="47"/>
  <c r="V65" i="47" s="1"/>
  <c r="T64" i="47"/>
  <c r="T65" i="47" s="1"/>
  <c r="X64" i="47" s="1"/>
  <c r="H15" i="23"/>
  <c r="I15" i="23" s="1"/>
  <c r="D15" i="23"/>
  <c r="F15" i="23" s="1"/>
  <c r="G15" i="23" s="1"/>
  <c r="G107" i="42"/>
  <c r="K110" i="42"/>
  <c r="K109" i="42"/>
  <c r="X107" i="30"/>
  <c r="AF5" i="17"/>
  <c r="AF6" i="17" s="1"/>
  <c r="P126" i="39"/>
  <c r="O131" i="39"/>
  <c r="O127" i="39"/>
  <c r="AF9" i="19"/>
  <c r="X102" i="40"/>
  <c r="G107" i="32"/>
  <c r="K109" i="32"/>
  <c r="K110" i="32"/>
  <c r="O127" i="44"/>
  <c r="P126" i="44"/>
  <c r="O131" i="44"/>
  <c r="K109" i="35"/>
  <c r="G107" i="35"/>
  <c r="K110" i="35"/>
  <c r="Z23" i="48" l="1"/>
  <c r="Z10" i="46"/>
  <c r="Z10" i="45"/>
  <c r="L64" i="48"/>
  <c r="N64" i="48" s="1"/>
  <c r="AQ64" i="48" s="1"/>
  <c r="AK59" i="48"/>
  <c r="AM59" i="48" s="1"/>
  <c r="AS59" i="48" s="1"/>
  <c r="Z59" i="48"/>
  <c r="AB59" i="48" s="1"/>
  <c r="I171" i="66"/>
  <c r="J87" i="66"/>
  <c r="B87" i="65" s="1"/>
  <c r="V23" i="47"/>
  <c r="Z22" i="47" s="1"/>
  <c r="Z23" i="47" s="1"/>
  <c r="AP59" i="48"/>
  <c r="AP64" i="46"/>
  <c r="AP34" i="46"/>
  <c r="AT34" i="46" s="1"/>
  <c r="D5" i="46" s="1"/>
  <c r="L55" i="47"/>
  <c r="N55" i="47" s="1"/>
  <c r="AQ55" i="47" s="1"/>
  <c r="Z45" i="47"/>
  <c r="AB45" i="47" s="1"/>
  <c r="AR44" i="47" s="1"/>
  <c r="AK45" i="47"/>
  <c r="AM45" i="47" s="1"/>
  <c r="AS45" i="47" s="1"/>
  <c r="L50" i="47"/>
  <c r="N50" i="47" s="1"/>
  <c r="AQ50" i="47" s="1"/>
  <c r="Z50" i="47"/>
  <c r="AB50" i="47" s="1"/>
  <c r="AR50" i="47" s="1"/>
  <c r="AR45" i="47"/>
  <c r="AP65" i="47"/>
  <c r="J39" i="40"/>
  <c r="N39" i="40" s="1"/>
  <c r="AQ39" i="40" s="1"/>
  <c r="J40" i="40"/>
  <c r="N40" i="40" s="1"/>
  <c r="AQ40" i="40" s="1"/>
  <c r="T93" i="50"/>
  <c r="D147" i="66"/>
  <c r="L172" i="66"/>
  <c r="D72" i="66"/>
  <c r="A72" i="66" s="1"/>
  <c r="Z44" i="44"/>
  <c r="AB44" i="44" s="1"/>
  <c r="AR44" i="44" s="1"/>
  <c r="AT44" i="44" s="1"/>
  <c r="D7" i="44" s="1"/>
  <c r="AK49" i="44" s="1"/>
  <c r="AM49" i="44" s="1"/>
  <c r="AS49" i="44" s="1"/>
  <c r="L54" i="44"/>
  <c r="Z49" i="44"/>
  <c r="AB49" i="44" s="1"/>
  <c r="AI80" i="48"/>
  <c r="V72" i="45"/>
  <c r="L49" i="44"/>
  <c r="N49" i="44" s="1"/>
  <c r="AQ49" i="44" s="1"/>
  <c r="AJ10" i="49"/>
  <c r="AI75" i="47"/>
  <c r="J59" i="44"/>
  <c r="L66" i="66"/>
  <c r="I66" i="66" s="1"/>
  <c r="AA6" i="15"/>
  <c r="AG6" i="15" s="1"/>
  <c r="V49" i="42"/>
  <c r="V50" i="42" s="1"/>
  <c r="J92" i="50"/>
  <c r="V69" i="47"/>
  <c r="V70" i="47" s="1"/>
  <c r="AL8" i="46"/>
  <c r="D53" i="65"/>
  <c r="A53" i="65" s="1"/>
  <c r="I53" i="66"/>
  <c r="J53" i="66"/>
  <c r="B53" i="65" s="1"/>
  <c r="A49" i="66"/>
  <c r="B49" i="66"/>
  <c r="I113" i="66"/>
  <c r="D113" i="65"/>
  <c r="J113" i="66"/>
  <c r="B113" i="65" s="1"/>
  <c r="D105" i="66"/>
  <c r="L114" i="66"/>
  <c r="A104" i="66"/>
  <c r="B104" i="66"/>
  <c r="AJ10" i="48"/>
  <c r="Y6" i="14"/>
  <c r="L5" i="45"/>
  <c r="J172" i="66"/>
  <c r="B172" i="65" s="1"/>
  <c r="I172" i="66"/>
  <c r="D172" i="65"/>
  <c r="B68" i="66"/>
  <c r="A68" i="66"/>
  <c r="D43" i="66"/>
  <c r="L46" i="66"/>
  <c r="I31" i="66"/>
  <c r="D31" i="65"/>
  <c r="A31" i="65" s="1"/>
  <c r="J31" i="66"/>
  <c r="B31" i="65" s="1"/>
  <c r="B147" i="66"/>
  <c r="A147" i="66"/>
  <c r="D82" i="66"/>
  <c r="L88" i="66"/>
  <c r="B29" i="66"/>
  <c r="A29" i="66"/>
  <c r="J45" i="66"/>
  <c r="B45" i="65" s="1"/>
  <c r="D45" i="65"/>
  <c r="A45" i="65" s="1"/>
  <c r="I45" i="66"/>
  <c r="D69" i="66"/>
  <c r="L74" i="66"/>
  <c r="P15" i="44"/>
  <c r="P16" i="44" s="1"/>
  <c r="N18" i="44" s="1"/>
  <c r="L4" i="44" s="1"/>
  <c r="AP59" i="44" s="1"/>
  <c r="D73" i="65"/>
  <c r="A73" i="65" s="1"/>
  <c r="I73" i="66"/>
  <c r="J73" i="66"/>
  <c r="B73" i="65" s="1"/>
  <c r="B42" i="66"/>
  <c r="A42" i="66"/>
  <c r="D93" i="66"/>
  <c r="L98" i="66"/>
  <c r="L198" i="66"/>
  <c r="D55" i="66"/>
  <c r="L58" i="66"/>
  <c r="D74" i="66"/>
  <c r="L78" i="66"/>
  <c r="L158" i="66"/>
  <c r="L138" i="66"/>
  <c r="Z10" i="41"/>
  <c r="D37" i="65"/>
  <c r="A37" i="65" s="1"/>
  <c r="I37" i="66"/>
  <c r="J37" i="66"/>
  <c r="B37" i="65" s="1"/>
  <c r="N23" i="41"/>
  <c r="V87" i="48"/>
  <c r="T87" i="48"/>
  <c r="D57" i="65"/>
  <c r="I57" i="66"/>
  <c r="J57" i="66"/>
  <c r="B57" i="65" s="1"/>
  <c r="AJ3" i="41"/>
  <c r="X26" i="41"/>
  <c r="D137" i="65"/>
  <c r="J137" i="66"/>
  <c r="B137" i="65" s="1"/>
  <c r="I137" i="66"/>
  <c r="CS98" i="61"/>
  <c r="D17" i="66"/>
  <c r="L18" i="66"/>
  <c r="V22" i="46"/>
  <c r="X22" i="46"/>
  <c r="X15" i="47"/>
  <c r="X16" i="47" s="1"/>
  <c r="Z16" i="47" s="1"/>
  <c r="V16" i="47"/>
  <c r="Z15" i="47" s="1"/>
  <c r="B35" i="66"/>
  <c r="A35" i="66"/>
  <c r="P15" i="41"/>
  <c r="P16" i="41" s="1"/>
  <c r="N19" i="41" s="1"/>
  <c r="D17" i="65"/>
  <c r="A17" i="65" s="1"/>
  <c r="J17" i="66"/>
  <c r="B17" i="65" s="1"/>
  <c r="I17" i="66"/>
  <c r="B54" i="66"/>
  <c r="A54" i="66"/>
  <c r="V3" i="41"/>
  <c r="V5" i="41" s="1"/>
  <c r="Z4" i="41" s="1"/>
  <c r="AD4" i="41" s="1"/>
  <c r="X3" i="41"/>
  <c r="X5" i="41" s="1"/>
  <c r="R49" i="41"/>
  <c r="T49" i="41" s="1"/>
  <c r="AJ14" i="41"/>
  <c r="AH4" i="41"/>
  <c r="AJ4" i="41" s="1"/>
  <c r="AL4" i="41" s="1"/>
  <c r="T21" i="41"/>
  <c r="V27" i="41"/>
  <c r="X27" i="41" s="1"/>
  <c r="AH8" i="41"/>
  <c r="T15" i="41"/>
  <c r="R89" i="50"/>
  <c r="D103" i="50"/>
  <c r="F103" i="50" s="1"/>
  <c r="H103" i="50" s="1"/>
  <c r="CR99" i="61"/>
  <c r="D36" i="66"/>
  <c r="L38" i="66"/>
  <c r="D77" i="65"/>
  <c r="A77" i="65" s="1"/>
  <c r="I77" i="66"/>
  <c r="J77" i="66"/>
  <c r="B77" i="65" s="1"/>
  <c r="B16" i="66"/>
  <c r="A16" i="66"/>
  <c r="D97" i="65"/>
  <c r="I97" i="66"/>
  <c r="J97" i="66"/>
  <c r="B97" i="65" s="1"/>
  <c r="D197" i="65"/>
  <c r="J197" i="66"/>
  <c r="B197" i="65" s="1"/>
  <c r="I197" i="66"/>
  <c r="AH10" i="47"/>
  <c r="AL10" i="47" s="1"/>
  <c r="R87" i="47"/>
  <c r="D97" i="47"/>
  <c r="F97" i="47" s="1"/>
  <c r="R97" i="48"/>
  <c r="D98" i="48"/>
  <c r="F98" i="48" s="1"/>
  <c r="H98" i="48" s="1"/>
  <c r="AH4" i="44"/>
  <c r="AJ4" i="44" s="1"/>
  <c r="AH8" i="44"/>
  <c r="AJ8" i="45"/>
  <c r="AL8" i="45"/>
  <c r="B92" i="66"/>
  <c r="A92" i="66"/>
  <c r="V20" i="41"/>
  <c r="X20" i="41"/>
  <c r="AL11" i="50"/>
  <c r="AP60" i="45"/>
  <c r="Z28" i="47"/>
  <c r="N23" i="44"/>
  <c r="AN16" i="48"/>
  <c r="X28" i="45"/>
  <c r="V10" i="43"/>
  <c r="Z9" i="43" s="1"/>
  <c r="X10" i="43"/>
  <c r="N19" i="46"/>
  <c r="L5" i="46" s="1"/>
  <c r="CF111" i="61"/>
  <c r="CH109" i="61"/>
  <c r="CN103" i="61"/>
  <c r="X4" i="47"/>
  <c r="X5" i="47" s="1"/>
  <c r="V4" i="47"/>
  <c r="V5" i="47" s="1"/>
  <c r="Z4" i="47" s="1"/>
  <c r="V4" i="45"/>
  <c r="V5" i="45" s="1"/>
  <c r="Z4" i="45" s="1"/>
  <c r="X4" i="45"/>
  <c r="X5" i="45" s="1"/>
  <c r="V15" i="46"/>
  <c r="Z13" i="46"/>
  <c r="X20" i="43"/>
  <c r="V20" i="43"/>
  <c r="X26" i="43"/>
  <c r="AJ3" i="42"/>
  <c r="X10" i="42"/>
  <c r="AL16" i="47"/>
  <c r="A172" i="65"/>
  <c r="AJ11" i="48"/>
  <c r="AN10" i="48" s="1"/>
  <c r="CK106" i="61"/>
  <c r="CI108" i="61"/>
  <c r="CG110" i="61"/>
  <c r="D67" i="42"/>
  <c r="F67" i="42" s="1"/>
  <c r="H67" i="42" s="1"/>
  <c r="AJ14" i="42"/>
  <c r="T4" i="42"/>
  <c r="V27" i="42"/>
  <c r="X27" i="42" s="1"/>
  <c r="T15" i="42"/>
  <c r="V15" i="42" s="1"/>
  <c r="X15" i="42" s="1"/>
  <c r="AH4" i="42"/>
  <c r="AJ4" i="42" s="1"/>
  <c r="AL4" i="42" s="1"/>
  <c r="AH8" i="42"/>
  <c r="T21" i="42"/>
  <c r="R72" i="44"/>
  <c r="T72" i="44" s="1"/>
  <c r="AJ14" i="44"/>
  <c r="T4" i="44"/>
  <c r="T21" i="44"/>
  <c r="V27" i="44"/>
  <c r="X27" i="44" s="1"/>
  <c r="T15" i="44"/>
  <c r="AJ15" i="45"/>
  <c r="AL15" i="45" s="1"/>
  <c r="AH9" i="45"/>
  <c r="AH5" i="45"/>
  <c r="N18" i="45"/>
  <c r="L4" i="45" s="1"/>
  <c r="N23" i="43"/>
  <c r="AJ9" i="47"/>
  <c r="AL9" i="47"/>
  <c r="X21" i="45"/>
  <c r="V21" i="45"/>
  <c r="AL14" i="45"/>
  <c r="V21" i="46"/>
  <c r="X21" i="46"/>
  <c r="X23" i="46" s="1"/>
  <c r="AJ3" i="43"/>
  <c r="V28" i="42"/>
  <c r="Z27" i="42" s="1"/>
  <c r="X26" i="42"/>
  <c r="V10" i="42"/>
  <c r="Z9" i="42" s="1"/>
  <c r="AL11" i="48"/>
  <c r="P15" i="42"/>
  <c r="P16" i="42" s="1"/>
  <c r="N19" i="42" s="1"/>
  <c r="Z5" i="48"/>
  <c r="A94" i="65"/>
  <c r="V20" i="44"/>
  <c r="X20" i="44"/>
  <c r="X13" i="43"/>
  <c r="CO102" i="61"/>
  <c r="CJ107" i="61"/>
  <c r="CQ100" i="61"/>
  <c r="CE112" i="61"/>
  <c r="CP101" i="61"/>
  <c r="CL105" i="61"/>
  <c r="CM104" i="61"/>
  <c r="AL14" i="46"/>
  <c r="A107" i="65"/>
  <c r="V3" i="42"/>
  <c r="X3" i="42"/>
  <c r="A68" i="65"/>
  <c r="X13" i="44"/>
  <c r="P15" i="43"/>
  <c r="X3" i="44"/>
  <c r="V3" i="44"/>
  <c r="V28" i="46"/>
  <c r="Z27" i="46" s="1"/>
  <c r="V10" i="44"/>
  <c r="Z9" i="44" s="1"/>
  <c r="AL5" i="48"/>
  <c r="AL6" i="48" s="1"/>
  <c r="AN6" i="48" s="1"/>
  <c r="AJ6" i="48"/>
  <c r="AN5" i="48" s="1"/>
  <c r="A55" i="65"/>
  <c r="AJ14" i="43"/>
  <c r="T21" i="43"/>
  <c r="AH8" i="43"/>
  <c r="V27" i="43"/>
  <c r="X27" i="43" s="1"/>
  <c r="AH4" i="43"/>
  <c r="AJ4" i="43" s="1"/>
  <c r="AL4" i="43" s="1"/>
  <c r="T15" i="43"/>
  <c r="V15" i="43" s="1"/>
  <c r="X15" i="43" s="1"/>
  <c r="T4" i="43"/>
  <c r="R69" i="46"/>
  <c r="T69" i="46" s="1"/>
  <c r="T70" i="46" s="1"/>
  <c r="X69" i="46" s="1"/>
  <c r="AH9" i="46"/>
  <c r="AJ15" i="46"/>
  <c r="AL15" i="46" s="1"/>
  <c r="AH5" i="46"/>
  <c r="T4" i="46"/>
  <c r="V28" i="45"/>
  <c r="Z27" i="45" s="1"/>
  <c r="AJ5" i="47"/>
  <c r="AN3" i="47"/>
  <c r="V15" i="45"/>
  <c r="Z13" i="45"/>
  <c r="V3" i="43"/>
  <c r="X3" i="43"/>
  <c r="X20" i="42"/>
  <c r="V20" i="42"/>
  <c r="X13" i="42"/>
  <c r="AJ16" i="47"/>
  <c r="AN15" i="47" s="1"/>
  <c r="A29" i="65"/>
  <c r="X26" i="44"/>
  <c r="X28" i="46"/>
  <c r="X10" i="44"/>
  <c r="N23" i="42"/>
  <c r="AI50" i="42"/>
  <c r="AG45" i="40"/>
  <c r="AI40" i="40"/>
  <c r="AE45" i="40"/>
  <c r="AI44" i="40" s="1"/>
  <c r="AJ11" i="50"/>
  <c r="AN10" i="50" s="1"/>
  <c r="X85" i="50"/>
  <c r="X50" i="43"/>
  <c r="AN6" i="49"/>
  <c r="AN5" i="49"/>
  <c r="N55" i="44"/>
  <c r="AQ55" i="44" s="1"/>
  <c r="AN16" i="49"/>
  <c r="Z23" i="49"/>
  <c r="AL11" i="49"/>
  <c r="AJ11" i="49"/>
  <c r="AN10" i="49" s="1"/>
  <c r="AG85" i="48"/>
  <c r="Y9" i="17"/>
  <c r="AA9" i="17" s="1"/>
  <c r="AI45" i="41"/>
  <c r="T50" i="42"/>
  <c r="X49" i="42" s="1"/>
  <c r="R32" i="36"/>
  <c r="D37" i="36"/>
  <c r="F37" i="36" s="1"/>
  <c r="H37" i="36" s="1"/>
  <c r="AE33" i="36"/>
  <c r="AG33" i="36" s="1"/>
  <c r="AV18" i="25"/>
  <c r="AE19" i="61"/>
  <c r="V22" i="68" s="1"/>
  <c r="C4" i="35"/>
  <c r="AP19" i="25"/>
  <c r="B19" i="25"/>
  <c r="AG15" i="25"/>
  <c r="T32" i="37"/>
  <c r="V32" i="37"/>
  <c r="D18" i="25"/>
  <c r="F18" i="25" s="1"/>
  <c r="G18" i="25" s="1"/>
  <c r="H18" i="25"/>
  <c r="I18" i="25" s="1"/>
  <c r="Z60" i="48"/>
  <c r="AB60" i="48" s="1"/>
  <c r="L65" i="48"/>
  <c r="N65" i="48" s="1"/>
  <c r="AQ65" i="48" s="1"/>
  <c r="AI65" i="45"/>
  <c r="AR94" i="43"/>
  <c r="AR95" i="31"/>
  <c r="AE90" i="49"/>
  <c r="AI89" i="49" s="1"/>
  <c r="N54" i="44"/>
  <c r="AQ54" i="44" s="1"/>
  <c r="D73" i="44"/>
  <c r="F73" i="44" s="1"/>
  <c r="H73" i="44" s="1"/>
  <c r="AE40" i="39"/>
  <c r="AI39" i="39" s="1"/>
  <c r="Y8" i="16"/>
  <c r="Y11" i="53"/>
  <c r="AA11" i="53" s="1"/>
  <c r="AG11" i="53" s="1"/>
  <c r="AG90" i="49"/>
  <c r="X6" i="16"/>
  <c r="X14" i="24"/>
  <c r="X7" i="17"/>
  <c r="AR50" i="44"/>
  <c r="AR95" i="49"/>
  <c r="AR60" i="49"/>
  <c r="AT60" i="49" s="1"/>
  <c r="E10" i="49" s="1"/>
  <c r="AR59" i="49"/>
  <c r="AT59" i="49" s="1"/>
  <c r="D10" i="49" s="1"/>
  <c r="X70" i="47"/>
  <c r="X80" i="49"/>
  <c r="R84" i="48"/>
  <c r="AE103" i="50"/>
  <c r="D99" i="50"/>
  <c r="AE99" i="50"/>
  <c r="R98" i="50"/>
  <c r="D94" i="49"/>
  <c r="J92" i="49" s="1"/>
  <c r="R77" i="45"/>
  <c r="D82" i="45"/>
  <c r="F82" i="45" s="1"/>
  <c r="V47" i="39"/>
  <c r="T47" i="39"/>
  <c r="T67" i="44"/>
  <c r="V67" i="44"/>
  <c r="R79" i="47"/>
  <c r="D88" i="47"/>
  <c r="F88" i="47" s="1"/>
  <c r="H88" i="47" s="1"/>
  <c r="H89" i="50"/>
  <c r="H90" i="50" s="1"/>
  <c r="F90" i="50"/>
  <c r="R93" i="49"/>
  <c r="V93" i="49" s="1"/>
  <c r="AE98" i="49"/>
  <c r="AG98" i="49" s="1"/>
  <c r="H84" i="49"/>
  <c r="H85" i="49" s="1"/>
  <c r="F85" i="49"/>
  <c r="H87" i="47"/>
  <c r="H82" i="46"/>
  <c r="V84" i="49"/>
  <c r="V85" i="49" s="1"/>
  <c r="T84" i="49"/>
  <c r="T85" i="49" s="1"/>
  <c r="X84" i="49" s="1"/>
  <c r="H68" i="44"/>
  <c r="H54" i="43"/>
  <c r="H55" i="43" s="1"/>
  <c r="J55" i="43" s="1"/>
  <c r="F55" i="43"/>
  <c r="D68" i="43"/>
  <c r="F68" i="43" s="1"/>
  <c r="R67" i="43"/>
  <c r="R47" i="38"/>
  <c r="D52" i="38"/>
  <c r="F52" i="38" s="1"/>
  <c r="R39" i="40"/>
  <c r="T39" i="40" s="1"/>
  <c r="T40" i="40" s="1"/>
  <c r="X39" i="40" s="1"/>
  <c r="D53" i="40"/>
  <c r="F53" i="40" s="1"/>
  <c r="T82" i="47"/>
  <c r="V82" i="47"/>
  <c r="T77" i="46"/>
  <c r="V77" i="46"/>
  <c r="H88" i="48"/>
  <c r="H69" i="46"/>
  <c r="H70" i="46" s="1"/>
  <c r="F70" i="46"/>
  <c r="J69" i="46" s="1"/>
  <c r="D83" i="46"/>
  <c r="F83" i="46" s="1"/>
  <c r="H83" i="46" s="1"/>
  <c r="R82" i="46"/>
  <c r="D87" i="46"/>
  <c r="F87" i="46" s="1"/>
  <c r="X15" i="50"/>
  <c r="X16" i="50" s="1"/>
  <c r="Z16" i="50" s="1"/>
  <c r="V16" i="50"/>
  <c r="Z15" i="50" s="1"/>
  <c r="AR49" i="44"/>
  <c r="H52" i="39"/>
  <c r="T79" i="48"/>
  <c r="T80" i="48" s="1"/>
  <c r="X79" i="48" s="1"/>
  <c r="V79" i="48"/>
  <c r="V80" i="48" s="1"/>
  <c r="H53" i="41"/>
  <c r="AA15" i="24"/>
  <c r="AI60" i="44"/>
  <c r="AM60" i="44" s="1"/>
  <c r="AS60" i="44" s="1"/>
  <c r="AR94" i="50"/>
  <c r="AR95" i="50"/>
  <c r="AG50" i="41"/>
  <c r="AE50" i="41"/>
  <c r="AI49" i="41" s="1"/>
  <c r="AG40" i="39"/>
  <c r="Z23" i="50"/>
  <c r="AR94" i="33"/>
  <c r="P15" i="50"/>
  <c r="P16" i="50" s="1"/>
  <c r="N18" i="50" s="1"/>
  <c r="L4" i="50" s="1"/>
  <c r="Z5" i="50"/>
  <c r="N23" i="50"/>
  <c r="AL5" i="50"/>
  <c r="AL6" i="50" s="1"/>
  <c r="AN6" i="50" s="1"/>
  <c r="AJ6" i="50"/>
  <c r="AN5" i="50" s="1"/>
  <c r="Z28" i="50"/>
  <c r="Z10" i="50"/>
  <c r="AN16" i="50"/>
  <c r="AE65" i="44"/>
  <c r="AI64" i="44" s="1"/>
  <c r="J47" i="41"/>
  <c r="AG65" i="44"/>
  <c r="AI85" i="49"/>
  <c r="AR95" i="34"/>
  <c r="AI55" i="43"/>
  <c r="AR95" i="28"/>
  <c r="H45" i="40"/>
  <c r="N44" i="42"/>
  <c r="AQ44" i="42" s="1"/>
  <c r="AE80" i="47"/>
  <c r="AI79" i="47" s="1"/>
  <c r="F45" i="40"/>
  <c r="AE85" i="48"/>
  <c r="AI84" i="48" s="1"/>
  <c r="N45" i="42"/>
  <c r="AQ45" i="42" s="1"/>
  <c r="J42" i="40"/>
  <c r="X55" i="44"/>
  <c r="X45" i="42"/>
  <c r="AR94" i="39"/>
  <c r="Y12" i="20"/>
  <c r="AA12" i="20" s="1"/>
  <c r="AG12" i="20" s="1"/>
  <c r="AI95" i="50"/>
  <c r="X75" i="48"/>
  <c r="X125" i="32"/>
  <c r="AB125" i="32" s="1"/>
  <c r="AR125" i="32" s="1"/>
  <c r="AA6" i="14"/>
  <c r="AG6" i="14" s="1"/>
  <c r="AD154" i="59"/>
  <c r="AC160" i="59"/>
  <c r="AC155" i="59"/>
  <c r="AD155" i="59" s="1"/>
  <c r="Y110" i="34"/>
  <c r="Y109" i="34"/>
  <c r="O132" i="44"/>
  <c r="P131" i="44"/>
  <c r="O136" i="44"/>
  <c r="X65" i="47"/>
  <c r="AL129" i="42"/>
  <c r="AH129" i="42"/>
  <c r="AL130" i="42"/>
  <c r="AH130" i="42"/>
  <c r="AI127" i="42"/>
  <c r="B137" i="40"/>
  <c r="A138" i="40"/>
  <c r="AA120" i="50"/>
  <c r="AO120" i="50" s="1"/>
  <c r="W120" i="50"/>
  <c r="AA119" i="50"/>
  <c r="AO119" i="50" s="1"/>
  <c r="W119" i="50"/>
  <c r="AA7" i="15"/>
  <c r="AG7" i="15" s="1"/>
  <c r="AC134" i="37"/>
  <c r="AD134" i="37" s="1"/>
  <c r="AD133" i="37"/>
  <c r="AC138" i="37"/>
  <c r="AN149" i="59"/>
  <c r="AJ149" i="59"/>
  <c r="AN150" i="59"/>
  <c r="AJ150" i="59"/>
  <c r="AK147" i="59"/>
  <c r="R83" i="47"/>
  <c r="AE84" i="47"/>
  <c r="AG84" i="47" s="1"/>
  <c r="D84" i="47"/>
  <c r="AE88" i="47"/>
  <c r="AJ150" i="46"/>
  <c r="AJ149" i="46"/>
  <c r="H77" i="45"/>
  <c r="X107" i="34"/>
  <c r="A130" i="47"/>
  <c r="B130" i="47" s="1"/>
  <c r="B129" i="47"/>
  <c r="G10" i="19"/>
  <c r="A138" i="27"/>
  <c r="B137" i="27"/>
  <c r="A129" i="39"/>
  <c r="B128" i="39"/>
  <c r="Q114" i="43"/>
  <c r="Q112" i="43"/>
  <c r="C124" i="40"/>
  <c r="C123" i="40"/>
  <c r="AC138" i="30"/>
  <c r="AC134" i="30"/>
  <c r="AD134" i="30" s="1"/>
  <c r="AD133" i="30"/>
  <c r="AG38" i="38"/>
  <c r="AL124" i="38"/>
  <c r="AH124" i="38"/>
  <c r="AL125" i="38"/>
  <c r="AH125" i="38"/>
  <c r="AI122" i="38"/>
  <c r="C112" i="37"/>
  <c r="G113" i="37"/>
  <c r="Y110" i="31"/>
  <c r="Y109" i="31"/>
  <c r="P144" i="32"/>
  <c r="O145" i="32"/>
  <c r="P145" i="32" s="1"/>
  <c r="P132" i="35"/>
  <c r="O133" i="35"/>
  <c r="X107" i="50"/>
  <c r="P131" i="46"/>
  <c r="O136" i="46"/>
  <c r="O132" i="46"/>
  <c r="C119" i="46"/>
  <c r="C118" i="46"/>
  <c r="V62" i="43"/>
  <c r="T62" i="43"/>
  <c r="T58" i="43"/>
  <c r="V58" i="43"/>
  <c r="H97" i="48"/>
  <c r="A129" i="43"/>
  <c r="B128" i="43"/>
  <c r="V102" i="50"/>
  <c r="T102" i="50"/>
  <c r="AI35" i="39"/>
  <c r="AM35" i="39" s="1"/>
  <c r="AS35" i="39" s="1"/>
  <c r="W125" i="47"/>
  <c r="AA124" i="47"/>
  <c r="AO124" i="47" s="1"/>
  <c r="AP124" i="47" s="1"/>
  <c r="AA125" i="47"/>
  <c r="AO125" i="47" s="1"/>
  <c r="AP125" i="47" s="1"/>
  <c r="W124" i="47"/>
  <c r="P132" i="48"/>
  <c r="O133" i="48"/>
  <c r="AL12" i="61"/>
  <c r="AC15" i="68" s="1"/>
  <c r="C11" i="42"/>
  <c r="AP12" i="18"/>
  <c r="B12" i="18"/>
  <c r="AE54" i="41"/>
  <c r="AG54" i="41" s="1"/>
  <c r="R53" i="41"/>
  <c r="AE58" i="41"/>
  <c r="D54" i="41"/>
  <c r="D58" i="41"/>
  <c r="F58" i="41" s="1"/>
  <c r="H58" i="41" s="1"/>
  <c r="R57" i="41"/>
  <c r="D62" i="41"/>
  <c r="AV15" i="22"/>
  <c r="AA125" i="30"/>
  <c r="AO125" i="30" s="1"/>
  <c r="AP125" i="30" s="1"/>
  <c r="W125" i="30"/>
  <c r="AA124" i="30"/>
  <c r="AO124" i="30" s="1"/>
  <c r="AP124" i="30" s="1"/>
  <c r="W124" i="30"/>
  <c r="V129" i="32"/>
  <c r="T129" i="32"/>
  <c r="F57" i="41"/>
  <c r="AG53" i="41"/>
  <c r="AJ130" i="45"/>
  <c r="AJ129" i="45"/>
  <c r="M120" i="38"/>
  <c r="I120" i="38"/>
  <c r="G119" i="38"/>
  <c r="M119" i="38"/>
  <c r="I119" i="38"/>
  <c r="O132" i="43"/>
  <c r="P131" i="43"/>
  <c r="O136" i="43"/>
  <c r="H12" i="19"/>
  <c r="I12" i="19" s="1"/>
  <c r="D12" i="19"/>
  <c r="A125" i="45"/>
  <c r="B125" i="45" s="1"/>
  <c r="B124" i="45"/>
  <c r="V63" i="44"/>
  <c r="T63" i="44"/>
  <c r="Y115" i="30"/>
  <c r="Y114" i="30"/>
  <c r="B141" i="34"/>
  <c r="A146" i="34"/>
  <c r="A142" i="34"/>
  <c r="AV5" i="12"/>
  <c r="Q117" i="29"/>
  <c r="Q119" i="29"/>
  <c r="B141" i="38"/>
  <c r="A146" i="38"/>
  <c r="A142" i="38"/>
  <c r="R34" i="38"/>
  <c r="R38" i="38"/>
  <c r="AE43" i="38"/>
  <c r="AE39" i="38"/>
  <c r="AG39" i="38" s="1"/>
  <c r="D39" i="38"/>
  <c r="F39" i="38" s="1"/>
  <c r="H39" i="38" s="1"/>
  <c r="D43" i="38"/>
  <c r="F43" i="38" s="1"/>
  <c r="H43" i="38" s="1"/>
  <c r="R42" i="38"/>
  <c r="D47" i="38"/>
  <c r="AA120" i="45"/>
  <c r="AO120" i="45" s="1"/>
  <c r="AP120" i="45" s="1"/>
  <c r="W119" i="45"/>
  <c r="W120" i="45"/>
  <c r="AA119" i="45"/>
  <c r="AO119" i="45" s="1"/>
  <c r="AP119" i="45" s="1"/>
  <c r="AI90" i="50"/>
  <c r="P119" i="40"/>
  <c r="O120" i="40"/>
  <c r="P120" i="40" s="1"/>
  <c r="C117" i="40"/>
  <c r="G118" i="40"/>
  <c r="Q114" i="44"/>
  <c r="Q112" i="44"/>
  <c r="M120" i="32"/>
  <c r="I120" i="32"/>
  <c r="G119" i="32"/>
  <c r="I119" i="32"/>
  <c r="M119" i="32"/>
  <c r="X107" i="28"/>
  <c r="Q114" i="49"/>
  <c r="Q112" i="49"/>
  <c r="AC138" i="32"/>
  <c r="AC134" i="32"/>
  <c r="AD134" i="32" s="1"/>
  <c r="AD133" i="32"/>
  <c r="P132" i="29"/>
  <c r="O133" i="29"/>
  <c r="O120" i="33"/>
  <c r="P120" i="33" s="1"/>
  <c r="P119" i="33"/>
  <c r="AR35" i="40"/>
  <c r="AT35" i="40" s="1"/>
  <c r="E5" i="40" s="1"/>
  <c r="AR34" i="40"/>
  <c r="AT34" i="40" s="1"/>
  <c r="D5" i="40" s="1"/>
  <c r="P158" i="59"/>
  <c r="O164" i="59"/>
  <c r="O159" i="59"/>
  <c r="C123" i="35"/>
  <c r="C124" i="35"/>
  <c r="Y110" i="46"/>
  <c r="Y109" i="46"/>
  <c r="T68" i="45"/>
  <c r="V68" i="45"/>
  <c r="R134" i="32"/>
  <c r="X132" i="32"/>
  <c r="A134" i="27"/>
  <c r="B133" i="27"/>
  <c r="M120" i="50"/>
  <c r="I120" i="50"/>
  <c r="G119" i="50"/>
  <c r="M119" i="50"/>
  <c r="I119" i="50"/>
  <c r="R33" i="37"/>
  <c r="D38" i="37"/>
  <c r="AE34" i="37"/>
  <c r="AE38" i="37"/>
  <c r="D42" i="37"/>
  <c r="R37" i="37"/>
  <c r="O133" i="47"/>
  <c r="P132" i="47"/>
  <c r="G112" i="42"/>
  <c r="K115" i="42"/>
  <c r="K114" i="42"/>
  <c r="AC129" i="41"/>
  <c r="AD129" i="41" s="1"/>
  <c r="AD128" i="41"/>
  <c r="AC133" i="41"/>
  <c r="B136" i="37"/>
  <c r="A141" i="37"/>
  <c r="A137" i="37"/>
  <c r="B137" i="29"/>
  <c r="A138" i="29"/>
  <c r="F74" i="46"/>
  <c r="J72" i="46"/>
  <c r="AV6" i="13"/>
  <c r="O129" i="35"/>
  <c r="P128" i="35"/>
  <c r="Q128" i="35" s="1"/>
  <c r="C124" i="50"/>
  <c r="C123" i="50"/>
  <c r="AL130" i="31"/>
  <c r="AH130" i="31"/>
  <c r="AI127" i="31"/>
  <c r="AL129" i="31"/>
  <c r="AH129" i="31"/>
  <c r="AC138" i="39"/>
  <c r="AC134" i="39"/>
  <c r="AD134" i="39" s="1"/>
  <c r="AD133" i="39"/>
  <c r="AC134" i="34"/>
  <c r="AD134" i="34" s="1"/>
  <c r="AD133" i="34"/>
  <c r="AC138" i="34"/>
  <c r="G12" i="21"/>
  <c r="C117" i="44"/>
  <c r="G118" i="44"/>
  <c r="Q137" i="32"/>
  <c r="Q139" i="32"/>
  <c r="AV14" i="21"/>
  <c r="K114" i="38"/>
  <c r="G112" i="38"/>
  <c r="K115" i="38"/>
  <c r="O125" i="26"/>
  <c r="P125" i="26" s="1"/>
  <c r="P124" i="26"/>
  <c r="AJ125" i="47"/>
  <c r="AJ124" i="47"/>
  <c r="X107" i="43"/>
  <c r="B141" i="41"/>
  <c r="A146" i="41"/>
  <c r="A142" i="41"/>
  <c r="AJ125" i="35"/>
  <c r="AJ124" i="35"/>
  <c r="A129" i="46"/>
  <c r="B128" i="46"/>
  <c r="Y110" i="40"/>
  <c r="Y109" i="40"/>
  <c r="AG75" i="46"/>
  <c r="H47" i="40"/>
  <c r="C119" i="43"/>
  <c r="C118" i="43"/>
  <c r="AR120" i="32"/>
  <c r="V53" i="42"/>
  <c r="T53" i="42"/>
  <c r="A130" i="41"/>
  <c r="B130" i="41" s="1"/>
  <c r="B129" i="41"/>
  <c r="AC134" i="28"/>
  <c r="AD134" i="28" s="1"/>
  <c r="AD133" i="28"/>
  <c r="AC138" i="28"/>
  <c r="A134" i="41"/>
  <c r="B133" i="41"/>
  <c r="AV4" i="11"/>
  <c r="P123" i="44"/>
  <c r="Q123" i="44" s="1"/>
  <c r="O124" i="44"/>
  <c r="A134" i="38"/>
  <c r="B133" i="38"/>
  <c r="V34" i="39"/>
  <c r="V35" i="39" s="1"/>
  <c r="X35" i="39" s="1"/>
  <c r="AB35" i="39" s="1"/>
  <c r="T34" i="39"/>
  <c r="T35" i="39" s="1"/>
  <c r="X34" i="39" s="1"/>
  <c r="AB34" i="39" s="1"/>
  <c r="AG80" i="47"/>
  <c r="B141" i="28"/>
  <c r="A146" i="28"/>
  <c r="A142" i="28"/>
  <c r="M120" i="34"/>
  <c r="I120" i="34"/>
  <c r="G119" i="34"/>
  <c r="M119" i="34"/>
  <c r="I119" i="34"/>
  <c r="K109" i="37"/>
  <c r="G107" i="37"/>
  <c r="K110" i="37"/>
  <c r="AG83" i="47"/>
  <c r="B132" i="26"/>
  <c r="A133" i="26"/>
  <c r="Q112" i="28"/>
  <c r="Q114" i="28"/>
  <c r="AG88" i="48"/>
  <c r="Y114" i="47"/>
  <c r="Y115" i="47"/>
  <c r="AE70" i="45"/>
  <c r="AI69" i="45" s="1"/>
  <c r="AC134" i="33"/>
  <c r="AD134" i="33" s="1"/>
  <c r="AD133" i="33"/>
  <c r="AC138" i="33"/>
  <c r="O125" i="38"/>
  <c r="P125" i="38" s="1"/>
  <c r="P124" i="38"/>
  <c r="O144" i="59"/>
  <c r="P144" i="59" s="1"/>
  <c r="P143" i="59"/>
  <c r="C117" i="35"/>
  <c r="G118" i="35"/>
  <c r="O120" i="31"/>
  <c r="P120" i="31" s="1"/>
  <c r="P119" i="31"/>
  <c r="Q114" i="27"/>
  <c r="Q112" i="27"/>
  <c r="AE60" i="43"/>
  <c r="AI59" i="43" s="1"/>
  <c r="AC134" i="36"/>
  <c r="AD134" i="36" s="1"/>
  <c r="AD133" i="36"/>
  <c r="AC138" i="36"/>
  <c r="O128" i="45"/>
  <c r="P127" i="45"/>
  <c r="A125" i="46"/>
  <c r="B125" i="46" s="1"/>
  <c r="B124" i="46"/>
  <c r="C124" i="32"/>
  <c r="C123" i="32"/>
  <c r="H38" i="39"/>
  <c r="H40" i="39" s="1"/>
  <c r="F40" i="39"/>
  <c r="A130" i="28"/>
  <c r="B130" i="28" s="1"/>
  <c r="B129" i="28"/>
  <c r="K109" i="45"/>
  <c r="G107" i="45"/>
  <c r="K110" i="45"/>
  <c r="C123" i="29"/>
  <c r="C124" i="29"/>
  <c r="AI70" i="46"/>
  <c r="A125" i="39"/>
  <c r="B125" i="39" s="1"/>
  <c r="B124" i="39"/>
  <c r="H50" i="41"/>
  <c r="P131" i="28"/>
  <c r="O136" i="28"/>
  <c r="O132" i="28"/>
  <c r="AV8" i="15"/>
  <c r="AG55" i="42"/>
  <c r="O141" i="42"/>
  <c r="O137" i="42"/>
  <c r="P136" i="42"/>
  <c r="Q112" i="34"/>
  <c r="Q114" i="34"/>
  <c r="B137" i="50"/>
  <c r="A138" i="50"/>
  <c r="C123" i="42"/>
  <c r="C124" i="42"/>
  <c r="O120" i="39"/>
  <c r="P120" i="39" s="1"/>
  <c r="P119" i="39"/>
  <c r="AA120" i="44"/>
  <c r="AO120" i="44" s="1"/>
  <c r="AP120" i="44" s="1"/>
  <c r="W120" i="44"/>
  <c r="AA119" i="44"/>
  <c r="AO119" i="44" s="1"/>
  <c r="AP119" i="44" s="1"/>
  <c r="W119" i="44"/>
  <c r="AV10" i="17"/>
  <c r="AF14" i="24"/>
  <c r="P132" i="30"/>
  <c r="O133" i="30"/>
  <c r="B136" i="48"/>
  <c r="A141" i="48"/>
  <c r="A137" i="48"/>
  <c r="B132" i="39"/>
  <c r="A133" i="39"/>
  <c r="O128" i="37"/>
  <c r="P127" i="37"/>
  <c r="AC138" i="48"/>
  <c r="AC134" i="48"/>
  <c r="AD134" i="48" s="1"/>
  <c r="AD133" i="48"/>
  <c r="C112" i="45"/>
  <c r="G113" i="45"/>
  <c r="P128" i="47"/>
  <c r="Q128" i="47" s="1"/>
  <c r="O129" i="47"/>
  <c r="B141" i="35"/>
  <c r="A146" i="35"/>
  <c r="A142" i="35"/>
  <c r="A146" i="47"/>
  <c r="A142" i="47"/>
  <c r="B141" i="47"/>
  <c r="AN10" i="61"/>
  <c r="AE13" i="68" s="1"/>
  <c r="AP10" i="16"/>
  <c r="C13" i="44"/>
  <c r="B10" i="16"/>
  <c r="O128" i="27"/>
  <c r="P127" i="27"/>
  <c r="AC134" i="49"/>
  <c r="AD134" i="49" s="1"/>
  <c r="AD133" i="49"/>
  <c r="AC138" i="49"/>
  <c r="X112" i="36"/>
  <c r="I115" i="39"/>
  <c r="I114" i="39"/>
  <c r="M115" i="39"/>
  <c r="M114" i="39"/>
  <c r="G114" i="39"/>
  <c r="B136" i="43"/>
  <c r="A141" i="43"/>
  <c r="A137" i="43"/>
  <c r="A130" i="49"/>
  <c r="B130" i="49" s="1"/>
  <c r="B129" i="49"/>
  <c r="Y115" i="29"/>
  <c r="Y114" i="29"/>
  <c r="V127" i="32"/>
  <c r="V130" i="32" s="1"/>
  <c r="T127" i="32"/>
  <c r="T130" i="32" s="1"/>
  <c r="X129" i="32" s="1"/>
  <c r="AB129" i="32" s="1"/>
  <c r="Q112" i="46"/>
  <c r="Q114" i="46"/>
  <c r="AL130" i="26"/>
  <c r="AH130" i="26"/>
  <c r="AI127" i="26"/>
  <c r="AL129" i="26"/>
  <c r="AH129" i="26"/>
  <c r="G113" i="30"/>
  <c r="C112" i="30"/>
  <c r="A138" i="49"/>
  <c r="B137" i="49"/>
  <c r="C119" i="39"/>
  <c r="C118" i="39"/>
  <c r="Y13" i="21"/>
  <c r="X12" i="21" s="1"/>
  <c r="X107" i="37"/>
  <c r="AG5" i="15"/>
  <c r="AR94" i="44"/>
  <c r="AR95" i="44"/>
  <c r="AR94" i="46"/>
  <c r="AB40" i="42"/>
  <c r="AR40" i="42" s="1"/>
  <c r="AT40" i="42" s="1"/>
  <c r="E6" i="42" s="1"/>
  <c r="P119" i="50"/>
  <c r="O120" i="50"/>
  <c r="P120" i="50" s="1"/>
  <c r="J79" i="48"/>
  <c r="J80" i="48"/>
  <c r="Y110" i="33"/>
  <c r="Y109" i="33"/>
  <c r="Q114" i="33"/>
  <c r="Q112" i="33"/>
  <c r="AC129" i="44"/>
  <c r="AD129" i="44" s="1"/>
  <c r="AD128" i="44"/>
  <c r="AC133" i="44"/>
  <c r="AA12" i="21"/>
  <c r="X11" i="21"/>
  <c r="V33" i="38"/>
  <c r="T33" i="38"/>
  <c r="O137" i="26"/>
  <c r="P136" i="26"/>
  <c r="O141" i="26"/>
  <c r="AC134" i="27"/>
  <c r="AD134" i="27" s="1"/>
  <c r="AD133" i="27"/>
  <c r="AC138" i="27"/>
  <c r="P123" i="43"/>
  <c r="Q123" i="43" s="1"/>
  <c r="O124" i="43"/>
  <c r="M115" i="37"/>
  <c r="I115" i="37"/>
  <c r="G114" i="37"/>
  <c r="M114" i="37"/>
  <c r="I114" i="37"/>
  <c r="X107" i="31"/>
  <c r="A134" i="47"/>
  <c r="B133" i="47"/>
  <c r="A129" i="30"/>
  <c r="B128" i="30"/>
  <c r="F8" i="16"/>
  <c r="P123" i="49"/>
  <c r="Q123" i="49" s="1"/>
  <c r="O124" i="49"/>
  <c r="O141" i="35"/>
  <c r="O137" i="35"/>
  <c r="P136" i="35"/>
  <c r="Y110" i="50"/>
  <c r="Y109" i="50"/>
  <c r="O137" i="36"/>
  <c r="O141" i="36"/>
  <c r="P136" i="36"/>
  <c r="A138" i="33"/>
  <c r="B137" i="33"/>
  <c r="G107" i="26"/>
  <c r="K110" i="26"/>
  <c r="K109" i="26"/>
  <c r="A138" i="44"/>
  <c r="B137" i="44"/>
  <c r="AV11" i="18"/>
  <c r="AJ14" i="61"/>
  <c r="AA17" i="68" s="1"/>
  <c r="B14" i="20"/>
  <c r="C9" i="40"/>
  <c r="R49" i="40" s="1"/>
  <c r="AP14" i="20"/>
  <c r="Y13" i="20" s="1"/>
  <c r="AH16" i="61"/>
  <c r="Y19" i="68" s="1"/>
  <c r="B16" i="22"/>
  <c r="C7" i="38"/>
  <c r="AP16" i="22"/>
  <c r="P123" i="33"/>
  <c r="Q123" i="33" s="1"/>
  <c r="O124" i="33"/>
  <c r="Q119" i="26"/>
  <c r="Q117" i="26"/>
  <c r="O132" i="31"/>
  <c r="P131" i="31"/>
  <c r="O136" i="31"/>
  <c r="V52" i="41"/>
  <c r="T52" i="41"/>
  <c r="V48" i="41"/>
  <c r="T48" i="41"/>
  <c r="AL129" i="45"/>
  <c r="AH129" i="45"/>
  <c r="AH130" i="45"/>
  <c r="AL130" i="45"/>
  <c r="AI127" i="45"/>
  <c r="C117" i="38"/>
  <c r="G118" i="38"/>
  <c r="AC144" i="40"/>
  <c r="AD144" i="40" s="1"/>
  <c r="AD143" i="40"/>
  <c r="AC148" i="40"/>
  <c r="AA125" i="29"/>
  <c r="AO125" i="29" s="1"/>
  <c r="AP125" i="29" s="1"/>
  <c r="W125" i="29"/>
  <c r="AA124" i="29"/>
  <c r="AO124" i="29" s="1"/>
  <c r="AP124" i="29" s="1"/>
  <c r="W124" i="29"/>
  <c r="D12" i="53"/>
  <c r="F12" i="53" s="1"/>
  <c r="G12" i="53" s="1"/>
  <c r="H12" i="53"/>
  <c r="I12" i="53" s="1"/>
  <c r="AE59" i="42"/>
  <c r="AG59" i="42" s="1"/>
  <c r="R58" i="42"/>
  <c r="AE63" i="42"/>
  <c r="R54" i="42"/>
  <c r="D59" i="42"/>
  <c r="D63" i="42"/>
  <c r="F63" i="42" s="1"/>
  <c r="H63" i="42" s="1"/>
  <c r="R62" i="42"/>
  <c r="F77" i="44"/>
  <c r="AG68" i="44"/>
  <c r="X112" i="30"/>
  <c r="AC129" i="29"/>
  <c r="AD129" i="29" s="1"/>
  <c r="AD128" i="29"/>
  <c r="AC133" i="29"/>
  <c r="C117" i="28"/>
  <c r="G118" i="28"/>
  <c r="H5" i="12"/>
  <c r="I5" i="12" s="1"/>
  <c r="D5" i="12"/>
  <c r="F5" i="12" s="1"/>
  <c r="G5" i="12" s="1"/>
  <c r="F4" i="12"/>
  <c r="P132" i="41"/>
  <c r="O133" i="41"/>
  <c r="AG17" i="61"/>
  <c r="X20" i="68" s="1"/>
  <c r="B17" i="23"/>
  <c r="C6" i="37"/>
  <c r="AP17" i="23"/>
  <c r="AA10" i="19"/>
  <c r="X9" i="19"/>
  <c r="O120" i="45"/>
  <c r="P120" i="45" s="1"/>
  <c r="P119" i="45"/>
  <c r="A134" i="40"/>
  <c r="B133" i="40"/>
  <c r="AA120" i="37"/>
  <c r="AO120" i="37" s="1"/>
  <c r="AP120" i="37" s="1"/>
  <c r="W120" i="37"/>
  <c r="AA119" i="37"/>
  <c r="AO119" i="37" s="1"/>
  <c r="AP119" i="37" s="1"/>
  <c r="W119" i="37"/>
  <c r="M120" i="40"/>
  <c r="I120" i="40"/>
  <c r="G119" i="40"/>
  <c r="M119" i="40"/>
  <c r="I119" i="40"/>
  <c r="G112" i="32"/>
  <c r="K114" i="32"/>
  <c r="K115" i="32"/>
  <c r="Y110" i="28"/>
  <c r="Y109" i="28"/>
  <c r="A130" i="35"/>
  <c r="B130" i="35" s="1"/>
  <c r="B129" i="35"/>
  <c r="X60" i="45"/>
  <c r="O141" i="29"/>
  <c r="O137" i="29"/>
  <c r="P136" i="29"/>
  <c r="AA120" i="33"/>
  <c r="AO120" i="33" s="1"/>
  <c r="AP120" i="33" s="1"/>
  <c r="W120" i="33"/>
  <c r="AA119" i="33"/>
  <c r="AO119" i="33" s="1"/>
  <c r="AP119" i="33" s="1"/>
  <c r="W119" i="33"/>
  <c r="G4" i="13"/>
  <c r="AG73" i="45"/>
  <c r="Z135" i="32"/>
  <c r="Z134" i="32"/>
  <c r="R132" i="32"/>
  <c r="Y135" i="32"/>
  <c r="Y134" i="32"/>
  <c r="P128" i="30"/>
  <c r="Q128" i="30" s="1"/>
  <c r="O129" i="30"/>
  <c r="O124" i="50"/>
  <c r="P123" i="50"/>
  <c r="Q123" i="50" s="1"/>
  <c r="AV17" i="24"/>
  <c r="O141" i="47"/>
  <c r="O137" i="47"/>
  <c r="P136" i="47"/>
  <c r="AJ125" i="41"/>
  <c r="AJ124" i="41"/>
  <c r="B141" i="29"/>
  <c r="A146" i="29"/>
  <c r="A142" i="29"/>
  <c r="AA9" i="18"/>
  <c r="X8" i="18"/>
  <c r="O125" i="36"/>
  <c r="P125" i="36" s="1"/>
  <c r="P124" i="36"/>
  <c r="T73" i="46"/>
  <c r="V73" i="46"/>
  <c r="Y110" i="27"/>
  <c r="Y109" i="27"/>
  <c r="H6" i="13"/>
  <c r="I6" i="13" s="1"/>
  <c r="D6" i="13"/>
  <c r="F6" i="13" s="1"/>
  <c r="G6" i="13" s="1"/>
  <c r="P123" i="27"/>
  <c r="Q123" i="27" s="1"/>
  <c r="O124" i="27"/>
  <c r="O132" i="49"/>
  <c r="P131" i="49"/>
  <c r="O136" i="49"/>
  <c r="A134" i="44"/>
  <c r="B133" i="44"/>
  <c r="AJ130" i="34"/>
  <c r="AJ129" i="34"/>
  <c r="M119" i="44"/>
  <c r="I119" i="44"/>
  <c r="M120" i="44"/>
  <c r="I120" i="44"/>
  <c r="G119" i="44"/>
  <c r="Y10" i="18"/>
  <c r="Y14" i="22"/>
  <c r="X13" i="22" s="1"/>
  <c r="Q119" i="47"/>
  <c r="Q117" i="47"/>
  <c r="AI15" i="61"/>
  <c r="Z18" i="68" s="1"/>
  <c r="B15" i="21"/>
  <c r="AP15" i="21"/>
  <c r="C8" i="39"/>
  <c r="D53" i="39" s="1"/>
  <c r="F53" i="39" s="1"/>
  <c r="H53" i="39" s="1"/>
  <c r="AA125" i="26"/>
  <c r="AO125" i="26" s="1"/>
  <c r="AP125" i="26" s="1"/>
  <c r="W125" i="26"/>
  <c r="AA124" i="26"/>
  <c r="AO124" i="26" s="1"/>
  <c r="AP124" i="26" s="1"/>
  <c r="W124" i="26"/>
  <c r="AI122" i="47"/>
  <c r="AL124" i="47"/>
  <c r="AH125" i="47"/>
  <c r="AL125" i="47"/>
  <c r="AH124" i="47"/>
  <c r="AL124" i="35"/>
  <c r="AH124" i="35"/>
  <c r="AL125" i="35"/>
  <c r="AH125" i="35"/>
  <c r="AI122" i="35"/>
  <c r="K109" i="46"/>
  <c r="G107" i="46"/>
  <c r="K110" i="46"/>
  <c r="Y115" i="48"/>
  <c r="Y114" i="48"/>
  <c r="A129" i="37"/>
  <c r="B128" i="37"/>
  <c r="P128" i="26"/>
  <c r="Q128" i="26" s="1"/>
  <c r="O129" i="26"/>
  <c r="AE75" i="46"/>
  <c r="AI74" i="46" s="1"/>
  <c r="C117" i="47"/>
  <c r="G118" i="47"/>
  <c r="Q112" i="50"/>
  <c r="Q114" i="50"/>
  <c r="P128" i="48"/>
  <c r="Q128" i="48" s="1"/>
  <c r="O129" i="48"/>
  <c r="F54" i="42"/>
  <c r="J52" i="42"/>
  <c r="A130" i="40"/>
  <c r="B130" i="40" s="1"/>
  <c r="B129" i="40"/>
  <c r="AJ130" i="28"/>
  <c r="AJ129" i="28"/>
  <c r="A125" i="26"/>
  <c r="B125" i="26" s="1"/>
  <c r="B124" i="26"/>
  <c r="AT4" i="61"/>
  <c r="AK7" i="68" s="1"/>
  <c r="AU3" i="61"/>
  <c r="AL6" i="68" s="1"/>
  <c r="B4" i="10"/>
  <c r="AP4" i="10"/>
  <c r="C19" i="50"/>
  <c r="AA125" i="41"/>
  <c r="AO125" i="41" s="1"/>
  <c r="AP125" i="41" s="1"/>
  <c r="W125" i="41"/>
  <c r="AA124" i="41"/>
  <c r="AO124" i="41" s="1"/>
  <c r="AP124" i="41" s="1"/>
  <c r="W124" i="41"/>
  <c r="K114" i="41"/>
  <c r="G112" i="41"/>
  <c r="K115" i="41"/>
  <c r="AG43" i="39"/>
  <c r="Q119" i="48"/>
  <c r="Q117" i="48"/>
  <c r="W131" i="59"/>
  <c r="Y132" i="59"/>
  <c r="Y131" i="59"/>
  <c r="W132" i="59"/>
  <c r="T78" i="47"/>
  <c r="V78" i="47"/>
  <c r="B136" i="26"/>
  <c r="A141" i="26"/>
  <c r="A137" i="26"/>
  <c r="X112" i="47"/>
  <c r="AJ129" i="33"/>
  <c r="AJ130" i="33"/>
  <c r="O129" i="29"/>
  <c r="P128" i="29"/>
  <c r="Q128" i="29" s="1"/>
  <c r="O149" i="59"/>
  <c r="P148" i="59"/>
  <c r="Q148" i="59" s="1"/>
  <c r="AA120" i="46"/>
  <c r="AO120" i="46" s="1"/>
  <c r="AP120" i="46" s="1"/>
  <c r="W120" i="46"/>
  <c r="AA119" i="46"/>
  <c r="AO119" i="46" s="1"/>
  <c r="AP119" i="46" s="1"/>
  <c r="W119" i="46"/>
  <c r="C117" i="31"/>
  <c r="G118" i="31"/>
  <c r="AA14" i="23"/>
  <c r="AG14" i="23" s="1"/>
  <c r="A138" i="31"/>
  <c r="B137" i="31"/>
  <c r="AA120" i="31"/>
  <c r="AO120" i="31" s="1"/>
  <c r="AP120" i="31" s="1"/>
  <c r="W120" i="31"/>
  <c r="AA119" i="31"/>
  <c r="AO119" i="31" s="1"/>
  <c r="AP119" i="31" s="1"/>
  <c r="W119" i="31"/>
  <c r="C123" i="49"/>
  <c r="C124" i="49"/>
  <c r="AG60" i="43"/>
  <c r="AE95" i="49"/>
  <c r="AI94" i="49" s="1"/>
  <c r="AG93" i="49"/>
  <c r="AG95" i="49" s="1"/>
  <c r="AJ129" i="36"/>
  <c r="AJ130" i="36"/>
  <c r="Q137" i="59"/>
  <c r="Q135" i="59"/>
  <c r="O128" i="33"/>
  <c r="P127" i="33"/>
  <c r="A130" i="50"/>
  <c r="B130" i="50" s="1"/>
  <c r="B129" i="50"/>
  <c r="P148" i="32"/>
  <c r="Q148" i="32" s="1"/>
  <c r="O149" i="32"/>
  <c r="X107" i="45"/>
  <c r="G113" i="43"/>
  <c r="C112" i="43"/>
  <c r="H8" i="15"/>
  <c r="I8" i="15" s="1"/>
  <c r="D8" i="15"/>
  <c r="F8" i="15" s="1"/>
  <c r="AA120" i="34"/>
  <c r="AO120" i="34" s="1"/>
  <c r="AP120" i="34" s="1"/>
  <c r="W120" i="34"/>
  <c r="AA119" i="34"/>
  <c r="AO119" i="34" s="1"/>
  <c r="AP119" i="34" s="1"/>
  <c r="W119" i="34"/>
  <c r="K115" i="31"/>
  <c r="K114" i="31"/>
  <c r="G112" i="31"/>
  <c r="B141" i="50"/>
  <c r="A146" i="50"/>
  <c r="A142" i="50"/>
  <c r="O120" i="27"/>
  <c r="P120" i="27" s="1"/>
  <c r="P119" i="27"/>
  <c r="AA125" i="35"/>
  <c r="AO125" i="35" s="1"/>
  <c r="AP125" i="35" s="1"/>
  <c r="W125" i="35"/>
  <c r="AA124" i="35"/>
  <c r="AO124" i="35" s="1"/>
  <c r="AP124" i="35" s="1"/>
  <c r="W124" i="35"/>
  <c r="H10" i="17"/>
  <c r="I10" i="17" s="1"/>
  <c r="D10" i="17"/>
  <c r="F10" i="17" s="1"/>
  <c r="G10" i="17" s="1"/>
  <c r="AC134" i="50"/>
  <c r="AD134" i="50" s="1"/>
  <c r="AD133" i="50"/>
  <c r="AC138" i="50"/>
  <c r="X112" i="35"/>
  <c r="K115" i="47"/>
  <c r="K114" i="47"/>
  <c r="G112" i="47"/>
  <c r="B136" i="39"/>
  <c r="A141" i="39"/>
  <c r="A137" i="39"/>
  <c r="B136" i="46"/>
  <c r="A137" i="46"/>
  <c r="A141" i="46"/>
  <c r="P131" i="37"/>
  <c r="O136" i="37"/>
  <c r="O132" i="37"/>
  <c r="A130" i="44"/>
  <c r="B130" i="44" s="1"/>
  <c r="B129" i="44"/>
  <c r="H102" i="50"/>
  <c r="Y110" i="49"/>
  <c r="Y109" i="49"/>
  <c r="M115" i="45"/>
  <c r="I115" i="45"/>
  <c r="M114" i="45"/>
  <c r="G114" i="45"/>
  <c r="I114" i="45"/>
  <c r="B132" i="30"/>
  <c r="A133" i="30"/>
  <c r="H9" i="16"/>
  <c r="I9" i="16" s="1"/>
  <c r="D9" i="16"/>
  <c r="F9" i="16" s="1"/>
  <c r="G9" i="16" s="1"/>
  <c r="AJ129" i="49"/>
  <c r="AJ130" i="49"/>
  <c r="C112" i="46"/>
  <c r="G113" i="46"/>
  <c r="C124" i="47"/>
  <c r="C123" i="47"/>
  <c r="G107" i="48"/>
  <c r="K110" i="48"/>
  <c r="K109" i="48"/>
  <c r="M120" i="29"/>
  <c r="I120" i="29"/>
  <c r="G119" i="29"/>
  <c r="M119" i="29"/>
  <c r="I119" i="29"/>
  <c r="B141" i="32"/>
  <c r="A146" i="32"/>
  <c r="A142" i="32"/>
  <c r="AG48" i="40"/>
  <c r="AF7" i="17"/>
  <c r="AC138" i="26"/>
  <c r="AC134" i="26"/>
  <c r="AD134" i="26" s="1"/>
  <c r="AD133" i="26"/>
  <c r="M114" i="30"/>
  <c r="I114" i="30"/>
  <c r="M115" i="30"/>
  <c r="I115" i="30"/>
  <c r="G114" i="30"/>
  <c r="A146" i="49"/>
  <c r="A142" i="49"/>
  <c r="B141" i="49"/>
  <c r="Y110" i="37"/>
  <c r="Y109" i="37"/>
  <c r="AK39" i="41"/>
  <c r="AM39" i="41" s="1"/>
  <c r="AS39" i="41" s="1"/>
  <c r="Z39" i="41"/>
  <c r="AB39" i="41" s="1"/>
  <c r="L44" i="41"/>
  <c r="AR94" i="27"/>
  <c r="AR95" i="27"/>
  <c r="AJ130" i="37"/>
  <c r="AJ129" i="37"/>
  <c r="AP8" i="61"/>
  <c r="AG11" i="68" s="1"/>
  <c r="C15" i="46"/>
  <c r="B8" i="14"/>
  <c r="AP8" i="14"/>
  <c r="C119" i="26"/>
  <c r="C118" i="26"/>
  <c r="A134" i="50"/>
  <c r="B133" i="50"/>
  <c r="A146" i="27"/>
  <c r="A142" i="27"/>
  <c r="B141" i="27"/>
  <c r="O128" i="50"/>
  <c r="P127" i="50"/>
  <c r="O128" i="44"/>
  <c r="P127" i="44"/>
  <c r="P131" i="39"/>
  <c r="O136" i="39"/>
  <c r="O132" i="39"/>
  <c r="AC134" i="42"/>
  <c r="AD134" i="42" s="1"/>
  <c r="AD133" i="42"/>
  <c r="AC138" i="42"/>
  <c r="O124" i="28"/>
  <c r="P123" i="28"/>
  <c r="Q123" i="28" s="1"/>
  <c r="Y115" i="26"/>
  <c r="Y114" i="26"/>
  <c r="O129" i="42"/>
  <c r="P128" i="42"/>
  <c r="Q128" i="42" s="1"/>
  <c r="AI127" i="37"/>
  <c r="AL129" i="37"/>
  <c r="AH129" i="37"/>
  <c r="AL130" i="37"/>
  <c r="AH130" i="37"/>
  <c r="AV7" i="14"/>
  <c r="X11" i="20"/>
  <c r="AA11" i="20"/>
  <c r="X10" i="20"/>
  <c r="X112" i="41"/>
  <c r="X107" i="33"/>
  <c r="X107" i="44"/>
  <c r="C123" i="41"/>
  <c r="C124" i="41"/>
  <c r="A130" i="33"/>
  <c r="B130" i="33" s="1"/>
  <c r="B129" i="33"/>
  <c r="P131" i="50"/>
  <c r="O136" i="50"/>
  <c r="O132" i="50"/>
  <c r="M120" i="41"/>
  <c r="I120" i="41"/>
  <c r="G119" i="41"/>
  <c r="M119" i="41"/>
  <c r="I119" i="41"/>
  <c r="AJ124" i="44"/>
  <c r="AJ125" i="44"/>
  <c r="AJ129" i="30"/>
  <c r="AJ130" i="30"/>
  <c r="O128" i="34"/>
  <c r="P127" i="34"/>
  <c r="F42" i="38"/>
  <c r="F38" i="38"/>
  <c r="A134" i="35"/>
  <c r="B133" i="35"/>
  <c r="AJ129" i="27"/>
  <c r="AJ130" i="27"/>
  <c r="J54" i="43"/>
  <c r="AC129" i="38"/>
  <c r="AD129" i="38" s="1"/>
  <c r="AD128" i="38"/>
  <c r="AC133" i="38"/>
  <c r="O120" i="49"/>
  <c r="P120" i="49" s="1"/>
  <c r="P119" i="49"/>
  <c r="P132" i="36"/>
  <c r="O133" i="36"/>
  <c r="V54" i="43"/>
  <c r="V55" i="43" s="1"/>
  <c r="T54" i="43"/>
  <c r="T55" i="43" s="1"/>
  <c r="X54" i="43" s="1"/>
  <c r="AG63" i="43"/>
  <c r="O124" i="45"/>
  <c r="P123" i="45"/>
  <c r="Q123" i="45" s="1"/>
  <c r="A146" i="33"/>
  <c r="A142" i="33"/>
  <c r="B141" i="33"/>
  <c r="A164" i="59"/>
  <c r="B158" i="59"/>
  <c r="A159" i="59"/>
  <c r="A146" i="44"/>
  <c r="A142" i="44"/>
  <c r="B141" i="44"/>
  <c r="O137" i="48"/>
  <c r="P136" i="48"/>
  <c r="O141" i="48"/>
  <c r="AE64" i="43"/>
  <c r="AG64" i="43" s="1"/>
  <c r="AE68" i="43"/>
  <c r="R63" i="43"/>
  <c r="R59" i="43"/>
  <c r="D64" i="43"/>
  <c r="F64" i="43" s="1"/>
  <c r="H64" i="43" s="1"/>
  <c r="H13" i="20"/>
  <c r="I13" i="20" s="1"/>
  <c r="D13" i="20"/>
  <c r="F13" i="20" s="1"/>
  <c r="R43" i="39"/>
  <c r="AE44" i="39"/>
  <c r="AG44" i="39" s="1"/>
  <c r="AE48" i="39"/>
  <c r="D44" i="39"/>
  <c r="R39" i="39"/>
  <c r="D48" i="39"/>
  <c r="F48" i="39" s="1"/>
  <c r="H48" i="39" s="1"/>
  <c r="AG9" i="53"/>
  <c r="B132" i="45"/>
  <c r="A133" i="45"/>
  <c r="A134" i="49"/>
  <c r="B133" i="49"/>
  <c r="T44" i="41"/>
  <c r="T45" i="41" s="1"/>
  <c r="X44" i="41" s="1"/>
  <c r="V44" i="41"/>
  <c r="V45" i="41" s="1"/>
  <c r="AJ140" i="40"/>
  <c r="AJ139" i="40"/>
  <c r="C136" i="59"/>
  <c r="C137" i="59"/>
  <c r="O125" i="29"/>
  <c r="P125" i="29" s="1"/>
  <c r="P124" i="29"/>
  <c r="P127" i="43"/>
  <c r="O128" i="43"/>
  <c r="C119" i="37"/>
  <c r="C118" i="37"/>
  <c r="AV12" i="53"/>
  <c r="AK13" i="61"/>
  <c r="AB16" i="68" s="1"/>
  <c r="C10" i="41"/>
  <c r="B13" i="19"/>
  <c r="AP13" i="19"/>
  <c r="AP13" i="53"/>
  <c r="B13" i="53"/>
  <c r="H42" i="39"/>
  <c r="A134" i="32"/>
  <c r="B133" i="32"/>
  <c r="F64" i="44"/>
  <c r="J62" i="44"/>
  <c r="AJ125" i="29"/>
  <c r="AJ124" i="29"/>
  <c r="M120" i="28"/>
  <c r="I120" i="28"/>
  <c r="G119" i="28"/>
  <c r="M119" i="28"/>
  <c r="I119" i="28"/>
  <c r="O124" i="39"/>
  <c r="P123" i="39"/>
  <c r="Q123" i="39" s="1"/>
  <c r="O141" i="41"/>
  <c r="O137" i="41"/>
  <c r="P136" i="41"/>
  <c r="AV16" i="23"/>
  <c r="P119" i="37"/>
  <c r="O120" i="37"/>
  <c r="P120" i="37" s="1"/>
  <c r="I126" i="59"/>
  <c r="G123" i="59"/>
  <c r="K125" i="59"/>
  <c r="K126" i="59"/>
  <c r="I125" i="59"/>
  <c r="AJ130" i="32"/>
  <c r="AJ129" i="32"/>
  <c r="K115" i="33"/>
  <c r="K114" i="33"/>
  <c r="G112" i="33"/>
  <c r="C117" i="33"/>
  <c r="G118" i="33"/>
  <c r="AA4" i="13"/>
  <c r="G107" i="39"/>
  <c r="K109" i="39"/>
  <c r="K110" i="39"/>
  <c r="AF18" i="61"/>
  <c r="W21" i="68" s="1"/>
  <c r="B18" i="24"/>
  <c r="AP18" i="24"/>
  <c r="C5" i="36"/>
  <c r="X112" i="38"/>
  <c r="AL124" i="41"/>
  <c r="AH124" i="41"/>
  <c r="AL125" i="41"/>
  <c r="AH125" i="41"/>
  <c r="AI122" i="41"/>
  <c r="AA125" i="36"/>
  <c r="AO125" i="36" s="1"/>
  <c r="AP125" i="36" s="1"/>
  <c r="W125" i="36"/>
  <c r="AA124" i="36"/>
  <c r="AO124" i="36" s="1"/>
  <c r="AP124" i="36" s="1"/>
  <c r="W124" i="36"/>
  <c r="V64" i="46"/>
  <c r="V65" i="46" s="1"/>
  <c r="T64" i="46"/>
  <c r="T65" i="46" s="1"/>
  <c r="X64" i="46" s="1"/>
  <c r="X107" i="27"/>
  <c r="AE89" i="48"/>
  <c r="AG89" i="48" s="1"/>
  <c r="AE93" i="48"/>
  <c r="R88" i="48"/>
  <c r="D89" i="48"/>
  <c r="P127" i="49"/>
  <c r="O128" i="49"/>
  <c r="P132" i="38"/>
  <c r="O133" i="38"/>
  <c r="C117" i="27"/>
  <c r="G118" i="27"/>
  <c r="G10" i="53"/>
  <c r="AC134" i="31"/>
  <c r="AD134" i="31" s="1"/>
  <c r="AD133" i="31"/>
  <c r="AC138" i="31"/>
  <c r="AJ130" i="39"/>
  <c r="AJ129" i="39"/>
  <c r="AI127" i="34"/>
  <c r="AL129" i="34"/>
  <c r="AH129" i="34"/>
  <c r="AL130" i="34"/>
  <c r="AH130" i="34"/>
  <c r="A138" i="42"/>
  <c r="B137" i="42"/>
  <c r="Q119" i="30"/>
  <c r="Q117" i="30"/>
  <c r="Q112" i="40"/>
  <c r="Q114" i="40"/>
  <c r="H14" i="21"/>
  <c r="I14" i="21" s="1"/>
  <c r="D14" i="21"/>
  <c r="F14" i="21" s="1"/>
  <c r="G14" i="21" s="1"/>
  <c r="C124" i="31"/>
  <c r="C123" i="31"/>
  <c r="K114" i="28"/>
  <c r="G112" i="28"/>
  <c r="K115" i="28"/>
  <c r="AC133" i="47"/>
  <c r="AC129" i="47"/>
  <c r="AD129" i="47" s="1"/>
  <c r="AD128" i="47"/>
  <c r="G9" i="18"/>
  <c r="X107" i="39"/>
  <c r="O128" i="40"/>
  <c r="P127" i="40"/>
  <c r="A133" i="36"/>
  <c r="B132" i="36"/>
  <c r="X6" i="15"/>
  <c r="X112" i="48"/>
  <c r="M120" i="47"/>
  <c r="I119" i="47"/>
  <c r="M119" i="47"/>
  <c r="G119" i="47"/>
  <c r="I120" i="47"/>
  <c r="H102" i="49"/>
  <c r="F62" i="42"/>
  <c r="AG58" i="42"/>
  <c r="AI127" i="28"/>
  <c r="AL129" i="28"/>
  <c r="AH129" i="28"/>
  <c r="AL130" i="28"/>
  <c r="AH130" i="28"/>
  <c r="AA125" i="42"/>
  <c r="AO125" i="42" s="1"/>
  <c r="AP125" i="42" s="1"/>
  <c r="W125" i="42"/>
  <c r="AA124" i="42"/>
  <c r="AO124" i="42" s="1"/>
  <c r="AP124" i="42" s="1"/>
  <c r="W124" i="42"/>
  <c r="G118" i="42"/>
  <c r="C117" i="42"/>
  <c r="G113" i="26"/>
  <c r="C112" i="26"/>
  <c r="M114" i="36"/>
  <c r="I114" i="36"/>
  <c r="M115" i="36"/>
  <c r="I115" i="36"/>
  <c r="G114" i="36"/>
  <c r="AS5" i="61"/>
  <c r="AJ8" i="68" s="1"/>
  <c r="B5" i="11"/>
  <c r="C18" i="49"/>
  <c r="AP5" i="11"/>
  <c r="O125" i="41"/>
  <c r="P125" i="41" s="1"/>
  <c r="P124" i="41"/>
  <c r="AF10" i="20"/>
  <c r="O129" i="41"/>
  <c r="P128" i="41"/>
  <c r="Q128" i="41" s="1"/>
  <c r="F47" i="39"/>
  <c r="V38" i="39"/>
  <c r="T38" i="39"/>
  <c r="X129" i="59"/>
  <c r="V74" i="47"/>
  <c r="V75" i="47" s="1"/>
  <c r="T74" i="47"/>
  <c r="T75" i="47" s="1"/>
  <c r="X74" i="47" s="1"/>
  <c r="K115" i="44"/>
  <c r="K114" i="44"/>
  <c r="G112" i="44"/>
  <c r="G113" i="48"/>
  <c r="C112" i="48"/>
  <c r="O125" i="48"/>
  <c r="P125" i="48" s="1"/>
  <c r="P124" i="48"/>
  <c r="F84" i="48"/>
  <c r="J82" i="48"/>
  <c r="K114" i="29"/>
  <c r="G112" i="29"/>
  <c r="K115" i="29"/>
  <c r="G107" i="43"/>
  <c r="K110" i="43"/>
  <c r="K109" i="43"/>
  <c r="AL130" i="33"/>
  <c r="AH130" i="33"/>
  <c r="AI127" i="33"/>
  <c r="AL129" i="33"/>
  <c r="AH129" i="33"/>
  <c r="H72" i="44"/>
  <c r="P119" i="46"/>
  <c r="O120" i="46"/>
  <c r="P120" i="46" s="1"/>
  <c r="M119" i="31"/>
  <c r="I119" i="31"/>
  <c r="M120" i="31"/>
  <c r="I120" i="31"/>
  <c r="G119" i="31"/>
  <c r="A146" i="31"/>
  <c r="A142" i="31"/>
  <c r="B141" i="31"/>
  <c r="A134" i="29"/>
  <c r="B133" i="29"/>
  <c r="Y115" i="42"/>
  <c r="Y114" i="42"/>
  <c r="AA8" i="16"/>
  <c r="AG8" i="16" s="1"/>
  <c r="F89" i="49"/>
  <c r="J87" i="49"/>
  <c r="O129" i="38"/>
  <c r="P128" i="38"/>
  <c r="Q128" i="38" s="1"/>
  <c r="AL130" i="36"/>
  <c r="AH130" i="36"/>
  <c r="AL129" i="36"/>
  <c r="AH129" i="36"/>
  <c r="AI127" i="36"/>
  <c r="O136" i="45"/>
  <c r="P131" i="45"/>
  <c r="O132" i="45"/>
  <c r="A134" i="42"/>
  <c r="B133" i="42"/>
  <c r="C124" i="33"/>
  <c r="C123" i="33"/>
  <c r="M119" i="49"/>
  <c r="I119" i="49"/>
  <c r="M120" i="49"/>
  <c r="I120" i="49"/>
  <c r="G119" i="49"/>
  <c r="AR95" i="40"/>
  <c r="O120" i="43"/>
  <c r="P120" i="43" s="1"/>
  <c r="P119" i="43"/>
  <c r="J77" i="47"/>
  <c r="A130" i="27"/>
  <c r="B130" i="27" s="1"/>
  <c r="B129" i="27"/>
  <c r="Y110" i="45"/>
  <c r="Y109" i="45"/>
  <c r="M114" i="43"/>
  <c r="I114" i="43"/>
  <c r="M115" i="43"/>
  <c r="I115" i="43"/>
  <c r="G114" i="43"/>
  <c r="AE79" i="46"/>
  <c r="AG79" i="46" s="1"/>
  <c r="AE83" i="46"/>
  <c r="R78" i="46"/>
  <c r="D79" i="46"/>
  <c r="F79" i="46" s="1"/>
  <c r="H79" i="46" s="1"/>
  <c r="R74" i="46"/>
  <c r="P119" i="34"/>
  <c r="O120" i="34"/>
  <c r="P120" i="34" s="1"/>
  <c r="AA120" i="27"/>
  <c r="AO120" i="27" s="1"/>
  <c r="AP120" i="27" s="1"/>
  <c r="W120" i="27"/>
  <c r="AA119" i="27"/>
  <c r="AO119" i="27" s="1"/>
  <c r="AP119" i="27" s="1"/>
  <c r="W119" i="27"/>
  <c r="O125" i="35"/>
  <c r="P125" i="35" s="1"/>
  <c r="P124" i="35"/>
  <c r="AE69" i="44"/>
  <c r="AG69" i="44" s="1"/>
  <c r="R68" i="44"/>
  <c r="AE73" i="44"/>
  <c r="D69" i="44"/>
  <c r="AJ130" i="50"/>
  <c r="AJ129" i="50"/>
  <c r="O137" i="30"/>
  <c r="P136" i="30"/>
  <c r="O141" i="30"/>
  <c r="Y115" i="35"/>
  <c r="Y114" i="35"/>
  <c r="B132" i="46"/>
  <c r="A133" i="46"/>
  <c r="AJ129" i="48"/>
  <c r="AJ130" i="48"/>
  <c r="X107" i="49"/>
  <c r="A130" i="42"/>
  <c r="B130" i="42" s="1"/>
  <c r="B129" i="42"/>
  <c r="A130" i="38"/>
  <c r="B130" i="38" s="1"/>
  <c r="B129" i="38"/>
  <c r="B136" i="30"/>
  <c r="A141" i="30"/>
  <c r="A137" i="30"/>
  <c r="AV9" i="16"/>
  <c r="O132" i="27"/>
  <c r="P131" i="27"/>
  <c r="O136" i="27"/>
  <c r="G107" i="30"/>
  <c r="K110" i="30"/>
  <c r="K109" i="30"/>
  <c r="G8" i="17"/>
  <c r="A125" i="30"/>
  <c r="B125" i="30" s="1"/>
  <c r="B124" i="30"/>
  <c r="AL130" i="49"/>
  <c r="AH130" i="49"/>
  <c r="AL129" i="49"/>
  <c r="AH129" i="49"/>
  <c r="AI127" i="49"/>
  <c r="M115" i="46"/>
  <c r="I115" i="46"/>
  <c r="G114" i="46"/>
  <c r="M114" i="46"/>
  <c r="I114" i="46"/>
  <c r="Q112" i="39"/>
  <c r="Q114" i="39"/>
  <c r="C117" i="29"/>
  <c r="G118" i="29"/>
  <c r="B137" i="32"/>
  <c r="A138" i="32"/>
  <c r="T43" i="40"/>
  <c r="V43" i="40"/>
  <c r="M131" i="59"/>
  <c r="M132" i="59"/>
  <c r="G131" i="59"/>
  <c r="C119" i="30"/>
  <c r="C118" i="30"/>
  <c r="AA120" i="28"/>
  <c r="AO120" i="28" s="1"/>
  <c r="AP120" i="28" s="1"/>
  <c r="W120" i="28"/>
  <c r="AA119" i="28"/>
  <c r="AO119" i="28" s="1"/>
  <c r="AP119" i="28" s="1"/>
  <c r="W119" i="28"/>
  <c r="K114" i="35"/>
  <c r="G112" i="35"/>
  <c r="K115" i="35"/>
  <c r="AR94" i="45"/>
  <c r="AR95" i="45"/>
  <c r="AK40" i="41"/>
  <c r="AM40" i="41" s="1"/>
  <c r="AS40" i="41" s="1"/>
  <c r="Z40" i="41"/>
  <c r="L45" i="41"/>
  <c r="AR95" i="37"/>
  <c r="P127" i="39"/>
  <c r="O128" i="39"/>
  <c r="B141" i="40"/>
  <c r="A146" i="40"/>
  <c r="A142" i="40"/>
  <c r="AI147" i="46"/>
  <c r="AL149" i="46"/>
  <c r="AH149" i="46"/>
  <c r="AH150" i="46"/>
  <c r="AL150" i="46"/>
  <c r="Y110" i="44"/>
  <c r="Y109" i="44"/>
  <c r="AJ130" i="42"/>
  <c r="AJ129" i="42"/>
  <c r="C123" i="38"/>
  <c r="C124" i="38"/>
  <c r="J49" i="42"/>
  <c r="J50" i="42"/>
  <c r="X112" i="26"/>
  <c r="H57" i="42"/>
  <c r="AL150" i="59"/>
  <c r="AL149" i="59"/>
  <c r="H7" i="14"/>
  <c r="I7" i="14" s="1"/>
  <c r="D7" i="14"/>
  <c r="F7" i="14" s="1"/>
  <c r="G7" i="14" s="1"/>
  <c r="A130" i="29"/>
  <c r="B130" i="29" s="1"/>
  <c r="B129" i="29"/>
  <c r="H64" i="45"/>
  <c r="H65" i="45" s="1"/>
  <c r="J65" i="45" s="1"/>
  <c r="F65" i="45"/>
  <c r="J64" i="45" s="1"/>
  <c r="AA13" i="22"/>
  <c r="AG13" i="22" s="1"/>
  <c r="X12" i="22"/>
  <c r="F102" i="48"/>
  <c r="Y115" i="41"/>
  <c r="Y114" i="41"/>
  <c r="A129" i="48"/>
  <c r="B128" i="48"/>
  <c r="C117" i="41"/>
  <c r="G118" i="41"/>
  <c r="O124" i="37"/>
  <c r="P123" i="37"/>
  <c r="Q123" i="37" s="1"/>
  <c r="A125" i="43"/>
  <c r="B125" i="43" s="1"/>
  <c r="B124" i="43"/>
  <c r="AL125" i="44"/>
  <c r="AH125" i="44"/>
  <c r="AI122" i="44"/>
  <c r="AL124" i="44"/>
  <c r="AH124" i="44"/>
  <c r="AL130" i="30"/>
  <c r="AH130" i="30"/>
  <c r="AI127" i="30"/>
  <c r="AL129" i="30"/>
  <c r="AH129" i="30"/>
  <c r="P131" i="34"/>
  <c r="O136" i="34"/>
  <c r="O132" i="34"/>
  <c r="V37" i="38"/>
  <c r="T37" i="38"/>
  <c r="AG34" i="38"/>
  <c r="AG35" i="38" s="1"/>
  <c r="AE35" i="38"/>
  <c r="AI34" i="38" s="1"/>
  <c r="AM34" i="38" s="1"/>
  <c r="AS34" i="38" s="1"/>
  <c r="C124" i="44"/>
  <c r="C123" i="44"/>
  <c r="P132" i="26"/>
  <c r="O133" i="26"/>
  <c r="AL130" i="27"/>
  <c r="AH130" i="27"/>
  <c r="AI127" i="27"/>
  <c r="AL129" i="27"/>
  <c r="AH129" i="27"/>
  <c r="AJ125" i="38"/>
  <c r="AJ124" i="38"/>
  <c r="X40" i="41"/>
  <c r="AA120" i="49"/>
  <c r="AO120" i="49" s="1"/>
  <c r="W120" i="49"/>
  <c r="AA119" i="49"/>
  <c r="AO119" i="49" s="1"/>
  <c r="W119" i="49"/>
  <c r="J70" i="46"/>
  <c r="W145" i="32"/>
  <c r="AA144" i="32"/>
  <c r="AO144" i="32" s="1"/>
  <c r="AP144" i="32" s="1"/>
  <c r="W144" i="32"/>
  <c r="AA145" i="32"/>
  <c r="AO145" i="32" s="1"/>
  <c r="AP145" i="32" s="1"/>
  <c r="J90" i="50"/>
  <c r="J89" i="50"/>
  <c r="O128" i="46"/>
  <c r="P127" i="46"/>
  <c r="F72" i="43"/>
  <c r="F59" i="43"/>
  <c r="J57" i="43"/>
  <c r="B153" i="59"/>
  <c r="A154" i="59"/>
  <c r="P124" i="47"/>
  <c r="O125" i="47"/>
  <c r="P125" i="47" s="1"/>
  <c r="H11" i="18"/>
  <c r="I11" i="18" s="1"/>
  <c r="D11" i="18"/>
  <c r="AV13" i="20"/>
  <c r="H15" i="22"/>
  <c r="I15" i="22" s="1"/>
  <c r="D15" i="22"/>
  <c r="F15" i="22" s="1"/>
  <c r="G15" i="22" s="1"/>
  <c r="O125" i="30"/>
  <c r="P125" i="30" s="1"/>
  <c r="P124" i="30"/>
  <c r="O128" i="31"/>
  <c r="P127" i="31"/>
  <c r="B143" i="59"/>
  <c r="A144" i="59"/>
  <c r="B144" i="59" s="1"/>
  <c r="A141" i="45"/>
  <c r="A137" i="45"/>
  <c r="B136" i="45"/>
  <c r="Q112" i="37"/>
  <c r="Q114" i="37"/>
  <c r="AC134" i="45"/>
  <c r="AD134" i="45" s="1"/>
  <c r="AD133" i="45"/>
  <c r="AC138" i="45"/>
  <c r="AI137" i="40"/>
  <c r="AL139" i="40"/>
  <c r="AH139" i="40"/>
  <c r="AL140" i="40"/>
  <c r="AH140" i="40"/>
  <c r="AF13" i="23"/>
  <c r="K110" i="36"/>
  <c r="K109" i="36"/>
  <c r="G107" i="36"/>
  <c r="AV12" i="19"/>
  <c r="V59" i="44"/>
  <c r="V60" i="44" s="1"/>
  <c r="T59" i="44"/>
  <c r="T60" i="44" s="1"/>
  <c r="X59" i="44" s="1"/>
  <c r="B137" i="34"/>
  <c r="A138" i="34"/>
  <c r="AL124" i="29"/>
  <c r="AH124" i="29"/>
  <c r="AL125" i="29"/>
  <c r="AH125" i="29"/>
  <c r="AI122" i="29"/>
  <c r="AR6" i="61"/>
  <c r="AI9" i="68" s="1"/>
  <c r="B6" i="12"/>
  <c r="AP6" i="12"/>
  <c r="C17" i="48"/>
  <c r="AE94" i="48" s="1"/>
  <c r="AG94" i="48" s="1"/>
  <c r="B137" i="38"/>
  <c r="A138" i="38"/>
  <c r="H16" i="23"/>
  <c r="I16" i="23" s="1"/>
  <c r="D16" i="23"/>
  <c r="F16" i="23" s="1"/>
  <c r="G16" i="23" s="1"/>
  <c r="H74" i="47"/>
  <c r="H75" i="47" s="1"/>
  <c r="J75" i="47" s="1"/>
  <c r="F75" i="47"/>
  <c r="J74" i="47" s="1"/>
  <c r="K115" i="27"/>
  <c r="K114" i="27"/>
  <c r="G112" i="27"/>
  <c r="AA120" i="40"/>
  <c r="AO120" i="40" s="1"/>
  <c r="AP120" i="40" s="1"/>
  <c r="W120" i="40"/>
  <c r="AA119" i="40"/>
  <c r="AO119" i="40" s="1"/>
  <c r="AP119" i="40" s="1"/>
  <c r="W119" i="40"/>
  <c r="A125" i="36"/>
  <c r="B125" i="36" s="1"/>
  <c r="B124" i="36"/>
  <c r="G118" i="32"/>
  <c r="C117" i="32"/>
  <c r="C118" i="45"/>
  <c r="C119" i="45"/>
  <c r="AI127" i="32"/>
  <c r="AL129" i="32"/>
  <c r="AH129" i="32"/>
  <c r="AL130" i="32"/>
  <c r="AH130" i="32"/>
  <c r="M119" i="33"/>
  <c r="I119" i="33"/>
  <c r="M120" i="33"/>
  <c r="I120" i="33"/>
  <c r="G119" i="33"/>
  <c r="P153" i="59"/>
  <c r="O154" i="59"/>
  <c r="X107" i="46"/>
  <c r="F69" i="45"/>
  <c r="J67" i="45"/>
  <c r="C124" i="27"/>
  <c r="C123" i="27"/>
  <c r="C117" i="50"/>
  <c r="G118" i="50"/>
  <c r="O124" i="34"/>
  <c r="P123" i="34"/>
  <c r="Q123" i="34" s="1"/>
  <c r="D17" i="24"/>
  <c r="F17" i="24" s="1"/>
  <c r="G17" i="24" s="1"/>
  <c r="H17" i="24"/>
  <c r="I17" i="24" s="1"/>
  <c r="Y115" i="38"/>
  <c r="Y114" i="38"/>
  <c r="X5" i="14"/>
  <c r="AA5" i="14"/>
  <c r="AG5" i="14" s="1"/>
  <c r="B132" i="37"/>
  <c r="A133" i="37"/>
  <c r="H44" i="41"/>
  <c r="H45" i="41" s="1"/>
  <c r="J45" i="41" s="1"/>
  <c r="F45" i="41"/>
  <c r="J44" i="41" s="1"/>
  <c r="F78" i="46"/>
  <c r="AG78" i="46"/>
  <c r="AQ7" i="61"/>
  <c r="AH10" i="68" s="1"/>
  <c r="C16" i="47"/>
  <c r="B7" i="13"/>
  <c r="AP7" i="13"/>
  <c r="O141" i="38"/>
  <c r="O137" i="38"/>
  <c r="P136" i="38"/>
  <c r="O124" i="46"/>
  <c r="P123" i="46"/>
  <c r="Q123" i="46" s="1"/>
  <c r="M119" i="27"/>
  <c r="I119" i="27"/>
  <c r="M120" i="27"/>
  <c r="I120" i="27"/>
  <c r="G119" i="27"/>
  <c r="A134" i="33"/>
  <c r="B133" i="33"/>
  <c r="AJ129" i="31"/>
  <c r="AJ130" i="31"/>
  <c r="AL130" i="39"/>
  <c r="AI127" i="39"/>
  <c r="AH129" i="39"/>
  <c r="AL129" i="39"/>
  <c r="AH130" i="39"/>
  <c r="K114" i="40"/>
  <c r="G112" i="40"/>
  <c r="K115" i="40"/>
  <c r="A146" i="42"/>
  <c r="A142" i="42"/>
  <c r="B141" i="42"/>
  <c r="Q117" i="38"/>
  <c r="Q119" i="38"/>
  <c r="A129" i="45"/>
  <c r="B128" i="45"/>
  <c r="AG6" i="16"/>
  <c r="R48" i="40"/>
  <c r="AE49" i="40"/>
  <c r="AG49" i="40" s="1"/>
  <c r="AE53" i="40"/>
  <c r="R44" i="40"/>
  <c r="D49" i="40"/>
  <c r="D57" i="40"/>
  <c r="R52" i="40"/>
  <c r="F107" i="50"/>
  <c r="Y110" i="43"/>
  <c r="Y109" i="43"/>
  <c r="B137" i="41"/>
  <c r="A138" i="41"/>
  <c r="AC129" i="35"/>
  <c r="AD129" i="35" s="1"/>
  <c r="AD128" i="35"/>
  <c r="AC133" i="35"/>
  <c r="Y110" i="39"/>
  <c r="Y109" i="39"/>
  <c r="P131" i="40"/>
  <c r="O136" i="40"/>
  <c r="O132" i="40"/>
  <c r="A141" i="36"/>
  <c r="A137" i="36"/>
  <c r="B136" i="36"/>
  <c r="X107" i="40"/>
  <c r="C124" i="34"/>
  <c r="C123" i="34"/>
  <c r="D112" i="50"/>
  <c r="K114" i="50"/>
  <c r="G112" i="50"/>
  <c r="K115" i="50"/>
  <c r="V57" i="42"/>
  <c r="T57" i="42"/>
  <c r="P123" i="31"/>
  <c r="Q123" i="31" s="1"/>
  <c r="O124" i="31"/>
  <c r="O125" i="42"/>
  <c r="P125" i="42" s="1"/>
  <c r="P124" i="42"/>
  <c r="M120" i="42"/>
  <c r="I120" i="42"/>
  <c r="G119" i="42"/>
  <c r="I119" i="42"/>
  <c r="M119" i="42"/>
  <c r="M114" i="26"/>
  <c r="I114" i="26"/>
  <c r="M115" i="26"/>
  <c r="I115" i="26"/>
  <c r="G114" i="26"/>
  <c r="C112" i="36"/>
  <c r="G113" i="36"/>
  <c r="H4" i="11"/>
  <c r="I4" i="11" s="1"/>
  <c r="D4" i="11"/>
  <c r="V42" i="39"/>
  <c r="T42" i="39"/>
  <c r="B137" i="28"/>
  <c r="A138" i="28"/>
  <c r="C117" i="34"/>
  <c r="G118" i="34"/>
  <c r="M114" i="48"/>
  <c r="I114" i="48"/>
  <c r="M115" i="48"/>
  <c r="I115" i="48"/>
  <c r="G114" i="48"/>
  <c r="AA125" i="48"/>
  <c r="AO125" i="48" s="1"/>
  <c r="AP125" i="48" s="1"/>
  <c r="W125" i="48"/>
  <c r="AA124" i="48"/>
  <c r="AO124" i="48" s="1"/>
  <c r="AP124" i="48" s="1"/>
  <c r="W124" i="48"/>
  <c r="V83" i="48"/>
  <c r="T83" i="48"/>
  <c r="A125" i="37"/>
  <c r="B125" i="37" s="1"/>
  <c r="B124" i="37"/>
  <c r="AG70" i="45"/>
  <c r="AI70" i="45" s="1"/>
  <c r="Q119" i="36"/>
  <c r="Q117" i="36"/>
  <c r="K115" i="49"/>
  <c r="K114" i="49"/>
  <c r="G112" i="49"/>
  <c r="AA125" i="38"/>
  <c r="AO125" i="38" s="1"/>
  <c r="AP125" i="38" s="1"/>
  <c r="W125" i="38"/>
  <c r="AA124" i="38"/>
  <c r="AO124" i="38" s="1"/>
  <c r="AP124" i="38" s="1"/>
  <c r="W124" i="38"/>
  <c r="AA144" i="59"/>
  <c r="AQ144" i="59" s="1"/>
  <c r="AR144" i="59" s="1"/>
  <c r="AA143" i="59"/>
  <c r="AQ143" i="59" s="1"/>
  <c r="AR143" i="59" s="1"/>
  <c r="M120" i="35"/>
  <c r="I120" i="35"/>
  <c r="G119" i="35"/>
  <c r="M119" i="35"/>
  <c r="I119" i="35"/>
  <c r="AA10" i="53"/>
  <c r="AG10" i="53" s="1"/>
  <c r="AG4" i="14"/>
  <c r="X112" i="42"/>
  <c r="F94" i="49"/>
  <c r="H94" i="49" s="1"/>
  <c r="V88" i="49"/>
  <c r="T88" i="49"/>
  <c r="Q117" i="35"/>
  <c r="Q119" i="35"/>
  <c r="J37" i="39"/>
  <c r="J85" i="49"/>
  <c r="J84" i="49"/>
  <c r="O132" i="33"/>
  <c r="P131" i="33"/>
  <c r="O136" i="33"/>
  <c r="C117" i="49"/>
  <c r="G118" i="49"/>
  <c r="AA120" i="43"/>
  <c r="AO120" i="43" s="1"/>
  <c r="AP120" i="43" s="1"/>
  <c r="W120" i="43"/>
  <c r="AA119" i="43"/>
  <c r="AO119" i="43" s="1"/>
  <c r="AP119" i="43" s="1"/>
  <c r="W119" i="43"/>
  <c r="Y4" i="12"/>
  <c r="Y15" i="23"/>
  <c r="H78" i="47"/>
  <c r="H80" i="47" s="1"/>
  <c r="F80" i="47"/>
  <c r="A130" i="31"/>
  <c r="B130" i="31" s="1"/>
  <c r="B129" i="31"/>
  <c r="A134" i="28"/>
  <c r="B133" i="28"/>
  <c r="A125" i="48"/>
  <c r="B125" i="48" s="1"/>
  <c r="B124" i="48"/>
  <c r="F50" i="41"/>
  <c r="J49" i="41" s="1"/>
  <c r="O128" i="28"/>
  <c r="P127" i="28"/>
  <c r="C124" i="28"/>
  <c r="C123" i="28"/>
  <c r="AO9" i="61"/>
  <c r="AF12" i="68" s="1"/>
  <c r="B9" i="15"/>
  <c r="C14" i="45"/>
  <c r="AH10" i="45" s="1"/>
  <c r="AP9" i="15"/>
  <c r="A129" i="26"/>
  <c r="B128" i="26"/>
  <c r="AE55" i="42"/>
  <c r="AI54" i="42" s="1"/>
  <c r="P132" i="42"/>
  <c r="O133" i="42"/>
  <c r="W119" i="39"/>
  <c r="W120" i="39"/>
  <c r="AA119" i="39"/>
  <c r="AO119" i="39" s="1"/>
  <c r="AP119" i="39" s="1"/>
  <c r="AA120" i="39"/>
  <c r="AO120" i="39" s="1"/>
  <c r="AP120" i="39" s="1"/>
  <c r="O120" i="44"/>
  <c r="P120" i="44" s="1"/>
  <c r="P119" i="44"/>
  <c r="AM11" i="61"/>
  <c r="AD14" i="68" s="1"/>
  <c r="C12" i="43"/>
  <c r="B11" i="17"/>
  <c r="AP11" i="17"/>
  <c r="AI127" i="50"/>
  <c r="AL129" i="50"/>
  <c r="AH129" i="50"/>
  <c r="AL130" i="50"/>
  <c r="AH130" i="50"/>
  <c r="A134" i="31"/>
  <c r="B133" i="31"/>
  <c r="B132" i="48"/>
  <c r="A133" i="48"/>
  <c r="O124" i="40"/>
  <c r="P123" i="40"/>
  <c r="Q123" i="40" s="1"/>
  <c r="A129" i="36"/>
  <c r="B128" i="36"/>
  <c r="AL130" i="48"/>
  <c r="AH130" i="48"/>
  <c r="AI127" i="48"/>
  <c r="AL129" i="48"/>
  <c r="AH129" i="48"/>
  <c r="Q114" i="45"/>
  <c r="Q112" i="45"/>
  <c r="B137" i="35"/>
  <c r="A138" i="35"/>
  <c r="H62" i="43"/>
  <c r="A138" i="47"/>
  <c r="B137" i="47"/>
  <c r="AE74" i="45"/>
  <c r="AG74" i="45" s="1"/>
  <c r="AE78" i="45"/>
  <c r="R64" i="45"/>
  <c r="R73" i="45"/>
  <c r="D74" i="45"/>
  <c r="D78" i="45"/>
  <c r="Y5" i="13"/>
  <c r="J95" i="50"/>
  <c r="N95" i="50" s="1"/>
  <c r="AQ95" i="50" s="1"/>
  <c r="J94" i="50"/>
  <c r="N94" i="50" s="1"/>
  <c r="AQ94" i="50" s="1"/>
  <c r="P128" i="36"/>
  <c r="Q128" i="36" s="1"/>
  <c r="O129" i="36"/>
  <c r="Y11" i="19"/>
  <c r="Y115" i="36"/>
  <c r="Y114" i="36"/>
  <c r="Q117" i="41"/>
  <c r="Q119" i="41"/>
  <c r="G113" i="39"/>
  <c r="C112" i="39"/>
  <c r="A130" i="34"/>
  <c r="B130" i="34" s="1"/>
  <c r="B129" i="34"/>
  <c r="B148" i="59"/>
  <c r="A149" i="59"/>
  <c r="B132" i="43"/>
  <c r="A133" i="43"/>
  <c r="X112" i="29"/>
  <c r="K114" i="34"/>
  <c r="G112" i="34"/>
  <c r="K115" i="34"/>
  <c r="Q114" i="31"/>
  <c r="Q112" i="31"/>
  <c r="V39" i="40"/>
  <c r="V40" i="40" s="1"/>
  <c r="C129" i="59"/>
  <c r="G130" i="59"/>
  <c r="A134" i="34"/>
  <c r="B133" i="34"/>
  <c r="AJ129" i="26"/>
  <c r="AJ130" i="26"/>
  <c r="P119" i="28"/>
  <c r="O120" i="28"/>
  <c r="P120" i="28" s="1"/>
  <c r="C119" i="48"/>
  <c r="C118" i="48"/>
  <c r="Q119" i="42"/>
  <c r="Q117" i="42"/>
  <c r="C118" i="36"/>
  <c r="C119" i="36"/>
  <c r="A130" i="32"/>
  <c r="B130" i="32" s="1"/>
  <c r="B129" i="32"/>
  <c r="AF8" i="17"/>
  <c r="AG15" i="24"/>
  <c r="X7" i="16"/>
  <c r="V23" i="46" l="1"/>
  <c r="Z22" i="46" s="1"/>
  <c r="Z23" i="46" s="1"/>
  <c r="Z28" i="45"/>
  <c r="AJ10" i="47"/>
  <c r="AP65" i="46"/>
  <c r="AP35" i="46"/>
  <c r="AT35" i="46" s="1"/>
  <c r="E5" i="46" s="1"/>
  <c r="AK39" i="46"/>
  <c r="AM39" i="46" s="1"/>
  <c r="AS39" i="46" s="1"/>
  <c r="L44" i="46"/>
  <c r="N44" i="46" s="1"/>
  <c r="AQ44" i="46" s="1"/>
  <c r="Z39" i="46"/>
  <c r="AB39" i="46" s="1"/>
  <c r="AR49" i="47"/>
  <c r="AT49" i="44"/>
  <c r="D8" i="44" s="1"/>
  <c r="Z54" i="44" s="1"/>
  <c r="AB54" i="44" s="1"/>
  <c r="AR45" i="44"/>
  <c r="AT45" i="44" s="1"/>
  <c r="E7" i="44" s="1"/>
  <c r="AK50" i="44" s="1"/>
  <c r="AM50" i="44" s="1"/>
  <c r="AS50" i="44" s="1"/>
  <c r="AT50" i="44" s="1"/>
  <c r="E8" i="44" s="1"/>
  <c r="L60" i="44" s="1"/>
  <c r="N60" i="44" s="1"/>
  <c r="AQ60" i="44" s="1"/>
  <c r="B72" i="66"/>
  <c r="L173" i="66"/>
  <c r="V69" i="46"/>
  <c r="V70" i="46" s="1"/>
  <c r="AI85" i="48"/>
  <c r="D66" i="65"/>
  <c r="A66" i="65" s="1"/>
  <c r="V49" i="41"/>
  <c r="V50" i="41" s="1"/>
  <c r="AN11" i="50"/>
  <c r="J66" i="66"/>
  <c r="B66" i="65" s="1"/>
  <c r="J44" i="40"/>
  <c r="D73" i="66"/>
  <c r="B73" i="66" s="1"/>
  <c r="Y7" i="14"/>
  <c r="AP59" i="50"/>
  <c r="V72" i="44"/>
  <c r="AI45" i="40"/>
  <c r="Z10" i="43"/>
  <c r="T93" i="49"/>
  <c r="X8" i="17"/>
  <c r="A105" i="66"/>
  <c r="B105" i="66"/>
  <c r="D148" i="66"/>
  <c r="B148" i="66" s="1"/>
  <c r="D128" i="66"/>
  <c r="D106" i="66"/>
  <c r="L115" i="66"/>
  <c r="I114" i="66"/>
  <c r="D114" i="65"/>
  <c r="A114" i="65" s="1"/>
  <c r="J114" i="66"/>
  <c r="B114" i="65" s="1"/>
  <c r="AN11" i="48"/>
  <c r="Y9" i="16"/>
  <c r="X8" i="16" s="1"/>
  <c r="T50" i="41"/>
  <c r="X49" i="41" s="1"/>
  <c r="L5" i="41"/>
  <c r="AP45" i="41" s="1"/>
  <c r="J173" i="66"/>
  <c r="B173" i="65" s="1"/>
  <c r="I173" i="66"/>
  <c r="D173" i="65"/>
  <c r="A173" i="65" s="1"/>
  <c r="D74" i="65"/>
  <c r="A74" i="65" s="1"/>
  <c r="I74" i="66"/>
  <c r="J74" i="66"/>
  <c r="B74" i="65" s="1"/>
  <c r="D88" i="65"/>
  <c r="A88" i="65" s="1"/>
  <c r="I88" i="66"/>
  <c r="J88" i="66"/>
  <c r="B88" i="65" s="1"/>
  <c r="J46" i="66"/>
  <c r="B46" i="65" s="1"/>
  <c r="D46" i="65"/>
  <c r="A46" i="65" s="1"/>
  <c r="I46" i="66"/>
  <c r="D70" i="66"/>
  <c r="L75" i="66"/>
  <c r="D83" i="66"/>
  <c r="L89" i="66"/>
  <c r="B69" i="66"/>
  <c r="A69" i="66"/>
  <c r="A82" i="66"/>
  <c r="B82" i="66"/>
  <c r="B43" i="66"/>
  <c r="A43" i="66"/>
  <c r="D122" i="66"/>
  <c r="AL10" i="45"/>
  <c r="AJ10" i="45"/>
  <c r="R84" i="47"/>
  <c r="V84" i="47" s="1"/>
  <c r="D98" i="47"/>
  <c r="F98" i="47" s="1"/>
  <c r="H98" i="47" s="1"/>
  <c r="R97" i="47"/>
  <c r="D102" i="47"/>
  <c r="F102" i="47" s="1"/>
  <c r="CR100" i="61"/>
  <c r="D56" i="66"/>
  <c r="L59" i="66"/>
  <c r="D67" i="41"/>
  <c r="F67" i="41" s="1"/>
  <c r="H67" i="41" s="1"/>
  <c r="AJ15" i="41"/>
  <c r="AL15" i="41" s="1"/>
  <c r="AH5" i="41"/>
  <c r="AJ5" i="41" s="1"/>
  <c r="AL5" i="41" s="1"/>
  <c r="AH9" i="41"/>
  <c r="T22" i="41"/>
  <c r="CT98" i="61"/>
  <c r="D18" i="66"/>
  <c r="L19" i="66"/>
  <c r="AL8" i="44"/>
  <c r="AJ8" i="44"/>
  <c r="V97" i="48"/>
  <c r="T97" i="48"/>
  <c r="H97" i="47"/>
  <c r="AJ8" i="41"/>
  <c r="AL8" i="41"/>
  <c r="AL14" i="41"/>
  <c r="AL16" i="41" s="1"/>
  <c r="AJ16" i="41"/>
  <c r="AN15" i="41" s="1"/>
  <c r="B17" i="66"/>
  <c r="A17" i="66"/>
  <c r="X28" i="41"/>
  <c r="B74" i="66"/>
  <c r="A74" i="66"/>
  <c r="B55" i="66"/>
  <c r="A55" i="66"/>
  <c r="D98" i="65"/>
  <c r="I98" i="66"/>
  <c r="J98" i="66"/>
  <c r="B98" i="65" s="1"/>
  <c r="AH10" i="46"/>
  <c r="AL10" i="46" s="1"/>
  <c r="R87" i="46"/>
  <c r="D97" i="46"/>
  <c r="F97" i="46" s="1"/>
  <c r="D108" i="50"/>
  <c r="F108" i="50" s="1"/>
  <c r="H108" i="50" s="1"/>
  <c r="R99" i="50"/>
  <c r="CS99" i="61"/>
  <c r="D37" i="66"/>
  <c r="L39" i="66"/>
  <c r="L159" i="66"/>
  <c r="AE108" i="50"/>
  <c r="AG108" i="50" s="1"/>
  <c r="AL4" i="44"/>
  <c r="V87" i="47"/>
  <c r="T87" i="47"/>
  <c r="D38" i="65"/>
  <c r="A38" i="65" s="1"/>
  <c r="I38" i="66"/>
  <c r="J38" i="66"/>
  <c r="B38" i="65" s="1"/>
  <c r="T89" i="50"/>
  <c r="T90" i="50" s="1"/>
  <c r="X89" i="50" s="1"/>
  <c r="V89" i="50"/>
  <c r="V90" i="50" s="1"/>
  <c r="AJ6" i="41"/>
  <c r="AL3" i="41"/>
  <c r="AL6" i="41" s="1"/>
  <c r="D158" i="65"/>
  <c r="A158" i="65" s="1"/>
  <c r="J158" i="66"/>
  <c r="B158" i="65" s="1"/>
  <c r="I158" i="66"/>
  <c r="D198" i="65"/>
  <c r="A198" i="65" s="1"/>
  <c r="I198" i="66"/>
  <c r="J198" i="66"/>
  <c r="B198" i="65" s="1"/>
  <c r="B93" i="66"/>
  <c r="A93" i="66"/>
  <c r="D94" i="66"/>
  <c r="L99" i="66"/>
  <c r="L139" i="66"/>
  <c r="D75" i="66"/>
  <c r="L79" i="66"/>
  <c r="R89" i="49"/>
  <c r="D103" i="49"/>
  <c r="F103" i="49" s="1"/>
  <c r="D107" i="49"/>
  <c r="F107" i="49" s="1"/>
  <c r="R102" i="49"/>
  <c r="AE104" i="50"/>
  <c r="AG104" i="50" s="1"/>
  <c r="D104" i="50"/>
  <c r="J102" i="50" s="1"/>
  <c r="X15" i="46"/>
  <c r="X16" i="46" s="1"/>
  <c r="Z16" i="46" s="1"/>
  <c r="V16" i="46"/>
  <c r="Z15" i="46" s="1"/>
  <c r="B36" i="66"/>
  <c r="A36" i="66"/>
  <c r="V21" i="41"/>
  <c r="X21" i="41"/>
  <c r="N18" i="41"/>
  <c r="L4" i="41" s="1"/>
  <c r="AP44" i="41" s="1"/>
  <c r="D170" i="66"/>
  <c r="R107" i="50"/>
  <c r="V107" i="50" s="1"/>
  <c r="L199" i="66"/>
  <c r="R103" i="50"/>
  <c r="V103" i="50" s="1"/>
  <c r="V15" i="41"/>
  <c r="X15" i="41" s="1"/>
  <c r="Z13" i="41"/>
  <c r="Z5" i="41"/>
  <c r="AD5" i="41" s="1"/>
  <c r="X6" i="41" s="1"/>
  <c r="D18" i="65"/>
  <c r="A18" i="65" s="1"/>
  <c r="I18" i="66"/>
  <c r="J18" i="66"/>
  <c r="B18" i="65" s="1"/>
  <c r="V28" i="41"/>
  <c r="Z27" i="41" s="1"/>
  <c r="D138" i="65"/>
  <c r="I138" i="66"/>
  <c r="J138" i="66"/>
  <c r="B138" i="65" s="1"/>
  <c r="D78" i="65"/>
  <c r="A78" i="65" s="1"/>
  <c r="I78" i="66"/>
  <c r="J78" i="66"/>
  <c r="B78" i="65" s="1"/>
  <c r="D58" i="65"/>
  <c r="A58" i="65" s="1"/>
  <c r="I58" i="66"/>
  <c r="J58" i="66"/>
  <c r="B58" i="65" s="1"/>
  <c r="AP59" i="45"/>
  <c r="V16" i="42"/>
  <c r="AI40" i="39"/>
  <c r="X50" i="42"/>
  <c r="AL16" i="45"/>
  <c r="Z13" i="42"/>
  <c r="Z15" i="42" s="1"/>
  <c r="V28" i="44"/>
  <c r="Z27" i="44" s="1"/>
  <c r="X28" i="44"/>
  <c r="X16" i="42"/>
  <c r="AJ16" i="45"/>
  <c r="AN15" i="45" s="1"/>
  <c r="Z10" i="44"/>
  <c r="Z5" i="47"/>
  <c r="D77" i="43"/>
  <c r="AJ15" i="43"/>
  <c r="AL15" i="43" s="1"/>
  <c r="AH5" i="43"/>
  <c r="AJ5" i="43" s="1"/>
  <c r="AL5" i="43" s="1"/>
  <c r="AH9" i="43"/>
  <c r="T22" i="43"/>
  <c r="CN104" i="61"/>
  <c r="CQ101" i="61"/>
  <c r="CO103" i="61"/>
  <c r="D72" i="42"/>
  <c r="AH9" i="42"/>
  <c r="AJ15" i="42"/>
  <c r="AL15" i="42" s="1"/>
  <c r="AH5" i="42"/>
  <c r="AJ5" i="42" s="1"/>
  <c r="AL5" i="42" s="1"/>
  <c r="T22" i="42"/>
  <c r="V21" i="43"/>
  <c r="X21" i="43"/>
  <c r="Z13" i="43"/>
  <c r="P16" i="43"/>
  <c r="N18" i="43" s="1"/>
  <c r="L4" i="43" s="1"/>
  <c r="AP54" i="43" s="1"/>
  <c r="AJ16" i="46"/>
  <c r="AN15" i="46" s="1"/>
  <c r="A108" i="65"/>
  <c r="V16" i="43"/>
  <c r="N19" i="44"/>
  <c r="L5" i="44" s="1"/>
  <c r="AP60" i="44" s="1"/>
  <c r="V15" i="44"/>
  <c r="Z13" i="44"/>
  <c r="AL14" i="44"/>
  <c r="AL14" i="42"/>
  <c r="AJ16" i="42"/>
  <c r="AN15" i="42" s="1"/>
  <c r="AL11" i="47"/>
  <c r="AL3" i="42"/>
  <c r="AJ6" i="42"/>
  <c r="CL106" i="61"/>
  <c r="CF112" i="61"/>
  <c r="AH5" i="44"/>
  <c r="AJ15" i="44"/>
  <c r="AL15" i="44" s="1"/>
  <c r="AH9" i="44"/>
  <c r="CK107" i="61"/>
  <c r="Z28" i="46"/>
  <c r="X15" i="45"/>
  <c r="X16" i="45" s="1"/>
  <c r="Z16" i="45" s="1"/>
  <c r="V16" i="45"/>
  <c r="Z15" i="45" s="1"/>
  <c r="AL9" i="46"/>
  <c r="AJ9" i="46"/>
  <c r="AL14" i="43"/>
  <c r="AL16" i="46"/>
  <c r="AN16" i="46" s="1"/>
  <c r="X16" i="43"/>
  <c r="AL3" i="43"/>
  <c r="AJ6" i="43"/>
  <c r="AJ5" i="45"/>
  <c r="AN3" i="45"/>
  <c r="AJ11" i="47"/>
  <c r="AN10" i="47" s="1"/>
  <c r="AN16" i="47"/>
  <c r="V28" i="43"/>
  <c r="Z27" i="43" s="1"/>
  <c r="R69" i="45"/>
  <c r="V69" i="45" s="1"/>
  <c r="V70" i="45" s="1"/>
  <c r="T22" i="45"/>
  <c r="CH110" i="61"/>
  <c r="CG111" i="61"/>
  <c r="CI109" i="61"/>
  <c r="X4" i="46"/>
  <c r="X5" i="46" s="1"/>
  <c r="V4" i="46"/>
  <c r="V5" i="46" s="1"/>
  <c r="Z4" i="46" s="1"/>
  <c r="A95" i="65"/>
  <c r="A56" i="65"/>
  <c r="A69" i="65"/>
  <c r="L5" i="42"/>
  <c r="AP50" i="42" s="1"/>
  <c r="AJ9" i="45"/>
  <c r="AJ11" i="45" s="1"/>
  <c r="AN10" i="45" s="1"/>
  <c r="AL9" i="45"/>
  <c r="X21" i="44"/>
  <c r="V21" i="44"/>
  <c r="X21" i="42"/>
  <c r="V21" i="42"/>
  <c r="Z10" i="42"/>
  <c r="X28" i="43"/>
  <c r="CP102" i="61"/>
  <c r="CE113" i="61"/>
  <c r="CJ108" i="61"/>
  <c r="CM105" i="61"/>
  <c r="AL5" i="47"/>
  <c r="AL6" i="47" s="1"/>
  <c r="AN6" i="47" s="1"/>
  <c r="AJ6" i="47"/>
  <c r="AN5" i="47" s="1"/>
  <c r="AJ5" i="46"/>
  <c r="AN3" i="46"/>
  <c r="X4" i="43"/>
  <c r="X5" i="43" s="1"/>
  <c r="V4" i="43"/>
  <c r="V5" i="43" s="1"/>
  <c r="Z4" i="43" s="1"/>
  <c r="AL8" i="43"/>
  <c r="AJ8" i="43"/>
  <c r="N18" i="42"/>
  <c r="L4" i="42" s="1"/>
  <c r="AP49" i="42" s="1"/>
  <c r="X28" i="42"/>
  <c r="Z28" i="42" s="1"/>
  <c r="V4" i="44"/>
  <c r="V5" i="44" s="1"/>
  <c r="Z4" i="44" s="1"/>
  <c r="X4" i="44"/>
  <c r="X5" i="44" s="1"/>
  <c r="AL8" i="42"/>
  <c r="AJ8" i="42"/>
  <c r="V4" i="42"/>
  <c r="V5" i="42" s="1"/>
  <c r="Z4" i="42" s="1"/>
  <c r="X4" i="42"/>
  <c r="X5" i="42" s="1"/>
  <c r="Z5" i="45"/>
  <c r="AN11" i="49"/>
  <c r="AI60" i="43"/>
  <c r="AM60" i="43" s="1"/>
  <c r="AS60" i="43" s="1"/>
  <c r="D19" i="25"/>
  <c r="F19" i="25" s="1"/>
  <c r="G19" i="25" s="1"/>
  <c r="H19" i="25"/>
  <c r="I19" i="25" s="1"/>
  <c r="AE20" i="61"/>
  <c r="V23" i="68" s="1"/>
  <c r="AP20" i="25"/>
  <c r="B20" i="25"/>
  <c r="C4" i="34"/>
  <c r="AF15" i="25"/>
  <c r="AV19" i="25"/>
  <c r="R32" i="35"/>
  <c r="AE33" i="35"/>
  <c r="AG33" i="35" s="1"/>
  <c r="D37" i="35"/>
  <c r="F37" i="35" s="1"/>
  <c r="H37" i="35" s="1"/>
  <c r="V32" i="36"/>
  <c r="T32" i="36"/>
  <c r="J37" i="38"/>
  <c r="AR60" i="48"/>
  <c r="AT60" i="48" s="1"/>
  <c r="E10" i="48" s="1"/>
  <c r="AR59" i="48"/>
  <c r="AT59" i="48" s="1"/>
  <c r="D10" i="48" s="1"/>
  <c r="X10" i="53"/>
  <c r="Y12" i="53"/>
  <c r="X11" i="53" s="1"/>
  <c r="AI90" i="49"/>
  <c r="Y12" i="19"/>
  <c r="AA12" i="19" s="1"/>
  <c r="AG12" i="19" s="1"/>
  <c r="F65" i="43"/>
  <c r="H65" i="43"/>
  <c r="X80" i="48"/>
  <c r="L69" i="49"/>
  <c r="N69" i="49" s="1"/>
  <c r="AQ69" i="49" s="1"/>
  <c r="AK64" i="49"/>
  <c r="AM64" i="49" s="1"/>
  <c r="AS64" i="49" s="1"/>
  <c r="Z64" i="49"/>
  <c r="AB64" i="49" s="1"/>
  <c r="L70" i="49"/>
  <c r="N70" i="49" s="1"/>
  <c r="AQ70" i="49" s="1"/>
  <c r="Z65" i="49"/>
  <c r="AB65" i="49" s="1"/>
  <c r="AK65" i="49"/>
  <c r="AM65" i="49" s="1"/>
  <c r="AS65" i="49" s="1"/>
  <c r="X70" i="46"/>
  <c r="X85" i="49"/>
  <c r="H84" i="48"/>
  <c r="H85" i="48" s="1"/>
  <c r="F85" i="48"/>
  <c r="R72" i="43"/>
  <c r="H54" i="42"/>
  <c r="H55" i="42" s="1"/>
  <c r="J55" i="42" s="1"/>
  <c r="F55" i="42"/>
  <c r="J54" i="42" s="1"/>
  <c r="H87" i="46"/>
  <c r="H52" i="38"/>
  <c r="T98" i="50"/>
  <c r="V98" i="50"/>
  <c r="AG103" i="50"/>
  <c r="AG105" i="50" s="1"/>
  <c r="T84" i="48"/>
  <c r="T85" i="48" s="1"/>
  <c r="X84" i="48" s="1"/>
  <c r="V84" i="48"/>
  <c r="V85" i="48" s="1"/>
  <c r="R93" i="48"/>
  <c r="T93" i="48" s="1"/>
  <c r="D73" i="43"/>
  <c r="F73" i="43" s="1"/>
  <c r="H73" i="43" s="1"/>
  <c r="R79" i="46"/>
  <c r="D88" i="46"/>
  <c r="F88" i="46" s="1"/>
  <c r="H88" i="46" s="1"/>
  <c r="Z50" i="42"/>
  <c r="L55" i="42"/>
  <c r="R77" i="44"/>
  <c r="D82" i="44"/>
  <c r="F82" i="44" s="1"/>
  <c r="V82" i="46"/>
  <c r="T82" i="46"/>
  <c r="T47" i="38"/>
  <c r="V47" i="38"/>
  <c r="D83" i="45"/>
  <c r="F83" i="45" s="1"/>
  <c r="H83" i="45" s="1"/>
  <c r="R82" i="45"/>
  <c r="D87" i="45"/>
  <c r="F87" i="45" s="1"/>
  <c r="H69" i="45"/>
  <c r="H70" i="45" s="1"/>
  <c r="J70" i="45" s="1"/>
  <c r="F70" i="45"/>
  <c r="J69" i="45" s="1"/>
  <c r="H89" i="49"/>
  <c r="H90" i="49" s="1"/>
  <c r="J90" i="49" s="1"/>
  <c r="F90" i="49"/>
  <c r="J89" i="49" s="1"/>
  <c r="R47" i="37"/>
  <c r="D52" i="37"/>
  <c r="F52" i="37" s="1"/>
  <c r="V49" i="40"/>
  <c r="T49" i="40"/>
  <c r="D68" i="42"/>
  <c r="F68" i="42" s="1"/>
  <c r="R67" i="42"/>
  <c r="H53" i="40"/>
  <c r="V67" i="43"/>
  <c r="T67" i="43"/>
  <c r="V79" i="47"/>
  <c r="V80" i="47" s="1"/>
  <c r="T79" i="47"/>
  <c r="T80" i="47" s="1"/>
  <c r="X79" i="47" s="1"/>
  <c r="H82" i="45"/>
  <c r="AG99" i="50"/>
  <c r="AG100" i="50" s="1"/>
  <c r="AE100" i="50"/>
  <c r="AI99" i="50" s="1"/>
  <c r="AE103" i="49"/>
  <c r="AE99" i="49"/>
  <c r="D99" i="49"/>
  <c r="R98" i="49"/>
  <c r="D94" i="48"/>
  <c r="AE98" i="48"/>
  <c r="AG98" i="48" s="1"/>
  <c r="H68" i="43"/>
  <c r="V77" i="45"/>
  <c r="T77" i="45"/>
  <c r="F99" i="50"/>
  <c r="J97" i="50"/>
  <c r="AI50" i="41"/>
  <c r="N44" i="41"/>
  <c r="AQ44" i="41" s="1"/>
  <c r="AE60" i="42"/>
  <c r="AI59" i="42" s="1"/>
  <c r="AG60" i="42"/>
  <c r="AE80" i="46"/>
  <c r="AI79" i="46" s="1"/>
  <c r="J77" i="46"/>
  <c r="Y11" i="18"/>
  <c r="X10" i="18" s="1"/>
  <c r="AE85" i="47"/>
  <c r="AI84" i="47" s="1"/>
  <c r="AI80" i="47"/>
  <c r="J50" i="41"/>
  <c r="AG85" i="47"/>
  <c r="AB40" i="41"/>
  <c r="AR40" i="41" s="1"/>
  <c r="AT40" i="41" s="1"/>
  <c r="E6" i="41" s="1"/>
  <c r="AI65" i="44"/>
  <c r="AK55" i="44"/>
  <c r="AM55" i="44" s="1"/>
  <c r="AS55" i="44" s="1"/>
  <c r="AK45" i="42"/>
  <c r="AM45" i="42" s="1"/>
  <c r="AS45" i="42" s="1"/>
  <c r="Z45" i="42"/>
  <c r="AB45" i="42" s="1"/>
  <c r="L50" i="42"/>
  <c r="N50" i="42" s="1"/>
  <c r="AQ50" i="42" s="1"/>
  <c r="AR124" i="32"/>
  <c r="N19" i="50"/>
  <c r="L5" i="50" s="1"/>
  <c r="J45" i="40"/>
  <c r="AG55" i="41"/>
  <c r="X65" i="46"/>
  <c r="AG80" i="46"/>
  <c r="N45" i="41"/>
  <c r="AQ45" i="41" s="1"/>
  <c r="AI35" i="38"/>
  <c r="AM35" i="38" s="1"/>
  <c r="AS35" i="38" s="1"/>
  <c r="X130" i="32"/>
  <c r="AB130" i="32" s="1"/>
  <c r="AR130" i="32" s="1"/>
  <c r="AE65" i="43"/>
  <c r="AI64" i="43" s="1"/>
  <c r="X9" i="18"/>
  <c r="AE55" i="41"/>
  <c r="AI54" i="41" s="1"/>
  <c r="X45" i="41"/>
  <c r="AG65" i="43"/>
  <c r="Y120" i="42"/>
  <c r="Y119" i="42"/>
  <c r="R117" i="42"/>
  <c r="Z120" i="42"/>
  <c r="Z119" i="42"/>
  <c r="A135" i="34"/>
  <c r="B135" i="34" s="1"/>
  <c r="B134" i="34"/>
  <c r="C129" i="32"/>
  <c r="C128" i="32"/>
  <c r="Q117" i="28"/>
  <c r="Q119" i="28"/>
  <c r="X117" i="41"/>
  <c r="R119" i="41"/>
  <c r="O130" i="36"/>
  <c r="P130" i="36" s="1"/>
  <c r="P129" i="36"/>
  <c r="V64" i="45"/>
  <c r="V65" i="45" s="1"/>
  <c r="T64" i="45"/>
  <c r="T65" i="45" s="1"/>
  <c r="X64" i="45" s="1"/>
  <c r="A139" i="47"/>
  <c r="B138" i="47"/>
  <c r="H11" i="17"/>
  <c r="I11" i="17" s="1"/>
  <c r="D11" i="17"/>
  <c r="F11" i="17" s="1"/>
  <c r="O133" i="33"/>
  <c r="P132" i="33"/>
  <c r="J40" i="39"/>
  <c r="N40" i="39" s="1"/>
  <c r="AQ40" i="39" s="1"/>
  <c r="J39" i="39"/>
  <c r="N39" i="39" s="1"/>
  <c r="AQ39" i="39" s="1"/>
  <c r="K119" i="34"/>
  <c r="G117" i="34"/>
  <c r="K120" i="34"/>
  <c r="Q122" i="42"/>
  <c r="Q124" i="42"/>
  <c r="O125" i="31"/>
  <c r="P125" i="31" s="1"/>
  <c r="P124" i="31"/>
  <c r="M125" i="34"/>
  <c r="I125" i="34"/>
  <c r="G124" i="34"/>
  <c r="M124" i="34"/>
  <c r="I124" i="34"/>
  <c r="P136" i="40"/>
  <c r="O141" i="40"/>
  <c r="O137" i="40"/>
  <c r="AJ130" i="35"/>
  <c r="AJ129" i="35"/>
  <c r="AF15" i="24"/>
  <c r="M119" i="36"/>
  <c r="I119" i="36"/>
  <c r="M120" i="36"/>
  <c r="I120" i="36"/>
  <c r="G119" i="36"/>
  <c r="G118" i="48"/>
  <c r="C117" i="48"/>
  <c r="X40" i="40"/>
  <c r="A134" i="43"/>
  <c r="B133" i="43"/>
  <c r="A150" i="59"/>
  <c r="B150" i="59" s="1"/>
  <c r="B149" i="59"/>
  <c r="G112" i="39"/>
  <c r="K114" i="39"/>
  <c r="K115" i="39"/>
  <c r="Y120" i="41"/>
  <c r="Y119" i="41"/>
  <c r="Z120" i="41"/>
  <c r="Z119" i="41"/>
  <c r="R117" i="41"/>
  <c r="AA130" i="36"/>
  <c r="AO130" i="36" s="1"/>
  <c r="AP130" i="36" s="1"/>
  <c r="W130" i="36"/>
  <c r="AA129" i="36"/>
  <c r="AO129" i="36" s="1"/>
  <c r="AP129" i="36" s="1"/>
  <c r="W129" i="36"/>
  <c r="F78" i="45"/>
  <c r="AG78" i="45"/>
  <c r="Y115" i="45"/>
  <c r="Y114" i="45"/>
  <c r="P124" i="40"/>
  <c r="O125" i="40"/>
  <c r="P125" i="40" s="1"/>
  <c r="AE69" i="43"/>
  <c r="AG69" i="43" s="1"/>
  <c r="AE73" i="43"/>
  <c r="R68" i="43"/>
  <c r="D69" i="43"/>
  <c r="O134" i="42"/>
  <c r="P133" i="42"/>
  <c r="Q133" i="42" s="1"/>
  <c r="A130" i="26"/>
  <c r="B130" i="26" s="1"/>
  <c r="B129" i="26"/>
  <c r="AV9" i="15"/>
  <c r="D123" i="28"/>
  <c r="F123" i="28" s="1"/>
  <c r="C122" i="28"/>
  <c r="G123" i="28"/>
  <c r="A135" i="28"/>
  <c r="B135" i="28" s="1"/>
  <c r="B134" i="28"/>
  <c r="AA4" i="12"/>
  <c r="K120" i="49"/>
  <c r="K119" i="49"/>
  <c r="G117" i="49"/>
  <c r="X117" i="35"/>
  <c r="R119" i="35"/>
  <c r="J94" i="49"/>
  <c r="N94" i="49" s="1"/>
  <c r="AQ94" i="49" s="1"/>
  <c r="J95" i="49"/>
  <c r="N95" i="49" s="1"/>
  <c r="AQ95" i="49" s="1"/>
  <c r="AF4" i="14"/>
  <c r="AF5" i="14" s="1"/>
  <c r="AF6" i="14" s="1"/>
  <c r="Y120" i="36"/>
  <c r="Y119" i="36"/>
  <c r="Z120" i="36"/>
  <c r="R117" i="36"/>
  <c r="Z119" i="36"/>
  <c r="AA125" i="31"/>
  <c r="AO125" i="31" s="1"/>
  <c r="AP125" i="31" s="1"/>
  <c r="W125" i="31"/>
  <c r="AA124" i="31"/>
  <c r="AO124" i="31" s="1"/>
  <c r="AP124" i="31" s="1"/>
  <c r="W124" i="31"/>
  <c r="F112" i="50"/>
  <c r="A138" i="36"/>
  <c r="B137" i="36"/>
  <c r="AL129" i="35"/>
  <c r="AH129" i="35"/>
  <c r="AL130" i="35"/>
  <c r="AH130" i="35"/>
  <c r="AI127" i="35"/>
  <c r="V52" i="40"/>
  <c r="T52" i="40"/>
  <c r="AG53" i="40"/>
  <c r="AF6" i="16"/>
  <c r="AF7" i="16" s="1"/>
  <c r="Y120" i="38"/>
  <c r="Y119" i="38"/>
  <c r="Z120" i="38"/>
  <c r="Z119" i="38"/>
  <c r="R117" i="38"/>
  <c r="A143" i="42"/>
  <c r="B142" i="42"/>
  <c r="AE89" i="47"/>
  <c r="AG89" i="47" s="1"/>
  <c r="R88" i="47"/>
  <c r="AE93" i="47"/>
  <c r="D89" i="47"/>
  <c r="M120" i="45"/>
  <c r="I120" i="45"/>
  <c r="G119" i="45"/>
  <c r="M119" i="45"/>
  <c r="I119" i="45"/>
  <c r="A139" i="38"/>
  <c r="B138" i="38"/>
  <c r="AV6" i="12"/>
  <c r="X60" i="44"/>
  <c r="AL134" i="45"/>
  <c r="AH134" i="45"/>
  <c r="AH135" i="45"/>
  <c r="AL135" i="45"/>
  <c r="AI132" i="45"/>
  <c r="A146" i="45"/>
  <c r="A142" i="45"/>
  <c r="B141" i="45"/>
  <c r="B154" i="59"/>
  <c r="A155" i="59"/>
  <c r="P133" i="26"/>
  <c r="Q133" i="26" s="1"/>
  <c r="O134" i="26"/>
  <c r="O133" i="34"/>
  <c r="P132" i="34"/>
  <c r="P124" i="37"/>
  <c r="O125" i="37"/>
  <c r="P125" i="37" s="1"/>
  <c r="B142" i="40"/>
  <c r="A143" i="40"/>
  <c r="O137" i="27"/>
  <c r="P136" i="27"/>
  <c r="O141" i="27"/>
  <c r="O142" i="30"/>
  <c r="P141" i="30"/>
  <c r="O146" i="30"/>
  <c r="F69" i="44"/>
  <c r="J67" i="44"/>
  <c r="Q122" i="35"/>
  <c r="Q124" i="35"/>
  <c r="Q117" i="34"/>
  <c r="Q119" i="34"/>
  <c r="AG83" i="46"/>
  <c r="D123" i="33"/>
  <c r="F123" i="33" s="1"/>
  <c r="C122" i="33"/>
  <c r="G123" i="33"/>
  <c r="O133" i="45"/>
  <c r="P132" i="45"/>
  <c r="AF8" i="16"/>
  <c r="A147" i="31"/>
  <c r="B146" i="31"/>
  <c r="Q117" i="46"/>
  <c r="Q119" i="46"/>
  <c r="AV5" i="11"/>
  <c r="AC134" i="47"/>
  <c r="AD134" i="47" s="1"/>
  <c r="AD133" i="47"/>
  <c r="AC138" i="47"/>
  <c r="Z120" i="30"/>
  <c r="Z119" i="30"/>
  <c r="R117" i="30"/>
  <c r="Y120" i="30"/>
  <c r="Y119" i="30"/>
  <c r="AJ134" i="31"/>
  <c r="AJ135" i="31"/>
  <c r="AG93" i="48"/>
  <c r="AG95" i="48" s="1"/>
  <c r="AE95" i="48"/>
  <c r="AI94" i="48" s="1"/>
  <c r="D18" i="24"/>
  <c r="F18" i="24" s="1"/>
  <c r="G18" i="24" s="1"/>
  <c r="H18" i="24"/>
  <c r="I18" i="24" s="1"/>
  <c r="AG4" i="13"/>
  <c r="K120" i="33"/>
  <c r="K119" i="33"/>
  <c r="G117" i="33"/>
  <c r="P137" i="41"/>
  <c r="O138" i="41"/>
  <c r="A135" i="32"/>
  <c r="B135" i="32" s="1"/>
  <c r="B134" i="32"/>
  <c r="H13" i="19"/>
  <c r="I13" i="19" s="1"/>
  <c r="D13" i="19"/>
  <c r="F13" i="19" s="1"/>
  <c r="G13" i="19" s="1"/>
  <c r="P128" i="43"/>
  <c r="Q128" i="43" s="1"/>
  <c r="O129" i="43"/>
  <c r="M137" i="59"/>
  <c r="M138" i="59"/>
  <c r="G137" i="59"/>
  <c r="AF9" i="53"/>
  <c r="AF10" i="53" s="1"/>
  <c r="AF11" i="53" s="1"/>
  <c r="AG48" i="39"/>
  <c r="A147" i="44"/>
  <c r="B146" i="44"/>
  <c r="A165" i="59"/>
  <c r="A170" i="59"/>
  <c r="B164" i="59"/>
  <c r="A147" i="33"/>
  <c r="B146" i="33"/>
  <c r="O125" i="45"/>
  <c r="P125" i="45" s="1"/>
  <c r="P124" i="45"/>
  <c r="X55" i="43"/>
  <c r="Q119" i="49"/>
  <c r="Q117" i="49"/>
  <c r="A135" i="35"/>
  <c r="B135" i="35" s="1"/>
  <c r="B134" i="35"/>
  <c r="H38" i="38"/>
  <c r="H40" i="38" s="1"/>
  <c r="F40" i="38"/>
  <c r="O129" i="34"/>
  <c r="P128" i="34"/>
  <c r="Q128" i="34" s="1"/>
  <c r="P136" i="50"/>
  <c r="O141" i="50"/>
  <c r="O137" i="50"/>
  <c r="M125" i="41"/>
  <c r="I125" i="41"/>
  <c r="G124" i="41"/>
  <c r="M124" i="41"/>
  <c r="I124" i="41"/>
  <c r="AG11" i="20"/>
  <c r="AA7" i="14"/>
  <c r="AL134" i="42"/>
  <c r="AH134" i="42"/>
  <c r="AL135" i="42"/>
  <c r="AH135" i="42"/>
  <c r="AI132" i="42"/>
  <c r="P128" i="44"/>
  <c r="Q128" i="44" s="1"/>
  <c r="O129" i="44"/>
  <c r="O129" i="50"/>
  <c r="P128" i="50"/>
  <c r="Q128" i="50" s="1"/>
  <c r="M119" i="26"/>
  <c r="I119" i="26"/>
  <c r="M120" i="26"/>
  <c r="I120" i="26"/>
  <c r="G119" i="26"/>
  <c r="AV8" i="14"/>
  <c r="A147" i="49"/>
  <c r="B146" i="49"/>
  <c r="B142" i="32"/>
  <c r="A143" i="32"/>
  <c r="K114" i="46"/>
  <c r="G112" i="46"/>
  <c r="K115" i="46"/>
  <c r="A134" i="30"/>
  <c r="B133" i="30"/>
  <c r="C129" i="44"/>
  <c r="C128" i="44"/>
  <c r="B137" i="39"/>
  <c r="A138" i="39"/>
  <c r="AI132" i="50"/>
  <c r="AL134" i="50"/>
  <c r="AH134" i="50"/>
  <c r="AL135" i="50"/>
  <c r="AH135" i="50"/>
  <c r="Q119" i="27"/>
  <c r="Q117" i="27"/>
  <c r="B142" i="50"/>
  <c r="A143" i="50"/>
  <c r="O150" i="32"/>
  <c r="P150" i="32" s="1"/>
  <c r="P149" i="32"/>
  <c r="P128" i="33"/>
  <c r="Q128" i="33" s="1"/>
  <c r="O129" i="33"/>
  <c r="C122" i="49"/>
  <c r="G123" i="49"/>
  <c r="D123" i="49"/>
  <c r="F123" i="49" s="1"/>
  <c r="O130" i="29"/>
  <c r="P130" i="29" s="1"/>
  <c r="P129" i="29"/>
  <c r="B141" i="26"/>
  <c r="A146" i="26"/>
  <c r="A142" i="26"/>
  <c r="Z120" i="48"/>
  <c r="Z119" i="48"/>
  <c r="R117" i="48"/>
  <c r="Y120" i="48"/>
  <c r="Y119" i="48"/>
  <c r="AV4" i="10"/>
  <c r="C129" i="40"/>
  <c r="C128" i="40"/>
  <c r="O130" i="48"/>
  <c r="P130" i="48" s="1"/>
  <c r="P129" i="48"/>
  <c r="O130" i="26"/>
  <c r="P130" i="26" s="1"/>
  <c r="P129" i="26"/>
  <c r="AV15" i="21"/>
  <c r="AA10" i="18"/>
  <c r="AG10" i="18" s="1"/>
  <c r="A135" i="44"/>
  <c r="B135" i="44" s="1"/>
  <c r="B134" i="44"/>
  <c r="O137" i="49"/>
  <c r="P136" i="49"/>
  <c r="O141" i="49"/>
  <c r="AA125" i="27"/>
  <c r="AO125" i="27" s="1"/>
  <c r="AP125" i="27" s="1"/>
  <c r="W125" i="27"/>
  <c r="AA124" i="27"/>
  <c r="AO124" i="27" s="1"/>
  <c r="AP124" i="27" s="1"/>
  <c r="W124" i="27"/>
  <c r="B142" i="29"/>
  <c r="A143" i="29"/>
  <c r="AA130" i="30"/>
  <c r="AO130" i="30" s="1"/>
  <c r="AP130" i="30" s="1"/>
  <c r="W130" i="30"/>
  <c r="AA129" i="30"/>
  <c r="AO129" i="30" s="1"/>
  <c r="AP129" i="30" s="1"/>
  <c r="W129" i="30"/>
  <c r="AG75" i="45"/>
  <c r="P137" i="29"/>
  <c r="O138" i="29"/>
  <c r="Q117" i="45"/>
  <c r="Q119" i="45"/>
  <c r="X10" i="19"/>
  <c r="H17" i="23"/>
  <c r="I17" i="23" s="1"/>
  <c r="D17" i="23"/>
  <c r="F17" i="23" s="1"/>
  <c r="G17" i="23" s="1"/>
  <c r="G4" i="12"/>
  <c r="AJ130" i="29"/>
  <c r="AJ129" i="29"/>
  <c r="H77" i="44"/>
  <c r="V62" i="42"/>
  <c r="T62" i="42"/>
  <c r="AG63" i="42"/>
  <c r="AJ145" i="40"/>
  <c r="AJ144" i="40"/>
  <c r="K119" i="38"/>
  <c r="G117" i="38"/>
  <c r="K120" i="38"/>
  <c r="AH17" i="61"/>
  <c r="Y20" i="68" s="1"/>
  <c r="AP17" i="22"/>
  <c r="B17" i="22"/>
  <c r="C7" i="37"/>
  <c r="H14" i="20"/>
  <c r="I14" i="20" s="1"/>
  <c r="D14" i="20"/>
  <c r="F14" i="20" s="1"/>
  <c r="G14" i="20" s="1"/>
  <c r="A139" i="44"/>
  <c r="B138" i="44"/>
  <c r="G8" i="16"/>
  <c r="A135" i="47"/>
  <c r="B135" i="47" s="1"/>
  <c r="B134" i="47"/>
  <c r="AC139" i="27"/>
  <c r="AD139" i="27" s="1"/>
  <c r="AD138" i="27"/>
  <c r="AC143" i="27"/>
  <c r="AJ129" i="44"/>
  <c r="AJ130" i="44"/>
  <c r="AA13" i="21"/>
  <c r="AG13" i="21" s="1"/>
  <c r="A139" i="49"/>
  <c r="B138" i="49"/>
  <c r="X112" i="46"/>
  <c r="B137" i="43"/>
  <c r="A138" i="43"/>
  <c r="AC139" i="49"/>
  <c r="AD139" i="49" s="1"/>
  <c r="AD138" i="49"/>
  <c r="AC143" i="49"/>
  <c r="P128" i="27"/>
  <c r="Q128" i="27" s="1"/>
  <c r="O129" i="27"/>
  <c r="AV10" i="16"/>
  <c r="B146" i="47"/>
  <c r="A147" i="47"/>
  <c r="B142" i="35"/>
  <c r="A143" i="35"/>
  <c r="AA129" i="47"/>
  <c r="AO129" i="47" s="1"/>
  <c r="AP129" i="47" s="1"/>
  <c r="W130" i="47"/>
  <c r="AA130" i="47"/>
  <c r="AO130" i="47" s="1"/>
  <c r="AP130" i="47" s="1"/>
  <c r="W129" i="47"/>
  <c r="AJ134" i="48"/>
  <c r="AJ135" i="48"/>
  <c r="O129" i="37"/>
  <c r="P128" i="37"/>
  <c r="Q128" i="37" s="1"/>
  <c r="B141" i="48"/>
  <c r="A146" i="48"/>
  <c r="A142" i="48"/>
  <c r="M125" i="42"/>
  <c r="I125" i="42"/>
  <c r="G124" i="42"/>
  <c r="M124" i="42"/>
  <c r="I124" i="42"/>
  <c r="AI55" i="42"/>
  <c r="P136" i="28"/>
  <c r="O141" i="28"/>
  <c r="O137" i="28"/>
  <c r="C124" i="39"/>
  <c r="C123" i="39"/>
  <c r="C124" i="46"/>
  <c r="C123" i="46"/>
  <c r="AJ134" i="36"/>
  <c r="AJ135" i="36"/>
  <c r="Y115" i="27"/>
  <c r="Y114" i="27"/>
  <c r="AC139" i="33"/>
  <c r="AD139" i="33" s="1"/>
  <c r="AD138" i="33"/>
  <c r="AC143" i="33"/>
  <c r="X112" i="28"/>
  <c r="A134" i="26"/>
  <c r="B133" i="26"/>
  <c r="B142" i="28"/>
  <c r="A143" i="28"/>
  <c r="Y4" i="11"/>
  <c r="AJ135" i="28"/>
  <c r="AJ134" i="28"/>
  <c r="M119" i="43"/>
  <c r="I119" i="43"/>
  <c r="M120" i="43"/>
  <c r="I120" i="43"/>
  <c r="G119" i="43"/>
  <c r="Q124" i="26"/>
  <c r="Q122" i="26"/>
  <c r="Y14" i="21"/>
  <c r="R139" i="32"/>
  <c r="X137" i="32"/>
  <c r="AI132" i="34"/>
  <c r="AL134" i="34"/>
  <c r="AH134" i="34"/>
  <c r="AL135" i="34"/>
  <c r="AH135" i="34"/>
  <c r="AJ135" i="39"/>
  <c r="AJ134" i="39"/>
  <c r="AA130" i="35"/>
  <c r="AO130" i="35" s="1"/>
  <c r="AP130" i="35" s="1"/>
  <c r="W130" i="35"/>
  <c r="AA129" i="35"/>
  <c r="AO129" i="35" s="1"/>
  <c r="AP129" i="35" s="1"/>
  <c r="W129" i="35"/>
  <c r="B141" i="37"/>
  <c r="A146" i="37"/>
  <c r="A142" i="37"/>
  <c r="AL129" i="41"/>
  <c r="AH129" i="41"/>
  <c r="AL130" i="41"/>
  <c r="AH130" i="41"/>
  <c r="AI127" i="41"/>
  <c r="O134" i="47"/>
  <c r="P133" i="47"/>
  <c r="Q133" i="47" s="1"/>
  <c r="AG34" i="37"/>
  <c r="AG35" i="37" s="1"/>
  <c r="AE35" i="37"/>
  <c r="AI34" i="37" s="1"/>
  <c r="AM34" i="37" s="1"/>
  <c r="AS34" i="37" s="1"/>
  <c r="A135" i="27"/>
  <c r="B135" i="27" s="1"/>
  <c r="B134" i="27"/>
  <c r="M125" i="35"/>
  <c r="I125" i="35"/>
  <c r="G124" i="35"/>
  <c r="M124" i="35"/>
  <c r="I124" i="35"/>
  <c r="O165" i="59"/>
  <c r="P164" i="59"/>
  <c r="O170" i="59"/>
  <c r="Q119" i="33"/>
  <c r="Q117" i="33"/>
  <c r="Q117" i="40"/>
  <c r="Q119" i="40"/>
  <c r="V42" i="38"/>
  <c r="T42" i="38"/>
  <c r="AG43" i="38"/>
  <c r="B146" i="38"/>
  <c r="A147" i="38"/>
  <c r="Y5" i="12"/>
  <c r="B142" i="34"/>
  <c r="A143" i="34"/>
  <c r="V57" i="41"/>
  <c r="T57" i="41"/>
  <c r="V53" i="41"/>
  <c r="T53" i="41"/>
  <c r="AV12" i="18"/>
  <c r="M120" i="46"/>
  <c r="I120" i="46"/>
  <c r="G119" i="46"/>
  <c r="M119" i="46"/>
  <c r="I119" i="46"/>
  <c r="K114" i="37"/>
  <c r="G112" i="37"/>
  <c r="K115" i="37"/>
  <c r="AJ134" i="30"/>
  <c r="AJ135" i="30"/>
  <c r="M125" i="40"/>
  <c r="I125" i="40"/>
  <c r="G124" i="40"/>
  <c r="M124" i="40"/>
  <c r="I124" i="40"/>
  <c r="A130" i="39"/>
  <c r="B130" i="39" s="1"/>
  <c r="B129" i="39"/>
  <c r="C129" i="47"/>
  <c r="C128" i="47"/>
  <c r="AG88" i="47"/>
  <c r="AL156" i="59"/>
  <c r="AL155" i="59"/>
  <c r="R119" i="42"/>
  <c r="X117" i="42"/>
  <c r="C129" i="34"/>
  <c r="C128" i="34"/>
  <c r="AA5" i="13"/>
  <c r="AG5" i="13" s="1"/>
  <c r="AA125" i="40"/>
  <c r="AO125" i="40" s="1"/>
  <c r="AP125" i="40" s="1"/>
  <c r="W125" i="40"/>
  <c r="AA124" i="40"/>
  <c r="AO124" i="40" s="1"/>
  <c r="AP124" i="40" s="1"/>
  <c r="W124" i="40"/>
  <c r="AO10" i="61"/>
  <c r="AF13" i="68" s="1"/>
  <c r="B10" i="15"/>
  <c r="AP10" i="15"/>
  <c r="C14" i="44"/>
  <c r="AH10" i="44" s="1"/>
  <c r="O129" i="28"/>
  <c r="P128" i="28"/>
  <c r="Q128" i="28" s="1"/>
  <c r="C117" i="36"/>
  <c r="G118" i="36"/>
  <c r="M119" i="48"/>
  <c r="I119" i="48"/>
  <c r="M120" i="48"/>
  <c r="I120" i="48"/>
  <c r="G119" i="48"/>
  <c r="Y115" i="31"/>
  <c r="Y114" i="31"/>
  <c r="F74" i="45"/>
  <c r="J72" i="45"/>
  <c r="X112" i="45"/>
  <c r="A130" i="36"/>
  <c r="B130" i="36" s="1"/>
  <c r="B129" i="36"/>
  <c r="AM12" i="61"/>
  <c r="AD15" i="68" s="1"/>
  <c r="AP12" i="17"/>
  <c r="C12" i="42"/>
  <c r="R72" i="42" s="1"/>
  <c r="B12" i="17"/>
  <c r="AE79" i="45"/>
  <c r="AG79" i="45" s="1"/>
  <c r="AE83" i="45"/>
  <c r="R78" i="45"/>
  <c r="R74" i="45"/>
  <c r="D79" i="45"/>
  <c r="F79" i="45" s="1"/>
  <c r="H79" i="45" s="1"/>
  <c r="M125" i="28"/>
  <c r="I125" i="28"/>
  <c r="G124" i="28"/>
  <c r="M124" i="28"/>
  <c r="I124" i="28"/>
  <c r="AA15" i="23"/>
  <c r="O137" i="33"/>
  <c r="P136" i="33"/>
  <c r="O141" i="33"/>
  <c r="Y120" i="35"/>
  <c r="Y119" i="35"/>
  <c r="Z120" i="35"/>
  <c r="Z119" i="35"/>
  <c r="R117" i="35"/>
  <c r="X117" i="36"/>
  <c r="R119" i="36"/>
  <c r="A139" i="28"/>
  <c r="B138" i="28"/>
  <c r="F4" i="11"/>
  <c r="A146" i="36"/>
  <c r="A142" i="36"/>
  <c r="B141" i="36"/>
  <c r="A139" i="41"/>
  <c r="B138" i="41"/>
  <c r="F57" i="40"/>
  <c r="A147" i="42"/>
  <c r="B146" i="42"/>
  <c r="P137" i="38"/>
  <c r="O138" i="38"/>
  <c r="AQ8" i="61"/>
  <c r="AH11" i="68" s="1"/>
  <c r="B8" i="13"/>
  <c r="C16" i="46"/>
  <c r="AP8" i="13"/>
  <c r="H78" i="46"/>
  <c r="H80" i="46" s="1"/>
  <c r="F80" i="46"/>
  <c r="K119" i="50"/>
  <c r="G117" i="50"/>
  <c r="K120" i="50"/>
  <c r="D123" i="27"/>
  <c r="F123" i="27" s="1"/>
  <c r="C122" i="27"/>
  <c r="G123" i="27"/>
  <c r="C117" i="45"/>
  <c r="G118" i="45"/>
  <c r="H6" i="12"/>
  <c r="I6" i="12" s="1"/>
  <c r="D6" i="12"/>
  <c r="F6" i="12" s="1"/>
  <c r="G6" i="12" s="1"/>
  <c r="A139" i="34"/>
  <c r="B138" i="34"/>
  <c r="C142" i="59"/>
  <c r="C143" i="59"/>
  <c r="P136" i="34"/>
  <c r="O141" i="34"/>
  <c r="O137" i="34"/>
  <c r="H102" i="48"/>
  <c r="AF13" i="22"/>
  <c r="C128" i="29"/>
  <c r="C129" i="29"/>
  <c r="B146" i="40"/>
  <c r="A147" i="40"/>
  <c r="AG73" i="44"/>
  <c r="V74" i="46"/>
  <c r="V75" i="46" s="1"/>
  <c r="T74" i="46"/>
  <c r="T75" i="46" s="1"/>
  <c r="X74" i="46" s="1"/>
  <c r="Q119" i="43"/>
  <c r="Q117" i="43"/>
  <c r="M124" i="33"/>
  <c r="I124" i="33"/>
  <c r="M125" i="33"/>
  <c r="I125" i="33"/>
  <c r="G124" i="33"/>
  <c r="Q124" i="48"/>
  <c r="Q122" i="48"/>
  <c r="AA130" i="41"/>
  <c r="AO130" i="41" s="1"/>
  <c r="AP130" i="41" s="1"/>
  <c r="W130" i="41"/>
  <c r="AA129" i="41"/>
  <c r="AO129" i="41" s="1"/>
  <c r="AP129" i="41" s="1"/>
  <c r="W129" i="41"/>
  <c r="Q122" i="41"/>
  <c r="Q124" i="41"/>
  <c r="K119" i="42"/>
  <c r="K120" i="42"/>
  <c r="G117" i="42"/>
  <c r="O129" i="40"/>
  <c r="P128" i="40"/>
  <c r="Q128" i="40" s="1"/>
  <c r="D123" i="31"/>
  <c r="F123" i="31" s="1"/>
  <c r="C122" i="31"/>
  <c r="G123" i="31"/>
  <c r="R119" i="30"/>
  <c r="X117" i="30"/>
  <c r="AL135" i="31"/>
  <c r="AH135" i="31"/>
  <c r="AI132" i="31"/>
  <c r="AL134" i="31"/>
  <c r="AH134" i="31"/>
  <c r="O134" i="38"/>
  <c r="P133" i="38"/>
  <c r="Q133" i="38" s="1"/>
  <c r="F89" i="48"/>
  <c r="J87" i="48"/>
  <c r="V93" i="48"/>
  <c r="AF19" i="61"/>
  <c r="W22" i="68" s="1"/>
  <c r="AP19" i="24"/>
  <c r="C5" i="35"/>
  <c r="B19" i="24"/>
  <c r="X4" i="13"/>
  <c r="O146" i="41"/>
  <c r="O142" i="41"/>
  <c r="P141" i="41"/>
  <c r="H13" i="53"/>
  <c r="I13" i="53" s="1"/>
  <c r="D13" i="53"/>
  <c r="F13" i="53" s="1"/>
  <c r="AE59" i="41"/>
  <c r="AG59" i="41" s="1"/>
  <c r="R58" i="41"/>
  <c r="R54" i="41"/>
  <c r="D59" i="41"/>
  <c r="AE63" i="41"/>
  <c r="D63" i="41"/>
  <c r="F63" i="41" s="1"/>
  <c r="H63" i="41" s="1"/>
  <c r="R62" i="41"/>
  <c r="C135" i="59"/>
  <c r="G136" i="59"/>
  <c r="A134" i="45"/>
  <c r="B133" i="45"/>
  <c r="F77" i="43"/>
  <c r="V59" i="43"/>
  <c r="V60" i="43" s="1"/>
  <c r="T59" i="43"/>
  <c r="T60" i="43" s="1"/>
  <c r="X59" i="43" s="1"/>
  <c r="O142" i="48"/>
  <c r="P141" i="48"/>
  <c r="O146" i="48"/>
  <c r="P133" i="36"/>
  <c r="Q133" i="36" s="1"/>
  <c r="O134" i="36"/>
  <c r="AC134" i="38"/>
  <c r="AD134" i="38" s="1"/>
  <c r="AD133" i="38"/>
  <c r="AC138" i="38"/>
  <c r="C122" i="41"/>
  <c r="G123" i="41"/>
  <c r="D123" i="41"/>
  <c r="F123" i="41" s="1"/>
  <c r="H8" i="14"/>
  <c r="I8" i="14" s="1"/>
  <c r="D8" i="14"/>
  <c r="F8" i="14" s="1"/>
  <c r="AJ134" i="26"/>
  <c r="AJ135" i="26"/>
  <c r="AE50" i="40"/>
  <c r="AI49" i="40" s="1"/>
  <c r="B146" i="32"/>
  <c r="A147" i="32"/>
  <c r="D123" i="47"/>
  <c r="F123" i="47" s="1"/>
  <c r="C122" i="47"/>
  <c r="G123" i="47"/>
  <c r="B141" i="46"/>
  <c r="A142" i="46"/>
  <c r="A146" i="46"/>
  <c r="B141" i="39"/>
  <c r="A146" i="39"/>
  <c r="A142" i="39"/>
  <c r="B146" i="50"/>
  <c r="A147" i="50"/>
  <c r="G112" i="43"/>
  <c r="K115" i="43"/>
  <c r="K114" i="43"/>
  <c r="AA150" i="32"/>
  <c r="AO150" i="32" s="1"/>
  <c r="AP150" i="32" s="1"/>
  <c r="W150" i="32"/>
  <c r="AA149" i="32"/>
  <c r="AO149" i="32" s="1"/>
  <c r="AP149" i="32" s="1"/>
  <c r="W149" i="32"/>
  <c r="W138" i="59"/>
  <c r="R135" i="59"/>
  <c r="Z138" i="59"/>
  <c r="W137" i="59"/>
  <c r="Y138" i="59"/>
  <c r="Z137" i="59"/>
  <c r="Y137" i="59"/>
  <c r="K120" i="31"/>
  <c r="K119" i="31"/>
  <c r="G117" i="31"/>
  <c r="AA150" i="59"/>
  <c r="AQ150" i="59" s="1"/>
  <c r="AR150" i="59" s="1"/>
  <c r="AA149" i="59"/>
  <c r="AQ149" i="59" s="1"/>
  <c r="AR149" i="59" s="1"/>
  <c r="R119" i="48"/>
  <c r="X117" i="48"/>
  <c r="AE45" i="39"/>
  <c r="AI44" i="39" s="1"/>
  <c r="H4" i="10"/>
  <c r="I4" i="10" s="1"/>
  <c r="D4" i="10"/>
  <c r="AA130" i="48"/>
  <c r="AO130" i="48" s="1"/>
  <c r="AP130" i="48" s="1"/>
  <c r="W130" i="48"/>
  <c r="AA129" i="48"/>
  <c r="AO129" i="48" s="1"/>
  <c r="AP129" i="48" s="1"/>
  <c r="W129" i="48"/>
  <c r="K120" i="47"/>
  <c r="K119" i="47"/>
  <c r="G117" i="47"/>
  <c r="AA130" i="26"/>
  <c r="AO130" i="26" s="1"/>
  <c r="AP130" i="26" s="1"/>
  <c r="W130" i="26"/>
  <c r="AA129" i="26"/>
  <c r="AO129" i="26" s="1"/>
  <c r="AP129" i="26" s="1"/>
  <c r="W129" i="26"/>
  <c r="H15" i="21"/>
  <c r="I15" i="21" s="1"/>
  <c r="D15" i="21"/>
  <c r="F15" i="21" s="1"/>
  <c r="G15" i="21" s="1"/>
  <c r="Z120" i="47"/>
  <c r="Z119" i="47"/>
  <c r="R117" i="47"/>
  <c r="Y119" i="47"/>
  <c r="Y120" i="47"/>
  <c r="B146" i="29"/>
  <c r="A147" i="29"/>
  <c r="O138" i="47"/>
  <c r="P137" i="47"/>
  <c r="AA125" i="50"/>
  <c r="AO125" i="50" s="1"/>
  <c r="W125" i="50"/>
  <c r="AA124" i="50"/>
  <c r="AO124" i="50" s="1"/>
  <c r="W124" i="50"/>
  <c r="AE75" i="45"/>
  <c r="AI74" i="45" s="1"/>
  <c r="O146" i="29"/>
  <c r="O142" i="29"/>
  <c r="P141" i="29"/>
  <c r="AG18" i="61"/>
  <c r="X21" i="68" s="1"/>
  <c r="C6" i="36"/>
  <c r="AP18" i="23"/>
  <c r="B18" i="23"/>
  <c r="K119" i="28"/>
  <c r="G117" i="28"/>
  <c r="K120" i="28"/>
  <c r="AL129" i="29"/>
  <c r="AH129" i="29"/>
  <c r="AL130" i="29"/>
  <c r="AH130" i="29"/>
  <c r="AI127" i="29"/>
  <c r="AE70" i="44"/>
  <c r="AI69" i="44" s="1"/>
  <c r="V58" i="42"/>
  <c r="T58" i="42"/>
  <c r="AI142" i="40"/>
  <c r="AL144" i="40"/>
  <c r="AH144" i="40"/>
  <c r="AL145" i="40"/>
  <c r="AH145" i="40"/>
  <c r="O133" i="31"/>
  <c r="P132" i="31"/>
  <c r="AV16" i="22"/>
  <c r="AJ15" i="61"/>
  <c r="AA18" i="68" s="1"/>
  <c r="C9" i="39"/>
  <c r="R49" i="39" s="1"/>
  <c r="B15" i="20"/>
  <c r="AP15" i="20"/>
  <c r="Y14" i="20" s="1"/>
  <c r="O142" i="36"/>
  <c r="O146" i="36"/>
  <c r="P141" i="36"/>
  <c r="P137" i="35"/>
  <c r="O138" i="35"/>
  <c r="O125" i="49"/>
  <c r="P125" i="49" s="1"/>
  <c r="P124" i="49"/>
  <c r="AJ134" i="27"/>
  <c r="AJ135" i="27"/>
  <c r="P137" i="26"/>
  <c r="O138" i="26"/>
  <c r="AG12" i="21"/>
  <c r="AL130" i="44"/>
  <c r="AH130" i="44"/>
  <c r="AI127" i="44"/>
  <c r="AL129" i="44"/>
  <c r="AH129" i="44"/>
  <c r="AF5" i="15"/>
  <c r="AF6" i="15" s="1"/>
  <c r="AF7" i="15" s="1"/>
  <c r="G118" i="39"/>
  <c r="C117" i="39"/>
  <c r="G112" i="30"/>
  <c r="K115" i="30"/>
  <c r="K114" i="30"/>
  <c r="Y115" i="46"/>
  <c r="Y114" i="46"/>
  <c r="B141" i="43"/>
  <c r="A146" i="43"/>
  <c r="A142" i="43"/>
  <c r="AJ134" i="49"/>
  <c r="AJ135" i="49"/>
  <c r="AN11" i="61"/>
  <c r="AE14" i="68" s="1"/>
  <c r="B11" i="16"/>
  <c r="C13" i="43"/>
  <c r="AP11" i="16"/>
  <c r="B146" i="35"/>
  <c r="A147" i="35"/>
  <c r="AL135" i="48"/>
  <c r="AH135" i="48"/>
  <c r="AI132" i="48"/>
  <c r="AL134" i="48"/>
  <c r="AH134" i="48"/>
  <c r="A134" i="39"/>
  <c r="B133" i="39"/>
  <c r="C122" i="42"/>
  <c r="G123" i="42"/>
  <c r="D123" i="42"/>
  <c r="F123" i="42" s="1"/>
  <c r="X112" i="34"/>
  <c r="M125" i="29"/>
  <c r="I125" i="29"/>
  <c r="G124" i="29"/>
  <c r="M124" i="29"/>
  <c r="I124" i="29"/>
  <c r="G123" i="32"/>
  <c r="D123" i="32"/>
  <c r="F123" i="32" s="1"/>
  <c r="C122" i="32"/>
  <c r="AL135" i="36"/>
  <c r="AH135" i="36"/>
  <c r="AL134" i="36"/>
  <c r="AH134" i="36"/>
  <c r="AI132" i="36"/>
  <c r="X112" i="27"/>
  <c r="Q122" i="38"/>
  <c r="Q124" i="38"/>
  <c r="AJ134" i="33"/>
  <c r="AJ135" i="33"/>
  <c r="Y115" i="28"/>
  <c r="Y114" i="28"/>
  <c r="B146" i="28"/>
  <c r="A147" i="28"/>
  <c r="A135" i="41"/>
  <c r="B135" i="41" s="1"/>
  <c r="B134" i="41"/>
  <c r="AI132" i="28"/>
  <c r="AL134" i="28"/>
  <c r="AH134" i="28"/>
  <c r="AL135" i="28"/>
  <c r="AH135" i="28"/>
  <c r="AI75" i="46"/>
  <c r="Z140" i="32"/>
  <c r="Z139" i="32"/>
  <c r="R137" i="32"/>
  <c r="Y140" i="32"/>
  <c r="Y139" i="32"/>
  <c r="AL135" i="39"/>
  <c r="AI132" i="39"/>
  <c r="AH134" i="39"/>
  <c r="AL134" i="39"/>
  <c r="AH135" i="39"/>
  <c r="D123" i="50"/>
  <c r="F123" i="50" s="1"/>
  <c r="C122" i="50"/>
  <c r="G123" i="50"/>
  <c r="O130" i="35"/>
  <c r="P130" i="35" s="1"/>
  <c r="P129" i="35"/>
  <c r="A139" i="29"/>
  <c r="B138" i="29"/>
  <c r="V37" i="37"/>
  <c r="T37" i="37"/>
  <c r="F38" i="37"/>
  <c r="C122" i="35"/>
  <c r="G123" i="35"/>
  <c r="D123" i="35"/>
  <c r="F123" i="35" s="1"/>
  <c r="AJ135" i="32"/>
  <c r="AJ134" i="32"/>
  <c r="K119" i="40"/>
  <c r="G117" i="40"/>
  <c r="K120" i="40"/>
  <c r="V38" i="38"/>
  <c r="T38" i="38"/>
  <c r="B146" i="34"/>
  <c r="A147" i="34"/>
  <c r="C123" i="45"/>
  <c r="C124" i="45"/>
  <c r="O137" i="43"/>
  <c r="P136" i="43"/>
  <c r="O141" i="43"/>
  <c r="AE64" i="42"/>
  <c r="AG64" i="42" s="1"/>
  <c r="R63" i="42"/>
  <c r="AE68" i="42"/>
  <c r="R59" i="42"/>
  <c r="D64" i="42"/>
  <c r="O133" i="46"/>
  <c r="P132" i="46"/>
  <c r="Q142" i="32"/>
  <c r="Q144" i="32"/>
  <c r="AL135" i="30"/>
  <c r="AH135" i="30"/>
  <c r="AI132" i="30"/>
  <c r="AL134" i="30"/>
  <c r="AH134" i="30"/>
  <c r="Y115" i="43"/>
  <c r="Y114" i="43"/>
  <c r="AG9" i="17"/>
  <c r="F84" i="47"/>
  <c r="J82" i="47"/>
  <c r="AC139" i="37"/>
  <c r="AD139" i="37" s="1"/>
  <c r="AD138" i="37"/>
  <c r="AC143" i="37"/>
  <c r="A139" i="40"/>
  <c r="B138" i="40"/>
  <c r="O137" i="44"/>
  <c r="P136" i="44"/>
  <c r="O141" i="44"/>
  <c r="AR39" i="42"/>
  <c r="AT39" i="42" s="1"/>
  <c r="D6" i="42" s="1"/>
  <c r="X6" i="14"/>
  <c r="I131" i="59"/>
  <c r="I132" i="59"/>
  <c r="G129" i="59"/>
  <c r="K131" i="59"/>
  <c r="K132" i="59"/>
  <c r="X112" i="31"/>
  <c r="AA11" i="19"/>
  <c r="AG11" i="19" s="1"/>
  <c r="T73" i="45"/>
  <c r="V73" i="45"/>
  <c r="A139" i="35"/>
  <c r="B138" i="35"/>
  <c r="A134" i="48"/>
  <c r="B133" i="48"/>
  <c r="A135" i="31"/>
  <c r="B135" i="31" s="1"/>
  <c r="B134" i="31"/>
  <c r="AV11" i="17"/>
  <c r="Q119" i="44"/>
  <c r="Q117" i="44"/>
  <c r="H9" i="15"/>
  <c r="I9" i="15" s="1"/>
  <c r="D9" i="15"/>
  <c r="C124" i="48"/>
  <c r="C123" i="48"/>
  <c r="C129" i="31"/>
  <c r="C128" i="31"/>
  <c r="C124" i="37"/>
  <c r="C123" i="37"/>
  <c r="K115" i="36"/>
  <c r="K114" i="36"/>
  <c r="G112" i="36"/>
  <c r="D123" i="34"/>
  <c r="F123" i="34" s="1"/>
  <c r="C122" i="34"/>
  <c r="G123" i="34"/>
  <c r="O133" i="40"/>
  <c r="P132" i="40"/>
  <c r="AC134" i="35"/>
  <c r="AD134" i="35" s="1"/>
  <c r="AD133" i="35"/>
  <c r="AC138" i="35"/>
  <c r="H107" i="50"/>
  <c r="F49" i="40"/>
  <c r="J47" i="40"/>
  <c r="T48" i="40"/>
  <c r="V48" i="40"/>
  <c r="V50" i="40" s="1"/>
  <c r="A130" i="45"/>
  <c r="B130" i="45" s="1"/>
  <c r="B129" i="45"/>
  <c r="AA125" i="46"/>
  <c r="AO125" i="46" s="1"/>
  <c r="AP125" i="46" s="1"/>
  <c r="W125" i="46"/>
  <c r="AA124" i="46"/>
  <c r="AO124" i="46" s="1"/>
  <c r="AP124" i="46" s="1"/>
  <c r="W124" i="46"/>
  <c r="O146" i="38"/>
  <c r="O142" i="38"/>
  <c r="P141" i="38"/>
  <c r="AV7" i="13"/>
  <c r="AA125" i="34"/>
  <c r="AO125" i="34" s="1"/>
  <c r="AP125" i="34" s="1"/>
  <c r="W125" i="34"/>
  <c r="AA124" i="34"/>
  <c r="AO124" i="34" s="1"/>
  <c r="AP124" i="34" s="1"/>
  <c r="W124" i="34"/>
  <c r="M124" i="27"/>
  <c r="I124" i="27"/>
  <c r="M125" i="27"/>
  <c r="I125" i="27"/>
  <c r="G124" i="27"/>
  <c r="G117" i="32"/>
  <c r="K119" i="32"/>
  <c r="K120" i="32"/>
  <c r="AR7" i="61"/>
  <c r="AI10" i="68" s="1"/>
  <c r="B7" i="12"/>
  <c r="C17" i="47"/>
  <c r="D94" i="47" s="1"/>
  <c r="AP7" i="12"/>
  <c r="AC139" i="45"/>
  <c r="AD139" i="45" s="1"/>
  <c r="AD138" i="45"/>
  <c r="AC143" i="45"/>
  <c r="X112" i="37"/>
  <c r="Q124" i="30"/>
  <c r="Q122" i="30"/>
  <c r="AA13" i="20"/>
  <c r="AG13" i="20" s="1"/>
  <c r="F11" i="18"/>
  <c r="Q124" i="47"/>
  <c r="Q122" i="47"/>
  <c r="H59" i="43"/>
  <c r="H60" i="43" s="1"/>
  <c r="J60" i="43" s="1"/>
  <c r="F60" i="43"/>
  <c r="J59" i="43" s="1"/>
  <c r="O129" i="46"/>
  <c r="P128" i="46"/>
  <c r="Q128" i="46" s="1"/>
  <c r="D123" i="44"/>
  <c r="F123" i="44" s="1"/>
  <c r="C122" i="44"/>
  <c r="G123" i="44"/>
  <c r="C124" i="43"/>
  <c r="C123" i="43"/>
  <c r="M125" i="38"/>
  <c r="I125" i="38"/>
  <c r="G124" i="38"/>
  <c r="M124" i="38"/>
  <c r="I124" i="38"/>
  <c r="G118" i="30"/>
  <c r="C117" i="30"/>
  <c r="A139" i="32"/>
  <c r="B138" i="32"/>
  <c r="K119" i="29"/>
  <c r="G117" i="29"/>
  <c r="K120" i="29"/>
  <c r="X112" i="39"/>
  <c r="O133" i="27"/>
  <c r="P132" i="27"/>
  <c r="B137" i="30"/>
  <c r="A138" i="30"/>
  <c r="C128" i="38"/>
  <c r="C129" i="38"/>
  <c r="P137" i="30"/>
  <c r="O138" i="30"/>
  <c r="V68" i="44"/>
  <c r="T68" i="44"/>
  <c r="C129" i="27"/>
  <c r="C128" i="27"/>
  <c r="O141" i="45"/>
  <c r="P136" i="45"/>
  <c r="O137" i="45"/>
  <c r="AA130" i="38"/>
  <c r="AO130" i="38" s="1"/>
  <c r="AP130" i="38" s="1"/>
  <c r="W130" i="38"/>
  <c r="AA129" i="38"/>
  <c r="AO129" i="38" s="1"/>
  <c r="AP129" i="38" s="1"/>
  <c r="W129" i="38"/>
  <c r="A135" i="29"/>
  <c r="B135" i="29" s="1"/>
  <c r="B134" i="29"/>
  <c r="O130" i="41"/>
  <c r="P130" i="41" s="1"/>
  <c r="P129" i="41"/>
  <c r="H5" i="11"/>
  <c r="I5" i="11" s="1"/>
  <c r="D5" i="11"/>
  <c r="F5" i="11" s="1"/>
  <c r="G5" i="11" s="1"/>
  <c r="G112" i="26"/>
  <c r="K115" i="26"/>
  <c r="K114" i="26"/>
  <c r="AJ130" i="47"/>
  <c r="AJ129" i="47"/>
  <c r="M124" i="31"/>
  <c r="I124" i="31"/>
  <c r="M125" i="31"/>
  <c r="I125" i="31"/>
  <c r="G124" i="31"/>
  <c r="X112" i="40"/>
  <c r="V88" i="48"/>
  <c r="T88" i="48"/>
  <c r="D38" i="36"/>
  <c r="AE38" i="36"/>
  <c r="R33" i="36"/>
  <c r="AE34" i="36"/>
  <c r="D42" i="36"/>
  <c r="R37" i="36"/>
  <c r="Q117" i="37"/>
  <c r="Q119" i="37"/>
  <c r="W124" i="39"/>
  <c r="W125" i="39"/>
  <c r="AA124" i="39"/>
  <c r="AO124" i="39" s="1"/>
  <c r="AP124" i="39" s="1"/>
  <c r="AA125" i="39"/>
  <c r="AO125" i="39" s="1"/>
  <c r="AP125" i="39" s="1"/>
  <c r="H64" i="44"/>
  <c r="H65" i="44" s="1"/>
  <c r="J65" i="44" s="1"/>
  <c r="F65" i="44"/>
  <c r="J64" i="44" s="1"/>
  <c r="AV13" i="53"/>
  <c r="AK14" i="61"/>
  <c r="AB17" i="68" s="1"/>
  <c r="B14" i="19"/>
  <c r="C10" i="40"/>
  <c r="D67" i="40" s="1"/>
  <c r="F67" i="40" s="1"/>
  <c r="AP14" i="19"/>
  <c r="Y13" i="19" s="1"/>
  <c r="B14" i="53"/>
  <c r="AP14" i="53"/>
  <c r="Y13" i="53" s="1"/>
  <c r="C117" i="37"/>
  <c r="G118" i="37"/>
  <c r="Q122" i="29"/>
  <c r="Q124" i="29"/>
  <c r="A135" i="49"/>
  <c r="B135" i="49" s="1"/>
  <c r="B134" i="49"/>
  <c r="V39" i="39"/>
  <c r="V40" i="39" s="1"/>
  <c r="T39" i="39"/>
  <c r="T40" i="39" s="1"/>
  <c r="X39" i="39" s="1"/>
  <c r="V43" i="39"/>
  <c r="T43" i="39"/>
  <c r="V72" i="43"/>
  <c r="T72" i="43"/>
  <c r="T63" i="43"/>
  <c r="V63" i="43"/>
  <c r="B159" i="59"/>
  <c r="A160" i="59"/>
  <c r="AJ130" i="38"/>
  <c r="AJ129" i="38"/>
  <c r="H42" i="38"/>
  <c r="AA130" i="42"/>
  <c r="AO130" i="42" s="1"/>
  <c r="AP130" i="42" s="1"/>
  <c r="W130" i="42"/>
  <c r="AA129" i="42"/>
  <c r="AO129" i="42" s="1"/>
  <c r="AP129" i="42" s="1"/>
  <c r="W129" i="42"/>
  <c r="AA125" i="28"/>
  <c r="AO125" i="28" s="1"/>
  <c r="AP125" i="28" s="1"/>
  <c r="W125" i="28"/>
  <c r="AA124" i="28"/>
  <c r="AO124" i="28" s="1"/>
  <c r="AP124" i="28" s="1"/>
  <c r="W124" i="28"/>
  <c r="AC139" i="42"/>
  <c r="AD139" i="42" s="1"/>
  <c r="AD138" i="42"/>
  <c r="AC143" i="42"/>
  <c r="P132" i="39"/>
  <c r="O133" i="39"/>
  <c r="A143" i="27"/>
  <c r="B142" i="27"/>
  <c r="A135" i="50"/>
  <c r="B135" i="50" s="1"/>
  <c r="B134" i="50"/>
  <c r="AE84" i="46"/>
  <c r="AG84" i="46" s="1"/>
  <c r="AE88" i="46"/>
  <c r="R83" i="46"/>
  <c r="D84" i="46"/>
  <c r="AL135" i="26"/>
  <c r="AH135" i="26"/>
  <c r="AI132" i="26"/>
  <c r="AL134" i="26"/>
  <c r="AH134" i="26"/>
  <c r="AG50" i="40"/>
  <c r="M125" i="47"/>
  <c r="I124" i="47"/>
  <c r="M124" i="47"/>
  <c r="G124" i="47"/>
  <c r="I125" i="47"/>
  <c r="O133" i="37"/>
  <c r="P132" i="37"/>
  <c r="B137" i="46"/>
  <c r="A138" i="46"/>
  <c r="AC139" i="50"/>
  <c r="AD139" i="50" s="1"/>
  <c r="AD138" i="50"/>
  <c r="AC143" i="50"/>
  <c r="R137" i="59"/>
  <c r="X135" i="59"/>
  <c r="AI95" i="49"/>
  <c r="AF14" i="23"/>
  <c r="P149" i="59"/>
  <c r="O150" i="59"/>
  <c r="P150" i="59" s="1"/>
  <c r="AG45" i="39"/>
  <c r="AU4" i="61"/>
  <c r="AL7" i="68" s="1"/>
  <c r="AV3" i="61"/>
  <c r="AM6" i="68" s="1"/>
  <c r="B4" i="9"/>
  <c r="AP4" i="9"/>
  <c r="C20" i="50"/>
  <c r="X112" i="50"/>
  <c r="AI16" i="61"/>
  <c r="Z19" i="68" s="1"/>
  <c r="AP16" i="21"/>
  <c r="C8" i="38"/>
  <c r="D53" i="38" s="1"/>
  <c r="F53" i="38" s="1"/>
  <c r="H53" i="38" s="1"/>
  <c r="B16" i="21"/>
  <c r="R119" i="47"/>
  <c r="X117" i="47"/>
  <c r="O133" i="49"/>
  <c r="P132" i="49"/>
  <c r="AG9" i="18"/>
  <c r="O146" i="47"/>
  <c r="O142" i="47"/>
  <c r="P141" i="47"/>
  <c r="P124" i="50"/>
  <c r="O125" i="50"/>
  <c r="P125" i="50" s="1"/>
  <c r="C128" i="35"/>
  <c r="C129" i="35"/>
  <c r="A135" i="40"/>
  <c r="B135" i="40" s="1"/>
  <c r="B134" i="40"/>
  <c r="AV17" i="23"/>
  <c r="O134" i="41"/>
  <c r="P133" i="41"/>
  <c r="Q133" i="41" s="1"/>
  <c r="AG70" i="44"/>
  <c r="F59" i="42"/>
  <c r="J57" i="42"/>
  <c r="Z120" i="26"/>
  <c r="Z119" i="26"/>
  <c r="R117" i="26"/>
  <c r="Y120" i="26"/>
  <c r="Y119" i="26"/>
  <c r="O125" i="33"/>
  <c r="P125" i="33" s="1"/>
  <c r="P124" i="33"/>
  <c r="AE44" i="38"/>
  <c r="AG44" i="38" s="1"/>
  <c r="AE48" i="38"/>
  <c r="R43" i="38"/>
  <c r="D44" i="38"/>
  <c r="D48" i="38"/>
  <c r="F48" i="38" s="1"/>
  <c r="H48" i="38" s="1"/>
  <c r="R39" i="38"/>
  <c r="AV14" i="20"/>
  <c r="A139" i="33"/>
  <c r="B138" i="33"/>
  <c r="P137" i="36"/>
  <c r="O138" i="36"/>
  <c r="O146" i="35"/>
  <c r="O142" i="35"/>
  <c r="P141" i="35"/>
  <c r="AA125" i="49"/>
  <c r="AO125" i="49" s="1"/>
  <c r="W125" i="49"/>
  <c r="AA124" i="49"/>
  <c r="AO124" i="49" s="1"/>
  <c r="W124" i="49"/>
  <c r="A130" i="30"/>
  <c r="B130" i="30" s="1"/>
  <c r="B129" i="30"/>
  <c r="O125" i="43"/>
  <c r="P125" i="43" s="1"/>
  <c r="P124" i="43"/>
  <c r="AL135" i="27"/>
  <c r="AH135" i="27"/>
  <c r="AI132" i="27"/>
  <c r="AL134" i="27"/>
  <c r="AH134" i="27"/>
  <c r="Y115" i="33"/>
  <c r="Y114" i="33"/>
  <c r="I120" i="39"/>
  <c r="I119" i="39"/>
  <c r="M120" i="39"/>
  <c r="M119" i="39"/>
  <c r="G119" i="39"/>
  <c r="AR35" i="39"/>
  <c r="AT35" i="39" s="1"/>
  <c r="E5" i="39" s="1"/>
  <c r="AR34" i="39"/>
  <c r="AT34" i="39" s="1"/>
  <c r="D5" i="39" s="1"/>
  <c r="AL135" i="49"/>
  <c r="AH135" i="49"/>
  <c r="AI132" i="49"/>
  <c r="AL134" i="49"/>
  <c r="AH134" i="49"/>
  <c r="H10" i="16"/>
  <c r="I10" i="16" s="1"/>
  <c r="D10" i="16"/>
  <c r="F10" i="16" s="1"/>
  <c r="G10" i="16" s="1"/>
  <c r="K114" i="45"/>
  <c r="K115" i="45"/>
  <c r="G112" i="45"/>
  <c r="AC143" i="48"/>
  <c r="AC139" i="48"/>
  <c r="AD139" i="48" s="1"/>
  <c r="AD138" i="48"/>
  <c r="P133" i="30"/>
  <c r="Q133" i="30" s="1"/>
  <c r="O134" i="30"/>
  <c r="Y10" i="17"/>
  <c r="Q117" i="39"/>
  <c r="Q119" i="39"/>
  <c r="A139" i="50"/>
  <c r="B138" i="50"/>
  <c r="Y115" i="34"/>
  <c r="Y114" i="34"/>
  <c r="P137" i="42"/>
  <c r="O138" i="42"/>
  <c r="Y8" i="15"/>
  <c r="C122" i="29"/>
  <c r="G123" i="29"/>
  <c r="D123" i="29"/>
  <c r="F123" i="29" s="1"/>
  <c r="C129" i="28"/>
  <c r="C128" i="28"/>
  <c r="M125" i="32"/>
  <c r="I125" i="32"/>
  <c r="G124" i="32"/>
  <c r="I124" i="32"/>
  <c r="M124" i="32"/>
  <c r="O129" i="45"/>
  <c r="P128" i="45"/>
  <c r="Q128" i="45" s="1"/>
  <c r="Q119" i="31"/>
  <c r="Q117" i="31"/>
  <c r="K119" i="35"/>
  <c r="G117" i="35"/>
  <c r="K120" i="35"/>
  <c r="AL135" i="33"/>
  <c r="AH135" i="33"/>
  <c r="AI132" i="33"/>
  <c r="AL134" i="33"/>
  <c r="AH134" i="33"/>
  <c r="AE90" i="48"/>
  <c r="AI89" i="48" s="1"/>
  <c r="O125" i="44"/>
  <c r="P125" i="44" s="1"/>
  <c r="P124" i="44"/>
  <c r="B142" i="41"/>
  <c r="A143" i="41"/>
  <c r="K120" i="44"/>
  <c r="K119" i="44"/>
  <c r="G117" i="44"/>
  <c r="AC139" i="34"/>
  <c r="AD139" i="34" s="1"/>
  <c r="AD138" i="34"/>
  <c r="AC143" i="34"/>
  <c r="AC143" i="39"/>
  <c r="AC139" i="39"/>
  <c r="AD139" i="39" s="1"/>
  <c r="AD138" i="39"/>
  <c r="M125" i="50"/>
  <c r="I125" i="50"/>
  <c r="G124" i="50"/>
  <c r="M124" i="50"/>
  <c r="I124" i="50"/>
  <c r="Y6" i="13"/>
  <c r="X5" i="13" s="1"/>
  <c r="H74" i="46"/>
  <c r="H75" i="46" s="1"/>
  <c r="J75" i="46" s="1"/>
  <c r="F75" i="46"/>
  <c r="J74" i="46" s="1"/>
  <c r="AC134" i="41"/>
  <c r="AD134" i="41" s="1"/>
  <c r="AD133" i="41"/>
  <c r="AC138" i="41"/>
  <c r="F42" i="37"/>
  <c r="V33" i="37"/>
  <c r="T33" i="37"/>
  <c r="V134" i="32"/>
  <c r="T134" i="32"/>
  <c r="AK39" i="40"/>
  <c r="AM39" i="40" s="1"/>
  <c r="AS39" i="40" s="1"/>
  <c r="Z39" i="40"/>
  <c r="AB39" i="40" s="1"/>
  <c r="L44" i="40"/>
  <c r="N44" i="40" s="1"/>
  <c r="AQ44" i="40" s="1"/>
  <c r="O134" i="29"/>
  <c r="P133" i="29"/>
  <c r="Q133" i="29" s="1"/>
  <c r="AI132" i="32"/>
  <c r="AL134" i="32"/>
  <c r="AH134" i="32"/>
  <c r="AL135" i="32"/>
  <c r="AH135" i="32"/>
  <c r="Y115" i="49"/>
  <c r="Y114" i="49"/>
  <c r="Y115" i="44"/>
  <c r="Y114" i="44"/>
  <c r="V34" i="38"/>
  <c r="V35" i="38" s="1"/>
  <c r="X35" i="38" s="1"/>
  <c r="AB35" i="38" s="1"/>
  <c r="T34" i="38"/>
  <c r="T35" i="38" s="1"/>
  <c r="X34" i="38" s="1"/>
  <c r="AB34" i="38" s="1"/>
  <c r="X117" i="29"/>
  <c r="R119" i="29"/>
  <c r="F12" i="19"/>
  <c r="H57" i="41"/>
  <c r="Y15" i="22"/>
  <c r="X14" i="22" s="1"/>
  <c r="F54" i="41"/>
  <c r="J52" i="41"/>
  <c r="AL13" i="61"/>
  <c r="AC16" i="68" s="1"/>
  <c r="AP13" i="18"/>
  <c r="B13" i="18"/>
  <c r="C11" i="41"/>
  <c r="AH10" i="41" s="1"/>
  <c r="A130" i="43"/>
  <c r="B130" i="43" s="1"/>
  <c r="B129" i="43"/>
  <c r="P136" i="46"/>
  <c r="O141" i="46"/>
  <c r="O137" i="46"/>
  <c r="O134" i="35"/>
  <c r="P133" i="35"/>
  <c r="Q133" i="35" s="1"/>
  <c r="AG40" i="38"/>
  <c r="AC143" i="30"/>
  <c r="AC139" i="30"/>
  <c r="AD139" i="30" s="1"/>
  <c r="AD138" i="30"/>
  <c r="X112" i="43"/>
  <c r="A139" i="27"/>
  <c r="B138" i="27"/>
  <c r="AJ135" i="37"/>
  <c r="AJ134" i="37"/>
  <c r="AN155" i="59"/>
  <c r="AJ155" i="59"/>
  <c r="AN156" i="59"/>
  <c r="AJ156" i="59"/>
  <c r="AK153" i="59"/>
  <c r="V44" i="40"/>
  <c r="V45" i="40" s="1"/>
  <c r="T44" i="40"/>
  <c r="T45" i="40" s="1"/>
  <c r="X44" i="40" s="1"/>
  <c r="X117" i="38"/>
  <c r="R119" i="38"/>
  <c r="A135" i="33"/>
  <c r="B135" i="33" s="1"/>
  <c r="B134" i="33"/>
  <c r="P124" i="46"/>
  <c r="O125" i="46"/>
  <c r="P125" i="46" s="1"/>
  <c r="H7" i="13"/>
  <c r="I7" i="13" s="1"/>
  <c r="D7" i="13"/>
  <c r="A134" i="37"/>
  <c r="B133" i="37"/>
  <c r="P124" i="34"/>
  <c r="O125" i="34"/>
  <c r="P125" i="34" s="1"/>
  <c r="O155" i="59"/>
  <c r="P154" i="59"/>
  <c r="Q154" i="59" s="1"/>
  <c r="C123" i="36"/>
  <c r="C124" i="36"/>
  <c r="AJ135" i="45"/>
  <c r="AJ134" i="45"/>
  <c r="Y115" i="37"/>
  <c r="Y114" i="37"/>
  <c r="B137" i="45"/>
  <c r="A138" i="45"/>
  <c r="P128" i="31"/>
  <c r="Q128" i="31" s="1"/>
  <c r="O129" i="31"/>
  <c r="H72" i="43"/>
  <c r="M124" i="44"/>
  <c r="I124" i="44"/>
  <c r="M125" i="44"/>
  <c r="I125" i="44"/>
  <c r="G124" i="44"/>
  <c r="AA125" i="37"/>
  <c r="AO125" i="37" s="1"/>
  <c r="AP125" i="37" s="1"/>
  <c r="W125" i="37"/>
  <c r="AA124" i="37"/>
  <c r="AO124" i="37" s="1"/>
  <c r="AP124" i="37" s="1"/>
  <c r="W124" i="37"/>
  <c r="K119" i="41"/>
  <c r="G117" i="41"/>
  <c r="K120" i="41"/>
  <c r="A130" i="48"/>
  <c r="B130" i="48" s="1"/>
  <c r="B129" i="48"/>
  <c r="C122" i="38"/>
  <c r="G123" i="38"/>
  <c r="D123" i="38"/>
  <c r="F123" i="38" s="1"/>
  <c r="O129" i="39"/>
  <c r="P128" i="39"/>
  <c r="Q128" i="39" s="1"/>
  <c r="M119" i="30"/>
  <c r="I119" i="30"/>
  <c r="M120" i="30"/>
  <c r="I120" i="30"/>
  <c r="G119" i="30"/>
  <c r="Y115" i="39"/>
  <c r="Y114" i="39"/>
  <c r="C124" i="30"/>
  <c r="C123" i="30"/>
  <c r="AA9" i="16"/>
  <c r="B141" i="30"/>
  <c r="A146" i="30"/>
  <c r="A142" i="30"/>
  <c r="C128" i="42"/>
  <c r="C129" i="42"/>
  <c r="A134" i="46"/>
  <c r="B133" i="46"/>
  <c r="T78" i="46"/>
  <c r="V78" i="46"/>
  <c r="J80" i="47"/>
  <c r="J79" i="47"/>
  <c r="H107" i="49"/>
  <c r="A135" i="42"/>
  <c r="B135" i="42" s="1"/>
  <c r="B134" i="42"/>
  <c r="O130" i="38"/>
  <c r="P130" i="38" s="1"/>
  <c r="P129" i="38"/>
  <c r="A143" i="31"/>
  <c r="B142" i="31"/>
  <c r="J84" i="48"/>
  <c r="J85" i="48"/>
  <c r="G112" i="48"/>
  <c r="K115" i="48"/>
  <c r="K114" i="48"/>
  <c r="X75" i="47"/>
  <c r="H47" i="39"/>
  <c r="AS6" i="61"/>
  <c r="AJ9" i="68" s="1"/>
  <c r="AP6" i="11"/>
  <c r="C18" i="48"/>
  <c r="B6" i="11"/>
  <c r="H62" i="42"/>
  <c r="A134" i="36"/>
  <c r="B133" i="36"/>
  <c r="AL130" i="47"/>
  <c r="AH130" i="47"/>
  <c r="AI127" i="47"/>
  <c r="AL129" i="47"/>
  <c r="AH129" i="47"/>
  <c r="Y115" i="40"/>
  <c r="Y114" i="40"/>
  <c r="A139" i="42"/>
  <c r="B138" i="42"/>
  <c r="AC139" i="31"/>
  <c r="AD139" i="31" s="1"/>
  <c r="AD138" i="31"/>
  <c r="AC143" i="31"/>
  <c r="K120" i="27"/>
  <c r="K119" i="27"/>
  <c r="G117" i="27"/>
  <c r="P128" i="49"/>
  <c r="Q128" i="49" s="1"/>
  <c r="O129" i="49"/>
  <c r="F94" i="48"/>
  <c r="H94" i="48" s="1"/>
  <c r="J92" i="48"/>
  <c r="AV18" i="24"/>
  <c r="O125" i="39"/>
  <c r="P125" i="39" s="1"/>
  <c r="P124" i="39"/>
  <c r="AV13" i="19"/>
  <c r="AA12" i="53"/>
  <c r="AG12" i="53" s="1"/>
  <c r="M120" i="37"/>
  <c r="I120" i="37"/>
  <c r="G119" i="37"/>
  <c r="M119" i="37"/>
  <c r="I119" i="37"/>
  <c r="F44" i="39"/>
  <c r="J42" i="39"/>
  <c r="G13" i="20"/>
  <c r="AG68" i="43"/>
  <c r="P137" i="48"/>
  <c r="O138" i="48"/>
  <c r="A143" i="44"/>
  <c r="B142" i="44"/>
  <c r="A143" i="33"/>
  <c r="B142" i="33"/>
  <c r="AA125" i="45"/>
  <c r="AO125" i="45" s="1"/>
  <c r="AP125" i="45" s="1"/>
  <c r="W124" i="45"/>
  <c r="W125" i="45"/>
  <c r="AA124" i="45"/>
  <c r="AO124" i="45" s="1"/>
  <c r="AP124" i="45" s="1"/>
  <c r="AL129" i="38"/>
  <c r="AH129" i="38"/>
  <c r="AL130" i="38"/>
  <c r="AH130" i="38"/>
  <c r="AI127" i="38"/>
  <c r="O133" i="50"/>
  <c r="P132" i="50"/>
  <c r="C129" i="33"/>
  <c r="C128" i="33"/>
  <c r="O130" i="42"/>
  <c r="P130" i="42" s="1"/>
  <c r="P129" i="42"/>
  <c r="P124" i="28"/>
  <c r="O125" i="28"/>
  <c r="P125" i="28" s="1"/>
  <c r="AJ135" i="42"/>
  <c r="AJ134" i="42"/>
  <c r="P136" i="39"/>
  <c r="O141" i="39"/>
  <c r="O137" i="39"/>
  <c r="A147" i="27"/>
  <c r="B146" i="27"/>
  <c r="G118" i="26"/>
  <c r="C117" i="26"/>
  <c r="AP9" i="61"/>
  <c r="AG12" i="68" s="1"/>
  <c r="C15" i="45"/>
  <c r="AP9" i="14"/>
  <c r="Y8" i="14" s="1"/>
  <c r="B9" i="14"/>
  <c r="A143" i="49"/>
  <c r="B142" i="49"/>
  <c r="AC143" i="26"/>
  <c r="AC139" i="26"/>
  <c r="AD139" i="26" s="1"/>
  <c r="AD138" i="26"/>
  <c r="P136" i="37"/>
  <c r="O141" i="37"/>
  <c r="O137" i="37"/>
  <c r="AJ135" i="50"/>
  <c r="AJ134" i="50"/>
  <c r="G8" i="15"/>
  <c r="C129" i="50"/>
  <c r="C128" i="50"/>
  <c r="M124" i="49"/>
  <c r="I124" i="49"/>
  <c r="M125" i="49"/>
  <c r="I125" i="49"/>
  <c r="G124" i="49"/>
  <c r="A139" i="31"/>
  <c r="B138" i="31"/>
  <c r="X14" i="23"/>
  <c r="AA130" i="29"/>
  <c r="AO130" i="29" s="1"/>
  <c r="AP130" i="29" s="1"/>
  <c r="W130" i="29"/>
  <c r="AA129" i="29"/>
  <c r="AO129" i="29" s="1"/>
  <c r="AP129" i="29" s="1"/>
  <c r="W129" i="29"/>
  <c r="B137" i="26"/>
  <c r="A138" i="26"/>
  <c r="AT5" i="61"/>
  <c r="AK8" i="68" s="1"/>
  <c r="AP5" i="10"/>
  <c r="B5" i="10"/>
  <c r="C19" i="49"/>
  <c r="C124" i="26"/>
  <c r="C123" i="26"/>
  <c r="R112" i="50"/>
  <c r="Y115" i="50"/>
  <c r="Y114" i="50"/>
  <c r="A130" i="37"/>
  <c r="B130" i="37" s="1"/>
  <c r="B129" i="37"/>
  <c r="AE53" i="39"/>
  <c r="R44" i="39"/>
  <c r="R48" i="39"/>
  <c r="AE49" i="39"/>
  <c r="AG49" i="39" s="1"/>
  <c r="D49" i="39"/>
  <c r="R52" i="39"/>
  <c r="D57" i="39"/>
  <c r="AA14" i="22"/>
  <c r="AG14" i="22" s="1"/>
  <c r="O125" i="27"/>
  <c r="P125" i="27" s="1"/>
  <c r="P124" i="27"/>
  <c r="Q124" i="36"/>
  <c r="Q122" i="36"/>
  <c r="O130" i="30"/>
  <c r="P130" i="30" s="1"/>
  <c r="P129" i="30"/>
  <c r="V132" i="32"/>
  <c r="V135" i="32" s="1"/>
  <c r="T132" i="32"/>
  <c r="T135" i="32" s="1"/>
  <c r="X134" i="32" s="1"/>
  <c r="AB134" i="32" s="1"/>
  <c r="AG10" i="19"/>
  <c r="R34" i="37"/>
  <c r="D39" i="37"/>
  <c r="F39" i="37" s="1"/>
  <c r="H39" i="37" s="1"/>
  <c r="R38" i="37"/>
  <c r="AE43" i="37"/>
  <c r="D43" i="37"/>
  <c r="F43" i="37" s="1"/>
  <c r="H43" i="37" s="1"/>
  <c r="AE39" i="37"/>
  <c r="AG39" i="37" s="1"/>
  <c r="R42" i="37"/>
  <c r="D47" i="37"/>
  <c r="AC134" i="29"/>
  <c r="AD134" i="29" s="1"/>
  <c r="AD133" i="29"/>
  <c r="AC138" i="29"/>
  <c r="F72" i="42"/>
  <c r="V54" i="42"/>
  <c r="V55" i="42" s="1"/>
  <c r="T54" i="42"/>
  <c r="T55" i="42" s="1"/>
  <c r="X54" i="42" s="1"/>
  <c r="AC149" i="40"/>
  <c r="AD149" i="40" s="1"/>
  <c r="AD148" i="40"/>
  <c r="O137" i="31"/>
  <c r="P136" i="31"/>
  <c r="O141" i="31"/>
  <c r="R119" i="26"/>
  <c r="X117" i="26"/>
  <c r="AA125" i="33"/>
  <c r="AO125" i="33" s="1"/>
  <c r="AP125" i="33" s="1"/>
  <c r="W125" i="33"/>
  <c r="AA124" i="33"/>
  <c r="AO124" i="33" s="1"/>
  <c r="AP124" i="33" s="1"/>
  <c r="W124" i="33"/>
  <c r="H16" i="22"/>
  <c r="I16" i="22" s="1"/>
  <c r="D16" i="22"/>
  <c r="F16" i="22" s="1"/>
  <c r="G16" i="22" s="1"/>
  <c r="AE54" i="40"/>
  <c r="AG54" i="40" s="1"/>
  <c r="AE58" i="40"/>
  <c r="D54" i="40"/>
  <c r="R53" i="40"/>
  <c r="D58" i="40"/>
  <c r="F58" i="40" s="1"/>
  <c r="H58" i="40" s="1"/>
  <c r="D62" i="40"/>
  <c r="R57" i="40"/>
  <c r="AA125" i="43"/>
  <c r="AO125" i="43" s="1"/>
  <c r="AP125" i="43" s="1"/>
  <c r="W125" i="43"/>
  <c r="AA124" i="43"/>
  <c r="AO124" i="43" s="1"/>
  <c r="AP124" i="43" s="1"/>
  <c r="W124" i="43"/>
  <c r="O142" i="26"/>
  <c r="P141" i="26"/>
  <c r="O146" i="26"/>
  <c r="AC134" i="44"/>
  <c r="AD134" i="44" s="1"/>
  <c r="AD133" i="44"/>
  <c r="AC138" i="44"/>
  <c r="X112" i="33"/>
  <c r="Q117" i="50"/>
  <c r="Q119" i="50"/>
  <c r="C129" i="49"/>
  <c r="C128" i="49"/>
  <c r="AE74" i="44"/>
  <c r="AG74" i="44" s="1"/>
  <c r="AE78" i="44"/>
  <c r="R73" i="44"/>
  <c r="D74" i="44"/>
  <c r="R64" i="44"/>
  <c r="D78" i="44"/>
  <c r="A143" i="47"/>
  <c r="B142" i="47"/>
  <c r="J62" i="43"/>
  <c r="P129" i="47"/>
  <c r="O130" i="47"/>
  <c r="P130" i="47" s="1"/>
  <c r="B137" i="48"/>
  <c r="A138" i="48"/>
  <c r="O146" i="42"/>
  <c r="O142" i="42"/>
  <c r="P141" i="42"/>
  <c r="O133" i="28"/>
  <c r="P132" i="28"/>
  <c r="AC139" i="36"/>
  <c r="AD139" i="36" s="1"/>
  <c r="AD138" i="36"/>
  <c r="AC143" i="36"/>
  <c r="Q143" i="59"/>
  <c r="Q141" i="59"/>
  <c r="AG90" i="48"/>
  <c r="AI85" i="47"/>
  <c r="A135" i="38"/>
  <c r="B135" i="38" s="1"/>
  <c r="B134" i="38"/>
  <c r="AA125" i="44"/>
  <c r="AO125" i="44" s="1"/>
  <c r="AP125" i="44" s="1"/>
  <c r="W125" i="44"/>
  <c r="AA124" i="44"/>
  <c r="AO124" i="44" s="1"/>
  <c r="AP124" i="44" s="1"/>
  <c r="W124" i="44"/>
  <c r="AC139" i="28"/>
  <c r="AD139" i="28" s="1"/>
  <c r="AD138" i="28"/>
  <c r="AC143" i="28"/>
  <c r="C128" i="41"/>
  <c r="C129" i="41"/>
  <c r="G118" i="43"/>
  <c r="C117" i="43"/>
  <c r="A130" i="46"/>
  <c r="B130" i="46" s="1"/>
  <c r="B129" i="46"/>
  <c r="B146" i="41"/>
  <c r="A147" i="41"/>
  <c r="AJ135" i="34"/>
  <c r="AJ134" i="34"/>
  <c r="B137" i="37"/>
  <c r="A138" i="37"/>
  <c r="AJ130" i="41"/>
  <c r="AJ129" i="41"/>
  <c r="AG38" i="37"/>
  <c r="O160" i="59"/>
  <c r="P159" i="59"/>
  <c r="Z40" i="40"/>
  <c r="AK40" i="40"/>
  <c r="AM40" i="40" s="1"/>
  <c r="AS40" i="40" s="1"/>
  <c r="L45" i="40"/>
  <c r="AC143" i="32"/>
  <c r="AC139" i="32"/>
  <c r="AD139" i="32" s="1"/>
  <c r="AD138" i="32"/>
  <c r="X112" i="49"/>
  <c r="X112" i="44"/>
  <c r="F47" i="38"/>
  <c r="B142" i="38"/>
  <c r="A143" i="38"/>
  <c r="Y120" i="29"/>
  <c r="Y119" i="29"/>
  <c r="Z120" i="29"/>
  <c r="Z119" i="29"/>
  <c r="R117" i="29"/>
  <c r="P132" i="43"/>
  <c r="O133" i="43"/>
  <c r="F62" i="41"/>
  <c r="AG58" i="41"/>
  <c r="H12" i="18"/>
  <c r="I12" i="18" s="1"/>
  <c r="D12" i="18"/>
  <c r="F12" i="18" s="1"/>
  <c r="G12" i="18" s="1"/>
  <c r="P133" i="48"/>
  <c r="Q133" i="48" s="1"/>
  <c r="O134" i="48"/>
  <c r="C117" i="46"/>
  <c r="G118" i="46"/>
  <c r="AE40" i="38"/>
  <c r="AI39" i="38" s="1"/>
  <c r="D123" i="40"/>
  <c r="F123" i="40" s="1"/>
  <c r="C122" i="40"/>
  <c r="G123" i="40"/>
  <c r="T83" i="47"/>
  <c r="V83" i="47"/>
  <c r="AI132" i="37"/>
  <c r="AL134" i="37"/>
  <c r="AH134" i="37"/>
  <c r="AL135" i="37"/>
  <c r="AH135" i="37"/>
  <c r="O133" i="44"/>
  <c r="P132" i="44"/>
  <c r="AD160" i="59"/>
  <c r="AC166" i="59"/>
  <c r="AC161" i="59"/>
  <c r="AD161" i="59" s="1"/>
  <c r="X12" i="20"/>
  <c r="Z55" i="44" l="1"/>
  <c r="AB55" i="44" s="1"/>
  <c r="AL6" i="43"/>
  <c r="AG70" i="43"/>
  <c r="AA11" i="18"/>
  <c r="AG11" i="18" s="1"/>
  <c r="AK54" i="44"/>
  <c r="AM54" i="44" s="1"/>
  <c r="AS54" i="44" s="1"/>
  <c r="L59" i="44"/>
  <c r="N59" i="44" s="1"/>
  <c r="AQ59" i="44" s="1"/>
  <c r="AL11" i="45"/>
  <c r="AN11" i="45" s="1"/>
  <c r="Z40" i="46"/>
  <c r="AB40" i="46" s="1"/>
  <c r="AR39" i="46" s="1"/>
  <c r="L45" i="46"/>
  <c r="N45" i="46" s="1"/>
  <c r="AQ45" i="46" s="1"/>
  <c r="AK40" i="46"/>
  <c r="AM40" i="46" s="1"/>
  <c r="AS40" i="46" s="1"/>
  <c r="AE105" i="50"/>
  <c r="AI104" i="50" s="1"/>
  <c r="AI105" i="50" s="1"/>
  <c r="T103" i="50"/>
  <c r="D184" i="66"/>
  <c r="L152" i="66"/>
  <c r="J152" i="66" s="1"/>
  <c r="B152" i="65" s="1"/>
  <c r="L128" i="66"/>
  <c r="AR129" i="32"/>
  <c r="V85" i="47"/>
  <c r="F104" i="50"/>
  <c r="T84" i="47"/>
  <c r="T85" i="47" s="1"/>
  <c r="X84" i="47" s="1"/>
  <c r="X50" i="41"/>
  <c r="A148" i="66"/>
  <c r="AN3" i="41"/>
  <c r="AN6" i="41" s="1"/>
  <c r="A73" i="66"/>
  <c r="L92" i="66"/>
  <c r="J92" i="66" s="1"/>
  <c r="B92" i="65" s="1"/>
  <c r="AB50" i="42"/>
  <c r="T107" i="50"/>
  <c r="J39" i="38"/>
  <c r="N39" i="38" s="1"/>
  <c r="AQ39" i="38" s="1"/>
  <c r="AP60" i="50"/>
  <c r="D149" i="66"/>
  <c r="A149" i="66" s="1"/>
  <c r="D129" i="66"/>
  <c r="A184" i="66"/>
  <c r="B184" i="66"/>
  <c r="J115" i="66"/>
  <c r="B115" i="65" s="1"/>
  <c r="D115" i="65"/>
  <c r="A115" i="65" s="1"/>
  <c r="I115" i="66"/>
  <c r="D152" i="65"/>
  <c r="D107" i="66"/>
  <c r="L116" i="66"/>
  <c r="B106" i="66"/>
  <c r="A106" i="66"/>
  <c r="I128" i="66"/>
  <c r="J128" i="66"/>
  <c r="B128" i="65" s="1"/>
  <c r="D128" i="65"/>
  <c r="A128" i="65" s="1"/>
  <c r="A128" i="66"/>
  <c r="B128" i="66"/>
  <c r="L212" i="66"/>
  <c r="Z28" i="44"/>
  <c r="AN3" i="42"/>
  <c r="AN5" i="42" s="1"/>
  <c r="AN3" i="43"/>
  <c r="AJ10" i="46"/>
  <c r="AJ11" i="46" s="1"/>
  <c r="AN10" i="46" s="1"/>
  <c r="AN16" i="45"/>
  <c r="D71" i="66"/>
  <c r="L76" i="66"/>
  <c r="D110" i="66"/>
  <c r="A70" i="66"/>
  <c r="B70" i="66"/>
  <c r="D84" i="66"/>
  <c r="L90" i="66"/>
  <c r="J89" i="66"/>
  <c r="B89" i="65" s="1"/>
  <c r="D89" i="65"/>
  <c r="A89" i="65" s="1"/>
  <c r="I89" i="66"/>
  <c r="B83" i="66"/>
  <c r="A83" i="66"/>
  <c r="D162" i="66"/>
  <c r="L174" i="66"/>
  <c r="D123" i="66"/>
  <c r="L132" i="66"/>
  <c r="A122" i="66"/>
  <c r="B122" i="66"/>
  <c r="I75" i="66"/>
  <c r="D75" i="65"/>
  <c r="A75" i="65" s="1"/>
  <c r="J75" i="66"/>
  <c r="B75" i="65" s="1"/>
  <c r="CS100" i="61"/>
  <c r="D57" i="66"/>
  <c r="L60" i="66"/>
  <c r="R104" i="50"/>
  <c r="D113" i="50"/>
  <c r="AE109" i="50"/>
  <c r="D109" i="50"/>
  <c r="AE113" i="50"/>
  <c r="R108" i="50"/>
  <c r="CT99" i="61"/>
  <c r="D38" i="66"/>
  <c r="L40" i="66"/>
  <c r="D117" i="50"/>
  <c r="F117" i="50" s="1"/>
  <c r="L160" i="66"/>
  <c r="B170" i="66"/>
  <c r="A170" i="66"/>
  <c r="V89" i="49"/>
  <c r="V90" i="49" s="1"/>
  <c r="T89" i="49"/>
  <c r="T90" i="49" s="1"/>
  <c r="X89" i="49" s="1"/>
  <c r="D139" i="65"/>
  <c r="J139" i="66"/>
  <c r="B139" i="65" s="1"/>
  <c r="I139" i="66"/>
  <c r="D39" i="65"/>
  <c r="A39" i="65" s="1"/>
  <c r="J39" i="66"/>
  <c r="B39" i="65" s="1"/>
  <c r="I39" i="66"/>
  <c r="Z28" i="41"/>
  <c r="X7" i="41"/>
  <c r="D19" i="65"/>
  <c r="A19" i="65" s="1"/>
  <c r="J19" i="66"/>
  <c r="B19" i="65" s="1"/>
  <c r="I19" i="66"/>
  <c r="AJ9" i="41"/>
  <c r="AL9" i="41"/>
  <c r="D59" i="65"/>
  <c r="A59" i="65" s="1"/>
  <c r="J59" i="66"/>
  <c r="B59" i="65" s="1"/>
  <c r="I59" i="66"/>
  <c r="V97" i="47"/>
  <c r="T97" i="47"/>
  <c r="D108" i="49"/>
  <c r="F108" i="49" s="1"/>
  <c r="R99" i="49"/>
  <c r="R107" i="49"/>
  <c r="D112" i="49"/>
  <c r="F112" i="49" s="1"/>
  <c r="R89" i="48"/>
  <c r="R102" i="48"/>
  <c r="D103" i="48"/>
  <c r="F103" i="48" s="1"/>
  <c r="D107" i="48"/>
  <c r="F107" i="48" s="1"/>
  <c r="D95" i="66"/>
  <c r="L100" i="66"/>
  <c r="D98" i="46"/>
  <c r="F98" i="46" s="1"/>
  <c r="H98" i="46" s="1"/>
  <c r="R97" i="46"/>
  <c r="D102" i="46"/>
  <c r="F102" i="46" s="1"/>
  <c r="AJ10" i="44"/>
  <c r="AL10" i="44"/>
  <c r="D104" i="49"/>
  <c r="F104" i="49" s="1"/>
  <c r="H104" i="49" s="1"/>
  <c r="R103" i="49"/>
  <c r="T103" i="49" s="1"/>
  <c r="D199" i="65"/>
  <c r="A199" i="65" s="1"/>
  <c r="J199" i="66"/>
  <c r="B199" i="65" s="1"/>
  <c r="I199" i="66"/>
  <c r="T102" i="49"/>
  <c r="V102" i="49"/>
  <c r="B37" i="66"/>
  <c r="A37" i="66"/>
  <c r="B18" i="66"/>
  <c r="A18" i="66"/>
  <c r="A56" i="66"/>
  <c r="B56" i="66"/>
  <c r="R87" i="45"/>
  <c r="D97" i="45"/>
  <c r="F97" i="45" s="1"/>
  <c r="L200" i="66"/>
  <c r="H104" i="50"/>
  <c r="H105" i="50" s="1"/>
  <c r="J105" i="50" s="1"/>
  <c r="F105" i="50"/>
  <c r="J104" i="50" s="1"/>
  <c r="Z16" i="41"/>
  <c r="AD16" i="41" s="1"/>
  <c r="Z15" i="41"/>
  <c r="AD15" i="41" s="1"/>
  <c r="D79" i="65"/>
  <c r="A79" i="65" s="1"/>
  <c r="J79" i="66"/>
  <c r="B79" i="65" s="1"/>
  <c r="I79" i="66"/>
  <c r="D99" i="65"/>
  <c r="J99" i="66"/>
  <c r="B99" i="65" s="1"/>
  <c r="I99" i="66"/>
  <c r="X90" i="50"/>
  <c r="D159" i="65"/>
  <c r="A159" i="65" s="1"/>
  <c r="I159" i="66"/>
  <c r="J159" i="66"/>
  <c r="B159" i="65" s="1"/>
  <c r="H97" i="46"/>
  <c r="L140" i="66"/>
  <c r="CR101" i="61"/>
  <c r="D76" i="66"/>
  <c r="L80" i="66"/>
  <c r="AJ10" i="41"/>
  <c r="AL10" i="41"/>
  <c r="AL11" i="41" s="1"/>
  <c r="CU98" i="61"/>
  <c r="D19" i="66"/>
  <c r="L20" i="66"/>
  <c r="D171" i="66"/>
  <c r="D114" i="66"/>
  <c r="H99" i="50"/>
  <c r="H100" i="50" s="1"/>
  <c r="J100" i="50" s="1"/>
  <c r="F100" i="50"/>
  <c r="J99" i="50" s="1"/>
  <c r="AE104" i="49"/>
  <c r="AG104" i="49" s="1"/>
  <c r="AE108" i="49"/>
  <c r="AG108" i="49" s="1"/>
  <c r="H103" i="49"/>
  <c r="B75" i="66"/>
  <c r="A75" i="66"/>
  <c r="B94" i="66"/>
  <c r="A94" i="66"/>
  <c r="T99" i="50"/>
  <c r="T100" i="50" s="1"/>
  <c r="X99" i="50" s="1"/>
  <c r="V99" i="50"/>
  <c r="V100" i="50" s="1"/>
  <c r="V87" i="46"/>
  <c r="T87" i="46"/>
  <c r="AN16" i="41"/>
  <c r="V22" i="41"/>
  <c r="V23" i="41" s="1"/>
  <c r="Z22" i="41" s="1"/>
  <c r="X22" i="41"/>
  <c r="X23" i="41" s="1"/>
  <c r="H102" i="47"/>
  <c r="Z16" i="43"/>
  <c r="AL5" i="45"/>
  <c r="AL6" i="45" s="1"/>
  <c r="AN6" i="45" s="1"/>
  <c r="AJ6" i="45"/>
  <c r="AN5" i="45" s="1"/>
  <c r="T69" i="45"/>
  <c r="T70" i="45" s="1"/>
  <c r="X69" i="45" s="1"/>
  <c r="X70" i="45" s="1"/>
  <c r="AJ16" i="43"/>
  <c r="AN15" i="43" s="1"/>
  <c r="AL16" i="42"/>
  <c r="AN16" i="42" s="1"/>
  <c r="Z28" i="43"/>
  <c r="AL16" i="43"/>
  <c r="AL11" i="46"/>
  <c r="Z5" i="43"/>
  <c r="N19" i="43"/>
  <c r="L5" i="43" s="1"/>
  <c r="AP55" i="43" s="1"/>
  <c r="Z16" i="42"/>
  <c r="Z5" i="44"/>
  <c r="CJ109" i="61"/>
  <c r="D77" i="42"/>
  <c r="F77" i="42" s="1"/>
  <c r="AH10" i="42"/>
  <c r="CN105" i="61"/>
  <c r="AJ5" i="44"/>
  <c r="AN3" i="44"/>
  <c r="AJ16" i="44"/>
  <c r="AN15" i="44" s="1"/>
  <c r="A96" i="65"/>
  <c r="CH111" i="61"/>
  <c r="CQ102" i="61"/>
  <c r="CI110" i="61"/>
  <c r="CE114" i="61"/>
  <c r="R69" i="44"/>
  <c r="V69" i="44" s="1"/>
  <c r="V70" i="44" s="1"/>
  <c r="T22" i="44"/>
  <c r="AL5" i="46"/>
  <c r="AL6" i="46" s="1"/>
  <c r="AN6" i="46" s="1"/>
  <c r="AJ6" i="46"/>
  <c r="AN5" i="46" s="1"/>
  <c r="A109" i="65"/>
  <c r="A70" i="65"/>
  <c r="AL6" i="42"/>
  <c r="AL16" i="44"/>
  <c r="Z15" i="43"/>
  <c r="CO104" i="61"/>
  <c r="CK108" i="61"/>
  <c r="CL107" i="61"/>
  <c r="X22" i="45"/>
  <c r="X23" i="45" s="1"/>
  <c r="V22" i="45"/>
  <c r="V23" i="45" s="1"/>
  <c r="Z22" i="45" s="1"/>
  <c r="AJ9" i="44"/>
  <c r="AJ11" i="44" s="1"/>
  <c r="AN10" i="44" s="1"/>
  <c r="AL9" i="44"/>
  <c r="AL11" i="44" s="1"/>
  <c r="AN11" i="47"/>
  <c r="AJ9" i="42"/>
  <c r="AL9" i="42"/>
  <c r="A57" i="65"/>
  <c r="X22" i="43"/>
  <c r="X23" i="43" s="1"/>
  <c r="V22" i="43"/>
  <c r="V23" i="43" s="1"/>
  <c r="Z22" i="43" s="1"/>
  <c r="CM106" i="61"/>
  <c r="CF113" i="61"/>
  <c r="CP103" i="61"/>
  <c r="CG112" i="61"/>
  <c r="Z5" i="42"/>
  <c r="Z5" i="46"/>
  <c r="X15" i="44"/>
  <c r="X16" i="44" s="1"/>
  <c r="Z16" i="44" s="1"/>
  <c r="V16" i="44"/>
  <c r="Z15" i="44" s="1"/>
  <c r="V22" i="42"/>
  <c r="V23" i="42" s="1"/>
  <c r="Z22" i="42" s="1"/>
  <c r="X22" i="42"/>
  <c r="X23" i="42" s="1"/>
  <c r="AL9" i="43"/>
  <c r="AJ9" i="43"/>
  <c r="J40" i="38"/>
  <c r="N40" i="38" s="1"/>
  <c r="AQ40" i="38" s="1"/>
  <c r="AE90" i="47"/>
  <c r="AI89" i="47" s="1"/>
  <c r="AI80" i="46"/>
  <c r="L69" i="47"/>
  <c r="N69" i="47" s="1"/>
  <c r="AQ69" i="47" s="1"/>
  <c r="Y11" i="17"/>
  <c r="AA11" i="17" s="1"/>
  <c r="AG11" i="17" s="1"/>
  <c r="T50" i="40"/>
  <c r="X49" i="40" s="1"/>
  <c r="X50" i="40" s="1"/>
  <c r="V32" i="35"/>
  <c r="T32" i="35"/>
  <c r="AV20" i="25"/>
  <c r="N45" i="40"/>
  <c r="AQ45" i="40" s="1"/>
  <c r="R32" i="34"/>
  <c r="AE33" i="34"/>
  <c r="AG33" i="34" s="1"/>
  <c r="D37" i="34"/>
  <c r="F37" i="34" s="1"/>
  <c r="H37" i="34" s="1"/>
  <c r="AE21" i="61"/>
  <c r="V24" i="68" s="1"/>
  <c r="C4" i="33"/>
  <c r="AP21" i="25"/>
  <c r="B21" i="25"/>
  <c r="H20" i="25"/>
  <c r="I20" i="25" s="1"/>
  <c r="D20" i="25"/>
  <c r="F20" i="25" s="1"/>
  <c r="G20" i="25" s="1"/>
  <c r="L69" i="48"/>
  <c r="N69" i="48" s="1"/>
  <c r="AQ69" i="48" s="1"/>
  <c r="AK64" i="48"/>
  <c r="AM64" i="48" s="1"/>
  <c r="AS64" i="48" s="1"/>
  <c r="Z64" i="48"/>
  <c r="AB64" i="48" s="1"/>
  <c r="L70" i="48"/>
  <c r="N70" i="48" s="1"/>
  <c r="AQ70" i="48" s="1"/>
  <c r="Z65" i="48"/>
  <c r="AB65" i="48" s="1"/>
  <c r="AK65" i="48"/>
  <c r="AM65" i="48" s="1"/>
  <c r="AS65" i="48" s="1"/>
  <c r="J79" i="46"/>
  <c r="AE70" i="43"/>
  <c r="AI69" i="43" s="1"/>
  <c r="AI70" i="43" s="1"/>
  <c r="X11" i="19"/>
  <c r="J80" i="46"/>
  <c r="N55" i="42"/>
  <c r="AQ55" i="42" s="1"/>
  <c r="AR39" i="41"/>
  <c r="AT39" i="41" s="1"/>
  <c r="D6" i="41" s="1"/>
  <c r="L54" i="41" s="1"/>
  <c r="AG60" i="41"/>
  <c r="AE60" i="41"/>
  <c r="AI59" i="41" s="1"/>
  <c r="AI60" i="42"/>
  <c r="AM60" i="42" s="1"/>
  <c r="AS60" i="42" s="1"/>
  <c r="AI65" i="43"/>
  <c r="AI55" i="41"/>
  <c r="AI70" i="44"/>
  <c r="D73" i="42"/>
  <c r="F73" i="42" s="1"/>
  <c r="H73" i="42" s="1"/>
  <c r="AG90" i="47"/>
  <c r="AI90" i="48"/>
  <c r="AR64" i="49"/>
  <c r="AT64" i="49" s="1"/>
  <c r="D11" i="49" s="1"/>
  <c r="AR65" i="49"/>
  <c r="AT65" i="49" s="1"/>
  <c r="E11" i="49" s="1"/>
  <c r="X80" i="47"/>
  <c r="R79" i="45"/>
  <c r="D88" i="45"/>
  <c r="F88" i="45" s="1"/>
  <c r="H88" i="45" s="1"/>
  <c r="Z49" i="42"/>
  <c r="AB49" i="42" s="1"/>
  <c r="L54" i="42"/>
  <c r="N54" i="42" s="1"/>
  <c r="AQ54" i="42" s="1"/>
  <c r="R47" i="36"/>
  <c r="D52" i="36"/>
  <c r="F52" i="36" s="1"/>
  <c r="AE98" i="47"/>
  <c r="AG98" i="47" s="1"/>
  <c r="R93" i="47"/>
  <c r="T93" i="47" s="1"/>
  <c r="V103" i="49"/>
  <c r="AI100" i="50"/>
  <c r="H68" i="42"/>
  <c r="V47" i="37"/>
  <c r="T47" i="37"/>
  <c r="H87" i="45"/>
  <c r="T77" i="44"/>
  <c r="V77" i="44"/>
  <c r="D68" i="41"/>
  <c r="F68" i="41" s="1"/>
  <c r="R67" i="41"/>
  <c r="R77" i="43"/>
  <c r="D82" i="43"/>
  <c r="F82" i="43" s="1"/>
  <c r="V49" i="39"/>
  <c r="T49" i="39"/>
  <c r="R84" i="46"/>
  <c r="AE94" i="47"/>
  <c r="AG94" i="47" s="1"/>
  <c r="V98" i="49"/>
  <c r="T98" i="49"/>
  <c r="F99" i="49"/>
  <c r="J97" i="49"/>
  <c r="T82" i="45"/>
  <c r="V82" i="45"/>
  <c r="V79" i="46"/>
  <c r="V80" i="46" s="1"/>
  <c r="T79" i="46"/>
  <c r="T80" i="46" s="1"/>
  <c r="X79" i="46" s="1"/>
  <c r="X85" i="48"/>
  <c r="H54" i="41"/>
  <c r="H55" i="41" s="1"/>
  <c r="J55" i="41" s="1"/>
  <c r="F55" i="41"/>
  <c r="J54" i="41" s="1"/>
  <c r="H84" i="47"/>
  <c r="H85" i="47" s="1"/>
  <c r="J85" i="47" s="1"/>
  <c r="F85" i="47"/>
  <c r="J84" i="47" s="1"/>
  <c r="D83" i="44"/>
  <c r="F83" i="44" s="1"/>
  <c r="H83" i="44" s="1"/>
  <c r="R82" i="44"/>
  <c r="D87" i="44"/>
  <c r="F87" i="44" s="1"/>
  <c r="H69" i="44"/>
  <c r="H70" i="44" s="1"/>
  <c r="J70" i="44" s="1"/>
  <c r="F70" i="44"/>
  <c r="J69" i="44" s="1"/>
  <c r="R98" i="48"/>
  <c r="D99" i="48"/>
  <c r="AE99" i="48"/>
  <c r="AE103" i="48"/>
  <c r="H67" i="40"/>
  <c r="D72" i="41"/>
  <c r="F72" i="41" s="1"/>
  <c r="H89" i="48"/>
  <c r="H90" i="48" s="1"/>
  <c r="J90" i="48" s="1"/>
  <c r="F90" i="48"/>
  <c r="J89" i="48" s="1"/>
  <c r="Z50" i="41"/>
  <c r="L55" i="41"/>
  <c r="AG99" i="49"/>
  <c r="AG100" i="49" s="1"/>
  <c r="AE100" i="49"/>
  <c r="AI99" i="49" s="1"/>
  <c r="AG103" i="49"/>
  <c r="AG105" i="49" s="1"/>
  <c r="V67" i="42"/>
  <c r="T67" i="42"/>
  <c r="H52" i="37"/>
  <c r="H82" i="44"/>
  <c r="AR55" i="44"/>
  <c r="AT55" i="44" s="1"/>
  <c r="E9" i="44" s="1"/>
  <c r="Z60" i="44" s="1"/>
  <c r="AB60" i="44" s="1"/>
  <c r="AR54" i="44"/>
  <c r="AT54" i="44" s="1"/>
  <c r="D9" i="44" s="1"/>
  <c r="L64" i="44" s="1"/>
  <c r="N64" i="44" s="1"/>
  <c r="AQ64" i="44" s="1"/>
  <c r="AI45" i="39"/>
  <c r="AI50" i="40"/>
  <c r="AE40" i="37"/>
  <c r="AI39" i="37" s="1"/>
  <c r="Z44" i="42"/>
  <c r="AB44" i="42" s="1"/>
  <c r="L49" i="42"/>
  <c r="N49" i="42" s="1"/>
  <c r="AQ49" i="42" s="1"/>
  <c r="AK44" i="42"/>
  <c r="AM44" i="42" s="1"/>
  <c r="AS44" i="42" s="1"/>
  <c r="AK45" i="41"/>
  <c r="AM45" i="41" s="1"/>
  <c r="AS45" i="41" s="1"/>
  <c r="Z45" i="41"/>
  <c r="AB45" i="41" s="1"/>
  <c r="L50" i="41"/>
  <c r="N50" i="41" s="1"/>
  <c r="AQ50" i="41" s="1"/>
  <c r="H123" i="42"/>
  <c r="AG40" i="37"/>
  <c r="H123" i="38"/>
  <c r="X45" i="40"/>
  <c r="H123" i="50"/>
  <c r="X135" i="32"/>
  <c r="AB135" i="32" s="1"/>
  <c r="AR135" i="32" s="1"/>
  <c r="H123" i="44"/>
  <c r="H123" i="40"/>
  <c r="X65" i="45"/>
  <c r="H123" i="29"/>
  <c r="H123" i="35"/>
  <c r="X75" i="46"/>
  <c r="H123" i="27"/>
  <c r="H123" i="49"/>
  <c r="AR35" i="38"/>
  <c r="AT35" i="38" s="1"/>
  <c r="E5" i="38" s="1"/>
  <c r="AR34" i="38"/>
  <c r="AT34" i="38" s="1"/>
  <c r="D5" i="38" s="1"/>
  <c r="AA13" i="53"/>
  <c r="AG13" i="53" s="1"/>
  <c r="X12" i="53"/>
  <c r="AA8" i="14"/>
  <c r="AG8" i="14" s="1"/>
  <c r="X7" i="14"/>
  <c r="O135" i="48"/>
  <c r="P135" i="48" s="1"/>
  <c r="P134" i="48"/>
  <c r="V117" i="29"/>
  <c r="V120" i="29" s="1"/>
  <c r="T117" i="29"/>
  <c r="T120" i="29" s="1"/>
  <c r="X119" i="29" s="1"/>
  <c r="AB119" i="29" s="1"/>
  <c r="H47" i="38"/>
  <c r="AI137" i="32"/>
  <c r="AL139" i="32"/>
  <c r="AH139" i="32"/>
  <c r="AL140" i="32"/>
  <c r="AH140" i="32"/>
  <c r="M130" i="41"/>
  <c r="I130" i="41"/>
  <c r="G129" i="41"/>
  <c r="M129" i="41"/>
  <c r="I129" i="41"/>
  <c r="AI137" i="28"/>
  <c r="AL139" i="28"/>
  <c r="AH139" i="28"/>
  <c r="AL140" i="28"/>
  <c r="AH140" i="28"/>
  <c r="AL140" i="36"/>
  <c r="AH140" i="36"/>
  <c r="AL139" i="36"/>
  <c r="AH139" i="36"/>
  <c r="AI137" i="36"/>
  <c r="O134" i="28"/>
  <c r="P133" i="28"/>
  <c r="Q133" i="28" s="1"/>
  <c r="P142" i="42"/>
  <c r="O143" i="42"/>
  <c r="F74" i="44"/>
  <c r="J72" i="44"/>
  <c r="AL135" i="44"/>
  <c r="AH135" i="44"/>
  <c r="AI132" i="44"/>
  <c r="AL134" i="44"/>
  <c r="AH134" i="44"/>
  <c r="P142" i="26"/>
  <c r="O143" i="26"/>
  <c r="F62" i="40"/>
  <c r="AG58" i="40"/>
  <c r="AI147" i="40"/>
  <c r="AL149" i="40"/>
  <c r="AH149" i="40"/>
  <c r="AL150" i="40"/>
  <c r="AH150" i="40"/>
  <c r="AC139" i="29"/>
  <c r="AD139" i="29" s="1"/>
  <c r="AD138" i="29"/>
  <c r="AC143" i="29"/>
  <c r="V42" i="37"/>
  <c r="T42" i="37"/>
  <c r="T38" i="37"/>
  <c r="V38" i="37"/>
  <c r="AF10" i="19"/>
  <c r="AF11" i="19" s="1"/>
  <c r="AF12" i="19" s="1"/>
  <c r="Q129" i="30"/>
  <c r="Q127" i="30"/>
  <c r="X122" i="36"/>
  <c r="R124" i="36"/>
  <c r="C129" i="37"/>
  <c r="C128" i="37"/>
  <c r="V112" i="50"/>
  <c r="T112" i="50"/>
  <c r="M124" i="26"/>
  <c r="I124" i="26"/>
  <c r="M125" i="26"/>
  <c r="I125" i="26"/>
  <c r="G124" i="26"/>
  <c r="AV5" i="10"/>
  <c r="A139" i="26"/>
  <c r="B138" i="26"/>
  <c r="D128" i="50"/>
  <c r="F128" i="50" s="1"/>
  <c r="C127" i="50"/>
  <c r="G128" i="50"/>
  <c r="AC148" i="26"/>
  <c r="AC144" i="26"/>
  <c r="AD144" i="26" s="1"/>
  <c r="AD143" i="26"/>
  <c r="AE84" i="45"/>
  <c r="AG84" i="45" s="1"/>
  <c r="AE88" i="45"/>
  <c r="R83" i="45"/>
  <c r="D84" i="45"/>
  <c r="P141" i="39"/>
  <c r="O146" i="39"/>
  <c r="O142" i="39"/>
  <c r="M129" i="33"/>
  <c r="I129" i="33"/>
  <c r="M130" i="33"/>
  <c r="I130" i="33"/>
  <c r="G129" i="33"/>
  <c r="A144" i="33"/>
  <c r="B143" i="33"/>
  <c r="AA13" i="19"/>
  <c r="AA130" i="49"/>
  <c r="AO130" i="49" s="1"/>
  <c r="W130" i="49"/>
  <c r="AA129" i="49"/>
  <c r="AO129" i="49" s="1"/>
  <c r="W129" i="49"/>
  <c r="AJ139" i="31"/>
  <c r="AJ140" i="31"/>
  <c r="A135" i="36"/>
  <c r="B135" i="36" s="1"/>
  <c r="B134" i="36"/>
  <c r="AV6" i="11"/>
  <c r="C133" i="42"/>
  <c r="C134" i="42"/>
  <c r="A135" i="46"/>
  <c r="B135" i="46" s="1"/>
  <c r="B134" i="46"/>
  <c r="B146" i="30"/>
  <c r="A147" i="30"/>
  <c r="K124" i="38"/>
  <c r="L125" i="38"/>
  <c r="G122" i="38"/>
  <c r="K125" i="38"/>
  <c r="L124" i="38"/>
  <c r="D122" i="38"/>
  <c r="AA130" i="31"/>
  <c r="AO130" i="31" s="1"/>
  <c r="AP130" i="31" s="1"/>
  <c r="W130" i="31"/>
  <c r="AA129" i="31"/>
  <c r="AO129" i="31" s="1"/>
  <c r="AP129" i="31" s="1"/>
  <c r="W129" i="31"/>
  <c r="C134" i="33"/>
  <c r="C133" i="33"/>
  <c r="A140" i="27"/>
  <c r="B140" i="27" s="1"/>
  <c r="B139" i="27"/>
  <c r="AL140" i="30"/>
  <c r="AH140" i="30"/>
  <c r="AI137" i="30"/>
  <c r="AL139" i="30"/>
  <c r="AH139" i="30"/>
  <c r="P141" i="46"/>
  <c r="O146" i="46"/>
  <c r="O142" i="46"/>
  <c r="C129" i="43"/>
  <c r="C128" i="43"/>
  <c r="H13" i="18"/>
  <c r="I13" i="18" s="1"/>
  <c r="D13" i="18"/>
  <c r="F13" i="18" s="1"/>
  <c r="G13" i="18" s="1"/>
  <c r="G12" i="19"/>
  <c r="AA135" i="29"/>
  <c r="AO135" i="29" s="1"/>
  <c r="AP135" i="29" s="1"/>
  <c r="W135" i="29"/>
  <c r="AA134" i="29"/>
  <c r="AO134" i="29" s="1"/>
  <c r="AP134" i="29" s="1"/>
  <c r="W134" i="29"/>
  <c r="AL134" i="41"/>
  <c r="AH134" i="41"/>
  <c r="AL135" i="41"/>
  <c r="AH135" i="41"/>
  <c r="AI132" i="41"/>
  <c r="AC148" i="39"/>
  <c r="AC144" i="39"/>
  <c r="AD144" i="39" s="1"/>
  <c r="AD143" i="39"/>
  <c r="A144" i="41"/>
  <c r="B143" i="41"/>
  <c r="Q124" i="44"/>
  <c r="Q122" i="44"/>
  <c r="AA130" i="45"/>
  <c r="AO130" i="45" s="1"/>
  <c r="AP130" i="45" s="1"/>
  <c r="W129" i="45"/>
  <c r="W130" i="45"/>
  <c r="AA129" i="45"/>
  <c r="AO129" i="45" s="1"/>
  <c r="AP129" i="45" s="1"/>
  <c r="D128" i="28"/>
  <c r="F128" i="28" s="1"/>
  <c r="C127" i="28"/>
  <c r="G128" i="28"/>
  <c r="K124" i="29"/>
  <c r="L125" i="29"/>
  <c r="G122" i="29"/>
  <c r="K125" i="29"/>
  <c r="L124" i="29"/>
  <c r="D122" i="29"/>
  <c r="O139" i="42"/>
  <c r="P138" i="42"/>
  <c r="Q138" i="42" s="1"/>
  <c r="A140" i="50"/>
  <c r="B140" i="50" s="1"/>
  <c r="B139" i="50"/>
  <c r="O135" i="30"/>
  <c r="P135" i="30" s="1"/>
  <c r="P134" i="30"/>
  <c r="AC148" i="48"/>
  <c r="AC144" i="48"/>
  <c r="AD144" i="48" s="1"/>
  <c r="AD143" i="48"/>
  <c r="F44" i="38"/>
  <c r="J42" i="38"/>
  <c r="Q124" i="33"/>
  <c r="Q122" i="33"/>
  <c r="V117" i="26"/>
  <c r="V120" i="26" s="1"/>
  <c r="T117" i="26"/>
  <c r="T120" i="26" s="1"/>
  <c r="X119" i="26" s="1"/>
  <c r="AB119" i="26" s="1"/>
  <c r="H59" i="42"/>
  <c r="H60" i="42" s="1"/>
  <c r="J60" i="42" s="1"/>
  <c r="F60" i="42"/>
  <c r="J59" i="42" s="1"/>
  <c r="C134" i="40"/>
  <c r="C133" i="40"/>
  <c r="C127" i="35"/>
  <c r="G128" i="35"/>
  <c r="D128" i="35"/>
  <c r="F128" i="35" s="1"/>
  <c r="O143" i="47"/>
  <c r="P142" i="47"/>
  <c r="H16" i="21"/>
  <c r="I16" i="21" s="1"/>
  <c r="D16" i="21"/>
  <c r="F16" i="21" s="1"/>
  <c r="G16" i="21" s="1"/>
  <c r="AU5" i="61"/>
  <c r="AL8" i="68" s="1"/>
  <c r="C20" i="49"/>
  <c r="AP5" i="9"/>
  <c r="Y4" i="9" s="1"/>
  <c r="B5" i="9"/>
  <c r="Q149" i="59"/>
  <c r="Q147" i="59"/>
  <c r="AJ140" i="50"/>
  <c r="AJ139" i="50"/>
  <c r="A139" i="46"/>
  <c r="B138" i="46"/>
  <c r="T83" i="46"/>
  <c r="V83" i="46"/>
  <c r="C134" i="50"/>
  <c r="C133" i="50"/>
  <c r="AJ140" i="42"/>
  <c r="AJ139" i="42"/>
  <c r="C134" i="49"/>
  <c r="C133" i="49"/>
  <c r="K119" i="37"/>
  <c r="G117" i="37"/>
  <c r="K120" i="37"/>
  <c r="D14" i="53"/>
  <c r="F14" i="53" s="1"/>
  <c r="G14" i="53" s="1"/>
  <c r="H14" i="53"/>
  <c r="I14" i="53" s="1"/>
  <c r="AK15" i="61"/>
  <c r="AB18" i="68" s="1"/>
  <c r="B15" i="19"/>
  <c r="C10" i="39"/>
  <c r="D67" i="39" s="1"/>
  <c r="F67" i="39" s="1"/>
  <c r="AP15" i="19"/>
  <c r="Y14" i="19" s="1"/>
  <c r="X13" i="19" s="1"/>
  <c r="AP15" i="53"/>
  <c r="Y14" i="53" s="1"/>
  <c r="X13" i="53" s="1"/>
  <c r="B15" i="53"/>
  <c r="X117" i="37"/>
  <c r="R119" i="37"/>
  <c r="F42" i="36"/>
  <c r="F38" i="36"/>
  <c r="C133" i="29"/>
  <c r="C134" i="29"/>
  <c r="O146" i="45"/>
  <c r="P141" i="45"/>
  <c r="O142" i="45"/>
  <c r="M129" i="27"/>
  <c r="I129" i="27"/>
  <c r="M130" i="27"/>
  <c r="I130" i="27"/>
  <c r="G129" i="27"/>
  <c r="C127" i="38"/>
  <c r="G128" i="38"/>
  <c r="D128" i="38"/>
  <c r="F128" i="38" s="1"/>
  <c r="P133" i="27"/>
  <c r="Q133" i="27" s="1"/>
  <c r="O134" i="27"/>
  <c r="A140" i="32"/>
  <c r="B140" i="32" s="1"/>
  <c r="B139" i="32"/>
  <c r="G123" i="43"/>
  <c r="D123" i="43"/>
  <c r="F123" i="43" s="1"/>
  <c r="C122" i="43"/>
  <c r="Z125" i="30"/>
  <c r="Z124" i="30"/>
  <c r="R122" i="30"/>
  <c r="Y125" i="30"/>
  <c r="Y124" i="30"/>
  <c r="AC144" i="45"/>
  <c r="AD144" i="45" s="1"/>
  <c r="AD143" i="45"/>
  <c r="AC148" i="45"/>
  <c r="AV7" i="12"/>
  <c r="AC139" i="35"/>
  <c r="AD139" i="35" s="1"/>
  <c r="AD138" i="35"/>
  <c r="AC143" i="35"/>
  <c r="O134" i="40"/>
  <c r="P133" i="40"/>
  <c r="Q133" i="40" s="1"/>
  <c r="L124" i="34"/>
  <c r="D122" i="34"/>
  <c r="K124" i="34"/>
  <c r="L125" i="34"/>
  <c r="G122" i="34"/>
  <c r="K125" i="34"/>
  <c r="M124" i="48"/>
  <c r="I124" i="48"/>
  <c r="M125" i="48"/>
  <c r="I125" i="48"/>
  <c r="G124" i="48"/>
  <c r="X117" i="44"/>
  <c r="R119" i="44"/>
  <c r="AJ140" i="37"/>
  <c r="AJ139" i="37"/>
  <c r="V59" i="42"/>
  <c r="V60" i="42" s="1"/>
  <c r="T59" i="42"/>
  <c r="T60" i="42" s="1"/>
  <c r="X59" i="42" s="1"/>
  <c r="O142" i="43"/>
  <c r="P141" i="43"/>
  <c r="O146" i="43"/>
  <c r="C122" i="45"/>
  <c r="G123" i="45"/>
  <c r="D123" i="45"/>
  <c r="F123" i="45" s="1"/>
  <c r="H38" i="37"/>
  <c r="H40" i="37" s="1"/>
  <c r="F40" i="37"/>
  <c r="A140" i="29"/>
  <c r="B140" i="29" s="1"/>
  <c r="B139" i="29"/>
  <c r="V137" i="32"/>
  <c r="V140" i="32" s="1"/>
  <c r="T137" i="32"/>
  <c r="T140" i="32" s="1"/>
  <c r="X139" i="32" s="1"/>
  <c r="AB139" i="32" s="1"/>
  <c r="L125" i="32"/>
  <c r="G122" i="32"/>
  <c r="L124" i="32"/>
  <c r="D122" i="32"/>
  <c r="K124" i="32"/>
  <c r="K125" i="32"/>
  <c r="K124" i="42"/>
  <c r="K125" i="42"/>
  <c r="L125" i="42"/>
  <c r="G122" i="42"/>
  <c r="L124" i="42"/>
  <c r="D122" i="42"/>
  <c r="AN12" i="61"/>
  <c r="AE15" i="68" s="1"/>
  <c r="C13" i="42"/>
  <c r="AP12" i="16"/>
  <c r="B12" i="16"/>
  <c r="G117" i="39"/>
  <c r="K119" i="39"/>
  <c r="K120" i="39"/>
  <c r="P138" i="26"/>
  <c r="Q138" i="26" s="1"/>
  <c r="O139" i="26"/>
  <c r="O147" i="36"/>
  <c r="P146" i="36"/>
  <c r="H15" i="20"/>
  <c r="I15" i="20" s="1"/>
  <c r="D15" i="20"/>
  <c r="F15" i="20" s="1"/>
  <c r="G15" i="20" s="1"/>
  <c r="AG19" i="61"/>
  <c r="X22" i="68" s="1"/>
  <c r="B19" i="23"/>
  <c r="AP19" i="23"/>
  <c r="C6" i="35"/>
  <c r="B147" i="29"/>
  <c r="A148" i="29"/>
  <c r="V117" i="47"/>
  <c r="V120" i="47" s="1"/>
  <c r="T117" i="47"/>
  <c r="T120" i="47" s="1"/>
  <c r="X119" i="47" s="1"/>
  <c r="AB119" i="47" s="1"/>
  <c r="F4" i="10"/>
  <c r="B146" i="39"/>
  <c r="A147" i="39"/>
  <c r="H123" i="47"/>
  <c r="AJ135" i="38"/>
  <c r="AJ134" i="38"/>
  <c r="AG63" i="41"/>
  <c r="O147" i="41"/>
  <c r="P146" i="41"/>
  <c r="AV19" i="24"/>
  <c r="O135" i="38"/>
  <c r="P135" i="38" s="1"/>
  <c r="P134" i="38"/>
  <c r="H123" i="31"/>
  <c r="R124" i="48"/>
  <c r="X122" i="48"/>
  <c r="AG75" i="44"/>
  <c r="B147" i="40"/>
  <c r="A148" i="40"/>
  <c r="M130" i="29"/>
  <c r="I130" i="29"/>
  <c r="G129" i="29"/>
  <c r="M129" i="29"/>
  <c r="I129" i="29"/>
  <c r="D142" i="59"/>
  <c r="F142" i="59" s="1"/>
  <c r="C141" i="59"/>
  <c r="G142" i="59"/>
  <c r="A140" i="34"/>
  <c r="B140" i="34" s="1"/>
  <c r="B139" i="34"/>
  <c r="H8" i="13"/>
  <c r="I8" i="13" s="1"/>
  <c r="D8" i="13"/>
  <c r="F8" i="13" s="1"/>
  <c r="G8" i="13" s="1"/>
  <c r="A147" i="36"/>
  <c r="B146" i="36"/>
  <c r="V117" i="35"/>
  <c r="V120" i="35" s="1"/>
  <c r="T117" i="35"/>
  <c r="T120" i="35" s="1"/>
  <c r="X119" i="35" s="1"/>
  <c r="AB119" i="35" s="1"/>
  <c r="O138" i="33"/>
  <c r="P137" i="33"/>
  <c r="AG15" i="23"/>
  <c r="V74" i="45"/>
  <c r="V75" i="45" s="1"/>
  <c r="T74" i="45"/>
  <c r="T75" i="45" s="1"/>
  <c r="X74" i="45" s="1"/>
  <c r="AV12" i="17"/>
  <c r="AA130" i="28"/>
  <c r="AO130" i="28" s="1"/>
  <c r="AP130" i="28" s="1"/>
  <c r="W130" i="28"/>
  <c r="AA129" i="28"/>
  <c r="AO129" i="28" s="1"/>
  <c r="AP129" i="28" s="1"/>
  <c r="W129" i="28"/>
  <c r="AV10" i="15"/>
  <c r="M130" i="47"/>
  <c r="I130" i="47"/>
  <c r="I129" i="47"/>
  <c r="M129" i="47"/>
  <c r="G129" i="47"/>
  <c r="AA5" i="12"/>
  <c r="AG5" i="12" s="1"/>
  <c r="AE45" i="38"/>
  <c r="AI44" i="38" s="1"/>
  <c r="Z120" i="40"/>
  <c r="Z119" i="40"/>
  <c r="R117" i="40"/>
  <c r="Y120" i="40"/>
  <c r="Y119" i="40"/>
  <c r="X117" i="33"/>
  <c r="R119" i="33"/>
  <c r="AA135" i="47"/>
  <c r="AO135" i="47" s="1"/>
  <c r="AP135" i="47" s="1"/>
  <c r="W135" i="47"/>
  <c r="AA134" i="47"/>
  <c r="AO134" i="47" s="1"/>
  <c r="AP134" i="47" s="1"/>
  <c r="W134" i="47"/>
  <c r="B142" i="37"/>
  <c r="A143" i="37"/>
  <c r="AA14" i="21"/>
  <c r="AG14" i="21" s="1"/>
  <c r="M125" i="46"/>
  <c r="I125" i="46"/>
  <c r="G124" i="46"/>
  <c r="M124" i="46"/>
  <c r="I124" i="46"/>
  <c r="O138" i="28"/>
  <c r="P137" i="28"/>
  <c r="B146" i="48"/>
  <c r="A147" i="48"/>
  <c r="B147" i="47"/>
  <c r="A148" i="47"/>
  <c r="AC144" i="49"/>
  <c r="AD144" i="49" s="1"/>
  <c r="AD143" i="49"/>
  <c r="AC148" i="49"/>
  <c r="A140" i="49"/>
  <c r="B140" i="49" s="1"/>
  <c r="B139" i="49"/>
  <c r="AL140" i="27"/>
  <c r="AH140" i="27"/>
  <c r="AI137" i="27"/>
  <c r="AL139" i="27"/>
  <c r="AH139" i="27"/>
  <c r="H17" i="22"/>
  <c r="I17" i="22" s="1"/>
  <c r="D17" i="22"/>
  <c r="F17" i="22" s="1"/>
  <c r="G17" i="22" s="1"/>
  <c r="AE65" i="42"/>
  <c r="AI64" i="42" s="1"/>
  <c r="O139" i="29"/>
  <c r="P138" i="29"/>
  <c r="Q138" i="29" s="1"/>
  <c r="M130" i="40"/>
  <c r="I130" i="40"/>
  <c r="G129" i="40"/>
  <c r="M129" i="40"/>
  <c r="I129" i="40"/>
  <c r="V117" i="48"/>
  <c r="V120" i="48" s="1"/>
  <c r="T117" i="48"/>
  <c r="T120" i="48" s="1"/>
  <c r="X119" i="48" s="1"/>
  <c r="AB119" i="48" s="1"/>
  <c r="B146" i="26"/>
  <c r="A147" i="26"/>
  <c r="Q127" i="29"/>
  <c r="Q129" i="29"/>
  <c r="O130" i="33"/>
  <c r="P130" i="33" s="1"/>
  <c r="P129" i="33"/>
  <c r="X117" i="27"/>
  <c r="R119" i="27"/>
  <c r="A139" i="39"/>
  <c r="B138" i="39"/>
  <c r="A148" i="49"/>
  <c r="B147" i="49"/>
  <c r="O130" i="44"/>
  <c r="P130" i="44" s="1"/>
  <c r="P129" i="44"/>
  <c r="Y120" i="49"/>
  <c r="Y119" i="49"/>
  <c r="Z120" i="49"/>
  <c r="R117" i="49"/>
  <c r="Z119" i="49"/>
  <c r="B170" i="59"/>
  <c r="A171" i="59"/>
  <c r="AE50" i="39"/>
  <c r="AI49" i="39" s="1"/>
  <c r="O139" i="41"/>
  <c r="P138" i="41"/>
  <c r="Q138" i="41" s="1"/>
  <c r="AI95" i="48"/>
  <c r="AL134" i="47"/>
  <c r="AH134" i="47"/>
  <c r="AL135" i="47"/>
  <c r="AH135" i="47"/>
  <c r="AI132" i="47"/>
  <c r="K125" i="33"/>
  <c r="L124" i="33"/>
  <c r="D122" i="33"/>
  <c r="K124" i="33"/>
  <c r="L125" i="33"/>
  <c r="G122" i="33"/>
  <c r="AE85" i="46"/>
  <c r="AI84" i="46" s="1"/>
  <c r="O134" i="34"/>
  <c r="P133" i="34"/>
  <c r="Q133" i="34" s="1"/>
  <c r="Y6" i="12"/>
  <c r="A140" i="38"/>
  <c r="B140" i="38" s="1"/>
  <c r="B139" i="38"/>
  <c r="F94" i="47"/>
  <c r="H94" i="47" s="1"/>
  <c r="J92" i="47"/>
  <c r="AG93" i="47"/>
  <c r="AE55" i="40"/>
  <c r="AI54" i="40" s="1"/>
  <c r="X4" i="12"/>
  <c r="L124" i="28"/>
  <c r="D122" i="28"/>
  <c r="K124" i="28"/>
  <c r="L125" i="28"/>
  <c r="G122" i="28"/>
  <c r="K125" i="28"/>
  <c r="AA135" i="42"/>
  <c r="AO135" i="42" s="1"/>
  <c r="AP135" i="42" s="1"/>
  <c r="W135" i="42"/>
  <c r="AA134" i="42"/>
  <c r="AO134" i="42" s="1"/>
  <c r="AP134" i="42" s="1"/>
  <c r="W134" i="42"/>
  <c r="F69" i="43"/>
  <c r="J67" i="43"/>
  <c r="H78" i="45"/>
  <c r="H80" i="45" s="1"/>
  <c r="F80" i="45"/>
  <c r="A135" i="43"/>
  <c r="B135" i="43" s="1"/>
  <c r="B134" i="43"/>
  <c r="Q129" i="36"/>
  <c r="Q127" i="36"/>
  <c r="G128" i="32"/>
  <c r="D128" i="32"/>
  <c r="F128" i="32" s="1"/>
  <c r="C127" i="32"/>
  <c r="AN162" i="59"/>
  <c r="AJ162" i="59"/>
  <c r="AK159" i="59"/>
  <c r="AN161" i="59"/>
  <c r="AJ161" i="59"/>
  <c r="L124" i="40"/>
  <c r="D122" i="40"/>
  <c r="K124" i="40"/>
  <c r="L125" i="40"/>
  <c r="G122" i="40"/>
  <c r="K125" i="40"/>
  <c r="K119" i="46"/>
  <c r="G117" i="46"/>
  <c r="K120" i="46"/>
  <c r="AA135" i="48"/>
  <c r="AO135" i="48" s="1"/>
  <c r="AP135" i="48" s="1"/>
  <c r="W135" i="48"/>
  <c r="AA134" i="48"/>
  <c r="AO134" i="48" s="1"/>
  <c r="AP134" i="48" s="1"/>
  <c r="W134" i="48"/>
  <c r="P133" i="43"/>
  <c r="Q133" i="43" s="1"/>
  <c r="O134" i="43"/>
  <c r="A144" i="38"/>
  <c r="B143" i="38"/>
  <c r="AC148" i="32"/>
  <c r="AC144" i="32"/>
  <c r="AD144" i="32" s="1"/>
  <c r="AD143" i="32"/>
  <c r="C129" i="46"/>
  <c r="C128" i="46"/>
  <c r="G117" i="43"/>
  <c r="K120" i="43"/>
  <c r="K119" i="43"/>
  <c r="C127" i="41"/>
  <c r="G128" i="41"/>
  <c r="D128" i="41"/>
  <c r="F128" i="41" s="1"/>
  <c r="O147" i="42"/>
  <c r="P146" i="42"/>
  <c r="A144" i="47"/>
  <c r="B143" i="47"/>
  <c r="V73" i="44"/>
  <c r="T73" i="44"/>
  <c r="O138" i="31"/>
  <c r="P137" i="31"/>
  <c r="H72" i="42"/>
  <c r="AJ135" i="29"/>
  <c r="AJ134" i="29"/>
  <c r="Q124" i="27"/>
  <c r="Q122" i="27"/>
  <c r="F57" i="39"/>
  <c r="V48" i="39"/>
  <c r="T48" i="39"/>
  <c r="AT6" i="61"/>
  <c r="AK9" i="68" s="1"/>
  <c r="AP6" i="10"/>
  <c r="C19" i="48"/>
  <c r="AE104" i="48" s="1"/>
  <c r="AG104" i="48" s="1"/>
  <c r="B6" i="10"/>
  <c r="M130" i="50"/>
  <c r="I130" i="50"/>
  <c r="G129" i="50"/>
  <c r="M129" i="50"/>
  <c r="I129" i="50"/>
  <c r="O138" i="37"/>
  <c r="P137" i="37"/>
  <c r="AP10" i="61"/>
  <c r="AG13" i="68" s="1"/>
  <c r="AP10" i="14"/>
  <c r="Y9" i="14" s="1"/>
  <c r="C15" i="44"/>
  <c r="B10" i="14"/>
  <c r="J94" i="48"/>
  <c r="N94" i="48" s="1"/>
  <c r="AQ94" i="48" s="1"/>
  <c r="J95" i="48"/>
  <c r="N95" i="48" s="1"/>
  <c r="AQ95" i="48" s="1"/>
  <c r="AL140" i="31"/>
  <c r="AH140" i="31"/>
  <c r="AI137" i="31"/>
  <c r="AL139" i="31"/>
  <c r="AH139" i="31"/>
  <c r="AS7" i="61"/>
  <c r="AJ10" i="68" s="1"/>
  <c r="C18" i="47"/>
  <c r="B7" i="11"/>
  <c r="AP7" i="11"/>
  <c r="Q127" i="38"/>
  <c r="Q129" i="38"/>
  <c r="M130" i="42"/>
  <c r="I130" i="42"/>
  <c r="G129" i="42"/>
  <c r="M129" i="42"/>
  <c r="I129" i="42"/>
  <c r="A139" i="45"/>
  <c r="B138" i="45"/>
  <c r="Q122" i="34"/>
  <c r="Q124" i="34"/>
  <c r="A135" i="37"/>
  <c r="B135" i="37" s="1"/>
  <c r="B134" i="37"/>
  <c r="T119" i="38"/>
  <c r="V119" i="38"/>
  <c r="AC148" i="30"/>
  <c r="AC144" i="30"/>
  <c r="AD144" i="30" s="1"/>
  <c r="AD143" i="30"/>
  <c r="AA135" i="35"/>
  <c r="AO135" i="35" s="1"/>
  <c r="AP135" i="35" s="1"/>
  <c r="W135" i="35"/>
  <c r="AA134" i="35"/>
  <c r="AO134" i="35" s="1"/>
  <c r="AP134" i="35" s="1"/>
  <c r="W134" i="35"/>
  <c r="AV13" i="18"/>
  <c r="AA15" i="22"/>
  <c r="O135" i="29"/>
  <c r="P135" i="29" s="1"/>
  <c r="P134" i="29"/>
  <c r="AC144" i="34"/>
  <c r="AD144" i="34" s="1"/>
  <c r="AD143" i="34"/>
  <c r="AC148" i="34"/>
  <c r="Z120" i="31"/>
  <c r="Z119" i="31"/>
  <c r="R117" i="31"/>
  <c r="Y120" i="31"/>
  <c r="Y119" i="31"/>
  <c r="O130" i="45"/>
  <c r="P130" i="45" s="1"/>
  <c r="P129" i="45"/>
  <c r="M130" i="28"/>
  <c r="I130" i="28"/>
  <c r="G129" i="28"/>
  <c r="M129" i="28"/>
  <c r="I129" i="28"/>
  <c r="AA8" i="15"/>
  <c r="X7" i="15"/>
  <c r="R119" i="39"/>
  <c r="X117" i="39"/>
  <c r="AA135" i="30"/>
  <c r="AO135" i="30" s="1"/>
  <c r="AP135" i="30" s="1"/>
  <c r="W135" i="30"/>
  <c r="AA134" i="30"/>
  <c r="AO134" i="30" s="1"/>
  <c r="AP134" i="30" s="1"/>
  <c r="W134" i="30"/>
  <c r="AK39" i="39"/>
  <c r="AM39" i="39" s="1"/>
  <c r="AS39" i="39" s="1"/>
  <c r="L44" i="39"/>
  <c r="Z39" i="39"/>
  <c r="AB39" i="39" s="1"/>
  <c r="Q124" i="43"/>
  <c r="Q122" i="43"/>
  <c r="P142" i="35"/>
  <c r="O143" i="35"/>
  <c r="V43" i="38"/>
  <c r="T43" i="38"/>
  <c r="O147" i="47"/>
  <c r="P146" i="47"/>
  <c r="R48" i="38"/>
  <c r="AE53" i="38"/>
  <c r="AE49" i="38"/>
  <c r="AG49" i="38" s="1"/>
  <c r="D49" i="38"/>
  <c r="R44" i="38"/>
  <c r="R52" i="38"/>
  <c r="D57" i="38"/>
  <c r="AV4" i="9"/>
  <c r="AI137" i="50"/>
  <c r="AL139" i="50"/>
  <c r="AH139" i="50"/>
  <c r="AL140" i="50"/>
  <c r="AH140" i="50"/>
  <c r="AG88" i="46"/>
  <c r="O134" i="39"/>
  <c r="P133" i="39"/>
  <c r="Q133" i="39" s="1"/>
  <c r="AL139" i="42"/>
  <c r="AH139" i="42"/>
  <c r="AL140" i="42"/>
  <c r="AH140" i="42"/>
  <c r="AI137" i="42"/>
  <c r="A161" i="59"/>
  <c r="B160" i="59"/>
  <c r="X122" i="29"/>
  <c r="R124" i="29"/>
  <c r="AV14" i="19"/>
  <c r="Z120" i="37"/>
  <c r="Z119" i="37"/>
  <c r="R117" i="37"/>
  <c r="Y120" i="37"/>
  <c r="Y119" i="37"/>
  <c r="AG34" i="36"/>
  <c r="AG35" i="36" s="1"/>
  <c r="AE35" i="36"/>
  <c r="AI34" i="36" s="1"/>
  <c r="AM34" i="36" s="1"/>
  <c r="AS34" i="36" s="1"/>
  <c r="Q127" i="41"/>
  <c r="Q129" i="41"/>
  <c r="P138" i="30"/>
  <c r="Q138" i="30" s="1"/>
  <c r="O139" i="30"/>
  <c r="A139" i="30"/>
  <c r="B138" i="30"/>
  <c r="G117" i="30"/>
  <c r="K120" i="30"/>
  <c r="K119" i="30"/>
  <c r="M124" i="43"/>
  <c r="I124" i="43"/>
  <c r="M125" i="43"/>
  <c r="I125" i="43"/>
  <c r="G124" i="43"/>
  <c r="G11" i="18"/>
  <c r="R124" i="30"/>
  <c r="X122" i="30"/>
  <c r="AJ140" i="45"/>
  <c r="AJ139" i="45"/>
  <c r="Y7" i="13"/>
  <c r="X6" i="13" s="1"/>
  <c r="P142" i="38"/>
  <c r="O143" i="38"/>
  <c r="C128" i="45"/>
  <c r="C129" i="45"/>
  <c r="H49" i="40"/>
  <c r="H50" i="40" s="1"/>
  <c r="J50" i="40" s="1"/>
  <c r="F50" i="40"/>
  <c r="J49" i="40" s="1"/>
  <c r="AJ135" i="35"/>
  <c r="AJ134" i="35"/>
  <c r="H123" i="34"/>
  <c r="D128" i="31"/>
  <c r="F128" i="31" s="1"/>
  <c r="C127" i="31"/>
  <c r="G128" i="31"/>
  <c r="F9" i="15"/>
  <c r="C134" i="31"/>
  <c r="C133" i="31"/>
  <c r="A140" i="35"/>
  <c r="B140" i="35" s="1"/>
  <c r="B139" i="35"/>
  <c r="O142" i="44"/>
  <c r="P141" i="44"/>
  <c r="O146" i="44"/>
  <c r="A140" i="40"/>
  <c r="B140" i="40" s="1"/>
  <c r="B139" i="40"/>
  <c r="AI137" i="37"/>
  <c r="AL139" i="37"/>
  <c r="AH139" i="37"/>
  <c r="AL140" i="37"/>
  <c r="AH140" i="37"/>
  <c r="R144" i="32"/>
  <c r="X142" i="32"/>
  <c r="V72" i="42"/>
  <c r="T72" i="42"/>
  <c r="AG68" i="42"/>
  <c r="H123" i="32"/>
  <c r="AV11" i="16"/>
  <c r="Q124" i="49"/>
  <c r="Q122" i="49"/>
  <c r="P142" i="36"/>
  <c r="O143" i="36"/>
  <c r="AE54" i="39"/>
  <c r="AG54" i="39" s="1"/>
  <c r="AE58" i="39"/>
  <c r="R53" i="39"/>
  <c r="D54" i="39"/>
  <c r="D58" i="39"/>
  <c r="F58" i="39" s="1"/>
  <c r="H58" i="39" s="1"/>
  <c r="R57" i="39"/>
  <c r="D62" i="39"/>
  <c r="H18" i="23"/>
  <c r="I18" i="23" s="1"/>
  <c r="D18" i="23"/>
  <c r="F18" i="23" s="1"/>
  <c r="G18" i="23" s="1"/>
  <c r="P142" i="29"/>
  <c r="O143" i="29"/>
  <c r="V119" i="48"/>
  <c r="T119" i="48"/>
  <c r="G8" i="14"/>
  <c r="K124" i="41"/>
  <c r="L125" i="41"/>
  <c r="G122" i="41"/>
  <c r="K125" i="41"/>
  <c r="L124" i="41"/>
  <c r="D122" i="41"/>
  <c r="AL134" i="38"/>
  <c r="AH134" i="38"/>
  <c r="AL135" i="38"/>
  <c r="AH135" i="38"/>
  <c r="AI132" i="38"/>
  <c r="O147" i="48"/>
  <c r="P146" i="48"/>
  <c r="X60" i="43"/>
  <c r="A135" i="45"/>
  <c r="B135" i="45" s="1"/>
  <c r="B134" i="45"/>
  <c r="F59" i="41"/>
  <c r="J57" i="41"/>
  <c r="G13" i="53"/>
  <c r="AF20" i="61"/>
  <c r="W23" i="68" s="1"/>
  <c r="B20" i="24"/>
  <c r="AP20" i="24"/>
  <c r="C5" i="34"/>
  <c r="V119" i="30"/>
  <c r="T119" i="30"/>
  <c r="AA130" i="40"/>
  <c r="AO130" i="40" s="1"/>
  <c r="AP130" i="40" s="1"/>
  <c r="W130" i="40"/>
  <c r="AA129" i="40"/>
  <c r="AO129" i="40" s="1"/>
  <c r="AP129" i="40" s="1"/>
  <c r="W129" i="40"/>
  <c r="Z120" i="43"/>
  <c r="Z119" i="43"/>
  <c r="R117" i="43"/>
  <c r="Y120" i="43"/>
  <c r="Y119" i="43"/>
  <c r="C127" i="29"/>
  <c r="G128" i="29"/>
  <c r="D128" i="29"/>
  <c r="F128" i="29" s="1"/>
  <c r="K119" i="45"/>
  <c r="K120" i="45"/>
  <c r="G117" i="45"/>
  <c r="K125" i="27"/>
  <c r="L124" i="27"/>
  <c r="D122" i="27"/>
  <c r="K124" i="27"/>
  <c r="L125" i="27"/>
  <c r="G122" i="27"/>
  <c r="AQ9" i="61"/>
  <c r="AH12" i="68" s="1"/>
  <c r="C16" i="45"/>
  <c r="AP9" i="13"/>
  <c r="B9" i="13"/>
  <c r="A148" i="42"/>
  <c r="B147" i="42"/>
  <c r="G4" i="11"/>
  <c r="A140" i="28"/>
  <c r="B140" i="28" s="1"/>
  <c r="B139" i="28"/>
  <c r="T119" i="36"/>
  <c r="V119" i="36"/>
  <c r="T78" i="45"/>
  <c r="V78" i="45"/>
  <c r="AM13" i="61"/>
  <c r="AD16" i="68" s="1"/>
  <c r="B13" i="17"/>
  <c r="AP13" i="17"/>
  <c r="C12" i="41"/>
  <c r="D73" i="41" s="1"/>
  <c r="F73" i="41" s="1"/>
  <c r="H73" i="41" s="1"/>
  <c r="P129" i="28"/>
  <c r="O130" i="28"/>
  <c r="P130" i="28" s="1"/>
  <c r="H10" i="15"/>
  <c r="I10" i="15" s="1"/>
  <c r="D10" i="15"/>
  <c r="F10" i="15" s="1"/>
  <c r="G10" i="15" s="1"/>
  <c r="T119" i="42"/>
  <c r="V119" i="42"/>
  <c r="B147" i="38"/>
  <c r="A148" i="38"/>
  <c r="O171" i="59"/>
  <c r="P170" i="59"/>
  <c r="O135" i="47"/>
  <c r="P135" i="47" s="1"/>
  <c r="P134" i="47"/>
  <c r="B146" i="37"/>
  <c r="A147" i="37"/>
  <c r="Z125" i="26"/>
  <c r="Z124" i="26"/>
  <c r="R122" i="26"/>
  <c r="Y125" i="26"/>
  <c r="Y124" i="26"/>
  <c r="A144" i="28"/>
  <c r="B143" i="28"/>
  <c r="AC144" i="33"/>
  <c r="AD144" i="33" s="1"/>
  <c r="AD143" i="33"/>
  <c r="AC148" i="33"/>
  <c r="P141" i="28"/>
  <c r="O146" i="28"/>
  <c r="O142" i="28"/>
  <c r="AJ139" i="49"/>
  <c r="AJ140" i="49"/>
  <c r="AV17" i="22"/>
  <c r="AG65" i="42"/>
  <c r="AI75" i="45"/>
  <c r="O138" i="49"/>
  <c r="P137" i="49"/>
  <c r="Q129" i="26"/>
  <c r="Q127" i="26"/>
  <c r="Y4" i="10"/>
  <c r="K125" i="49"/>
  <c r="K124" i="49"/>
  <c r="L125" i="49"/>
  <c r="G122" i="49"/>
  <c r="D122" i="49"/>
  <c r="L124" i="49"/>
  <c r="AA130" i="33"/>
  <c r="AO130" i="33" s="1"/>
  <c r="AP130" i="33" s="1"/>
  <c r="W130" i="33"/>
  <c r="AA129" i="33"/>
  <c r="AO129" i="33" s="1"/>
  <c r="AP129" i="33" s="1"/>
  <c r="W129" i="33"/>
  <c r="A144" i="50"/>
  <c r="B143" i="50"/>
  <c r="A135" i="30"/>
  <c r="B135" i="30" s="1"/>
  <c r="B134" i="30"/>
  <c r="A144" i="32"/>
  <c r="B143" i="32"/>
  <c r="AA130" i="44"/>
  <c r="AO130" i="44" s="1"/>
  <c r="AP130" i="44" s="1"/>
  <c r="W130" i="44"/>
  <c r="AA129" i="44"/>
  <c r="AO129" i="44" s="1"/>
  <c r="AP129" i="44" s="1"/>
  <c r="W129" i="44"/>
  <c r="AG7" i="14"/>
  <c r="AA130" i="34"/>
  <c r="AO130" i="34" s="1"/>
  <c r="AP130" i="34" s="1"/>
  <c r="W130" i="34"/>
  <c r="AA129" i="34"/>
  <c r="AO129" i="34" s="1"/>
  <c r="AP129" i="34" s="1"/>
  <c r="W129" i="34"/>
  <c r="X117" i="49"/>
  <c r="R119" i="49"/>
  <c r="A166" i="59"/>
  <c r="B165" i="59"/>
  <c r="AG50" i="39"/>
  <c r="O130" i="43"/>
  <c r="P130" i="43" s="1"/>
  <c r="P129" i="43"/>
  <c r="AF4" i="13"/>
  <c r="AF5" i="13" s="1"/>
  <c r="V117" i="30"/>
  <c r="V120" i="30" s="1"/>
  <c r="T117" i="30"/>
  <c r="T120" i="30" s="1"/>
  <c r="X119" i="30" s="1"/>
  <c r="AB119" i="30" s="1"/>
  <c r="A148" i="31"/>
  <c r="B147" i="31"/>
  <c r="H123" i="33"/>
  <c r="X122" i="35"/>
  <c r="R124" i="35"/>
  <c r="O147" i="30"/>
  <c r="P146" i="30"/>
  <c r="O138" i="27"/>
  <c r="P137" i="27"/>
  <c r="O135" i="26"/>
  <c r="P135" i="26" s="1"/>
  <c r="P134" i="26"/>
  <c r="B142" i="45"/>
  <c r="A143" i="45"/>
  <c r="V117" i="38"/>
  <c r="V120" i="38" s="1"/>
  <c r="T117" i="38"/>
  <c r="T120" i="38" s="1"/>
  <c r="X119" i="38" s="1"/>
  <c r="AB119" i="38" s="1"/>
  <c r="H123" i="28"/>
  <c r="O135" i="42"/>
  <c r="P135" i="42" s="1"/>
  <c r="P134" i="42"/>
  <c r="T68" i="43"/>
  <c r="V68" i="43"/>
  <c r="AG80" i="45"/>
  <c r="G117" i="48"/>
  <c r="K120" i="48"/>
  <c r="K119" i="48"/>
  <c r="O138" i="40"/>
  <c r="P137" i="40"/>
  <c r="X122" i="42"/>
  <c r="R124" i="42"/>
  <c r="H112" i="49"/>
  <c r="A140" i="47"/>
  <c r="B140" i="47" s="1"/>
  <c r="B139" i="47"/>
  <c r="M130" i="32"/>
  <c r="I130" i="32"/>
  <c r="G129" i="32"/>
  <c r="I129" i="32"/>
  <c r="M129" i="32"/>
  <c r="AC172" i="59"/>
  <c r="AC167" i="59"/>
  <c r="AD167" i="59" s="1"/>
  <c r="AD166" i="59"/>
  <c r="B147" i="41"/>
  <c r="A148" i="41"/>
  <c r="AC144" i="28"/>
  <c r="AD144" i="28" s="1"/>
  <c r="AD143" i="28"/>
  <c r="AC148" i="28"/>
  <c r="C133" i="38"/>
  <c r="C134" i="38"/>
  <c r="Y143" i="59"/>
  <c r="W144" i="59"/>
  <c r="R141" i="59"/>
  <c r="Z144" i="59"/>
  <c r="W143" i="59"/>
  <c r="Y144" i="59"/>
  <c r="Z143" i="59"/>
  <c r="AC144" i="36"/>
  <c r="AD144" i="36" s="1"/>
  <c r="AD143" i="36"/>
  <c r="AC148" i="36"/>
  <c r="Q129" i="47"/>
  <c r="Q127" i="47"/>
  <c r="F78" i="44"/>
  <c r="AG78" i="44"/>
  <c r="C127" i="49"/>
  <c r="G128" i="49"/>
  <c r="D128" i="49"/>
  <c r="F128" i="49" s="1"/>
  <c r="X117" i="50"/>
  <c r="R119" i="50"/>
  <c r="AC139" i="44"/>
  <c r="AD139" i="44" s="1"/>
  <c r="AD138" i="44"/>
  <c r="AC143" i="44"/>
  <c r="O147" i="26"/>
  <c r="P146" i="26"/>
  <c r="T53" i="40"/>
  <c r="V53" i="40"/>
  <c r="V119" i="26"/>
  <c r="T119" i="26"/>
  <c r="AL134" i="29"/>
  <c r="AH134" i="29"/>
  <c r="AL135" i="29"/>
  <c r="AH135" i="29"/>
  <c r="AI132" i="29"/>
  <c r="V34" i="37"/>
  <c r="V35" i="37" s="1"/>
  <c r="X35" i="37" s="1"/>
  <c r="AB35" i="37" s="1"/>
  <c r="T34" i="37"/>
  <c r="T35" i="37" s="1"/>
  <c r="X34" i="37" s="1"/>
  <c r="AB34" i="37" s="1"/>
  <c r="V52" i="39"/>
  <c r="T52" i="39"/>
  <c r="V44" i="39"/>
  <c r="V45" i="39" s="1"/>
  <c r="T44" i="39"/>
  <c r="T45" i="39" s="1"/>
  <c r="X44" i="39" s="1"/>
  <c r="P141" i="37"/>
  <c r="O146" i="37"/>
  <c r="O142" i="37"/>
  <c r="AJ139" i="26"/>
  <c r="AJ140" i="26"/>
  <c r="A144" i="49"/>
  <c r="B143" i="49"/>
  <c r="H9" i="14"/>
  <c r="I9" i="14" s="1"/>
  <c r="D9" i="14"/>
  <c r="G117" i="26"/>
  <c r="K120" i="26"/>
  <c r="K119" i="26"/>
  <c r="A148" i="27"/>
  <c r="B147" i="27"/>
  <c r="Q122" i="28"/>
  <c r="Q124" i="28"/>
  <c r="O134" i="50"/>
  <c r="P133" i="50"/>
  <c r="Q133" i="50" s="1"/>
  <c r="A144" i="44"/>
  <c r="B143" i="44"/>
  <c r="H44" i="39"/>
  <c r="H45" i="39" s="1"/>
  <c r="J45" i="39" s="1"/>
  <c r="F45" i="39"/>
  <c r="J44" i="39" s="1"/>
  <c r="AF12" i="53"/>
  <c r="H6" i="11"/>
  <c r="I6" i="11" s="1"/>
  <c r="D6" i="11"/>
  <c r="F6" i="11" s="1"/>
  <c r="G6" i="11" s="1"/>
  <c r="A144" i="31"/>
  <c r="B143" i="31"/>
  <c r="C127" i="42"/>
  <c r="G128" i="42"/>
  <c r="D128" i="42"/>
  <c r="F128" i="42" s="1"/>
  <c r="AG9" i="16"/>
  <c r="G123" i="30"/>
  <c r="D123" i="30"/>
  <c r="F123" i="30" s="1"/>
  <c r="C122" i="30"/>
  <c r="W129" i="39"/>
  <c r="W130" i="39"/>
  <c r="AA129" i="39"/>
  <c r="AO129" i="39" s="1"/>
  <c r="AP129" i="39" s="1"/>
  <c r="AA130" i="39"/>
  <c r="AO130" i="39" s="1"/>
  <c r="AP130" i="39" s="1"/>
  <c r="C129" i="48"/>
  <c r="C128" i="48"/>
  <c r="M124" i="36"/>
  <c r="I124" i="36"/>
  <c r="M125" i="36"/>
  <c r="I125" i="36"/>
  <c r="G124" i="36"/>
  <c r="AA155" i="59"/>
  <c r="AQ155" i="59" s="1"/>
  <c r="AR155" i="59" s="1"/>
  <c r="AA156" i="59"/>
  <c r="AQ156" i="59" s="1"/>
  <c r="AR156" i="59" s="1"/>
  <c r="Q122" i="46"/>
  <c r="Q124" i="46"/>
  <c r="AI40" i="38"/>
  <c r="O135" i="35"/>
  <c r="P135" i="35" s="1"/>
  <c r="P134" i="35"/>
  <c r="AL14" i="61"/>
  <c r="AC17" i="68" s="1"/>
  <c r="B14" i="18"/>
  <c r="C11" i="40"/>
  <c r="D72" i="40" s="1"/>
  <c r="AP14" i="18"/>
  <c r="H42" i="37"/>
  <c r="AC139" i="41"/>
  <c r="AD139" i="41" s="1"/>
  <c r="AD138" i="41"/>
  <c r="AC143" i="41"/>
  <c r="AJ140" i="39"/>
  <c r="AJ139" i="39"/>
  <c r="AJ140" i="34"/>
  <c r="AJ139" i="34"/>
  <c r="X117" i="31"/>
  <c r="R119" i="31"/>
  <c r="Y120" i="39"/>
  <c r="Z119" i="39"/>
  <c r="Z120" i="39"/>
  <c r="Y119" i="39"/>
  <c r="R117" i="39"/>
  <c r="AJ139" i="48"/>
  <c r="AJ140" i="48"/>
  <c r="AK40" i="39"/>
  <c r="AM40" i="39" s="1"/>
  <c r="AS40" i="39" s="1"/>
  <c r="Z40" i="39"/>
  <c r="L45" i="39"/>
  <c r="C129" i="30"/>
  <c r="C128" i="30"/>
  <c r="O147" i="35"/>
  <c r="P146" i="35"/>
  <c r="A140" i="33"/>
  <c r="B140" i="33" s="1"/>
  <c r="B139" i="33"/>
  <c r="T39" i="38"/>
  <c r="T40" i="38" s="1"/>
  <c r="X39" i="38" s="1"/>
  <c r="V39" i="38"/>
  <c r="V40" i="38" s="1"/>
  <c r="AG48" i="38"/>
  <c r="AA135" i="41"/>
  <c r="AO135" i="41" s="1"/>
  <c r="AP135" i="41" s="1"/>
  <c r="W135" i="41"/>
  <c r="AA134" i="41"/>
  <c r="AO134" i="41" s="1"/>
  <c r="AP134" i="41" s="1"/>
  <c r="W134" i="41"/>
  <c r="Q122" i="50"/>
  <c r="Q124" i="50"/>
  <c r="P133" i="49"/>
  <c r="Q133" i="49" s="1"/>
  <c r="O134" i="49"/>
  <c r="V119" i="47"/>
  <c r="T119" i="47"/>
  <c r="AV16" i="21"/>
  <c r="H4" i="9"/>
  <c r="I4" i="9" s="1"/>
  <c r="D4" i="9"/>
  <c r="V137" i="59"/>
  <c r="T137" i="59"/>
  <c r="A144" i="27"/>
  <c r="B143" i="27"/>
  <c r="X40" i="39"/>
  <c r="Y125" i="29"/>
  <c r="Y124" i="29"/>
  <c r="Z125" i="29"/>
  <c r="Z124" i="29"/>
  <c r="R122" i="29"/>
  <c r="AE63" i="40"/>
  <c r="AE59" i="40"/>
  <c r="AG59" i="40" s="1"/>
  <c r="R58" i="40"/>
  <c r="D59" i="40"/>
  <c r="F59" i="40" s="1"/>
  <c r="H59" i="40" s="1"/>
  <c r="R54" i="40"/>
  <c r="D63" i="40"/>
  <c r="F63" i="40" s="1"/>
  <c r="H63" i="40" s="1"/>
  <c r="R62" i="40"/>
  <c r="T33" i="36"/>
  <c r="V33" i="36"/>
  <c r="O138" i="45"/>
  <c r="P137" i="45"/>
  <c r="K125" i="44"/>
  <c r="L124" i="44"/>
  <c r="D122" i="44"/>
  <c r="K124" i="44"/>
  <c r="L125" i="44"/>
  <c r="G122" i="44"/>
  <c r="AA130" i="46"/>
  <c r="AO130" i="46" s="1"/>
  <c r="AP130" i="46" s="1"/>
  <c r="W130" i="46"/>
  <c r="AA129" i="46"/>
  <c r="AO129" i="46" s="1"/>
  <c r="AP129" i="46" s="1"/>
  <c r="W129" i="46"/>
  <c r="Z125" i="47"/>
  <c r="Z124" i="47"/>
  <c r="R122" i="47"/>
  <c r="Y124" i="47"/>
  <c r="Y125" i="47"/>
  <c r="AL139" i="45"/>
  <c r="AH139" i="45"/>
  <c r="AH140" i="45"/>
  <c r="AL140" i="45"/>
  <c r="AI137" i="45"/>
  <c r="H7" i="12"/>
  <c r="I7" i="12" s="1"/>
  <c r="D7" i="12"/>
  <c r="O147" i="38"/>
  <c r="P146" i="38"/>
  <c r="AL134" i="35"/>
  <c r="AH134" i="35"/>
  <c r="AL135" i="35"/>
  <c r="AH135" i="35"/>
  <c r="AI132" i="35"/>
  <c r="D123" i="37"/>
  <c r="F123" i="37" s="1"/>
  <c r="C122" i="37"/>
  <c r="G123" i="37"/>
  <c r="M129" i="31"/>
  <c r="I129" i="31"/>
  <c r="M130" i="31"/>
  <c r="I130" i="31"/>
  <c r="G129" i="31"/>
  <c r="Z145" i="32"/>
  <c r="Z144" i="32"/>
  <c r="R142" i="32"/>
  <c r="Y145" i="32"/>
  <c r="Y144" i="32"/>
  <c r="O134" i="46"/>
  <c r="P133" i="46"/>
  <c r="Q133" i="46" s="1"/>
  <c r="V63" i="42"/>
  <c r="T63" i="42"/>
  <c r="P137" i="43"/>
  <c r="O138" i="43"/>
  <c r="K124" i="35"/>
  <c r="L125" i="35"/>
  <c r="G122" i="35"/>
  <c r="K125" i="35"/>
  <c r="L124" i="35"/>
  <c r="D122" i="35"/>
  <c r="L124" i="50"/>
  <c r="D122" i="50"/>
  <c r="K124" i="50"/>
  <c r="L125" i="50"/>
  <c r="G122" i="50"/>
  <c r="K125" i="50"/>
  <c r="C133" i="41"/>
  <c r="C134" i="41"/>
  <c r="B147" i="28"/>
  <c r="A148" i="28"/>
  <c r="X122" i="38"/>
  <c r="R124" i="38"/>
  <c r="B147" i="35"/>
  <c r="A148" i="35"/>
  <c r="AE74" i="43"/>
  <c r="AG74" i="43" s="1"/>
  <c r="AE78" i="43"/>
  <c r="R64" i="43"/>
  <c r="R73" i="43"/>
  <c r="D74" i="43"/>
  <c r="D78" i="43"/>
  <c r="B142" i="43"/>
  <c r="A143" i="43"/>
  <c r="AJ16" i="61"/>
  <c r="AA19" i="68" s="1"/>
  <c r="AP16" i="20"/>
  <c r="B16" i="20"/>
  <c r="C9" i="38"/>
  <c r="R49" i="38" s="1"/>
  <c r="P133" i="31"/>
  <c r="Q133" i="31" s="1"/>
  <c r="O134" i="31"/>
  <c r="AV18" i="23"/>
  <c r="O147" i="29"/>
  <c r="P146" i="29"/>
  <c r="B146" i="46"/>
  <c r="A147" i="46"/>
  <c r="H107" i="48"/>
  <c r="O135" i="36"/>
  <c r="P135" i="36" s="1"/>
  <c r="P134" i="36"/>
  <c r="H77" i="43"/>
  <c r="V62" i="41"/>
  <c r="T62" i="41"/>
  <c r="T54" i="41"/>
  <c r="T55" i="41" s="1"/>
  <c r="X54" i="41" s="1"/>
  <c r="V54" i="41"/>
  <c r="V55" i="41" s="1"/>
  <c r="H19" i="24"/>
  <c r="I19" i="24" s="1"/>
  <c r="D19" i="24"/>
  <c r="F19" i="24" s="1"/>
  <c r="G19" i="24" s="1"/>
  <c r="P129" i="40"/>
  <c r="O130" i="40"/>
  <c r="P130" i="40" s="1"/>
  <c r="X122" i="41"/>
  <c r="R124" i="41"/>
  <c r="R119" i="43"/>
  <c r="X117" i="43"/>
  <c r="O138" i="34"/>
  <c r="P137" i="34"/>
  <c r="AV8" i="13"/>
  <c r="O139" i="38"/>
  <c r="P138" i="38"/>
  <c r="Q138" i="38" s="1"/>
  <c r="H57" i="40"/>
  <c r="O142" i="33"/>
  <c r="P141" i="33"/>
  <c r="O146" i="33"/>
  <c r="AG83" i="45"/>
  <c r="H12" i="17"/>
  <c r="I12" i="17" s="1"/>
  <c r="D12" i="17"/>
  <c r="F12" i="17" s="1"/>
  <c r="G12" i="17" s="1"/>
  <c r="AO11" i="61"/>
  <c r="AF14" i="68" s="1"/>
  <c r="AP11" i="15"/>
  <c r="B11" i="15"/>
  <c r="C14" i="43"/>
  <c r="D128" i="34"/>
  <c r="F128" i="34" s="1"/>
  <c r="C127" i="34"/>
  <c r="G128" i="34"/>
  <c r="C129" i="39"/>
  <c r="C128" i="39"/>
  <c r="A144" i="34"/>
  <c r="B143" i="34"/>
  <c r="R124" i="26"/>
  <c r="X122" i="26"/>
  <c r="AA4" i="11"/>
  <c r="A135" i="26"/>
  <c r="B135" i="26" s="1"/>
  <c r="B134" i="26"/>
  <c r="AJ139" i="33"/>
  <c r="AJ140" i="33"/>
  <c r="G123" i="39"/>
  <c r="D123" i="39"/>
  <c r="F123" i="39" s="1"/>
  <c r="C122" i="39"/>
  <c r="AA130" i="37"/>
  <c r="AO130" i="37" s="1"/>
  <c r="AP130" i="37" s="1"/>
  <c r="W130" i="37"/>
  <c r="AA129" i="37"/>
  <c r="AO129" i="37" s="1"/>
  <c r="AP129" i="37" s="1"/>
  <c r="W129" i="37"/>
  <c r="A144" i="35"/>
  <c r="B143" i="35"/>
  <c r="O130" i="27"/>
  <c r="P130" i="27" s="1"/>
  <c r="P129" i="27"/>
  <c r="AL140" i="49"/>
  <c r="AH140" i="49"/>
  <c r="AI137" i="49"/>
  <c r="AL139" i="49"/>
  <c r="AH139" i="49"/>
  <c r="X13" i="21"/>
  <c r="AC144" i="27"/>
  <c r="AD144" i="27" s="1"/>
  <c r="AD143" i="27"/>
  <c r="AC148" i="27"/>
  <c r="C133" i="47"/>
  <c r="C134" i="47"/>
  <c r="A140" i="44"/>
  <c r="B140" i="44" s="1"/>
  <c r="B139" i="44"/>
  <c r="AH18" i="61"/>
  <c r="Y21" i="68" s="1"/>
  <c r="B18" i="22"/>
  <c r="C7" i="36"/>
  <c r="AP18" i="22"/>
  <c r="X117" i="45"/>
  <c r="R119" i="45"/>
  <c r="Y15" i="21"/>
  <c r="Q149" i="32"/>
  <c r="Q147" i="32"/>
  <c r="D128" i="44"/>
  <c r="F128" i="44" s="1"/>
  <c r="C127" i="44"/>
  <c r="G128" i="44"/>
  <c r="AA130" i="50"/>
  <c r="AO130" i="50" s="1"/>
  <c r="W130" i="50"/>
  <c r="AA129" i="50"/>
  <c r="AO129" i="50" s="1"/>
  <c r="W129" i="50"/>
  <c r="O138" i="50"/>
  <c r="P137" i="50"/>
  <c r="P129" i="34"/>
  <c r="O130" i="34"/>
  <c r="P130" i="34" s="1"/>
  <c r="C133" i="35"/>
  <c r="C134" i="35"/>
  <c r="A148" i="33"/>
  <c r="B147" i="33"/>
  <c r="AA130" i="43"/>
  <c r="AO130" i="43" s="1"/>
  <c r="AP130" i="43" s="1"/>
  <c r="W130" i="43"/>
  <c r="AA129" i="43"/>
  <c r="AO129" i="43" s="1"/>
  <c r="AP129" i="43" s="1"/>
  <c r="W129" i="43"/>
  <c r="AC139" i="47"/>
  <c r="AD139" i="47" s="1"/>
  <c r="AD138" i="47"/>
  <c r="AC143" i="47"/>
  <c r="Y5" i="11"/>
  <c r="X117" i="46"/>
  <c r="R119" i="46"/>
  <c r="O134" i="45"/>
  <c r="P133" i="45"/>
  <c r="Q133" i="45" s="1"/>
  <c r="X117" i="34"/>
  <c r="R119" i="34"/>
  <c r="Y125" i="35"/>
  <c r="Y124" i="35"/>
  <c r="Z125" i="35"/>
  <c r="Z124" i="35"/>
  <c r="R122" i="35"/>
  <c r="A144" i="40"/>
  <c r="B143" i="40"/>
  <c r="Q122" i="37"/>
  <c r="Q124" i="37"/>
  <c r="AA135" i="26"/>
  <c r="AO135" i="26" s="1"/>
  <c r="AP135" i="26" s="1"/>
  <c r="W135" i="26"/>
  <c r="AA134" i="26"/>
  <c r="AO134" i="26" s="1"/>
  <c r="AP134" i="26" s="1"/>
  <c r="W134" i="26"/>
  <c r="A147" i="45"/>
  <c r="B146" i="45"/>
  <c r="A144" i="42"/>
  <c r="B143" i="42"/>
  <c r="A139" i="36"/>
  <c r="B138" i="36"/>
  <c r="C134" i="28"/>
  <c r="C133" i="28"/>
  <c r="Y9" i="15"/>
  <c r="AG73" i="43"/>
  <c r="AE80" i="45"/>
  <c r="AI79" i="45" s="1"/>
  <c r="V117" i="41"/>
  <c r="V120" i="41" s="1"/>
  <c r="T117" i="41"/>
  <c r="T120" i="41" s="1"/>
  <c r="X119" i="41" s="1"/>
  <c r="AB119" i="41" s="1"/>
  <c r="C149" i="59"/>
  <c r="C148" i="59"/>
  <c r="P141" i="40"/>
  <c r="O146" i="40"/>
  <c r="O142" i="40"/>
  <c r="Y125" i="42"/>
  <c r="Y124" i="42"/>
  <c r="Z124" i="42"/>
  <c r="Z125" i="42"/>
  <c r="R122" i="42"/>
  <c r="G11" i="17"/>
  <c r="T119" i="41"/>
  <c r="V119" i="41"/>
  <c r="X117" i="28"/>
  <c r="R119" i="28"/>
  <c r="V117" i="42"/>
  <c r="V120" i="42" s="1"/>
  <c r="T117" i="42"/>
  <c r="T120" i="42" s="1"/>
  <c r="X119" i="42" s="1"/>
  <c r="AB119" i="42" s="1"/>
  <c r="X12" i="19"/>
  <c r="AL161" i="59"/>
  <c r="AL162" i="59"/>
  <c r="P133" i="44"/>
  <c r="Q133" i="44" s="1"/>
  <c r="O134" i="44"/>
  <c r="H62" i="41"/>
  <c r="AJ140" i="32"/>
  <c r="AJ139" i="32"/>
  <c r="O161" i="59"/>
  <c r="P160" i="59"/>
  <c r="Q160" i="59" s="1"/>
  <c r="A139" i="37"/>
  <c r="B138" i="37"/>
  <c r="AJ140" i="28"/>
  <c r="AJ139" i="28"/>
  <c r="R143" i="59"/>
  <c r="X141" i="59"/>
  <c r="AJ139" i="36"/>
  <c r="AJ140" i="36"/>
  <c r="A139" i="48"/>
  <c r="B138" i="48"/>
  <c r="J64" i="43"/>
  <c r="J65" i="43"/>
  <c r="V64" i="44"/>
  <c r="V65" i="44" s="1"/>
  <c r="T64" i="44"/>
  <c r="T65" i="44" s="1"/>
  <c r="X64" i="44" s="1"/>
  <c r="M129" i="49"/>
  <c r="I129" i="49"/>
  <c r="M130" i="49"/>
  <c r="I130" i="49"/>
  <c r="G129" i="49"/>
  <c r="Z120" i="50"/>
  <c r="Z119" i="50"/>
  <c r="R117" i="50"/>
  <c r="Y120" i="50"/>
  <c r="Y119" i="50"/>
  <c r="AJ134" i="44"/>
  <c r="AJ135" i="44"/>
  <c r="V57" i="40"/>
  <c r="T57" i="40"/>
  <c r="F54" i="40"/>
  <c r="J52" i="40"/>
  <c r="O142" i="31"/>
  <c r="P141" i="31"/>
  <c r="O146" i="31"/>
  <c r="AJ150" i="40"/>
  <c r="AJ149" i="40"/>
  <c r="X55" i="42"/>
  <c r="F47" i="37"/>
  <c r="AG43" i="37"/>
  <c r="Y125" i="36"/>
  <c r="Y124" i="36"/>
  <c r="Z125" i="36"/>
  <c r="R122" i="36"/>
  <c r="Z124" i="36"/>
  <c r="AF14" i="22"/>
  <c r="F49" i="39"/>
  <c r="J47" i="39"/>
  <c r="AG53" i="39"/>
  <c r="G123" i="26"/>
  <c r="D123" i="26"/>
  <c r="F123" i="26" s="1"/>
  <c r="C122" i="26"/>
  <c r="H5" i="10"/>
  <c r="I5" i="10" s="1"/>
  <c r="D5" i="10"/>
  <c r="F5" i="10" s="1"/>
  <c r="G5" i="10" s="1"/>
  <c r="A140" i="31"/>
  <c r="B140" i="31" s="1"/>
  <c r="B139" i="31"/>
  <c r="AL140" i="26"/>
  <c r="AH140" i="26"/>
  <c r="AI137" i="26"/>
  <c r="AL139" i="26"/>
  <c r="AH139" i="26"/>
  <c r="AV9" i="14"/>
  <c r="P137" i="39"/>
  <c r="O138" i="39"/>
  <c r="Q127" i="42"/>
  <c r="Q129" i="42"/>
  <c r="D128" i="33"/>
  <c r="F128" i="33" s="1"/>
  <c r="C127" i="33"/>
  <c r="G128" i="33"/>
  <c r="P138" i="48"/>
  <c r="Q138" i="48" s="1"/>
  <c r="O139" i="48"/>
  <c r="Q122" i="39"/>
  <c r="Q124" i="39"/>
  <c r="O130" i="49"/>
  <c r="P130" i="49" s="1"/>
  <c r="P129" i="49"/>
  <c r="AC144" i="31"/>
  <c r="AD144" i="31" s="1"/>
  <c r="AD143" i="31"/>
  <c r="AC148" i="31"/>
  <c r="A140" i="42"/>
  <c r="B140" i="42" s="1"/>
  <c r="B139" i="42"/>
  <c r="B142" i="30"/>
  <c r="A143" i="30"/>
  <c r="M124" i="30"/>
  <c r="I124" i="30"/>
  <c r="M125" i="30"/>
  <c r="I125" i="30"/>
  <c r="G124" i="30"/>
  <c r="O130" i="39"/>
  <c r="P130" i="39" s="1"/>
  <c r="P129" i="39"/>
  <c r="O130" i="31"/>
  <c r="P130" i="31" s="1"/>
  <c r="P129" i="31"/>
  <c r="C122" i="36"/>
  <c r="G123" i="36"/>
  <c r="D123" i="36"/>
  <c r="F123" i="36" s="1"/>
  <c r="P155" i="59"/>
  <c r="O156" i="59"/>
  <c r="P156" i="59" s="1"/>
  <c r="F7" i="13"/>
  <c r="AJ139" i="30"/>
  <c r="AJ140" i="30"/>
  <c r="O138" i="46"/>
  <c r="P137" i="46"/>
  <c r="AE64" i="41"/>
  <c r="AG64" i="41" s="1"/>
  <c r="R63" i="41"/>
  <c r="R59" i="41"/>
  <c r="D64" i="41"/>
  <c r="AE68" i="41"/>
  <c r="T119" i="29"/>
  <c r="V119" i="29"/>
  <c r="AJ135" i="41"/>
  <c r="AJ134" i="41"/>
  <c r="AA6" i="13"/>
  <c r="AG6" i="13" s="1"/>
  <c r="AL140" i="39"/>
  <c r="AI137" i="39"/>
  <c r="AH139" i="39"/>
  <c r="AL139" i="39"/>
  <c r="AH140" i="39"/>
  <c r="AI137" i="34"/>
  <c r="AL139" i="34"/>
  <c r="AH139" i="34"/>
  <c r="AL140" i="34"/>
  <c r="AH140" i="34"/>
  <c r="X10" i="17"/>
  <c r="AA10" i="17"/>
  <c r="X9" i="17"/>
  <c r="AL140" i="48"/>
  <c r="AH140" i="48"/>
  <c r="AI137" i="48"/>
  <c r="AL139" i="48"/>
  <c r="AH139" i="48"/>
  <c r="P138" i="36"/>
  <c r="Q138" i="36" s="1"/>
  <c r="O139" i="36"/>
  <c r="AA14" i="20"/>
  <c r="AG14" i="20" s="1"/>
  <c r="O135" i="41"/>
  <c r="P135" i="41" s="1"/>
  <c r="P134" i="41"/>
  <c r="M130" i="35"/>
  <c r="I130" i="35"/>
  <c r="G129" i="35"/>
  <c r="M129" i="35"/>
  <c r="I129" i="35"/>
  <c r="AF9" i="18"/>
  <c r="AF10" i="18" s="1"/>
  <c r="AF11" i="18" s="1"/>
  <c r="AI17" i="61"/>
  <c r="Z20" i="68" s="1"/>
  <c r="AP17" i="21"/>
  <c r="B17" i="21"/>
  <c r="C8" i="37"/>
  <c r="D53" i="37" s="1"/>
  <c r="F53" i="37" s="1"/>
  <c r="H53" i="37" s="1"/>
  <c r="AV4" i="61"/>
  <c r="AM7" i="68" s="1"/>
  <c r="AW3" i="61"/>
  <c r="AN6" i="68" s="1"/>
  <c r="B4" i="8"/>
  <c r="C21" i="50"/>
  <c r="AP4" i="8"/>
  <c r="AC144" i="50"/>
  <c r="AD144" i="50" s="1"/>
  <c r="AD143" i="50"/>
  <c r="AC148" i="50"/>
  <c r="O134" i="37"/>
  <c r="P133" i="37"/>
  <c r="Q133" i="37" s="1"/>
  <c r="F84" i="46"/>
  <c r="J82" i="46"/>
  <c r="AC144" i="42"/>
  <c r="AD144" i="42" s="1"/>
  <c r="AD143" i="42"/>
  <c r="AC148" i="42"/>
  <c r="AV14" i="53"/>
  <c r="H14" i="19"/>
  <c r="I14" i="19" s="1"/>
  <c r="D14" i="19"/>
  <c r="F14" i="19" s="1"/>
  <c r="G14" i="19" s="1"/>
  <c r="V37" i="36"/>
  <c r="T37" i="36"/>
  <c r="AG38" i="36"/>
  <c r="D128" i="27"/>
  <c r="F128" i="27" s="1"/>
  <c r="C127" i="27"/>
  <c r="G128" i="27"/>
  <c r="M130" i="38"/>
  <c r="I130" i="38"/>
  <c r="G129" i="38"/>
  <c r="M129" i="38"/>
  <c r="I129" i="38"/>
  <c r="P129" i="46"/>
  <c r="O130" i="46"/>
  <c r="P130" i="46" s="1"/>
  <c r="R124" i="47"/>
  <c r="X122" i="47"/>
  <c r="X13" i="20"/>
  <c r="AR8" i="61"/>
  <c r="AI11" i="68" s="1"/>
  <c r="B8" i="12"/>
  <c r="C17" i="46"/>
  <c r="AE98" i="46" s="1"/>
  <c r="AP8" i="12"/>
  <c r="M125" i="37"/>
  <c r="I125" i="37"/>
  <c r="G124" i="37"/>
  <c r="M124" i="37"/>
  <c r="I124" i="37"/>
  <c r="G123" i="48"/>
  <c r="D123" i="48"/>
  <c r="F123" i="48" s="1"/>
  <c r="C122" i="48"/>
  <c r="Z120" i="44"/>
  <c r="Z119" i="44"/>
  <c r="R117" i="44"/>
  <c r="Y120" i="44"/>
  <c r="Y119" i="44"/>
  <c r="A135" i="48"/>
  <c r="B135" i="48" s="1"/>
  <c r="B134" i="48"/>
  <c r="O138" i="44"/>
  <c r="P137" i="44"/>
  <c r="AC144" i="37"/>
  <c r="AD144" i="37" s="1"/>
  <c r="AD143" i="37"/>
  <c r="AC148" i="37"/>
  <c r="AF9" i="17"/>
  <c r="F64" i="42"/>
  <c r="J62" i="42"/>
  <c r="M125" i="45"/>
  <c r="I125" i="45"/>
  <c r="G124" i="45"/>
  <c r="M124" i="45"/>
  <c r="I124" i="45"/>
  <c r="B147" i="34"/>
  <c r="A148" i="34"/>
  <c r="J37" i="37"/>
  <c r="Q127" i="35"/>
  <c r="Q129" i="35"/>
  <c r="Y125" i="38"/>
  <c r="Y124" i="38"/>
  <c r="Z125" i="38"/>
  <c r="Z124" i="38"/>
  <c r="R122" i="38"/>
  <c r="A135" i="39"/>
  <c r="B135" i="39" s="1"/>
  <c r="B134" i="39"/>
  <c r="H11" i="16"/>
  <c r="I11" i="16" s="1"/>
  <c r="D11" i="16"/>
  <c r="F11" i="16" s="1"/>
  <c r="G11" i="16" s="1"/>
  <c r="B146" i="43"/>
  <c r="A147" i="43"/>
  <c r="AF12" i="21"/>
  <c r="AF13" i="21" s="1"/>
  <c r="O139" i="35"/>
  <c r="P138" i="35"/>
  <c r="Q138" i="35" s="1"/>
  <c r="AV15" i="20"/>
  <c r="D43" i="36"/>
  <c r="F43" i="36" s="1"/>
  <c r="H43" i="36" s="1"/>
  <c r="AE39" i="36"/>
  <c r="AG39" i="36" s="1"/>
  <c r="R38" i="36"/>
  <c r="R34" i="36"/>
  <c r="AE43" i="36"/>
  <c r="D39" i="36"/>
  <c r="F39" i="36" s="1"/>
  <c r="H39" i="36" s="1"/>
  <c r="R42" i="36"/>
  <c r="D47" i="36"/>
  <c r="O139" i="47"/>
  <c r="P138" i="47"/>
  <c r="Q138" i="47" s="1"/>
  <c r="V135" i="59"/>
  <c r="V138" i="59" s="1"/>
  <c r="T135" i="59"/>
  <c r="T138" i="59" s="1"/>
  <c r="X137" i="59" s="1"/>
  <c r="AB137" i="59" s="1"/>
  <c r="B147" i="50"/>
  <c r="A148" i="50"/>
  <c r="B142" i="39"/>
  <c r="A143" i="39"/>
  <c r="B142" i="46"/>
  <c r="A143" i="46"/>
  <c r="L124" i="47"/>
  <c r="D122" i="47"/>
  <c r="L125" i="47"/>
  <c r="K125" i="47"/>
  <c r="K124" i="47"/>
  <c r="G122" i="47"/>
  <c r="B147" i="32"/>
  <c r="A148" i="32"/>
  <c r="H123" i="41"/>
  <c r="AC139" i="38"/>
  <c r="AD139" i="38" s="1"/>
  <c r="AD138" i="38"/>
  <c r="AC143" i="38"/>
  <c r="AA135" i="36"/>
  <c r="AO135" i="36" s="1"/>
  <c r="AP135" i="36" s="1"/>
  <c r="W135" i="36"/>
  <c r="AA134" i="36"/>
  <c r="AO134" i="36" s="1"/>
  <c r="AP134" i="36" s="1"/>
  <c r="W134" i="36"/>
  <c r="P142" i="48"/>
  <c r="O143" i="48"/>
  <c r="K138" i="59"/>
  <c r="I137" i="59"/>
  <c r="I138" i="59"/>
  <c r="G135" i="59"/>
  <c r="K137" i="59"/>
  <c r="V58" i="41"/>
  <c r="T58" i="41"/>
  <c r="P142" i="41"/>
  <c r="O143" i="41"/>
  <c r="R33" i="35"/>
  <c r="AE38" i="35"/>
  <c r="AE34" i="35"/>
  <c r="D38" i="35"/>
  <c r="D42" i="35"/>
  <c r="R37" i="35"/>
  <c r="AA135" i="38"/>
  <c r="AO135" i="38" s="1"/>
  <c r="AP135" i="38" s="1"/>
  <c r="W135" i="38"/>
  <c r="AA134" i="38"/>
  <c r="AO134" i="38" s="1"/>
  <c r="AP134" i="38" s="1"/>
  <c r="W134" i="38"/>
  <c r="K125" i="31"/>
  <c r="L124" i="31"/>
  <c r="D122" i="31"/>
  <c r="K124" i="31"/>
  <c r="L125" i="31"/>
  <c r="G122" i="31"/>
  <c r="Y125" i="41"/>
  <c r="Y124" i="41"/>
  <c r="Z125" i="41"/>
  <c r="Z124" i="41"/>
  <c r="R122" i="41"/>
  <c r="Z125" i="48"/>
  <c r="Z124" i="48"/>
  <c r="R122" i="48"/>
  <c r="Y125" i="48"/>
  <c r="Y124" i="48"/>
  <c r="AE75" i="44"/>
  <c r="AI74" i="44" s="1"/>
  <c r="P141" i="34"/>
  <c r="O146" i="34"/>
  <c r="O142" i="34"/>
  <c r="G143" i="59"/>
  <c r="M143" i="59"/>
  <c r="M144" i="59"/>
  <c r="AE89" i="46"/>
  <c r="AG89" i="46" s="1"/>
  <c r="AE93" i="46"/>
  <c r="R88" i="46"/>
  <c r="D89" i="46"/>
  <c r="A140" i="41"/>
  <c r="B140" i="41" s="1"/>
  <c r="B139" i="41"/>
  <c r="A143" i="36"/>
  <c r="B142" i="36"/>
  <c r="AE69" i="42"/>
  <c r="AG69" i="42" s="1"/>
  <c r="R68" i="42"/>
  <c r="AE73" i="42"/>
  <c r="D69" i="42"/>
  <c r="C128" i="36"/>
  <c r="C129" i="36"/>
  <c r="H74" i="45"/>
  <c r="H75" i="45" s="1"/>
  <c r="J75" i="45" s="1"/>
  <c r="F75" i="45"/>
  <c r="J74" i="45" s="1"/>
  <c r="K120" i="36"/>
  <c r="K119" i="36"/>
  <c r="G117" i="36"/>
  <c r="AE79" i="44"/>
  <c r="AG79" i="44" s="1"/>
  <c r="AE83" i="44"/>
  <c r="D79" i="44"/>
  <c r="F79" i="44" s="1"/>
  <c r="H79" i="44" s="1"/>
  <c r="R78" i="44"/>
  <c r="R74" i="44"/>
  <c r="M130" i="34"/>
  <c r="I130" i="34"/>
  <c r="G129" i="34"/>
  <c r="M129" i="34"/>
  <c r="I129" i="34"/>
  <c r="D128" i="47"/>
  <c r="F128" i="47" s="1"/>
  <c r="C127" i="47"/>
  <c r="G128" i="47"/>
  <c r="Y12" i="18"/>
  <c r="AG45" i="38"/>
  <c r="X117" i="40"/>
  <c r="R119" i="40"/>
  <c r="Z120" i="33"/>
  <c r="Z119" i="33"/>
  <c r="R117" i="33"/>
  <c r="Y120" i="33"/>
  <c r="Y119" i="33"/>
  <c r="O166" i="59"/>
  <c r="P165" i="59"/>
  <c r="C134" i="27"/>
  <c r="C133" i="27"/>
  <c r="AI35" i="37"/>
  <c r="AM35" i="37" s="1"/>
  <c r="AS35" i="37" s="1"/>
  <c r="V139" i="32"/>
  <c r="T139" i="32"/>
  <c r="AL140" i="33"/>
  <c r="AH140" i="33"/>
  <c r="AI137" i="33"/>
  <c r="AL139" i="33"/>
  <c r="AH139" i="33"/>
  <c r="D123" i="46"/>
  <c r="F123" i="46" s="1"/>
  <c r="C122" i="46"/>
  <c r="G123" i="46"/>
  <c r="I125" i="39"/>
  <c r="I124" i="39"/>
  <c r="M125" i="39"/>
  <c r="M124" i="39"/>
  <c r="G124" i="39"/>
  <c r="B142" i="48"/>
  <c r="A143" i="48"/>
  <c r="P129" i="37"/>
  <c r="O130" i="37"/>
  <c r="P130" i="37" s="1"/>
  <c r="Y10" i="16"/>
  <c r="AA130" i="27"/>
  <c r="AO130" i="27" s="1"/>
  <c r="AP130" i="27" s="1"/>
  <c r="W130" i="27"/>
  <c r="AA129" i="27"/>
  <c r="AO129" i="27" s="1"/>
  <c r="AP129" i="27" s="1"/>
  <c r="W129" i="27"/>
  <c r="A139" i="43"/>
  <c r="B138" i="43"/>
  <c r="AJ139" i="27"/>
  <c r="AJ140" i="27"/>
  <c r="R43" i="37"/>
  <c r="AE44" i="37"/>
  <c r="AG44" i="37" s="1"/>
  <c r="AE48" i="37"/>
  <c r="D44" i="37"/>
  <c r="F44" i="37" s="1"/>
  <c r="H44" i="37" s="1"/>
  <c r="R39" i="37"/>
  <c r="D48" i="37"/>
  <c r="F48" i="37" s="1"/>
  <c r="H48" i="37" s="1"/>
  <c r="Y120" i="45"/>
  <c r="Y119" i="45"/>
  <c r="Z119" i="45"/>
  <c r="Z120" i="45"/>
  <c r="R117" i="45"/>
  <c r="A144" i="29"/>
  <c r="B143" i="29"/>
  <c r="O142" i="49"/>
  <c r="P141" i="49"/>
  <c r="O146" i="49"/>
  <c r="C134" i="44"/>
  <c r="C133" i="44"/>
  <c r="Q129" i="48"/>
  <c r="Q127" i="48"/>
  <c r="D128" i="40"/>
  <c r="F128" i="40" s="1"/>
  <c r="C127" i="40"/>
  <c r="G128" i="40"/>
  <c r="B142" i="26"/>
  <c r="A143" i="26"/>
  <c r="Z120" i="27"/>
  <c r="Z119" i="27"/>
  <c r="R117" i="27"/>
  <c r="Y120" i="27"/>
  <c r="Y119" i="27"/>
  <c r="M129" i="44"/>
  <c r="I129" i="44"/>
  <c r="M130" i="44"/>
  <c r="I130" i="44"/>
  <c r="G129" i="44"/>
  <c r="P129" i="50"/>
  <c r="O130" i="50"/>
  <c r="P130" i="50" s="1"/>
  <c r="AF11" i="20"/>
  <c r="AF12" i="20" s="1"/>
  <c r="AF13" i="20" s="1"/>
  <c r="P141" i="50"/>
  <c r="O146" i="50"/>
  <c r="O142" i="50"/>
  <c r="Q122" i="45"/>
  <c r="Q124" i="45"/>
  <c r="A148" i="44"/>
  <c r="B147" i="44"/>
  <c r="C134" i="32"/>
  <c r="C133" i="32"/>
  <c r="AJ135" i="47"/>
  <c r="AJ134" i="47"/>
  <c r="Z120" i="46"/>
  <c r="Z119" i="46"/>
  <c r="R117" i="46"/>
  <c r="Y120" i="46"/>
  <c r="Y119" i="46"/>
  <c r="AG85" i="46"/>
  <c r="Z120" i="34"/>
  <c r="Z119" i="34"/>
  <c r="R117" i="34"/>
  <c r="Y120" i="34"/>
  <c r="Y119" i="34"/>
  <c r="P142" i="30"/>
  <c r="O143" i="30"/>
  <c r="O142" i="27"/>
  <c r="P141" i="27"/>
  <c r="O146" i="27"/>
  <c r="A156" i="59"/>
  <c r="B156" i="59" s="1"/>
  <c r="B155" i="59"/>
  <c r="F89" i="47"/>
  <c r="J87" i="47"/>
  <c r="T88" i="47"/>
  <c r="V88" i="47"/>
  <c r="AG55" i="40"/>
  <c r="H112" i="50"/>
  <c r="T117" i="36"/>
  <c r="T120" i="36" s="1"/>
  <c r="X119" i="36" s="1"/>
  <c r="AB119" i="36" s="1"/>
  <c r="V117" i="36"/>
  <c r="V120" i="36" s="1"/>
  <c r="T119" i="35"/>
  <c r="V119" i="35"/>
  <c r="AG4" i="12"/>
  <c r="C129" i="26"/>
  <c r="C128" i="26"/>
  <c r="AK59" i="44"/>
  <c r="AM59" i="44" s="1"/>
  <c r="AS59" i="44" s="1"/>
  <c r="Q122" i="40"/>
  <c r="Q124" i="40"/>
  <c r="J77" i="45"/>
  <c r="AB40" i="40"/>
  <c r="AR40" i="40" s="1"/>
  <c r="AT40" i="40" s="1"/>
  <c r="E6" i="40" s="1"/>
  <c r="Q124" i="31"/>
  <c r="Q122" i="31"/>
  <c r="P133" i="33"/>
  <c r="Q133" i="33" s="1"/>
  <c r="O134" i="33"/>
  <c r="Z120" i="28"/>
  <c r="Z119" i="28"/>
  <c r="R117" i="28"/>
  <c r="Y120" i="28"/>
  <c r="Y119" i="28"/>
  <c r="C134" i="34"/>
  <c r="C133" i="34"/>
  <c r="AN6" i="43" l="1"/>
  <c r="I152" i="66"/>
  <c r="V50" i="39"/>
  <c r="AB50" i="41"/>
  <c r="AR40" i="46"/>
  <c r="D185" i="66"/>
  <c r="L153" i="66"/>
  <c r="L129" i="66"/>
  <c r="B149" i="66"/>
  <c r="Y15" i="20"/>
  <c r="I92" i="66"/>
  <c r="X85" i="47"/>
  <c r="AN11" i="46"/>
  <c r="AR50" i="42"/>
  <c r="AT50" i="42" s="1"/>
  <c r="E8" i="42" s="1"/>
  <c r="Z55" i="42" s="1"/>
  <c r="AB55" i="42" s="1"/>
  <c r="AN5" i="43"/>
  <c r="D92" i="65"/>
  <c r="A92" i="65" s="1"/>
  <c r="AN5" i="41"/>
  <c r="AN6" i="42"/>
  <c r="Z59" i="44"/>
  <c r="AB59" i="44" s="1"/>
  <c r="AR59" i="44" s="1"/>
  <c r="AT59" i="44" s="1"/>
  <c r="D10" i="44" s="1"/>
  <c r="D150" i="66"/>
  <c r="B150" i="66" s="1"/>
  <c r="D130" i="66"/>
  <c r="L213" i="66"/>
  <c r="J116" i="66"/>
  <c r="B116" i="65" s="1"/>
  <c r="D116" i="65"/>
  <c r="A116" i="65" s="1"/>
  <c r="I116" i="66"/>
  <c r="J129" i="66"/>
  <c r="B129" i="65" s="1"/>
  <c r="I129" i="66"/>
  <c r="D129" i="65"/>
  <c r="A129" i="65" s="1"/>
  <c r="B107" i="66"/>
  <c r="A107" i="66"/>
  <c r="I153" i="66"/>
  <c r="D153" i="65"/>
  <c r="J153" i="66"/>
  <c r="B153" i="65" s="1"/>
  <c r="J212" i="66"/>
  <c r="B212" i="65" s="1"/>
  <c r="I212" i="66"/>
  <c r="D212" i="65"/>
  <c r="A212" i="65" s="1"/>
  <c r="A129" i="66"/>
  <c r="B129" i="66"/>
  <c r="B185" i="66"/>
  <c r="A185" i="66"/>
  <c r="D108" i="66"/>
  <c r="L117" i="66"/>
  <c r="AE105" i="49"/>
  <c r="AI104" i="49" s="1"/>
  <c r="AI105" i="49" s="1"/>
  <c r="T69" i="44"/>
  <c r="T70" i="44" s="1"/>
  <c r="X69" i="44" s="1"/>
  <c r="X70" i="44" s="1"/>
  <c r="AN11" i="44"/>
  <c r="X100" i="50"/>
  <c r="D163" i="66"/>
  <c r="L175" i="66"/>
  <c r="A162" i="66"/>
  <c r="B162" i="66"/>
  <c r="D124" i="66"/>
  <c r="L133" i="66"/>
  <c r="J102" i="49"/>
  <c r="AJ11" i="41"/>
  <c r="AN10" i="41" s="1"/>
  <c r="AN11" i="41" s="1"/>
  <c r="X90" i="49"/>
  <c r="I132" i="66"/>
  <c r="J132" i="66"/>
  <c r="B132" i="65" s="1"/>
  <c r="D132" i="65"/>
  <c r="A132" i="65" s="1"/>
  <c r="J90" i="66"/>
  <c r="B90" i="65" s="1"/>
  <c r="D90" i="65"/>
  <c r="A90" i="65" s="1"/>
  <c r="I90" i="66"/>
  <c r="B110" i="66"/>
  <c r="A110" i="66"/>
  <c r="D85" i="66"/>
  <c r="L91" i="66"/>
  <c r="AN16" i="44"/>
  <c r="B123" i="66"/>
  <c r="A123" i="66"/>
  <c r="B84" i="66"/>
  <c r="A84" i="66"/>
  <c r="J76" i="66"/>
  <c r="B76" i="65" s="1"/>
  <c r="D76" i="65"/>
  <c r="A76" i="65" s="1"/>
  <c r="I76" i="66"/>
  <c r="D111" i="66"/>
  <c r="L119" i="66"/>
  <c r="I174" i="66"/>
  <c r="D174" i="65"/>
  <c r="A174" i="65" s="1"/>
  <c r="J174" i="66"/>
  <c r="B174" i="65" s="1"/>
  <c r="B71" i="66"/>
  <c r="A71" i="66"/>
  <c r="D115" i="66"/>
  <c r="CV98" i="61"/>
  <c r="D20" i="66"/>
  <c r="L21" i="66"/>
  <c r="D172" i="66"/>
  <c r="D134" i="66"/>
  <c r="L141" i="66"/>
  <c r="D104" i="48"/>
  <c r="F104" i="48" s="1"/>
  <c r="H104" i="48" s="1"/>
  <c r="H99" i="49"/>
  <c r="H100" i="49" s="1"/>
  <c r="J100" i="49" s="1"/>
  <c r="F100" i="49"/>
  <c r="J99" i="49" s="1"/>
  <c r="B114" i="66"/>
  <c r="A114" i="66"/>
  <c r="B171" i="66"/>
  <c r="A171" i="66"/>
  <c r="D200" i="65"/>
  <c r="A200" i="65" s="1"/>
  <c r="J200" i="66"/>
  <c r="B200" i="65" s="1"/>
  <c r="I200" i="66"/>
  <c r="B95" i="66"/>
  <c r="A95" i="66"/>
  <c r="H103" i="48"/>
  <c r="AG109" i="50"/>
  <c r="AG110" i="50" s="1"/>
  <c r="AE110" i="50"/>
  <c r="AI109" i="50" s="1"/>
  <c r="D60" i="65"/>
  <c r="A60" i="65" s="1"/>
  <c r="I60" i="66"/>
  <c r="J60" i="66"/>
  <c r="B60" i="65" s="1"/>
  <c r="CU99" i="61"/>
  <c r="D39" i="66"/>
  <c r="L41" i="66"/>
  <c r="R89" i="47"/>
  <c r="D103" i="47"/>
  <c r="F103" i="47" s="1"/>
  <c r="R102" i="47"/>
  <c r="D107" i="47"/>
  <c r="F107" i="47" s="1"/>
  <c r="L161" i="66"/>
  <c r="R99" i="48"/>
  <c r="D108" i="48"/>
  <c r="F108" i="48" s="1"/>
  <c r="R107" i="48"/>
  <c r="D112" i="48"/>
  <c r="F112" i="48" s="1"/>
  <c r="D362" i="66"/>
  <c r="L381" i="66"/>
  <c r="AL5" i="44"/>
  <c r="AL6" i="44" s="1"/>
  <c r="AN6" i="44" s="1"/>
  <c r="AJ6" i="44"/>
  <c r="AN5" i="44" s="1"/>
  <c r="Z23" i="41"/>
  <c r="F105" i="49"/>
  <c r="D20" i="65"/>
  <c r="A20" i="65" s="1"/>
  <c r="I20" i="66"/>
  <c r="J20" i="66"/>
  <c r="B20" i="65" s="1"/>
  <c r="D140" i="65"/>
  <c r="J140" i="66"/>
  <c r="B140" i="65" s="1"/>
  <c r="I140" i="66"/>
  <c r="V102" i="48"/>
  <c r="T102" i="48"/>
  <c r="V107" i="49"/>
  <c r="T107" i="49"/>
  <c r="D160" i="65"/>
  <c r="A160" i="65" s="1"/>
  <c r="J160" i="66"/>
  <c r="B160" i="65" s="1"/>
  <c r="I160" i="66"/>
  <c r="T108" i="50"/>
  <c r="V108" i="50"/>
  <c r="F113" i="50"/>
  <c r="B57" i="66"/>
  <c r="A57" i="66"/>
  <c r="R109" i="50"/>
  <c r="D114" i="50"/>
  <c r="F114" i="50" s="1"/>
  <c r="H114" i="50" s="1"/>
  <c r="AE118" i="50"/>
  <c r="D118" i="50"/>
  <c r="AE114" i="50"/>
  <c r="AG114" i="50" s="1"/>
  <c r="R113" i="50"/>
  <c r="CR102" i="61"/>
  <c r="D96" i="66"/>
  <c r="L101" i="66"/>
  <c r="L201" i="66"/>
  <c r="D113" i="49"/>
  <c r="R104" i="49"/>
  <c r="AE113" i="49"/>
  <c r="AE109" i="49"/>
  <c r="R112" i="49"/>
  <c r="R108" i="49"/>
  <c r="D109" i="49"/>
  <c r="D117" i="49"/>
  <c r="AE108" i="48"/>
  <c r="AG108" i="48" s="1"/>
  <c r="H105" i="49"/>
  <c r="B19" i="66"/>
  <c r="A19" i="66"/>
  <c r="D80" i="65"/>
  <c r="A80" i="65" s="1"/>
  <c r="I80" i="66"/>
  <c r="J80" i="66"/>
  <c r="B80" i="65" s="1"/>
  <c r="H97" i="45"/>
  <c r="H102" i="46"/>
  <c r="T89" i="48"/>
  <c r="T90" i="48" s="1"/>
  <c r="X89" i="48" s="1"/>
  <c r="V89" i="48"/>
  <c r="V90" i="48" s="1"/>
  <c r="V99" i="49"/>
  <c r="V100" i="49" s="1"/>
  <c r="T99" i="49"/>
  <c r="T100" i="49" s="1"/>
  <c r="X99" i="49" s="1"/>
  <c r="D40" i="65"/>
  <c r="A40" i="65" s="1"/>
  <c r="I40" i="66"/>
  <c r="J40" i="66"/>
  <c r="B40" i="65" s="1"/>
  <c r="AG113" i="50"/>
  <c r="V104" i="50"/>
  <c r="V105" i="50" s="1"/>
  <c r="T104" i="50"/>
  <c r="T105" i="50" s="1"/>
  <c r="X104" i="50" s="1"/>
  <c r="D98" i="45"/>
  <c r="F98" i="45" s="1"/>
  <c r="H98" i="45" s="1"/>
  <c r="R97" i="45"/>
  <c r="D102" i="45"/>
  <c r="F102" i="45" s="1"/>
  <c r="R87" i="44"/>
  <c r="D97" i="44"/>
  <c r="F97" i="44" s="1"/>
  <c r="CS101" i="61"/>
  <c r="D77" i="66"/>
  <c r="L81" i="66"/>
  <c r="CT100" i="61"/>
  <c r="D58" i="66"/>
  <c r="L61" i="66"/>
  <c r="R103" i="48"/>
  <c r="T103" i="48" s="1"/>
  <c r="A76" i="66"/>
  <c r="B76" i="66"/>
  <c r="T87" i="45"/>
  <c r="V87" i="45"/>
  <c r="T97" i="46"/>
  <c r="V97" i="46"/>
  <c r="D100" i="65"/>
  <c r="A100" i="65" s="1"/>
  <c r="J100" i="66"/>
  <c r="B100" i="65" s="1"/>
  <c r="I100" i="66"/>
  <c r="H108" i="49"/>
  <c r="B38" i="66"/>
  <c r="A38" i="66"/>
  <c r="F109" i="50"/>
  <c r="J107" i="50"/>
  <c r="AN16" i="43"/>
  <c r="Z23" i="42"/>
  <c r="L49" i="41"/>
  <c r="N49" i="41" s="1"/>
  <c r="AQ49" i="41" s="1"/>
  <c r="AI55" i="40"/>
  <c r="AK44" i="41"/>
  <c r="AM44" i="41" s="1"/>
  <c r="AS44" i="41" s="1"/>
  <c r="Z44" i="41"/>
  <c r="AB44" i="41" s="1"/>
  <c r="AR45" i="41" s="1"/>
  <c r="AT45" i="41" s="1"/>
  <c r="E7" i="41" s="1"/>
  <c r="Z49" i="41"/>
  <c r="AB49" i="41" s="1"/>
  <c r="AR49" i="41" s="1"/>
  <c r="Z23" i="43"/>
  <c r="CQ103" i="61"/>
  <c r="CN106" i="61"/>
  <c r="CP104" i="61"/>
  <c r="CJ110" i="61"/>
  <c r="CH112" i="61"/>
  <c r="R69" i="43"/>
  <c r="V69" i="43" s="1"/>
  <c r="V70" i="43" s="1"/>
  <c r="AH10" i="43"/>
  <c r="CK109" i="61"/>
  <c r="CO105" i="61"/>
  <c r="A71" i="65"/>
  <c r="A110" i="65"/>
  <c r="CG113" i="61"/>
  <c r="CE115" i="61"/>
  <c r="CF114" i="61"/>
  <c r="CM107" i="61"/>
  <c r="A97" i="65"/>
  <c r="CI111" i="61"/>
  <c r="CL108" i="61"/>
  <c r="Z23" i="45"/>
  <c r="X22" i="44"/>
  <c r="X23" i="44" s="1"/>
  <c r="V22" i="44"/>
  <c r="V23" i="44" s="1"/>
  <c r="Z22" i="44" s="1"/>
  <c r="AJ10" i="42"/>
  <c r="AJ11" i="42" s="1"/>
  <c r="AN10" i="42" s="1"/>
  <c r="AL10" i="42"/>
  <c r="AL11" i="42" s="1"/>
  <c r="AB10" i="42"/>
  <c r="AD10" i="42" s="1"/>
  <c r="AB16" i="42"/>
  <c r="AD16" i="42" s="1"/>
  <c r="AB5" i="42"/>
  <c r="AD5" i="42" s="1"/>
  <c r="AB4" i="47"/>
  <c r="AD4" i="47" s="1"/>
  <c r="AI90" i="47"/>
  <c r="T32" i="34"/>
  <c r="V32" i="34"/>
  <c r="H21" i="25"/>
  <c r="I21" i="25" s="1"/>
  <c r="D21" i="25"/>
  <c r="F21" i="25" s="1"/>
  <c r="G21" i="25" s="1"/>
  <c r="AE22" i="61"/>
  <c r="V25" i="68" s="1"/>
  <c r="AP22" i="25"/>
  <c r="B22" i="25"/>
  <c r="C4" i="32"/>
  <c r="AV21" i="25"/>
  <c r="AE33" i="33"/>
  <c r="AG33" i="33" s="1"/>
  <c r="R32" i="33"/>
  <c r="D37" i="33"/>
  <c r="F37" i="33" s="1"/>
  <c r="H37" i="33" s="1"/>
  <c r="V93" i="47"/>
  <c r="AI45" i="38"/>
  <c r="AR65" i="48"/>
  <c r="AR64" i="48"/>
  <c r="AK55" i="42"/>
  <c r="AM55" i="42" s="1"/>
  <c r="AS55" i="42" s="1"/>
  <c r="AI60" i="41"/>
  <c r="AM60" i="41" s="1"/>
  <c r="AS60" i="41" s="1"/>
  <c r="AI85" i="46"/>
  <c r="AG85" i="45"/>
  <c r="N54" i="41"/>
  <c r="AQ54" i="41" s="1"/>
  <c r="AE85" i="45"/>
  <c r="AI84" i="45" s="1"/>
  <c r="AE55" i="39"/>
  <c r="AI54" i="39" s="1"/>
  <c r="AG55" i="39"/>
  <c r="T50" i="39"/>
  <c r="X49" i="39" s="1"/>
  <c r="X50" i="39" s="1"/>
  <c r="L65" i="44"/>
  <c r="N65" i="44" s="1"/>
  <c r="AQ65" i="44" s="1"/>
  <c r="AE95" i="47"/>
  <c r="AI94" i="47" s="1"/>
  <c r="Y11" i="16"/>
  <c r="AA11" i="16" s="1"/>
  <c r="AG11" i="16" s="1"/>
  <c r="AG95" i="47"/>
  <c r="AI40" i="37"/>
  <c r="R93" i="46"/>
  <c r="V93" i="46" s="1"/>
  <c r="AE94" i="46"/>
  <c r="AG94" i="46" s="1"/>
  <c r="N55" i="41"/>
  <c r="AQ55" i="41" s="1"/>
  <c r="D77" i="41"/>
  <c r="F77" i="41" s="1"/>
  <c r="R72" i="41"/>
  <c r="V72" i="41" s="1"/>
  <c r="D94" i="46"/>
  <c r="F94" i="46" s="1"/>
  <c r="H94" i="46" s="1"/>
  <c r="X80" i="46"/>
  <c r="Z70" i="49"/>
  <c r="AB70" i="49" s="1"/>
  <c r="L75" i="49"/>
  <c r="N75" i="49" s="1"/>
  <c r="AQ75" i="49" s="1"/>
  <c r="AK70" i="49"/>
  <c r="AM70" i="49" s="1"/>
  <c r="AS70" i="49" s="1"/>
  <c r="Z69" i="49"/>
  <c r="AB69" i="49" s="1"/>
  <c r="L74" i="49"/>
  <c r="N74" i="49" s="1"/>
  <c r="AQ74" i="49" s="1"/>
  <c r="AK69" i="49"/>
  <c r="AM69" i="49" s="1"/>
  <c r="AS69" i="49" s="1"/>
  <c r="T49" i="38"/>
  <c r="V49" i="38"/>
  <c r="AI100" i="49"/>
  <c r="F99" i="48"/>
  <c r="J97" i="48"/>
  <c r="V98" i="48"/>
  <c r="T98" i="48"/>
  <c r="H52" i="36"/>
  <c r="H89" i="47"/>
  <c r="H90" i="47" s="1"/>
  <c r="J90" i="47" s="1"/>
  <c r="F90" i="47"/>
  <c r="J89" i="47" s="1"/>
  <c r="AE103" i="47"/>
  <c r="AE99" i="47"/>
  <c r="R98" i="47"/>
  <c r="D99" i="47"/>
  <c r="Z69" i="47"/>
  <c r="AB69" i="47" s="1"/>
  <c r="AG103" i="48"/>
  <c r="AG105" i="48" s="1"/>
  <c r="AE105" i="48"/>
  <c r="AI104" i="48" s="1"/>
  <c r="H87" i="44"/>
  <c r="T84" i="46"/>
  <c r="T85" i="46" s="1"/>
  <c r="X84" i="46" s="1"/>
  <c r="V84" i="46"/>
  <c r="V85" i="46" s="1"/>
  <c r="H82" i="43"/>
  <c r="V67" i="41"/>
  <c r="T67" i="41"/>
  <c r="V47" i="36"/>
  <c r="T47" i="36"/>
  <c r="AR49" i="42"/>
  <c r="AT49" i="42" s="1"/>
  <c r="D8" i="42" s="1"/>
  <c r="H84" i="46"/>
  <c r="H85" i="46" s="1"/>
  <c r="J85" i="46" s="1"/>
  <c r="F85" i="46"/>
  <c r="J84" i="46" s="1"/>
  <c r="D68" i="40"/>
  <c r="F68" i="40" s="1"/>
  <c r="R67" i="40"/>
  <c r="R79" i="44"/>
  <c r="D88" i="44"/>
  <c r="F88" i="44" s="1"/>
  <c r="H88" i="44" s="1"/>
  <c r="R77" i="42"/>
  <c r="D82" i="42"/>
  <c r="F82" i="42" s="1"/>
  <c r="H67" i="39"/>
  <c r="AG99" i="48"/>
  <c r="AG100" i="48" s="1"/>
  <c r="AE100" i="48"/>
  <c r="AI99" i="48" s="1"/>
  <c r="V82" i="44"/>
  <c r="T82" i="44"/>
  <c r="T77" i="43"/>
  <c r="V77" i="43"/>
  <c r="H68" i="41"/>
  <c r="Z50" i="40"/>
  <c r="AB50" i="40" s="1"/>
  <c r="L55" i="40"/>
  <c r="H54" i="40"/>
  <c r="H55" i="40" s="1"/>
  <c r="F55" i="40"/>
  <c r="D83" i="43"/>
  <c r="F83" i="43" s="1"/>
  <c r="H83" i="43" s="1"/>
  <c r="R82" i="43"/>
  <c r="D87" i="43"/>
  <c r="F87" i="43" s="1"/>
  <c r="R84" i="45"/>
  <c r="H69" i="43"/>
  <c r="H70" i="43" s="1"/>
  <c r="J70" i="43" s="1"/>
  <c r="F70" i="43"/>
  <c r="R47" i="35"/>
  <c r="D52" i="35"/>
  <c r="F52" i="35" s="1"/>
  <c r="T79" i="45"/>
  <c r="T80" i="45" s="1"/>
  <c r="X79" i="45" s="1"/>
  <c r="V79" i="45"/>
  <c r="V80" i="45" s="1"/>
  <c r="Y8" i="13"/>
  <c r="AI65" i="42"/>
  <c r="AI50" i="39"/>
  <c r="AE75" i="43"/>
  <c r="AI74" i="43" s="1"/>
  <c r="X138" i="59"/>
  <c r="AB138" i="59" s="1"/>
  <c r="AT137" i="59" s="1"/>
  <c r="H60" i="40"/>
  <c r="AR134" i="32"/>
  <c r="AR44" i="42"/>
  <c r="AT44" i="42" s="1"/>
  <c r="D7" i="42" s="1"/>
  <c r="AK49" i="42" s="1"/>
  <c r="AM49" i="42" s="1"/>
  <c r="AS49" i="42" s="1"/>
  <c r="AR45" i="42"/>
  <c r="AT45" i="42" s="1"/>
  <c r="E7" i="42" s="1"/>
  <c r="AK50" i="42" s="1"/>
  <c r="AM50" i="42" s="1"/>
  <c r="AS50" i="42" s="1"/>
  <c r="AK45" i="40"/>
  <c r="AM45" i="40" s="1"/>
  <c r="AS45" i="40" s="1"/>
  <c r="Z45" i="40"/>
  <c r="AB45" i="40" s="1"/>
  <c r="L50" i="40"/>
  <c r="N50" i="40" s="1"/>
  <c r="AQ50" i="40" s="1"/>
  <c r="AT50" i="40" s="1"/>
  <c r="E8" i="40" s="1"/>
  <c r="J57" i="40"/>
  <c r="F60" i="40"/>
  <c r="AE50" i="38"/>
  <c r="AI49" i="38" s="1"/>
  <c r="X120" i="47"/>
  <c r="AB120" i="47" s="1"/>
  <c r="AR119" i="47" s="1"/>
  <c r="AG75" i="43"/>
  <c r="X55" i="41"/>
  <c r="N44" i="39"/>
  <c r="AQ44" i="39" s="1"/>
  <c r="X120" i="41"/>
  <c r="AB120" i="41" s="1"/>
  <c r="AR119" i="41" s="1"/>
  <c r="H123" i="48"/>
  <c r="AG50" i="38"/>
  <c r="X45" i="39"/>
  <c r="X120" i="30"/>
  <c r="AB120" i="30" s="1"/>
  <c r="AR120" i="30" s="1"/>
  <c r="H128" i="27"/>
  <c r="H128" i="33"/>
  <c r="H123" i="37"/>
  <c r="H128" i="32"/>
  <c r="H123" i="45"/>
  <c r="X120" i="36"/>
  <c r="AB120" i="36" s="1"/>
  <c r="AR120" i="36" s="1"/>
  <c r="AI35" i="36"/>
  <c r="AM35" i="36" s="1"/>
  <c r="AS35" i="36" s="1"/>
  <c r="X60" i="42"/>
  <c r="X120" i="29"/>
  <c r="AB120" i="29" s="1"/>
  <c r="X120" i="42"/>
  <c r="AB120" i="42" s="1"/>
  <c r="AR119" i="42" s="1"/>
  <c r="H142" i="59"/>
  <c r="H123" i="36"/>
  <c r="H123" i="26"/>
  <c r="H123" i="39"/>
  <c r="H128" i="34"/>
  <c r="N45" i="39"/>
  <c r="AQ45" i="39" s="1"/>
  <c r="H128" i="28"/>
  <c r="AR35" i="37"/>
  <c r="AT35" i="37" s="1"/>
  <c r="E5" i="37" s="1"/>
  <c r="AR34" i="37"/>
  <c r="AT34" i="37" s="1"/>
  <c r="D5" i="37" s="1"/>
  <c r="X120" i="48"/>
  <c r="AB120" i="48" s="1"/>
  <c r="AR120" i="48" s="1"/>
  <c r="X122" i="31"/>
  <c r="R124" i="31"/>
  <c r="M135" i="32"/>
  <c r="I135" i="32"/>
  <c r="G134" i="32"/>
  <c r="I134" i="32"/>
  <c r="M134" i="32"/>
  <c r="R129" i="48"/>
  <c r="X127" i="48"/>
  <c r="T117" i="45"/>
  <c r="T120" i="45" s="1"/>
  <c r="X119" i="45" s="1"/>
  <c r="AB119" i="45" s="1"/>
  <c r="V117" i="45"/>
  <c r="V120" i="45" s="1"/>
  <c r="A144" i="48"/>
  <c r="B143" i="48"/>
  <c r="D133" i="27"/>
  <c r="F133" i="27" s="1"/>
  <c r="C132" i="27"/>
  <c r="G133" i="27"/>
  <c r="AA12" i="18"/>
  <c r="AG12" i="18" s="1"/>
  <c r="X11" i="18"/>
  <c r="V78" i="44"/>
  <c r="T78" i="44"/>
  <c r="M129" i="36"/>
  <c r="I129" i="36"/>
  <c r="M130" i="36"/>
  <c r="I130" i="36"/>
  <c r="G129" i="36"/>
  <c r="V68" i="42"/>
  <c r="T68" i="42"/>
  <c r="O143" i="34"/>
  <c r="P142" i="34"/>
  <c r="F38" i="35"/>
  <c r="O144" i="41"/>
  <c r="P143" i="41"/>
  <c r="Q143" i="41" s="1"/>
  <c r="P143" i="48"/>
  <c r="Q143" i="48" s="1"/>
  <c r="O144" i="48"/>
  <c r="AJ140" i="38"/>
  <c r="AJ139" i="38"/>
  <c r="AA140" i="47"/>
  <c r="AO140" i="47" s="1"/>
  <c r="AP140" i="47" s="1"/>
  <c r="W140" i="47"/>
  <c r="AA139" i="47"/>
  <c r="AO139" i="47" s="1"/>
  <c r="AP139" i="47" s="1"/>
  <c r="W139" i="47"/>
  <c r="F47" i="36"/>
  <c r="V34" i="36"/>
  <c r="V35" i="36" s="1"/>
  <c r="X35" i="36" s="1"/>
  <c r="AB35" i="36" s="1"/>
  <c r="T34" i="36"/>
  <c r="B147" i="43"/>
  <c r="A148" i="43"/>
  <c r="V122" i="38"/>
  <c r="V125" i="38" s="1"/>
  <c r="T122" i="38"/>
  <c r="T125" i="38" s="1"/>
  <c r="X124" i="38" s="1"/>
  <c r="AB124" i="38" s="1"/>
  <c r="A149" i="34"/>
  <c r="B148" i="34"/>
  <c r="AJ145" i="37"/>
  <c r="AJ144" i="37"/>
  <c r="C134" i="48"/>
  <c r="C133" i="48"/>
  <c r="T117" i="44"/>
  <c r="T120" i="44" s="1"/>
  <c r="V117" i="44"/>
  <c r="V120" i="44" s="1"/>
  <c r="AV8" i="12"/>
  <c r="V124" i="47"/>
  <c r="T124" i="47"/>
  <c r="AL144" i="42"/>
  <c r="AH144" i="42"/>
  <c r="AL145" i="42"/>
  <c r="AH145" i="42"/>
  <c r="AI142" i="42"/>
  <c r="P134" i="37"/>
  <c r="O135" i="37"/>
  <c r="P135" i="37" s="1"/>
  <c r="AW4" i="61"/>
  <c r="AN7" i="68" s="1"/>
  <c r="AX3" i="61"/>
  <c r="C22" i="50"/>
  <c r="AP4" i="7"/>
  <c r="B4" i="7"/>
  <c r="H17" i="21"/>
  <c r="I17" i="21" s="1"/>
  <c r="D17" i="21"/>
  <c r="F17" i="21" s="1"/>
  <c r="G17" i="21" s="1"/>
  <c r="O140" i="36"/>
  <c r="P140" i="36" s="1"/>
  <c r="P139" i="36"/>
  <c r="AG68" i="41"/>
  <c r="AJ144" i="31"/>
  <c r="AJ145" i="31"/>
  <c r="Y125" i="39"/>
  <c r="Z124" i="39"/>
  <c r="Z125" i="39"/>
  <c r="Y124" i="39"/>
  <c r="R122" i="39"/>
  <c r="K130" i="33"/>
  <c r="L129" i="33"/>
  <c r="D127" i="33"/>
  <c r="K129" i="33"/>
  <c r="L130" i="33"/>
  <c r="G127" i="33"/>
  <c r="O139" i="39"/>
  <c r="P138" i="39"/>
  <c r="Q138" i="39" s="1"/>
  <c r="AA9" i="14"/>
  <c r="O147" i="31"/>
  <c r="P146" i="31"/>
  <c r="T143" i="59"/>
  <c r="V143" i="59"/>
  <c r="AA162" i="59"/>
  <c r="AQ162" i="59" s="1"/>
  <c r="AR162" i="59" s="1"/>
  <c r="AA161" i="59"/>
  <c r="AQ161" i="59" s="1"/>
  <c r="AR161" i="59" s="1"/>
  <c r="O135" i="44"/>
  <c r="P135" i="44" s="1"/>
  <c r="P134" i="44"/>
  <c r="AA9" i="15"/>
  <c r="AG9" i="15" s="1"/>
  <c r="Z125" i="37"/>
  <c r="Z124" i="37"/>
  <c r="R122" i="37"/>
  <c r="Y125" i="37"/>
  <c r="Y124" i="37"/>
  <c r="V119" i="34"/>
  <c r="T119" i="34"/>
  <c r="O135" i="45"/>
  <c r="P135" i="45" s="1"/>
  <c r="P134" i="45"/>
  <c r="AA5" i="11"/>
  <c r="AG5" i="11" s="1"/>
  <c r="K130" i="44"/>
  <c r="L129" i="44"/>
  <c r="D127" i="44"/>
  <c r="K129" i="44"/>
  <c r="L130" i="44"/>
  <c r="G127" i="44"/>
  <c r="H18" i="22"/>
  <c r="I18" i="22" s="1"/>
  <c r="D18" i="22"/>
  <c r="F18" i="22" s="1"/>
  <c r="G18" i="22" s="1"/>
  <c r="M135" i="47"/>
  <c r="I135" i="47"/>
  <c r="G134" i="47"/>
  <c r="M134" i="47"/>
  <c r="I134" i="47"/>
  <c r="AL145" i="27"/>
  <c r="AH145" i="27"/>
  <c r="AI142" i="27"/>
  <c r="AL144" i="27"/>
  <c r="AH144" i="27"/>
  <c r="Q129" i="27"/>
  <c r="Q127" i="27"/>
  <c r="C134" i="26"/>
  <c r="C133" i="26"/>
  <c r="V124" i="26"/>
  <c r="T124" i="26"/>
  <c r="A145" i="34"/>
  <c r="B145" i="34" s="1"/>
  <c r="B144" i="34"/>
  <c r="I130" i="39"/>
  <c r="I129" i="39"/>
  <c r="M130" i="39"/>
  <c r="M129" i="39"/>
  <c r="G129" i="39"/>
  <c r="AV11" i="15"/>
  <c r="O147" i="33"/>
  <c r="P146" i="33"/>
  <c r="AA140" i="38"/>
  <c r="AO140" i="38" s="1"/>
  <c r="AP140" i="38" s="1"/>
  <c r="W140" i="38"/>
  <c r="AA139" i="38"/>
  <c r="AO139" i="38" s="1"/>
  <c r="AP139" i="38" s="1"/>
  <c r="W139" i="38"/>
  <c r="Q134" i="36"/>
  <c r="Q132" i="36"/>
  <c r="B147" i="46"/>
  <c r="A148" i="46"/>
  <c r="O135" i="31"/>
  <c r="P135" i="31" s="1"/>
  <c r="P134" i="31"/>
  <c r="H16" i="20"/>
  <c r="I16" i="20" s="1"/>
  <c r="D16" i="20"/>
  <c r="F16" i="20" s="1"/>
  <c r="G16" i="20" s="1"/>
  <c r="F74" i="43"/>
  <c r="J72" i="43"/>
  <c r="T124" i="38"/>
  <c r="V124" i="38"/>
  <c r="A149" i="28"/>
  <c r="B148" i="28"/>
  <c r="P134" i="46"/>
  <c r="O135" i="46"/>
  <c r="P135" i="46" s="1"/>
  <c r="F122" i="44"/>
  <c r="O139" i="45"/>
  <c r="P138" i="45"/>
  <c r="Q138" i="45" s="1"/>
  <c r="V54" i="40"/>
  <c r="V55" i="40" s="1"/>
  <c r="T54" i="40"/>
  <c r="T55" i="40" s="1"/>
  <c r="X54" i="40" s="1"/>
  <c r="AG63" i="40"/>
  <c r="F4" i="9"/>
  <c r="X122" i="50"/>
  <c r="R124" i="50"/>
  <c r="F45" i="37"/>
  <c r="AL15" i="61"/>
  <c r="AC18" i="68" s="1"/>
  <c r="C11" i="39"/>
  <c r="D72" i="39" s="1"/>
  <c r="AP15" i="18"/>
  <c r="B15" i="18"/>
  <c r="M129" i="48"/>
  <c r="I129" i="48"/>
  <c r="M130" i="48"/>
  <c r="I130" i="48"/>
  <c r="G129" i="48"/>
  <c r="P134" i="50"/>
  <c r="O135" i="50"/>
  <c r="P135" i="50" s="1"/>
  <c r="A149" i="27"/>
  <c r="B148" i="27"/>
  <c r="O143" i="37"/>
  <c r="P142" i="37"/>
  <c r="AL140" i="44"/>
  <c r="AH140" i="44"/>
  <c r="AI137" i="44"/>
  <c r="AL139" i="44"/>
  <c r="AH139" i="44"/>
  <c r="J77" i="44"/>
  <c r="AL145" i="36"/>
  <c r="AH145" i="36"/>
  <c r="AL144" i="36"/>
  <c r="AH144" i="36"/>
  <c r="AI142" i="36"/>
  <c r="AC149" i="28"/>
  <c r="AD149" i="28" s="1"/>
  <c r="AD148" i="28"/>
  <c r="AN168" i="59"/>
  <c r="AJ168" i="59"/>
  <c r="AK165" i="59"/>
  <c r="AN167" i="59"/>
  <c r="AJ167" i="59"/>
  <c r="O139" i="40"/>
  <c r="P138" i="40"/>
  <c r="Q138" i="40" s="1"/>
  <c r="AI80" i="45"/>
  <c r="P138" i="27"/>
  <c r="Q138" i="27" s="1"/>
  <c r="O139" i="27"/>
  <c r="A149" i="31"/>
  <c r="B148" i="31"/>
  <c r="F122" i="49"/>
  <c r="R129" i="26"/>
  <c r="X127" i="26"/>
  <c r="O143" i="28"/>
  <c r="P142" i="28"/>
  <c r="AJ144" i="33"/>
  <c r="AJ145" i="33"/>
  <c r="A149" i="38"/>
  <c r="B148" i="38"/>
  <c r="AE69" i="41"/>
  <c r="AG69" i="41" s="1"/>
  <c r="R68" i="41"/>
  <c r="D69" i="41"/>
  <c r="AE73" i="41"/>
  <c r="AV9" i="13"/>
  <c r="V117" i="43"/>
  <c r="V120" i="43" s="1"/>
  <c r="T117" i="43"/>
  <c r="T120" i="43" s="1"/>
  <c r="X119" i="43" s="1"/>
  <c r="AB119" i="43" s="1"/>
  <c r="R37" i="34"/>
  <c r="R33" i="34"/>
  <c r="AE34" i="34"/>
  <c r="D38" i="34"/>
  <c r="AE38" i="34"/>
  <c r="D42" i="34"/>
  <c r="F54" i="39"/>
  <c r="J52" i="39"/>
  <c r="P143" i="36"/>
  <c r="Q143" i="36" s="1"/>
  <c r="O144" i="36"/>
  <c r="D133" i="31"/>
  <c r="F133" i="31" s="1"/>
  <c r="C132" i="31"/>
  <c r="G133" i="31"/>
  <c r="C127" i="45"/>
  <c r="G128" i="45"/>
  <c r="D128" i="45"/>
  <c r="F128" i="45" s="1"/>
  <c r="O140" i="30"/>
  <c r="P140" i="30" s="1"/>
  <c r="P139" i="30"/>
  <c r="AE90" i="46"/>
  <c r="AI89" i="46" s="1"/>
  <c r="F49" i="38"/>
  <c r="J47" i="38"/>
  <c r="AJ145" i="34"/>
  <c r="AJ144" i="34"/>
  <c r="AG15" i="22"/>
  <c r="AJ144" i="30"/>
  <c r="AJ145" i="30"/>
  <c r="C134" i="37"/>
  <c r="C133" i="37"/>
  <c r="AV7" i="11"/>
  <c r="AE84" i="44"/>
  <c r="AG84" i="44" s="1"/>
  <c r="D84" i="44"/>
  <c r="R83" i="44"/>
  <c r="AE88" i="44"/>
  <c r="O139" i="37"/>
  <c r="P138" i="37"/>
  <c r="Q138" i="37" s="1"/>
  <c r="H57" i="39"/>
  <c r="P147" i="42"/>
  <c r="O148" i="42"/>
  <c r="D128" i="46"/>
  <c r="F128" i="46" s="1"/>
  <c r="C127" i="46"/>
  <c r="G128" i="46"/>
  <c r="AL145" i="32"/>
  <c r="AI142" i="32"/>
  <c r="AL144" i="32"/>
  <c r="AH144" i="32"/>
  <c r="AH145" i="32"/>
  <c r="O135" i="43"/>
  <c r="P135" i="43" s="1"/>
  <c r="P134" i="43"/>
  <c r="J95" i="47"/>
  <c r="N95" i="47" s="1"/>
  <c r="AQ95" i="47" s="1"/>
  <c r="J94" i="47"/>
  <c r="N94" i="47" s="1"/>
  <c r="AQ94" i="47" s="1"/>
  <c r="P134" i="34"/>
  <c r="O135" i="34"/>
  <c r="P135" i="34" s="1"/>
  <c r="B171" i="59"/>
  <c r="A172" i="59"/>
  <c r="A140" i="39"/>
  <c r="B140" i="39" s="1"/>
  <c r="B139" i="39"/>
  <c r="Y130" i="29"/>
  <c r="Y129" i="29"/>
  <c r="Z130" i="29"/>
  <c r="Z129" i="29"/>
  <c r="R127" i="29"/>
  <c r="AL145" i="49"/>
  <c r="AH145" i="49"/>
  <c r="AI142" i="49"/>
  <c r="AL144" i="49"/>
  <c r="AH144" i="49"/>
  <c r="C139" i="34"/>
  <c r="C138" i="34"/>
  <c r="AI75" i="44"/>
  <c r="P147" i="41"/>
  <c r="O148" i="41"/>
  <c r="A149" i="29"/>
  <c r="B148" i="29"/>
  <c r="AG20" i="61"/>
  <c r="X23" i="68" s="1"/>
  <c r="AP20" i="23"/>
  <c r="C6" i="34"/>
  <c r="B20" i="23"/>
  <c r="AV12" i="16"/>
  <c r="O147" i="43"/>
  <c r="P146" i="43"/>
  <c r="AA135" i="40"/>
  <c r="AO135" i="40" s="1"/>
  <c r="AP135" i="40" s="1"/>
  <c r="W135" i="40"/>
  <c r="AA134" i="40"/>
  <c r="AO134" i="40" s="1"/>
  <c r="AP134" i="40" s="1"/>
  <c r="W134" i="40"/>
  <c r="AL139" i="35"/>
  <c r="AH139" i="35"/>
  <c r="AL140" i="35"/>
  <c r="AH140" i="35"/>
  <c r="AI137" i="35"/>
  <c r="AL144" i="45"/>
  <c r="AH144" i="45"/>
  <c r="AH145" i="45"/>
  <c r="AL145" i="45"/>
  <c r="AI142" i="45"/>
  <c r="O143" i="45"/>
  <c r="P142" i="45"/>
  <c r="M135" i="29"/>
  <c r="I135" i="29"/>
  <c r="G134" i="29"/>
  <c r="M134" i="29"/>
  <c r="I134" i="29"/>
  <c r="H38" i="36"/>
  <c r="H40" i="36" s="1"/>
  <c r="F40" i="36"/>
  <c r="AV15" i="19"/>
  <c r="D133" i="49"/>
  <c r="F133" i="49" s="1"/>
  <c r="C132" i="49"/>
  <c r="G133" i="49"/>
  <c r="D133" i="50"/>
  <c r="F133" i="50" s="1"/>
  <c r="C132" i="50"/>
  <c r="G133" i="50"/>
  <c r="Y150" i="59"/>
  <c r="Z149" i="59"/>
  <c r="Y149" i="59"/>
  <c r="W150" i="59"/>
  <c r="R147" i="59"/>
  <c r="Z150" i="59"/>
  <c r="W149" i="59"/>
  <c r="AV5" i="9"/>
  <c r="Z125" i="33"/>
  <c r="Z124" i="33"/>
  <c r="R122" i="33"/>
  <c r="Y125" i="33"/>
  <c r="Y124" i="33"/>
  <c r="AJ144" i="48"/>
  <c r="AJ145" i="48"/>
  <c r="F122" i="29"/>
  <c r="X122" i="44"/>
  <c r="R124" i="44"/>
  <c r="P146" i="46"/>
  <c r="O147" i="46"/>
  <c r="Y6" i="11"/>
  <c r="X5" i="11" s="1"/>
  <c r="P142" i="39"/>
  <c r="O143" i="39"/>
  <c r="T83" i="45"/>
  <c r="V83" i="45"/>
  <c r="AL145" i="26"/>
  <c r="AH145" i="26"/>
  <c r="AI142" i="26"/>
  <c r="AL144" i="26"/>
  <c r="AH144" i="26"/>
  <c r="A140" i="26"/>
  <c r="B140" i="26" s="1"/>
  <c r="B139" i="26"/>
  <c r="D128" i="37"/>
  <c r="F128" i="37" s="1"/>
  <c r="C127" i="37"/>
  <c r="G128" i="37"/>
  <c r="Z130" i="30"/>
  <c r="Z129" i="30"/>
  <c r="R127" i="30"/>
  <c r="Y130" i="30"/>
  <c r="Y129" i="30"/>
  <c r="AJ140" i="29"/>
  <c r="AJ139" i="29"/>
  <c r="H74" i="44"/>
  <c r="H75" i="44" s="1"/>
  <c r="J75" i="44" s="1"/>
  <c r="F75" i="44"/>
  <c r="J74" i="44" s="1"/>
  <c r="P134" i="28"/>
  <c r="O135" i="28"/>
  <c r="P135" i="28" s="1"/>
  <c r="AF13" i="53"/>
  <c r="AR39" i="40"/>
  <c r="AT39" i="40" s="1"/>
  <c r="D6" i="40" s="1"/>
  <c r="D133" i="34"/>
  <c r="F133" i="34" s="1"/>
  <c r="C132" i="34"/>
  <c r="G133" i="34"/>
  <c r="O143" i="27"/>
  <c r="P142" i="27"/>
  <c r="X122" i="45"/>
  <c r="R124" i="45"/>
  <c r="M135" i="34"/>
  <c r="I135" i="34"/>
  <c r="G134" i="34"/>
  <c r="M134" i="34"/>
  <c r="I134" i="34"/>
  <c r="O135" i="33"/>
  <c r="P135" i="33" s="1"/>
  <c r="P134" i="33"/>
  <c r="M129" i="26"/>
  <c r="I129" i="26"/>
  <c r="M130" i="26"/>
  <c r="I130" i="26"/>
  <c r="G129" i="26"/>
  <c r="C154" i="59"/>
  <c r="C155" i="59"/>
  <c r="P143" i="30"/>
  <c r="Q143" i="30" s="1"/>
  <c r="O144" i="30"/>
  <c r="V117" i="46"/>
  <c r="V120" i="46" s="1"/>
  <c r="T117" i="46"/>
  <c r="T120" i="46" s="1"/>
  <c r="X119" i="46" s="1"/>
  <c r="AB119" i="46" s="1"/>
  <c r="Y125" i="45"/>
  <c r="Y124" i="45"/>
  <c r="Z124" i="45"/>
  <c r="Z125" i="45"/>
  <c r="R122" i="45"/>
  <c r="T117" i="27"/>
  <c r="T120" i="27" s="1"/>
  <c r="X119" i="27" s="1"/>
  <c r="AB119" i="27" s="1"/>
  <c r="V117" i="27"/>
  <c r="V120" i="27" s="1"/>
  <c r="A144" i="26"/>
  <c r="B143" i="26"/>
  <c r="L129" i="40"/>
  <c r="D127" i="40"/>
  <c r="K129" i="40"/>
  <c r="L130" i="40"/>
  <c r="G127" i="40"/>
  <c r="K130" i="40"/>
  <c r="D133" i="44"/>
  <c r="F133" i="44" s="1"/>
  <c r="C132" i="44"/>
  <c r="G133" i="44"/>
  <c r="O143" i="49"/>
  <c r="P142" i="49"/>
  <c r="AG48" i="37"/>
  <c r="A140" i="43"/>
  <c r="B140" i="43" s="1"/>
  <c r="B139" i="43"/>
  <c r="L124" i="46"/>
  <c r="D122" i="46"/>
  <c r="K124" i="46"/>
  <c r="L125" i="46"/>
  <c r="G122" i="46"/>
  <c r="K125" i="46"/>
  <c r="M134" i="27"/>
  <c r="I134" i="27"/>
  <c r="M135" i="27"/>
  <c r="I135" i="27"/>
  <c r="G134" i="27"/>
  <c r="V119" i="40"/>
  <c r="T119" i="40"/>
  <c r="C127" i="36"/>
  <c r="G128" i="36"/>
  <c r="D128" i="36"/>
  <c r="F128" i="36" s="1"/>
  <c r="C138" i="41"/>
  <c r="C139" i="41"/>
  <c r="AG98" i="46"/>
  <c r="H117" i="50"/>
  <c r="P146" i="34"/>
  <c r="O147" i="34"/>
  <c r="AG34" i="35"/>
  <c r="AG35" i="35" s="1"/>
  <c r="AE35" i="35"/>
  <c r="AI34" i="35" s="1"/>
  <c r="AM34" i="35" s="1"/>
  <c r="AS34" i="35" s="1"/>
  <c r="AL139" i="38"/>
  <c r="AH139" i="38"/>
  <c r="AL140" i="38"/>
  <c r="AH140" i="38"/>
  <c r="AI137" i="38"/>
  <c r="F122" i="47"/>
  <c r="A144" i="39"/>
  <c r="B143" i="39"/>
  <c r="O140" i="47"/>
  <c r="P140" i="47" s="1"/>
  <c r="P139" i="47"/>
  <c r="V42" i="36"/>
  <c r="T42" i="36"/>
  <c r="V38" i="36"/>
  <c r="T38" i="36"/>
  <c r="AA140" i="35"/>
  <c r="AO140" i="35" s="1"/>
  <c r="AP140" i="35" s="1"/>
  <c r="W140" i="35"/>
  <c r="AA139" i="35"/>
  <c r="AO139" i="35" s="1"/>
  <c r="AP139" i="35" s="1"/>
  <c r="W139" i="35"/>
  <c r="X127" i="35"/>
  <c r="R129" i="35"/>
  <c r="H64" i="42"/>
  <c r="H65" i="42" s="1"/>
  <c r="J65" i="42" s="1"/>
  <c r="F65" i="42"/>
  <c r="J64" i="42" s="1"/>
  <c r="AI142" i="37"/>
  <c r="AL144" i="37"/>
  <c r="AH144" i="37"/>
  <c r="AL145" i="37"/>
  <c r="AH145" i="37"/>
  <c r="AC149" i="50"/>
  <c r="AD149" i="50" s="1"/>
  <c r="AD148" i="50"/>
  <c r="AV4" i="8"/>
  <c r="AV5" i="61"/>
  <c r="AM8" i="68" s="1"/>
  <c r="AP5" i="8"/>
  <c r="Y4" i="8" s="1"/>
  <c r="C21" i="49"/>
  <c r="B5" i="8"/>
  <c r="AV17" i="21"/>
  <c r="AA140" i="36"/>
  <c r="AO140" i="36" s="1"/>
  <c r="AP140" i="36" s="1"/>
  <c r="W140" i="36"/>
  <c r="AA139" i="36"/>
  <c r="AO139" i="36" s="1"/>
  <c r="AP139" i="36" s="1"/>
  <c r="W139" i="36"/>
  <c r="F64" i="41"/>
  <c r="J62" i="41"/>
  <c r="G7" i="13"/>
  <c r="AL145" i="31"/>
  <c r="AH145" i="31"/>
  <c r="AI142" i="31"/>
  <c r="AL144" i="31"/>
  <c r="AH144" i="31"/>
  <c r="O140" i="48"/>
  <c r="P140" i="48" s="1"/>
  <c r="P139" i="48"/>
  <c r="C139" i="31"/>
  <c r="C138" i="31"/>
  <c r="H49" i="39"/>
  <c r="H50" i="39" s="1"/>
  <c r="J50" i="39" s="1"/>
  <c r="F50" i="39"/>
  <c r="J49" i="39" s="1"/>
  <c r="T122" i="36"/>
  <c r="T125" i="36" s="1"/>
  <c r="X124" i="36" s="1"/>
  <c r="AB124" i="36" s="1"/>
  <c r="V122" i="36"/>
  <c r="V125" i="36" s="1"/>
  <c r="AG45" i="37"/>
  <c r="X65" i="44"/>
  <c r="A140" i="48"/>
  <c r="B140" i="48" s="1"/>
  <c r="B139" i="48"/>
  <c r="O162" i="59"/>
  <c r="P162" i="59" s="1"/>
  <c r="P161" i="59"/>
  <c r="AA135" i="44"/>
  <c r="AO135" i="44" s="1"/>
  <c r="AP135" i="44" s="1"/>
  <c r="W135" i="44"/>
  <c r="AA134" i="44"/>
  <c r="AO134" i="44" s="1"/>
  <c r="AP134" i="44" s="1"/>
  <c r="W134" i="44"/>
  <c r="V119" i="28"/>
  <c r="T119" i="28"/>
  <c r="T122" i="42"/>
  <c r="T125" i="42" s="1"/>
  <c r="X124" i="42" s="1"/>
  <c r="AB124" i="42" s="1"/>
  <c r="V122" i="42"/>
  <c r="V125" i="42" s="1"/>
  <c r="D133" i="28"/>
  <c r="F133" i="28" s="1"/>
  <c r="C132" i="28"/>
  <c r="G133" i="28"/>
  <c r="B147" i="45"/>
  <c r="A148" i="45"/>
  <c r="AC144" i="47"/>
  <c r="AD144" i="47" s="1"/>
  <c r="AD143" i="47"/>
  <c r="AC148" i="47"/>
  <c r="A149" i="33"/>
  <c r="B148" i="33"/>
  <c r="Q127" i="34"/>
  <c r="Q129" i="34"/>
  <c r="H128" i="44"/>
  <c r="T119" i="45"/>
  <c r="V119" i="45"/>
  <c r="AH19" i="61"/>
  <c r="Y22" i="68" s="1"/>
  <c r="C7" i="35"/>
  <c r="B19" i="22"/>
  <c r="AP19" i="22"/>
  <c r="C132" i="47"/>
  <c r="D133" i="47"/>
  <c r="F133" i="47" s="1"/>
  <c r="G133" i="47"/>
  <c r="AG4" i="11"/>
  <c r="AO12" i="61"/>
  <c r="AF15" i="68" s="1"/>
  <c r="B12" i="15"/>
  <c r="C14" i="42"/>
  <c r="R69" i="42" s="1"/>
  <c r="AP12" i="15"/>
  <c r="O140" i="38"/>
  <c r="P140" i="38" s="1"/>
  <c r="P139" i="38"/>
  <c r="V119" i="43"/>
  <c r="T119" i="43"/>
  <c r="Q127" i="40"/>
  <c r="Q129" i="40"/>
  <c r="P147" i="29"/>
  <c r="O148" i="29"/>
  <c r="AA135" i="31"/>
  <c r="AO135" i="31" s="1"/>
  <c r="AP135" i="31" s="1"/>
  <c r="W135" i="31"/>
  <c r="AA134" i="31"/>
  <c r="AO134" i="31" s="1"/>
  <c r="AP134" i="31" s="1"/>
  <c r="W134" i="31"/>
  <c r="AV16" i="20"/>
  <c r="A144" i="43"/>
  <c r="B143" i="43"/>
  <c r="T73" i="43"/>
  <c r="V73" i="43"/>
  <c r="A149" i="35"/>
  <c r="B148" i="35"/>
  <c r="F122" i="35"/>
  <c r="V122" i="47"/>
  <c r="V125" i="47" s="1"/>
  <c r="T122" i="47"/>
  <c r="T125" i="47" s="1"/>
  <c r="X124" i="47" s="1"/>
  <c r="AB124" i="47" s="1"/>
  <c r="F72" i="40"/>
  <c r="V122" i="29"/>
  <c r="V125" i="29" s="1"/>
  <c r="T122" i="29"/>
  <c r="T125" i="29" s="1"/>
  <c r="X124" i="29" s="1"/>
  <c r="AB124" i="29" s="1"/>
  <c r="O135" i="49"/>
  <c r="P135" i="49" s="1"/>
  <c r="P134" i="49"/>
  <c r="Z125" i="50"/>
  <c r="Z124" i="50"/>
  <c r="R122" i="50"/>
  <c r="Y125" i="50"/>
  <c r="Y124" i="50"/>
  <c r="P147" i="35"/>
  <c r="O148" i="35"/>
  <c r="V117" i="39"/>
  <c r="V120" i="39" s="1"/>
  <c r="T117" i="39"/>
  <c r="T120" i="39" s="1"/>
  <c r="X119" i="39" s="1"/>
  <c r="AB119" i="39" s="1"/>
  <c r="V119" i="31"/>
  <c r="T119" i="31"/>
  <c r="AC144" i="41"/>
  <c r="AD144" i="41" s="1"/>
  <c r="AD143" i="41"/>
  <c r="AC148" i="41"/>
  <c r="H45" i="37"/>
  <c r="AV14" i="18"/>
  <c r="Q132" i="35"/>
  <c r="Q134" i="35"/>
  <c r="X120" i="38"/>
  <c r="AB120" i="38" s="1"/>
  <c r="AR120" i="38" s="1"/>
  <c r="K129" i="42"/>
  <c r="K130" i="42"/>
  <c r="L130" i="42"/>
  <c r="G127" i="42"/>
  <c r="L129" i="42"/>
  <c r="D127" i="42"/>
  <c r="H112" i="48"/>
  <c r="X122" i="28"/>
  <c r="R124" i="28"/>
  <c r="P146" i="37"/>
  <c r="O147" i="37"/>
  <c r="P147" i="26"/>
  <c r="O148" i="26"/>
  <c r="V119" i="50"/>
  <c r="T119" i="50"/>
  <c r="K130" i="49"/>
  <c r="L129" i="49"/>
  <c r="K129" i="49"/>
  <c r="L130" i="49"/>
  <c r="G127" i="49"/>
  <c r="D127" i="49"/>
  <c r="H78" i="44"/>
  <c r="H80" i="44" s="1"/>
  <c r="F80" i="44"/>
  <c r="T141" i="59"/>
  <c r="T144" i="59" s="1"/>
  <c r="X143" i="59" s="1"/>
  <c r="AB143" i="59" s="1"/>
  <c r="V141" i="59"/>
  <c r="V144" i="59" s="1"/>
  <c r="M135" i="38"/>
  <c r="I135" i="38"/>
  <c r="G134" i="38"/>
  <c r="M134" i="38"/>
  <c r="I134" i="38"/>
  <c r="AJ145" i="28"/>
  <c r="AJ144" i="28"/>
  <c r="AC173" i="59"/>
  <c r="AD173" i="59" s="1"/>
  <c r="AD172" i="59"/>
  <c r="C138" i="47"/>
  <c r="C139" i="47"/>
  <c r="T124" i="42"/>
  <c r="V124" i="42"/>
  <c r="A144" i="45"/>
  <c r="B143" i="45"/>
  <c r="Q129" i="43"/>
  <c r="Q127" i="43"/>
  <c r="A167" i="59"/>
  <c r="B166" i="59"/>
  <c r="A145" i="32"/>
  <c r="B145" i="32" s="1"/>
  <c r="B144" i="32"/>
  <c r="A145" i="50"/>
  <c r="B145" i="50" s="1"/>
  <c r="B144" i="50"/>
  <c r="AA4" i="10"/>
  <c r="P146" i="28"/>
  <c r="O147" i="28"/>
  <c r="AL145" i="33"/>
  <c r="AH145" i="33"/>
  <c r="AI142" i="33"/>
  <c r="AL144" i="33"/>
  <c r="AH144" i="33"/>
  <c r="B147" i="37"/>
  <c r="A148" i="37"/>
  <c r="AV13" i="17"/>
  <c r="C139" i="28"/>
  <c r="C138" i="28"/>
  <c r="A149" i="42"/>
  <c r="B148" i="42"/>
  <c r="AE89" i="45"/>
  <c r="AG89" i="45" s="1"/>
  <c r="AE93" i="45"/>
  <c r="R88" i="45"/>
  <c r="D89" i="45"/>
  <c r="K129" i="29"/>
  <c r="L130" i="29"/>
  <c r="G127" i="29"/>
  <c r="K130" i="29"/>
  <c r="L129" i="29"/>
  <c r="D127" i="29"/>
  <c r="AV20" i="24"/>
  <c r="H72" i="41"/>
  <c r="F122" i="41"/>
  <c r="F62" i="39"/>
  <c r="V53" i="39"/>
  <c r="T53" i="39"/>
  <c r="AE70" i="42"/>
  <c r="AI69" i="42" s="1"/>
  <c r="O143" i="44"/>
  <c r="P142" i="44"/>
  <c r="M134" i="31"/>
  <c r="I134" i="31"/>
  <c r="M135" i="31"/>
  <c r="I135" i="31"/>
  <c r="G134" i="31"/>
  <c r="K130" i="31"/>
  <c r="L129" i="31"/>
  <c r="D127" i="31"/>
  <c r="K129" i="31"/>
  <c r="L130" i="31"/>
  <c r="G127" i="31"/>
  <c r="O144" i="38"/>
  <c r="P143" i="38"/>
  <c r="Q143" i="38" s="1"/>
  <c r="V124" i="30"/>
  <c r="T124" i="30"/>
  <c r="AA140" i="30"/>
  <c r="AO140" i="30" s="1"/>
  <c r="AP140" i="30" s="1"/>
  <c r="W140" i="30"/>
  <c r="AA139" i="30"/>
  <c r="AO139" i="30" s="1"/>
  <c r="AP139" i="30" s="1"/>
  <c r="W139" i="30"/>
  <c r="AA14" i="19"/>
  <c r="AG14" i="19" s="1"/>
  <c r="T124" i="29"/>
  <c r="V124" i="29"/>
  <c r="A162" i="59"/>
  <c r="B162" i="59" s="1"/>
  <c r="B161" i="59"/>
  <c r="W134" i="39"/>
  <c r="W135" i="39"/>
  <c r="AA134" i="39"/>
  <c r="AO134" i="39" s="1"/>
  <c r="AP134" i="39" s="1"/>
  <c r="AA135" i="39"/>
  <c r="AO135" i="39" s="1"/>
  <c r="AP135" i="39" s="1"/>
  <c r="F57" i="38"/>
  <c r="Z125" i="43"/>
  <c r="Z124" i="43"/>
  <c r="R122" i="43"/>
  <c r="Y125" i="43"/>
  <c r="Y124" i="43"/>
  <c r="AG8" i="15"/>
  <c r="Q127" i="45"/>
  <c r="Q129" i="45"/>
  <c r="T117" i="31"/>
  <c r="T120" i="31" s="1"/>
  <c r="X119" i="31" s="1"/>
  <c r="AB119" i="31" s="1"/>
  <c r="V117" i="31"/>
  <c r="V120" i="31" s="1"/>
  <c r="AI142" i="34"/>
  <c r="AL144" i="34"/>
  <c r="AH144" i="34"/>
  <c r="AL145" i="34"/>
  <c r="AH145" i="34"/>
  <c r="Q132" i="29"/>
  <c r="Q134" i="29"/>
  <c r="AL145" i="30"/>
  <c r="AH145" i="30"/>
  <c r="AI142" i="30"/>
  <c r="AL144" i="30"/>
  <c r="AH144" i="30"/>
  <c r="X122" i="34"/>
  <c r="R124" i="34"/>
  <c r="X127" i="38"/>
  <c r="R129" i="38"/>
  <c r="H7" i="11"/>
  <c r="I7" i="11" s="1"/>
  <c r="D7" i="11"/>
  <c r="AV10" i="14"/>
  <c r="AV6" i="10"/>
  <c r="Z125" i="27"/>
  <c r="Z124" i="27"/>
  <c r="R122" i="27"/>
  <c r="Y125" i="27"/>
  <c r="Y124" i="27"/>
  <c r="X120" i="26"/>
  <c r="AB120" i="26" s="1"/>
  <c r="AR119" i="26" s="1"/>
  <c r="K129" i="41"/>
  <c r="L130" i="41"/>
  <c r="G127" i="41"/>
  <c r="K130" i="41"/>
  <c r="L129" i="41"/>
  <c r="D127" i="41"/>
  <c r="M130" i="46"/>
  <c r="I130" i="46"/>
  <c r="G129" i="46"/>
  <c r="M129" i="46"/>
  <c r="I129" i="46"/>
  <c r="AC149" i="32"/>
  <c r="AD149" i="32" s="1"/>
  <c r="AD148" i="32"/>
  <c r="AA135" i="43"/>
  <c r="AO135" i="43" s="1"/>
  <c r="AP135" i="43" s="1"/>
  <c r="W135" i="43"/>
  <c r="AA134" i="43"/>
  <c r="AO134" i="43" s="1"/>
  <c r="AP134" i="43" s="1"/>
  <c r="W134" i="43"/>
  <c r="C138" i="38"/>
  <c r="C139" i="38"/>
  <c r="AA140" i="41"/>
  <c r="AO140" i="41" s="1"/>
  <c r="AP140" i="41" s="1"/>
  <c r="W140" i="41"/>
  <c r="AA139" i="41"/>
  <c r="AO139" i="41" s="1"/>
  <c r="AP139" i="41" s="1"/>
  <c r="W139" i="41"/>
  <c r="V119" i="27"/>
  <c r="T119" i="27"/>
  <c r="Q129" i="33"/>
  <c r="Q127" i="33"/>
  <c r="B147" i="26"/>
  <c r="A148" i="26"/>
  <c r="AA140" i="29"/>
  <c r="AO140" i="29" s="1"/>
  <c r="AP140" i="29" s="1"/>
  <c r="W140" i="29"/>
  <c r="AA139" i="29"/>
  <c r="AO139" i="29" s="1"/>
  <c r="AP139" i="29" s="1"/>
  <c r="W139" i="29"/>
  <c r="A149" i="47"/>
  <c r="B148" i="47"/>
  <c r="AF14" i="21"/>
  <c r="V119" i="33"/>
  <c r="T119" i="33"/>
  <c r="V117" i="40"/>
  <c r="V120" i="40" s="1"/>
  <c r="T117" i="40"/>
  <c r="T120" i="40" s="1"/>
  <c r="X119" i="40" s="1"/>
  <c r="AB119" i="40" s="1"/>
  <c r="AF15" i="23"/>
  <c r="AG65" i="41"/>
  <c r="D39" i="35"/>
  <c r="F39" i="35" s="1"/>
  <c r="H39" i="35" s="1"/>
  <c r="AE39" i="35"/>
  <c r="AG39" i="35" s="1"/>
  <c r="D43" i="35"/>
  <c r="F43" i="35" s="1"/>
  <c r="H43" i="35" s="1"/>
  <c r="R34" i="35"/>
  <c r="AE43" i="35"/>
  <c r="R42" i="35"/>
  <c r="R38" i="35"/>
  <c r="D47" i="35"/>
  <c r="P147" i="36"/>
  <c r="O148" i="36"/>
  <c r="AE74" i="42"/>
  <c r="AG74" i="42" s="1"/>
  <c r="R73" i="42"/>
  <c r="AE78" i="42"/>
  <c r="R64" i="42"/>
  <c r="D74" i="42"/>
  <c r="D78" i="42"/>
  <c r="F122" i="32"/>
  <c r="P134" i="40"/>
  <c r="O135" i="40"/>
  <c r="P135" i="40" s="1"/>
  <c r="O135" i="27"/>
  <c r="P135" i="27" s="1"/>
  <c r="P134" i="27"/>
  <c r="K129" i="38"/>
  <c r="L130" i="38"/>
  <c r="G127" i="38"/>
  <c r="K130" i="38"/>
  <c r="L129" i="38"/>
  <c r="D127" i="38"/>
  <c r="C132" i="29"/>
  <c r="G133" i="29"/>
  <c r="D133" i="29"/>
  <c r="F133" i="29" s="1"/>
  <c r="AE59" i="39"/>
  <c r="AG59" i="39" s="1"/>
  <c r="AE63" i="39"/>
  <c r="R58" i="39"/>
  <c r="R54" i="39"/>
  <c r="D59" i="39"/>
  <c r="F59" i="39" s="1"/>
  <c r="H59" i="39" s="1"/>
  <c r="D63" i="39"/>
  <c r="F63" i="39" s="1"/>
  <c r="H63" i="39" s="1"/>
  <c r="R62" i="39"/>
  <c r="M134" i="49"/>
  <c r="I134" i="49"/>
  <c r="M135" i="49"/>
  <c r="I135" i="49"/>
  <c r="G134" i="49"/>
  <c r="M135" i="50"/>
  <c r="I135" i="50"/>
  <c r="G134" i="50"/>
  <c r="M134" i="50"/>
  <c r="I134" i="50"/>
  <c r="A140" i="46"/>
  <c r="B140" i="46" s="1"/>
  <c r="B139" i="46"/>
  <c r="R149" i="59"/>
  <c r="X147" i="59"/>
  <c r="K129" i="35"/>
  <c r="L130" i="35"/>
  <c r="G127" i="35"/>
  <c r="K130" i="35"/>
  <c r="L129" i="35"/>
  <c r="D127" i="35"/>
  <c r="X122" i="33"/>
  <c r="R124" i="33"/>
  <c r="AL145" i="48"/>
  <c r="AH145" i="48"/>
  <c r="AI142" i="48"/>
  <c r="AL144" i="48"/>
  <c r="AH144" i="48"/>
  <c r="AA140" i="42"/>
  <c r="AO140" i="42" s="1"/>
  <c r="AP140" i="42" s="1"/>
  <c r="W140" i="42"/>
  <c r="AA139" i="42"/>
  <c r="AO139" i="42" s="1"/>
  <c r="AP139" i="42" s="1"/>
  <c r="W139" i="42"/>
  <c r="AJ145" i="39"/>
  <c r="AJ144" i="39"/>
  <c r="G128" i="43"/>
  <c r="D128" i="43"/>
  <c r="F128" i="43" s="1"/>
  <c r="C127" i="43"/>
  <c r="C139" i="27"/>
  <c r="C138" i="27"/>
  <c r="C134" i="46"/>
  <c r="C133" i="46"/>
  <c r="C133" i="36"/>
  <c r="C134" i="36"/>
  <c r="P146" i="39"/>
  <c r="O147" i="39"/>
  <c r="AG88" i="45"/>
  <c r="AC149" i="26"/>
  <c r="AD149" i="26" s="1"/>
  <c r="AD148" i="26"/>
  <c r="L129" i="50"/>
  <c r="D127" i="50"/>
  <c r="K129" i="50"/>
  <c r="L130" i="50"/>
  <c r="G127" i="50"/>
  <c r="K130" i="50"/>
  <c r="Y5" i="10"/>
  <c r="M130" i="37"/>
  <c r="I130" i="37"/>
  <c r="G129" i="37"/>
  <c r="M129" i="37"/>
  <c r="I129" i="37"/>
  <c r="R129" i="30"/>
  <c r="X127" i="30"/>
  <c r="AL139" i="29"/>
  <c r="AH139" i="29"/>
  <c r="AL140" i="29"/>
  <c r="AH140" i="29"/>
  <c r="AI137" i="29"/>
  <c r="AG60" i="40"/>
  <c r="P143" i="26"/>
  <c r="Q143" i="26" s="1"/>
  <c r="O144" i="26"/>
  <c r="O144" i="42"/>
  <c r="P143" i="42"/>
  <c r="Q143" i="42" s="1"/>
  <c r="Q134" i="48"/>
  <c r="Q132" i="48"/>
  <c r="X8" i="14"/>
  <c r="G128" i="26"/>
  <c r="D128" i="26"/>
  <c r="F128" i="26" s="1"/>
  <c r="C127" i="26"/>
  <c r="AA135" i="33"/>
  <c r="AO135" i="33" s="1"/>
  <c r="AP135" i="33" s="1"/>
  <c r="W135" i="33"/>
  <c r="AA134" i="33"/>
  <c r="AO134" i="33" s="1"/>
  <c r="AP134" i="33" s="1"/>
  <c r="W134" i="33"/>
  <c r="X122" i="40"/>
  <c r="R124" i="40"/>
  <c r="AF4" i="12"/>
  <c r="AF5" i="12" s="1"/>
  <c r="O147" i="27"/>
  <c r="P146" i="27"/>
  <c r="O143" i="50"/>
  <c r="P142" i="50"/>
  <c r="H128" i="40"/>
  <c r="M134" i="44"/>
  <c r="I134" i="44"/>
  <c r="M135" i="44"/>
  <c r="I135" i="44"/>
  <c r="G134" i="44"/>
  <c r="H123" i="46"/>
  <c r="T117" i="33"/>
  <c r="T120" i="33" s="1"/>
  <c r="X119" i="33" s="1"/>
  <c r="V117" i="33"/>
  <c r="V120" i="33" s="1"/>
  <c r="L129" i="47"/>
  <c r="D127" i="47"/>
  <c r="L130" i="47"/>
  <c r="K130" i="47"/>
  <c r="K129" i="47"/>
  <c r="G127" i="47"/>
  <c r="AG83" i="44"/>
  <c r="F69" i="42"/>
  <c r="J67" i="42"/>
  <c r="J92" i="46"/>
  <c r="F89" i="46"/>
  <c r="J87" i="46"/>
  <c r="AG93" i="46"/>
  <c r="AG95" i="46" s="1"/>
  <c r="V122" i="48"/>
  <c r="V125" i="48" s="1"/>
  <c r="T122" i="48"/>
  <c r="T125" i="48" s="1"/>
  <c r="X124" i="48" s="1"/>
  <c r="AB124" i="48" s="1"/>
  <c r="V122" i="41"/>
  <c r="V125" i="41" s="1"/>
  <c r="T122" i="41"/>
  <c r="T125" i="41" s="1"/>
  <c r="X124" i="41" s="1"/>
  <c r="AB124" i="41" s="1"/>
  <c r="F122" i="31"/>
  <c r="V37" i="35"/>
  <c r="T37" i="35"/>
  <c r="AG38" i="35"/>
  <c r="AA15" i="20"/>
  <c r="O140" i="35"/>
  <c r="P140" i="35" s="1"/>
  <c r="P139" i="35"/>
  <c r="Y130" i="35"/>
  <c r="Y129" i="35"/>
  <c r="Z130" i="35"/>
  <c r="Z129" i="35"/>
  <c r="R127" i="35"/>
  <c r="H8" i="12"/>
  <c r="I8" i="12" s="1"/>
  <c r="D8" i="12"/>
  <c r="F8" i="12" s="1"/>
  <c r="G8" i="12" s="1"/>
  <c r="Q127" i="46"/>
  <c r="Q129" i="46"/>
  <c r="K130" i="27"/>
  <c r="L129" i="27"/>
  <c r="D127" i="27"/>
  <c r="K129" i="27"/>
  <c r="L130" i="27"/>
  <c r="G127" i="27"/>
  <c r="AG40" i="36"/>
  <c r="AA14" i="53"/>
  <c r="AG14" i="53" s="1"/>
  <c r="AC149" i="42"/>
  <c r="AD149" i="42" s="1"/>
  <c r="AD148" i="42"/>
  <c r="AJ145" i="50"/>
  <c r="AJ144" i="50"/>
  <c r="AI18" i="61"/>
  <c r="Z21" i="68" s="1"/>
  <c r="B18" i="21"/>
  <c r="AP18" i="21"/>
  <c r="C8" i="36"/>
  <c r="D53" i="36" s="1"/>
  <c r="F53" i="36" s="1"/>
  <c r="H53" i="36" s="1"/>
  <c r="Q132" i="41"/>
  <c r="Q134" i="41"/>
  <c r="AF14" i="20"/>
  <c r="AG10" i="17"/>
  <c r="J42" i="37"/>
  <c r="T59" i="41"/>
  <c r="T60" i="41" s="1"/>
  <c r="X59" i="41" s="1"/>
  <c r="V59" i="41"/>
  <c r="V60" i="41" s="1"/>
  <c r="O139" i="46"/>
  <c r="P138" i="46"/>
  <c r="Q138" i="46" s="1"/>
  <c r="K125" i="36"/>
  <c r="K124" i="36"/>
  <c r="L125" i="36"/>
  <c r="G122" i="36"/>
  <c r="L124" i="36"/>
  <c r="D122" i="36"/>
  <c r="C138" i="42"/>
  <c r="C139" i="42"/>
  <c r="Q129" i="49"/>
  <c r="Q127" i="49"/>
  <c r="AA140" i="48"/>
  <c r="AO140" i="48" s="1"/>
  <c r="AP140" i="48" s="1"/>
  <c r="W140" i="48"/>
  <c r="AA139" i="48"/>
  <c r="AO139" i="48" s="1"/>
  <c r="AP139" i="48" s="1"/>
  <c r="W139" i="48"/>
  <c r="X127" i="42"/>
  <c r="R129" i="42"/>
  <c r="AE45" i="37"/>
  <c r="AI44" i="37" s="1"/>
  <c r="O143" i="31"/>
  <c r="P142" i="31"/>
  <c r="O143" i="40"/>
  <c r="P142" i="40"/>
  <c r="G148" i="59"/>
  <c r="D148" i="59"/>
  <c r="F148" i="59" s="1"/>
  <c r="C147" i="59"/>
  <c r="M135" i="28"/>
  <c r="I135" i="28"/>
  <c r="G134" i="28"/>
  <c r="M134" i="28"/>
  <c r="I134" i="28"/>
  <c r="A145" i="42"/>
  <c r="B145" i="42" s="1"/>
  <c r="B144" i="42"/>
  <c r="A145" i="40"/>
  <c r="B145" i="40" s="1"/>
  <c r="B144" i="40"/>
  <c r="V119" i="46"/>
  <c r="T119" i="46"/>
  <c r="AJ140" i="47"/>
  <c r="AJ139" i="47"/>
  <c r="M135" i="35"/>
  <c r="I135" i="35"/>
  <c r="G134" i="35"/>
  <c r="M134" i="35"/>
  <c r="I134" i="35"/>
  <c r="Z150" i="32"/>
  <c r="Z149" i="32"/>
  <c r="R147" i="32"/>
  <c r="Y150" i="32"/>
  <c r="Y149" i="32"/>
  <c r="AA15" i="21"/>
  <c r="AV18" i="22"/>
  <c r="AC149" i="27"/>
  <c r="AD149" i="27" s="1"/>
  <c r="AD148" i="27"/>
  <c r="X4" i="11"/>
  <c r="X140" i="32"/>
  <c r="AB140" i="32" s="1"/>
  <c r="AR139" i="32" s="1"/>
  <c r="L129" i="34"/>
  <c r="D127" i="34"/>
  <c r="K129" i="34"/>
  <c r="L130" i="34"/>
  <c r="G127" i="34"/>
  <c r="K130" i="34"/>
  <c r="AE79" i="43"/>
  <c r="AG79" i="43" s="1"/>
  <c r="AE83" i="43"/>
  <c r="R78" i="43"/>
  <c r="R74" i="43"/>
  <c r="D79" i="43"/>
  <c r="F79" i="43" s="1"/>
  <c r="H79" i="43" s="1"/>
  <c r="O143" i="33"/>
  <c r="P142" i="33"/>
  <c r="AA8" i="13"/>
  <c r="AG8" i="13" s="1"/>
  <c r="T124" i="41"/>
  <c r="V124" i="41"/>
  <c r="AJ17" i="61"/>
  <c r="AA20" i="68" s="1"/>
  <c r="B17" i="20"/>
  <c r="C9" i="37"/>
  <c r="R49" i="37" s="1"/>
  <c r="AP17" i="20"/>
  <c r="V64" i="43"/>
  <c r="V65" i="43" s="1"/>
  <c r="T64" i="43"/>
  <c r="T65" i="43" s="1"/>
  <c r="X64" i="43" s="1"/>
  <c r="M135" i="41"/>
  <c r="I135" i="41"/>
  <c r="G134" i="41"/>
  <c r="M134" i="41"/>
  <c r="I134" i="41"/>
  <c r="F122" i="50"/>
  <c r="X75" i="45"/>
  <c r="L124" i="37"/>
  <c r="D122" i="37"/>
  <c r="K124" i="37"/>
  <c r="L125" i="37"/>
  <c r="G122" i="37"/>
  <c r="K125" i="37"/>
  <c r="P147" i="38"/>
  <c r="O148" i="38"/>
  <c r="V62" i="40"/>
  <c r="T62" i="40"/>
  <c r="T58" i="40"/>
  <c r="V58" i="40"/>
  <c r="AB40" i="39"/>
  <c r="AR40" i="39" s="1"/>
  <c r="AT40" i="39" s="1"/>
  <c r="E6" i="39" s="1"/>
  <c r="AA135" i="49"/>
  <c r="AO135" i="49" s="1"/>
  <c r="W135" i="49"/>
  <c r="AA134" i="49"/>
  <c r="AO134" i="49" s="1"/>
  <c r="W134" i="49"/>
  <c r="X40" i="38"/>
  <c r="G128" i="30"/>
  <c r="D128" i="30"/>
  <c r="F128" i="30" s="1"/>
  <c r="C127" i="30"/>
  <c r="AJ140" i="41"/>
  <c r="AJ139" i="41"/>
  <c r="AE64" i="40"/>
  <c r="AG64" i="40" s="1"/>
  <c r="AE68" i="40"/>
  <c r="D64" i="40"/>
  <c r="F64" i="40" s="1"/>
  <c r="H64" i="40" s="1"/>
  <c r="R63" i="40"/>
  <c r="R59" i="40"/>
  <c r="X122" i="46"/>
  <c r="R124" i="46"/>
  <c r="L125" i="30"/>
  <c r="G122" i="30"/>
  <c r="K125" i="30"/>
  <c r="L124" i="30"/>
  <c r="D122" i="30"/>
  <c r="K124" i="30"/>
  <c r="AF9" i="16"/>
  <c r="Z125" i="28"/>
  <c r="Z124" i="28"/>
  <c r="R122" i="28"/>
  <c r="Y125" i="28"/>
  <c r="Y124" i="28"/>
  <c r="A145" i="49"/>
  <c r="B145" i="49" s="1"/>
  <c r="B144" i="49"/>
  <c r="AC144" i="44"/>
  <c r="AD144" i="44" s="1"/>
  <c r="AD143" i="44"/>
  <c r="AC148" i="44"/>
  <c r="AE80" i="44"/>
  <c r="AI79" i="44" s="1"/>
  <c r="Y130" i="47"/>
  <c r="Z130" i="47"/>
  <c r="Z129" i="47"/>
  <c r="R127" i="47"/>
  <c r="Y129" i="47"/>
  <c r="AC149" i="36"/>
  <c r="AD149" i="36" s="1"/>
  <c r="AD148" i="36"/>
  <c r="C132" i="38"/>
  <c r="G133" i="38"/>
  <c r="D133" i="38"/>
  <c r="F133" i="38" s="1"/>
  <c r="AI142" i="28"/>
  <c r="AL144" i="28"/>
  <c r="AH144" i="28"/>
  <c r="AL145" i="28"/>
  <c r="AH145" i="28"/>
  <c r="P147" i="30"/>
  <c r="O148" i="30"/>
  <c r="T119" i="49"/>
  <c r="V119" i="49"/>
  <c r="AF7" i="14"/>
  <c r="AF8" i="14" s="1"/>
  <c r="P138" i="49"/>
  <c r="Q138" i="49" s="1"/>
  <c r="O139" i="49"/>
  <c r="V122" i="26"/>
  <c r="V125" i="26" s="1"/>
  <c r="T122" i="26"/>
  <c r="T125" i="26" s="1"/>
  <c r="X124" i="26" s="1"/>
  <c r="AB124" i="26" s="1"/>
  <c r="P171" i="59"/>
  <c r="O172" i="59"/>
  <c r="H13" i="17"/>
  <c r="I13" i="17" s="1"/>
  <c r="D13" i="17"/>
  <c r="F13" i="17" s="1"/>
  <c r="AQ10" i="61"/>
  <c r="AH13" i="68" s="1"/>
  <c r="C16" i="44"/>
  <c r="AP10" i="13"/>
  <c r="Y9" i="13" s="1"/>
  <c r="B10" i="13"/>
  <c r="F122" i="27"/>
  <c r="D20" i="24"/>
  <c r="F20" i="24" s="1"/>
  <c r="G20" i="24" s="1"/>
  <c r="H20" i="24"/>
  <c r="I20" i="24" s="1"/>
  <c r="P147" i="48"/>
  <c r="O148" i="48"/>
  <c r="V57" i="39"/>
  <c r="T57" i="39"/>
  <c r="AG58" i="39"/>
  <c r="Y125" i="49"/>
  <c r="Y124" i="49"/>
  <c r="Z125" i="49"/>
  <c r="R122" i="49"/>
  <c r="Z124" i="49"/>
  <c r="AG70" i="42"/>
  <c r="V144" i="32"/>
  <c r="T144" i="32"/>
  <c r="C139" i="40"/>
  <c r="C138" i="40"/>
  <c r="H128" i="31"/>
  <c r="X127" i="41"/>
  <c r="R129" i="41"/>
  <c r="V117" i="37"/>
  <c r="V120" i="37" s="1"/>
  <c r="T117" i="37"/>
  <c r="T120" i="37" s="1"/>
  <c r="X119" i="37" s="1"/>
  <c r="AB119" i="37" s="1"/>
  <c r="O135" i="39"/>
  <c r="P135" i="39" s="1"/>
  <c r="P134" i="39"/>
  <c r="V52" i="38"/>
  <c r="T52" i="38"/>
  <c r="AG53" i="38"/>
  <c r="O144" i="35"/>
  <c r="P143" i="35"/>
  <c r="Q143" i="35" s="1"/>
  <c r="R124" i="43"/>
  <c r="X122" i="43"/>
  <c r="X8" i="15"/>
  <c r="Y13" i="18"/>
  <c r="AC149" i="30"/>
  <c r="AD149" i="30" s="1"/>
  <c r="AD148" i="30"/>
  <c r="Z125" i="34"/>
  <c r="Z124" i="34"/>
  <c r="R122" i="34"/>
  <c r="Y125" i="34"/>
  <c r="Y124" i="34"/>
  <c r="A140" i="45"/>
  <c r="B140" i="45" s="1"/>
  <c r="B139" i="45"/>
  <c r="Y130" i="38"/>
  <c r="Y129" i="38"/>
  <c r="Z130" i="38"/>
  <c r="Z129" i="38"/>
  <c r="R127" i="38"/>
  <c r="AP11" i="61"/>
  <c r="AG14" i="68" s="1"/>
  <c r="AP11" i="14"/>
  <c r="Y10" i="14" s="1"/>
  <c r="B11" i="14"/>
  <c r="C15" i="43"/>
  <c r="AT7" i="61"/>
  <c r="AK10" i="68" s="1"/>
  <c r="AP7" i="10"/>
  <c r="B7" i="10"/>
  <c r="C19" i="47"/>
  <c r="AE108" i="47" s="1"/>
  <c r="X122" i="27"/>
  <c r="R124" i="27"/>
  <c r="A145" i="47"/>
  <c r="B145" i="47" s="1"/>
  <c r="B144" i="47"/>
  <c r="F122" i="40"/>
  <c r="Y130" i="36"/>
  <c r="Y129" i="36"/>
  <c r="Z130" i="36"/>
  <c r="R127" i="36"/>
  <c r="Z129" i="36"/>
  <c r="J69" i="43"/>
  <c r="F122" i="28"/>
  <c r="X120" i="35"/>
  <c r="AB120" i="35" s="1"/>
  <c r="AR120" i="35" s="1"/>
  <c r="AA6" i="12"/>
  <c r="O140" i="41"/>
  <c r="P140" i="41" s="1"/>
  <c r="P139" i="41"/>
  <c r="A149" i="49"/>
  <c r="B148" i="49"/>
  <c r="O140" i="29"/>
  <c r="P140" i="29" s="1"/>
  <c r="P139" i="29"/>
  <c r="AC149" i="49"/>
  <c r="AD149" i="49" s="1"/>
  <c r="AD148" i="49"/>
  <c r="O139" i="28"/>
  <c r="P138" i="28"/>
  <c r="Q138" i="28" s="1"/>
  <c r="X14" i="21"/>
  <c r="A144" i="37"/>
  <c r="B143" i="37"/>
  <c r="X5" i="12"/>
  <c r="L144" i="59"/>
  <c r="K143" i="59"/>
  <c r="K144" i="59"/>
  <c r="D141" i="59"/>
  <c r="I143" i="59"/>
  <c r="I144" i="59"/>
  <c r="L143" i="59"/>
  <c r="G141" i="59"/>
  <c r="A149" i="40"/>
  <c r="B148" i="40"/>
  <c r="V124" i="48"/>
  <c r="T124" i="48"/>
  <c r="Q132" i="38"/>
  <c r="Q134" i="38"/>
  <c r="AE65" i="41"/>
  <c r="AI64" i="41" s="1"/>
  <c r="AV19" i="23"/>
  <c r="O140" i="26"/>
  <c r="P140" i="26" s="1"/>
  <c r="P139" i="26"/>
  <c r="AN13" i="61"/>
  <c r="AE16" i="68" s="1"/>
  <c r="B13" i="16"/>
  <c r="C13" i="41"/>
  <c r="AP13" i="16"/>
  <c r="C138" i="29"/>
  <c r="C139" i="29"/>
  <c r="P142" i="43"/>
  <c r="O143" i="43"/>
  <c r="H77" i="42"/>
  <c r="V119" i="44"/>
  <c r="T119" i="44"/>
  <c r="F122" i="34"/>
  <c r="AC144" i="35"/>
  <c r="AD144" i="35" s="1"/>
  <c r="AD143" i="35"/>
  <c r="AC148" i="35"/>
  <c r="AC149" i="45"/>
  <c r="AD149" i="45" s="1"/>
  <c r="AD148" i="45"/>
  <c r="L125" i="43"/>
  <c r="G122" i="43"/>
  <c r="K125" i="43"/>
  <c r="L124" i="43"/>
  <c r="D122" i="43"/>
  <c r="K124" i="43"/>
  <c r="C139" i="32"/>
  <c r="C138" i="32"/>
  <c r="AA135" i="27"/>
  <c r="AO135" i="27" s="1"/>
  <c r="AP135" i="27" s="1"/>
  <c r="W135" i="27"/>
  <c r="AA134" i="27"/>
  <c r="AO134" i="27" s="1"/>
  <c r="AP134" i="27" s="1"/>
  <c r="W134" i="27"/>
  <c r="P146" i="45"/>
  <c r="O147" i="45"/>
  <c r="H42" i="36"/>
  <c r="D15" i="53"/>
  <c r="F15" i="53" s="1"/>
  <c r="G15" i="53" s="1"/>
  <c r="H15" i="53"/>
  <c r="I15" i="53" s="1"/>
  <c r="H15" i="19"/>
  <c r="I15" i="19" s="1"/>
  <c r="D15" i="19"/>
  <c r="F15" i="19" s="1"/>
  <c r="G15" i="19" s="1"/>
  <c r="AU6" i="61"/>
  <c r="AL9" i="68" s="1"/>
  <c r="B6" i="9"/>
  <c r="AP6" i="9"/>
  <c r="C20" i="48"/>
  <c r="O144" i="47"/>
  <c r="P143" i="47"/>
  <c r="Q143" i="47" s="1"/>
  <c r="D133" i="40"/>
  <c r="F133" i="40" s="1"/>
  <c r="C132" i="40"/>
  <c r="G133" i="40"/>
  <c r="AC149" i="48"/>
  <c r="AD149" i="48" s="1"/>
  <c r="AD148" i="48"/>
  <c r="C139" i="50"/>
  <c r="C138" i="50"/>
  <c r="O140" i="42"/>
  <c r="P140" i="42" s="1"/>
  <c r="P139" i="42"/>
  <c r="A145" i="41"/>
  <c r="B145" i="41" s="1"/>
  <c r="B144" i="41"/>
  <c r="AL145" i="39"/>
  <c r="AI142" i="39"/>
  <c r="AH144" i="39"/>
  <c r="AL144" i="39"/>
  <c r="AH145" i="39"/>
  <c r="AR120" i="29"/>
  <c r="AR119" i="29"/>
  <c r="M129" i="43"/>
  <c r="I129" i="43"/>
  <c r="M130" i="43"/>
  <c r="I130" i="43"/>
  <c r="G129" i="43"/>
  <c r="D133" i="33"/>
  <c r="F133" i="33" s="1"/>
  <c r="C132" i="33"/>
  <c r="G133" i="33"/>
  <c r="F122" i="38"/>
  <c r="B147" i="30"/>
  <c r="A148" i="30"/>
  <c r="M135" i="42"/>
  <c r="I135" i="42"/>
  <c r="G134" i="42"/>
  <c r="M134" i="42"/>
  <c r="I134" i="42"/>
  <c r="A145" i="33"/>
  <c r="B145" i="33" s="1"/>
  <c r="B144" i="33"/>
  <c r="H128" i="50"/>
  <c r="T124" i="36"/>
  <c r="V124" i="36"/>
  <c r="AE60" i="40"/>
  <c r="AI59" i="40" s="1"/>
  <c r="AK39" i="38"/>
  <c r="AM39" i="38" s="1"/>
  <c r="AS39" i="38" s="1"/>
  <c r="Z39" i="38"/>
  <c r="AB39" i="38" s="1"/>
  <c r="L44" i="38"/>
  <c r="V117" i="28"/>
  <c r="V120" i="28" s="1"/>
  <c r="T117" i="28"/>
  <c r="T120" i="28" s="1"/>
  <c r="X119" i="28" s="1"/>
  <c r="AB119" i="28" s="1"/>
  <c r="AR120" i="41"/>
  <c r="Z125" i="31"/>
  <c r="Z124" i="31"/>
  <c r="R122" i="31"/>
  <c r="Y125" i="31"/>
  <c r="Y124" i="31"/>
  <c r="J80" i="45"/>
  <c r="J79" i="45"/>
  <c r="Z125" i="40"/>
  <c r="Z124" i="40"/>
  <c r="R122" i="40"/>
  <c r="Y125" i="40"/>
  <c r="Y124" i="40"/>
  <c r="V117" i="34"/>
  <c r="V120" i="34" s="1"/>
  <c r="T117" i="34"/>
  <c r="T120" i="34" s="1"/>
  <c r="X119" i="34" s="1"/>
  <c r="AB119" i="34" s="1"/>
  <c r="G133" i="32"/>
  <c r="D133" i="32"/>
  <c r="F133" i="32" s="1"/>
  <c r="C132" i="32"/>
  <c r="A149" i="44"/>
  <c r="B148" i="44"/>
  <c r="P146" i="50"/>
  <c r="O147" i="50"/>
  <c r="Q127" i="50"/>
  <c r="Q129" i="50"/>
  <c r="Z130" i="48"/>
  <c r="Z129" i="48"/>
  <c r="R127" i="48"/>
  <c r="Y130" i="48"/>
  <c r="Y129" i="48"/>
  <c r="O147" i="49"/>
  <c r="P146" i="49"/>
  <c r="A145" i="29"/>
  <c r="B145" i="29" s="1"/>
  <c r="B144" i="29"/>
  <c r="V39" i="37"/>
  <c r="V40" i="37" s="1"/>
  <c r="T39" i="37"/>
  <c r="T40" i="37" s="1"/>
  <c r="X39" i="37" s="1"/>
  <c r="T43" i="37"/>
  <c r="V43" i="37"/>
  <c r="X10" i="16"/>
  <c r="AA10" i="16"/>
  <c r="X9" i="16"/>
  <c r="Q127" i="37"/>
  <c r="Q129" i="37"/>
  <c r="O167" i="59"/>
  <c r="P166" i="59"/>
  <c r="Q166" i="59" s="1"/>
  <c r="H128" i="47"/>
  <c r="V74" i="44"/>
  <c r="V75" i="44" s="1"/>
  <c r="T74" i="44"/>
  <c r="T75" i="44" s="1"/>
  <c r="X74" i="44" s="1"/>
  <c r="AG73" i="42"/>
  <c r="A144" i="36"/>
  <c r="B143" i="36"/>
  <c r="T88" i="46"/>
  <c r="V88" i="46"/>
  <c r="F42" i="35"/>
  <c r="V33" i="35"/>
  <c r="T33" i="35"/>
  <c r="AC144" i="38"/>
  <c r="AD144" i="38" s="1"/>
  <c r="AD143" i="38"/>
  <c r="AC148" i="38"/>
  <c r="A149" i="32"/>
  <c r="B148" i="32"/>
  <c r="A144" i="46"/>
  <c r="B143" i="46"/>
  <c r="A149" i="50"/>
  <c r="B148" i="50"/>
  <c r="AG43" i="36"/>
  <c r="C134" i="39"/>
  <c r="C133" i="39"/>
  <c r="J40" i="37"/>
  <c r="N40" i="37" s="1"/>
  <c r="AQ40" i="37" s="1"/>
  <c r="J39" i="37"/>
  <c r="N39" i="37" s="1"/>
  <c r="AQ39" i="37" s="1"/>
  <c r="AC149" i="37"/>
  <c r="AD149" i="37" s="1"/>
  <c r="AD148" i="37"/>
  <c r="P138" i="44"/>
  <c r="Q138" i="44" s="1"/>
  <c r="O139" i="44"/>
  <c r="L125" i="48"/>
  <c r="G122" i="48"/>
  <c r="K125" i="48"/>
  <c r="L124" i="48"/>
  <c r="D122" i="48"/>
  <c r="K124" i="48"/>
  <c r="AR9" i="61"/>
  <c r="AI12" i="68" s="1"/>
  <c r="C17" i="45"/>
  <c r="AE98" i="45" s="1"/>
  <c r="B9" i="12"/>
  <c r="AP9" i="12"/>
  <c r="AE40" i="36"/>
  <c r="AI39" i="36" s="1"/>
  <c r="AJ145" i="42"/>
  <c r="AJ144" i="42"/>
  <c r="AA135" i="37"/>
  <c r="AO135" i="37" s="1"/>
  <c r="AP135" i="37" s="1"/>
  <c r="W135" i="37"/>
  <c r="AA134" i="37"/>
  <c r="AO134" i="37" s="1"/>
  <c r="AP134" i="37" s="1"/>
  <c r="W134" i="37"/>
  <c r="AI142" i="50"/>
  <c r="AL144" i="50"/>
  <c r="AH144" i="50"/>
  <c r="AL145" i="50"/>
  <c r="AH145" i="50"/>
  <c r="D4" i="8"/>
  <c r="H4" i="8"/>
  <c r="I4" i="8" s="1"/>
  <c r="AE53" i="37"/>
  <c r="AE49" i="37"/>
  <c r="AG49" i="37" s="1"/>
  <c r="R48" i="37"/>
  <c r="R44" i="37"/>
  <c r="D49" i="37"/>
  <c r="F49" i="37" s="1"/>
  <c r="H49" i="37" s="1"/>
  <c r="R52" i="37"/>
  <c r="D57" i="37"/>
  <c r="X14" i="20"/>
  <c r="AF6" i="13"/>
  <c r="V63" i="41"/>
  <c r="T63" i="41"/>
  <c r="Q155" i="59"/>
  <c r="Q153" i="59"/>
  <c r="Q129" i="31"/>
  <c r="Q127" i="31"/>
  <c r="Q127" i="39"/>
  <c r="Q129" i="39"/>
  <c r="A144" i="30"/>
  <c r="B143" i="30"/>
  <c r="AC149" i="31"/>
  <c r="AD149" i="31" s="1"/>
  <c r="AD148" i="31"/>
  <c r="R124" i="39"/>
  <c r="X122" i="39"/>
  <c r="Y130" i="42"/>
  <c r="Y129" i="42"/>
  <c r="Z129" i="42"/>
  <c r="Z130" i="42"/>
  <c r="R127" i="42"/>
  <c r="L125" i="26"/>
  <c r="G122" i="26"/>
  <c r="K125" i="26"/>
  <c r="L124" i="26"/>
  <c r="D122" i="26"/>
  <c r="K124" i="26"/>
  <c r="H47" i="37"/>
  <c r="J55" i="40"/>
  <c r="J54" i="40"/>
  <c r="V117" i="50"/>
  <c r="V120" i="50" s="1"/>
  <c r="T117" i="50"/>
  <c r="T120" i="50" s="1"/>
  <c r="X119" i="50" s="1"/>
  <c r="AB119" i="50" s="1"/>
  <c r="A140" i="37"/>
  <c r="B140" i="37" s="1"/>
  <c r="B139" i="37"/>
  <c r="P146" i="40"/>
  <c r="O147" i="40"/>
  <c r="M150" i="59"/>
  <c r="G149" i="59"/>
  <c r="M149" i="59"/>
  <c r="A140" i="36"/>
  <c r="B140" i="36" s="1"/>
  <c r="B139" i="36"/>
  <c r="X122" i="37"/>
  <c r="R124" i="37"/>
  <c r="V122" i="35"/>
  <c r="V125" i="35" s="1"/>
  <c r="T122" i="35"/>
  <c r="T125" i="35" s="1"/>
  <c r="X124" i="35" s="1"/>
  <c r="AB124" i="35" s="1"/>
  <c r="AA135" i="45"/>
  <c r="AO135" i="45" s="1"/>
  <c r="AP135" i="45" s="1"/>
  <c r="W134" i="45"/>
  <c r="W135" i="45"/>
  <c r="AA134" i="45"/>
  <c r="AO134" i="45" s="1"/>
  <c r="AP134" i="45" s="1"/>
  <c r="AL139" i="47"/>
  <c r="AH139" i="47"/>
  <c r="AL140" i="47"/>
  <c r="AH140" i="47"/>
  <c r="AI137" i="47"/>
  <c r="C132" i="35"/>
  <c r="G133" i="35"/>
  <c r="D133" i="35"/>
  <c r="F133" i="35" s="1"/>
  <c r="O139" i="50"/>
  <c r="P138" i="50"/>
  <c r="Q138" i="50" s="1"/>
  <c r="R149" i="32"/>
  <c r="X147" i="32"/>
  <c r="AE48" i="36"/>
  <c r="AE44" i="36"/>
  <c r="AG44" i="36" s="1"/>
  <c r="R43" i="36"/>
  <c r="R39" i="36"/>
  <c r="D44" i="36"/>
  <c r="F44" i="36" s="1"/>
  <c r="H44" i="36" s="1"/>
  <c r="D48" i="36"/>
  <c r="F48" i="36" s="1"/>
  <c r="H48" i="36" s="1"/>
  <c r="C139" i="44"/>
  <c r="C138" i="44"/>
  <c r="AJ144" i="27"/>
  <c r="AJ145" i="27"/>
  <c r="A145" i="35"/>
  <c r="B145" i="35" s="1"/>
  <c r="B144" i="35"/>
  <c r="L125" i="39"/>
  <c r="G122" i="39"/>
  <c r="K124" i="39"/>
  <c r="D122" i="39"/>
  <c r="K125" i="39"/>
  <c r="L124" i="39"/>
  <c r="G128" i="39"/>
  <c r="D128" i="39"/>
  <c r="F128" i="39" s="1"/>
  <c r="C127" i="39"/>
  <c r="H11" i="15"/>
  <c r="I11" i="15" s="1"/>
  <c r="D11" i="15"/>
  <c r="F11" i="15" s="1"/>
  <c r="G11" i="15" s="1"/>
  <c r="O139" i="34"/>
  <c r="P138" i="34"/>
  <c r="Q138" i="34" s="1"/>
  <c r="R53" i="38"/>
  <c r="AE54" i="38"/>
  <c r="AG54" i="38" s="1"/>
  <c r="AE58" i="38"/>
  <c r="D54" i="38"/>
  <c r="D58" i="38"/>
  <c r="F58" i="38" s="1"/>
  <c r="H58" i="38" s="1"/>
  <c r="R57" i="38"/>
  <c r="D62" i="38"/>
  <c r="F78" i="43"/>
  <c r="AG78" i="43"/>
  <c r="C132" i="41"/>
  <c r="G133" i="41"/>
  <c r="D133" i="41"/>
  <c r="F133" i="41" s="1"/>
  <c r="P138" i="43"/>
  <c r="Q138" i="43" s="1"/>
  <c r="O139" i="43"/>
  <c r="AA135" i="46"/>
  <c r="AO135" i="46" s="1"/>
  <c r="AP135" i="46" s="1"/>
  <c r="W135" i="46"/>
  <c r="AA134" i="46"/>
  <c r="AO134" i="46" s="1"/>
  <c r="AP134" i="46" s="1"/>
  <c r="W134" i="46"/>
  <c r="V142" i="32"/>
  <c r="V145" i="32" s="1"/>
  <c r="T142" i="32"/>
  <c r="T145" i="32" s="1"/>
  <c r="X144" i="32" s="1"/>
  <c r="AB144" i="32" s="1"/>
  <c r="F7" i="12"/>
  <c r="T35" i="36"/>
  <c r="X34" i="36" s="1"/>
  <c r="AB34" i="36" s="1"/>
  <c r="A145" i="27"/>
  <c r="B145" i="27" s="1"/>
  <c r="B144" i="27"/>
  <c r="C139" i="33"/>
  <c r="C138" i="33"/>
  <c r="M129" i="30"/>
  <c r="I129" i="30"/>
  <c r="M130" i="30"/>
  <c r="I130" i="30"/>
  <c r="G129" i="30"/>
  <c r="AL139" i="41"/>
  <c r="AH139" i="41"/>
  <c r="AL140" i="41"/>
  <c r="AH140" i="41"/>
  <c r="AI137" i="41"/>
  <c r="H14" i="18"/>
  <c r="I14" i="18" s="1"/>
  <c r="D14" i="18"/>
  <c r="F14" i="18" s="1"/>
  <c r="G14" i="18" s="1"/>
  <c r="Z125" i="46"/>
  <c r="Z124" i="46"/>
  <c r="R122" i="46"/>
  <c r="Y125" i="46"/>
  <c r="Y124" i="46"/>
  <c r="G128" i="48"/>
  <c r="D128" i="48"/>
  <c r="F128" i="48" s="1"/>
  <c r="C127" i="48"/>
  <c r="H123" i="30"/>
  <c r="H128" i="42"/>
  <c r="A145" i="31"/>
  <c r="B145" i="31" s="1"/>
  <c r="B144" i="31"/>
  <c r="A145" i="44"/>
  <c r="B145" i="44" s="1"/>
  <c r="B144" i="44"/>
  <c r="AA135" i="50"/>
  <c r="AO135" i="50" s="1"/>
  <c r="W135" i="50"/>
  <c r="AA134" i="50"/>
  <c r="AO134" i="50" s="1"/>
  <c r="W134" i="50"/>
  <c r="F9" i="14"/>
  <c r="AJ139" i="44"/>
  <c r="AJ140" i="44"/>
  <c r="H128" i="49"/>
  <c r="AG80" i="44"/>
  <c r="R129" i="47"/>
  <c r="X127" i="47"/>
  <c r="AJ144" i="36"/>
  <c r="AJ145" i="36"/>
  <c r="A149" i="41"/>
  <c r="B148" i="41"/>
  <c r="AL167" i="59"/>
  <c r="AL168" i="59"/>
  <c r="Q132" i="42"/>
  <c r="Q134" i="42"/>
  <c r="Q134" i="26"/>
  <c r="Q132" i="26"/>
  <c r="T124" i="35"/>
  <c r="V124" i="35"/>
  <c r="C134" i="30"/>
  <c r="C133" i="30"/>
  <c r="Z130" i="26"/>
  <c r="Z129" i="26"/>
  <c r="R127" i="26"/>
  <c r="Y130" i="26"/>
  <c r="Y129" i="26"/>
  <c r="AC149" i="33"/>
  <c r="AD149" i="33" s="1"/>
  <c r="AD148" i="33"/>
  <c r="A145" i="28"/>
  <c r="B145" i="28" s="1"/>
  <c r="B144" i="28"/>
  <c r="Q132" i="47"/>
  <c r="Q134" i="47"/>
  <c r="Q127" i="28"/>
  <c r="Q129" i="28"/>
  <c r="AM14" i="61"/>
  <c r="AD17" i="68" s="1"/>
  <c r="AP14" i="17"/>
  <c r="C12" i="40"/>
  <c r="D73" i="40" s="1"/>
  <c r="F73" i="40" s="1"/>
  <c r="H73" i="40" s="1"/>
  <c r="B14" i="17"/>
  <c r="H9" i="13"/>
  <c r="I9" i="13" s="1"/>
  <c r="D9" i="13"/>
  <c r="H128" i="29"/>
  <c r="AF21" i="61"/>
  <c r="W24" i="68" s="1"/>
  <c r="AP21" i="24"/>
  <c r="C5" i="33"/>
  <c r="B21" i="24"/>
  <c r="H59" i="41"/>
  <c r="H60" i="41" s="1"/>
  <c r="J60" i="41" s="1"/>
  <c r="F60" i="41"/>
  <c r="J59" i="41" s="1"/>
  <c r="C133" i="45"/>
  <c r="C134" i="45"/>
  <c r="O144" i="29"/>
  <c r="P143" i="29"/>
  <c r="Q143" i="29" s="1"/>
  <c r="X122" i="49"/>
  <c r="R124" i="49"/>
  <c r="O147" i="44"/>
  <c r="P146" i="44"/>
  <c r="C138" i="35"/>
  <c r="C139" i="35"/>
  <c r="G9" i="15"/>
  <c r="M130" i="45"/>
  <c r="I130" i="45"/>
  <c r="G129" i="45"/>
  <c r="M129" i="45"/>
  <c r="I129" i="45"/>
  <c r="X7" i="13"/>
  <c r="AA7" i="13"/>
  <c r="AG7" i="13" s="1"/>
  <c r="A140" i="30"/>
  <c r="B140" i="30" s="1"/>
  <c r="B139" i="30"/>
  <c r="Y130" i="41"/>
  <c r="Y129" i="41"/>
  <c r="Z130" i="41"/>
  <c r="Z129" i="41"/>
  <c r="R127" i="41"/>
  <c r="AG90" i="46"/>
  <c r="AA4" i="9"/>
  <c r="T44" i="38"/>
  <c r="T45" i="38" s="1"/>
  <c r="X44" i="38" s="1"/>
  <c r="V44" i="38"/>
  <c r="V45" i="38" s="1"/>
  <c r="V48" i="38"/>
  <c r="T48" i="38"/>
  <c r="T50" i="38" s="1"/>
  <c r="X49" i="38" s="1"/>
  <c r="P147" i="47"/>
  <c r="O148" i="47"/>
  <c r="V119" i="39"/>
  <c r="T119" i="39"/>
  <c r="AC149" i="34"/>
  <c r="AD149" i="34" s="1"/>
  <c r="AD148" i="34"/>
  <c r="AS8" i="61"/>
  <c r="AJ11" i="68" s="1"/>
  <c r="B8" i="11"/>
  <c r="AP8" i="11"/>
  <c r="C18" i="46"/>
  <c r="H10" i="14"/>
  <c r="I10" i="14" s="1"/>
  <c r="D10" i="14"/>
  <c r="F10" i="14" s="1"/>
  <c r="G10" i="14" s="1"/>
  <c r="H6" i="10"/>
  <c r="I6" i="10" s="1"/>
  <c r="D6" i="10"/>
  <c r="F6" i="10" s="1"/>
  <c r="G6" i="10" s="1"/>
  <c r="P138" i="31"/>
  <c r="Q138" i="31" s="1"/>
  <c r="O139" i="31"/>
  <c r="H128" i="41"/>
  <c r="AJ145" i="32"/>
  <c r="AJ144" i="32"/>
  <c r="A145" i="38"/>
  <c r="B145" i="38" s="1"/>
  <c r="B144" i="38"/>
  <c r="L130" i="32"/>
  <c r="G127" i="32"/>
  <c r="L129" i="32"/>
  <c r="D127" i="32"/>
  <c r="K129" i="32"/>
  <c r="K130" i="32"/>
  <c r="X127" i="36"/>
  <c r="R129" i="36"/>
  <c r="C134" i="43"/>
  <c r="C133" i="43"/>
  <c r="AA135" i="34"/>
  <c r="AO135" i="34" s="1"/>
  <c r="AP135" i="34" s="1"/>
  <c r="W135" i="34"/>
  <c r="AA134" i="34"/>
  <c r="AO134" i="34" s="1"/>
  <c r="AP134" i="34" s="1"/>
  <c r="W134" i="34"/>
  <c r="F122" i="33"/>
  <c r="T117" i="49"/>
  <c r="T120" i="49" s="1"/>
  <c r="X119" i="49" s="1"/>
  <c r="AB119" i="49" s="1"/>
  <c r="V117" i="49"/>
  <c r="V120" i="49" s="1"/>
  <c r="Q129" i="44"/>
  <c r="Q127" i="44"/>
  <c r="X127" i="29"/>
  <c r="R129" i="29"/>
  <c r="C139" i="49"/>
  <c r="C138" i="49"/>
  <c r="AJ144" i="49"/>
  <c r="AJ145" i="49"/>
  <c r="B147" i="48"/>
  <c r="A148" i="48"/>
  <c r="Y10" i="15"/>
  <c r="X9" i="15" s="1"/>
  <c r="Y12" i="17"/>
  <c r="P138" i="33"/>
  <c r="Q138" i="33" s="1"/>
  <c r="O139" i="33"/>
  <c r="A148" i="36"/>
  <c r="B147" i="36"/>
  <c r="B147" i="39"/>
  <c r="A148" i="39"/>
  <c r="G4" i="10"/>
  <c r="H19" i="23"/>
  <c r="I19" i="23" s="1"/>
  <c r="D19" i="23"/>
  <c r="F19" i="23" s="1"/>
  <c r="G19" i="23" s="1"/>
  <c r="AA140" i="26"/>
  <c r="AO140" i="26" s="1"/>
  <c r="AP140" i="26" s="1"/>
  <c r="W140" i="26"/>
  <c r="AA139" i="26"/>
  <c r="AO139" i="26" s="1"/>
  <c r="AP139" i="26" s="1"/>
  <c r="W139" i="26"/>
  <c r="H12" i="16"/>
  <c r="I12" i="16" s="1"/>
  <c r="D12" i="16"/>
  <c r="F12" i="16" s="1"/>
  <c r="G12" i="16" s="1"/>
  <c r="F122" i="42"/>
  <c r="K124" i="45"/>
  <c r="L125" i="45"/>
  <c r="K125" i="45"/>
  <c r="L124" i="45"/>
  <c r="G122" i="45"/>
  <c r="D122" i="45"/>
  <c r="X119" i="44"/>
  <c r="AB119" i="44" s="1"/>
  <c r="AJ140" i="35"/>
  <c r="AJ139" i="35"/>
  <c r="Y7" i="12"/>
  <c r="X6" i="12" s="1"/>
  <c r="AJ145" i="45"/>
  <c r="AJ144" i="45"/>
  <c r="V122" i="30"/>
  <c r="V125" i="30" s="1"/>
  <c r="T122" i="30"/>
  <c r="T125" i="30" s="1"/>
  <c r="X124" i="30" s="1"/>
  <c r="AB124" i="30" s="1"/>
  <c r="H123" i="43"/>
  <c r="H128" i="38"/>
  <c r="J37" i="36"/>
  <c r="V119" i="37"/>
  <c r="T119" i="37"/>
  <c r="AV15" i="53"/>
  <c r="AK16" i="61"/>
  <c r="AB19" i="68" s="1"/>
  <c r="B16" i="19"/>
  <c r="C10" i="38"/>
  <c r="D67" i="38" s="1"/>
  <c r="F67" i="38" s="1"/>
  <c r="AP16" i="19"/>
  <c r="AP16" i="53"/>
  <c r="B16" i="53"/>
  <c r="H5" i="9"/>
  <c r="I5" i="9" s="1"/>
  <c r="D5" i="9"/>
  <c r="F5" i="9" s="1"/>
  <c r="G5" i="9" s="1"/>
  <c r="H128" i="35"/>
  <c r="M135" i="40"/>
  <c r="I135" i="40"/>
  <c r="G134" i="40"/>
  <c r="M134" i="40"/>
  <c r="I134" i="40"/>
  <c r="H44" i="38"/>
  <c r="H45" i="38" s="1"/>
  <c r="J45" i="38" s="1"/>
  <c r="F45" i="38"/>
  <c r="J44" i="38" s="1"/>
  <c r="Q134" i="30"/>
  <c r="Q132" i="30"/>
  <c r="L129" i="28"/>
  <c r="D127" i="28"/>
  <c r="K129" i="28"/>
  <c r="L130" i="28"/>
  <c r="G127" i="28"/>
  <c r="K130" i="28"/>
  <c r="Z125" i="44"/>
  <c r="Z124" i="44"/>
  <c r="R122" i="44"/>
  <c r="Y125" i="44"/>
  <c r="Y124" i="44"/>
  <c r="AC149" i="39"/>
  <c r="AD149" i="39" s="1"/>
  <c r="AD148" i="39"/>
  <c r="O143" i="46"/>
  <c r="P142" i="46"/>
  <c r="M134" i="33"/>
  <c r="I134" i="33"/>
  <c r="M135" i="33"/>
  <c r="I135" i="33"/>
  <c r="G134" i="33"/>
  <c r="C132" i="42"/>
  <c r="G133" i="42"/>
  <c r="D133" i="42"/>
  <c r="F133" i="42" s="1"/>
  <c r="AG13" i="19"/>
  <c r="F84" i="45"/>
  <c r="J82" i="45"/>
  <c r="AJ144" i="26"/>
  <c r="AJ145" i="26"/>
  <c r="AC144" i="29"/>
  <c r="AD144" i="29" s="1"/>
  <c r="AD143" i="29"/>
  <c r="AC148" i="29"/>
  <c r="H62" i="40"/>
  <c r="AA135" i="28"/>
  <c r="AO135" i="28" s="1"/>
  <c r="AP135" i="28" s="1"/>
  <c r="W135" i="28"/>
  <c r="AA134" i="28"/>
  <c r="AO134" i="28" s="1"/>
  <c r="AP134" i="28" s="1"/>
  <c r="W134" i="28"/>
  <c r="AK40" i="38"/>
  <c r="AM40" i="38" s="1"/>
  <c r="AS40" i="38" s="1"/>
  <c r="Z40" i="38"/>
  <c r="L45" i="38"/>
  <c r="EX126" i="61" l="1"/>
  <c r="AO6" i="68"/>
  <c r="L60" i="42"/>
  <c r="N60" i="42" s="1"/>
  <c r="AQ60" i="42" s="1"/>
  <c r="AI85" i="45"/>
  <c r="AE95" i="46"/>
  <c r="AI94" i="46" s="1"/>
  <c r="J59" i="40"/>
  <c r="ET151" i="61"/>
  <c r="GI151" i="61" s="1"/>
  <c r="O30" i="64" s="1"/>
  <c r="D186" i="66"/>
  <c r="L130" i="66"/>
  <c r="J130" i="66" s="1"/>
  <c r="B130" i="65" s="1"/>
  <c r="AR60" i="44"/>
  <c r="AT60" i="44" s="1"/>
  <c r="E10" i="44" s="1"/>
  <c r="Z65" i="44" s="1"/>
  <c r="AB65" i="44" s="1"/>
  <c r="V103" i="48"/>
  <c r="J105" i="49"/>
  <c r="V50" i="38"/>
  <c r="X50" i="38" s="1"/>
  <c r="J104" i="49"/>
  <c r="J102" i="48"/>
  <c r="AR44" i="41"/>
  <c r="AT44" i="41" s="1"/>
  <c r="D7" i="41" s="1"/>
  <c r="AK49" i="41" s="1"/>
  <c r="AM49" i="41" s="1"/>
  <c r="AS49" i="41" s="1"/>
  <c r="Z70" i="47"/>
  <c r="AB70" i="47" s="1"/>
  <c r="AR69" i="47" s="1"/>
  <c r="Y14" i="18"/>
  <c r="AG115" i="50"/>
  <c r="A150" i="66"/>
  <c r="B186" i="66"/>
  <c r="A186" i="66"/>
  <c r="D142" i="66"/>
  <c r="L154" i="66"/>
  <c r="D117" i="65"/>
  <c r="A117" i="65" s="1"/>
  <c r="I117" i="66"/>
  <c r="J117" i="66"/>
  <c r="B117" i="65" s="1"/>
  <c r="D109" i="66"/>
  <c r="L118" i="66"/>
  <c r="B108" i="66"/>
  <c r="A108" i="66"/>
  <c r="B130" i="66"/>
  <c r="A130" i="66"/>
  <c r="D151" i="66"/>
  <c r="A151" i="66" s="1"/>
  <c r="D131" i="66"/>
  <c r="L214" i="66"/>
  <c r="I213" i="66"/>
  <c r="J213" i="66"/>
  <c r="B213" i="65" s="1"/>
  <c r="D213" i="65"/>
  <c r="A213" i="65" s="1"/>
  <c r="T93" i="46"/>
  <c r="T69" i="43"/>
  <c r="T70" i="43" s="1"/>
  <c r="X69" i="43" s="1"/>
  <c r="X70" i="43" s="1"/>
  <c r="AR50" i="41"/>
  <c r="AE115" i="50"/>
  <c r="AI114" i="50" s="1"/>
  <c r="X100" i="49"/>
  <c r="D91" i="65"/>
  <c r="A91" i="65" s="1"/>
  <c r="J91" i="66"/>
  <c r="B91" i="65" s="1"/>
  <c r="I91" i="66"/>
  <c r="X90" i="48"/>
  <c r="J112" i="50"/>
  <c r="D119" i="65"/>
  <c r="A119" i="65" s="1"/>
  <c r="J119" i="66"/>
  <c r="B119" i="65" s="1"/>
  <c r="I119" i="66"/>
  <c r="B85" i="66"/>
  <c r="A85" i="66"/>
  <c r="A111" i="66"/>
  <c r="B111" i="66"/>
  <c r="D133" i="65"/>
  <c r="A133" i="65" s="1"/>
  <c r="J133" i="66"/>
  <c r="B133" i="65" s="1"/>
  <c r="I133" i="66"/>
  <c r="D175" i="65"/>
  <c r="A175" i="65" s="1"/>
  <c r="I175" i="66"/>
  <c r="J175" i="66"/>
  <c r="B175" i="65" s="1"/>
  <c r="D164" i="66"/>
  <c r="L176" i="66"/>
  <c r="D125" i="66"/>
  <c r="L134" i="66"/>
  <c r="D112" i="66"/>
  <c r="L120" i="66"/>
  <c r="B124" i="66"/>
  <c r="A124" i="66"/>
  <c r="A163" i="66"/>
  <c r="B163" i="66"/>
  <c r="R89" i="46"/>
  <c r="D103" i="46"/>
  <c r="F103" i="46" s="1"/>
  <c r="R102" i="46"/>
  <c r="D107" i="46"/>
  <c r="F107" i="46" s="1"/>
  <c r="CV99" i="61"/>
  <c r="D40" i="66"/>
  <c r="L42" i="66"/>
  <c r="AE104" i="47"/>
  <c r="AG104" i="47" s="1"/>
  <c r="AB16" i="48"/>
  <c r="AD16" i="48" s="1"/>
  <c r="L75" i="48"/>
  <c r="N75" i="48" s="1"/>
  <c r="AQ75" i="48" s="1"/>
  <c r="B58" i="66"/>
  <c r="A58" i="66"/>
  <c r="V97" i="45"/>
  <c r="T97" i="45"/>
  <c r="T112" i="49"/>
  <c r="V112" i="49"/>
  <c r="F113" i="49"/>
  <c r="AG118" i="50"/>
  <c r="V99" i="48"/>
  <c r="V100" i="48" s="1"/>
  <c r="T99" i="48"/>
  <c r="T100" i="48" s="1"/>
  <c r="X99" i="48" s="1"/>
  <c r="T102" i="47"/>
  <c r="V102" i="47"/>
  <c r="D41" i="65"/>
  <c r="A41" i="65" s="1"/>
  <c r="I41" i="66"/>
  <c r="J41" i="66"/>
  <c r="B41" i="65" s="1"/>
  <c r="AI110" i="50"/>
  <c r="H105" i="48"/>
  <c r="B20" i="66"/>
  <c r="A20" i="66"/>
  <c r="D363" i="66"/>
  <c r="L382" i="66"/>
  <c r="D135" i="66"/>
  <c r="L142" i="66"/>
  <c r="CT101" i="61"/>
  <c r="D78" i="66"/>
  <c r="L82" i="66"/>
  <c r="D98" i="44"/>
  <c r="F98" i="44" s="1"/>
  <c r="H98" i="44" s="1"/>
  <c r="R97" i="44"/>
  <c r="D102" i="44"/>
  <c r="F102" i="44" s="1"/>
  <c r="L202" i="66"/>
  <c r="CU100" i="61"/>
  <c r="D59" i="66"/>
  <c r="L62" i="66"/>
  <c r="L362" i="66"/>
  <c r="D382" i="66"/>
  <c r="L402" i="66"/>
  <c r="H97" i="44"/>
  <c r="F117" i="49"/>
  <c r="AG109" i="49"/>
  <c r="AG110" i="49" s="1"/>
  <c r="AE110" i="49"/>
  <c r="AI109" i="49" s="1"/>
  <c r="D201" i="65"/>
  <c r="A201" i="65" s="1"/>
  <c r="J201" i="66"/>
  <c r="B201" i="65" s="1"/>
  <c r="I201" i="66"/>
  <c r="D101" i="65"/>
  <c r="A101" i="65" s="1"/>
  <c r="I101" i="66"/>
  <c r="J101" i="66"/>
  <c r="B101" i="65" s="1"/>
  <c r="T113" i="50"/>
  <c r="V113" i="50"/>
  <c r="D381" i="65"/>
  <c r="A381" i="65" s="1"/>
  <c r="J381" i="66"/>
  <c r="B381" i="65" s="1"/>
  <c r="I381" i="66"/>
  <c r="D161" i="65"/>
  <c r="A161" i="65" s="1"/>
  <c r="J161" i="66"/>
  <c r="B161" i="65" s="1"/>
  <c r="I161" i="66"/>
  <c r="H103" i="47"/>
  <c r="B39" i="66"/>
  <c r="A39" i="66"/>
  <c r="R104" i="48"/>
  <c r="R112" i="48"/>
  <c r="D113" i="48"/>
  <c r="AE109" i="48"/>
  <c r="R108" i="48"/>
  <c r="D109" i="48"/>
  <c r="AE113" i="48"/>
  <c r="D117" i="48"/>
  <c r="CS102" i="61"/>
  <c r="D97" i="66"/>
  <c r="L102" i="66"/>
  <c r="D173" i="66"/>
  <c r="L162" i="66"/>
  <c r="R118" i="50"/>
  <c r="AE119" i="50"/>
  <c r="AG119" i="50" s="1"/>
  <c r="AE123" i="50"/>
  <c r="D119" i="50"/>
  <c r="F119" i="50" s="1"/>
  <c r="H119" i="50" s="1"/>
  <c r="R114" i="50"/>
  <c r="AB5" i="47"/>
  <c r="AD5" i="47" s="1"/>
  <c r="X7" i="47" s="1"/>
  <c r="AB16" i="47"/>
  <c r="AD16" i="47" s="1"/>
  <c r="H109" i="50"/>
  <c r="H110" i="50" s="1"/>
  <c r="J110" i="50" s="1"/>
  <c r="F110" i="50"/>
  <c r="J109" i="50" s="1"/>
  <c r="D81" i="65"/>
  <c r="A81" i="65" s="1"/>
  <c r="J81" i="66"/>
  <c r="B81" i="65" s="1"/>
  <c r="I81" i="66"/>
  <c r="V87" i="44"/>
  <c r="T87" i="44"/>
  <c r="F109" i="49"/>
  <c r="J107" i="49"/>
  <c r="AG113" i="49"/>
  <c r="B96" i="66"/>
  <c r="A96" i="66"/>
  <c r="V109" i="50"/>
  <c r="V110" i="50" s="1"/>
  <c r="T109" i="50"/>
  <c r="T110" i="50" s="1"/>
  <c r="X109" i="50" s="1"/>
  <c r="B362" i="66"/>
  <c r="A362" i="66"/>
  <c r="T107" i="48"/>
  <c r="V107" i="48"/>
  <c r="V89" i="47"/>
  <c r="V90" i="47" s="1"/>
  <c r="T89" i="47"/>
  <c r="T90" i="47" s="1"/>
  <c r="X89" i="47" s="1"/>
  <c r="D141" i="65"/>
  <c r="J141" i="66"/>
  <c r="B141" i="65" s="1"/>
  <c r="I141" i="66"/>
  <c r="A172" i="66"/>
  <c r="B172" i="66"/>
  <c r="CR103" i="61"/>
  <c r="D116" i="66"/>
  <c r="L122" i="66"/>
  <c r="R99" i="47"/>
  <c r="D108" i="47"/>
  <c r="F108" i="47" s="1"/>
  <c r="H108" i="47" s="1"/>
  <c r="R107" i="47"/>
  <c r="D112" i="47"/>
  <c r="F112" i="47" s="1"/>
  <c r="R87" i="43"/>
  <c r="D97" i="43"/>
  <c r="F97" i="43" s="1"/>
  <c r="R109" i="49"/>
  <c r="D118" i="49"/>
  <c r="F118" i="49" s="1"/>
  <c r="H118" i="49" s="1"/>
  <c r="D114" i="49"/>
  <c r="F114" i="49" s="1"/>
  <c r="H114" i="49" s="1"/>
  <c r="AE114" i="49"/>
  <c r="AG114" i="49" s="1"/>
  <c r="R113" i="49"/>
  <c r="AE118" i="49"/>
  <c r="CW98" i="61"/>
  <c r="D21" i="66"/>
  <c r="L22" i="66"/>
  <c r="D104" i="47"/>
  <c r="F104" i="47" s="1"/>
  <c r="H104" i="47" s="1"/>
  <c r="R103" i="47"/>
  <c r="V103" i="47" s="1"/>
  <c r="H99" i="48"/>
  <c r="H100" i="48" s="1"/>
  <c r="J100" i="48" s="1"/>
  <c r="F100" i="48"/>
  <c r="J99" i="48" s="1"/>
  <c r="AB15" i="48"/>
  <c r="AD15" i="48" s="1"/>
  <c r="L74" i="48"/>
  <c r="N74" i="48" s="1"/>
  <c r="AQ74" i="48" s="1"/>
  <c r="D61" i="65"/>
  <c r="A61" i="65" s="1"/>
  <c r="I61" i="66"/>
  <c r="J61" i="66"/>
  <c r="B61" i="65" s="1"/>
  <c r="B77" i="66"/>
  <c r="A77" i="66"/>
  <c r="H102" i="45"/>
  <c r="X105" i="50"/>
  <c r="V108" i="49"/>
  <c r="T108" i="49"/>
  <c r="T104" i="49"/>
  <c r="T105" i="49" s="1"/>
  <c r="X104" i="49" s="1"/>
  <c r="V104" i="49"/>
  <c r="V105" i="49" s="1"/>
  <c r="F118" i="50"/>
  <c r="H113" i="50"/>
  <c r="H115" i="50" s="1"/>
  <c r="F115" i="50"/>
  <c r="H108" i="48"/>
  <c r="H107" i="47"/>
  <c r="F105" i="48"/>
  <c r="J104" i="48" s="1"/>
  <c r="B134" i="66"/>
  <c r="A134" i="66"/>
  <c r="D21" i="65"/>
  <c r="A21" i="65" s="1"/>
  <c r="I21" i="66"/>
  <c r="J21" i="66"/>
  <c r="B21" i="65" s="1"/>
  <c r="B115" i="66"/>
  <c r="A115" i="66"/>
  <c r="AB9" i="41"/>
  <c r="AD9" i="41" s="1"/>
  <c r="L6" i="41" s="1"/>
  <c r="AP49" i="41" s="1"/>
  <c r="AT49" i="41" s="1"/>
  <c r="D8" i="41" s="1"/>
  <c r="AK50" i="41"/>
  <c r="AM50" i="41" s="1"/>
  <c r="AS50" i="41" s="1"/>
  <c r="AB10" i="41"/>
  <c r="AD10" i="41" s="1"/>
  <c r="L7" i="41" s="1"/>
  <c r="AP50" i="41" s="1"/>
  <c r="AT50" i="41" s="1"/>
  <c r="E8" i="41" s="1"/>
  <c r="AK55" i="41" s="1"/>
  <c r="AM55" i="41" s="1"/>
  <c r="AS55" i="41" s="1"/>
  <c r="AN11" i="42"/>
  <c r="CJ111" i="61"/>
  <c r="CI112" i="61"/>
  <c r="Z23" i="44"/>
  <c r="CH113" i="61"/>
  <c r="CK110" i="61"/>
  <c r="A137" i="65"/>
  <c r="CL109" i="61"/>
  <c r="CE116" i="61"/>
  <c r="CQ104" i="61"/>
  <c r="CN107" i="61"/>
  <c r="CG114" i="61"/>
  <c r="CF115" i="61"/>
  <c r="A98" i="65"/>
  <c r="CM108" i="61"/>
  <c r="CO106" i="61"/>
  <c r="CP105" i="61"/>
  <c r="A111" i="65"/>
  <c r="AL10" i="43"/>
  <c r="AL11" i="43" s="1"/>
  <c r="AJ10" i="43"/>
  <c r="AJ11" i="43" s="1"/>
  <c r="AN10" i="43" s="1"/>
  <c r="AB9" i="42"/>
  <c r="AD9" i="42" s="1"/>
  <c r="AB4" i="42"/>
  <c r="AD4" i="42" s="1"/>
  <c r="X7" i="42" s="1"/>
  <c r="L7" i="42" s="1"/>
  <c r="AP55" i="42" s="1"/>
  <c r="AB15" i="42"/>
  <c r="AD15" i="42" s="1"/>
  <c r="L70" i="44"/>
  <c r="N70" i="44" s="1"/>
  <c r="AQ70" i="44" s="1"/>
  <c r="AB10" i="44"/>
  <c r="AD10" i="44" s="1"/>
  <c r="AB5" i="44"/>
  <c r="AD5" i="44" s="1"/>
  <c r="AB16" i="44"/>
  <c r="AD16" i="44" s="1"/>
  <c r="L69" i="44"/>
  <c r="N69" i="44" s="1"/>
  <c r="AQ69" i="44" s="1"/>
  <c r="AB9" i="44"/>
  <c r="AD9" i="44" s="1"/>
  <c r="AB4" i="44"/>
  <c r="AD4" i="44" s="1"/>
  <c r="X6" i="44" s="1"/>
  <c r="AB15" i="44"/>
  <c r="AD15" i="44" s="1"/>
  <c r="AB5" i="48"/>
  <c r="AD5" i="48" s="1"/>
  <c r="AB4" i="48"/>
  <c r="AD4" i="48" s="1"/>
  <c r="J60" i="40"/>
  <c r="AI90" i="46"/>
  <c r="AV22" i="25"/>
  <c r="V32" i="33"/>
  <c r="T32" i="33"/>
  <c r="D37" i="32"/>
  <c r="F37" i="32" s="1"/>
  <c r="H37" i="32" s="1"/>
  <c r="AE33" i="32"/>
  <c r="AG33" i="32" s="1"/>
  <c r="R32" i="32"/>
  <c r="AE23" i="61"/>
  <c r="V26" i="68" s="1"/>
  <c r="AP23" i="25"/>
  <c r="C4" i="31"/>
  <c r="B23" i="25"/>
  <c r="D22" i="25"/>
  <c r="F22" i="25" s="1"/>
  <c r="G22" i="25" s="1"/>
  <c r="H22" i="25"/>
  <c r="I22" i="25" s="1"/>
  <c r="AI55" i="39"/>
  <c r="AR70" i="47"/>
  <c r="AI70" i="42"/>
  <c r="AE85" i="44"/>
  <c r="AI84" i="44" s="1"/>
  <c r="AG85" i="44"/>
  <c r="Z69" i="48"/>
  <c r="AB69" i="48" s="1"/>
  <c r="Z70" i="48"/>
  <c r="AB70" i="48" s="1"/>
  <c r="AI95" i="47"/>
  <c r="L70" i="46"/>
  <c r="N70" i="46" s="1"/>
  <c r="AQ70" i="46" s="1"/>
  <c r="L69" i="46"/>
  <c r="N69" i="46" s="1"/>
  <c r="AQ69" i="46" s="1"/>
  <c r="L59" i="42"/>
  <c r="N59" i="42" s="1"/>
  <c r="AQ59" i="42" s="1"/>
  <c r="AK54" i="42"/>
  <c r="AM54" i="42" s="1"/>
  <c r="AS54" i="42" s="1"/>
  <c r="Z54" i="42"/>
  <c r="AB54" i="42" s="1"/>
  <c r="AE90" i="45"/>
  <c r="AI89" i="45" s="1"/>
  <c r="N55" i="40"/>
  <c r="AQ55" i="40" s="1"/>
  <c r="J57" i="39"/>
  <c r="AI80" i="44"/>
  <c r="T72" i="41"/>
  <c r="AR120" i="47"/>
  <c r="AT138" i="59"/>
  <c r="H65" i="40"/>
  <c r="AE75" i="42"/>
  <c r="AI74" i="42" s="1"/>
  <c r="AG75" i="42"/>
  <c r="Y6" i="10"/>
  <c r="AR119" i="30"/>
  <c r="AI75" i="43"/>
  <c r="AR70" i="49"/>
  <c r="AI105" i="48"/>
  <c r="AG90" i="45"/>
  <c r="AR120" i="42"/>
  <c r="AR69" i="49"/>
  <c r="AE40" i="35"/>
  <c r="AI39" i="35" s="1"/>
  <c r="AI100" i="48"/>
  <c r="X85" i="46"/>
  <c r="X80" i="45"/>
  <c r="H67" i="38"/>
  <c r="R84" i="44"/>
  <c r="V49" i="37"/>
  <c r="T49" i="37"/>
  <c r="H89" i="46"/>
  <c r="H90" i="46" s="1"/>
  <c r="J90" i="46" s="1"/>
  <c r="F90" i="46"/>
  <c r="J89" i="46" s="1"/>
  <c r="H69" i="42"/>
  <c r="H70" i="42" s="1"/>
  <c r="J70" i="42" s="1"/>
  <c r="F70" i="42"/>
  <c r="R93" i="45"/>
  <c r="T93" i="45" s="1"/>
  <c r="T84" i="45"/>
  <c r="T85" i="45" s="1"/>
  <c r="X84" i="45" s="1"/>
  <c r="V84" i="45"/>
  <c r="V85" i="45" s="1"/>
  <c r="H87" i="43"/>
  <c r="H82" i="42"/>
  <c r="H68" i="40"/>
  <c r="AG103" i="47"/>
  <c r="AG105" i="47" s="1"/>
  <c r="H84" i="45"/>
  <c r="H85" i="45" s="1"/>
  <c r="F85" i="45"/>
  <c r="J84" i="45" s="1"/>
  <c r="D77" i="40"/>
  <c r="F77" i="40" s="1"/>
  <c r="Z50" i="39"/>
  <c r="AB50" i="39" s="1"/>
  <c r="L55" i="39"/>
  <c r="D94" i="45"/>
  <c r="F94" i="45" s="1"/>
  <c r="H94" i="45" s="1"/>
  <c r="AE94" i="45"/>
  <c r="AG94" i="45" s="1"/>
  <c r="Z49" i="40"/>
  <c r="AB49" i="40" s="1"/>
  <c r="L54" i="40"/>
  <c r="N54" i="40" s="1"/>
  <c r="AQ54" i="40" s="1"/>
  <c r="R47" i="34"/>
  <c r="D52" i="34"/>
  <c r="F52" i="34" s="1"/>
  <c r="D68" i="39"/>
  <c r="F68" i="39" s="1"/>
  <c r="R67" i="39"/>
  <c r="V82" i="43"/>
  <c r="T82" i="43"/>
  <c r="V77" i="42"/>
  <c r="T77" i="42"/>
  <c r="T79" i="44"/>
  <c r="T80" i="44" s="1"/>
  <c r="X79" i="44" s="1"/>
  <c r="V79" i="44"/>
  <c r="V80" i="44" s="1"/>
  <c r="AG99" i="47"/>
  <c r="AG100" i="47" s="1"/>
  <c r="AE100" i="47"/>
  <c r="AI99" i="47" s="1"/>
  <c r="AE103" i="46"/>
  <c r="R98" i="46"/>
  <c r="D99" i="46"/>
  <c r="AE99" i="46"/>
  <c r="R79" i="43"/>
  <c r="D88" i="43"/>
  <c r="F88" i="43" s="1"/>
  <c r="H88" i="43" s="1"/>
  <c r="R72" i="40"/>
  <c r="V72" i="40" s="1"/>
  <c r="D83" i="42"/>
  <c r="F83" i="42" s="1"/>
  <c r="H83" i="42" s="1"/>
  <c r="R82" i="42"/>
  <c r="D87" i="42"/>
  <c r="F87" i="42" s="1"/>
  <c r="H54" i="39"/>
  <c r="H55" i="39" s="1"/>
  <c r="F55" i="39"/>
  <c r="J54" i="39" s="1"/>
  <c r="H52" i="35"/>
  <c r="V69" i="42"/>
  <c r="V70" i="42" s="1"/>
  <c r="T69" i="42"/>
  <c r="T70" i="42" s="1"/>
  <c r="X69" i="42" s="1"/>
  <c r="T98" i="47"/>
  <c r="V98" i="47"/>
  <c r="R77" i="41"/>
  <c r="D82" i="41"/>
  <c r="F82" i="41" s="1"/>
  <c r="T47" i="35"/>
  <c r="V47" i="35"/>
  <c r="V67" i="40"/>
  <c r="T67" i="40"/>
  <c r="F99" i="47"/>
  <c r="J97" i="47"/>
  <c r="AG108" i="47"/>
  <c r="N44" i="38"/>
  <c r="AQ44" i="38" s="1"/>
  <c r="AG40" i="35"/>
  <c r="J77" i="43"/>
  <c r="H128" i="45"/>
  <c r="AI50" i="38"/>
  <c r="AK55" i="40"/>
  <c r="AM55" i="40" s="1"/>
  <c r="AS55" i="40" s="1"/>
  <c r="L60" i="40"/>
  <c r="Z55" i="40"/>
  <c r="AR119" i="36"/>
  <c r="L50" i="39"/>
  <c r="N50" i="39" s="1"/>
  <c r="AQ50" i="39" s="1"/>
  <c r="AK45" i="39"/>
  <c r="AM45" i="39" s="1"/>
  <c r="AS45" i="39" s="1"/>
  <c r="Z45" i="39"/>
  <c r="AB45" i="39" s="1"/>
  <c r="AK44" i="40"/>
  <c r="AM44" i="40" s="1"/>
  <c r="AS44" i="40" s="1"/>
  <c r="Z44" i="40"/>
  <c r="AB44" i="40" s="1"/>
  <c r="L49" i="40"/>
  <c r="N49" i="40" s="1"/>
  <c r="AQ49" i="40" s="1"/>
  <c r="AT49" i="40" s="1"/>
  <c r="D8" i="40" s="1"/>
  <c r="AK64" i="44"/>
  <c r="AM64" i="44" s="1"/>
  <c r="AS64" i="44" s="1"/>
  <c r="Z64" i="44"/>
  <c r="AB64" i="44" s="1"/>
  <c r="F65" i="40"/>
  <c r="AE60" i="39"/>
  <c r="AI59" i="39" s="1"/>
  <c r="H128" i="39"/>
  <c r="X125" i="42"/>
  <c r="AB125" i="42" s="1"/>
  <c r="X145" i="32"/>
  <c r="AB145" i="32" s="1"/>
  <c r="AR145" i="32" s="1"/>
  <c r="X125" i="26"/>
  <c r="AB125" i="26" s="1"/>
  <c r="AR125" i="26" s="1"/>
  <c r="H128" i="30"/>
  <c r="X65" i="43"/>
  <c r="H128" i="26"/>
  <c r="H133" i="44"/>
  <c r="X125" i="36"/>
  <c r="AB125" i="36" s="1"/>
  <c r="AR124" i="36" s="1"/>
  <c r="X125" i="41"/>
  <c r="AB125" i="41" s="1"/>
  <c r="AR124" i="41" s="1"/>
  <c r="X125" i="35"/>
  <c r="AB125" i="35" s="1"/>
  <c r="AR124" i="35" s="1"/>
  <c r="X120" i="43"/>
  <c r="AB120" i="43" s="1"/>
  <c r="AR120" i="43" s="1"/>
  <c r="X125" i="30"/>
  <c r="AB125" i="30" s="1"/>
  <c r="AR125" i="30" s="1"/>
  <c r="H133" i="42"/>
  <c r="N45" i="38"/>
  <c r="AQ45" i="38" s="1"/>
  <c r="AI40" i="36"/>
  <c r="H128" i="48"/>
  <c r="H133" i="40"/>
  <c r="X125" i="29"/>
  <c r="AB125" i="29" s="1"/>
  <c r="AR125" i="29" s="1"/>
  <c r="Y11" i="15"/>
  <c r="AA11" i="15" s="1"/>
  <c r="AG11" i="15" s="1"/>
  <c r="X120" i="49"/>
  <c r="AB120" i="49" s="1"/>
  <c r="AR119" i="49" s="1"/>
  <c r="X125" i="47"/>
  <c r="AB125" i="47" s="1"/>
  <c r="AR124" i="47" s="1"/>
  <c r="X120" i="28"/>
  <c r="AB120" i="28" s="1"/>
  <c r="AR120" i="28" s="1"/>
  <c r="X120" i="39"/>
  <c r="AB120" i="39" s="1"/>
  <c r="X60" i="41"/>
  <c r="X125" i="38"/>
  <c r="AB125" i="38" s="1"/>
  <c r="AR125" i="38" s="1"/>
  <c r="H133" i="27"/>
  <c r="AG55" i="38"/>
  <c r="AI60" i="40"/>
  <c r="AM60" i="40" s="1"/>
  <c r="AS60" i="40" s="1"/>
  <c r="AI65" i="41"/>
  <c r="H133" i="49"/>
  <c r="X120" i="34"/>
  <c r="AB120" i="34" s="1"/>
  <c r="AR119" i="34" s="1"/>
  <c r="AA6" i="10"/>
  <c r="AG6" i="10" s="1"/>
  <c r="AA9" i="13"/>
  <c r="AG9" i="13" s="1"/>
  <c r="X8" i="13"/>
  <c r="AA10" i="14"/>
  <c r="AG10" i="14" s="1"/>
  <c r="X9" i="14"/>
  <c r="AA14" i="18"/>
  <c r="AG14" i="18" s="1"/>
  <c r="AB119" i="33"/>
  <c r="X120" i="33"/>
  <c r="AB120" i="33" s="1"/>
  <c r="X120" i="50"/>
  <c r="AB120" i="50" s="1"/>
  <c r="AR120" i="50" s="1"/>
  <c r="X75" i="44"/>
  <c r="X120" i="37"/>
  <c r="AB120" i="37" s="1"/>
  <c r="AR119" i="37" s="1"/>
  <c r="X125" i="48"/>
  <c r="AB125" i="48" s="1"/>
  <c r="AR125" i="48" s="1"/>
  <c r="H16" i="19"/>
  <c r="I16" i="19" s="1"/>
  <c r="D16" i="19"/>
  <c r="F16" i="19" s="1"/>
  <c r="G16" i="19" s="1"/>
  <c r="G133" i="43"/>
  <c r="D133" i="43"/>
  <c r="F133" i="43" s="1"/>
  <c r="C132" i="43"/>
  <c r="AS9" i="61"/>
  <c r="AJ12" i="68" s="1"/>
  <c r="C18" i="45"/>
  <c r="B9" i="11"/>
  <c r="AP9" i="11"/>
  <c r="D21" i="24"/>
  <c r="F21" i="24" s="1"/>
  <c r="G21" i="24" s="1"/>
  <c r="H21" i="24"/>
  <c r="I21" i="24" s="1"/>
  <c r="AV14" i="17"/>
  <c r="C144" i="31"/>
  <c r="C143" i="31"/>
  <c r="H9" i="12"/>
  <c r="I9" i="12" s="1"/>
  <c r="D9" i="12"/>
  <c r="AG10" i="16"/>
  <c r="V127" i="48"/>
  <c r="V130" i="48" s="1"/>
  <c r="T127" i="48"/>
  <c r="T130" i="48" s="1"/>
  <c r="X129" i="48" s="1"/>
  <c r="AB129" i="48" s="1"/>
  <c r="AJ149" i="48"/>
  <c r="AJ150" i="48"/>
  <c r="O148" i="45"/>
  <c r="P147" i="45"/>
  <c r="M140" i="32"/>
  <c r="I140" i="32"/>
  <c r="G139" i="32"/>
  <c r="I139" i="32"/>
  <c r="M139" i="32"/>
  <c r="AL150" i="45"/>
  <c r="AH150" i="45"/>
  <c r="AL149" i="45"/>
  <c r="AH149" i="45"/>
  <c r="AI147" i="45"/>
  <c r="H122" i="34"/>
  <c r="H125" i="34" s="1"/>
  <c r="F125" i="34"/>
  <c r="M140" i="29"/>
  <c r="I140" i="29"/>
  <c r="G139" i="29"/>
  <c r="M139" i="29"/>
  <c r="I139" i="29"/>
  <c r="R64" i="41"/>
  <c r="AE74" i="41"/>
  <c r="AG74" i="41" s="1"/>
  <c r="R73" i="41"/>
  <c r="D74" i="41"/>
  <c r="AE78" i="41"/>
  <c r="D78" i="41"/>
  <c r="X132" i="38"/>
  <c r="R134" i="38"/>
  <c r="AA140" i="28"/>
  <c r="AO140" i="28" s="1"/>
  <c r="AP140" i="28" s="1"/>
  <c r="W140" i="28"/>
  <c r="AA139" i="28"/>
  <c r="AO139" i="28" s="1"/>
  <c r="AP139" i="28" s="1"/>
  <c r="W139" i="28"/>
  <c r="Q137" i="41"/>
  <c r="Q139" i="41"/>
  <c r="C143" i="47"/>
  <c r="C144" i="47"/>
  <c r="AP12" i="61"/>
  <c r="AG15" i="68" s="1"/>
  <c r="C15" i="42"/>
  <c r="AP12" i="14"/>
  <c r="Y11" i="14" s="1"/>
  <c r="B12" i="14"/>
  <c r="V127" i="38"/>
  <c r="V130" i="38" s="1"/>
  <c r="T127" i="38"/>
  <c r="T130" i="38" s="1"/>
  <c r="AJ149" i="30"/>
  <c r="AJ150" i="30"/>
  <c r="Q132" i="39"/>
  <c r="Q134" i="39"/>
  <c r="T122" i="49"/>
  <c r="T125" i="49" s="1"/>
  <c r="X124" i="49" s="1"/>
  <c r="AB124" i="49" s="1"/>
  <c r="V122" i="49"/>
  <c r="V125" i="49" s="1"/>
  <c r="P148" i="48"/>
  <c r="Q148" i="48" s="1"/>
  <c r="O149" i="48"/>
  <c r="AQ11" i="61"/>
  <c r="AH14" i="68" s="1"/>
  <c r="AP11" i="13"/>
  <c r="Y10" i="13" s="1"/>
  <c r="X9" i="13" s="1"/>
  <c r="B11" i="13"/>
  <c r="C16" i="43"/>
  <c r="O173" i="59"/>
  <c r="P173" i="59" s="1"/>
  <c r="P172" i="59"/>
  <c r="Q172" i="59" s="1"/>
  <c r="P148" i="30"/>
  <c r="Q148" i="30" s="1"/>
  <c r="O149" i="30"/>
  <c r="AC149" i="44"/>
  <c r="AD149" i="44" s="1"/>
  <c r="AD148" i="44"/>
  <c r="T63" i="40"/>
  <c r="V63" i="40"/>
  <c r="AJ18" i="61"/>
  <c r="AA21" i="68" s="1"/>
  <c r="AP18" i="20"/>
  <c r="C9" i="36"/>
  <c r="R49" i="36" s="1"/>
  <c r="B18" i="20"/>
  <c r="P143" i="31"/>
  <c r="Q143" i="31" s="1"/>
  <c r="O144" i="31"/>
  <c r="T129" i="42"/>
  <c r="V129" i="42"/>
  <c r="X127" i="49"/>
  <c r="R129" i="49"/>
  <c r="P139" i="46"/>
  <c r="O140" i="46"/>
  <c r="P140" i="46" s="1"/>
  <c r="X132" i="41"/>
  <c r="R134" i="41"/>
  <c r="AV18" i="21"/>
  <c r="AJ150" i="42"/>
  <c r="AJ149" i="42"/>
  <c r="F127" i="27"/>
  <c r="Z130" i="46"/>
  <c r="Z129" i="46"/>
  <c r="R127" i="46"/>
  <c r="Y130" i="46"/>
  <c r="Y129" i="46"/>
  <c r="AG15" i="20"/>
  <c r="F125" i="31"/>
  <c r="H122" i="31"/>
  <c r="H125" i="31" s="1"/>
  <c r="L130" i="26"/>
  <c r="G127" i="26"/>
  <c r="K130" i="26"/>
  <c r="L129" i="26"/>
  <c r="D127" i="26"/>
  <c r="K129" i="26"/>
  <c r="X5" i="10"/>
  <c r="AA5" i="10"/>
  <c r="AG5" i="10" s="1"/>
  <c r="AL150" i="26"/>
  <c r="AH150" i="26"/>
  <c r="AI147" i="26"/>
  <c r="AL149" i="26"/>
  <c r="AH149" i="26"/>
  <c r="M134" i="36"/>
  <c r="I134" i="36"/>
  <c r="M135" i="36"/>
  <c r="I135" i="36"/>
  <c r="G134" i="36"/>
  <c r="D138" i="27"/>
  <c r="F138" i="27" s="1"/>
  <c r="C137" i="27"/>
  <c r="G138" i="27"/>
  <c r="V149" i="59"/>
  <c r="T149" i="59"/>
  <c r="C139" i="46"/>
  <c r="C138" i="46"/>
  <c r="K134" i="29"/>
  <c r="L135" i="29"/>
  <c r="G132" i="29"/>
  <c r="K135" i="29"/>
  <c r="L134" i="29"/>
  <c r="D132" i="29"/>
  <c r="F78" i="42"/>
  <c r="V73" i="42"/>
  <c r="T73" i="42"/>
  <c r="F47" i="35"/>
  <c r="V34" i="35"/>
  <c r="V35" i="35" s="1"/>
  <c r="X35" i="35" s="1"/>
  <c r="AB35" i="35" s="1"/>
  <c r="T34" i="35"/>
  <c r="T35" i="35" s="1"/>
  <c r="X34" i="35" s="1"/>
  <c r="AB34" i="35" s="1"/>
  <c r="X127" i="33"/>
  <c r="R129" i="33"/>
  <c r="AR119" i="35"/>
  <c r="Y135" i="29"/>
  <c r="Y134" i="29"/>
  <c r="Z135" i="29"/>
  <c r="Z134" i="29"/>
  <c r="R132" i="29"/>
  <c r="P143" i="44"/>
  <c r="Q143" i="44" s="1"/>
  <c r="O144" i="44"/>
  <c r="H62" i="39"/>
  <c r="AG93" i="45"/>
  <c r="A150" i="42"/>
  <c r="B150" i="42" s="1"/>
  <c r="B149" i="42"/>
  <c r="A149" i="37"/>
  <c r="B148" i="37"/>
  <c r="O148" i="28"/>
  <c r="P147" i="28"/>
  <c r="X4" i="10"/>
  <c r="C144" i="32"/>
  <c r="C143" i="32"/>
  <c r="B167" i="59"/>
  <c r="A168" i="59"/>
  <c r="B168" i="59" s="1"/>
  <c r="A145" i="45"/>
  <c r="B145" i="45" s="1"/>
  <c r="B144" i="45"/>
  <c r="M140" i="47"/>
  <c r="I140" i="47"/>
  <c r="G139" i="47"/>
  <c r="M139" i="47"/>
  <c r="I139" i="47"/>
  <c r="Y135" i="35"/>
  <c r="Y134" i="35"/>
  <c r="Z135" i="35"/>
  <c r="Z134" i="35"/>
  <c r="R132" i="35"/>
  <c r="X127" i="40"/>
  <c r="R129" i="40"/>
  <c r="Q137" i="38"/>
  <c r="Q139" i="38"/>
  <c r="AE79" i="42"/>
  <c r="AG79" i="42" s="1"/>
  <c r="R78" i="42"/>
  <c r="AE83" i="42"/>
  <c r="D79" i="42"/>
  <c r="F79" i="42" s="1"/>
  <c r="H79" i="42" s="1"/>
  <c r="R74" i="42"/>
  <c r="AR140" i="32"/>
  <c r="H133" i="47"/>
  <c r="H19" i="22"/>
  <c r="I19" i="22" s="1"/>
  <c r="D19" i="22"/>
  <c r="F19" i="22" s="1"/>
  <c r="G19" i="22" s="1"/>
  <c r="Z130" i="34"/>
  <c r="Z129" i="34"/>
  <c r="R127" i="34"/>
  <c r="Y130" i="34"/>
  <c r="Y129" i="34"/>
  <c r="AC149" i="47"/>
  <c r="AD149" i="47" s="1"/>
  <c r="AD148" i="47"/>
  <c r="AV5" i="8"/>
  <c r="AI35" i="35"/>
  <c r="AM35" i="35" s="1"/>
  <c r="AS35" i="35" s="1"/>
  <c r="M140" i="41"/>
  <c r="I140" i="41"/>
  <c r="G139" i="41"/>
  <c r="M139" i="41"/>
  <c r="I139" i="41"/>
  <c r="K130" i="36"/>
  <c r="K129" i="36"/>
  <c r="L130" i="36"/>
  <c r="G127" i="36"/>
  <c r="L129" i="36"/>
  <c r="D127" i="36"/>
  <c r="AE50" i="37"/>
  <c r="AI49" i="37" s="1"/>
  <c r="K135" i="44"/>
  <c r="L134" i="44"/>
  <c r="D132" i="44"/>
  <c r="K134" i="44"/>
  <c r="L135" i="44"/>
  <c r="G132" i="44"/>
  <c r="AA145" i="30"/>
  <c r="AO145" i="30" s="1"/>
  <c r="AP145" i="30" s="1"/>
  <c r="W145" i="30"/>
  <c r="AA144" i="30"/>
  <c r="AO144" i="30" s="1"/>
  <c r="AP144" i="30" s="1"/>
  <c r="W144" i="30"/>
  <c r="H133" i="34"/>
  <c r="H128" i="37"/>
  <c r="V124" i="44"/>
  <c r="T124" i="44"/>
  <c r="H122" i="29"/>
  <c r="H125" i="29" s="1"/>
  <c r="F125" i="29"/>
  <c r="T122" i="33"/>
  <c r="T125" i="33" s="1"/>
  <c r="X124" i="33" s="1"/>
  <c r="V122" i="33"/>
  <c r="V125" i="33" s="1"/>
  <c r="V147" i="59"/>
  <c r="V150" i="59" s="1"/>
  <c r="T147" i="59"/>
  <c r="T150" i="59" s="1"/>
  <c r="P147" i="43"/>
  <c r="O148" i="43"/>
  <c r="D43" i="34"/>
  <c r="F43" i="34" s="1"/>
  <c r="H43" i="34" s="1"/>
  <c r="AE39" i="34"/>
  <c r="AG39" i="34" s="1"/>
  <c r="R34" i="34"/>
  <c r="AE43" i="34"/>
  <c r="R38" i="34"/>
  <c r="D39" i="34"/>
  <c r="F39" i="34" s="1"/>
  <c r="H39" i="34" s="1"/>
  <c r="R42" i="34"/>
  <c r="D47" i="34"/>
  <c r="A150" i="29"/>
  <c r="B150" i="29" s="1"/>
  <c r="B149" i="29"/>
  <c r="O149" i="41"/>
  <c r="P148" i="41"/>
  <c r="Q148" i="41" s="1"/>
  <c r="B172" i="59"/>
  <c r="A173" i="59"/>
  <c r="O149" i="42"/>
  <c r="P148" i="42"/>
  <c r="Q148" i="42" s="1"/>
  <c r="AR120" i="26"/>
  <c r="AA140" i="37"/>
  <c r="AO140" i="37" s="1"/>
  <c r="AP140" i="37" s="1"/>
  <c r="W140" i="37"/>
  <c r="AA139" i="37"/>
  <c r="AO139" i="37" s="1"/>
  <c r="AP139" i="37" s="1"/>
  <c r="W139" i="37"/>
  <c r="F84" i="44"/>
  <c r="J82" i="44"/>
  <c r="AF15" i="22"/>
  <c r="H133" i="31"/>
  <c r="AA145" i="36"/>
  <c r="AO145" i="36" s="1"/>
  <c r="AP145" i="36" s="1"/>
  <c r="W145" i="36"/>
  <c r="AA144" i="36"/>
  <c r="AO144" i="36" s="1"/>
  <c r="AP144" i="36" s="1"/>
  <c r="W144" i="36"/>
  <c r="AG38" i="34"/>
  <c r="V37" i="34"/>
  <c r="T37" i="34"/>
  <c r="F69" i="41"/>
  <c r="J67" i="41"/>
  <c r="A150" i="38"/>
  <c r="B150" i="38" s="1"/>
  <c r="B149" i="38"/>
  <c r="A150" i="31"/>
  <c r="B150" i="31" s="1"/>
  <c r="B149" i="31"/>
  <c r="AA140" i="27"/>
  <c r="AO140" i="27" s="1"/>
  <c r="AP140" i="27" s="1"/>
  <c r="W140" i="27"/>
  <c r="AA139" i="27"/>
  <c r="AO139" i="27" s="1"/>
  <c r="AP139" i="27" s="1"/>
  <c r="W139" i="27"/>
  <c r="H15" i="18"/>
  <c r="I15" i="18" s="1"/>
  <c r="D15" i="18"/>
  <c r="F15" i="18" s="1"/>
  <c r="G15" i="18" s="1"/>
  <c r="AE65" i="40"/>
  <c r="AI64" i="40" s="1"/>
  <c r="F125" i="44"/>
  <c r="H122" i="44"/>
  <c r="H125" i="44" s="1"/>
  <c r="A149" i="46"/>
  <c r="B148" i="46"/>
  <c r="Z130" i="27"/>
  <c r="Z129" i="27"/>
  <c r="R127" i="27"/>
  <c r="Y130" i="27"/>
  <c r="Y129" i="27"/>
  <c r="O148" i="31"/>
  <c r="P147" i="31"/>
  <c r="AG9" i="14"/>
  <c r="AG70" i="41"/>
  <c r="AX4" i="61"/>
  <c r="AY3" i="61"/>
  <c r="AP6" i="68" s="1"/>
  <c r="B4" i="6"/>
  <c r="C23" i="50"/>
  <c r="AP4" i="6"/>
  <c r="G133" i="48"/>
  <c r="D133" i="48"/>
  <c r="F133" i="48" s="1"/>
  <c r="C132" i="48"/>
  <c r="O145" i="41"/>
  <c r="P145" i="41" s="1"/>
  <c r="P144" i="41"/>
  <c r="AR119" i="48"/>
  <c r="AK40" i="37"/>
  <c r="AM40" i="37" s="1"/>
  <c r="AS40" i="37" s="1"/>
  <c r="Z40" i="37"/>
  <c r="L45" i="37"/>
  <c r="AA12" i="17"/>
  <c r="AG12" i="17" s="1"/>
  <c r="X11" i="17"/>
  <c r="O140" i="31"/>
  <c r="P140" i="31" s="1"/>
  <c r="P139" i="31"/>
  <c r="C132" i="45"/>
  <c r="G133" i="45"/>
  <c r="D133" i="45"/>
  <c r="F133" i="45" s="1"/>
  <c r="Y135" i="42"/>
  <c r="Y134" i="42"/>
  <c r="Z134" i="42"/>
  <c r="Z135" i="42"/>
  <c r="R132" i="42"/>
  <c r="V122" i="46"/>
  <c r="V125" i="46" s="1"/>
  <c r="T122" i="46"/>
  <c r="T125" i="46" s="1"/>
  <c r="X124" i="46" s="1"/>
  <c r="AB124" i="46" s="1"/>
  <c r="G7" i="12"/>
  <c r="O140" i="43"/>
  <c r="P140" i="43" s="1"/>
  <c r="P139" i="43"/>
  <c r="AA140" i="34"/>
  <c r="AO140" i="34" s="1"/>
  <c r="AP140" i="34" s="1"/>
  <c r="W140" i="34"/>
  <c r="AA139" i="34"/>
  <c r="AO139" i="34" s="1"/>
  <c r="AP139" i="34" s="1"/>
  <c r="W139" i="34"/>
  <c r="K134" i="35"/>
  <c r="L135" i="35"/>
  <c r="G132" i="35"/>
  <c r="K135" i="35"/>
  <c r="L134" i="35"/>
  <c r="D132" i="35"/>
  <c r="AI147" i="37"/>
  <c r="AL149" i="37"/>
  <c r="AH149" i="37"/>
  <c r="AL150" i="37"/>
  <c r="AH150" i="37"/>
  <c r="A150" i="50"/>
  <c r="B150" i="50" s="1"/>
  <c r="B149" i="50"/>
  <c r="A150" i="32"/>
  <c r="B150" i="32" s="1"/>
  <c r="B149" i="32"/>
  <c r="AJ145" i="29"/>
  <c r="AJ144" i="29"/>
  <c r="AV16" i="53"/>
  <c r="AK17" i="61"/>
  <c r="AB20" i="68" s="1"/>
  <c r="C10" i="37"/>
  <c r="D67" i="37" s="1"/>
  <c r="F67" i="37" s="1"/>
  <c r="B17" i="19"/>
  <c r="AP17" i="19"/>
  <c r="AP17" i="53"/>
  <c r="B17" i="53"/>
  <c r="AA7" i="12"/>
  <c r="AG7" i="12" s="1"/>
  <c r="X120" i="44"/>
  <c r="AB120" i="44" s="1"/>
  <c r="AR119" i="44" s="1"/>
  <c r="A149" i="36"/>
  <c r="B148" i="36"/>
  <c r="D138" i="49"/>
  <c r="F138" i="49" s="1"/>
  <c r="C137" i="49"/>
  <c r="G138" i="49"/>
  <c r="Z130" i="44"/>
  <c r="Z129" i="44"/>
  <c r="R127" i="44"/>
  <c r="Y130" i="44"/>
  <c r="Y129" i="44"/>
  <c r="F125" i="33"/>
  <c r="H122" i="33"/>
  <c r="H125" i="33" s="1"/>
  <c r="M134" i="43"/>
  <c r="I134" i="43"/>
  <c r="M135" i="43"/>
  <c r="I135" i="43"/>
  <c r="G134" i="43"/>
  <c r="AA140" i="31"/>
  <c r="AO140" i="31" s="1"/>
  <c r="AP140" i="31" s="1"/>
  <c r="W140" i="31"/>
  <c r="AA139" i="31"/>
  <c r="AO139" i="31" s="1"/>
  <c r="AP139" i="31" s="1"/>
  <c r="W139" i="31"/>
  <c r="AJ150" i="34"/>
  <c r="AJ149" i="34"/>
  <c r="M140" i="35"/>
  <c r="I140" i="35"/>
  <c r="G139" i="35"/>
  <c r="M139" i="35"/>
  <c r="I139" i="35"/>
  <c r="AE34" i="33"/>
  <c r="R33" i="33"/>
  <c r="AE38" i="33"/>
  <c r="D38" i="33"/>
  <c r="R37" i="33"/>
  <c r="D42" i="33"/>
  <c r="AM15" i="61"/>
  <c r="AD18" i="68" s="1"/>
  <c r="C12" i="39"/>
  <c r="B15" i="17"/>
  <c r="AP15" i="17"/>
  <c r="Y135" i="47"/>
  <c r="Y134" i="47"/>
  <c r="Z135" i="47"/>
  <c r="Z134" i="47"/>
  <c r="R132" i="47"/>
  <c r="AL150" i="33"/>
  <c r="AH150" i="33"/>
  <c r="AI147" i="33"/>
  <c r="AL149" i="33"/>
  <c r="AH149" i="33"/>
  <c r="AR35" i="36"/>
  <c r="AT35" i="36" s="1"/>
  <c r="E5" i="36" s="1"/>
  <c r="AR34" i="36"/>
  <c r="AT34" i="36" s="1"/>
  <c r="D5" i="36" s="1"/>
  <c r="AA140" i="43"/>
  <c r="AO140" i="43" s="1"/>
  <c r="AP140" i="43" s="1"/>
  <c r="W140" i="43"/>
  <c r="AA139" i="43"/>
  <c r="AO139" i="43" s="1"/>
  <c r="AP139" i="43" s="1"/>
  <c r="W139" i="43"/>
  <c r="H78" i="43"/>
  <c r="H80" i="43" s="1"/>
  <c r="F80" i="43"/>
  <c r="F54" i="38"/>
  <c r="J52" i="38"/>
  <c r="P139" i="34"/>
  <c r="O140" i="34"/>
  <c r="P140" i="34" s="1"/>
  <c r="D138" i="44"/>
  <c r="F138" i="44" s="1"/>
  <c r="C137" i="44"/>
  <c r="G138" i="44"/>
  <c r="V39" i="36"/>
  <c r="V40" i="36" s="1"/>
  <c r="T39" i="36"/>
  <c r="T40" i="36" s="1"/>
  <c r="X39" i="36" s="1"/>
  <c r="P139" i="50"/>
  <c r="O140" i="50"/>
  <c r="P140" i="50" s="1"/>
  <c r="C138" i="36"/>
  <c r="C139" i="36"/>
  <c r="O148" i="40"/>
  <c r="P147" i="40"/>
  <c r="V124" i="39"/>
  <c r="T124" i="39"/>
  <c r="A145" i="30"/>
  <c r="B145" i="30" s="1"/>
  <c r="B144" i="30"/>
  <c r="X127" i="31"/>
  <c r="R129" i="31"/>
  <c r="V44" i="37"/>
  <c r="V45" i="37" s="1"/>
  <c r="T44" i="37"/>
  <c r="T45" i="37" s="1"/>
  <c r="X44" i="37" s="1"/>
  <c r="O140" i="44"/>
  <c r="P140" i="44" s="1"/>
  <c r="P139" i="44"/>
  <c r="AE45" i="36"/>
  <c r="AI44" i="36" s="1"/>
  <c r="AC149" i="38"/>
  <c r="AD149" i="38" s="1"/>
  <c r="AD148" i="38"/>
  <c r="A145" i="36"/>
  <c r="B145" i="36" s="1"/>
  <c r="B144" i="36"/>
  <c r="AA168" i="59"/>
  <c r="AQ168" i="59" s="1"/>
  <c r="AR168" i="59" s="1"/>
  <c r="AA167" i="59"/>
  <c r="AQ167" i="59" s="1"/>
  <c r="AR167" i="59" s="1"/>
  <c r="X127" i="37"/>
  <c r="R129" i="37"/>
  <c r="X40" i="37"/>
  <c r="O148" i="49"/>
  <c r="P147" i="49"/>
  <c r="O148" i="50"/>
  <c r="P147" i="50"/>
  <c r="L135" i="32"/>
  <c r="G132" i="32"/>
  <c r="L134" i="32"/>
  <c r="D132" i="32"/>
  <c r="K134" i="32"/>
  <c r="K135" i="32"/>
  <c r="T122" i="31"/>
  <c r="T125" i="31" s="1"/>
  <c r="X124" i="31" s="1"/>
  <c r="AB124" i="31" s="1"/>
  <c r="V122" i="31"/>
  <c r="V125" i="31" s="1"/>
  <c r="K135" i="33"/>
  <c r="L134" i="33"/>
  <c r="D132" i="33"/>
  <c r="K134" i="33"/>
  <c r="L135" i="33"/>
  <c r="G132" i="33"/>
  <c r="AL150" i="48"/>
  <c r="AH150" i="48"/>
  <c r="AI147" i="48"/>
  <c r="AL149" i="48"/>
  <c r="AH149" i="48"/>
  <c r="AA145" i="47"/>
  <c r="AO145" i="47" s="1"/>
  <c r="AP145" i="47" s="1"/>
  <c r="W145" i="47"/>
  <c r="AA144" i="47"/>
  <c r="AO144" i="47" s="1"/>
  <c r="AP144" i="47" s="1"/>
  <c r="W144" i="47"/>
  <c r="AV6" i="9"/>
  <c r="AC149" i="35"/>
  <c r="AD149" i="35" s="1"/>
  <c r="AD148" i="35"/>
  <c r="C137" i="29"/>
  <c r="G138" i="29"/>
  <c r="D138" i="29"/>
  <c r="F138" i="29" s="1"/>
  <c r="H13" i="16"/>
  <c r="I13" i="16" s="1"/>
  <c r="D13" i="16"/>
  <c r="F13" i="16" s="1"/>
  <c r="G13" i="16" s="1"/>
  <c r="Q139" i="26"/>
  <c r="Q137" i="26"/>
  <c r="Y135" i="38"/>
  <c r="Y134" i="38"/>
  <c r="Z135" i="38"/>
  <c r="Z134" i="38"/>
  <c r="R132" i="38"/>
  <c r="A150" i="40"/>
  <c r="B150" i="40" s="1"/>
  <c r="B149" i="40"/>
  <c r="P139" i="28"/>
  <c r="O140" i="28"/>
  <c r="P140" i="28" s="1"/>
  <c r="X120" i="27"/>
  <c r="AB120" i="27" s="1"/>
  <c r="AR119" i="27" s="1"/>
  <c r="H122" i="28"/>
  <c r="H125" i="28" s="1"/>
  <c r="F125" i="28"/>
  <c r="H122" i="40"/>
  <c r="H125" i="40" s="1"/>
  <c r="F125" i="40"/>
  <c r="V124" i="27"/>
  <c r="T124" i="27"/>
  <c r="H7" i="10"/>
  <c r="I7" i="10" s="1"/>
  <c r="D7" i="10"/>
  <c r="F7" i="10" s="1"/>
  <c r="AE84" i="43"/>
  <c r="AG84" i="43" s="1"/>
  <c r="AE88" i="43"/>
  <c r="R83" i="43"/>
  <c r="D84" i="43"/>
  <c r="V122" i="34"/>
  <c r="V125" i="34" s="1"/>
  <c r="T122" i="34"/>
  <c r="T125" i="34" s="1"/>
  <c r="X124" i="34" s="1"/>
  <c r="AB124" i="34" s="1"/>
  <c r="AL150" i="30"/>
  <c r="AH150" i="30"/>
  <c r="AI147" i="30"/>
  <c r="AL149" i="30"/>
  <c r="AH149" i="30"/>
  <c r="V124" i="43"/>
  <c r="T124" i="43"/>
  <c r="AE55" i="38"/>
  <c r="AI54" i="38" s="1"/>
  <c r="D138" i="40"/>
  <c r="F138" i="40" s="1"/>
  <c r="C137" i="40"/>
  <c r="G138" i="40"/>
  <c r="AG60" i="39"/>
  <c r="H10" i="13"/>
  <c r="I10" i="13" s="1"/>
  <c r="D10" i="13"/>
  <c r="F10" i="13" s="1"/>
  <c r="G10" i="13" s="1"/>
  <c r="K134" i="38"/>
  <c r="L135" i="38"/>
  <c r="G132" i="38"/>
  <c r="K135" i="38"/>
  <c r="L134" i="38"/>
  <c r="D132" i="38"/>
  <c r="V127" i="47"/>
  <c r="V130" i="47" s="1"/>
  <c r="T127" i="47"/>
  <c r="T130" i="47" s="1"/>
  <c r="X129" i="47" s="1"/>
  <c r="AB129" i="47" s="1"/>
  <c r="AJ144" i="44"/>
  <c r="AJ145" i="44"/>
  <c r="C144" i="49"/>
  <c r="C143" i="49"/>
  <c r="O149" i="38"/>
  <c r="P148" i="38"/>
  <c r="Q148" i="38" s="1"/>
  <c r="AV17" i="20"/>
  <c r="V74" i="43"/>
  <c r="V75" i="43" s="1"/>
  <c r="T74" i="43"/>
  <c r="F127" i="34"/>
  <c r="M140" i="42"/>
  <c r="I140" i="42"/>
  <c r="G139" i="42"/>
  <c r="M139" i="42"/>
  <c r="I139" i="42"/>
  <c r="F122" i="36"/>
  <c r="J45" i="37"/>
  <c r="J44" i="37"/>
  <c r="AF10" i="17"/>
  <c r="AF11" i="17" s="1"/>
  <c r="Y135" i="41"/>
  <c r="Y134" i="41"/>
  <c r="Z135" i="41"/>
  <c r="Z134" i="41"/>
  <c r="R132" i="41"/>
  <c r="H18" i="21"/>
  <c r="I18" i="21" s="1"/>
  <c r="D18" i="21"/>
  <c r="F18" i="21" s="1"/>
  <c r="G18" i="21" s="1"/>
  <c r="AL149" i="42"/>
  <c r="AH149" i="42"/>
  <c r="AL150" i="42"/>
  <c r="AH150" i="42"/>
  <c r="AI147" i="42"/>
  <c r="Q137" i="35"/>
  <c r="Q139" i="35"/>
  <c r="J69" i="42"/>
  <c r="O148" i="27"/>
  <c r="P147" i="27"/>
  <c r="V124" i="40"/>
  <c r="T124" i="40"/>
  <c r="Z135" i="48"/>
  <c r="Z134" i="48"/>
  <c r="R132" i="48"/>
  <c r="Y135" i="48"/>
  <c r="Y134" i="48"/>
  <c r="AA145" i="42"/>
  <c r="AO145" i="42" s="1"/>
  <c r="AP145" i="42" s="1"/>
  <c r="W145" i="42"/>
  <c r="AA144" i="42"/>
  <c r="AO144" i="42" s="1"/>
  <c r="AP144" i="42" s="1"/>
  <c r="W144" i="42"/>
  <c r="V129" i="30"/>
  <c r="T129" i="30"/>
  <c r="F127" i="50"/>
  <c r="C132" i="36"/>
  <c r="G133" i="36"/>
  <c r="D133" i="36"/>
  <c r="F133" i="36" s="1"/>
  <c r="M139" i="27"/>
  <c r="I139" i="27"/>
  <c r="M140" i="27"/>
  <c r="I140" i="27"/>
  <c r="G139" i="27"/>
  <c r="F127" i="35"/>
  <c r="F72" i="39"/>
  <c r="V54" i="39"/>
  <c r="V55" i="39" s="1"/>
  <c r="T54" i="39"/>
  <c r="T55" i="39" s="1"/>
  <c r="X54" i="39" s="1"/>
  <c r="J42" i="36"/>
  <c r="F127" i="38"/>
  <c r="Q132" i="40"/>
  <c r="Q134" i="40"/>
  <c r="F74" i="42"/>
  <c r="J72" i="42"/>
  <c r="V38" i="35"/>
  <c r="T38" i="35"/>
  <c r="A149" i="26"/>
  <c r="B148" i="26"/>
  <c r="M140" i="38"/>
  <c r="I140" i="38"/>
  <c r="G139" i="38"/>
  <c r="M139" i="38"/>
  <c r="I139" i="38"/>
  <c r="AJ149" i="32"/>
  <c r="AJ150" i="32"/>
  <c r="F127" i="41"/>
  <c r="T129" i="38"/>
  <c r="V129" i="38"/>
  <c r="AF8" i="15"/>
  <c r="V122" i="43"/>
  <c r="V125" i="43" s="1"/>
  <c r="T122" i="43"/>
  <c r="T125" i="43" s="1"/>
  <c r="X124" i="43" s="1"/>
  <c r="AB124" i="43" s="1"/>
  <c r="AA145" i="38"/>
  <c r="AO145" i="38" s="1"/>
  <c r="AP145" i="38" s="1"/>
  <c r="W145" i="38"/>
  <c r="AA144" i="38"/>
  <c r="AO144" i="38" s="1"/>
  <c r="AP144" i="38" s="1"/>
  <c r="W144" i="38"/>
  <c r="F127" i="29"/>
  <c r="T88" i="45"/>
  <c r="V88" i="45"/>
  <c r="D138" i="28"/>
  <c r="F138" i="28" s="1"/>
  <c r="C137" i="28"/>
  <c r="G138" i="28"/>
  <c r="Z130" i="43"/>
  <c r="Z129" i="43"/>
  <c r="R127" i="43"/>
  <c r="Y130" i="43"/>
  <c r="Y129" i="43"/>
  <c r="C137" i="47"/>
  <c r="D138" i="47"/>
  <c r="F138" i="47" s="1"/>
  <c r="G138" i="47"/>
  <c r="O148" i="37"/>
  <c r="P147" i="37"/>
  <c r="AC149" i="41"/>
  <c r="AD149" i="41" s="1"/>
  <c r="AD148" i="41"/>
  <c r="A150" i="35"/>
  <c r="B150" i="35" s="1"/>
  <c r="B149" i="35"/>
  <c r="A145" i="43"/>
  <c r="B145" i="43" s="1"/>
  <c r="B144" i="43"/>
  <c r="O149" i="29"/>
  <c r="P148" i="29"/>
  <c r="Q148" i="29" s="1"/>
  <c r="Z130" i="40"/>
  <c r="Z129" i="40"/>
  <c r="R127" i="40"/>
  <c r="Y130" i="40"/>
  <c r="Y129" i="40"/>
  <c r="H12" i="15"/>
  <c r="I12" i="15" s="1"/>
  <c r="D12" i="15"/>
  <c r="F12" i="15" s="1"/>
  <c r="AF4" i="11"/>
  <c r="AF5" i="11" s="1"/>
  <c r="K134" i="47"/>
  <c r="K135" i="47"/>
  <c r="L134" i="47"/>
  <c r="D132" i="47"/>
  <c r="G132" i="47"/>
  <c r="L135" i="47"/>
  <c r="AE44" i="35"/>
  <c r="AG44" i="35" s="1"/>
  <c r="AE48" i="35"/>
  <c r="R43" i="35"/>
  <c r="D44" i="35"/>
  <c r="D48" i="35"/>
  <c r="F48" i="35" s="1"/>
  <c r="H48" i="35" s="1"/>
  <c r="AJ145" i="47"/>
  <c r="AJ144" i="47"/>
  <c r="A149" i="45"/>
  <c r="B148" i="45"/>
  <c r="AI45" i="37"/>
  <c r="H64" i="41"/>
  <c r="H65" i="41" s="1"/>
  <c r="J65" i="41" s="1"/>
  <c r="F65" i="41"/>
  <c r="J64" i="41" s="1"/>
  <c r="AV6" i="61"/>
  <c r="AM9" i="68" s="1"/>
  <c r="AP6" i="8"/>
  <c r="B6" i="8"/>
  <c r="C21" i="48"/>
  <c r="C137" i="41"/>
  <c r="G138" i="41"/>
  <c r="D138" i="41"/>
  <c r="F138" i="41" s="1"/>
  <c r="A145" i="26"/>
  <c r="B145" i="26" s="1"/>
  <c r="B144" i="26"/>
  <c r="M155" i="59"/>
  <c r="M156" i="59"/>
  <c r="G155" i="59"/>
  <c r="P143" i="27"/>
  <c r="Q143" i="27" s="1"/>
  <c r="O144" i="27"/>
  <c r="K135" i="49"/>
  <c r="L134" i="49"/>
  <c r="D132" i="49"/>
  <c r="K134" i="49"/>
  <c r="L135" i="49"/>
  <c r="G132" i="49"/>
  <c r="O144" i="45"/>
  <c r="P143" i="45"/>
  <c r="Q143" i="45" s="1"/>
  <c r="AV20" i="23"/>
  <c r="D138" i="34"/>
  <c r="F138" i="34" s="1"/>
  <c r="C137" i="34"/>
  <c r="G138" i="34"/>
  <c r="V127" i="29"/>
  <c r="V130" i="29" s="1"/>
  <c r="T127" i="29"/>
  <c r="T130" i="29" s="1"/>
  <c r="X129" i="29" s="1"/>
  <c r="AB129" i="29" s="1"/>
  <c r="Q134" i="43"/>
  <c r="Q132" i="43"/>
  <c r="P139" i="37"/>
  <c r="O140" i="37"/>
  <c r="P140" i="37" s="1"/>
  <c r="K129" i="45"/>
  <c r="L130" i="45"/>
  <c r="K130" i="45"/>
  <c r="L129" i="45"/>
  <c r="G127" i="45"/>
  <c r="D127" i="45"/>
  <c r="J55" i="39"/>
  <c r="F38" i="34"/>
  <c r="V68" i="41"/>
  <c r="T68" i="41"/>
  <c r="V129" i="26"/>
  <c r="T129" i="26"/>
  <c r="A150" i="27"/>
  <c r="B150" i="27" s="1"/>
  <c r="B149" i="27"/>
  <c r="AR119" i="38"/>
  <c r="AV15" i="18"/>
  <c r="G4" i="9"/>
  <c r="AA140" i="45"/>
  <c r="AO140" i="45" s="1"/>
  <c r="AP140" i="45" s="1"/>
  <c r="W139" i="45"/>
  <c r="W140" i="45"/>
  <c r="AA139" i="45"/>
  <c r="AO139" i="45" s="1"/>
  <c r="AP139" i="45" s="1"/>
  <c r="A150" i="28"/>
  <c r="B150" i="28" s="1"/>
  <c r="B149" i="28"/>
  <c r="Q134" i="31"/>
  <c r="Q132" i="31"/>
  <c r="G133" i="26"/>
  <c r="D133" i="26"/>
  <c r="F133" i="26" s="1"/>
  <c r="C132" i="26"/>
  <c r="X127" i="27"/>
  <c r="R129" i="27"/>
  <c r="F127" i="44"/>
  <c r="V122" i="37"/>
  <c r="V125" i="37" s="1"/>
  <c r="T122" i="37"/>
  <c r="T125" i="37" s="1"/>
  <c r="X124" i="37" s="1"/>
  <c r="AB124" i="37" s="1"/>
  <c r="J47" i="37"/>
  <c r="AE70" i="41"/>
  <c r="AI69" i="41" s="1"/>
  <c r="Q139" i="36"/>
  <c r="Q137" i="36"/>
  <c r="D4" i="7"/>
  <c r="H4" i="7"/>
  <c r="I4" i="7" s="1"/>
  <c r="AW5" i="61"/>
  <c r="AN8" i="68" s="1"/>
  <c r="C22" i="49"/>
  <c r="AP5" i="7"/>
  <c r="Y4" i="7" s="1"/>
  <c r="B5" i="7"/>
  <c r="M134" i="48"/>
  <c r="I134" i="48"/>
  <c r="M135" i="48"/>
  <c r="I135" i="48"/>
  <c r="G134" i="48"/>
  <c r="H47" i="36"/>
  <c r="O145" i="48"/>
  <c r="P145" i="48" s="1"/>
  <c r="P144" i="48"/>
  <c r="J37" i="35"/>
  <c r="K135" i="27"/>
  <c r="L134" i="27"/>
  <c r="D132" i="27"/>
  <c r="K134" i="27"/>
  <c r="L135" i="27"/>
  <c r="G132" i="27"/>
  <c r="A145" i="48"/>
  <c r="B145" i="48" s="1"/>
  <c r="B144" i="48"/>
  <c r="AR39" i="39"/>
  <c r="AT39" i="39" s="1"/>
  <c r="D6" i="39" s="1"/>
  <c r="H16" i="53"/>
  <c r="I16" i="53" s="1"/>
  <c r="D16" i="53"/>
  <c r="F16" i="53" s="1"/>
  <c r="G16" i="53" s="1"/>
  <c r="C139" i="30"/>
  <c r="C138" i="30"/>
  <c r="O145" i="29"/>
  <c r="P145" i="29" s="1"/>
  <c r="P144" i="29"/>
  <c r="AJ149" i="33"/>
  <c r="AJ150" i="33"/>
  <c r="AG48" i="36"/>
  <c r="C139" i="37"/>
  <c r="C138" i="37"/>
  <c r="AG53" i="37"/>
  <c r="F122" i="48"/>
  <c r="I135" i="39"/>
  <c r="I134" i="39"/>
  <c r="M135" i="39"/>
  <c r="M134" i="39"/>
  <c r="G134" i="39"/>
  <c r="AL144" i="29"/>
  <c r="AH144" i="29"/>
  <c r="AL145" i="29"/>
  <c r="AH145" i="29"/>
  <c r="AI142" i="29"/>
  <c r="AF13" i="19"/>
  <c r="AF14" i="19" s="1"/>
  <c r="K134" i="42"/>
  <c r="K135" i="42"/>
  <c r="L135" i="42"/>
  <c r="G132" i="42"/>
  <c r="L134" i="42"/>
  <c r="D132" i="42"/>
  <c r="O144" i="46"/>
  <c r="P143" i="46"/>
  <c r="Q143" i="46" s="1"/>
  <c r="F127" i="28"/>
  <c r="Z135" i="30"/>
  <c r="Z134" i="30"/>
  <c r="R132" i="30"/>
  <c r="Y135" i="30"/>
  <c r="Y134" i="30"/>
  <c r="AV16" i="19"/>
  <c r="Y15" i="53"/>
  <c r="H122" i="42"/>
  <c r="H125" i="42" s="1"/>
  <c r="F125" i="42"/>
  <c r="A149" i="39"/>
  <c r="B148" i="39"/>
  <c r="O140" i="33"/>
  <c r="P140" i="33" s="1"/>
  <c r="P139" i="33"/>
  <c r="X10" i="15"/>
  <c r="AA10" i="15"/>
  <c r="A149" i="48"/>
  <c r="B148" i="48"/>
  <c r="M139" i="49"/>
  <c r="I139" i="49"/>
  <c r="M140" i="49"/>
  <c r="I140" i="49"/>
  <c r="G139" i="49"/>
  <c r="X127" i="44"/>
  <c r="R129" i="44"/>
  <c r="T129" i="36"/>
  <c r="V129" i="36"/>
  <c r="F127" i="32"/>
  <c r="C143" i="38"/>
  <c r="C144" i="38"/>
  <c r="AV8" i="11"/>
  <c r="AI147" i="34"/>
  <c r="AL149" i="34"/>
  <c r="AH149" i="34"/>
  <c r="AL150" i="34"/>
  <c r="AH150" i="34"/>
  <c r="O149" i="47"/>
  <c r="P148" i="47"/>
  <c r="Q148" i="47" s="1"/>
  <c r="X45" i="38"/>
  <c r="V127" i="41"/>
  <c r="V130" i="41" s="1"/>
  <c r="T127" i="41"/>
  <c r="T130" i="41" s="1"/>
  <c r="X129" i="41" s="1"/>
  <c r="AB129" i="41" s="1"/>
  <c r="C137" i="35"/>
  <c r="G138" i="35"/>
  <c r="D138" i="35"/>
  <c r="F138" i="35" s="1"/>
  <c r="O148" i="44"/>
  <c r="P147" i="44"/>
  <c r="AV21" i="24"/>
  <c r="F9" i="13"/>
  <c r="H14" i="17"/>
  <c r="I14" i="17" s="1"/>
  <c r="D14" i="17"/>
  <c r="F14" i="17" s="1"/>
  <c r="G14" i="17" s="1"/>
  <c r="X127" i="28"/>
  <c r="R129" i="28"/>
  <c r="G133" i="30"/>
  <c r="D133" i="30"/>
  <c r="F133" i="30" s="1"/>
  <c r="C132" i="30"/>
  <c r="V129" i="47"/>
  <c r="T129" i="47"/>
  <c r="C144" i="44"/>
  <c r="C143" i="44"/>
  <c r="D138" i="33"/>
  <c r="F138" i="33" s="1"/>
  <c r="C137" i="33"/>
  <c r="G138" i="33"/>
  <c r="H133" i="41"/>
  <c r="AE80" i="43"/>
  <c r="AI79" i="43" s="1"/>
  <c r="F62" i="38"/>
  <c r="AG58" i="38"/>
  <c r="AR125" i="41"/>
  <c r="AR124" i="26"/>
  <c r="F122" i="39"/>
  <c r="M139" i="44"/>
  <c r="I139" i="44"/>
  <c r="M140" i="44"/>
  <c r="I140" i="44"/>
  <c r="G139" i="44"/>
  <c r="V43" i="36"/>
  <c r="T43" i="36"/>
  <c r="V149" i="32"/>
  <c r="T149" i="32"/>
  <c r="H133" i="35"/>
  <c r="X120" i="46"/>
  <c r="AB120" i="46" s="1"/>
  <c r="AR120" i="46" s="1"/>
  <c r="V124" i="37"/>
  <c r="T124" i="37"/>
  <c r="X144" i="59"/>
  <c r="AB144" i="59" s="1"/>
  <c r="AT144" i="59" s="1"/>
  <c r="F50" i="37"/>
  <c r="F122" i="26"/>
  <c r="AJ149" i="31"/>
  <c r="AJ150" i="31"/>
  <c r="R129" i="39"/>
  <c r="X127" i="39"/>
  <c r="Z156" i="59"/>
  <c r="W155" i="59"/>
  <c r="Y156" i="59"/>
  <c r="Z155" i="59"/>
  <c r="Y155" i="59"/>
  <c r="W156" i="59"/>
  <c r="R153" i="59"/>
  <c r="F57" i="37"/>
  <c r="T48" i="37"/>
  <c r="T50" i="37" s="1"/>
  <c r="X49" i="37" s="1"/>
  <c r="V48" i="37"/>
  <c r="F4" i="8"/>
  <c r="AR10" i="61"/>
  <c r="AI13" i="68" s="1"/>
  <c r="B10" i="12"/>
  <c r="C17" i="44"/>
  <c r="AE94" i="44" s="1"/>
  <c r="AG94" i="44" s="1"/>
  <c r="AP10" i="12"/>
  <c r="AA140" i="44"/>
  <c r="AO140" i="44" s="1"/>
  <c r="AP140" i="44" s="1"/>
  <c r="W140" i="44"/>
  <c r="AA139" i="44"/>
  <c r="AO139" i="44" s="1"/>
  <c r="AP139" i="44" s="1"/>
  <c r="W139" i="44"/>
  <c r="AG45" i="36"/>
  <c r="A145" i="46"/>
  <c r="B145" i="46" s="1"/>
  <c r="B144" i="46"/>
  <c r="AJ145" i="38"/>
  <c r="AJ144" i="38"/>
  <c r="O168" i="59"/>
  <c r="P168" i="59" s="1"/>
  <c r="P167" i="59"/>
  <c r="Z130" i="37"/>
  <c r="Z129" i="37"/>
  <c r="R127" i="37"/>
  <c r="Y130" i="37"/>
  <c r="Y129" i="37"/>
  <c r="H133" i="32"/>
  <c r="V122" i="40"/>
  <c r="V125" i="40" s="1"/>
  <c r="T122" i="40"/>
  <c r="T125" i="40" s="1"/>
  <c r="X124" i="40" s="1"/>
  <c r="AB124" i="40" s="1"/>
  <c r="H122" i="38"/>
  <c r="H125" i="38" s="1"/>
  <c r="F125" i="38"/>
  <c r="H133" i="33"/>
  <c r="D138" i="50"/>
  <c r="F138" i="50" s="1"/>
  <c r="C137" i="50"/>
  <c r="G138" i="50"/>
  <c r="O145" i="47"/>
  <c r="P145" i="47" s="1"/>
  <c r="P144" i="47"/>
  <c r="H6" i="9"/>
  <c r="I6" i="9" s="1"/>
  <c r="D6" i="9"/>
  <c r="F6" i="9" s="1"/>
  <c r="G6" i="9" s="1"/>
  <c r="H45" i="36"/>
  <c r="F122" i="43"/>
  <c r="AJ145" i="35"/>
  <c r="AJ144" i="35"/>
  <c r="P143" i="43"/>
  <c r="Q143" i="43" s="1"/>
  <c r="O144" i="43"/>
  <c r="AN14" i="61"/>
  <c r="AE17" i="68" s="1"/>
  <c r="C13" i="40"/>
  <c r="B14" i="16"/>
  <c r="AP14" i="16"/>
  <c r="F141" i="59"/>
  <c r="A145" i="37"/>
  <c r="B145" i="37" s="1"/>
  <c r="B144" i="37"/>
  <c r="AJ149" i="49"/>
  <c r="AJ150" i="49"/>
  <c r="Q137" i="29"/>
  <c r="Q139" i="29"/>
  <c r="T127" i="36"/>
  <c r="T130" i="36" s="1"/>
  <c r="X129" i="36" s="1"/>
  <c r="AB129" i="36" s="1"/>
  <c r="V127" i="36"/>
  <c r="V130" i="36" s="1"/>
  <c r="AV7" i="10"/>
  <c r="H11" i="14"/>
  <c r="I11" i="14" s="1"/>
  <c r="D11" i="14"/>
  <c r="F11" i="14" s="1"/>
  <c r="G11" i="14" s="1"/>
  <c r="C138" i="45"/>
  <c r="C139" i="45"/>
  <c r="AR120" i="39"/>
  <c r="AR119" i="39"/>
  <c r="AA145" i="35"/>
  <c r="AO145" i="35" s="1"/>
  <c r="AP145" i="35" s="1"/>
  <c r="W145" i="35"/>
  <c r="AA144" i="35"/>
  <c r="AO144" i="35" s="1"/>
  <c r="AP144" i="35" s="1"/>
  <c r="W144" i="35"/>
  <c r="T129" i="41"/>
  <c r="V129" i="41"/>
  <c r="M140" i="40"/>
  <c r="I140" i="40"/>
  <c r="G139" i="40"/>
  <c r="M139" i="40"/>
  <c r="I139" i="40"/>
  <c r="AV10" i="13"/>
  <c r="G13" i="17"/>
  <c r="O140" i="49"/>
  <c r="P140" i="49" s="1"/>
  <c r="P139" i="49"/>
  <c r="AJ149" i="36"/>
  <c r="AJ150" i="36"/>
  <c r="AL145" i="44"/>
  <c r="AH145" i="44"/>
  <c r="AI142" i="44"/>
  <c r="AL144" i="44"/>
  <c r="AH144" i="44"/>
  <c r="V122" i="28"/>
  <c r="V125" i="28" s="1"/>
  <c r="T122" i="28"/>
  <c r="T125" i="28" s="1"/>
  <c r="X124" i="28" s="1"/>
  <c r="AB124" i="28" s="1"/>
  <c r="V124" i="46"/>
  <c r="T124" i="46"/>
  <c r="AG68" i="40"/>
  <c r="X120" i="31"/>
  <c r="AB120" i="31" s="1"/>
  <c r="AR119" i="31" s="1"/>
  <c r="AB40" i="38"/>
  <c r="AR39" i="38" s="1"/>
  <c r="AT39" i="38" s="1"/>
  <c r="D6" i="38" s="1"/>
  <c r="H122" i="50"/>
  <c r="H125" i="50" s="1"/>
  <c r="F125" i="50"/>
  <c r="AE54" i="37"/>
  <c r="AG54" i="37" s="1"/>
  <c r="AE58" i="37"/>
  <c r="R53" i="37"/>
  <c r="D54" i="37"/>
  <c r="D58" i="37"/>
  <c r="F58" i="37" s="1"/>
  <c r="H58" i="37" s="1"/>
  <c r="R57" i="37"/>
  <c r="D62" i="37"/>
  <c r="P143" i="33"/>
  <c r="Q143" i="33" s="1"/>
  <c r="O144" i="33"/>
  <c r="T78" i="43"/>
  <c r="V78" i="43"/>
  <c r="AJ149" i="27"/>
  <c r="AJ150" i="27"/>
  <c r="AG15" i="21"/>
  <c r="V147" i="32"/>
  <c r="V150" i="32" s="1"/>
  <c r="T147" i="32"/>
  <c r="T150" i="32" s="1"/>
  <c r="X149" i="32" s="1"/>
  <c r="AB149" i="32" s="1"/>
  <c r="C143" i="42"/>
  <c r="C144" i="42"/>
  <c r="I150" i="59"/>
  <c r="L149" i="59"/>
  <c r="G147" i="59"/>
  <c r="L150" i="59"/>
  <c r="K149" i="59"/>
  <c r="K150" i="59"/>
  <c r="D147" i="59"/>
  <c r="I149" i="59"/>
  <c r="O144" i="40"/>
  <c r="P143" i="40"/>
  <c r="Q143" i="40" s="1"/>
  <c r="C137" i="42"/>
  <c r="G138" i="42"/>
  <c r="D138" i="42"/>
  <c r="F138" i="42" s="1"/>
  <c r="AI19" i="61"/>
  <c r="Z22" i="68" s="1"/>
  <c r="B19" i="21"/>
  <c r="AP19" i="21"/>
  <c r="C8" i="35"/>
  <c r="AF14" i="53"/>
  <c r="V127" i="35"/>
  <c r="V130" i="35" s="1"/>
  <c r="T127" i="35"/>
  <c r="T130" i="35" s="1"/>
  <c r="X129" i="35" s="1"/>
  <c r="AB129" i="35" s="1"/>
  <c r="X120" i="40"/>
  <c r="AB120" i="40" s="1"/>
  <c r="AR120" i="40" s="1"/>
  <c r="O144" i="50"/>
  <c r="P143" i="50"/>
  <c r="Q143" i="50" s="1"/>
  <c r="R134" i="48"/>
  <c r="X132" i="48"/>
  <c r="O145" i="42"/>
  <c r="P145" i="42" s="1"/>
  <c r="P144" i="42"/>
  <c r="O145" i="26"/>
  <c r="P145" i="26" s="1"/>
  <c r="P144" i="26"/>
  <c r="D133" i="46"/>
  <c r="F133" i="46" s="1"/>
  <c r="C132" i="46"/>
  <c r="G133" i="46"/>
  <c r="L130" i="43"/>
  <c r="G127" i="43"/>
  <c r="K130" i="43"/>
  <c r="L129" i="43"/>
  <c r="D127" i="43"/>
  <c r="K129" i="43"/>
  <c r="V62" i="39"/>
  <c r="T62" i="39"/>
  <c r="V58" i="39"/>
  <c r="T58" i="39"/>
  <c r="H133" i="29"/>
  <c r="H122" i="32"/>
  <c r="H125" i="32" s="1"/>
  <c r="F125" i="32"/>
  <c r="V64" i="42"/>
  <c r="V65" i="42" s="1"/>
  <c r="T64" i="42"/>
  <c r="T65" i="42" s="1"/>
  <c r="X64" i="42" s="1"/>
  <c r="P148" i="36"/>
  <c r="Q148" i="36" s="1"/>
  <c r="O149" i="36"/>
  <c r="V42" i="35"/>
  <c r="T42" i="35"/>
  <c r="A150" i="47"/>
  <c r="B150" i="47" s="1"/>
  <c r="B149" i="47"/>
  <c r="C137" i="38"/>
  <c r="G138" i="38"/>
  <c r="D138" i="38"/>
  <c r="F138" i="38" s="1"/>
  <c r="AL150" i="32"/>
  <c r="AH150" i="32"/>
  <c r="AI147" i="32"/>
  <c r="AL149" i="32"/>
  <c r="AH149" i="32"/>
  <c r="T122" i="27"/>
  <c r="T125" i="27" s="1"/>
  <c r="X124" i="27" s="1"/>
  <c r="AB124" i="27" s="1"/>
  <c r="V122" i="27"/>
  <c r="V125" i="27" s="1"/>
  <c r="X129" i="38"/>
  <c r="AB129" i="38" s="1"/>
  <c r="X127" i="45"/>
  <c r="R129" i="45"/>
  <c r="O145" i="38"/>
  <c r="P145" i="38" s="1"/>
  <c r="P144" i="38"/>
  <c r="F127" i="31"/>
  <c r="H122" i="41"/>
  <c r="H125" i="41" s="1"/>
  <c r="F125" i="41"/>
  <c r="F89" i="45"/>
  <c r="J87" i="45"/>
  <c r="M140" i="28"/>
  <c r="I140" i="28"/>
  <c r="G139" i="28"/>
  <c r="M139" i="28"/>
  <c r="I139" i="28"/>
  <c r="C144" i="50"/>
  <c r="C143" i="50"/>
  <c r="R129" i="43"/>
  <c r="X127" i="43"/>
  <c r="AL174" i="59"/>
  <c r="AL173" i="59"/>
  <c r="AJ145" i="41"/>
  <c r="AJ144" i="41"/>
  <c r="O149" i="35"/>
  <c r="P148" i="35"/>
  <c r="Q148" i="35" s="1"/>
  <c r="Q134" i="49"/>
  <c r="Q132" i="49"/>
  <c r="AO13" i="61"/>
  <c r="AF16" i="68" s="1"/>
  <c r="B13" i="15"/>
  <c r="C14" i="41"/>
  <c r="R69" i="41" s="1"/>
  <c r="AP13" i="15"/>
  <c r="Y12" i="15" s="1"/>
  <c r="AH20" i="61"/>
  <c r="Y23" i="68" s="1"/>
  <c r="B20" i="22"/>
  <c r="AP20" i="22"/>
  <c r="C7" i="34"/>
  <c r="A150" i="33"/>
  <c r="B150" i="33" s="1"/>
  <c r="B149" i="33"/>
  <c r="AL144" i="47"/>
  <c r="AH144" i="47"/>
  <c r="AL145" i="47"/>
  <c r="AH145" i="47"/>
  <c r="AI142" i="47"/>
  <c r="L134" i="28"/>
  <c r="D132" i="28"/>
  <c r="K134" i="28"/>
  <c r="L135" i="28"/>
  <c r="G132" i="28"/>
  <c r="K135" i="28"/>
  <c r="C139" i="48"/>
  <c r="C138" i="48"/>
  <c r="D138" i="31"/>
  <c r="F138" i="31" s="1"/>
  <c r="C137" i="31"/>
  <c r="G138" i="31"/>
  <c r="Q139" i="48"/>
  <c r="Q137" i="48"/>
  <c r="H5" i="8"/>
  <c r="I5" i="8" s="1"/>
  <c r="D5" i="8"/>
  <c r="F5" i="8" s="1"/>
  <c r="G5" i="8" s="1"/>
  <c r="AA4" i="8"/>
  <c r="AJ150" i="50"/>
  <c r="AJ149" i="50"/>
  <c r="T129" i="35"/>
  <c r="V129" i="35"/>
  <c r="A145" i="39"/>
  <c r="B145" i="39" s="1"/>
  <c r="B144" i="39"/>
  <c r="O148" i="34"/>
  <c r="P147" i="34"/>
  <c r="H128" i="36"/>
  <c r="C139" i="43"/>
  <c r="C138" i="43"/>
  <c r="P143" i="49"/>
  <c r="Q143" i="49" s="1"/>
  <c r="O144" i="49"/>
  <c r="F127" i="40"/>
  <c r="T122" i="45"/>
  <c r="T125" i="45" s="1"/>
  <c r="X124" i="45" s="1"/>
  <c r="AB124" i="45" s="1"/>
  <c r="V122" i="45"/>
  <c r="V125" i="45" s="1"/>
  <c r="C153" i="59"/>
  <c r="G154" i="59"/>
  <c r="D154" i="59"/>
  <c r="F154" i="59" s="1"/>
  <c r="Q134" i="33"/>
  <c r="Q132" i="33"/>
  <c r="T124" i="45"/>
  <c r="V124" i="45"/>
  <c r="C139" i="26"/>
  <c r="C138" i="26"/>
  <c r="L134" i="50"/>
  <c r="D132" i="50"/>
  <c r="K134" i="50"/>
  <c r="L135" i="50"/>
  <c r="G132" i="50"/>
  <c r="K135" i="50"/>
  <c r="AG21" i="61"/>
  <c r="X24" i="68" s="1"/>
  <c r="AP21" i="23"/>
  <c r="B21" i="23"/>
  <c r="C6" i="33"/>
  <c r="M140" i="34"/>
  <c r="I140" i="34"/>
  <c r="G139" i="34"/>
  <c r="M139" i="34"/>
  <c r="I139" i="34"/>
  <c r="L129" i="46"/>
  <c r="D127" i="46"/>
  <c r="K129" i="46"/>
  <c r="L130" i="46"/>
  <c r="G127" i="46"/>
  <c r="K130" i="46"/>
  <c r="H60" i="39"/>
  <c r="J60" i="39" s="1"/>
  <c r="AG88" i="44"/>
  <c r="D133" i="37"/>
  <c r="F133" i="37" s="1"/>
  <c r="C132" i="37"/>
  <c r="G133" i="37"/>
  <c r="AG34" i="34"/>
  <c r="AG35" i="34" s="1"/>
  <c r="AE35" i="34"/>
  <c r="AI34" i="34" s="1"/>
  <c r="AM34" i="34" s="1"/>
  <c r="AS34" i="34" s="1"/>
  <c r="AA140" i="40"/>
  <c r="AO140" i="40" s="1"/>
  <c r="AP140" i="40" s="1"/>
  <c r="W140" i="40"/>
  <c r="AA139" i="40"/>
  <c r="AO139" i="40" s="1"/>
  <c r="AP139" i="40" s="1"/>
  <c r="W139" i="40"/>
  <c r="AJ150" i="28"/>
  <c r="AJ149" i="28"/>
  <c r="J80" i="44"/>
  <c r="J79" i="44"/>
  <c r="AE64" i="39"/>
  <c r="AG64" i="39" s="1"/>
  <c r="AE68" i="39"/>
  <c r="R63" i="39"/>
  <c r="R59" i="39"/>
  <c r="D64" i="39"/>
  <c r="F64" i="39" s="1"/>
  <c r="H64" i="39" s="1"/>
  <c r="D73" i="39"/>
  <c r="F73" i="39" s="1"/>
  <c r="H73" i="39" s="1"/>
  <c r="R72" i="39"/>
  <c r="D77" i="39"/>
  <c r="X55" i="40"/>
  <c r="AB55" i="40" s="1"/>
  <c r="O140" i="45"/>
  <c r="P140" i="45" s="1"/>
  <c r="P139" i="45"/>
  <c r="H74" i="43"/>
  <c r="H75" i="43" s="1"/>
  <c r="J75" i="43" s="1"/>
  <c r="F75" i="43"/>
  <c r="J74" i="43" s="1"/>
  <c r="Y135" i="36"/>
  <c r="Y134" i="36"/>
  <c r="Z135" i="36"/>
  <c r="R132" i="36"/>
  <c r="Z134" i="36"/>
  <c r="O148" i="33"/>
  <c r="P147" i="33"/>
  <c r="C144" i="34"/>
  <c r="C143" i="34"/>
  <c r="M134" i="26"/>
  <c r="I134" i="26"/>
  <c r="M135" i="26"/>
  <c r="I135" i="26"/>
  <c r="G134" i="26"/>
  <c r="Q134" i="44"/>
  <c r="Q132" i="44"/>
  <c r="W139" i="39"/>
  <c r="W140" i="39"/>
  <c r="AA139" i="39"/>
  <c r="AO139" i="39" s="1"/>
  <c r="AP139" i="39" s="1"/>
  <c r="AA140" i="39"/>
  <c r="AO140" i="39" s="1"/>
  <c r="AP140" i="39" s="1"/>
  <c r="V122" i="39"/>
  <c r="V125" i="39" s="1"/>
  <c r="T122" i="39"/>
  <c r="T125" i="39" s="1"/>
  <c r="X124" i="39" s="1"/>
  <c r="AB124" i="39" s="1"/>
  <c r="AV4" i="7"/>
  <c r="A150" i="34"/>
  <c r="B150" i="34" s="1"/>
  <c r="B149" i="34"/>
  <c r="AA145" i="48"/>
  <c r="AO145" i="48" s="1"/>
  <c r="AP145" i="48" s="1"/>
  <c r="W145" i="48"/>
  <c r="AA144" i="48"/>
  <c r="AO144" i="48" s="1"/>
  <c r="AP144" i="48" s="1"/>
  <c r="W144" i="48"/>
  <c r="H38" i="35"/>
  <c r="H40" i="35" s="1"/>
  <c r="F40" i="35"/>
  <c r="O144" i="34"/>
  <c r="P143" i="34"/>
  <c r="Q143" i="34" s="1"/>
  <c r="AF12" i="18"/>
  <c r="V129" i="48"/>
  <c r="T129" i="48"/>
  <c r="V124" i="31"/>
  <c r="T124" i="31"/>
  <c r="AC149" i="29"/>
  <c r="AD149" i="29" s="1"/>
  <c r="AD148" i="29"/>
  <c r="AL150" i="39"/>
  <c r="AI147" i="39"/>
  <c r="AH149" i="39"/>
  <c r="AL149" i="39"/>
  <c r="AH150" i="39"/>
  <c r="AG4" i="9"/>
  <c r="X132" i="47"/>
  <c r="R134" i="47"/>
  <c r="R134" i="26"/>
  <c r="X132" i="26"/>
  <c r="C144" i="27"/>
  <c r="C143" i="27"/>
  <c r="K134" i="41"/>
  <c r="L135" i="41"/>
  <c r="G132" i="41"/>
  <c r="K135" i="41"/>
  <c r="L134" i="41"/>
  <c r="D132" i="41"/>
  <c r="V53" i="38"/>
  <c r="T53" i="38"/>
  <c r="AA140" i="50"/>
  <c r="AO140" i="50" s="1"/>
  <c r="W140" i="50"/>
  <c r="AA139" i="50"/>
  <c r="AO139" i="50" s="1"/>
  <c r="W139" i="50"/>
  <c r="Z130" i="31"/>
  <c r="Z129" i="31"/>
  <c r="R127" i="31"/>
  <c r="Y130" i="31"/>
  <c r="Y129" i="31"/>
  <c r="Z130" i="50"/>
  <c r="Z129" i="50"/>
  <c r="R127" i="50"/>
  <c r="Y130" i="50"/>
  <c r="Y129" i="50"/>
  <c r="A150" i="44"/>
  <c r="B150" i="44" s="1"/>
  <c r="B149" i="44"/>
  <c r="Q137" i="42"/>
  <c r="Q139" i="42"/>
  <c r="AR125" i="36"/>
  <c r="J85" i="45"/>
  <c r="AJ150" i="39"/>
  <c r="AJ149" i="39"/>
  <c r="T122" i="44"/>
  <c r="T125" i="44" s="1"/>
  <c r="X124" i="44" s="1"/>
  <c r="AB124" i="44" s="1"/>
  <c r="V122" i="44"/>
  <c r="V125" i="44" s="1"/>
  <c r="R134" i="30"/>
  <c r="X132" i="30"/>
  <c r="R58" i="38"/>
  <c r="AE59" i="38"/>
  <c r="AG59" i="38" s="1"/>
  <c r="AE63" i="38"/>
  <c r="R54" i="38"/>
  <c r="D59" i="38"/>
  <c r="F59" i="38" s="1"/>
  <c r="H59" i="38" s="1"/>
  <c r="D63" i="38"/>
  <c r="F63" i="38" s="1"/>
  <c r="H63" i="38" s="1"/>
  <c r="R62" i="38"/>
  <c r="J40" i="36"/>
  <c r="N40" i="36" s="1"/>
  <c r="AQ40" i="36" s="1"/>
  <c r="J39" i="36"/>
  <c r="N39" i="36" s="1"/>
  <c r="AQ39" i="36" s="1"/>
  <c r="F122" i="45"/>
  <c r="AA140" i="33"/>
  <c r="AO140" i="33" s="1"/>
  <c r="AP140" i="33" s="1"/>
  <c r="W140" i="33"/>
  <c r="AA139" i="33"/>
  <c r="AO139" i="33" s="1"/>
  <c r="AP139" i="33" s="1"/>
  <c r="W139" i="33"/>
  <c r="T129" i="29"/>
  <c r="V129" i="29"/>
  <c r="H8" i="11"/>
  <c r="I8" i="11" s="1"/>
  <c r="D8" i="11"/>
  <c r="F8" i="11" s="1"/>
  <c r="G8" i="11" s="1"/>
  <c r="AF7" i="13"/>
  <c r="T124" i="49"/>
  <c r="V124" i="49"/>
  <c r="AA145" i="29"/>
  <c r="AO145" i="29" s="1"/>
  <c r="AP145" i="29" s="1"/>
  <c r="W145" i="29"/>
  <c r="AA144" i="29"/>
  <c r="AO144" i="29" s="1"/>
  <c r="AP144" i="29" s="1"/>
  <c r="W144" i="29"/>
  <c r="M135" i="45"/>
  <c r="I135" i="45"/>
  <c r="G134" i="45"/>
  <c r="M134" i="45"/>
  <c r="I134" i="45"/>
  <c r="AF22" i="61"/>
  <c r="W25" i="68" s="1"/>
  <c r="C5" i="32"/>
  <c r="B22" i="24"/>
  <c r="AP22" i="24"/>
  <c r="AE69" i="40"/>
  <c r="AG69" i="40" s="1"/>
  <c r="AE73" i="40"/>
  <c r="D69" i="40"/>
  <c r="R68" i="40"/>
  <c r="Z130" i="28"/>
  <c r="Z129" i="28"/>
  <c r="R127" i="28"/>
  <c r="Y130" i="28"/>
  <c r="Y129" i="28"/>
  <c r="C144" i="28"/>
  <c r="C143" i="28"/>
  <c r="V127" i="26"/>
  <c r="V130" i="26" s="1"/>
  <c r="T127" i="26"/>
  <c r="T130" i="26" s="1"/>
  <c r="X129" i="26" s="1"/>
  <c r="AB129" i="26" s="1"/>
  <c r="M134" i="30"/>
  <c r="I134" i="30"/>
  <c r="M135" i="30"/>
  <c r="I135" i="30"/>
  <c r="G134" i="30"/>
  <c r="Z135" i="26"/>
  <c r="Z134" i="26"/>
  <c r="R132" i="26"/>
  <c r="Y135" i="26"/>
  <c r="Y134" i="26"/>
  <c r="X132" i="42"/>
  <c r="R134" i="42"/>
  <c r="A150" i="41"/>
  <c r="B150" i="41" s="1"/>
  <c r="B149" i="41"/>
  <c r="G9" i="14"/>
  <c r="L130" i="48"/>
  <c r="G127" i="48"/>
  <c r="K130" i="48"/>
  <c r="L129" i="48"/>
  <c r="D127" i="48"/>
  <c r="K129" i="48"/>
  <c r="M139" i="33"/>
  <c r="I139" i="33"/>
  <c r="M140" i="33"/>
  <c r="I140" i="33"/>
  <c r="G139" i="33"/>
  <c r="AG80" i="43"/>
  <c r="V57" i="38"/>
  <c r="T57" i="38"/>
  <c r="L130" i="39"/>
  <c r="G127" i="39"/>
  <c r="K129" i="39"/>
  <c r="D127" i="39"/>
  <c r="K130" i="39"/>
  <c r="L129" i="39"/>
  <c r="C143" i="35"/>
  <c r="C144" i="35"/>
  <c r="H50" i="37"/>
  <c r="T127" i="42"/>
  <c r="T130" i="42" s="1"/>
  <c r="X129" i="42" s="1"/>
  <c r="AB129" i="42" s="1"/>
  <c r="V127" i="42"/>
  <c r="V130" i="42" s="1"/>
  <c r="AH150" i="31"/>
  <c r="AI147" i="31"/>
  <c r="AL150" i="31"/>
  <c r="AH149" i="31"/>
  <c r="AL149" i="31"/>
  <c r="Y130" i="39"/>
  <c r="Z129" i="39"/>
  <c r="Z130" i="39"/>
  <c r="Y129" i="39"/>
  <c r="R127" i="39"/>
  <c r="X153" i="59"/>
  <c r="R155" i="59"/>
  <c r="V52" i="37"/>
  <c r="T52" i="37"/>
  <c r="AV9" i="12"/>
  <c r="AJ150" i="37"/>
  <c r="AJ149" i="37"/>
  <c r="G133" i="39"/>
  <c r="D133" i="39"/>
  <c r="F133" i="39" s="1"/>
  <c r="C132" i="39"/>
  <c r="AL144" i="38"/>
  <c r="AH144" i="38"/>
  <c r="AL145" i="38"/>
  <c r="AH145" i="38"/>
  <c r="AI142" i="38"/>
  <c r="H42" i="35"/>
  <c r="C143" i="29"/>
  <c r="C144" i="29"/>
  <c r="X127" i="50"/>
  <c r="R129" i="50"/>
  <c r="C144" i="33"/>
  <c r="C143" i="33"/>
  <c r="A149" i="30"/>
  <c r="B148" i="30"/>
  <c r="C143" i="41"/>
  <c r="C144" i="41"/>
  <c r="M140" i="50"/>
  <c r="I140" i="50"/>
  <c r="G139" i="50"/>
  <c r="M139" i="50"/>
  <c r="I139" i="50"/>
  <c r="L134" i="40"/>
  <c r="D132" i="40"/>
  <c r="K134" i="40"/>
  <c r="L135" i="40"/>
  <c r="G132" i="40"/>
  <c r="K135" i="40"/>
  <c r="AU7" i="61"/>
  <c r="AL10" i="68" s="1"/>
  <c r="B7" i="9"/>
  <c r="C20" i="47"/>
  <c r="AP7" i="9"/>
  <c r="F45" i="36"/>
  <c r="G138" i="32"/>
  <c r="D138" i="32"/>
  <c r="F138" i="32" s="1"/>
  <c r="C137" i="32"/>
  <c r="AJ150" i="45"/>
  <c r="AJ149" i="45"/>
  <c r="AL144" i="35"/>
  <c r="AH144" i="35"/>
  <c r="AL145" i="35"/>
  <c r="AH145" i="35"/>
  <c r="AI142" i="35"/>
  <c r="AV13" i="16"/>
  <c r="AL150" i="49"/>
  <c r="AH150" i="49"/>
  <c r="AI147" i="49"/>
  <c r="AL149" i="49"/>
  <c r="AH149" i="49"/>
  <c r="A150" i="49"/>
  <c r="B150" i="49" s="1"/>
  <c r="B149" i="49"/>
  <c r="AG6" i="12"/>
  <c r="AT8" i="61"/>
  <c r="AK11" i="68" s="1"/>
  <c r="B8" i="10"/>
  <c r="C19" i="46"/>
  <c r="AP8" i="10"/>
  <c r="AV11" i="14"/>
  <c r="X13" i="18"/>
  <c r="AA13" i="18"/>
  <c r="AG13" i="18" s="1"/>
  <c r="O145" i="35"/>
  <c r="P145" i="35" s="1"/>
  <c r="P144" i="35"/>
  <c r="F125" i="27"/>
  <c r="H122" i="27"/>
  <c r="H125" i="27" s="1"/>
  <c r="AE89" i="44"/>
  <c r="AG89" i="44" s="1"/>
  <c r="AE93" i="44"/>
  <c r="D89" i="44"/>
  <c r="R88" i="44"/>
  <c r="AA140" i="49"/>
  <c r="AO140" i="49" s="1"/>
  <c r="W140" i="49"/>
  <c r="AA139" i="49"/>
  <c r="AO139" i="49" s="1"/>
  <c r="W139" i="49"/>
  <c r="AR125" i="42"/>
  <c r="AR124" i="42"/>
  <c r="H133" i="38"/>
  <c r="AL150" i="36"/>
  <c r="AH150" i="36"/>
  <c r="AL149" i="36"/>
  <c r="AH149" i="36"/>
  <c r="AI147" i="36"/>
  <c r="F122" i="30"/>
  <c r="V59" i="40"/>
  <c r="V60" i="40" s="1"/>
  <c r="T59" i="40"/>
  <c r="T60" i="40" s="1"/>
  <c r="X59" i="40" s="1"/>
  <c r="L130" i="30"/>
  <c r="G127" i="30"/>
  <c r="K130" i="30"/>
  <c r="L129" i="30"/>
  <c r="D127" i="30"/>
  <c r="K129" i="30"/>
  <c r="F122" i="37"/>
  <c r="H17" i="20"/>
  <c r="I17" i="20" s="1"/>
  <c r="D17" i="20"/>
  <c r="F17" i="20" s="1"/>
  <c r="G17" i="20" s="1"/>
  <c r="AF8" i="13"/>
  <c r="AG83" i="43"/>
  <c r="AL150" i="27"/>
  <c r="AH150" i="27"/>
  <c r="AI147" i="27"/>
  <c r="AL149" i="27"/>
  <c r="AH149" i="27"/>
  <c r="X120" i="45"/>
  <c r="AB120" i="45" s="1"/>
  <c r="AR119" i="45" s="1"/>
  <c r="C144" i="40"/>
  <c r="C143" i="40"/>
  <c r="H148" i="59"/>
  <c r="Z130" i="49"/>
  <c r="Z129" i="49"/>
  <c r="Y130" i="49"/>
  <c r="Y129" i="49"/>
  <c r="R127" i="49"/>
  <c r="AA140" i="46"/>
  <c r="AO140" i="46" s="1"/>
  <c r="AP140" i="46" s="1"/>
  <c r="W140" i="46"/>
  <c r="AA139" i="46"/>
  <c r="AO139" i="46" s="1"/>
  <c r="AP139" i="46" s="1"/>
  <c r="W139" i="46"/>
  <c r="R48" i="36"/>
  <c r="AE53" i="36"/>
  <c r="AE49" i="36"/>
  <c r="AG49" i="36" s="1"/>
  <c r="D49" i="36"/>
  <c r="F49" i="36" s="1"/>
  <c r="H49" i="36" s="1"/>
  <c r="R44" i="36"/>
  <c r="R52" i="36"/>
  <c r="D57" i="36"/>
  <c r="X127" i="46"/>
  <c r="R129" i="46"/>
  <c r="AI95" i="46"/>
  <c r="J95" i="46"/>
  <c r="N95" i="46" s="1"/>
  <c r="AQ95" i="46" s="1"/>
  <c r="J94" i="46"/>
  <c r="N94" i="46" s="1"/>
  <c r="AQ94" i="46" s="1"/>
  <c r="F127" i="47"/>
  <c r="AA145" i="26"/>
  <c r="AO145" i="26" s="1"/>
  <c r="AP145" i="26" s="1"/>
  <c r="W145" i="26"/>
  <c r="AA144" i="26"/>
  <c r="AO144" i="26" s="1"/>
  <c r="AP144" i="26" s="1"/>
  <c r="W144" i="26"/>
  <c r="AJ149" i="26"/>
  <c r="AJ150" i="26"/>
  <c r="P147" i="39"/>
  <c r="O148" i="39"/>
  <c r="M135" i="46"/>
  <c r="I135" i="46"/>
  <c r="G134" i="46"/>
  <c r="M134" i="46"/>
  <c r="I134" i="46"/>
  <c r="H128" i="43"/>
  <c r="V124" i="33"/>
  <c r="T124" i="33"/>
  <c r="X149" i="59"/>
  <c r="AB149" i="59" s="1"/>
  <c r="AG63" i="39"/>
  <c r="Q134" i="27"/>
  <c r="Q132" i="27"/>
  <c r="AG78" i="42"/>
  <c r="AG43" i="35"/>
  <c r="Z130" i="33"/>
  <c r="Z129" i="33"/>
  <c r="R127" i="33"/>
  <c r="Y130" i="33"/>
  <c r="Y129" i="33"/>
  <c r="F7" i="11"/>
  <c r="V124" i="34"/>
  <c r="T124" i="34"/>
  <c r="X132" i="29"/>
  <c r="R134" i="29"/>
  <c r="Y130" i="45"/>
  <c r="Y129" i="45"/>
  <c r="Z129" i="45"/>
  <c r="Z130" i="45"/>
  <c r="R127" i="45"/>
  <c r="H57" i="38"/>
  <c r="C160" i="59"/>
  <c r="C161" i="59"/>
  <c r="AG98" i="45"/>
  <c r="Y13" i="17"/>
  <c r="X12" i="17" s="1"/>
  <c r="AG4" i="10"/>
  <c r="AN174" i="59"/>
  <c r="AJ174" i="59"/>
  <c r="AN173" i="59"/>
  <c r="AJ173" i="59"/>
  <c r="AK171" i="59"/>
  <c r="F127" i="49"/>
  <c r="P148" i="26"/>
  <c r="Q148" i="26" s="1"/>
  <c r="O149" i="26"/>
  <c r="V124" i="28"/>
  <c r="T124" i="28"/>
  <c r="F127" i="42"/>
  <c r="X132" i="35"/>
  <c r="R134" i="35"/>
  <c r="AL144" i="41"/>
  <c r="AH144" i="41"/>
  <c r="AL145" i="41"/>
  <c r="AH145" i="41"/>
  <c r="AI142" i="41"/>
  <c r="V122" i="50"/>
  <c r="V125" i="50" s="1"/>
  <c r="T122" i="50"/>
  <c r="T125" i="50" s="1"/>
  <c r="X124" i="50" s="1"/>
  <c r="AB124" i="50" s="1"/>
  <c r="H72" i="40"/>
  <c r="H122" i="35"/>
  <c r="H125" i="35" s="1"/>
  <c r="F125" i="35"/>
  <c r="T75" i="43"/>
  <c r="X74" i="43" s="1"/>
  <c r="AV12" i="15"/>
  <c r="AV19" i="22"/>
  <c r="X127" i="34"/>
  <c r="R129" i="34"/>
  <c r="H133" i="28"/>
  <c r="Q161" i="59"/>
  <c r="Q159" i="59"/>
  <c r="M139" i="31"/>
  <c r="I139" i="31"/>
  <c r="M140" i="31"/>
  <c r="I140" i="31"/>
  <c r="G139" i="31"/>
  <c r="H77" i="41"/>
  <c r="AI147" i="50"/>
  <c r="AL149" i="50"/>
  <c r="AH149" i="50"/>
  <c r="AL150" i="50"/>
  <c r="AH150" i="50"/>
  <c r="Q137" i="47"/>
  <c r="Q139" i="47"/>
  <c r="F125" i="47"/>
  <c r="H122" i="47"/>
  <c r="H125" i="47" s="1"/>
  <c r="F122" i="46"/>
  <c r="AG50" i="37"/>
  <c r="AI50" i="37" s="1"/>
  <c r="O145" i="30"/>
  <c r="P145" i="30" s="1"/>
  <c r="P144" i="30"/>
  <c r="L134" i="34"/>
  <c r="D132" i="34"/>
  <c r="K134" i="34"/>
  <c r="L135" i="34"/>
  <c r="G132" i="34"/>
  <c r="K135" i="34"/>
  <c r="Q132" i="28"/>
  <c r="Q134" i="28"/>
  <c r="J62" i="40"/>
  <c r="V127" i="30"/>
  <c r="V130" i="30" s="1"/>
  <c r="T127" i="30"/>
  <c r="T130" i="30" s="1"/>
  <c r="X129" i="30" s="1"/>
  <c r="AB129" i="30" s="1"/>
  <c r="L129" i="37"/>
  <c r="D127" i="37"/>
  <c r="K129" i="37"/>
  <c r="L130" i="37"/>
  <c r="G127" i="37"/>
  <c r="K130" i="37"/>
  <c r="O144" i="39"/>
  <c r="P143" i="39"/>
  <c r="Q143" i="39" s="1"/>
  <c r="AA6" i="11"/>
  <c r="O148" i="46"/>
  <c r="P147" i="46"/>
  <c r="Y5" i="9"/>
  <c r="H133" i="50"/>
  <c r="Y15" i="19"/>
  <c r="Y12" i="16"/>
  <c r="H20" i="23"/>
  <c r="I20" i="23" s="1"/>
  <c r="D20" i="23"/>
  <c r="F20" i="23" s="1"/>
  <c r="G20" i="23" s="1"/>
  <c r="C139" i="39"/>
  <c r="C138" i="39"/>
  <c r="Q132" i="34"/>
  <c r="Q134" i="34"/>
  <c r="H128" i="46"/>
  <c r="F60" i="39"/>
  <c r="J59" i="39" s="1"/>
  <c r="V83" i="44"/>
  <c r="T83" i="44"/>
  <c r="Y7" i="11"/>
  <c r="M135" i="37"/>
  <c r="I135" i="37"/>
  <c r="G134" i="37"/>
  <c r="M134" i="37"/>
  <c r="I134" i="37"/>
  <c r="H49" i="38"/>
  <c r="H50" i="38" s="1"/>
  <c r="J50" i="38" s="1"/>
  <c r="F50" i="38"/>
  <c r="J49" i="38" s="1"/>
  <c r="Q139" i="30"/>
  <c r="Q137" i="30"/>
  <c r="K135" i="31"/>
  <c r="L134" i="31"/>
  <c r="D132" i="31"/>
  <c r="K134" i="31"/>
  <c r="L135" i="31"/>
  <c r="G132" i="31"/>
  <c r="O145" i="36"/>
  <c r="P145" i="36" s="1"/>
  <c r="P144" i="36"/>
  <c r="F42" i="34"/>
  <c r="V33" i="34"/>
  <c r="T33" i="34"/>
  <c r="AE75" i="41"/>
  <c r="AI74" i="41" s="1"/>
  <c r="AG73" i="41"/>
  <c r="AG75" i="41" s="1"/>
  <c r="O144" i="28"/>
  <c r="P143" i="28"/>
  <c r="Q143" i="28" s="1"/>
  <c r="F125" i="49"/>
  <c r="H122" i="49"/>
  <c r="H125" i="49" s="1"/>
  <c r="O140" i="27"/>
  <c r="P140" i="27" s="1"/>
  <c r="P139" i="27"/>
  <c r="P139" i="40"/>
  <c r="O140" i="40"/>
  <c r="P140" i="40" s="1"/>
  <c r="AI147" i="28"/>
  <c r="AL149" i="28"/>
  <c r="AH149" i="28"/>
  <c r="AL150" i="28"/>
  <c r="AH150" i="28"/>
  <c r="O144" i="37"/>
  <c r="P143" i="37"/>
  <c r="Q143" i="37" s="1"/>
  <c r="Q132" i="50"/>
  <c r="Q134" i="50"/>
  <c r="AL16" i="61"/>
  <c r="AC19" i="68" s="1"/>
  <c r="B16" i="18"/>
  <c r="AP16" i="18"/>
  <c r="C11" i="38"/>
  <c r="V124" i="50"/>
  <c r="T124" i="50"/>
  <c r="AG65" i="40"/>
  <c r="Q132" i="46"/>
  <c r="Q134" i="46"/>
  <c r="X132" i="36"/>
  <c r="R134" i="36"/>
  <c r="Q132" i="45"/>
  <c r="Q134" i="45"/>
  <c r="AF9" i="15"/>
  <c r="O140" i="39"/>
  <c r="P140" i="39" s="1"/>
  <c r="P139" i="39"/>
  <c r="F127" i="33"/>
  <c r="Q132" i="37"/>
  <c r="Q134" i="37"/>
  <c r="Y8" i="12"/>
  <c r="X7" i="12" s="1"/>
  <c r="A149" i="43"/>
  <c r="B148" i="43"/>
  <c r="AA145" i="41"/>
  <c r="AO145" i="41" s="1"/>
  <c r="AP145" i="41" s="1"/>
  <c r="W145" i="41"/>
  <c r="AA144" i="41"/>
  <c r="AO144" i="41" s="1"/>
  <c r="AP144" i="41" s="1"/>
  <c r="W144" i="41"/>
  <c r="X12" i="18"/>
  <c r="AK39" i="37"/>
  <c r="AM39" i="37" s="1"/>
  <c r="AS39" i="37" s="1"/>
  <c r="Z39" i="37"/>
  <c r="AB39" i="37" s="1"/>
  <c r="L44" i="37"/>
  <c r="EX127" i="61" l="1"/>
  <c r="GI127" i="61" s="1"/>
  <c r="O6" i="64" s="1"/>
  <c r="AO7" i="68"/>
  <c r="AK65" i="44"/>
  <c r="AM65" i="44" s="1"/>
  <c r="AS65" i="44" s="1"/>
  <c r="J102" i="47"/>
  <c r="D130" i="65"/>
  <c r="A130" i="65" s="1"/>
  <c r="CX98" i="61"/>
  <c r="T72" i="40"/>
  <c r="V50" i="37"/>
  <c r="N60" i="40"/>
  <c r="AQ60" i="40" s="1"/>
  <c r="J105" i="48"/>
  <c r="AI40" i="35"/>
  <c r="AE95" i="45"/>
  <c r="AI94" i="45" s="1"/>
  <c r="I130" i="66"/>
  <c r="L275" i="66"/>
  <c r="B151" i="66"/>
  <c r="AG95" i="45"/>
  <c r="AI115" i="50"/>
  <c r="AB40" i="37"/>
  <c r="J92" i="45"/>
  <c r="J95" i="45" s="1"/>
  <c r="N95" i="45" s="1"/>
  <c r="AQ95" i="45" s="1"/>
  <c r="L191" i="66"/>
  <c r="J191" i="66" s="1"/>
  <c r="B191" i="65" s="1"/>
  <c r="AE80" i="42"/>
  <c r="AI79" i="42" s="1"/>
  <c r="T103" i="47"/>
  <c r="AE85" i="43"/>
  <c r="AI84" i="43" s="1"/>
  <c r="AG85" i="43"/>
  <c r="N55" i="39"/>
  <c r="AQ55" i="39" s="1"/>
  <c r="AE105" i="47"/>
  <c r="AI104" i="47" s="1"/>
  <c r="J117" i="50"/>
  <c r="D187" i="66"/>
  <c r="B109" i="66"/>
  <c r="A109" i="66"/>
  <c r="A142" i="66"/>
  <c r="B142" i="66"/>
  <c r="D152" i="66"/>
  <c r="A152" i="66" s="1"/>
  <c r="D132" i="66"/>
  <c r="D143" i="66"/>
  <c r="L155" i="66"/>
  <c r="B131" i="66"/>
  <c r="A131" i="66"/>
  <c r="D230" i="66"/>
  <c r="A230" i="66" s="1"/>
  <c r="L215" i="66"/>
  <c r="L149" i="66"/>
  <c r="J149" i="66" s="1"/>
  <c r="B149" i="65" s="1"/>
  <c r="L131" i="66"/>
  <c r="D242" i="66"/>
  <c r="B242" i="66" s="1"/>
  <c r="J214" i="66"/>
  <c r="B214" i="65" s="1"/>
  <c r="D214" i="65"/>
  <c r="A214" i="65" s="1"/>
  <c r="I214" i="66"/>
  <c r="D118" i="65"/>
  <c r="A118" i="65" s="1"/>
  <c r="J118" i="66"/>
  <c r="B118" i="65" s="1"/>
  <c r="I118" i="66"/>
  <c r="I154" i="66"/>
  <c r="D154" i="65"/>
  <c r="J154" i="66"/>
  <c r="B154" i="65" s="1"/>
  <c r="L6" i="44"/>
  <c r="AP64" i="44" s="1"/>
  <c r="Z55" i="41"/>
  <c r="AB55" i="41" s="1"/>
  <c r="X6" i="47"/>
  <c r="J114" i="50"/>
  <c r="J115" i="50"/>
  <c r="AI90" i="45"/>
  <c r="AI85" i="44"/>
  <c r="AR120" i="49"/>
  <c r="X90" i="47"/>
  <c r="X110" i="50"/>
  <c r="I134" i="66"/>
  <c r="D134" i="65"/>
  <c r="A134" i="65" s="1"/>
  <c r="J134" i="66"/>
  <c r="B134" i="65" s="1"/>
  <c r="J275" i="66"/>
  <c r="B275" i="65" s="1"/>
  <c r="D275" i="65"/>
  <c r="I275" i="66"/>
  <c r="I149" i="66"/>
  <c r="B125" i="66"/>
  <c r="A125" i="66"/>
  <c r="D113" i="66"/>
  <c r="L121" i="66"/>
  <c r="D120" i="65"/>
  <c r="A120" i="65" s="1"/>
  <c r="I120" i="66"/>
  <c r="J120" i="66"/>
  <c r="B120" i="65" s="1"/>
  <c r="J176" i="66"/>
  <c r="B176" i="65" s="1"/>
  <c r="I176" i="66"/>
  <c r="D176" i="65"/>
  <c r="A176" i="65" s="1"/>
  <c r="D165" i="66"/>
  <c r="L177" i="66"/>
  <c r="D191" i="65"/>
  <c r="D126" i="66"/>
  <c r="L135" i="66"/>
  <c r="B112" i="66"/>
  <c r="A112" i="66"/>
  <c r="B164" i="66"/>
  <c r="A164" i="66"/>
  <c r="D383" i="66"/>
  <c r="L403" i="66"/>
  <c r="L163" i="66"/>
  <c r="CU101" i="61"/>
  <c r="D79" i="66"/>
  <c r="L83" i="66"/>
  <c r="R84" i="43"/>
  <c r="V84" i="43" s="1"/>
  <c r="D98" i="43"/>
  <c r="F98" i="43" s="1"/>
  <c r="H98" i="43" s="1"/>
  <c r="R97" i="43"/>
  <c r="D102" i="43"/>
  <c r="F102" i="43" s="1"/>
  <c r="R87" i="42"/>
  <c r="D97" i="42"/>
  <c r="F97" i="42" s="1"/>
  <c r="R89" i="45"/>
  <c r="D103" i="45"/>
  <c r="F103" i="45" s="1"/>
  <c r="R102" i="45"/>
  <c r="D107" i="45"/>
  <c r="F107" i="45" s="1"/>
  <c r="B21" i="66"/>
  <c r="A21" i="66"/>
  <c r="V87" i="43"/>
  <c r="T87" i="43"/>
  <c r="T99" i="47"/>
  <c r="T100" i="47" s="1"/>
  <c r="X99" i="47" s="1"/>
  <c r="V99" i="47"/>
  <c r="V114" i="50"/>
  <c r="T114" i="50"/>
  <c r="T115" i="50" s="1"/>
  <c r="X114" i="50" s="1"/>
  <c r="T118" i="50"/>
  <c r="V118" i="50"/>
  <c r="B173" i="66"/>
  <c r="A173" i="66"/>
  <c r="J107" i="48"/>
  <c r="F109" i="48"/>
  <c r="V112" i="48"/>
  <c r="T112" i="48"/>
  <c r="H105" i="47"/>
  <c r="J105" i="47" s="1"/>
  <c r="B382" i="66"/>
  <c r="A382" i="66"/>
  <c r="D362" i="65"/>
  <c r="A362" i="65" s="1"/>
  <c r="J362" i="66"/>
  <c r="B362" i="65" s="1"/>
  <c r="I362" i="66"/>
  <c r="D82" i="65"/>
  <c r="A82" i="65" s="1"/>
  <c r="I82" i="66"/>
  <c r="J82" i="66"/>
  <c r="B82" i="65" s="1"/>
  <c r="B135" i="66"/>
  <c r="A135" i="66"/>
  <c r="D42" i="65"/>
  <c r="A42" i="65" s="1"/>
  <c r="I42" i="66"/>
  <c r="J42" i="66"/>
  <c r="B42" i="65" s="1"/>
  <c r="H103" i="46"/>
  <c r="R99" i="46"/>
  <c r="D108" i="46"/>
  <c r="F108" i="46" s="1"/>
  <c r="H108" i="46" s="1"/>
  <c r="R107" i="46"/>
  <c r="D112" i="46"/>
  <c r="F112" i="46" s="1"/>
  <c r="CT102" i="61"/>
  <c r="D98" i="66"/>
  <c r="L103" i="66"/>
  <c r="R109" i="48"/>
  <c r="D118" i="48"/>
  <c r="F118" i="48" s="1"/>
  <c r="H118" i="48" s="1"/>
  <c r="D114" i="48"/>
  <c r="F114" i="48" s="1"/>
  <c r="H114" i="48" s="1"/>
  <c r="AE118" i="48"/>
  <c r="AE114" i="48"/>
  <c r="AG114" i="48" s="1"/>
  <c r="R113" i="48"/>
  <c r="L203" i="66"/>
  <c r="CR104" i="61"/>
  <c r="D136" i="66"/>
  <c r="L143" i="66"/>
  <c r="AE104" i="46"/>
  <c r="AG104" i="46" s="1"/>
  <c r="D402" i="66"/>
  <c r="L423" i="66"/>
  <c r="H112" i="47"/>
  <c r="D122" i="65"/>
  <c r="A122" i="65" s="1"/>
  <c r="J122" i="66"/>
  <c r="B122" i="65" s="1"/>
  <c r="I122" i="66"/>
  <c r="H109" i="49"/>
  <c r="H110" i="49" s="1"/>
  <c r="J110" i="49" s="1"/>
  <c r="F110" i="49"/>
  <c r="J109" i="49" s="1"/>
  <c r="D162" i="65"/>
  <c r="A162" i="65" s="1"/>
  <c r="J162" i="66"/>
  <c r="B162" i="65" s="1"/>
  <c r="I162" i="66"/>
  <c r="D102" i="65"/>
  <c r="A102" i="65" s="1"/>
  <c r="I102" i="66"/>
  <c r="J102" i="66"/>
  <c r="B102" i="65" s="1"/>
  <c r="V108" i="48"/>
  <c r="T108" i="48"/>
  <c r="V104" i="48"/>
  <c r="V105" i="48" s="1"/>
  <c r="T104" i="48"/>
  <c r="T105" i="48" s="1"/>
  <c r="X104" i="48" s="1"/>
  <c r="AI110" i="49"/>
  <c r="H102" i="44"/>
  <c r="B78" i="66"/>
  <c r="A78" i="66"/>
  <c r="D382" i="65"/>
  <c r="A382" i="65" s="1"/>
  <c r="J382" i="66"/>
  <c r="B382" i="65" s="1"/>
  <c r="I382" i="66"/>
  <c r="B40" i="66"/>
  <c r="A40" i="66"/>
  <c r="V89" i="46"/>
  <c r="V90" i="46" s="1"/>
  <c r="T89" i="46"/>
  <c r="T90" i="46" s="1"/>
  <c r="X89" i="46" s="1"/>
  <c r="R118" i="49"/>
  <c r="AE123" i="49"/>
  <c r="D119" i="49"/>
  <c r="F119" i="49" s="1"/>
  <c r="H119" i="49" s="1"/>
  <c r="AE119" i="49"/>
  <c r="AG119" i="49" s="1"/>
  <c r="R114" i="49"/>
  <c r="CW99" i="61"/>
  <c r="D41" i="66"/>
  <c r="L43" i="66"/>
  <c r="AE108" i="46"/>
  <c r="AG108" i="46" s="1"/>
  <c r="AB16" i="49"/>
  <c r="AD16" i="49" s="1"/>
  <c r="AB5" i="49"/>
  <c r="AD5" i="49" s="1"/>
  <c r="H118" i="50"/>
  <c r="H120" i="50" s="1"/>
  <c r="F120" i="50"/>
  <c r="J119" i="50" s="1"/>
  <c r="AG118" i="49"/>
  <c r="T107" i="47"/>
  <c r="V107" i="47"/>
  <c r="B116" i="66"/>
  <c r="A116" i="66"/>
  <c r="AG115" i="49"/>
  <c r="AG123" i="50"/>
  <c r="B97" i="66"/>
  <c r="A97" i="66"/>
  <c r="F117" i="48"/>
  <c r="AG109" i="48"/>
  <c r="AG110" i="48" s="1"/>
  <c r="AE110" i="48"/>
  <c r="AI109" i="48" s="1"/>
  <c r="X100" i="48"/>
  <c r="D62" i="65"/>
  <c r="A62" i="65" s="1"/>
  <c r="I62" i="66"/>
  <c r="J62" i="66"/>
  <c r="B62" i="65" s="1"/>
  <c r="V97" i="44"/>
  <c r="T97" i="44"/>
  <c r="B363" i="66"/>
  <c r="A363" i="66"/>
  <c r="AE120" i="50"/>
  <c r="AI119" i="50" s="1"/>
  <c r="J112" i="49"/>
  <c r="H107" i="46"/>
  <c r="CS103" i="61"/>
  <c r="D117" i="66"/>
  <c r="L123" i="66"/>
  <c r="R104" i="47"/>
  <c r="D113" i="47"/>
  <c r="R112" i="47"/>
  <c r="D117" i="47"/>
  <c r="AE109" i="47"/>
  <c r="D109" i="47"/>
  <c r="AE113" i="47"/>
  <c r="R108" i="47"/>
  <c r="D364" i="66"/>
  <c r="L383" i="66"/>
  <c r="CV100" i="61"/>
  <c r="D60" i="66"/>
  <c r="L63" i="66"/>
  <c r="AE128" i="50"/>
  <c r="AE124" i="50"/>
  <c r="AG124" i="50" s="1"/>
  <c r="R123" i="50"/>
  <c r="D124" i="50"/>
  <c r="D174" i="66"/>
  <c r="H99" i="47"/>
  <c r="H100" i="47" s="1"/>
  <c r="J100" i="47" s="1"/>
  <c r="F100" i="47"/>
  <c r="J99" i="47" s="1"/>
  <c r="V100" i="47"/>
  <c r="D104" i="46"/>
  <c r="F104" i="46" s="1"/>
  <c r="H104" i="46" s="1"/>
  <c r="R103" i="46"/>
  <c r="V103" i="46" s="1"/>
  <c r="AB4" i="49"/>
  <c r="AD4" i="49" s="1"/>
  <c r="AB15" i="49"/>
  <c r="AD15" i="49" s="1"/>
  <c r="X105" i="49"/>
  <c r="D22" i="65"/>
  <c r="A22" i="65" s="1"/>
  <c r="I22" i="66"/>
  <c r="J22" i="66"/>
  <c r="B22" i="65" s="1"/>
  <c r="V113" i="49"/>
  <c r="T113" i="49"/>
  <c r="V109" i="49"/>
  <c r="V110" i="49" s="1"/>
  <c r="T109" i="49"/>
  <c r="T110" i="49" s="1"/>
  <c r="X109" i="49" s="1"/>
  <c r="H97" i="43"/>
  <c r="AE115" i="49"/>
  <c r="AI114" i="49" s="1"/>
  <c r="AG113" i="48"/>
  <c r="AG115" i="48" s="1"/>
  <c r="F113" i="48"/>
  <c r="F105" i="47"/>
  <c r="V115" i="50"/>
  <c r="H117" i="49"/>
  <c r="D402" i="65"/>
  <c r="A402" i="65" s="1"/>
  <c r="J402" i="66"/>
  <c r="B402" i="65" s="1"/>
  <c r="I402" i="66"/>
  <c r="B59" i="66"/>
  <c r="A59" i="66"/>
  <c r="D202" i="65"/>
  <c r="A202" i="65" s="1"/>
  <c r="I202" i="66"/>
  <c r="J202" i="66"/>
  <c r="B202" i="65" s="1"/>
  <c r="D142" i="65"/>
  <c r="A142" i="65" s="1"/>
  <c r="J142" i="66"/>
  <c r="B142" i="65" s="1"/>
  <c r="I142" i="66"/>
  <c r="AG120" i="50"/>
  <c r="H113" i="49"/>
  <c r="H115" i="49" s="1"/>
  <c r="F115" i="49"/>
  <c r="V102" i="46"/>
  <c r="T102" i="46"/>
  <c r="L60" i="41"/>
  <c r="N60" i="41" s="1"/>
  <c r="AQ60" i="41" s="1"/>
  <c r="AB23" i="41"/>
  <c r="AD23" i="41" s="1"/>
  <c r="AB28" i="41"/>
  <c r="AD28" i="41" s="1"/>
  <c r="AP6" i="41"/>
  <c r="AR6" i="41" s="1"/>
  <c r="Z54" i="41"/>
  <c r="AB54" i="41" s="1"/>
  <c r="AR54" i="41" s="1"/>
  <c r="AB22" i="41"/>
  <c r="AD22" i="41" s="1"/>
  <c r="X24" i="41" s="1"/>
  <c r="AB27" i="41"/>
  <c r="AD27" i="41" s="1"/>
  <c r="AP5" i="41"/>
  <c r="AR5" i="41" s="1"/>
  <c r="AN11" i="43"/>
  <c r="CF116" i="61"/>
  <c r="CP106" i="61"/>
  <c r="A99" i="65"/>
  <c r="CK111" i="61"/>
  <c r="CE117" i="61"/>
  <c r="CQ105" i="61"/>
  <c r="CI113" i="61"/>
  <c r="CG115" i="61"/>
  <c r="CN108" i="61"/>
  <c r="CH114" i="61"/>
  <c r="CM109" i="61"/>
  <c r="CL110" i="61"/>
  <c r="CJ112" i="61"/>
  <c r="CO107" i="61"/>
  <c r="A138" i="65"/>
  <c r="A112" i="65"/>
  <c r="X6" i="42"/>
  <c r="L6" i="42" s="1"/>
  <c r="AP54" i="42" s="1"/>
  <c r="X7" i="44"/>
  <c r="L7" i="44" s="1"/>
  <c r="AP65" i="44" s="1"/>
  <c r="X6" i="48"/>
  <c r="X7" i="48"/>
  <c r="AE98" i="44"/>
  <c r="L80" i="49"/>
  <c r="N80" i="49" s="1"/>
  <c r="AQ80" i="49" s="1"/>
  <c r="V93" i="45"/>
  <c r="L59" i="41"/>
  <c r="N59" i="41" s="1"/>
  <c r="AQ59" i="41" s="1"/>
  <c r="AK54" i="41"/>
  <c r="AM54" i="41" s="1"/>
  <c r="AS54" i="41" s="1"/>
  <c r="AI65" i="40"/>
  <c r="AG45" i="35"/>
  <c r="AE45" i="35"/>
  <c r="AI44" i="35" s="1"/>
  <c r="AG80" i="42"/>
  <c r="AV23" i="25"/>
  <c r="H23" i="25"/>
  <c r="I23" i="25" s="1"/>
  <c r="D23" i="25"/>
  <c r="F23" i="25" s="1"/>
  <c r="G23" i="25" s="1"/>
  <c r="AE24" i="61"/>
  <c r="AP24" i="25"/>
  <c r="B24" i="25"/>
  <c r="C4" i="30"/>
  <c r="D37" i="31"/>
  <c r="F37" i="31" s="1"/>
  <c r="H37" i="31" s="1"/>
  <c r="AE33" i="31"/>
  <c r="AG33" i="31" s="1"/>
  <c r="R32" i="31"/>
  <c r="V32" i="32"/>
  <c r="T32" i="32"/>
  <c r="J37" i="34"/>
  <c r="AE65" i="39"/>
  <c r="AI64" i="39" s="1"/>
  <c r="D94" i="44"/>
  <c r="F94" i="44" s="1"/>
  <c r="H94" i="44" s="1"/>
  <c r="R93" i="44"/>
  <c r="AR69" i="48"/>
  <c r="AR70" i="48"/>
  <c r="AI75" i="42"/>
  <c r="AR55" i="42"/>
  <c r="AT55" i="42" s="1"/>
  <c r="E9" i="42" s="1"/>
  <c r="AR54" i="42"/>
  <c r="AR124" i="29"/>
  <c r="AI60" i="39"/>
  <c r="AM60" i="39" s="1"/>
  <c r="AS60" i="39" s="1"/>
  <c r="AR125" i="47"/>
  <c r="AG65" i="39"/>
  <c r="J62" i="39"/>
  <c r="AI80" i="43"/>
  <c r="Z75" i="49"/>
  <c r="AB75" i="49" s="1"/>
  <c r="X70" i="42"/>
  <c r="X80" i="44"/>
  <c r="X85" i="45"/>
  <c r="X50" i="37"/>
  <c r="AI100" i="47"/>
  <c r="L79" i="49"/>
  <c r="N79" i="49" s="1"/>
  <c r="AQ79" i="49" s="1"/>
  <c r="Z74" i="49"/>
  <c r="AB74" i="49" s="1"/>
  <c r="D83" i="41"/>
  <c r="F83" i="41" s="1"/>
  <c r="H83" i="41" s="1"/>
  <c r="R82" i="41"/>
  <c r="D87" i="41"/>
  <c r="F87" i="41" s="1"/>
  <c r="D82" i="40"/>
  <c r="F82" i="40" s="1"/>
  <c r="R77" i="40"/>
  <c r="H54" i="38"/>
  <c r="H55" i="38" s="1"/>
  <c r="J55" i="38" s="1"/>
  <c r="F55" i="38"/>
  <c r="J54" i="38" s="1"/>
  <c r="T69" i="41"/>
  <c r="T70" i="41" s="1"/>
  <c r="X69" i="41" s="1"/>
  <c r="V69" i="41"/>
  <c r="V70" i="41" s="1"/>
  <c r="H87" i="42"/>
  <c r="AG99" i="46"/>
  <c r="AG100" i="46" s="1"/>
  <c r="AE100" i="46"/>
  <c r="AI99" i="46" s="1"/>
  <c r="J97" i="46"/>
  <c r="F99" i="46"/>
  <c r="AG103" i="46"/>
  <c r="V47" i="34"/>
  <c r="T47" i="34"/>
  <c r="D52" i="33"/>
  <c r="F52" i="33" s="1"/>
  <c r="R47" i="33"/>
  <c r="H89" i="45"/>
  <c r="H90" i="45" s="1"/>
  <c r="F90" i="45"/>
  <c r="J89" i="45" s="1"/>
  <c r="Z49" i="39"/>
  <c r="AB49" i="39" s="1"/>
  <c r="AR49" i="39" s="1"/>
  <c r="L54" i="39"/>
  <c r="N54" i="39" s="1"/>
  <c r="AQ54" i="39" s="1"/>
  <c r="H69" i="41"/>
  <c r="H70" i="41" s="1"/>
  <c r="F70" i="41"/>
  <c r="J69" i="41" s="1"/>
  <c r="H84" i="44"/>
  <c r="H85" i="44" s="1"/>
  <c r="J85" i="44" s="1"/>
  <c r="F85" i="44"/>
  <c r="J84" i="44" s="1"/>
  <c r="AE99" i="45"/>
  <c r="AE103" i="45"/>
  <c r="R98" i="45"/>
  <c r="D99" i="45"/>
  <c r="V82" i="42"/>
  <c r="T82" i="42"/>
  <c r="V79" i="43"/>
  <c r="V80" i="43" s="1"/>
  <c r="T79" i="43"/>
  <c r="T80" i="43" s="1"/>
  <c r="X79" i="43" s="1"/>
  <c r="T98" i="46"/>
  <c r="V98" i="46"/>
  <c r="V67" i="39"/>
  <c r="T67" i="39"/>
  <c r="V84" i="44"/>
  <c r="V85" i="44" s="1"/>
  <c r="T84" i="44"/>
  <c r="T85" i="44" s="1"/>
  <c r="X84" i="44" s="1"/>
  <c r="H82" i="41"/>
  <c r="H68" i="39"/>
  <c r="AR50" i="40"/>
  <c r="AR49" i="40"/>
  <c r="AI105" i="47"/>
  <c r="D68" i="38"/>
  <c r="F68" i="38" s="1"/>
  <c r="R67" i="38"/>
  <c r="D72" i="38"/>
  <c r="F72" i="38" s="1"/>
  <c r="R39" i="35"/>
  <c r="V39" i="35" s="1"/>
  <c r="V40" i="35" s="1"/>
  <c r="D53" i="35"/>
  <c r="F53" i="35" s="1"/>
  <c r="Z49" i="38"/>
  <c r="AB49" i="38" s="1"/>
  <c r="L54" i="38"/>
  <c r="H67" i="37"/>
  <c r="V49" i="36"/>
  <c r="T49" i="36"/>
  <c r="R79" i="42"/>
  <c r="D88" i="42"/>
  <c r="F88" i="42" s="1"/>
  <c r="H88" i="42" s="1"/>
  <c r="V77" i="41"/>
  <c r="T77" i="41"/>
  <c r="H52" i="34"/>
  <c r="J104" i="47"/>
  <c r="AR144" i="32"/>
  <c r="AR119" i="43"/>
  <c r="J79" i="43"/>
  <c r="J80" i="43"/>
  <c r="AR124" i="38"/>
  <c r="AI45" i="36"/>
  <c r="AR120" i="44"/>
  <c r="N45" i="37"/>
  <c r="AQ45" i="37" s="1"/>
  <c r="AR125" i="35"/>
  <c r="F60" i="38"/>
  <c r="AG40" i="34"/>
  <c r="AE40" i="34"/>
  <c r="AI39" i="34" s="1"/>
  <c r="AR120" i="34"/>
  <c r="H138" i="29"/>
  <c r="H138" i="44"/>
  <c r="AR124" i="30"/>
  <c r="AR119" i="28"/>
  <c r="AT50" i="39"/>
  <c r="E8" i="39" s="1"/>
  <c r="X150" i="32"/>
  <c r="AB150" i="32" s="1"/>
  <c r="AR150" i="32" s="1"/>
  <c r="AR64" i="44"/>
  <c r="AR65" i="44"/>
  <c r="AR45" i="40"/>
  <c r="AT45" i="40" s="1"/>
  <c r="E7" i="40" s="1"/>
  <c r="AK50" i="40" s="1"/>
  <c r="AM50" i="40" s="1"/>
  <c r="AS50" i="40" s="1"/>
  <c r="AR44" i="40"/>
  <c r="AT44" i="40" s="1"/>
  <c r="D7" i="40" s="1"/>
  <c r="AK49" i="40" s="1"/>
  <c r="AM49" i="40" s="1"/>
  <c r="AS49" i="40" s="1"/>
  <c r="H133" i="46"/>
  <c r="L49" i="38"/>
  <c r="N49" i="38" s="1"/>
  <c r="AQ49" i="38" s="1"/>
  <c r="AT49" i="38" s="1"/>
  <c r="D8" i="38" s="1"/>
  <c r="AK44" i="38"/>
  <c r="AM44" i="38" s="1"/>
  <c r="AS44" i="38" s="1"/>
  <c r="Z44" i="38"/>
  <c r="AB44" i="38" s="1"/>
  <c r="Z44" i="39"/>
  <c r="AB44" i="39" s="1"/>
  <c r="AR44" i="39" s="1"/>
  <c r="AT44" i="39" s="1"/>
  <c r="D7" i="39" s="1"/>
  <c r="AK49" i="39" s="1"/>
  <c r="AM49" i="39" s="1"/>
  <c r="AS49" i="39" s="1"/>
  <c r="L49" i="39"/>
  <c r="N49" i="39" s="1"/>
  <c r="AQ49" i="39" s="1"/>
  <c r="AT49" i="39" s="1"/>
  <c r="D8" i="39" s="1"/>
  <c r="AK44" i="39"/>
  <c r="AM44" i="39" s="1"/>
  <c r="AS44" i="39" s="1"/>
  <c r="H138" i="49"/>
  <c r="AR55" i="41"/>
  <c r="L59" i="40"/>
  <c r="N59" i="40" s="1"/>
  <c r="AQ59" i="40" s="1"/>
  <c r="Z54" i="40"/>
  <c r="AB54" i="40" s="1"/>
  <c r="AR54" i="40" s="1"/>
  <c r="AT54" i="40" s="1"/>
  <c r="D9" i="40" s="1"/>
  <c r="AK54" i="40"/>
  <c r="AM54" i="40" s="1"/>
  <c r="AS54" i="40" s="1"/>
  <c r="X150" i="59"/>
  <c r="AB150" i="59" s="1"/>
  <c r="AT150" i="59" s="1"/>
  <c r="H138" i="47"/>
  <c r="X125" i="37"/>
  <c r="AB125" i="37" s="1"/>
  <c r="AR125" i="37" s="1"/>
  <c r="H138" i="32"/>
  <c r="H60" i="38"/>
  <c r="H133" i="43"/>
  <c r="X130" i="38"/>
  <c r="AB130" i="38" s="1"/>
  <c r="AR130" i="38" s="1"/>
  <c r="H138" i="34"/>
  <c r="X130" i="29"/>
  <c r="AB130" i="29" s="1"/>
  <c r="AR130" i="29" s="1"/>
  <c r="AI75" i="41"/>
  <c r="AI35" i="34"/>
  <c r="AM35" i="34" s="1"/>
  <c r="AS35" i="34" s="1"/>
  <c r="Y6" i="9"/>
  <c r="AA6" i="9" s="1"/>
  <c r="AG6" i="9" s="1"/>
  <c r="X130" i="47"/>
  <c r="AB130" i="47" s="1"/>
  <c r="AR130" i="47" s="1"/>
  <c r="X130" i="35"/>
  <c r="AB130" i="35" s="1"/>
  <c r="AR130" i="35" s="1"/>
  <c r="X130" i="26"/>
  <c r="AB130" i="26" s="1"/>
  <c r="AR130" i="26" s="1"/>
  <c r="X125" i="44"/>
  <c r="AB125" i="44" s="1"/>
  <c r="AR125" i="44" s="1"/>
  <c r="X125" i="27"/>
  <c r="AB125" i="27" s="1"/>
  <c r="AR125" i="27" s="1"/>
  <c r="H133" i="45"/>
  <c r="AR120" i="37"/>
  <c r="X125" i="50"/>
  <c r="AB125" i="50" s="1"/>
  <c r="AR124" i="50" s="1"/>
  <c r="X125" i="49"/>
  <c r="AB125" i="49" s="1"/>
  <c r="AR125" i="49" s="1"/>
  <c r="H138" i="31"/>
  <c r="H138" i="42"/>
  <c r="X125" i="28"/>
  <c r="AB125" i="28" s="1"/>
  <c r="AR124" i="28" s="1"/>
  <c r="H138" i="50"/>
  <c r="H133" i="26"/>
  <c r="X125" i="34"/>
  <c r="AB125" i="34" s="1"/>
  <c r="AR124" i="34" s="1"/>
  <c r="AR40" i="37"/>
  <c r="AT40" i="37" s="1"/>
  <c r="E6" i="37" s="1"/>
  <c r="AR39" i="37"/>
  <c r="AT39" i="37" s="1"/>
  <c r="D6" i="37" s="1"/>
  <c r="X130" i="30"/>
  <c r="AB130" i="30" s="1"/>
  <c r="AR129" i="30" s="1"/>
  <c r="X60" i="40"/>
  <c r="X130" i="42"/>
  <c r="AB130" i="42" s="1"/>
  <c r="AR130" i="42" s="1"/>
  <c r="X125" i="39"/>
  <c r="AB125" i="39" s="1"/>
  <c r="AR124" i="39" s="1"/>
  <c r="X45" i="37"/>
  <c r="AB124" i="33"/>
  <c r="X125" i="33"/>
  <c r="AB125" i="33" s="1"/>
  <c r="X125" i="43"/>
  <c r="AB125" i="43" s="1"/>
  <c r="AR125" i="43" s="1"/>
  <c r="Q137" i="39"/>
  <c r="Q139" i="39"/>
  <c r="AV16" i="18"/>
  <c r="Z135" i="50"/>
  <c r="Z134" i="50"/>
  <c r="R132" i="50"/>
  <c r="Y135" i="50"/>
  <c r="Y134" i="50"/>
  <c r="P144" i="28"/>
  <c r="O145" i="28"/>
  <c r="P145" i="28" s="1"/>
  <c r="Q144" i="36"/>
  <c r="Q142" i="36"/>
  <c r="Z140" i="30"/>
  <c r="Z139" i="30"/>
  <c r="R137" i="30"/>
  <c r="Y140" i="30"/>
  <c r="Y139" i="30"/>
  <c r="AA7" i="11"/>
  <c r="AG7" i="11" s="1"/>
  <c r="G138" i="39"/>
  <c r="D138" i="39"/>
  <c r="F138" i="39" s="1"/>
  <c r="C137" i="39"/>
  <c r="AA12" i="16"/>
  <c r="X11" i="16"/>
  <c r="AA5" i="9"/>
  <c r="X4" i="9"/>
  <c r="X6" i="11"/>
  <c r="X132" i="28"/>
  <c r="R134" i="28"/>
  <c r="X125" i="45"/>
  <c r="AB125" i="45" s="1"/>
  <c r="AR124" i="45" s="1"/>
  <c r="Y140" i="47"/>
  <c r="Y139" i="47"/>
  <c r="Z140" i="47"/>
  <c r="Z139" i="47"/>
  <c r="R137" i="47"/>
  <c r="T134" i="35"/>
  <c r="V134" i="35"/>
  <c r="AF4" i="10"/>
  <c r="AF5" i="10" s="1"/>
  <c r="AF6" i="10" s="1"/>
  <c r="M161" i="59"/>
  <c r="M162" i="59"/>
  <c r="G161" i="59"/>
  <c r="T127" i="45"/>
  <c r="T130" i="45" s="1"/>
  <c r="X129" i="45" s="1"/>
  <c r="AB129" i="45" s="1"/>
  <c r="V127" i="45"/>
  <c r="V130" i="45" s="1"/>
  <c r="G7" i="11"/>
  <c r="T127" i="33"/>
  <c r="T130" i="33" s="1"/>
  <c r="X129" i="33" s="1"/>
  <c r="AB129" i="33" s="1"/>
  <c r="V127" i="33"/>
  <c r="V130" i="33" s="1"/>
  <c r="Z135" i="27"/>
  <c r="Z134" i="27"/>
  <c r="R132" i="27"/>
  <c r="Y135" i="27"/>
  <c r="Y134" i="27"/>
  <c r="H127" i="47"/>
  <c r="H130" i="47" s="1"/>
  <c r="F130" i="47"/>
  <c r="F57" i="36"/>
  <c r="M145" i="40"/>
  <c r="I145" i="40"/>
  <c r="G144" i="40"/>
  <c r="M144" i="40"/>
  <c r="I144" i="40"/>
  <c r="F125" i="30"/>
  <c r="H122" i="30"/>
  <c r="H125" i="30" s="1"/>
  <c r="AG93" i="44"/>
  <c r="AG95" i="44" s="1"/>
  <c r="AE95" i="44"/>
  <c r="AI94" i="44" s="1"/>
  <c r="Q142" i="35"/>
  <c r="Q144" i="35"/>
  <c r="AT9" i="61"/>
  <c r="AK12" i="68" s="1"/>
  <c r="AP9" i="10"/>
  <c r="C19" i="45"/>
  <c r="AE104" i="45" s="1"/>
  <c r="AG104" i="45" s="1"/>
  <c r="B9" i="10"/>
  <c r="Y13" i="16"/>
  <c r="C142" i="41"/>
  <c r="G143" i="41"/>
  <c r="D143" i="41"/>
  <c r="F143" i="41" s="1"/>
  <c r="M144" i="33"/>
  <c r="I144" i="33"/>
  <c r="M145" i="33"/>
  <c r="I145" i="33"/>
  <c r="G144" i="33"/>
  <c r="C142" i="29"/>
  <c r="G143" i="29"/>
  <c r="D143" i="29"/>
  <c r="F143" i="29" s="1"/>
  <c r="C142" i="35"/>
  <c r="G143" i="35"/>
  <c r="D143" i="35"/>
  <c r="F143" i="35" s="1"/>
  <c r="T134" i="42"/>
  <c r="V134" i="42"/>
  <c r="V132" i="26"/>
  <c r="V135" i="26" s="1"/>
  <c r="T132" i="26"/>
  <c r="T135" i="26" s="1"/>
  <c r="X134" i="26" s="1"/>
  <c r="AB134" i="26" s="1"/>
  <c r="T68" i="40"/>
  <c r="V68" i="40"/>
  <c r="AF23" i="61"/>
  <c r="C5" i="31"/>
  <c r="AP23" i="24"/>
  <c r="B23" i="24"/>
  <c r="C5" i="59"/>
  <c r="V58" i="38"/>
  <c r="T58" i="38"/>
  <c r="V127" i="50"/>
  <c r="V130" i="50" s="1"/>
  <c r="T127" i="50"/>
  <c r="T130" i="50" s="1"/>
  <c r="X129" i="50" s="1"/>
  <c r="AB129" i="50" s="1"/>
  <c r="F132" i="41"/>
  <c r="L134" i="37"/>
  <c r="D132" i="37"/>
  <c r="K134" i="37"/>
  <c r="L135" i="37"/>
  <c r="G132" i="37"/>
  <c r="K135" i="37"/>
  <c r="AG90" i="44"/>
  <c r="AV21" i="23"/>
  <c r="F132" i="50"/>
  <c r="G138" i="26"/>
  <c r="D138" i="26"/>
  <c r="F138" i="26" s="1"/>
  <c r="C137" i="26"/>
  <c r="Z135" i="33"/>
  <c r="Z134" i="33"/>
  <c r="R132" i="33"/>
  <c r="Y135" i="33"/>
  <c r="Y134" i="33"/>
  <c r="I155" i="59"/>
  <c r="I156" i="59"/>
  <c r="L155" i="59"/>
  <c r="G153" i="59"/>
  <c r="L156" i="59"/>
  <c r="K155" i="59"/>
  <c r="K156" i="59"/>
  <c r="D153" i="59"/>
  <c r="M139" i="43"/>
  <c r="I139" i="43"/>
  <c r="M140" i="43"/>
  <c r="I140" i="43"/>
  <c r="G139" i="43"/>
  <c r="M139" i="48"/>
  <c r="I139" i="48"/>
  <c r="M140" i="48"/>
  <c r="I140" i="48"/>
  <c r="G139" i="48"/>
  <c r="C149" i="33"/>
  <c r="C148" i="33"/>
  <c r="H20" i="22"/>
  <c r="I20" i="22" s="1"/>
  <c r="D20" i="22"/>
  <c r="F20" i="22" s="1"/>
  <c r="G20" i="22" s="1"/>
  <c r="R78" i="41"/>
  <c r="AE79" i="41"/>
  <c r="AG79" i="41" s="1"/>
  <c r="D79" i="41"/>
  <c r="F79" i="41" s="1"/>
  <c r="H79" i="41" s="1"/>
  <c r="R74" i="41"/>
  <c r="AE83" i="41"/>
  <c r="X75" i="43"/>
  <c r="O150" i="35"/>
  <c r="P150" i="35" s="1"/>
  <c r="P149" i="35"/>
  <c r="V129" i="43"/>
  <c r="T129" i="43"/>
  <c r="F130" i="31"/>
  <c r="H127" i="31"/>
  <c r="H130" i="31" s="1"/>
  <c r="T129" i="45"/>
  <c r="V129" i="45"/>
  <c r="H138" i="38"/>
  <c r="X65" i="42"/>
  <c r="F127" i="43"/>
  <c r="X125" i="40"/>
  <c r="AB125" i="40" s="1"/>
  <c r="AR125" i="40" s="1"/>
  <c r="AI20" i="61"/>
  <c r="Z23" i="68" s="1"/>
  <c r="C8" i="34"/>
  <c r="D53" i="34" s="1"/>
  <c r="F53" i="34" s="1"/>
  <c r="H53" i="34" s="1"/>
  <c r="B20" i="21"/>
  <c r="AP20" i="21"/>
  <c r="P144" i="40"/>
  <c r="O145" i="40"/>
  <c r="P145" i="40" s="1"/>
  <c r="AA145" i="33"/>
  <c r="AO145" i="33" s="1"/>
  <c r="AP145" i="33" s="1"/>
  <c r="W145" i="33"/>
  <c r="AA144" i="33"/>
  <c r="AO144" i="33" s="1"/>
  <c r="AP144" i="33" s="1"/>
  <c r="W144" i="33"/>
  <c r="F54" i="37"/>
  <c r="J52" i="37"/>
  <c r="AG70" i="40"/>
  <c r="Y140" i="29"/>
  <c r="Y139" i="29"/>
  <c r="Z140" i="29"/>
  <c r="Z139" i="29"/>
  <c r="R137" i="29"/>
  <c r="AV14" i="16"/>
  <c r="O145" i="43"/>
  <c r="P145" i="43" s="1"/>
  <c r="P144" i="43"/>
  <c r="F125" i="43"/>
  <c r="H122" i="43"/>
  <c r="H125" i="43" s="1"/>
  <c r="AV10" i="12"/>
  <c r="G4" i="8"/>
  <c r="H57" i="37"/>
  <c r="H133" i="30"/>
  <c r="G9" i="13"/>
  <c r="K139" i="35"/>
  <c r="L140" i="35"/>
  <c r="G137" i="35"/>
  <c r="K140" i="35"/>
  <c r="L139" i="35"/>
  <c r="D137" i="35"/>
  <c r="AA150" i="47"/>
  <c r="AO150" i="47" s="1"/>
  <c r="AP150" i="47" s="1"/>
  <c r="W150" i="47"/>
  <c r="AA149" i="47"/>
  <c r="AO149" i="47" s="1"/>
  <c r="AP149" i="47" s="1"/>
  <c r="W149" i="47"/>
  <c r="Y8" i="11"/>
  <c r="V129" i="44"/>
  <c r="T129" i="44"/>
  <c r="AG10" i="15"/>
  <c r="AA15" i="53"/>
  <c r="X14" i="53"/>
  <c r="H127" i="28"/>
  <c r="H130" i="28" s="1"/>
  <c r="F130" i="28"/>
  <c r="F132" i="42"/>
  <c r="AR35" i="35"/>
  <c r="AT35" i="35" s="1"/>
  <c r="E5" i="35" s="1"/>
  <c r="AR34" i="35"/>
  <c r="AT34" i="35" s="1"/>
  <c r="D5" i="35" s="1"/>
  <c r="F125" i="48"/>
  <c r="H122" i="48"/>
  <c r="H125" i="48" s="1"/>
  <c r="AG50" i="36"/>
  <c r="X130" i="48"/>
  <c r="AB130" i="48" s="1"/>
  <c r="AR129" i="48" s="1"/>
  <c r="AW6" i="61"/>
  <c r="AN9" i="68" s="1"/>
  <c r="AP6" i="7"/>
  <c r="Y5" i="7" s="1"/>
  <c r="C22" i="48"/>
  <c r="B6" i="7"/>
  <c r="Y140" i="36"/>
  <c r="Y139" i="36"/>
  <c r="Z140" i="36"/>
  <c r="R137" i="36"/>
  <c r="Z139" i="36"/>
  <c r="V129" i="27"/>
  <c r="T129" i="27"/>
  <c r="C149" i="27"/>
  <c r="C148" i="27"/>
  <c r="R134" i="43"/>
  <c r="X132" i="43"/>
  <c r="F132" i="49"/>
  <c r="O145" i="27"/>
  <c r="P145" i="27" s="1"/>
  <c r="P144" i="27"/>
  <c r="C144" i="26"/>
  <c r="C143" i="26"/>
  <c r="K139" i="41"/>
  <c r="L140" i="41"/>
  <c r="G137" i="41"/>
  <c r="K140" i="41"/>
  <c r="L139" i="41"/>
  <c r="D137" i="41"/>
  <c r="AG48" i="35"/>
  <c r="F132" i="47"/>
  <c r="AA150" i="29"/>
  <c r="AO150" i="29" s="1"/>
  <c r="AP150" i="29" s="1"/>
  <c r="W150" i="29"/>
  <c r="AA149" i="29"/>
  <c r="AO149" i="29" s="1"/>
  <c r="AP149" i="29" s="1"/>
  <c r="W149" i="29"/>
  <c r="K139" i="47"/>
  <c r="K140" i="47"/>
  <c r="L139" i="47"/>
  <c r="D137" i="47"/>
  <c r="G137" i="47"/>
  <c r="L140" i="47"/>
  <c r="L139" i="28"/>
  <c r="D137" i="28"/>
  <c r="K139" i="28"/>
  <c r="L140" i="28"/>
  <c r="G137" i="28"/>
  <c r="K140" i="28"/>
  <c r="Z135" i="40"/>
  <c r="Z134" i="40"/>
  <c r="R132" i="40"/>
  <c r="Y135" i="40"/>
  <c r="Y134" i="40"/>
  <c r="K135" i="36"/>
  <c r="K134" i="36"/>
  <c r="L135" i="36"/>
  <c r="G132" i="36"/>
  <c r="L134" i="36"/>
  <c r="D132" i="36"/>
  <c r="AR119" i="40"/>
  <c r="F125" i="36"/>
  <c r="H122" i="36"/>
  <c r="H125" i="36" s="1"/>
  <c r="AR120" i="31"/>
  <c r="D143" i="49"/>
  <c r="F143" i="49" s="1"/>
  <c r="C142" i="49"/>
  <c r="G143" i="49"/>
  <c r="H138" i="40"/>
  <c r="F84" i="43"/>
  <c r="J82" i="43"/>
  <c r="G7" i="10"/>
  <c r="C149" i="40"/>
  <c r="C148" i="40"/>
  <c r="R139" i="26"/>
  <c r="X137" i="26"/>
  <c r="O149" i="40"/>
  <c r="P148" i="40"/>
  <c r="Q148" i="40" s="1"/>
  <c r="AR119" i="46"/>
  <c r="K140" i="44"/>
  <c r="L139" i="44"/>
  <c r="D137" i="44"/>
  <c r="K139" i="44"/>
  <c r="L140" i="44"/>
  <c r="G137" i="44"/>
  <c r="Q137" i="34"/>
  <c r="Q139" i="34"/>
  <c r="AV15" i="17"/>
  <c r="F42" i="33"/>
  <c r="V33" i="33"/>
  <c r="T33" i="33"/>
  <c r="H17" i="19"/>
  <c r="I17" i="19" s="1"/>
  <c r="D17" i="19"/>
  <c r="F17" i="19" s="1"/>
  <c r="G17" i="19" s="1"/>
  <c r="Q139" i="43"/>
  <c r="Q137" i="43"/>
  <c r="T132" i="42"/>
  <c r="T135" i="42" s="1"/>
  <c r="X134" i="42" s="1"/>
  <c r="AB134" i="42" s="1"/>
  <c r="V132" i="42"/>
  <c r="V135" i="42" s="1"/>
  <c r="Q139" i="31"/>
  <c r="Q137" i="31"/>
  <c r="AF12" i="17"/>
  <c r="Q142" i="41"/>
  <c r="Q144" i="41"/>
  <c r="H133" i="48"/>
  <c r="AY4" i="61"/>
  <c r="AP7" i="68" s="1"/>
  <c r="AZ3" i="61"/>
  <c r="B4" i="5"/>
  <c r="AP4" i="5"/>
  <c r="C24" i="50"/>
  <c r="R143" i="50" s="1"/>
  <c r="AF9" i="14"/>
  <c r="AF10" i="14" s="1"/>
  <c r="O150" i="42"/>
  <c r="P150" i="42" s="1"/>
  <c r="P149" i="42"/>
  <c r="AA150" i="41"/>
  <c r="AO150" i="41" s="1"/>
  <c r="AP150" i="41" s="1"/>
  <c r="W150" i="41"/>
  <c r="AA149" i="41"/>
  <c r="AO149" i="41" s="1"/>
  <c r="AP149" i="41" s="1"/>
  <c r="W149" i="41"/>
  <c r="F47" i="34"/>
  <c r="AG43" i="34"/>
  <c r="P148" i="43"/>
  <c r="Q148" i="43" s="1"/>
  <c r="O149" i="43"/>
  <c r="AJ150" i="47"/>
  <c r="AJ149" i="47"/>
  <c r="V127" i="34"/>
  <c r="V130" i="34" s="1"/>
  <c r="T127" i="34"/>
  <c r="T130" i="34" s="1"/>
  <c r="X129" i="34" s="1"/>
  <c r="AB129" i="34" s="1"/>
  <c r="X137" i="38"/>
  <c r="R139" i="38"/>
  <c r="V132" i="35"/>
  <c r="V135" i="35" s="1"/>
  <c r="T132" i="35"/>
  <c r="T135" i="35" s="1"/>
  <c r="X134" i="35" s="1"/>
  <c r="F65" i="39"/>
  <c r="J64" i="39" s="1"/>
  <c r="V132" i="29"/>
  <c r="V135" i="29" s="1"/>
  <c r="T132" i="29"/>
  <c r="T135" i="29" s="1"/>
  <c r="X134" i="29" s="1"/>
  <c r="AB134" i="29" s="1"/>
  <c r="J77" i="42"/>
  <c r="D138" i="46"/>
  <c r="F138" i="46" s="1"/>
  <c r="C137" i="46"/>
  <c r="G138" i="46"/>
  <c r="H138" i="27"/>
  <c r="AA145" i="31"/>
  <c r="AO145" i="31" s="1"/>
  <c r="AP145" i="31" s="1"/>
  <c r="W145" i="31"/>
  <c r="AA144" i="31"/>
  <c r="AO144" i="31" s="1"/>
  <c r="AP144" i="31" s="1"/>
  <c r="W144" i="31"/>
  <c r="H18" i="20"/>
  <c r="I18" i="20" s="1"/>
  <c r="D18" i="20"/>
  <c r="F18" i="20" s="1"/>
  <c r="G18" i="20" s="1"/>
  <c r="AL150" i="44"/>
  <c r="AH150" i="44"/>
  <c r="AI147" i="44"/>
  <c r="AL149" i="44"/>
  <c r="AH149" i="44"/>
  <c r="Q173" i="59"/>
  <c r="Q171" i="59"/>
  <c r="AV11" i="13"/>
  <c r="Y135" i="39"/>
  <c r="Z134" i="39"/>
  <c r="Z135" i="39"/>
  <c r="Y134" i="39"/>
  <c r="R132" i="39"/>
  <c r="AP13" i="61"/>
  <c r="AG16" i="68" s="1"/>
  <c r="B13" i="14"/>
  <c r="C15" i="41"/>
  <c r="AP13" i="14"/>
  <c r="Y12" i="14" s="1"/>
  <c r="Y140" i="41"/>
  <c r="Y139" i="41"/>
  <c r="Z140" i="41"/>
  <c r="Z139" i="41"/>
  <c r="R137" i="41"/>
  <c r="T134" i="38"/>
  <c r="V134" i="38"/>
  <c r="F78" i="41"/>
  <c r="AR40" i="38"/>
  <c r="AT40" i="38" s="1"/>
  <c r="E6" i="38" s="1"/>
  <c r="AR119" i="50"/>
  <c r="AR119" i="33"/>
  <c r="AR120" i="33"/>
  <c r="Y135" i="45"/>
  <c r="Y134" i="45"/>
  <c r="Z134" i="45"/>
  <c r="Z135" i="45"/>
  <c r="R132" i="45"/>
  <c r="H16" i="18"/>
  <c r="I16" i="18" s="1"/>
  <c r="D16" i="18"/>
  <c r="F16" i="18" s="1"/>
  <c r="G16" i="18" s="1"/>
  <c r="F132" i="31"/>
  <c r="R139" i="30"/>
  <c r="X137" i="30"/>
  <c r="I140" i="39"/>
  <c r="I139" i="39"/>
  <c r="M140" i="39"/>
  <c r="M139" i="39"/>
  <c r="G139" i="39"/>
  <c r="W144" i="39"/>
  <c r="W145" i="39"/>
  <c r="AA144" i="39"/>
  <c r="AO144" i="39" s="1"/>
  <c r="AP144" i="39" s="1"/>
  <c r="AA145" i="39"/>
  <c r="AO145" i="39" s="1"/>
  <c r="AP145" i="39" s="1"/>
  <c r="Z135" i="28"/>
  <c r="Z134" i="28"/>
  <c r="R132" i="28"/>
  <c r="Y135" i="28"/>
  <c r="Y134" i="28"/>
  <c r="H122" i="46"/>
  <c r="H125" i="46" s="1"/>
  <c r="F125" i="46"/>
  <c r="AA12" i="15"/>
  <c r="AG12" i="15" s="1"/>
  <c r="F130" i="49"/>
  <c r="H127" i="49"/>
  <c r="H130" i="49" s="1"/>
  <c r="D160" i="59"/>
  <c r="F160" i="59" s="1"/>
  <c r="C159" i="59"/>
  <c r="G160" i="59"/>
  <c r="T134" i="29"/>
  <c r="V134" i="29"/>
  <c r="X132" i="27"/>
  <c r="R134" i="27"/>
  <c r="V52" i="36"/>
  <c r="T52" i="36"/>
  <c r="AG53" i="36"/>
  <c r="T127" i="49"/>
  <c r="T130" i="49" s="1"/>
  <c r="X129" i="49" s="1"/>
  <c r="AB129" i="49" s="1"/>
  <c r="V127" i="49"/>
  <c r="V130" i="49" s="1"/>
  <c r="V93" i="44"/>
  <c r="T93" i="44"/>
  <c r="V88" i="44"/>
  <c r="T88" i="44"/>
  <c r="AA11" i="14"/>
  <c r="AV8" i="10"/>
  <c r="C149" i="49"/>
  <c r="C148" i="49"/>
  <c r="H7" i="9"/>
  <c r="I7" i="9" s="1"/>
  <c r="D7" i="9"/>
  <c r="V129" i="50"/>
  <c r="T129" i="50"/>
  <c r="L135" i="39"/>
  <c r="G132" i="39"/>
  <c r="K134" i="39"/>
  <c r="D132" i="39"/>
  <c r="K135" i="39"/>
  <c r="L134" i="39"/>
  <c r="Y9" i="12"/>
  <c r="X8" i="12" s="1"/>
  <c r="V127" i="39"/>
  <c r="V130" i="39" s="1"/>
  <c r="T127" i="39"/>
  <c r="T130" i="39" s="1"/>
  <c r="X129" i="39" s="1"/>
  <c r="AB129" i="39" s="1"/>
  <c r="D143" i="28"/>
  <c r="F143" i="28" s="1"/>
  <c r="C142" i="28"/>
  <c r="G143" i="28"/>
  <c r="V127" i="28"/>
  <c r="V130" i="28" s="1"/>
  <c r="T127" i="28"/>
  <c r="T130" i="28" s="1"/>
  <c r="X129" i="28" s="1"/>
  <c r="AB129" i="28" s="1"/>
  <c r="F69" i="40"/>
  <c r="J67" i="40"/>
  <c r="AV22" i="24"/>
  <c r="H122" i="45"/>
  <c r="H125" i="45" s="1"/>
  <c r="F125" i="45"/>
  <c r="T54" i="38"/>
  <c r="T55" i="38" s="1"/>
  <c r="X54" i="38" s="1"/>
  <c r="V54" i="38"/>
  <c r="V55" i="38" s="1"/>
  <c r="C149" i="44"/>
  <c r="C148" i="44"/>
  <c r="V134" i="26"/>
  <c r="T134" i="26"/>
  <c r="AJ150" i="29"/>
  <c r="AJ149" i="29"/>
  <c r="AA145" i="34"/>
  <c r="AO145" i="34" s="1"/>
  <c r="AP145" i="34" s="1"/>
  <c r="W145" i="34"/>
  <c r="AA144" i="34"/>
  <c r="AO144" i="34" s="1"/>
  <c r="AP144" i="34" s="1"/>
  <c r="W144" i="34"/>
  <c r="C149" i="34"/>
  <c r="C148" i="34"/>
  <c r="D143" i="34"/>
  <c r="F143" i="34" s="1"/>
  <c r="C142" i="34"/>
  <c r="G143" i="34"/>
  <c r="P148" i="33"/>
  <c r="Q148" i="33" s="1"/>
  <c r="O149" i="33"/>
  <c r="Q137" i="45"/>
  <c r="Q139" i="45"/>
  <c r="F77" i="39"/>
  <c r="V59" i="39"/>
  <c r="V60" i="39" s="1"/>
  <c r="T59" i="39"/>
  <c r="T60" i="39" s="1"/>
  <c r="X59" i="39" s="1"/>
  <c r="H133" i="37"/>
  <c r="AG22" i="61"/>
  <c r="X25" i="68" s="1"/>
  <c r="C6" i="32"/>
  <c r="AP22" i="23"/>
  <c r="B22" i="23"/>
  <c r="M139" i="26"/>
  <c r="I139" i="26"/>
  <c r="M140" i="26"/>
  <c r="I140" i="26"/>
  <c r="G139" i="26"/>
  <c r="X132" i="33"/>
  <c r="R134" i="33"/>
  <c r="O145" i="49"/>
  <c r="P145" i="49" s="1"/>
  <c r="P144" i="49"/>
  <c r="C144" i="39"/>
  <c r="C143" i="39"/>
  <c r="K140" i="31"/>
  <c r="L139" i="31"/>
  <c r="D137" i="31"/>
  <c r="K139" i="31"/>
  <c r="L140" i="31"/>
  <c r="G137" i="31"/>
  <c r="AH21" i="61"/>
  <c r="Y24" i="68" s="1"/>
  <c r="AP21" i="22"/>
  <c r="B21" i="22"/>
  <c r="C7" i="33"/>
  <c r="H13" i="15"/>
  <c r="I13" i="15" s="1"/>
  <c r="D13" i="15"/>
  <c r="F13" i="15" s="1"/>
  <c r="G13" i="15" s="1"/>
  <c r="Z135" i="49"/>
  <c r="Z134" i="49"/>
  <c r="R132" i="49"/>
  <c r="Y135" i="49"/>
  <c r="Y134" i="49"/>
  <c r="D143" i="50"/>
  <c r="F143" i="50" s="1"/>
  <c r="C142" i="50"/>
  <c r="G143" i="50"/>
  <c r="J90" i="45"/>
  <c r="Q142" i="38"/>
  <c r="Q144" i="38"/>
  <c r="O150" i="36"/>
  <c r="P150" i="36" s="1"/>
  <c r="P149" i="36"/>
  <c r="Q144" i="26"/>
  <c r="Q142" i="26"/>
  <c r="AA145" i="50"/>
  <c r="AO145" i="50" s="1"/>
  <c r="W145" i="50"/>
  <c r="AA144" i="50"/>
  <c r="AO144" i="50" s="1"/>
  <c r="W144" i="50"/>
  <c r="R48" i="35"/>
  <c r="AE49" i="35"/>
  <c r="AG49" i="35" s="1"/>
  <c r="AE53" i="35"/>
  <c r="D49" i="35"/>
  <c r="F49" i="35" s="1"/>
  <c r="H49" i="35" s="1"/>
  <c r="R44" i="35"/>
  <c r="R52" i="35"/>
  <c r="D57" i="35"/>
  <c r="M145" i="42"/>
  <c r="I145" i="42"/>
  <c r="G144" i="42"/>
  <c r="M144" i="42"/>
  <c r="I144" i="42"/>
  <c r="F62" i="37"/>
  <c r="T53" i="37"/>
  <c r="V53" i="37"/>
  <c r="AE70" i="40"/>
  <c r="AI69" i="40" s="1"/>
  <c r="F144" i="59"/>
  <c r="H141" i="59"/>
  <c r="H144" i="59" s="1"/>
  <c r="H14" i="16"/>
  <c r="I14" i="16" s="1"/>
  <c r="D14" i="16"/>
  <c r="F14" i="16" s="1"/>
  <c r="G14" i="16" s="1"/>
  <c r="AA145" i="43"/>
  <c r="AO145" i="43" s="1"/>
  <c r="AP145" i="43" s="1"/>
  <c r="W145" i="43"/>
  <c r="AA144" i="43"/>
  <c r="AO144" i="43" s="1"/>
  <c r="AP144" i="43" s="1"/>
  <c r="W144" i="43"/>
  <c r="L139" i="50"/>
  <c r="D137" i="50"/>
  <c r="K139" i="50"/>
  <c r="L140" i="50"/>
  <c r="G137" i="50"/>
  <c r="K140" i="50"/>
  <c r="C144" i="46"/>
  <c r="C143" i="46"/>
  <c r="F125" i="26"/>
  <c r="H122" i="26"/>
  <c r="H125" i="26" s="1"/>
  <c r="F125" i="39"/>
  <c r="H122" i="39"/>
  <c r="H125" i="39" s="1"/>
  <c r="H62" i="38"/>
  <c r="P148" i="44"/>
  <c r="Q148" i="44" s="1"/>
  <c r="O149" i="44"/>
  <c r="O150" i="47"/>
  <c r="P150" i="47" s="1"/>
  <c r="P149" i="47"/>
  <c r="M145" i="38"/>
  <c r="I145" i="38"/>
  <c r="G144" i="38"/>
  <c r="M144" i="38"/>
  <c r="I144" i="38"/>
  <c r="A150" i="39"/>
  <c r="B150" i="39" s="1"/>
  <c r="B149" i="39"/>
  <c r="V132" i="30"/>
  <c r="V135" i="30" s="1"/>
  <c r="T132" i="30"/>
  <c r="T135" i="30" s="1"/>
  <c r="X134" i="30" s="1"/>
  <c r="AB134" i="30" s="1"/>
  <c r="AG55" i="37"/>
  <c r="D138" i="37"/>
  <c r="F138" i="37" s="1"/>
  <c r="C137" i="37"/>
  <c r="G138" i="37"/>
  <c r="G138" i="30"/>
  <c r="D138" i="30"/>
  <c r="F138" i="30" s="1"/>
  <c r="C137" i="30"/>
  <c r="H5" i="7"/>
  <c r="I5" i="7" s="1"/>
  <c r="D5" i="7"/>
  <c r="F5" i="7" s="1"/>
  <c r="G5" i="7" s="1"/>
  <c r="X137" i="36"/>
  <c r="R139" i="36"/>
  <c r="AA145" i="27"/>
  <c r="AO145" i="27" s="1"/>
  <c r="AP145" i="27" s="1"/>
  <c r="W145" i="27"/>
  <c r="AA144" i="27"/>
  <c r="AO144" i="27" s="1"/>
  <c r="AP144" i="27" s="1"/>
  <c r="W144" i="27"/>
  <c r="D6" i="8"/>
  <c r="F6" i="8" s="1"/>
  <c r="G6" i="8" s="1"/>
  <c r="H6" i="8"/>
  <c r="I6" i="8" s="1"/>
  <c r="G12" i="15"/>
  <c r="V127" i="40"/>
  <c r="V130" i="40" s="1"/>
  <c r="T127" i="40"/>
  <c r="T130" i="40" s="1"/>
  <c r="X129" i="40" s="1"/>
  <c r="AB129" i="40" s="1"/>
  <c r="O150" i="29"/>
  <c r="P150" i="29" s="1"/>
  <c r="P149" i="29"/>
  <c r="C148" i="35"/>
  <c r="C149" i="35"/>
  <c r="O149" i="37"/>
  <c r="P148" i="37"/>
  <c r="Q148" i="37" s="1"/>
  <c r="H138" i="28"/>
  <c r="H127" i="41"/>
  <c r="H130" i="41" s="1"/>
  <c r="F130" i="41"/>
  <c r="X55" i="39"/>
  <c r="X137" i="35"/>
  <c r="R139" i="35"/>
  <c r="N44" i="37"/>
  <c r="AQ44" i="37" s="1"/>
  <c r="AA150" i="38"/>
  <c r="AO150" i="38" s="1"/>
  <c r="AP150" i="38" s="1"/>
  <c r="W150" i="38"/>
  <c r="AA149" i="38"/>
  <c r="AO149" i="38" s="1"/>
  <c r="AP149" i="38" s="1"/>
  <c r="W149" i="38"/>
  <c r="M144" i="49"/>
  <c r="I144" i="49"/>
  <c r="M145" i="49"/>
  <c r="I145" i="49"/>
  <c r="G144" i="49"/>
  <c r="T83" i="43"/>
  <c r="V83" i="43"/>
  <c r="V132" i="38"/>
  <c r="V135" i="38" s="1"/>
  <c r="T132" i="38"/>
  <c r="T135" i="38" s="1"/>
  <c r="X134" i="38" s="1"/>
  <c r="AB134" i="38" s="1"/>
  <c r="K139" i="29"/>
  <c r="L140" i="29"/>
  <c r="G137" i="29"/>
  <c r="K140" i="29"/>
  <c r="L139" i="29"/>
  <c r="D137" i="29"/>
  <c r="P148" i="49"/>
  <c r="Q148" i="49" s="1"/>
  <c r="O149" i="49"/>
  <c r="C143" i="36"/>
  <c r="C144" i="36"/>
  <c r="AJ150" i="38"/>
  <c r="AJ149" i="38"/>
  <c r="C144" i="30"/>
  <c r="C143" i="30"/>
  <c r="AT143" i="59"/>
  <c r="M139" i="36"/>
  <c r="I139" i="36"/>
  <c r="M140" i="36"/>
  <c r="I140" i="36"/>
  <c r="G139" i="36"/>
  <c r="H15" i="17"/>
  <c r="I15" i="17" s="1"/>
  <c r="D15" i="17"/>
  <c r="F15" i="17" s="1"/>
  <c r="G15" i="17" s="1"/>
  <c r="T37" i="33"/>
  <c r="V37" i="33"/>
  <c r="AG34" i="33"/>
  <c r="AG35" i="33" s="1"/>
  <c r="AE35" i="33"/>
  <c r="AI34" i="33" s="1"/>
  <c r="AM34" i="33" s="1"/>
  <c r="AS34" i="33" s="1"/>
  <c r="A150" i="36"/>
  <c r="B150" i="36" s="1"/>
  <c r="B149" i="36"/>
  <c r="D17" i="53"/>
  <c r="F17" i="53" s="1"/>
  <c r="G17" i="53" s="1"/>
  <c r="H17" i="53"/>
  <c r="I17" i="53" s="1"/>
  <c r="AE59" i="37"/>
  <c r="AG59" i="37" s="1"/>
  <c r="AE63" i="37"/>
  <c r="R58" i="37"/>
  <c r="R54" i="37"/>
  <c r="D59" i="37"/>
  <c r="F59" i="37" s="1"/>
  <c r="H59" i="37" s="1"/>
  <c r="D63" i="37"/>
  <c r="F63" i="37" s="1"/>
  <c r="H63" i="37" s="1"/>
  <c r="R62" i="37"/>
  <c r="C149" i="50"/>
  <c r="C148" i="50"/>
  <c r="F132" i="35"/>
  <c r="AV4" i="6"/>
  <c r="AX5" i="61"/>
  <c r="C23" i="49"/>
  <c r="AP5" i="6"/>
  <c r="Y4" i="6" s="1"/>
  <c r="B5" i="6"/>
  <c r="T127" i="27"/>
  <c r="T130" i="27" s="1"/>
  <c r="X129" i="27" s="1"/>
  <c r="AB129" i="27" s="1"/>
  <c r="V127" i="27"/>
  <c r="V130" i="27" s="1"/>
  <c r="A150" i="46"/>
  <c r="B150" i="46" s="1"/>
  <c r="B149" i="46"/>
  <c r="O150" i="41"/>
  <c r="P150" i="41" s="1"/>
  <c r="P149" i="41"/>
  <c r="V42" i="34"/>
  <c r="T42" i="34"/>
  <c r="V34" i="34"/>
  <c r="V35" i="34" s="1"/>
  <c r="X35" i="34" s="1"/>
  <c r="AB35" i="34" s="1"/>
  <c r="T34" i="34"/>
  <c r="T35" i="34" s="1"/>
  <c r="X34" i="34" s="1"/>
  <c r="AB34" i="34" s="1"/>
  <c r="AL149" i="47"/>
  <c r="AH149" i="47"/>
  <c r="AL150" i="47"/>
  <c r="AH150" i="47"/>
  <c r="AI147" i="47"/>
  <c r="AG83" i="42"/>
  <c r="Y140" i="38"/>
  <c r="Y139" i="38"/>
  <c r="Z140" i="38"/>
  <c r="Z139" i="38"/>
  <c r="R137" i="38"/>
  <c r="G143" i="32"/>
  <c r="D143" i="32"/>
  <c r="F143" i="32" s="1"/>
  <c r="C142" i="32"/>
  <c r="O149" i="28"/>
  <c r="P148" i="28"/>
  <c r="Q148" i="28" s="1"/>
  <c r="A150" i="37"/>
  <c r="B150" i="37" s="1"/>
  <c r="B149" i="37"/>
  <c r="O145" i="44"/>
  <c r="P145" i="44" s="1"/>
  <c r="P144" i="44"/>
  <c r="H47" i="35"/>
  <c r="H78" i="42"/>
  <c r="H80" i="42" s="1"/>
  <c r="F80" i="42"/>
  <c r="M140" i="46"/>
  <c r="I140" i="46"/>
  <c r="G139" i="46"/>
  <c r="M139" i="46"/>
  <c r="I139" i="46"/>
  <c r="T134" i="41"/>
  <c r="V134" i="41"/>
  <c r="Q137" i="46"/>
  <c r="Q139" i="46"/>
  <c r="AR120" i="45"/>
  <c r="AE54" i="36"/>
  <c r="AG54" i="36" s="1"/>
  <c r="R53" i="36"/>
  <c r="AE58" i="36"/>
  <c r="D54" i="36"/>
  <c r="D58" i="36"/>
  <c r="F58" i="36" s="1"/>
  <c r="H58" i="36" s="1"/>
  <c r="R57" i="36"/>
  <c r="D62" i="36"/>
  <c r="H77" i="40"/>
  <c r="O150" i="30"/>
  <c r="P150" i="30" s="1"/>
  <c r="P149" i="30"/>
  <c r="AQ12" i="61"/>
  <c r="C16" i="42"/>
  <c r="B12" i="13"/>
  <c r="AP12" i="13"/>
  <c r="AI55" i="38"/>
  <c r="H12" i="14"/>
  <c r="I12" i="14" s="1"/>
  <c r="D12" i="14"/>
  <c r="F12" i="14" s="1"/>
  <c r="M145" i="47"/>
  <c r="I145" i="47"/>
  <c r="G144" i="47"/>
  <c r="M144" i="47"/>
  <c r="I144" i="47"/>
  <c r="AR120" i="27"/>
  <c r="AG78" i="41"/>
  <c r="T64" i="41"/>
  <c r="T65" i="41" s="1"/>
  <c r="X64" i="41" s="1"/>
  <c r="V64" i="41"/>
  <c r="V65" i="41" s="1"/>
  <c r="O149" i="45"/>
  <c r="P148" i="45"/>
  <c r="Q148" i="45" s="1"/>
  <c r="AF10" i="16"/>
  <c r="AF11" i="16" s="1"/>
  <c r="D143" i="31"/>
  <c r="F143" i="31" s="1"/>
  <c r="C142" i="31"/>
  <c r="G143" i="31"/>
  <c r="AS10" i="61"/>
  <c r="AJ13" i="68" s="1"/>
  <c r="C18" i="44"/>
  <c r="B10" i="11"/>
  <c r="AP10" i="11"/>
  <c r="AR124" i="48"/>
  <c r="X132" i="37"/>
  <c r="R134" i="37"/>
  <c r="X132" i="45"/>
  <c r="R134" i="45"/>
  <c r="X125" i="31"/>
  <c r="AB125" i="31" s="1"/>
  <c r="AR124" i="31" s="1"/>
  <c r="Z135" i="37"/>
  <c r="Z134" i="37"/>
  <c r="R132" i="37"/>
  <c r="Y135" i="37"/>
  <c r="Y134" i="37"/>
  <c r="X132" i="46"/>
  <c r="R134" i="46"/>
  <c r="AA145" i="37"/>
  <c r="AO145" i="37" s="1"/>
  <c r="AP145" i="37" s="1"/>
  <c r="W145" i="37"/>
  <c r="AA144" i="37"/>
  <c r="AO144" i="37" s="1"/>
  <c r="AP144" i="37" s="1"/>
  <c r="W144" i="37"/>
  <c r="A150" i="43"/>
  <c r="B150" i="43" s="1"/>
  <c r="B149" i="43"/>
  <c r="Z135" i="46"/>
  <c r="Z134" i="46"/>
  <c r="R132" i="46"/>
  <c r="Y135" i="46"/>
  <c r="Y134" i="46"/>
  <c r="AL17" i="61"/>
  <c r="AC20" i="68" s="1"/>
  <c r="C11" i="37"/>
  <c r="AP17" i="18"/>
  <c r="B17" i="18"/>
  <c r="P144" i="37"/>
  <c r="O145" i="37"/>
  <c r="P145" i="37" s="1"/>
  <c r="Q137" i="40"/>
  <c r="Q139" i="40"/>
  <c r="H42" i="34"/>
  <c r="X132" i="34"/>
  <c r="R134" i="34"/>
  <c r="AA15" i="19"/>
  <c r="X14" i="19"/>
  <c r="O149" i="46"/>
  <c r="P148" i="46"/>
  <c r="Q148" i="46" s="1"/>
  <c r="O145" i="39"/>
  <c r="P145" i="39" s="1"/>
  <c r="P144" i="39"/>
  <c r="F132" i="34"/>
  <c r="Q144" i="30"/>
  <c r="Q142" i="30"/>
  <c r="W162" i="59"/>
  <c r="R159" i="59"/>
  <c r="Z162" i="59"/>
  <c r="W161" i="59"/>
  <c r="Y162" i="59"/>
  <c r="Z161" i="59"/>
  <c r="Y161" i="59"/>
  <c r="O150" i="26"/>
  <c r="P150" i="26" s="1"/>
  <c r="P149" i="26"/>
  <c r="O149" i="39"/>
  <c r="P148" i="39"/>
  <c r="Q148" i="39" s="1"/>
  <c r="V129" i="46"/>
  <c r="T129" i="46"/>
  <c r="V44" i="36"/>
  <c r="V45" i="36" s="1"/>
  <c r="T44" i="36"/>
  <c r="T45" i="36" s="1"/>
  <c r="X44" i="36" s="1"/>
  <c r="V48" i="36"/>
  <c r="V50" i="36" s="1"/>
  <c r="T48" i="36"/>
  <c r="T50" i="36" s="1"/>
  <c r="X49" i="36" s="1"/>
  <c r="F127" i="30"/>
  <c r="X125" i="46"/>
  <c r="AB125" i="46" s="1"/>
  <c r="AR124" i="46" s="1"/>
  <c r="X130" i="41"/>
  <c r="AB130" i="41" s="1"/>
  <c r="AR130" i="41" s="1"/>
  <c r="AF13" i="18"/>
  <c r="AF14" i="18" s="1"/>
  <c r="L140" i="32"/>
  <c r="G137" i="32"/>
  <c r="L139" i="32"/>
  <c r="D137" i="32"/>
  <c r="K139" i="32"/>
  <c r="K140" i="32"/>
  <c r="AU8" i="61"/>
  <c r="AL11" i="68" s="1"/>
  <c r="C20" i="46"/>
  <c r="B8" i="9"/>
  <c r="AP8" i="9"/>
  <c r="A150" i="30"/>
  <c r="B150" i="30" s="1"/>
  <c r="B149" i="30"/>
  <c r="H133" i="39"/>
  <c r="M145" i="28"/>
  <c r="I145" i="28"/>
  <c r="G144" i="28"/>
  <c r="M144" i="28"/>
  <c r="I144" i="28"/>
  <c r="AG73" i="40"/>
  <c r="H22" i="24"/>
  <c r="I22" i="24" s="1"/>
  <c r="D22" i="24"/>
  <c r="F22" i="24" s="1"/>
  <c r="G22" i="24" s="1"/>
  <c r="X130" i="36"/>
  <c r="AB130" i="36" s="1"/>
  <c r="AR130" i="36" s="1"/>
  <c r="V62" i="38"/>
  <c r="T62" i="38"/>
  <c r="AG63" i="38"/>
  <c r="V134" i="30"/>
  <c r="T134" i="30"/>
  <c r="X137" i="42"/>
  <c r="R139" i="42"/>
  <c r="T127" i="31"/>
  <c r="T130" i="31" s="1"/>
  <c r="X129" i="31" s="1"/>
  <c r="AB129" i="31" s="1"/>
  <c r="V127" i="31"/>
  <c r="V130" i="31" s="1"/>
  <c r="D143" i="27"/>
  <c r="F143" i="27" s="1"/>
  <c r="C142" i="27"/>
  <c r="G143" i="27"/>
  <c r="T134" i="47"/>
  <c r="V134" i="47"/>
  <c r="AF4" i="9"/>
  <c r="AL149" i="29"/>
  <c r="AH149" i="29"/>
  <c r="AL150" i="29"/>
  <c r="AH150" i="29"/>
  <c r="AI147" i="29"/>
  <c r="P144" i="34"/>
  <c r="O145" i="34"/>
  <c r="P145" i="34" s="1"/>
  <c r="AA4" i="7"/>
  <c r="Z135" i="44"/>
  <c r="Z134" i="44"/>
  <c r="R132" i="44"/>
  <c r="Y135" i="44"/>
  <c r="Y134" i="44"/>
  <c r="M145" i="34"/>
  <c r="I145" i="34"/>
  <c r="G144" i="34"/>
  <c r="M144" i="34"/>
  <c r="I144" i="34"/>
  <c r="V72" i="39"/>
  <c r="T72" i="39"/>
  <c r="V63" i="39"/>
  <c r="T63" i="39"/>
  <c r="F127" i="46"/>
  <c r="AE39" i="33"/>
  <c r="AG39" i="33" s="1"/>
  <c r="D43" i="33"/>
  <c r="F43" i="33" s="1"/>
  <c r="H43" i="33" s="1"/>
  <c r="D39" i="33"/>
  <c r="F39" i="33" s="1"/>
  <c r="H39" i="33" s="1"/>
  <c r="R34" i="33"/>
  <c r="AE43" i="33"/>
  <c r="R38" i="33"/>
  <c r="R42" i="33"/>
  <c r="D47" i="33"/>
  <c r="H154" i="59"/>
  <c r="AA145" i="49"/>
  <c r="AO145" i="49" s="1"/>
  <c r="W145" i="49"/>
  <c r="AA144" i="49"/>
  <c r="AO144" i="49" s="1"/>
  <c r="W144" i="49"/>
  <c r="AG4" i="8"/>
  <c r="Z140" i="48"/>
  <c r="Z139" i="48"/>
  <c r="R137" i="48"/>
  <c r="Y140" i="48"/>
  <c r="Y139" i="48"/>
  <c r="AE48" i="34"/>
  <c r="AE44" i="34"/>
  <c r="AG44" i="34" s="1"/>
  <c r="R43" i="34"/>
  <c r="R39" i="34"/>
  <c r="D44" i="34"/>
  <c r="D48" i="34"/>
  <c r="F48" i="34" s="1"/>
  <c r="H48" i="34" s="1"/>
  <c r="AO14" i="61"/>
  <c r="AF17" i="68" s="1"/>
  <c r="C14" i="40"/>
  <c r="R69" i="40" s="1"/>
  <c r="AP14" i="15"/>
  <c r="Y13" i="15" s="1"/>
  <c r="X12" i="15" s="1"/>
  <c r="B14" i="15"/>
  <c r="X132" i="49"/>
  <c r="R134" i="49"/>
  <c r="M145" i="50"/>
  <c r="I145" i="50"/>
  <c r="G144" i="50"/>
  <c r="M144" i="50"/>
  <c r="I144" i="50"/>
  <c r="D144" i="50"/>
  <c r="F144" i="50" s="1"/>
  <c r="K139" i="38"/>
  <c r="L140" i="38"/>
  <c r="G137" i="38"/>
  <c r="K140" i="38"/>
  <c r="L139" i="38"/>
  <c r="D137" i="38"/>
  <c r="C148" i="47"/>
  <c r="C149" i="47"/>
  <c r="AA150" i="36"/>
  <c r="AO150" i="36" s="1"/>
  <c r="AP150" i="36" s="1"/>
  <c r="W150" i="36"/>
  <c r="AA149" i="36"/>
  <c r="AO149" i="36" s="1"/>
  <c r="AP149" i="36" s="1"/>
  <c r="W149" i="36"/>
  <c r="L134" i="46"/>
  <c r="D132" i="46"/>
  <c r="K134" i="46"/>
  <c r="L135" i="46"/>
  <c r="G132" i="46"/>
  <c r="K135" i="46"/>
  <c r="V134" i="48"/>
  <c r="T134" i="48"/>
  <c r="P144" i="50"/>
  <c r="O145" i="50"/>
  <c r="P145" i="50" s="1"/>
  <c r="AV19" i="21"/>
  <c r="F147" i="59"/>
  <c r="C142" i="42"/>
  <c r="G143" i="42"/>
  <c r="D143" i="42"/>
  <c r="F143" i="42" s="1"/>
  <c r="AF15" i="21"/>
  <c r="V57" i="37"/>
  <c r="T57" i="37"/>
  <c r="AG58" i="37"/>
  <c r="Q139" i="49"/>
  <c r="Q137" i="49"/>
  <c r="AA10" i="13"/>
  <c r="M140" i="45"/>
  <c r="I140" i="45"/>
  <c r="G139" i="45"/>
  <c r="M139" i="45"/>
  <c r="I139" i="45"/>
  <c r="Y7" i="10"/>
  <c r="AE74" i="40"/>
  <c r="AG74" i="40" s="1"/>
  <c r="AE78" i="40"/>
  <c r="D74" i="40"/>
  <c r="R73" i="40"/>
  <c r="R64" i="40"/>
  <c r="D78" i="40"/>
  <c r="Q142" i="47"/>
  <c r="Q144" i="47"/>
  <c r="Q167" i="59"/>
  <c r="Q165" i="59"/>
  <c r="H10" i="12"/>
  <c r="I10" i="12" s="1"/>
  <c r="D10" i="12"/>
  <c r="F10" i="12" s="1"/>
  <c r="G10" i="12" s="1"/>
  <c r="V153" i="59"/>
  <c r="V156" i="59" s="1"/>
  <c r="T153" i="59"/>
  <c r="T156" i="59" s="1"/>
  <c r="X155" i="59" s="1"/>
  <c r="AB155" i="59" s="1"/>
  <c r="V129" i="39"/>
  <c r="T129" i="39"/>
  <c r="AG60" i="38"/>
  <c r="K140" i="33"/>
  <c r="L139" i="33"/>
  <c r="D137" i="33"/>
  <c r="K139" i="33"/>
  <c r="L140" i="33"/>
  <c r="G137" i="33"/>
  <c r="D143" i="44"/>
  <c r="F143" i="44" s="1"/>
  <c r="C142" i="44"/>
  <c r="G143" i="44"/>
  <c r="H138" i="35"/>
  <c r="C142" i="38"/>
  <c r="G143" i="38"/>
  <c r="D143" i="38"/>
  <c r="F143" i="38" s="1"/>
  <c r="Q139" i="33"/>
  <c r="Q137" i="33"/>
  <c r="AA145" i="46"/>
  <c r="AO145" i="46" s="1"/>
  <c r="AP145" i="46" s="1"/>
  <c r="W145" i="46"/>
  <c r="AA144" i="46"/>
  <c r="AO144" i="46" s="1"/>
  <c r="AP144" i="46" s="1"/>
  <c r="W144" i="46"/>
  <c r="AE55" i="37"/>
  <c r="AI54" i="37" s="1"/>
  <c r="M140" i="37"/>
  <c r="I140" i="37"/>
  <c r="G139" i="37"/>
  <c r="M139" i="37"/>
  <c r="I139" i="37"/>
  <c r="M139" i="30"/>
  <c r="I139" i="30"/>
  <c r="M140" i="30"/>
  <c r="I140" i="30"/>
  <c r="G139" i="30"/>
  <c r="C144" i="48"/>
  <c r="C143" i="48"/>
  <c r="F132" i="27"/>
  <c r="J40" i="35"/>
  <c r="N40" i="35" s="1"/>
  <c r="AQ40" i="35" s="1"/>
  <c r="J39" i="35"/>
  <c r="N39" i="35" s="1"/>
  <c r="AQ39" i="35" s="1"/>
  <c r="H50" i="36"/>
  <c r="AV5" i="7"/>
  <c r="L135" i="26"/>
  <c r="G132" i="26"/>
  <c r="K135" i="26"/>
  <c r="L134" i="26"/>
  <c r="D132" i="26"/>
  <c r="K134" i="26"/>
  <c r="Z135" i="31"/>
  <c r="Z134" i="31"/>
  <c r="R132" i="31"/>
  <c r="Y135" i="31"/>
  <c r="Y134" i="31"/>
  <c r="H38" i="34"/>
  <c r="H40" i="34" s="1"/>
  <c r="F40" i="34"/>
  <c r="F127" i="45"/>
  <c r="Q137" i="37"/>
  <c r="Q139" i="37"/>
  <c r="L139" i="34"/>
  <c r="D137" i="34"/>
  <c r="K139" i="34"/>
  <c r="L140" i="34"/>
  <c r="G137" i="34"/>
  <c r="K140" i="34"/>
  <c r="AA145" i="45"/>
  <c r="AO145" i="45" s="1"/>
  <c r="AP145" i="45" s="1"/>
  <c r="W144" i="45"/>
  <c r="W145" i="45"/>
  <c r="AA144" i="45"/>
  <c r="AO144" i="45" s="1"/>
  <c r="AP144" i="45" s="1"/>
  <c r="H138" i="41"/>
  <c r="AV6" i="8"/>
  <c r="A150" i="45"/>
  <c r="B150" i="45" s="1"/>
  <c r="B149" i="45"/>
  <c r="F44" i="35"/>
  <c r="J42" i="35"/>
  <c r="AJ150" i="41"/>
  <c r="AJ149" i="41"/>
  <c r="A150" i="26"/>
  <c r="B150" i="26" s="1"/>
  <c r="B149" i="26"/>
  <c r="H74" i="42"/>
  <c r="H75" i="42" s="1"/>
  <c r="J75" i="42" s="1"/>
  <c r="F75" i="42"/>
  <c r="J74" i="42" s="1"/>
  <c r="H127" i="38"/>
  <c r="H130" i="38" s="1"/>
  <c r="F130" i="38"/>
  <c r="H127" i="35"/>
  <c r="H130" i="35" s="1"/>
  <c r="F130" i="35"/>
  <c r="H133" i="36"/>
  <c r="H127" i="50"/>
  <c r="H130" i="50" s="1"/>
  <c r="F130" i="50"/>
  <c r="P148" i="27"/>
  <c r="Q148" i="27" s="1"/>
  <c r="O149" i="27"/>
  <c r="Y140" i="35"/>
  <c r="Y139" i="35"/>
  <c r="Z140" i="35"/>
  <c r="Z139" i="35"/>
  <c r="R137" i="35"/>
  <c r="H127" i="34"/>
  <c r="H130" i="34" s="1"/>
  <c r="F130" i="34"/>
  <c r="O150" i="38"/>
  <c r="P150" i="38" s="1"/>
  <c r="P149" i="38"/>
  <c r="F132" i="38"/>
  <c r="AG88" i="43"/>
  <c r="Q137" i="28"/>
  <c r="Q139" i="28"/>
  <c r="AJ150" i="35"/>
  <c r="AJ149" i="35"/>
  <c r="F132" i="33"/>
  <c r="F132" i="32"/>
  <c r="AL149" i="38"/>
  <c r="AH149" i="38"/>
  <c r="AL150" i="38"/>
  <c r="AH150" i="38"/>
  <c r="AI147" i="38"/>
  <c r="V129" i="31"/>
  <c r="T129" i="31"/>
  <c r="C137" i="36"/>
  <c r="G138" i="36"/>
  <c r="D138" i="36"/>
  <c r="F138" i="36" s="1"/>
  <c r="Q137" i="50"/>
  <c r="Q139" i="50"/>
  <c r="X40" i="36"/>
  <c r="AK39" i="36"/>
  <c r="AM39" i="36" s="1"/>
  <c r="AS39" i="36" s="1"/>
  <c r="L44" i="36"/>
  <c r="Z39" i="36"/>
  <c r="AB39" i="36" s="1"/>
  <c r="T132" i="47"/>
  <c r="T135" i="47" s="1"/>
  <c r="X134" i="47" s="1"/>
  <c r="AB134" i="47" s="1"/>
  <c r="V132" i="47"/>
  <c r="V135" i="47" s="1"/>
  <c r="AE69" i="39"/>
  <c r="AG69" i="39" s="1"/>
  <c r="AE73" i="39"/>
  <c r="R68" i="39"/>
  <c r="D69" i="39"/>
  <c r="F38" i="33"/>
  <c r="T127" i="44"/>
  <c r="T130" i="44" s="1"/>
  <c r="X129" i="44" s="1"/>
  <c r="AB129" i="44" s="1"/>
  <c r="V127" i="44"/>
  <c r="V130" i="44" s="1"/>
  <c r="K140" i="49"/>
  <c r="L139" i="49"/>
  <c r="D137" i="49"/>
  <c r="K139" i="49"/>
  <c r="L140" i="49"/>
  <c r="G137" i="49"/>
  <c r="AV17" i="53"/>
  <c r="AK18" i="61"/>
  <c r="AB21" i="68" s="1"/>
  <c r="AP18" i="19"/>
  <c r="B18" i="19"/>
  <c r="C10" i="36"/>
  <c r="D67" i="36" s="1"/>
  <c r="F67" i="36" s="1"/>
  <c r="B18" i="53"/>
  <c r="AP18" i="53"/>
  <c r="J47" i="36"/>
  <c r="AI70" i="41"/>
  <c r="P148" i="31"/>
  <c r="Q148" i="31" s="1"/>
  <c r="O149" i="31"/>
  <c r="C149" i="31"/>
  <c r="C148" i="31"/>
  <c r="C148" i="38"/>
  <c r="C149" i="38"/>
  <c r="V78" i="42"/>
  <c r="T78" i="42"/>
  <c r="V129" i="40"/>
  <c r="T129" i="40"/>
  <c r="C143" i="45"/>
  <c r="C144" i="45"/>
  <c r="M145" i="32"/>
  <c r="I145" i="32"/>
  <c r="G144" i="32"/>
  <c r="I144" i="32"/>
  <c r="M144" i="32"/>
  <c r="AA145" i="44"/>
  <c r="AO145" i="44" s="1"/>
  <c r="AP145" i="44" s="1"/>
  <c r="W145" i="44"/>
  <c r="AA144" i="44"/>
  <c r="AO144" i="44" s="1"/>
  <c r="AP144" i="44" s="1"/>
  <c r="W144" i="44"/>
  <c r="V129" i="33"/>
  <c r="T129" i="33"/>
  <c r="F132" i="29"/>
  <c r="F127" i="26"/>
  <c r="AF15" i="20"/>
  <c r="V129" i="49"/>
  <c r="T129" i="49"/>
  <c r="AV18" i="20"/>
  <c r="AA150" i="30"/>
  <c r="AO150" i="30" s="1"/>
  <c r="AP150" i="30" s="1"/>
  <c r="W150" i="30"/>
  <c r="AA149" i="30"/>
  <c r="AO149" i="30" s="1"/>
  <c r="AP149" i="30" s="1"/>
  <c r="W149" i="30"/>
  <c r="AE93" i="43"/>
  <c r="AE89" i="43"/>
  <c r="AG89" i="43" s="1"/>
  <c r="R88" i="43"/>
  <c r="D89" i="43"/>
  <c r="O150" i="48"/>
  <c r="P150" i="48" s="1"/>
  <c r="P149" i="48"/>
  <c r="AV12" i="14"/>
  <c r="C142" i="47"/>
  <c r="D143" i="47"/>
  <c r="F143" i="47" s="1"/>
  <c r="G143" i="47"/>
  <c r="F74" i="41"/>
  <c r="J72" i="41"/>
  <c r="M144" i="31"/>
  <c r="I144" i="31"/>
  <c r="M145" i="31"/>
  <c r="I145" i="31"/>
  <c r="G144" i="31"/>
  <c r="AV9" i="11"/>
  <c r="L135" i="43"/>
  <c r="G132" i="43"/>
  <c r="K135" i="43"/>
  <c r="L134" i="43"/>
  <c r="D132" i="43"/>
  <c r="K134" i="43"/>
  <c r="X11" i="15"/>
  <c r="AA8" i="12"/>
  <c r="F130" i="33"/>
  <c r="H127" i="33"/>
  <c r="H130" i="33" s="1"/>
  <c r="T134" i="36"/>
  <c r="V134" i="36"/>
  <c r="R63" i="38"/>
  <c r="AE64" i="38"/>
  <c r="AG64" i="38" s="1"/>
  <c r="D64" i="38"/>
  <c r="F64" i="38" s="1"/>
  <c r="H64" i="38" s="1"/>
  <c r="R59" i="38"/>
  <c r="AE68" i="38"/>
  <c r="X132" i="50"/>
  <c r="R134" i="50"/>
  <c r="Q139" i="27"/>
  <c r="Q137" i="27"/>
  <c r="AA145" i="28"/>
  <c r="AO145" i="28" s="1"/>
  <c r="AP145" i="28" s="1"/>
  <c r="W145" i="28"/>
  <c r="AA144" i="28"/>
  <c r="AO144" i="28" s="1"/>
  <c r="AP144" i="28" s="1"/>
  <c r="W144" i="28"/>
  <c r="Z135" i="34"/>
  <c r="Z134" i="34"/>
  <c r="R132" i="34"/>
  <c r="Y135" i="34"/>
  <c r="Y134" i="34"/>
  <c r="AG6" i="11"/>
  <c r="F127" i="37"/>
  <c r="J65" i="40"/>
  <c r="J64" i="40"/>
  <c r="X137" i="47"/>
  <c r="R139" i="47"/>
  <c r="R161" i="59"/>
  <c r="X159" i="59"/>
  <c r="V129" i="34"/>
  <c r="T129" i="34"/>
  <c r="H127" i="42"/>
  <c r="H130" i="42" s="1"/>
  <c r="F130" i="42"/>
  <c r="AA150" i="26"/>
  <c r="AO150" i="26" s="1"/>
  <c r="AP150" i="26" s="1"/>
  <c r="W150" i="26"/>
  <c r="AA149" i="26"/>
  <c r="AO149" i="26" s="1"/>
  <c r="AP149" i="26" s="1"/>
  <c r="W149" i="26"/>
  <c r="AA13" i="17"/>
  <c r="AG13" i="17" s="1"/>
  <c r="D143" i="40"/>
  <c r="F143" i="40" s="1"/>
  <c r="C142" i="40"/>
  <c r="G143" i="40"/>
  <c r="H122" i="37"/>
  <c r="H125" i="37" s="1"/>
  <c r="F125" i="37"/>
  <c r="AG98" i="44"/>
  <c r="F89" i="44"/>
  <c r="J87" i="44"/>
  <c r="H8" i="10"/>
  <c r="I8" i="10" s="1"/>
  <c r="D8" i="10"/>
  <c r="AF6" i="12"/>
  <c r="AF7" i="12" s="1"/>
  <c r="AV7" i="9"/>
  <c r="F132" i="40"/>
  <c r="M145" i="41"/>
  <c r="I145" i="41"/>
  <c r="G144" i="41"/>
  <c r="M144" i="41"/>
  <c r="I144" i="41"/>
  <c r="D143" i="33"/>
  <c r="F143" i="33" s="1"/>
  <c r="C142" i="33"/>
  <c r="G143" i="33"/>
  <c r="M145" i="29"/>
  <c r="I145" i="29"/>
  <c r="G144" i="29"/>
  <c r="M144" i="29"/>
  <c r="I144" i="29"/>
  <c r="V155" i="59"/>
  <c r="T155" i="59"/>
  <c r="M145" i="35"/>
  <c r="I145" i="35"/>
  <c r="G144" i="35"/>
  <c r="M144" i="35"/>
  <c r="I144" i="35"/>
  <c r="F127" i="39"/>
  <c r="F127" i="48"/>
  <c r="C148" i="41"/>
  <c r="C149" i="41"/>
  <c r="AE34" i="32"/>
  <c r="D38" i="32"/>
  <c r="AE38" i="32"/>
  <c r="R33" i="32"/>
  <c r="R37" i="32"/>
  <c r="D42" i="32"/>
  <c r="Y140" i="42"/>
  <c r="Y139" i="42"/>
  <c r="Z139" i="42"/>
  <c r="Z140" i="42"/>
  <c r="R137" i="42"/>
  <c r="M144" i="27"/>
  <c r="I144" i="27"/>
  <c r="M145" i="27"/>
  <c r="I145" i="27"/>
  <c r="G144" i="27"/>
  <c r="X132" i="44"/>
  <c r="R134" i="44"/>
  <c r="T132" i="36"/>
  <c r="T135" i="36" s="1"/>
  <c r="X134" i="36" s="1"/>
  <c r="AB134" i="36" s="1"/>
  <c r="V132" i="36"/>
  <c r="V135" i="36" s="1"/>
  <c r="AG68" i="39"/>
  <c r="AE90" i="44"/>
  <c r="AI89" i="44" s="1"/>
  <c r="H21" i="23"/>
  <c r="I21" i="23" s="1"/>
  <c r="D21" i="23"/>
  <c r="F21" i="23" s="1"/>
  <c r="G21" i="23" s="1"/>
  <c r="H127" i="40"/>
  <c r="H130" i="40" s="1"/>
  <c r="F130" i="40"/>
  <c r="G138" i="43"/>
  <c r="D138" i="43"/>
  <c r="F138" i="43" s="1"/>
  <c r="C137" i="43"/>
  <c r="O149" i="34"/>
  <c r="P148" i="34"/>
  <c r="Q148" i="34" s="1"/>
  <c r="R139" i="48"/>
  <c r="X137" i="48"/>
  <c r="G138" i="48"/>
  <c r="D138" i="48"/>
  <c r="F138" i="48" s="1"/>
  <c r="C137" i="48"/>
  <c r="F132" i="28"/>
  <c r="AV20" i="22"/>
  <c r="AV13" i="15"/>
  <c r="AA150" i="35"/>
  <c r="AO150" i="35" s="1"/>
  <c r="AP150" i="35" s="1"/>
  <c r="W150" i="35"/>
  <c r="AA149" i="35"/>
  <c r="AO149" i="35" s="1"/>
  <c r="AP149" i="35" s="1"/>
  <c r="W149" i="35"/>
  <c r="J57" i="38"/>
  <c r="Q142" i="42"/>
  <c r="Q144" i="42"/>
  <c r="H19" i="21"/>
  <c r="I19" i="21" s="1"/>
  <c r="D19" i="21"/>
  <c r="F19" i="21" s="1"/>
  <c r="G19" i="21" s="1"/>
  <c r="K139" i="42"/>
  <c r="K140" i="42"/>
  <c r="L140" i="42"/>
  <c r="G137" i="42"/>
  <c r="L139" i="42"/>
  <c r="D137" i="42"/>
  <c r="AA145" i="40"/>
  <c r="AO145" i="40" s="1"/>
  <c r="AP145" i="40" s="1"/>
  <c r="W145" i="40"/>
  <c r="AA144" i="40"/>
  <c r="AO144" i="40" s="1"/>
  <c r="AP144" i="40" s="1"/>
  <c r="W144" i="40"/>
  <c r="O145" i="33"/>
  <c r="P145" i="33" s="1"/>
  <c r="P144" i="33"/>
  <c r="C137" i="45"/>
  <c r="G138" i="45"/>
  <c r="D138" i="45"/>
  <c r="F138" i="45" s="1"/>
  <c r="X137" i="29"/>
  <c r="R139" i="29"/>
  <c r="C144" i="37"/>
  <c r="C143" i="37"/>
  <c r="AN15" i="61"/>
  <c r="AE18" i="68" s="1"/>
  <c r="C13" i="39"/>
  <c r="B15" i="16"/>
  <c r="AP15" i="16"/>
  <c r="V127" i="37"/>
  <c r="V130" i="37" s="1"/>
  <c r="T127" i="37"/>
  <c r="T130" i="37" s="1"/>
  <c r="X129" i="37" s="1"/>
  <c r="AB129" i="37" s="1"/>
  <c r="AR11" i="61"/>
  <c r="AI14" i="68" s="1"/>
  <c r="AP11" i="12"/>
  <c r="C17" i="43"/>
  <c r="AE94" i="43" s="1"/>
  <c r="AG94" i="43" s="1"/>
  <c r="B11" i="12"/>
  <c r="AE60" i="38"/>
  <c r="AI59" i="38" s="1"/>
  <c r="H138" i="33"/>
  <c r="M144" i="44"/>
  <c r="I144" i="44"/>
  <c r="M145" i="44"/>
  <c r="I145" i="44"/>
  <c r="G144" i="44"/>
  <c r="L135" i="30"/>
  <c r="G132" i="30"/>
  <c r="K135" i="30"/>
  <c r="L134" i="30"/>
  <c r="D132" i="30"/>
  <c r="K134" i="30"/>
  <c r="V129" i="28"/>
  <c r="T129" i="28"/>
  <c r="H127" i="32"/>
  <c r="H130" i="32" s="1"/>
  <c r="F130" i="32"/>
  <c r="A150" i="48"/>
  <c r="B150" i="48" s="1"/>
  <c r="B149" i="48"/>
  <c r="P144" i="46"/>
  <c r="O145" i="46"/>
  <c r="P145" i="46" s="1"/>
  <c r="AE50" i="36"/>
  <c r="AI49" i="36" s="1"/>
  <c r="Q142" i="29"/>
  <c r="Q144" i="29"/>
  <c r="Q144" i="48"/>
  <c r="Q142" i="48"/>
  <c r="F50" i="36"/>
  <c r="F4" i="7"/>
  <c r="J50" i="37"/>
  <c r="J49" i="37"/>
  <c r="F130" i="44"/>
  <c r="H127" i="44"/>
  <c r="H130" i="44" s="1"/>
  <c r="X132" i="31"/>
  <c r="R134" i="31"/>
  <c r="C149" i="28"/>
  <c r="C148" i="28"/>
  <c r="Y15" i="18"/>
  <c r="Z135" i="43"/>
  <c r="Z134" i="43"/>
  <c r="R132" i="43"/>
  <c r="Y135" i="43"/>
  <c r="Y134" i="43"/>
  <c r="O145" i="45"/>
  <c r="P145" i="45" s="1"/>
  <c r="P144" i="45"/>
  <c r="AV7" i="61"/>
  <c r="AM10" i="68" s="1"/>
  <c r="AP7" i="8"/>
  <c r="B7" i="8"/>
  <c r="C21" i="47"/>
  <c r="V43" i="35"/>
  <c r="T43" i="35"/>
  <c r="C144" i="43"/>
  <c r="C143" i="43"/>
  <c r="AL149" i="41"/>
  <c r="AH149" i="41"/>
  <c r="AL150" i="41"/>
  <c r="AH150" i="41"/>
  <c r="AI147" i="41"/>
  <c r="V127" i="43"/>
  <c r="V130" i="43" s="1"/>
  <c r="T127" i="43"/>
  <c r="T130" i="43" s="1"/>
  <c r="X129" i="43" s="1"/>
  <c r="AB129" i="43" s="1"/>
  <c r="H127" i="29"/>
  <c r="H130" i="29" s="1"/>
  <c r="F130" i="29"/>
  <c r="X132" i="40"/>
  <c r="R134" i="40"/>
  <c r="J44" i="36"/>
  <c r="J45" i="36"/>
  <c r="H72" i="39"/>
  <c r="V132" i="48"/>
  <c r="V135" i="48" s="1"/>
  <c r="T132" i="48"/>
  <c r="T135" i="48" s="1"/>
  <c r="X134" i="48" s="1"/>
  <c r="AB134" i="48" s="1"/>
  <c r="V132" i="41"/>
  <c r="V135" i="41" s="1"/>
  <c r="T132" i="41"/>
  <c r="T135" i="41" s="1"/>
  <c r="X134" i="41" s="1"/>
  <c r="AB134" i="41" s="1"/>
  <c r="L139" i="40"/>
  <c r="D137" i="40"/>
  <c r="K139" i="40"/>
  <c r="L140" i="40"/>
  <c r="G137" i="40"/>
  <c r="K140" i="40"/>
  <c r="Z140" i="26"/>
  <c r="Z139" i="26"/>
  <c r="R137" i="26"/>
  <c r="Y140" i="26"/>
  <c r="Y139" i="26"/>
  <c r="AL149" i="35"/>
  <c r="AH149" i="35"/>
  <c r="AL150" i="35"/>
  <c r="AH150" i="35"/>
  <c r="AI147" i="35"/>
  <c r="O149" i="50"/>
  <c r="P148" i="50"/>
  <c r="Q148" i="50" s="1"/>
  <c r="V129" i="37"/>
  <c r="T129" i="37"/>
  <c r="Q139" i="44"/>
  <c r="Q137" i="44"/>
  <c r="AK40" i="36"/>
  <c r="AM40" i="36" s="1"/>
  <c r="AS40" i="36" s="1"/>
  <c r="Z40" i="36"/>
  <c r="L45" i="36"/>
  <c r="AM16" i="61"/>
  <c r="AD19" i="68" s="1"/>
  <c r="AP16" i="17"/>
  <c r="C12" i="38"/>
  <c r="D77" i="38" s="1"/>
  <c r="B16" i="17"/>
  <c r="AG38" i="33"/>
  <c r="AV17" i="19"/>
  <c r="C149" i="32"/>
  <c r="C148" i="32"/>
  <c r="K134" i="45"/>
  <c r="L135" i="45"/>
  <c r="K135" i="45"/>
  <c r="L134" i="45"/>
  <c r="G132" i="45"/>
  <c r="D132" i="45"/>
  <c r="L135" i="48"/>
  <c r="G132" i="48"/>
  <c r="K135" i="48"/>
  <c r="L134" i="48"/>
  <c r="D132" i="48"/>
  <c r="K134" i="48"/>
  <c r="H4" i="6"/>
  <c r="I4" i="6" s="1"/>
  <c r="D4" i="6"/>
  <c r="J70" i="41"/>
  <c r="AA150" i="42"/>
  <c r="AO150" i="42" s="1"/>
  <c r="AP150" i="42" s="1"/>
  <c r="W150" i="42"/>
  <c r="AA149" i="42"/>
  <c r="AO149" i="42" s="1"/>
  <c r="AP149" i="42" s="1"/>
  <c r="W149" i="42"/>
  <c r="A174" i="59"/>
  <c r="B174" i="59" s="1"/>
  <c r="B173" i="59"/>
  <c r="C148" i="29"/>
  <c r="C149" i="29"/>
  <c r="T38" i="34"/>
  <c r="V38" i="34"/>
  <c r="F132" i="44"/>
  <c r="F127" i="36"/>
  <c r="Y5" i="8"/>
  <c r="V74" i="42"/>
  <c r="V75" i="42" s="1"/>
  <c r="T74" i="42"/>
  <c r="T75" i="42" s="1"/>
  <c r="X74" i="42" s="1"/>
  <c r="C166" i="59"/>
  <c r="C167" i="59"/>
  <c r="C148" i="42"/>
  <c r="C149" i="42"/>
  <c r="H65" i="39"/>
  <c r="J65" i="39" s="1"/>
  <c r="K140" i="27"/>
  <c r="L139" i="27"/>
  <c r="D137" i="27"/>
  <c r="K139" i="27"/>
  <c r="L140" i="27"/>
  <c r="G137" i="27"/>
  <c r="V127" i="46"/>
  <c r="V130" i="46" s="1"/>
  <c r="T127" i="46"/>
  <c r="T130" i="46" s="1"/>
  <c r="X129" i="46" s="1"/>
  <c r="AB129" i="46" s="1"/>
  <c r="F130" i="27"/>
  <c r="H127" i="27"/>
  <c r="H130" i="27" s="1"/>
  <c r="O145" i="31"/>
  <c r="P145" i="31" s="1"/>
  <c r="P144" i="31"/>
  <c r="AJ19" i="61"/>
  <c r="AA22" i="68" s="1"/>
  <c r="AP19" i="20"/>
  <c r="C9" i="35"/>
  <c r="R49" i="35" s="1"/>
  <c r="B19" i="20"/>
  <c r="AJ149" i="44"/>
  <c r="AJ150" i="44"/>
  <c r="AA174" i="59"/>
  <c r="AQ174" i="59" s="1"/>
  <c r="AR174" i="59" s="1"/>
  <c r="W174" i="59"/>
  <c r="AA173" i="59"/>
  <c r="AQ173" i="59" s="1"/>
  <c r="AR173" i="59" s="1"/>
  <c r="W173" i="59"/>
  <c r="H11" i="13"/>
  <c r="I11" i="13" s="1"/>
  <c r="D11" i="13"/>
  <c r="AA150" i="48"/>
  <c r="AO150" i="48" s="1"/>
  <c r="AP150" i="48" s="1"/>
  <c r="W150" i="48"/>
  <c r="AA149" i="48"/>
  <c r="AO149" i="48" s="1"/>
  <c r="AP149" i="48" s="1"/>
  <c r="W149" i="48"/>
  <c r="R134" i="39"/>
  <c r="X132" i="39"/>
  <c r="AE84" i="42"/>
  <c r="AG84" i="42" s="1"/>
  <c r="AE88" i="42"/>
  <c r="R83" i="42"/>
  <c r="D84" i="42"/>
  <c r="X137" i="41"/>
  <c r="R139" i="41"/>
  <c r="V73" i="41"/>
  <c r="T73" i="41"/>
  <c r="F9" i="12"/>
  <c r="Y14" i="17"/>
  <c r="H9" i="11"/>
  <c r="I9" i="11" s="1"/>
  <c r="D9" i="11"/>
  <c r="X10" i="14"/>
  <c r="AF9" i="13"/>
  <c r="CY98" i="61" l="1"/>
  <c r="AQ6" i="68"/>
  <c r="L150" i="66"/>
  <c r="AH15" i="68"/>
  <c r="EX128" i="61"/>
  <c r="GI128" i="61" s="1"/>
  <c r="O7" i="64" s="1"/>
  <c r="AO8" i="68"/>
  <c r="CE118" i="61"/>
  <c r="W26" i="68"/>
  <c r="J112" i="48"/>
  <c r="AI95" i="45"/>
  <c r="J94" i="45"/>
  <c r="N94" i="45" s="1"/>
  <c r="AQ94" i="45" s="1"/>
  <c r="J92" i="44"/>
  <c r="AI80" i="42"/>
  <c r="J120" i="50"/>
  <c r="D243" i="66"/>
  <c r="A243" i="66" s="1"/>
  <c r="L276" i="66"/>
  <c r="I191" i="66"/>
  <c r="L192" i="66"/>
  <c r="AR124" i="40"/>
  <c r="T39" i="35"/>
  <c r="T40" i="35" s="1"/>
  <c r="X39" i="35" s="1"/>
  <c r="X40" i="35" s="1"/>
  <c r="AE105" i="46"/>
  <c r="AI104" i="46" s="1"/>
  <c r="B152" i="66"/>
  <c r="AT65" i="44"/>
  <c r="E11" i="44" s="1"/>
  <c r="AP6" i="44" s="1"/>
  <c r="AR6" i="44" s="1"/>
  <c r="AI45" i="35"/>
  <c r="F120" i="49"/>
  <c r="AG105" i="46"/>
  <c r="D149" i="65"/>
  <c r="A149" i="65" s="1"/>
  <c r="AI85" i="43"/>
  <c r="CX99" i="61"/>
  <c r="Y7" i="9"/>
  <c r="X6" i="9" s="1"/>
  <c r="T103" i="46"/>
  <c r="J39" i="34"/>
  <c r="N39" i="34" s="1"/>
  <c r="AQ39" i="34" s="1"/>
  <c r="AT64" i="44"/>
  <c r="D11" i="44" s="1"/>
  <c r="AP5" i="44" s="1"/>
  <c r="AR5" i="44" s="1"/>
  <c r="J102" i="46"/>
  <c r="AI120" i="50"/>
  <c r="AE115" i="48"/>
  <c r="AI114" i="48" s="1"/>
  <c r="AI115" i="48" s="1"/>
  <c r="B230" i="66"/>
  <c r="T84" i="43"/>
  <c r="A242" i="66"/>
  <c r="D231" i="66"/>
  <c r="B231" i="66" s="1"/>
  <c r="L216" i="66"/>
  <c r="D153" i="66"/>
  <c r="B153" i="66" s="1"/>
  <c r="D133" i="66"/>
  <c r="B132" i="66"/>
  <c r="A132" i="66"/>
  <c r="D215" i="65"/>
  <c r="A215" i="65" s="1"/>
  <c r="J215" i="66"/>
  <c r="B215" i="65" s="1"/>
  <c r="I215" i="66"/>
  <c r="D188" i="66"/>
  <c r="I155" i="66"/>
  <c r="D155" i="65"/>
  <c r="J155" i="66"/>
  <c r="B155" i="65" s="1"/>
  <c r="B187" i="66"/>
  <c r="A187" i="66"/>
  <c r="D144" i="66"/>
  <c r="L156" i="66"/>
  <c r="D131" i="65"/>
  <c r="A131" i="65" s="1"/>
  <c r="I131" i="66"/>
  <c r="J131" i="66"/>
  <c r="B131" i="65" s="1"/>
  <c r="B143" i="66"/>
  <c r="A143" i="66"/>
  <c r="H120" i="49"/>
  <c r="X6" i="49"/>
  <c r="J117" i="49"/>
  <c r="AE120" i="49"/>
  <c r="AI119" i="49" s="1"/>
  <c r="L8" i="41"/>
  <c r="AP54" i="41" s="1"/>
  <c r="AT54" i="41" s="1"/>
  <c r="D9" i="41" s="1"/>
  <c r="X115" i="50"/>
  <c r="AR129" i="42"/>
  <c r="AG120" i="49"/>
  <c r="D127" i="66"/>
  <c r="L136" i="66"/>
  <c r="D166" i="66"/>
  <c r="L178" i="66"/>
  <c r="J150" i="66"/>
  <c r="B150" i="65" s="1"/>
  <c r="I150" i="66"/>
  <c r="D150" i="65"/>
  <c r="A150" i="65" s="1"/>
  <c r="D177" i="65"/>
  <c r="A177" i="65" s="1"/>
  <c r="J177" i="66"/>
  <c r="B177" i="65" s="1"/>
  <c r="I177" i="66"/>
  <c r="D121" i="65"/>
  <c r="A121" i="65" s="1"/>
  <c r="J121" i="66"/>
  <c r="B121" i="65" s="1"/>
  <c r="I121" i="66"/>
  <c r="D276" i="65"/>
  <c r="I276" i="66"/>
  <c r="J276" i="66"/>
  <c r="B276" i="65" s="1"/>
  <c r="L262" i="66"/>
  <c r="B165" i="66"/>
  <c r="A165" i="66"/>
  <c r="B243" i="66"/>
  <c r="B113" i="66"/>
  <c r="A113" i="66"/>
  <c r="D192" i="65"/>
  <c r="J192" i="66"/>
  <c r="B192" i="65" s="1"/>
  <c r="I192" i="66"/>
  <c r="D135" i="65"/>
  <c r="A135" i="65" s="1"/>
  <c r="J135" i="66"/>
  <c r="B135" i="65" s="1"/>
  <c r="I135" i="66"/>
  <c r="X110" i="49"/>
  <c r="A126" i="66"/>
  <c r="B126" i="66"/>
  <c r="CU102" i="61"/>
  <c r="D99" i="66"/>
  <c r="L104" i="66"/>
  <c r="CT103" i="61"/>
  <c r="D118" i="66"/>
  <c r="L124" i="66"/>
  <c r="L204" i="66"/>
  <c r="CW100" i="61"/>
  <c r="D61" i="66"/>
  <c r="L64" i="66"/>
  <c r="D365" i="66"/>
  <c r="L384" i="66"/>
  <c r="CS104" i="61"/>
  <c r="D137" i="66"/>
  <c r="L144" i="66"/>
  <c r="D104" i="45"/>
  <c r="J102" i="45" s="1"/>
  <c r="AE108" i="45"/>
  <c r="B174" i="66"/>
  <c r="A174" i="66"/>
  <c r="AG128" i="50"/>
  <c r="D383" i="65"/>
  <c r="A383" i="65" s="1"/>
  <c r="J383" i="66"/>
  <c r="B383" i="65" s="1"/>
  <c r="I383" i="66"/>
  <c r="F109" i="47"/>
  <c r="J107" i="47"/>
  <c r="F113" i="47"/>
  <c r="H117" i="48"/>
  <c r="AE125" i="50"/>
  <c r="AI124" i="50" s="1"/>
  <c r="D43" i="65"/>
  <c r="A43" i="65" s="1"/>
  <c r="I43" i="66"/>
  <c r="J43" i="66"/>
  <c r="B43" i="65" s="1"/>
  <c r="D423" i="65"/>
  <c r="A423" i="65" s="1"/>
  <c r="J423" i="66"/>
  <c r="B423" i="65" s="1"/>
  <c r="I423" i="66"/>
  <c r="D143" i="65"/>
  <c r="A143" i="65" s="1"/>
  <c r="J143" i="66"/>
  <c r="B143" i="65" s="1"/>
  <c r="I143" i="66"/>
  <c r="D103" i="65"/>
  <c r="A103" i="65" s="1"/>
  <c r="J103" i="66"/>
  <c r="B103" i="65" s="1"/>
  <c r="I103" i="66"/>
  <c r="V107" i="46"/>
  <c r="T107" i="46"/>
  <c r="H105" i="46"/>
  <c r="H109" i="48"/>
  <c r="H110" i="48" s="1"/>
  <c r="J110" i="48" s="1"/>
  <c r="F110" i="48"/>
  <c r="J109" i="48" s="1"/>
  <c r="H103" i="45"/>
  <c r="H102" i="43"/>
  <c r="D403" i="65"/>
  <c r="A403" i="65" s="1"/>
  <c r="I403" i="66"/>
  <c r="J403" i="66"/>
  <c r="B403" i="65" s="1"/>
  <c r="R109" i="47"/>
  <c r="D118" i="47"/>
  <c r="F118" i="47" s="1"/>
  <c r="H118" i="47" s="1"/>
  <c r="R113" i="47"/>
  <c r="AE118" i="47"/>
  <c r="D114" i="47"/>
  <c r="F114" i="47" s="1"/>
  <c r="H114" i="47" s="1"/>
  <c r="AE114" i="47"/>
  <c r="AG114" i="47" s="1"/>
  <c r="D175" i="66"/>
  <c r="L184" i="66"/>
  <c r="D384" i="66"/>
  <c r="L404" i="66"/>
  <c r="CV101" i="61"/>
  <c r="D80" i="66"/>
  <c r="L84" i="66"/>
  <c r="H99" i="46"/>
  <c r="H100" i="46" s="1"/>
  <c r="J100" i="46" s="1"/>
  <c r="F100" i="46"/>
  <c r="F124" i="50"/>
  <c r="H124" i="50" s="1"/>
  <c r="J122" i="50"/>
  <c r="D63" i="65"/>
  <c r="A63" i="65" s="1"/>
  <c r="I63" i="66"/>
  <c r="J63" i="66"/>
  <c r="B63" i="65" s="1"/>
  <c r="B364" i="66"/>
  <c r="A364" i="66"/>
  <c r="AG109" i="47"/>
  <c r="AG110" i="47" s="1"/>
  <c r="AE110" i="47"/>
  <c r="AI109" i="47" s="1"/>
  <c r="V104" i="47"/>
  <c r="V105" i="47" s="1"/>
  <c r="T104" i="47"/>
  <c r="T105" i="47" s="1"/>
  <c r="X104" i="47" s="1"/>
  <c r="J115" i="49"/>
  <c r="J114" i="49"/>
  <c r="X7" i="49"/>
  <c r="B41" i="66"/>
  <c r="A41" i="66"/>
  <c r="B402" i="66"/>
  <c r="A402" i="66"/>
  <c r="A136" i="66"/>
  <c r="B136" i="66"/>
  <c r="T113" i="48"/>
  <c r="V113" i="48"/>
  <c r="B98" i="66"/>
  <c r="A98" i="66"/>
  <c r="V89" i="45"/>
  <c r="V90" i="45" s="1"/>
  <c r="T89" i="45"/>
  <c r="T90" i="45" s="1"/>
  <c r="X89" i="45" s="1"/>
  <c r="T97" i="43"/>
  <c r="V97" i="43"/>
  <c r="D163" i="65"/>
  <c r="A163" i="65" s="1"/>
  <c r="I163" i="66"/>
  <c r="J163" i="66"/>
  <c r="B163" i="65" s="1"/>
  <c r="B383" i="66"/>
  <c r="A383" i="66"/>
  <c r="R89" i="44"/>
  <c r="D103" i="44"/>
  <c r="F103" i="44" s="1"/>
  <c r="D107" i="44"/>
  <c r="F107" i="44" s="1"/>
  <c r="R102" i="44"/>
  <c r="AE129" i="50"/>
  <c r="AG129" i="50" s="1"/>
  <c r="AE133" i="50"/>
  <c r="AE134" i="50"/>
  <c r="AG134" i="50" s="1"/>
  <c r="D129" i="50"/>
  <c r="AE139" i="50"/>
  <c r="AG139" i="50" s="1"/>
  <c r="R128" i="50"/>
  <c r="AE138" i="50"/>
  <c r="D134" i="50"/>
  <c r="AE143" i="50"/>
  <c r="R133" i="50"/>
  <c r="AE144" i="50"/>
  <c r="AG144" i="50" s="1"/>
  <c r="AE149" i="50"/>
  <c r="AG149" i="50" s="1"/>
  <c r="AE148" i="50"/>
  <c r="R138" i="50"/>
  <c r="D139" i="50"/>
  <c r="F139" i="50" s="1"/>
  <c r="H139" i="50" s="1"/>
  <c r="R99" i="45"/>
  <c r="D108" i="45"/>
  <c r="F108" i="45" s="1"/>
  <c r="H108" i="45" s="1"/>
  <c r="R107" i="45"/>
  <c r="D112" i="45"/>
  <c r="F112" i="45" s="1"/>
  <c r="R103" i="45"/>
  <c r="V103" i="45" s="1"/>
  <c r="H113" i="48"/>
  <c r="H115" i="48" s="1"/>
  <c r="J115" i="48" s="1"/>
  <c r="F115" i="48"/>
  <c r="J114" i="48" s="1"/>
  <c r="X100" i="47"/>
  <c r="T123" i="50"/>
  <c r="V123" i="50"/>
  <c r="B60" i="66"/>
  <c r="A60" i="66"/>
  <c r="T108" i="47"/>
  <c r="V108" i="47"/>
  <c r="F117" i="47"/>
  <c r="D123" i="65"/>
  <c r="A123" i="65" s="1"/>
  <c r="J123" i="66"/>
  <c r="B123" i="65" s="1"/>
  <c r="I123" i="66"/>
  <c r="AI110" i="48"/>
  <c r="AI115" i="49"/>
  <c r="AG123" i="49"/>
  <c r="X90" i="46"/>
  <c r="X105" i="48"/>
  <c r="V109" i="48"/>
  <c r="V110" i="48" s="1"/>
  <c r="T109" i="48"/>
  <c r="T110" i="48" s="1"/>
  <c r="X109" i="48" s="1"/>
  <c r="V99" i="46"/>
  <c r="T99" i="46"/>
  <c r="T100" i="46" s="1"/>
  <c r="X99" i="46" s="1"/>
  <c r="H107" i="45"/>
  <c r="H97" i="42"/>
  <c r="D83" i="65"/>
  <c r="A83" i="65" s="1"/>
  <c r="J83" i="66"/>
  <c r="B83" i="65" s="1"/>
  <c r="I83" i="66"/>
  <c r="R104" i="46"/>
  <c r="D113" i="46"/>
  <c r="R112" i="46"/>
  <c r="D117" i="46"/>
  <c r="AE113" i="46"/>
  <c r="AE109" i="46"/>
  <c r="R108" i="46"/>
  <c r="D109" i="46"/>
  <c r="CR105" i="61"/>
  <c r="L164" i="66"/>
  <c r="D98" i="42"/>
  <c r="F98" i="42" s="1"/>
  <c r="H98" i="42" s="1"/>
  <c r="R97" i="42"/>
  <c r="D102" i="42"/>
  <c r="F102" i="42" s="1"/>
  <c r="AE124" i="49"/>
  <c r="AG124" i="49" s="1"/>
  <c r="R123" i="49"/>
  <c r="D124" i="49"/>
  <c r="AE128" i="49"/>
  <c r="R87" i="41"/>
  <c r="D97" i="41"/>
  <c r="F97" i="41" s="1"/>
  <c r="R114" i="48"/>
  <c r="R118" i="48"/>
  <c r="D119" i="48"/>
  <c r="AE119" i="48"/>
  <c r="AG119" i="48" s="1"/>
  <c r="AE123" i="48"/>
  <c r="D403" i="66"/>
  <c r="L424" i="66"/>
  <c r="V100" i="46"/>
  <c r="D422" i="66"/>
  <c r="L444" i="66"/>
  <c r="AG113" i="47"/>
  <c r="V112" i="47"/>
  <c r="T112" i="47"/>
  <c r="B117" i="66"/>
  <c r="A117" i="66"/>
  <c r="AG125" i="50"/>
  <c r="AI125" i="50" s="1"/>
  <c r="T114" i="49"/>
  <c r="T115" i="49" s="1"/>
  <c r="X114" i="49" s="1"/>
  <c r="V114" i="49"/>
  <c r="V115" i="49" s="1"/>
  <c r="V118" i="49"/>
  <c r="T118" i="49"/>
  <c r="D203" i="65"/>
  <c r="A203" i="65" s="1"/>
  <c r="J203" i="66"/>
  <c r="B203" i="65" s="1"/>
  <c r="I203" i="66"/>
  <c r="AG118" i="48"/>
  <c r="H112" i="46"/>
  <c r="F105" i="46"/>
  <c r="J104" i="46" s="1"/>
  <c r="V102" i="45"/>
  <c r="T102" i="45"/>
  <c r="V87" i="42"/>
  <c r="T87" i="42"/>
  <c r="A79" i="66"/>
  <c r="B79" i="66"/>
  <c r="AP15" i="41"/>
  <c r="AR15" i="41" s="1"/>
  <c r="AP10" i="41"/>
  <c r="AR10" i="41" s="1"/>
  <c r="X25" i="41"/>
  <c r="L9" i="41" s="1"/>
  <c r="AP55" i="41" s="1"/>
  <c r="AT55" i="41" s="1"/>
  <c r="E9" i="41" s="1"/>
  <c r="AT54" i="42"/>
  <c r="D9" i="42" s="1"/>
  <c r="AB22" i="42" s="1"/>
  <c r="AD22" i="42" s="1"/>
  <c r="CQ106" i="61"/>
  <c r="CN109" i="61"/>
  <c r="CP107" i="61"/>
  <c r="CG116" i="61"/>
  <c r="CH115" i="61"/>
  <c r="A139" i="65"/>
  <c r="CI114" i="61"/>
  <c r="CF117" i="61"/>
  <c r="CO108" i="61"/>
  <c r="CL111" i="61"/>
  <c r="CM110" i="61"/>
  <c r="A152" i="65"/>
  <c r="A113" i="65"/>
  <c r="A191" i="65"/>
  <c r="CJ113" i="61"/>
  <c r="CK112" i="61"/>
  <c r="AB28" i="42"/>
  <c r="AD28" i="42" s="1"/>
  <c r="AP6" i="42"/>
  <c r="AR6" i="42" s="1"/>
  <c r="AB23" i="42"/>
  <c r="AD23" i="42" s="1"/>
  <c r="AB9" i="43"/>
  <c r="AD9" i="43" s="1"/>
  <c r="AB4" i="43"/>
  <c r="AD4" i="43" s="1"/>
  <c r="AB15" i="43"/>
  <c r="AD15" i="43" s="1"/>
  <c r="AB10" i="43"/>
  <c r="AD10" i="43" s="1"/>
  <c r="AB16" i="43"/>
  <c r="AD16" i="43" s="1"/>
  <c r="AB5" i="43"/>
  <c r="AD5" i="43" s="1"/>
  <c r="X6" i="43" s="1"/>
  <c r="AB28" i="44"/>
  <c r="AD28" i="44" s="1"/>
  <c r="AB23" i="44"/>
  <c r="AD23" i="44" s="1"/>
  <c r="AB27" i="44"/>
  <c r="AD27" i="44" s="1"/>
  <c r="AB22" i="44"/>
  <c r="AD22" i="44" s="1"/>
  <c r="T85" i="43"/>
  <c r="X84" i="43" s="1"/>
  <c r="J40" i="34"/>
  <c r="N40" i="34" s="1"/>
  <c r="AQ40" i="34" s="1"/>
  <c r="AI65" i="39"/>
  <c r="AR130" i="48"/>
  <c r="V85" i="43"/>
  <c r="X85" i="43" s="1"/>
  <c r="V32" i="31"/>
  <c r="T32" i="31"/>
  <c r="D24" i="25"/>
  <c r="F24" i="25" s="1"/>
  <c r="G24" i="25" s="1"/>
  <c r="H24" i="25"/>
  <c r="I24" i="25" s="1"/>
  <c r="AV24" i="25"/>
  <c r="D37" i="30"/>
  <c r="F37" i="30" s="1"/>
  <c r="H37" i="30" s="1"/>
  <c r="AE33" i="30"/>
  <c r="AG33" i="30" s="1"/>
  <c r="R32" i="30"/>
  <c r="AE25" i="61"/>
  <c r="B25" i="25"/>
  <c r="C4" i="29"/>
  <c r="AP25" i="25"/>
  <c r="Z70" i="46"/>
  <c r="AB70" i="46" s="1"/>
  <c r="Z69" i="46"/>
  <c r="AB69" i="46" s="1"/>
  <c r="Z60" i="42"/>
  <c r="AB60" i="42" s="1"/>
  <c r="L65" i="42"/>
  <c r="N65" i="42" s="1"/>
  <c r="AQ65" i="42" s="1"/>
  <c r="Y9" i="11"/>
  <c r="AA9" i="11" s="1"/>
  <c r="AG9" i="11" s="1"/>
  <c r="AR129" i="47"/>
  <c r="AR129" i="35"/>
  <c r="AR55" i="40"/>
  <c r="AT55" i="40" s="1"/>
  <c r="E9" i="40" s="1"/>
  <c r="N54" i="38"/>
  <c r="AQ54" i="38" s="1"/>
  <c r="AG80" i="41"/>
  <c r="AR124" i="44"/>
  <c r="AR50" i="39"/>
  <c r="AG40" i="33"/>
  <c r="AE40" i="33"/>
  <c r="AI39" i="33" s="1"/>
  <c r="AR125" i="34"/>
  <c r="AI40" i="34"/>
  <c r="F50" i="35"/>
  <c r="X50" i="36"/>
  <c r="AR125" i="39"/>
  <c r="X80" i="43"/>
  <c r="X70" i="41"/>
  <c r="AR74" i="49"/>
  <c r="AR75" i="49"/>
  <c r="X85" i="44"/>
  <c r="R77" i="39"/>
  <c r="D82" i="39"/>
  <c r="F82" i="39" s="1"/>
  <c r="R72" i="38"/>
  <c r="V72" i="38" s="1"/>
  <c r="R93" i="43"/>
  <c r="V93" i="43" s="1"/>
  <c r="D83" i="40"/>
  <c r="F83" i="40" s="1"/>
  <c r="H83" i="40" s="1"/>
  <c r="R82" i="40"/>
  <c r="D87" i="40"/>
  <c r="F87" i="40" s="1"/>
  <c r="D99" i="44"/>
  <c r="R98" i="44"/>
  <c r="AE99" i="44"/>
  <c r="AE103" i="44"/>
  <c r="H54" i="37"/>
  <c r="H55" i="37" s="1"/>
  <c r="F55" i="37"/>
  <c r="J54" i="37" s="1"/>
  <c r="Z70" i="44"/>
  <c r="AB70" i="44" s="1"/>
  <c r="L75" i="44"/>
  <c r="N75" i="44" s="1"/>
  <c r="AQ75" i="44" s="1"/>
  <c r="F99" i="45"/>
  <c r="J97" i="45"/>
  <c r="J99" i="46"/>
  <c r="V77" i="40"/>
  <c r="T77" i="40"/>
  <c r="T82" i="41"/>
  <c r="V82" i="41"/>
  <c r="H89" i="44"/>
  <c r="H90" i="44" s="1"/>
  <c r="J90" i="44" s="1"/>
  <c r="F90" i="44"/>
  <c r="J89" i="44" s="1"/>
  <c r="D73" i="38"/>
  <c r="F73" i="38" s="1"/>
  <c r="H73" i="38" s="1"/>
  <c r="AE98" i="43"/>
  <c r="AG98" i="43" s="1"/>
  <c r="R47" i="32"/>
  <c r="D52" i="32"/>
  <c r="F52" i="32" s="1"/>
  <c r="R79" i="41"/>
  <c r="D88" i="41"/>
  <c r="F88" i="41" s="1"/>
  <c r="H88" i="41" s="1"/>
  <c r="Z69" i="44"/>
  <c r="AB69" i="44" s="1"/>
  <c r="L74" i="44"/>
  <c r="N74" i="44" s="1"/>
  <c r="AQ74" i="44" s="1"/>
  <c r="V79" i="42"/>
  <c r="V80" i="42" s="1"/>
  <c r="T79" i="42"/>
  <c r="T80" i="42" s="1"/>
  <c r="X79" i="42" s="1"/>
  <c r="V67" i="38"/>
  <c r="T67" i="38"/>
  <c r="T98" i="45"/>
  <c r="V98" i="45"/>
  <c r="AG103" i="45"/>
  <c r="AG105" i="45" s="1"/>
  <c r="AE105" i="45"/>
  <c r="AI104" i="45" s="1"/>
  <c r="AG99" i="45"/>
  <c r="AG100" i="45" s="1"/>
  <c r="AE100" i="45"/>
  <c r="AI99" i="45" s="1"/>
  <c r="H82" i="40"/>
  <c r="T49" i="35"/>
  <c r="V49" i="35"/>
  <c r="D94" i="43"/>
  <c r="F94" i="43" s="1"/>
  <c r="H94" i="43" s="1"/>
  <c r="H67" i="36"/>
  <c r="R84" i="42"/>
  <c r="Z50" i="38"/>
  <c r="AB50" i="38" s="1"/>
  <c r="AR50" i="38" s="1"/>
  <c r="L55" i="38"/>
  <c r="N55" i="38" s="1"/>
  <c r="AQ55" i="38" s="1"/>
  <c r="Z49" i="37"/>
  <c r="AB49" i="37" s="1"/>
  <c r="L54" i="37"/>
  <c r="H53" i="35"/>
  <c r="H68" i="38"/>
  <c r="AG108" i="45"/>
  <c r="T47" i="33"/>
  <c r="V47" i="33"/>
  <c r="AI100" i="46"/>
  <c r="T69" i="40"/>
  <c r="T70" i="40" s="1"/>
  <c r="X69" i="40" s="1"/>
  <c r="V69" i="40"/>
  <c r="V70" i="40" s="1"/>
  <c r="D68" i="37"/>
  <c r="F68" i="37" s="1"/>
  <c r="R67" i="37"/>
  <c r="D72" i="37"/>
  <c r="F72" i="37" s="1"/>
  <c r="H69" i="40"/>
  <c r="H70" i="40" s="1"/>
  <c r="J70" i="40" s="1"/>
  <c r="F70" i="40"/>
  <c r="J69" i="40" s="1"/>
  <c r="H84" i="43"/>
  <c r="H85" i="43" s="1"/>
  <c r="J85" i="43" s="1"/>
  <c r="F85" i="43"/>
  <c r="J84" i="43" s="1"/>
  <c r="Z50" i="37"/>
  <c r="AB50" i="37" s="1"/>
  <c r="L55" i="37"/>
  <c r="H52" i="33"/>
  <c r="H87" i="41"/>
  <c r="AR124" i="37"/>
  <c r="AR129" i="38"/>
  <c r="AR129" i="29"/>
  <c r="AR125" i="50"/>
  <c r="AE80" i="41"/>
  <c r="AI79" i="41" s="1"/>
  <c r="AG60" i="37"/>
  <c r="H50" i="35"/>
  <c r="AE70" i="39"/>
  <c r="AI69" i="39" s="1"/>
  <c r="N44" i="36"/>
  <c r="AQ44" i="36" s="1"/>
  <c r="AG70" i="39"/>
  <c r="J37" i="33"/>
  <c r="AE60" i="37"/>
  <c r="AI59" i="37" s="1"/>
  <c r="AR125" i="45"/>
  <c r="J77" i="41"/>
  <c r="AR124" i="49"/>
  <c r="AT149" i="59"/>
  <c r="AR125" i="28"/>
  <c r="AR149" i="32"/>
  <c r="AR129" i="26"/>
  <c r="H143" i="33"/>
  <c r="X130" i="43"/>
  <c r="AB130" i="43" s="1"/>
  <c r="AR129" i="43" s="1"/>
  <c r="AR124" i="27"/>
  <c r="AR130" i="30"/>
  <c r="Z55" i="39"/>
  <c r="AB55" i="39" s="1"/>
  <c r="L60" i="39"/>
  <c r="N60" i="39" s="1"/>
  <c r="AQ60" i="39" s="1"/>
  <c r="AK55" i="39"/>
  <c r="AM55" i="39" s="1"/>
  <c r="AS55" i="39" s="1"/>
  <c r="L64" i="40"/>
  <c r="N64" i="40" s="1"/>
  <c r="AQ64" i="40" s="1"/>
  <c r="Z59" i="40"/>
  <c r="AB59" i="40" s="1"/>
  <c r="AK59" i="40"/>
  <c r="AM59" i="40" s="1"/>
  <c r="AS59" i="40" s="1"/>
  <c r="Z54" i="38"/>
  <c r="AB54" i="38" s="1"/>
  <c r="L59" i="38"/>
  <c r="AK54" i="38"/>
  <c r="AM54" i="38" s="1"/>
  <c r="AS54" i="38" s="1"/>
  <c r="L50" i="37"/>
  <c r="N50" i="37" s="1"/>
  <c r="AQ50" i="37" s="1"/>
  <c r="AT50" i="37" s="1"/>
  <c r="E8" i="37" s="1"/>
  <c r="AK45" i="37"/>
  <c r="AM45" i="37" s="1"/>
  <c r="AS45" i="37" s="1"/>
  <c r="Z45" i="37"/>
  <c r="AB45" i="37" s="1"/>
  <c r="AK45" i="38"/>
  <c r="AM45" i="38" s="1"/>
  <c r="AS45" i="38" s="1"/>
  <c r="Z45" i="38"/>
  <c r="AB45" i="38" s="1"/>
  <c r="AR44" i="38" s="1"/>
  <c r="AT44" i="38" s="1"/>
  <c r="D7" i="38" s="1"/>
  <c r="AK49" i="38" s="1"/>
  <c r="AM49" i="38" s="1"/>
  <c r="AS49" i="38" s="1"/>
  <c r="L50" i="38"/>
  <c r="N50" i="38" s="1"/>
  <c r="AQ50" i="38" s="1"/>
  <c r="AT50" i="38" s="1"/>
  <c r="E8" i="38" s="1"/>
  <c r="L59" i="39"/>
  <c r="N59" i="39" s="1"/>
  <c r="AQ59" i="39" s="1"/>
  <c r="AK54" i="39"/>
  <c r="AM54" i="39" s="1"/>
  <c r="AS54" i="39" s="1"/>
  <c r="Z54" i="39"/>
  <c r="AB54" i="39" s="1"/>
  <c r="Z44" i="37"/>
  <c r="AB44" i="37" s="1"/>
  <c r="L49" i="37"/>
  <c r="N49" i="37" s="1"/>
  <c r="AQ49" i="37" s="1"/>
  <c r="AK44" i="37"/>
  <c r="AM44" i="37" s="1"/>
  <c r="AS44" i="37" s="1"/>
  <c r="AR45" i="39"/>
  <c r="AT45" i="39" s="1"/>
  <c r="E7" i="39" s="1"/>
  <c r="AK50" i="39" s="1"/>
  <c r="AM50" i="39" s="1"/>
  <c r="AS50" i="39" s="1"/>
  <c r="X5" i="9"/>
  <c r="H143" i="34"/>
  <c r="X130" i="37"/>
  <c r="AB130" i="37" s="1"/>
  <c r="AR130" i="37" s="1"/>
  <c r="H138" i="45"/>
  <c r="H138" i="43"/>
  <c r="H138" i="26"/>
  <c r="X130" i="50"/>
  <c r="AB130" i="50" s="1"/>
  <c r="AR130" i="50" s="1"/>
  <c r="X135" i="29"/>
  <c r="AB135" i="29" s="1"/>
  <c r="AR135" i="29" s="1"/>
  <c r="X130" i="39"/>
  <c r="AB130" i="39" s="1"/>
  <c r="AR129" i="39" s="1"/>
  <c r="H143" i="35"/>
  <c r="X156" i="59"/>
  <c r="AB156" i="59" s="1"/>
  <c r="AT156" i="59" s="1"/>
  <c r="X65" i="41"/>
  <c r="H138" i="46"/>
  <c r="X130" i="34"/>
  <c r="AB130" i="34" s="1"/>
  <c r="AR129" i="34" s="1"/>
  <c r="X130" i="46"/>
  <c r="AB130" i="46" s="1"/>
  <c r="AR130" i="46" s="1"/>
  <c r="H138" i="48"/>
  <c r="X130" i="45"/>
  <c r="AB130" i="45" s="1"/>
  <c r="N45" i="36"/>
  <c r="AQ45" i="36" s="1"/>
  <c r="X135" i="41"/>
  <c r="AB135" i="41" s="1"/>
  <c r="AR135" i="41" s="1"/>
  <c r="H143" i="50"/>
  <c r="H143" i="28"/>
  <c r="H143" i="49"/>
  <c r="Y15" i="17"/>
  <c r="AA15" i="17" s="1"/>
  <c r="H143" i="38"/>
  <c r="H143" i="31"/>
  <c r="H143" i="32"/>
  <c r="X130" i="27"/>
  <c r="AB130" i="27" s="1"/>
  <c r="AR129" i="27" s="1"/>
  <c r="H138" i="30"/>
  <c r="H138" i="37"/>
  <c r="X130" i="28"/>
  <c r="AB130" i="28" s="1"/>
  <c r="AR129" i="28" s="1"/>
  <c r="X135" i="26"/>
  <c r="AB135" i="26" s="1"/>
  <c r="AR135" i="26" s="1"/>
  <c r="H143" i="41"/>
  <c r="AI95" i="44"/>
  <c r="X135" i="48"/>
  <c r="AB135" i="48" s="1"/>
  <c r="AR135" i="48" s="1"/>
  <c r="X135" i="36"/>
  <c r="AB135" i="36" s="1"/>
  <c r="AR135" i="36" s="1"/>
  <c r="X130" i="44"/>
  <c r="AB130" i="44" s="1"/>
  <c r="AR130" i="44" s="1"/>
  <c r="AB134" i="35"/>
  <c r="X135" i="35"/>
  <c r="AB135" i="35" s="1"/>
  <c r="AR35" i="34"/>
  <c r="AT35" i="34" s="1"/>
  <c r="E5" i="34" s="1"/>
  <c r="AR34" i="34"/>
  <c r="AT34" i="34" s="1"/>
  <c r="D5" i="34" s="1"/>
  <c r="X135" i="30"/>
  <c r="AB135" i="30" s="1"/>
  <c r="AR134" i="30" s="1"/>
  <c r="AV19" i="20"/>
  <c r="F11" i="13"/>
  <c r="AJ20" i="61"/>
  <c r="AA23" i="68" s="1"/>
  <c r="AP20" i="20"/>
  <c r="B20" i="20"/>
  <c r="C9" i="34"/>
  <c r="R49" i="34" s="1"/>
  <c r="F137" i="27"/>
  <c r="AA5" i="8"/>
  <c r="X4" i="8"/>
  <c r="M149" i="32"/>
  <c r="I149" i="32"/>
  <c r="M150" i="32"/>
  <c r="I150" i="32"/>
  <c r="G149" i="32"/>
  <c r="AM17" i="61"/>
  <c r="AD20" i="68" s="1"/>
  <c r="B17" i="17"/>
  <c r="AP17" i="17"/>
  <c r="C12" i="37"/>
  <c r="D73" i="37" s="1"/>
  <c r="F73" i="37" s="1"/>
  <c r="H73" i="37" s="1"/>
  <c r="F84" i="42"/>
  <c r="J82" i="42"/>
  <c r="H19" i="20"/>
  <c r="I19" i="20" s="1"/>
  <c r="D19" i="20"/>
  <c r="F19" i="20" s="1"/>
  <c r="G19" i="20" s="1"/>
  <c r="Q144" i="31"/>
  <c r="Q142" i="31"/>
  <c r="X130" i="33"/>
  <c r="AB130" i="33" s="1"/>
  <c r="AR129" i="33" s="1"/>
  <c r="C147" i="42"/>
  <c r="G148" i="42"/>
  <c r="D148" i="42"/>
  <c r="F148" i="42" s="1"/>
  <c r="X130" i="40"/>
  <c r="AB130" i="40" s="1"/>
  <c r="AR129" i="40" s="1"/>
  <c r="F135" i="44"/>
  <c r="H132" i="44"/>
  <c r="H135" i="44" s="1"/>
  <c r="M150" i="29"/>
  <c r="I150" i="29"/>
  <c r="G149" i="29"/>
  <c r="M149" i="29"/>
  <c r="I149" i="29"/>
  <c r="F4" i="6"/>
  <c r="F132" i="48"/>
  <c r="H16" i="17"/>
  <c r="I16" i="17" s="1"/>
  <c r="D16" i="17"/>
  <c r="F16" i="17" s="1"/>
  <c r="G16" i="17" s="1"/>
  <c r="X137" i="44"/>
  <c r="R139" i="44"/>
  <c r="M144" i="43"/>
  <c r="I144" i="43"/>
  <c r="M145" i="43"/>
  <c r="I145" i="43"/>
  <c r="G144" i="43"/>
  <c r="AV7" i="8"/>
  <c r="V132" i="43"/>
  <c r="V135" i="43" s="1"/>
  <c r="T132" i="43"/>
  <c r="T135" i="43" s="1"/>
  <c r="X134" i="43" s="1"/>
  <c r="AB134" i="43" s="1"/>
  <c r="AA15" i="18"/>
  <c r="X14" i="18"/>
  <c r="V134" i="31"/>
  <c r="T134" i="31"/>
  <c r="C149" i="48"/>
  <c r="C148" i="48"/>
  <c r="H15" i="16"/>
  <c r="I15" i="16" s="1"/>
  <c r="D15" i="16"/>
  <c r="F15" i="16" s="1"/>
  <c r="G15" i="16" s="1"/>
  <c r="M145" i="37"/>
  <c r="I145" i="37"/>
  <c r="G144" i="37"/>
  <c r="M144" i="37"/>
  <c r="I144" i="37"/>
  <c r="Q144" i="33"/>
  <c r="Q142" i="33"/>
  <c r="H132" i="28"/>
  <c r="H135" i="28" s="1"/>
  <c r="F135" i="28"/>
  <c r="P149" i="34"/>
  <c r="O150" i="34"/>
  <c r="P150" i="34" s="1"/>
  <c r="V134" i="44"/>
  <c r="T134" i="44"/>
  <c r="F42" i="32"/>
  <c r="F38" i="32"/>
  <c r="M150" i="41"/>
  <c r="I150" i="41"/>
  <c r="G149" i="41"/>
  <c r="M149" i="41"/>
  <c r="I149" i="41"/>
  <c r="L144" i="40"/>
  <c r="D142" i="40"/>
  <c r="K144" i="40"/>
  <c r="L145" i="40"/>
  <c r="G142" i="40"/>
  <c r="K145" i="40"/>
  <c r="V161" i="59"/>
  <c r="T161" i="59"/>
  <c r="V134" i="50"/>
  <c r="T134" i="50"/>
  <c r="H143" i="47"/>
  <c r="C147" i="38"/>
  <c r="G148" i="38"/>
  <c r="D148" i="38"/>
  <c r="F148" i="38" s="1"/>
  <c r="P149" i="31"/>
  <c r="O150" i="31"/>
  <c r="P150" i="31" s="1"/>
  <c r="AE59" i="36"/>
  <c r="AG59" i="36" s="1"/>
  <c r="AE63" i="36"/>
  <c r="R58" i="36"/>
  <c r="R54" i="36"/>
  <c r="D59" i="36"/>
  <c r="F59" i="36" s="1"/>
  <c r="H59" i="36" s="1"/>
  <c r="D63" i="36"/>
  <c r="F63" i="36" s="1"/>
  <c r="H63" i="36" s="1"/>
  <c r="R62" i="36"/>
  <c r="H38" i="33"/>
  <c r="H40" i="33" s="1"/>
  <c r="F40" i="33"/>
  <c r="H138" i="36"/>
  <c r="H132" i="32"/>
  <c r="H135" i="32" s="1"/>
  <c r="F135" i="32"/>
  <c r="AG90" i="43"/>
  <c r="H132" i="38"/>
  <c r="H135" i="38" s="1"/>
  <c r="F135" i="38"/>
  <c r="C148" i="45"/>
  <c r="C149" i="45"/>
  <c r="X137" i="33"/>
  <c r="R139" i="33"/>
  <c r="H143" i="44"/>
  <c r="F137" i="33"/>
  <c r="AI60" i="38"/>
  <c r="AM60" i="38" s="1"/>
  <c r="AS60" i="38" s="1"/>
  <c r="Y167" i="59"/>
  <c r="W168" i="59"/>
  <c r="R165" i="59"/>
  <c r="Z168" i="59"/>
  <c r="W167" i="59"/>
  <c r="Y168" i="59"/>
  <c r="Z167" i="59"/>
  <c r="F78" i="40"/>
  <c r="AG78" i="40"/>
  <c r="Z140" i="49"/>
  <c r="Z139" i="49"/>
  <c r="R137" i="49"/>
  <c r="Y140" i="49"/>
  <c r="Y139" i="49"/>
  <c r="K144" i="42"/>
  <c r="K145" i="42"/>
  <c r="L145" i="42"/>
  <c r="G142" i="42"/>
  <c r="L144" i="42"/>
  <c r="D142" i="42"/>
  <c r="F137" i="38"/>
  <c r="V134" i="49"/>
  <c r="T134" i="49"/>
  <c r="AV14" i="15"/>
  <c r="F44" i="34"/>
  <c r="J42" i="34"/>
  <c r="AG48" i="34"/>
  <c r="AF4" i="8"/>
  <c r="V38" i="33"/>
  <c r="T38" i="33"/>
  <c r="H127" i="46"/>
  <c r="H130" i="46" s="1"/>
  <c r="F130" i="46"/>
  <c r="Q142" i="34"/>
  <c r="Q144" i="34"/>
  <c r="H143" i="27"/>
  <c r="T139" i="42"/>
  <c r="V139" i="42"/>
  <c r="AE75" i="40"/>
  <c r="AI74" i="40" s="1"/>
  <c r="H8" i="9"/>
  <c r="I8" i="9" s="1"/>
  <c r="D8" i="9"/>
  <c r="F8" i="9" s="1"/>
  <c r="G8" i="9" s="1"/>
  <c r="F130" i="30"/>
  <c r="H127" i="30"/>
  <c r="H130" i="30" s="1"/>
  <c r="X45" i="36"/>
  <c r="W149" i="39"/>
  <c r="W150" i="39"/>
  <c r="AA149" i="39"/>
  <c r="AO149" i="39" s="1"/>
  <c r="AP149" i="39" s="1"/>
  <c r="AA150" i="39"/>
  <c r="AO150" i="39" s="1"/>
  <c r="AP150" i="39" s="1"/>
  <c r="H132" i="34"/>
  <c r="H135" i="34" s="1"/>
  <c r="F135" i="34"/>
  <c r="AA150" i="46"/>
  <c r="AO150" i="46" s="1"/>
  <c r="AP150" i="46" s="1"/>
  <c r="W150" i="46"/>
  <c r="AA149" i="46"/>
  <c r="AO149" i="46" s="1"/>
  <c r="AP149" i="46" s="1"/>
  <c r="W149" i="46"/>
  <c r="AV17" i="18"/>
  <c r="V134" i="37"/>
  <c r="T134" i="37"/>
  <c r="K145" i="31"/>
  <c r="L144" i="31"/>
  <c r="D142" i="31"/>
  <c r="K144" i="31"/>
  <c r="L145" i="31"/>
  <c r="G142" i="31"/>
  <c r="X135" i="38"/>
  <c r="AB135" i="38" s="1"/>
  <c r="AR134" i="38" s="1"/>
  <c r="G12" i="14"/>
  <c r="AV12" i="13"/>
  <c r="Q149" i="30"/>
  <c r="Q147" i="30"/>
  <c r="F62" i="36"/>
  <c r="AG58" i="36"/>
  <c r="X137" i="46"/>
  <c r="R139" i="46"/>
  <c r="Q144" i="44"/>
  <c r="Q142" i="44"/>
  <c r="L145" i="32"/>
  <c r="G142" i="32"/>
  <c r="L144" i="32"/>
  <c r="D142" i="32"/>
  <c r="K144" i="32"/>
  <c r="K145" i="32"/>
  <c r="AE85" i="42"/>
  <c r="AI84" i="42" s="1"/>
  <c r="AV5" i="6"/>
  <c r="V54" i="37"/>
  <c r="V55" i="37" s="1"/>
  <c r="T54" i="37"/>
  <c r="T55" i="37" s="1"/>
  <c r="X54" i="37" s="1"/>
  <c r="M144" i="36"/>
  <c r="I144" i="36"/>
  <c r="M145" i="36"/>
  <c r="I145" i="36"/>
  <c r="G144" i="36"/>
  <c r="T139" i="35"/>
  <c r="V139" i="35"/>
  <c r="C147" i="35"/>
  <c r="G148" i="35"/>
  <c r="D148" i="35"/>
  <c r="F148" i="35" s="1"/>
  <c r="AI55" i="37"/>
  <c r="C149" i="39"/>
  <c r="C148" i="39"/>
  <c r="AA150" i="44"/>
  <c r="AO150" i="44" s="1"/>
  <c r="AP150" i="44" s="1"/>
  <c r="W150" i="44"/>
  <c r="AA149" i="44"/>
  <c r="AO149" i="44" s="1"/>
  <c r="AP149" i="44" s="1"/>
  <c r="W149" i="44"/>
  <c r="D143" i="46"/>
  <c r="F143" i="46" s="1"/>
  <c r="C142" i="46"/>
  <c r="G143" i="46"/>
  <c r="V52" i="35"/>
  <c r="T52" i="35"/>
  <c r="Y145" i="38"/>
  <c r="Y144" i="38"/>
  <c r="Z145" i="38"/>
  <c r="Z144" i="38"/>
  <c r="R142" i="38"/>
  <c r="AE48" i="33"/>
  <c r="AE44" i="33"/>
  <c r="AG44" i="33" s="1"/>
  <c r="R43" i="33"/>
  <c r="D44" i="33"/>
  <c r="F44" i="33" s="1"/>
  <c r="H44" i="33" s="1"/>
  <c r="D48" i="33"/>
  <c r="F48" i="33" s="1"/>
  <c r="H48" i="33" s="1"/>
  <c r="G143" i="39"/>
  <c r="D143" i="39"/>
  <c r="F143" i="39" s="1"/>
  <c r="C142" i="39"/>
  <c r="R34" i="32"/>
  <c r="AE39" i="32"/>
  <c r="AG39" i="32" s="1"/>
  <c r="R38" i="32"/>
  <c r="AE43" i="32"/>
  <c r="D39" i="32"/>
  <c r="F39" i="32" s="1"/>
  <c r="H39" i="32" s="1"/>
  <c r="D43" i="32"/>
  <c r="F43" i="32" s="1"/>
  <c r="H43" i="32" s="1"/>
  <c r="R42" i="32"/>
  <c r="D47" i="32"/>
  <c r="O150" i="33"/>
  <c r="P150" i="33" s="1"/>
  <c r="P149" i="33"/>
  <c r="M150" i="34"/>
  <c r="I150" i="34"/>
  <c r="G149" i="34"/>
  <c r="M149" i="34"/>
  <c r="I149" i="34"/>
  <c r="F132" i="39"/>
  <c r="D148" i="49"/>
  <c r="F148" i="49" s="1"/>
  <c r="C147" i="49"/>
  <c r="G148" i="49"/>
  <c r="AR129" i="41"/>
  <c r="AR125" i="46"/>
  <c r="V132" i="28"/>
  <c r="V135" i="28" s="1"/>
  <c r="T132" i="28"/>
  <c r="T135" i="28" s="1"/>
  <c r="X134" i="28" s="1"/>
  <c r="AB134" i="28" s="1"/>
  <c r="F135" i="31"/>
  <c r="H132" i="31"/>
  <c r="H135" i="31" s="1"/>
  <c r="T132" i="45"/>
  <c r="T135" i="45" s="1"/>
  <c r="X134" i="45" s="1"/>
  <c r="AB134" i="45" s="1"/>
  <c r="V132" i="45"/>
  <c r="V135" i="45" s="1"/>
  <c r="H78" i="41"/>
  <c r="H80" i="41" s="1"/>
  <c r="F80" i="41"/>
  <c r="V137" i="41"/>
  <c r="V140" i="41" s="1"/>
  <c r="T137" i="41"/>
  <c r="T140" i="41" s="1"/>
  <c r="X139" i="41" s="1"/>
  <c r="AB139" i="41" s="1"/>
  <c r="H13" i="14"/>
  <c r="I13" i="14" s="1"/>
  <c r="D13" i="14"/>
  <c r="F13" i="14" s="1"/>
  <c r="G13" i="14" s="1"/>
  <c r="L139" i="46"/>
  <c r="D137" i="46"/>
  <c r="K139" i="46"/>
  <c r="L140" i="46"/>
  <c r="G137" i="46"/>
  <c r="K140" i="46"/>
  <c r="AE45" i="34"/>
  <c r="AI44" i="34" s="1"/>
  <c r="Q147" i="42"/>
  <c r="Q149" i="42"/>
  <c r="AV4" i="5"/>
  <c r="Z140" i="34"/>
  <c r="Z139" i="34"/>
  <c r="R137" i="34"/>
  <c r="Y140" i="34"/>
  <c r="Y139" i="34"/>
  <c r="F137" i="44"/>
  <c r="AA150" i="40"/>
  <c r="AO150" i="40" s="1"/>
  <c r="AP150" i="40" s="1"/>
  <c r="W150" i="40"/>
  <c r="AA149" i="40"/>
  <c r="AO149" i="40" s="1"/>
  <c r="AP149" i="40" s="1"/>
  <c r="W149" i="40"/>
  <c r="V139" i="26"/>
  <c r="T139" i="26"/>
  <c r="G143" i="26"/>
  <c r="D143" i="26"/>
  <c r="F143" i="26" s="1"/>
  <c r="C142" i="26"/>
  <c r="V134" i="43"/>
  <c r="T134" i="43"/>
  <c r="AI50" i="36"/>
  <c r="AK40" i="35"/>
  <c r="AM40" i="35" s="1"/>
  <c r="AS40" i="35" s="1"/>
  <c r="Z40" i="35"/>
  <c r="L45" i="35"/>
  <c r="H60" i="37"/>
  <c r="AI70" i="40"/>
  <c r="H20" i="21"/>
  <c r="I20" i="21" s="1"/>
  <c r="D20" i="21"/>
  <c r="F20" i="21" s="1"/>
  <c r="G20" i="21" s="1"/>
  <c r="D148" i="33"/>
  <c r="F148" i="33" s="1"/>
  <c r="C147" i="33"/>
  <c r="G148" i="33"/>
  <c r="AE38" i="31"/>
  <c r="R37" i="31"/>
  <c r="AE34" i="31"/>
  <c r="R33" i="31"/>
  <c r="D38" i="31"/>
  <c r="D42" i="31"/>
  <c r="H143" i="29"/>
  <c r="AA13" i="16"/>
  <c r="AG13" i="16" s="1"/>
  <c r="H9" i="10"/>
  <c r="I9" i="10" s="1"/>
  <c r="D9" i="10"/>
  <c r="F9" i="10" s="1"/>
  <c r="G9" i="10" s="1"/>
  <c r="X142" i="35"/>
  <c r="R144" i="35"/>
  <c r="T132" i="27"/>
  <c r="T135" i="27" s="1"/>
  <c r="X134" i="27" s="1"/>
  <c r="AB134" i="27" s="1"/>
  <c r="V132" i="27"/>
  <c r="V135" i="27" s="1"/>
  <c r="T137" i="47"/>
  <c r="T140" i="47" s="1"/>
  <c r="X139" i="47" s="1"/>
  <c r="AB139" i="47" s="1"/>
  <c r="V137" i="47"/>
  <c r="V140" i="47" s="1"/>
  <c r="H138" i="39"/>
  <c r="G9" i="12"/>
  <c r="V83" i="42"/>
  <c r="T83" i="42"/>
  <c r="V134" i="39"/>
  <c r="T134" i="39"/>
  <c r="R53" i="35"/>
  <c r="AE54" i="35"/>
  <c r="AG54" i="35" s="1"/>
  <c r="D54" i="35"/>
  <c r="AE58" i="35"/>
  <c r="D58" i="35"/>
  <c r="F58" i="35" s="1"/>
  <c r="H58" i="35" s="1"/>
  <c r="R57" i="35"/>
  <c r="D62" i="35"/>
  <c r="G167" i="59"/>
  <c r="M167" i="59"/>
  <c r="M168" i="59"/>
  <c r="C147" i="29"/>
  <c r="G148" i="29"/>
  <c r="D148" i="29"/>
  <c r="F148" i="29" s="1"/>
  <c r="C173" i="59"/>
  <c r="C172" i="59"/>
  <c r="F132" i="45"/>
  <c r="AE69" i="38"/>
  <c r="AG69" i="38" s="1"/>
  <c r="R68" i="38"/>
  <c r="AE73" i="38"/>
  <c r="D69" i="38"/>
  <c r="R148" i="50"/>
  <c r="AA150" i="50"/>
  <c r="AO150" i="50" s="1"/>
  <c r="W150" i="50"/>
  <c r="AA149" i="50"/>
  <c r="AO149" i="50" s="1"/>
  <c r="W149" i="50"/>
  <c r="AV8" i="61"/>
  <c r="AM11" i="68" s="1"/>
  <c r="AP8" i="8"/>
  <c r="C21" i="46"/>
  <c r="B8" i="8"/>
  <c r="Z145" i="48"/>
  <c r="Z144" i="48"/>
  <c r="R142" i="48"/>
  <c r="Y145" i="48"/>
  <c r="Y144" i="48"/>
  <c r="F132" i="30"/>
  <c r="AV11" i="12"/>
  <c r="AE74" i="39"/>
  <c r="AG74" i="39" s="1"/>
  <c r="AE78" i="39"/>
  <c r="R64" i="39"/>
  <c r="R73" i="39"/>
  <c r="D74" i="39"/>
  <c r="D78" i="39"/>
  <c r="X142" i="42"/>
  <c r="R144" i="42"/>
  <c r="J59" i="38"/>
  <c r="J60" i="38"/>
  <c r="V37" i="32"/>
  <c r="T37" i="32"/>
  <c r="AG34" i="32"/>
  <c r="AG35" i="32" s="1"/>
  <c r="AE35" i="32"/>
  <c r="AI34" i="32" s="1"/>
  <c r="AM34" i="32" s="1"/>
  <c r="AS34" i="32" s="1"/>
  <c r="C147" i="41"/>
  <c r="G148" i="41"/>
  <c r="D148" i="41"/>
  <c r="F148" i="41" s="1"/>
  <c r="K145" i="33"/>
  <c r="L144" i="33"/>
  <c r="D142" i="33"/>
  <c r="K144" i="33"/>
  <c r="L145" i="33"/>
  <c r="G142" i="33"/>
  <c r="H132" i="40"/>
  <c r="H135" i="40" s="1"/>
  <c r="F135" i="40"/>
  <c r="F8" i="10"/>
  <c r="H143" i="40"/>
  <c r="AG68" i="38"/>
  <c r="V63" i="38"/>
  <c r="T63" i="38"/>
  <c r="H74" i="41"/>
  <c r="H75" i="41" s="1"/>
  <c r="J75" i="41" s="1"/>
  <c r="F75" i="41"/>
  <c r="J74" i="41" s="1"/>
  <c r="K144" i="47"/>
  <c r="L145" i="47"/>
  <c r="K145" i="47"/>
  <c r="L144" i="47"/>
  <c r="D142" i="47"/>
  <c r="G142" i="47"/>
  <c r="Q149" i="48"/>
  <c r="Q147" i="48"/>
  <c r="V88" i="43"/>
  <c r="T88" i="43"/>
  <c r="AG93" i="43"/>
  <c r="AG95" i="43" s="1"/>
  <c r="AE95" i="43"/>
  <c r="AI94" i="43" s="1"/>
  <c r="F130" i="26"/>
  <c r="H127" i="26"/>
  <c r="H130" i="26" s="1"/>
  <c r="M145" i="45"/>
  <c r="I145" i="45"/>
  <c r="G144" i="45"/>
  <c r="M144" i="45"/>
  <c r="I144" i="45"/>
  <c r="D148" i="31"/>
  <c r="F148" i="31" s="1"/>
  <c r="C147" i="31"/>
  <c r="G148" i="31"/>
  <c r="AA150" i="31"/>
  <c r="AO150" i="31" s="1"/>
  <c r="AP150" i="31" s="1"/>
  <c r="W149" i="31"/>
  <c r="W150" i="31"/>
  <c r="AA149" i="31"/>
  <c r="AO149" i="31" s="1"/>
  <c r="AP149" i="31" s="1"/>
  <c r="H18" i="19"/>
  <c r="I18" i="19" s="1"/>
  <c r="D18" i="19"/>
  <c r="F18" i="19" s="1"/>
  <c r="G18" i="19" s="1"/>
  <c r="F69" i="39"/>
  <c r="J67" i="39"/>
  <c r="AB40" i="36"/>
  <c r="AR40" i="36" s="1"/>
  <c r="AT40" i="36" s="1"/>
  <c r="E6" i="36" s="1"/>
  <c r="X137" i="28"/>
  <c r="R139" i="28"/>
  <c r="O150" i="27"/>
  <c r="P150" i="27" s="1"/>
  <c r="P149" i="27"/>
  <c r="X137" i="37"/>
  <c r="R139" i="37"/>
  <c r="F135" i="27"/>
  <c r="H132" i="27"/>
  <c r="H135" i="27" s="1"/>
  <c r="R167" i="59"/>
  <c r="X165" i="59"/>
  <c r="V64" i="40"/>
  <c r="V65" i="40" s="1"/>
  <c r="T64" i="40"/>
  <c r="T65" i="40" s="1"/>
  <c r="X64" i="40" s="1"/>
  <c r="X137" i="49"/>
  <c r="R139" i="49"/>
  <c r="AE79" i="40"/>
  <c r="AG79" i="40" s="1"/>
  <c r="AE83" i="40"/>
  <c r="D79" i="40"/>
  <c r="F79" i="40" s="1"/>
  <c r="H79" i="40" s="1"/>
  <c r="R78" i="40"/>
  <c r="R74" i="40"/>
  <c r="V39" i="34"/>
  <c r="V40" i="34" s="1"/>
  <c r="T39" i="34"/>
  <c r="T40" i="34" s="1"/>
  <c r="X39" i="34" s="1"/>
  <c r="V137" i="48"/>
  <c r="V140" i="48" s="1"/>
  <c r="T137" i="48"/>
  <c r="T140" i="48" s="1"/>
  <c r="X139" i="48" s="1"/>
  <c r="AB139" i="48" s="1"/>
  <c r="AG43" i="33"/>
  <c r="AG4" i="7"/>
  <c r="AG65" i="38"/>
  <c r="C149" i="30"/>
  <c r="C148" i="30"/>
  <c r="F137" i="32"/>
  <c r="O150" i="39"/>
  <c r="P150" i="39" s="1"/>
  <c r="P149" i="39"/>
  <c r="P149" i="46"/>
  <c r="O150" i="46"/>
  <c r="P150" i="46" s="1"/>
  <c r="AG15" i="19"/>
  <c r="Q142" i="37"/>
  <c r="Q144" i="37"/>
  <c r="AE64" i="37"/>
  <c r="AG64" i="37" s="1"/>
  <c r="AE68" i="37"/>
  <c r="R63" i="37"/>
  <c r="R59" i="37"/>
  <c r="D64" i="37"/>
  <c r="F64" i="37" s="1"/>
  <c r="H64" i="37" s="1"/>
  <c r="R72" i="37"/>
  <c r="V132" i="46"/>
  <c r="V135" i="46" s="1"/>
  <c r="T132" i="46"/>
  <c r="T135" i="46" s="1"/>
  <c r="X134" i="46" s="1"/>
  <c r="AB134" i="46" s="1"/>
  <c r="C149" i="43"/>
  <c r="C148" i="43"/>
  <c r="AS11" i="61"/>
  <c r="AJ14" i="68" s="1"/>
  <c r="AP11" i="11"/>
  <c r="C18" i="43"/>
  <c r="B11" i="11"/>
  <c r="AA150" i="45"/>
  <c r="AO150" i="45" s="1"/>
  <c r="AP150" i="45" s="1"/>
  <c r="W150" i="45"/>
  <c r="W149" i="45"/>
  <c r="AA149" i="45"/>
  <c r="AO149" i="45" s="1"/>
  <c r="AP149" i="45" s="1"/>
  <c r="H12" i="13"/>
  <c r="I12" i="13" s="1"/>
  <c r="D12" i="13"/>
  <c r="F12" i="13" s="1"/>
  <c r="G12" i="13" s="1"/>
  <c r="V57" i="36"/>
  <c r="T57" i="36"/>
  <c r="V53" i="36"/>
  <c r="T53" i="36"/>
  <c r="Z140" i="46"/>
  <c r="Z139" i="46"/>
  <c r="R137" i="46"/>
  <c r="Y140" i="46"/>
  <c r="Y139" i="46"/>
  <c r="C149" i="37"/>
  <c r="C148" i="37"/>
  <c r="AG85" i="42"/>
  <c r="H132" i="35"/>
  <c r="H135" i="35" s="1"/>
  <c r="F135" i="35"/>
  <c r="V62" i="37"/>
  <c r="T62" i="37"/>
  <c r="T58" i="37"/>
  <c r="V58" i="37"/>
  <c r="G143" i="30"/>
  <c r="D143" i="30"/>
  <c r="F143" i="30" s="1"/>
  <c r="C142" i="30"/>
  <c r="C142" i="36"/>
  <c r="G143" i="36"/>
  <c r="D143" i="36"/>
  <c r="F143" i="36" s="1"/>
  <c r="F137" i="29"/>
  <c r="AA150" i="37"/>
  <c r="AO150" i="37" s="1"/>
  <c r="AP150" i="37" s="1"/>
  <c r="W150" i="37"/>
  <c r="AA149" i="37"/>
  <c r="AO149" i="37" s="1"/>
  <c r="AP149" i="37" s="1"/>
  <c r="W149" i="37"/>
  <c r="Q147" i="29"/>
  <c r="Q149" i="29"/>
  <c r="T139" i="36"/>
  <c r="V139" i="36"/>
  <c r="Q147" i="47"/>
  <c r="Q149" i="47"/>
  <c r="M145" i="46"/>
  <c r="I145" i="46"/>
  <c r="G144" i="46"/>
  <c r="M144" i="46"/>
  <c r="I144" i="46"/>
  <c r="H62" i="37"/>
  <c r="T44" i="35"/>
  <c r="T45" i="35" s="1"/>
  <c r="X44" i="35" s="1"/>
  <c r="V44" i="35"/>
  <c r="V45" i="35" s="1"/>
  <c r="V48" i="35"/>
  <c r="V50" i="35" s="1"/>
  <c r="T48" i="35"/>
  <c r="T50" i="35" s="1"/>
  <c r="X49" i="35" s="1"/>
  <c r="Z145" i="26"/>
  <c r="Z144" i="26"/>
  <c r="R142" i="26"/>
  <c r="Y145" i="26"/>
  <c r="Y144" i="26"/>
  <c r="H21" i="22"/>
  <c r="I21" i="22" s="1"/>
  <c r="D21" i="22"/>
  <c r="F21" i="22" s="1"/>
  <c r="G21" i="22" s="1"/>
  <c r="F137" i="31"/>
  <c r="I145" i="39"/>
  <c r="I144" i="39"/>
  <c r="M145" i="39"/>
  <c r="M144" i="39"/>
  <c r="G144" i="39"/>
  <c r="V134" i="33"/>
  <c r="T134" i="33"/>
  <c r="AG23" i="61"/>
  <c r="X26" i="68" s="1"/>
  <c r="B23" i="23"/>
  <c r="C6" i="31"/>
  <c r="C6" i="59"/>
  <c r="AP23" i="23"/>
  <c r="H77" i="39"/>
  <c r="AA150" i="33"/>
  <c r="AO150" i="33" s="1"/>
  <c r="AP150" i="33" s="1"/>
  <c r="W150" i="33"/>
  <c r="AA149" i="33"/>
  <c r="AO149" i="33" s="1"/>
  <c r="AP149" i="33" s="1"/>
  <c r="W149" i="33"/>
  <c r="H72" i="38"/>
  <c r="AR129" i="36"/>
  <c r="AA9" i="12"/>
  <c r="AG9" i="12" s="1"/>
  <c r="M149" i="49"/>
  <c r="I149" i="49"/>
  <c r="M150" i="49"/>
  <c r="I150" i="49"/>
  <c r="G149" i="49"/>
  <c r="K162" i="59"/>
  <c r="D159" i="59"/>
  <c r="I161" i="59"/>
  <c r="I162" i="59"/>
  <c r="L161" i="59"/>
  <c r="G159" i="59"/>
  <c r="L162" i="59"/>
  <c r="K161" i="59"/>
  <c r="L65" i="40"/>
  <c r="N65" i="40" s="1"/>
  <c r="AQ65" i="40" s="1"/>
  <c r="Z60" i="40"/>
  <c r="AB60" i="40" s="1"/>
  <c r="AP14" i="61"/>
  <c r="AG17" i="68" s="1"/>
  <c r="AP14" i="14"/>
  <c r="Y13" i="14" s="1"/>
  <c r="B14" i="14"/>
  <c r="C15" i="40"/>
  <c r="O150" i="43"/>
  <c r="P150" i="43" s="1"/>
  <c r="P149" i="43"/>
  <c r="H47" i="34"/>
  <c r="H4" i="5"/>
  <c r="I4" i="5" s="1"/>
  <c r="D4" i="5"/>
  <c r="X142" i="41"/>
  <c r="R144" i="41"/>
  <c r="Z140" i="31"/>
  <c r="Z139" i="31"/>
  <c r="R137" i="31"/>
  <c r="Y140" i="31"/>
  <c r="Y139" i="31"/>
  <c r="Z140" i="43"/>
  <c r="Z139" i="43"/>
  <c r="R137" i="43"/>
  <c r="Y140" i="43"/>
  <c r="Y139" i="43"/>
  <c r="P149" i="40"/>
  <c r="O150" i="40"/>
  <c r="P150" i="40" s="1"/>
  <c r="D148" i="40"/>
  <c r="F148" i="40" s="1"/>
  <c r="C147" i="40"/>
  <c r="G148" i="40"/>
  <c r="F137" i="28"/>
  <c r="F137" i="47"/>
  <c r="H132" i="47"/>
  <c r="H135" i="47" s="1"/>
  <c r="F135" i="47"/>
  <c r="M144" i="26"/>
  <c r="I144" i="26"/>
  <c r="M145" i="26"/>
  <c r="I145" i="26"/>
  <c r="G144" i="26"/>
  <c r="F135" i="49"/>
  <c r="H132" i="49"/>
  <c r="H135" i="49" s="1"/>
  <c r="AV6" i="7"/>
  <c r="AA8" i="11"/>
  <c r="Q144" i="43"/>
  <c r="Q142" i="43"/>
  <c r="J55" i="37"/>
  <c r="N55" i="37" s="1"/>
  <c r="AQ55" i="37" s="1"/>
  <c r="Q142" i="40"/>
  <c r="Q144" i="40"/>
  <c r="AE49" i="34"/>
  <c r="AG49" i="34" s="1"/>
  <c r="AE53" i="34"/>
  <c r="R48" i="34"/>
  <c r="R44" i="34"/>
  <c r="D49" i="34"/>
  <c r="F49" i="34" s="1"/>
  <c r="H49" i="34" s="1"/>
  <c r="R52" i="34"/>
  <c r="D57" i="34"/>
  <c r="F130" i="43"/>
  <c r="H127" i="43"/>
  <c r="H130" i="43" s="1"/>
  <c r="AG83" i="41"/>
  <c r="V78" i="41"/>
  <c r="T78" i="41"/>
  <c r="M149" i="33"/>
  <c r="I149" i="33"/>
  <c r="M150" i="33"/>
  <c r="I150" i="33"/>
  <c r="G149" i="33"/>
  <c r="F153" i="59"/>
  <c r="H132" i="50"/>
  <c r="H135" i="50" s="1"/>
  <c r="F135" i="50"/>
  <c r="AG40" i="59"/>
  <c r="AG35" i="59"/>
  <c r="R39" i="59"/>
  <c r="D40" i="59"/>
  <c r="R34" i="59"/>
  <c r="D45" i="59"/>
  <c r="AF24" i="61"/>
  <c r="W27" i="68" s="1"/>
  <c r="B24" i="24"/>
  <c r="C5" i="30"/>
  <c r="AP24" i="24"/>
  <c r="Y145" i="35"/>
  <c r="Y144" i="35"/>
  <c r="Z145" i="35"/>
  <c r="Z144" i="35"/>
  <c r="R142" i="35"/>
  <c r="AG12" i="16"/>
  <c r="Y145" i="36"/>
  <c r="Y144" i="36"/>
  <c r="Z145" i="36"/>
  <c r="R142" i="36"/>
  <c r="Z144" i="36"/>
  <c r="Q142" i="28"/>
  <c r="Q144" i="28"/>
  <c r="R139" i="39"/>
  <c r="X137" i="39"/>
  <c r="AR124" i="43"/>
  <c r="F9" i="11"/>
  <c r="AG88" i="42"/>
  <c r="D166" i="59"/>
  <c r="F166" i="59" s="1"/>
  <c r="C165" i="59"/>
  <c r="G166" i="59"/>
  <c r="F130" i="36"/>
  <c r="H127" i="36"/>
  <c r="H130" i="36" s="1"/>
  <c r="G148" i="32"/>
  <c r="D148" i="32"/>
  <c r="F148" i="32" s="1"/>
  <c r="C147" i="32"/>
  <c r="AV16" i="17"/>
  <c r="X130" i="31"/>
  <c r="AB130" i="31" s="1"/>
  <c r="AR130" i="31" s="1"/>
  <c r="P149" i="50"/>
  <c r="O150" i="50"/>
  <c r="P150" i="50" s="1"/>
  <c r="F137" i="40"/>
  <c r="Q142" i="45"/>
  <c r="Q144" i="45"/>
  <c r="D148" i="28"/>
  <c r="F148" i="28" s="1"/>
  <c r="C147" i="28"/>
  <c r="G148" i="28"/>
  <c r="G4" i="7"/>
  <c r="R144" i="48"/>
  <c r="X142" i="48"/>
  <c r="X142" i="29"/>
  <c r="R144" i="29"/>
  <c r="Q142" i="46"/>
  <c r="Q144" i="46"/>
  <c r="AR12" i="61"/>
  <c r="AP12" i="12"/>
  <c r="B12" i="12"/>
  <c r="C17" i="42"/>
  <c r="AE94" i="42" s="1"/>
  <c r="AG94" i="42" s="1"/>
  <c r="AN16" i="61"/>
  <c r="AE19" i="68" s="1"/>
  <c r="AP16" i="16"/>
  <c r="C13" i="38"/>
  <c r="B16" i="16"/>
  <c r="Y145" i="42"/>
  <c r="Y144" i="42"/>
  <c r="Z144" i="42"/>
  <c r="Z145" i="42"/>
  <c r="R142" i="42"/>
  <c r="AA13" i="15"/>
  <c r="AG13" i="15" s="1"/>
  <c r="L140" i="48"/>
  <c r="G137" i="48"/>
  <c r="K140" i="48"/>
  <c r="L139" i="48"/>
  <c r="D137" i="48"/>
  <c r="K139" i="48"/>
  <c r="V139" i="48"/>
  <c r="T139" i="48"/>
  <c r="L140" i="43"/>
  <c r="G137" i="43"/>
  <c r="K140" i="43"/>
  <c r="L139" i="43"/>
  <c r="D137" i="43"/>
  <c r="K139" i="43"/>
  <c r="X135" i="47"/>
  <c r="AB135" i="47" s="1"/>
  <c r="AR134" i="47" s="1"/>
  <c r="T137" i="42"/>
  <c r="T140" i="42" s="1"/>
  <c r="X139" i="42" s="1"/>
  <c r="AB139" i="42" s="1"/>
  <c r="V137" i="42"/>
  <c r="V140" i="42" s="1"/>
  <c r="V33" i="32"/>
  <c r="T33" i="32"/>
  <c r="F130" i="39"/>
  <c r="H127" i="39"/>
  <c r="H130" i="39" s="1"/>
  <c r="AF13" i="17"/>
  <c r="AF6" i="11"/>
  <c r="AF7" i="11" s="1"/>
  <c r="Z140" i="27"/>
  <c r="Z139" i="27"/>
  <c r="R137" i="27"/>
  <c r="Y140" i="27"/>
  <c r="Y139" i="27"/>
  <c r="F77" i="38"/>
  <c r="T59" i="38"/>
  <c r="T60" i="38" s="1"/>
  <c r="X59" i="38" s="1"/>
  <c r="V59" i="38"/>
  <c r="V60" i="38" s="1"/>
  <c r="AG8" i="12"/>
  <c r="F132" i="43"/>
  <c r="AA12" i="14"/>
  <c r="AG12" i="14" s="1"/>
  <c r="C142" i="45"/>
  <c r="G143" i="45"/>
  <c r="D143" i="45"/>
  <c r="F143" i="45" s="1"/>
  <c r="M149" i="31"/>
  <c r="G149" i="31"/>
  <c r="I150" i="31"/>
  <c r="M150" i="31"/>
  <c r="I149" i="31"/>
  <c r="AV18" i="53"/>
  <c r="AV18" i="19"/>
  <c r="F137" i="49"/>
  <c r="V68" i="39"/>
  <c r="T68" i="39"/>
  <c r="X137" i="50"/>
  <c r="R139" i="50"/>
  <c r="K140" i="36"/>
  <c r="K139" i="36"/>
  <c r="L140" i="36"/>
  <c r="G137" i="36"/>
  <c r="L139" i="36"/>
  <c r="D137" i="36"/>
  <c r="Z140" i="28"/>
  <c r="Z139" i="28"/>
  <c r="R137" i="28"/>
  <c r="Y140" i="28"/>
  <c r="Y139" i="28"/>
  <c r="Q147" i="38"/>
  <c r="Q149" i="38"/>
  <c r="V137" i="35"/>
  <c r="V140" i="35" s="1"/>
  <c r="T137" i="35"/>
  <c r="T140" i="35" s="1"/>
  <c r="X139" i="35" s="1"/>
  <c r="AB139" i="35" s="1"/>
  <c r="AA150" i="27"/>
  <c r="AO150" i="27" s="1"/>
  <c r="AP150" i="27" s="1"/>
  <c r="W150" i="27"/>
  <c r="AA149" i="27"/>
  <c r="AO149" i="27" s="1"/>
  <c r="AP149" i="27" s="1"/>
  <c r="W149" i="27"/>
  <c r="C149" i="26"/>
  <c r="C148" i="26"/>
  <c r="H44" i="35"/>
  <c r="H45" i="35" s="1"/>
  <c r="J45" i="35" s="1"/>
  <c r="F45" i="35"/>
  <c r="J44" i="35" s="1"/>
  <c r="Y6" i="8"/>
  <c r="Z140" i="37"/>
  <c r="Z139" i="37"/>
  <c r="R137" i="37"/>
  <c r="Y140" i="37"/>
  <c r="Y139" i="37"/>
  <c r="T132" i="31"/>
  <c r="T135" i="31" s="1"/>
  <c r="X134" i="31" s="1"/>
  <c r="AB134" i="31" s="1"/>
  <c r="V132" i="31"/>
  <c r="V135" i="31" s="1"/>
  <c r="F132" i="26"/>
  <c r="AA5" i="7"/>
  <c r="AG5" i="7" s="1"/>
  <c r="G143" i="48"/>
  <c r="D143" i="48"/>
  <c r="F143" i="48" s="1"/>
  <c r="C142" i="48"/>
  <c r="X142" i="47"/>
  <c r="R144" i="47"/>
  <c r="T73" i="40"/>
  <c r="V73" i="40"/>
  <c r="AA7" i="10"/>
  <c r="X6" i="10"/>
  <c r="AG10" i="13"/>
  <c r="AI60" i="37"/>
  <c r="AM60" i="37" s="1"/>
  <c r="AS60" i="37" s="1"/>
  <c r="H143" i="42"/>
  <c r="F150" i="59"/>
  <c r="H147" i="59"/>
  <c r="H150" i="59" s="1"/>
  <c r="F132" i="46"/>
  <c r="M150" i="47"/>
  <c r="I150" i="47"/>
  <c r="G149" i="47"/>
  <c r="M149" i="47"/>
  <c r="I149" i="47"/>
  <c r="H144" i="50"/>
  <c r="AO15" i="61"/>
  <c r="AF18" i="68" s="1"/>
  <c r="AP15" i="15"/>
  <c r="Y14" i="15" s="1"/>
  <c r="C14" i="39"/>
  <c r="R69" i="39" s="1"/>
  <c r="B15" i="15"/>
  <c r="T43" i="34"/>
  <c r="V43" i="34"/>
  <c r="F47" i="33"/>
  <c r="T34" i="33"/>
  <c r="T35" i="33" s="1"/>
  <c r="X34" i="33" s="1"/>
  <c r="AB34" i="33" s="1"/>
  <c r="V34" i="33"/>
  <c r="V35" i="33" s="1"/>
  <c r="X35" i="33" s="1"/>
  <c r="AB35" i="33" s="1"/>
  <c r="T132" i="44"/>
  <c r="T135" i="44" s="1"/>
  <c r="X134" i="44" s="1"/>
  <c r="V132" i="44"/>
  <c r="V135" i="44" s="1"/>
  <c r="X4" i="7"/>
  <c r="AE65" i="38"/>
  <c r="AI64" i="38" s="1"/>
  <c r="AU9" i="61"/>
  <c r="AL12" i="68" s="1"/>
  <c r="AP9" i="9"/>
  <c r="Y8" i="9" s="1"/>
  <c r="C20" i="45"/>
  <c r="B9" i="9"/>
  <c r="Z145" i="30"/>
  <c r="Z144" i="30"/>
  <c r="R142" i="30"/>
  <c r="Y145" i="30"/>
  <c r="Y144" i="30"/>
  <c r="Q142" i="39"/>
  <c r="Q144" i="39"/>
  <c r="V134" i="34"/>
  <c r="T134" i="34"/>
  <c r="X137" i="40"/>
  <c r="R139" i="40"/>
  <c r="AL18" i="61"/>
  <c r="AC21" i="68" s="1"/>
  <c r="AP18" i="18"/>
  <c r="C11" i="36"/>
  <c r="B18" i="18"/>
  <c r="V134" i="46"/>
  <c r="T134" i="46"/>
  <c r="V132" i="37"/>
  <c r="V135" i="37" s="1"/>
  <c r="T132" i="37"/>
  <c r="T135" i="37" s="1"/>
  <c r="X134" i="37" s="1"/>
  <c r="AB134" i="37" s="1"/>
  <c r="T134" i="45"/>
  <c r="V134" i="45"/>
  <c r="AV10" i="11"/>
  <c r="O150" i="45"/>
  <c r="P150" i="45" s="1"/>
  <c r="P149" i="45"/>
  <c r="AE89" i="42"/>
  <c r="AG89" i="42" s="1"/>
  <c r="AE93" i="42"/>
  <c r="R88" i="42"/>
  <c r="D89" i="42"/>
  <c r="AA150" i="28"/>
  <c r="AO150" i="28" s="1"/>
  <c r="AP150" i="28" s="1"/>
  <c r="W150" i="28"/>
  <c r="AA149" i="28"/>
  <c r="AO149" i="28" s="1"/>
  <c r="AP149" i="28" s="1"/>
  <c r="W149" i="28"/>
  <c r="AX6" i="61"/>
  <c r="C23" i="48"/>
  <c r="B6" i="6"/>
  <c r="AP6" i="6"/>
  <c r="D148" i="50"/>
  <c r="F148" i="50" s="1"/>
  <c r="C147" i="50"/>
  <c r="G148" i="50"/>
  <c r="AG63" i="37"/>
  <c r="AI35" i="33"/>
  <c r="AM35" i="33" s="1"/>
  <c r="AS35" i="33" s="1"/>
  <c r="M144" i="30"/>
  <c r="I144" i="30"/>
  <c r="M145" i="30"/>
  <c r="I145" i="30"/>
  <c r="G144" i="30"/>
  <c r="O150" i="49"/>
  <c r="P150" i="49" s="1"/>
  <c r="P149" i="49"/>
  <c r="P149" i="37"/>
  <c r="O150" i="37"/>
  <c r="P150" i="37" s="1"/>
  <c r="L140" i="30"/>
  <c r="G137" i="30"/>
  <c r="K140" i="30"/>
  <c r="L139" i="30"/>
  <c r="D137" i="30"/>
  <c r="K139" i="30"/>
  <c r="L139" i="37"/>
  <c r="D137" i="37"/>
  <c r="K139" i="37"/>
  <c r="L140" i="37"/>
  <c r="G137" i="37"/>
  <c r="K140" i="37"/>
  <c r="F65" i="38"/>
  <c r="J57" i="37"/>
  <c r="T143" i="50"/>
  <c r="V143" i="50"/>
  <c r="R144" i="26"/>
  <c r="X142" i="26"/>
  <c r="AR129" i="45"/>
  <c r="AR130" i="45"/>
  <c r="L144" i="50"/>
  <c r="D142" i="50"/>
  <c r="K144" i="50"/>
  <c r="L145" i="50"/>
  <c r="G142" i="50"/>
  <c r="K145" i="50"/>
  <c r="T132" i="49"/>
  <c r="T135" i="49" s="1"/>
  <c r="X134" i="49" s="1"/>
  <c r="AB134" i="49" s="1"/>
  <c r="V132" i="49"/>
  <c r="V135" i="49" s="1"/>
  <c r="AV21" i="22"/>
  <c r="H22" i="23"/>
  <c r="I22" i="23" s="1"/>
  <c r="D22" i="23"/>
  <c r="F22" i="23" s="1"/>
  <c r="G22" i="23" s="1"/>
  <c r="X137" i="45"/>
  <c r="R139" i="45"/>
  <c r="D148" i="44"/>
  <c r="F148" i="44" s="1"/>
  <c r="C147" i="44"/>
  <c r="G148" i="44"/>
  <c r="X55" i="38"/>
  <c r="X135" i="42"/>
  <c r="AB135" i="42" s="1"/>
  <c r="AR134" i="42" s="1"/>
  <c r="F7" i="9"/>
  <c r="X11" i="14"/>
  <c r="AE55" i="36"/>
  <c r="AI54" i="36" s="1"/>
  <c r="H160" i="59"/>
  <c r="V139" i="30"/>
  <c r="T139" i="30"/>
  <c r="AR125" i="31"/>
  <c r="AV13" i="14"/>
  <c r="V132" i="39"/>
  <c r="V135" i="39" s="1"/>
  <c r="T132" i="39"/>
  <c r="T135" i="39" s="1"/>
  <c r="X134" i="39" s="1"/>
  <c r="AB134" i="39" s="1"/>
  <c r="Z173" i="59"/>
  <c r="Z174" i="59"/>
  <c r="Y173" i="59"/>
  <c r="Y174" i="59"/>
  <c r="R171" i="59"/>
  <c r="J79" i="42"/>
  <c r="J80" i="42"/>
  <c r="AA150" i="43"/>
  <c r="AO150" i="43" s="1"/>
  <c r="AP150" i="43" s="1"/>
  <c r="W150" i="43"/>
  <c r="AA149" i="43"/>
  <c r="AO149" i="43" s="1"/>
  <c r="AP149" i="43" s="1"/>
  <c r="W149" i="43"/>
  <c r="AZ4" i="61"/>
  <c r="BA3" i="61"/>
  <c r="AP4" i="4"/>
  <c r="B4" i="4"/>
  <c r="C25" i="50"/>
  <c r="Y145" i="41"/>
  <c r="Y144" i="41"/>
  <c r="Z145" i="41"/>
  <c r="Z144" i="41"/>
  <c r="R142" i="41"/>
  <c r="X137" i="31"/>
  <c r="R139" i="31"/>
  <c r="R139" i="43"/>
  <c r="X137" i="43"/>
  <c r="M150" i="40"/>
  <c r="I150" i="40"/>
  <c r="G149" i="40"/>
  <c r="M149" i="40"/>
  <c r="I149" i="40"/>
  <c r="F132" i="36"/>
  <c r="V132" i="40"/>
  <c r="V135" i="40" s="1"/>
  <c r="T132" i="40"/>
  <c r="T135" i="40" s="1"/>
  <c r="X134" i="40" s="1"/>
  <c r="AB134" i="40" s="1"/>
  <c r="AG50" i="35"/>
  <c r="F137" i="41"/>
  <c r="Q144" i="27"/>
  <c r="Q142" i="27"/>
  <c r="D148" i="27"/>
  <c r="F148" i="27" s="1"/>
  <c r="C147" i="27"/>
  <c r="G148" i="27"/>
  <c r="T137" i="36"/>
  <c r="T140" i="36" s="1"/>
  <c r="X139" i="36" s="1"/>
  <c r="V137" i="36"/>
  <c r="V140" i="36" s="1"/>
  <c r="AW7" i="61"/>
  <c r="AN10" i="68" s="1"/>
  <c r="AP7" i="7"/>
  <c r="Y6" i="7" s="1"/>
  <c r="B7" i="7"/>
  <c r="C22" i="47"/>
  <c r="H132" i="42"/>
  <c r="H135" i="42" s="1"/>
  <c r="F135" i="42"/>
  <c r="AF10" i="15"/>
  <c r="AF11" i="15" s="1"/>
  <c r="AF12" i="15" s="1"/>
  <c r="J62" i="38"/>
  <c r="V137" i="29"/>
  <c r="V140" i="29" s="1"/>
  <c r="T137" i="29"/>
  <c r="T140" i="29" s="1"/>
  <c r="X139" i="29" s="1"/>
  <c r="AB139" i="29" s="1"/>
  <c r="AI21" i="61"/>
  <c r="Z24" i="68" s="1"/>
  <c r="B21" i="21"/>
  <c r="C8" i="33"/>
  <c r="AP21" i="21"/>
  <c r="Q147" i="35"/>
  <c r="Q149" i="35"/>
  <c r="T74" i="41"/>
  <c r="T75" i="41" s="1"/>
  <c r="X74" i="41" s="1"/>
  <c r="V74" i="41"/>
  <c r="V75" i="41" s="1"/>
  <c r="L140" i="26"/>
  <c r="G137" i="26"/>
  <c r="K140" i="26"/>
  <c r="L139" i="26"/>
  <c r="D137" i="26"/>
  <c r="K139" i="26"/>
  <c r="AI90" i="44"/>
  <c r="H132" i="41"/>
  <c r="H135" i="41" s="1"/>
  <c r="F135" i="41"/>
  <c r="D23" i="24"/>
  <c r="F23" i="24" s="1"/>
  <c r="G23" i="24" s="1"/>
  <c r="H23" i="24"/>
  <c r="I23" i="24" s="1"/>
  <c r="K144" i="29"/>
  <c r="L145" i="29"/>
  <c r="G142" i="29"/>
  <c r="K145" i="29"/>
  <c r="L144" i="29"/>
  <c r="D142" i="29"/>
  <c r="AV9" i="10"/>
  <c r="H57" i="36"/>
  <c r="V134" i="28"/>
  <c r="T134" i="28"/>
  <c r="AG5" i="9"/>
  <c r="X12" i="16"/>
  <c r="V137" i="30"/>
  <c r="V140" i="30" s="1"/>
  <c r="T137" i="30"/>
  <c r="T140" i="30" s="1"/>
  <c r="X139" i="30" s="1"/>
  <c r="AB139" i="30" s="1"/>
  <c r="X142" i="36"/>
  <c r="R144" i="36"/>
  <c r="V132" i="50"/>
  <c r="V135" i="50" s="1"/>
  <c r="T132" i="50"/>
  <c r="T135" i="50" s="1"/>
  <c r="X134" i="50" s="1"/>
  <c r="AB134" i="50" s="1"/>
  <c r="Y140" i="39"/>
  <c r="Z139" i="39"/>
  <c r="Z140" i="39"/>
  <c r="Y139" i="39"/>
  <c r="R137" i="39"/>
  <c r="T139" i="41"/>
  <c r="V139" i="41"/>
  <c r="X75" i="42"/>
  <c r="X14" i="17"/>
  <c r="AA14" i="17"/>
  <c r="AG14" i="17" s="1"/>
  <c r="X130" i="49"/>
  <c r="AB130" i="49" s="1"/>
  <c r="AR130" i="49" s="1"/>
  <c r="M150" i="42"/>
  <c r="I150" i="42"/>
  <c r="G149" i="42"/>
  <c r="M149" i="42"/>
  <c r="I149" i="42"/>
  <c r="Z140" i="44"/>
  <c r="Z139" i="44"/>
  <c r="R137" i="44"/>
  <c r="Y140" i="44"/>
  <c r="Y139" i="44"/>
  <c r="V137" i="26"/>
  <c r="V140" i="26" s="1"/>
  <c r="T137" i="26"/>
  <c r="T140" i="26" s="1"/>
  <c r="X139" i="26" s="1"/>
  <c r="AB139" i="26" s="1"/>
  <c r="V134" i="40"/>
  <c r="T134" i="40"/>
  <c r="G143" i="43"/>
  <c r="D143" i="43"/>
  <c r="F143" i="43" s="1"/>
  <c r="C142" i="43"/>
  <c r="H7" i="8"/>
  <c r="I7" i="8" s="1"/>
  <c r="D7" i="8"/>
  <c r="F7" i="8" s="1"/>
  <c r="G7" i="8" s="1"/>
  <c r="M150" i="28"/>
  <c r="I150" i="28"/>
  <c r="G149" i="28"/>
  <c r="M149" i="28"/>
  <c r="I149" i="28"/>
  <c r="Y145" i="29"/>
  <c r="Y144" i="29"/>
  <c r="Z145" i="29"/>
  <c r="Z144" i="29"/>
  <c r="R142" i="29"/>
  <c r="H11" i="12"/>
  <c r="I11" i="12" s="1"/>
  <c r="D11" i="12"/>
  <c r="AV15" i="16"/>
  <c r="D143" i="37"/>
  <c r="F143" i="37" s="1"/>
  <c r="C142" i="37"/>
  <c r="G143" i="37"/>
  <c r="T139" i="29"/>
  <c r="V139" i="29"/>
  <c r="K139" i="45"/>
  <c r="L140" i="45"/>
  <c r="K140" i="45"/>
  <c r="L139" i="45"/>
  <c r="G137" i="45"/>
  <c r="D137" i="45"/>
  <c r="F137" i="42"/>
  <c r="AA150" i="34"/>
  <c r="AO150" i="34" s="1"/>
  <c r="AP150" i="34" s="1"/>
  <c r="W150" i="34"/>
  <c r="AA149" i="34"/>
  <c r="AO149" i="34" s="1"/>
  <c r="AP149" i="34" s="1"/>
  <c r="W149" i="34"/>
  <c r="AG38" i="32"/>
  <c r="F130" i="48"/>
  <c r="H127" i="48"/>
  <c r="H130" i="48" s="1"/>
  <c r="AA7" i="9"/>
  <c r="AG7" i="9" s="1"/>
  <c r="X13" i="17"/>
  <c r="T139" i="47"/>
  <c r="V139" i="47"/>
  <c r="H127" i="37"/>
  <c r="H130" i="37" s="1"/>
  <c r="F130" i="37"/>
  <c r="V132" i="34"/>
  <c r="V135" i="34" s="1"/>
  <c r="T132" i="34"/>
  <c r="T135" i="34" s="1"/>
  <c r="X134" i="34" s="1"/>
  <c r="AB134" i="34" s="1"/>
  <c r="X137" i="27"/>
  <c r="R139" i="27"/>
  <c r="F89" i="43"/>
  <c r="J87" i="43"/>
  <c r="H132" i="29"/>
  <c r="H135" i="29" s="1"/>
  <c r="F135" i="29"/>
  <c r="M150" i="38"/>
  <c r="I150" i="38"/>
  <c r="G149" i="38"/>
  <c r="M149" i="38"/>
  <c r="I149" i="38"/>
  <c r="J49" i="36"/>
  <c r="J50" i="36"/>
  <c r="D18" i="53"/>
  <c r="F18" i="53" s="1"/>
  <c r="G18" i="53" s="1"/>
  <c r="H18" i="53"/>
  <c r="I18" i="53" s="1"/>
  <c r="AK19" i="61"/>
  <c r="AB22" i="68" s="1"/>
  <c r="B19" i="19"/>
  <c r="AP19" i="19"/>
  <c r="C10" i="35"/>
  <c r="D67" i="35" s="1"/>
  <c r="F67" i="35" s="1"/>
  <c r="AP19" i="53"/>
  <c r="B19" i="53"/>
  <c r="AG73" i="39"/>
  <c r="Z140" i="50"/>
  <c r="Z139" i="50"/>
  <c r="R137" i="50"/>
  <c r="Y140" i="50"/>
  <c r="Y139" i="50"/>
  <c r="F135" i="33"/>
  <c r="H132" i="33"/>
  <c r="H135" i="33" s="1"/>
  <c r="AE90" i="43"/>
  <c r="AI89" i="43" s="1"/>
  <c r="F137" i="34"/>
  <c r="H127" i="45"/>
  <c r="H130" i="45" s="1"/>
  <c r="F130" i="45"/>
  <c r="M144" i="48"/>
  <c r="I144" i="48"/>
  <c r="M145" i="48"/>
  <c r="I145" i="48"/>
  <c r="G144" i="48"/>
  <c r="Z140" i="33"/>
  <c r="Z139" i="33"/>
  <c r="R137" i="33"/>
  <c r="Y140" i="33"/>
  <c r="Y139" i="33"/>
  <c r="K144" i="38"/>
  <c r="L145" i="38"/>
  <c r="G142" i="38"/>
  <c r="K145" i="38"/>
  <c r="L144" i="38"/>
  <c r="D142" i="38"/>
  <c r="K145" i="44"/>
  <c r="L144" i="44"/>
  <c r="D142" i="44"/>
  <c r="K144" i="44"/>
  <c r="L145" i="44"/>
  <c r="G142" i="44"/>
  <c r="Y145" i="47"/>
  <c r="Y144" i="47"/>
  <c r="Z145" i="47"/>
  <c r="Z144" i="47"/>
  <c r="R142" i="47"/>
  <c r="F74" i="40"/>
  <c r="J72" i="40"/>
  <c r="Q142" i="50"/>
  <c r="Q144" i="50"/>
  <c r="C147" i="47"/>
  <c r="G148" i="47"/>
  <c r="D148" i="47"/>
  <c r="F148" i="47" s="1"/>
  <c r="H14" i="15"/>
  <c r="I14" i="15" s="1"/>
  <c r="D14" i="15"/>
  <c r="F14" i="15" s="1"/>
  <c r="G14" i="15" s="1"/>
  <c r="T42" i="33"/>
  <c r="V42" i="33"/>
  <c r="K145" i="27"/>
  <c r="L144" i="27"/>
  <c r="D142" i="27"/>
  <c r="K144" i="27"/>
  <c r="L145" i="27"/>
  <c r="G142" i="27"/>
  <c r="AG75" i="40"/>
  <c r="AV8" i="9"/>
  <c r="J95" i="44"/>
  <c r="N95" i="44" s="1"/>
  <c r="AQ95" i="44" s="1"/>
  <c r="J94" i="44"/>
  <c r="N94" i="44" s="1"/>
  <c r="AQ94" i="44" s="1"/>
  <c r="Q149" i="26"/>
  <c r="Q147" i="26"/>
  <c r="V159" i="59"/>
  <c r="V162" i="59" s="1"/>
  <c r="T159" i="59"/>
  <c r="T162" i="59" s="1"/>
  <c r="X161" i="59" s="1"/>
  <c r="AB161" i="59" s="1"/>
  <c r="R144" i="30"/>
  <c r="X142" i="30"/>
  <c r="Z140" i="40"/>
  <c r="Z139" i="40"/>
  <c r="R137" i="40"/>
  <c r="Y140" i="40"/>
  <c r="Y139" i="40"/>
  <c r="H17" i="18"/>
  <c r="I17" i="18" s="1"/>
  <c r="D17" i="18"/>
  <c r="F17" i="18" s="1"/>
  <c r="G17" i="18" s="1"/>
  <c r="H10" i="11"/>
  <c r="I10" i="11" s="1"/>
  <c r="D10" i="11"/>
  <c r="F10" i="11" s="1"/>
  <c r="G10" i="11" s="1"/>
  <c r="AQ13" i="61"/>
  <c r="B13" i="13"/>
  <c r="C16" i="41"/>
  <c r="AP13" i="13"/>
  <c r="F54" i="36"/>
  <c r="J52" i="36"/>
  <c r="P149" i="28"/>
  <c r="O150" i="28"/>
  <c r="P150" i="28" s="1"/>
  <c r="V137" i="38"/>
  <c r="V140" i="38" s="1"/>
  <c r="T137" i="38"/>
  <c r="T140" i="38" s="1"/>
  <c r="X139" i="38" s="1"/>
  <c r="AB139" i="38" s="1"/>
  <c r="Q147" i="41"/>
  <c r="Q149" i="41"/>
  <c r="C149" i="46"/>
  <c r="C148" i="46"/>
  <c r="H5" i="6"/>
  <c r="I5" i="6" s="1"/>
  <c r="D5" i="6"/>
  <c r="F5" i="6" s="1"/>
  <c r="G5" i="6" s="1"/>
  <c r="AA4" i="6"/>
  <c r="M150" i="50"/>
  <c r="I150" i="50"/>
  <c r="G149" i="50"/>
  <c r="M149" i="50"/>
  <c r="I149" i="50"/>
  <c r="D149" i="50"/>
  <c r="F149" i="50" s="1"/>
  <c r="C148" i="36"/>
  <c r="C149" i="36"/>
  <c r="AA150" i="49"/>
  <c r="AO150" i="49" s="1"/>
  <c r="W150" i="49"/>
  <c r="AA149" i="49"/>
  <c r="AO149" i="49" s="1"/>
  <c r="W149" i="49"/>
  <c r="M150" i="35"/>
  <c r="I150" i="35"/>
  <c r="G149" i="35"/>
  <c r="M149" i="35"/>
  <c r="I149" i="35"/>
  <c r="O150" i="44"/>
  <c r="P150" i="44" s="1"/>
  <c r="P149" i="44"/>
  <c r="H65" i="38"/>
  <c r="J137" i="50"/>
  <c r="F137" i="50"/>
  <c r="F57" i="35"/>
  <c r="AG53" i="35"/>
  <c r="AG55" i="35" s="1"/>
  <c r="Q149" i="36"/>
  <c r="Q147" i="36"/>
  <c r="X142" i="38"/>
  <c r="R144" i="38"/>
  <c r="AH22" i="61"/>
  <c r="Y25" i="68" s="1"/>
  <c r="B22" i="22"/>
  <c r="C7" i="32"/>
  <c r="AP22" i="22"/>
  <c r="Q144" i="49"/>
  <c r="Q142" i="49"/>
  <c r="AV22" i="23"/>
  <c r="X60" i="39"/>
  <c r="Y140" i="45"/>
  <c r="Y139" i="45"/>
  <c r="Z139" i="45"/>
  <c r="Z140" i="45"/>
  <c r="R137" i="45"/>
  <c r="L144" i="34"/>
  <c r="D142" i="34"/>
  <c r="K144" i="34"/>
  <c r="L145" i="34"/>
  <c r="G142" i="34"/>
  <c r="K145" i="34"/>
  <c r="D148" i="34"/>
  <c r="F148" i="34" s="1"/>
  <c r="C147" i="34"/>
  <c r="G148" i="34"/>
  <c r="M149" i="44"/>
  <c r="I149" i="44"/>
  <c r="M150" i="44"/>
  <c r="I150" i="44"/>
  <c r="G149" i="44"/>
  <c r="L144" i="28"/>
  <c r="D142" i="28"/>
  <c r="K144" i="28"/>
  <c r="L145" i="28"/>
  <c r="G142" i="28"/>
  <c r="K145" i="28"/>
  <c r="Y8" i="10"/>
  <c r="AG11" i="14"/>
  <c r="AG55" i="36"/>
  <c r="V134" i="27"/>
  <c r="T134" i="27"/>
  <c r="R83" i="41"/>
  <c r="AE84" i="41"/>
  <c r="AG84" i="41" s="1"/>
  <c r="AE88" i="41"/>
  <c r="D84" i="41"/>
  <c r="Y11" i="13"/>
  <c r="R173" i="59"/>
  <c r="X171" i="59"/>
  <c r="J47" i="35"/>
  <c r="T139" i="38"/>
  <c r="V139" i="38"/>
  <c r="AG45" i="34"/>
  <c r="AY5" i="61"/>
  <c r="B5" i="5"/>
  <c r="AP5" i="5"/>
  <c r="C24" i="49"/>
  <c r="D149" i="49" s="1"/>
  <c r="F149" i="49" s="1"/>
  <c r="F45" i="33"/>
  <c r="H42" i="33"/>
  <c r="X137" i="34"/>
  <c r="R139" i="34"/>
  <c r="K145" i="49"/>
  <c r="L144" i="49"/>
  <c r="D142" i="49"/>
  <c r="K144" i="49"/>
  <c r="L145" i="49"/>
  <c r="G142" i="49"/>
  <c r="AE50" i="35"/>
  <c r="AI49" i="35" s="1"/>
  <c r="M149" i="27"/>
  <c r="I149" i="27"/>
  <c r="M150" i="27"/>
  <c r="I150" i="27"/>
  <c r="G149" i="27"/>
  <c r="D6" i="7"/>
  <c r="H6" i="7"/>
  <c r="I6" i="7" s="1"/>
  <c r="AK39" i="35"/>
  <c r="AM39" i="35" s="1"/>
  <c r="AS39" i="35" s="1"/>
  <c r="Z39" i="35"/>
  <c r="AB39" i="35" s="1"/>
  <c r="L44" i="35"/>
  <c r="AG15" i="53"/>
  <c r="F137" i="35"/>
  <c r="F60" i="37"/>
  <c r="Y10" i="12"/>
  <c r="X9" i="12" s="1"/>
  <c r="Y14" i="16"/>
  <c r="AV20" i="21"/>
  <c r="T132" i="33"/>
  <c r="T135" i="33" s="1"/>
  <c r="X134" i="33" s="1"/>
  <c r="AB134" i="33" s="1"/>
  <c r="V132" i="33"/>
  <c r="V135" i="33" s="1"/>
  <c r="F132" i="37"/>
  <c r="AR134" i="26"/>
  <c r="AV23" i="24"/>
  <c r="K144" i="35"/>
  <c r="L145" i="35"/>
  <c r="G142" i="35"/>
  <c r="K145" i="35"/>
  <c r="L144" i="35"/>
  <c r="D142" i="35"/>
  <c r="K144" i="41"/>
  <c r="L145" i="41"/>
  <c r="G142" i="41"/>
  <c r="K145" i="41"/>
  <c r="L144" i="41"/>
  <c r="D142" i="41"/>
  <c r="AT10" i="61"/>
  <c r="AK13" i="68" s="1"/>
  <c r="C19" i="44"/>
  <c r="AE104" i="44" s="1"/>
  <c r="AG104" i="44" s="1"/>
  <c r="B10" i="10"/>
  <c r="AP10" i="10"/>
  <c r="L140" i="39"/>
  <c r="G137" i="39"/>
  <c r="K139" i="39"/>
  <c r="D137" i="39"/>
  <c r="K140" i="39"/>
  <c r="L139" i="39"/>
  <c r="X7" i="11"/>
  <c r="AR124" i="33"/>
  <c r="AR125" i="33"/>
  <c r="CX100" i="61" l="1"/>
  <c r="AP8" i="68"/>
  <c r="CZ98" i="61"/>
  <c r="AR6" i="68"/>
  <c r="L151" i="66"/>
  <c r="AI15" i="68"/>
  <c r="D154" i="66"/>
  <c r="AH16" i="68"/>
  <c r="CY99" i="61"/>
  <c r="AQ7" i="68"/>
  <c r="EX129" i="61"/>
  <c r="GI129" i="61" s="1"/>
  <c r="O8" i="64" s="1"/>
  <c r="AO9" i="68"/>
  <c r="F104" i="45"/>
  <c r="H104" i="45" s="1"/>
  <c r="AK69" i="44"/>
  <c r="AM69" i="44" s="1"/>
  <c r="AS69" i="44" s="1"/>
  <c r="AE115" i="47"/>
  <c r="AI114" i="47" s="1"/>
  <c r="N59" i="38"/>
  <c r="AQ59" i="38" s="1"/>
  <c r="AR130" i="39"/>
  <c r="J80" i="41"/>
  <c r="AK70" i="44"/>
  <c r="AM70" i="44" s="1"/>
  <c r="AS70" i="44" s="1"/>
  <c r="L193" i="66"/>
  <c r="J193" i="66" s="1"/>
  <c r="B193" i="65" s="1"/>
  <c r="L277" i="66"/>
  <c r="A231" i="66"/>
  <c r="J119" i="49"/>
  <c r="AI105" i="46"/>
  <c r="J79" i="41"/>
  <c r="AG115" i="47"/>
  <c r="A153" i="66"/>
  <c r="AG120" i="48"/>
  <c r="J105" i="46"/>
  <c r="J120" i="49"/>
  <c r="T103" i="45"/>
  <c r="AI80" i="41"/>
  <c r="Z59" i="42"/>
  <c r="AB59" i="42" s="1"/>
  <c r="AR60" i="42" s="1"/>
  <c r="D189" i="66"/>
  <c r="D145" i="66"/>
  <c r="L157" i="66"/>
  <c r="D244" i="66"/>
  <c r="B244" i="66" s="1"/>
  <c r="B144" i="66"/>
  <c r="A144" i="66"/>
  <c r="A188" i="66"/>
  <c r="B188" i="66"/>
  <c r="D232" i="66"/>
  <c r="L217" i="66"/>
  <c r="D156" i="66"/>
  <c r="B156" i="66" s="1"/>
  <c r="D216" i="65"/>
  <c r="A216" i="65" s="1"/>
  <c r="I216" i="66"/>
  <c r="J216" i="66"/>
  <c r="B216" i="65" s="1"/>
  <c r="I156" i="66"/>
  <c r="D156" i="65"/>
  <c r="A156" i="65" s="1"/>
  <c r="J156" i="66"/>
  <c r="B156" i="65" s="1"/>
  <c r="B133" i="66"/>
  <c r="A133" i="66"/>
  <c r="AI120" i="49"/>
  <c r="D77" i="37"/>
  <c r="F77" i="37" s="1"/>
  <c r="N45" i="35"/>
  <c r="AQ45" i="35" s="1"/>
  <c r="AR130" i="43"/>
  <c r="L6" i="43"/>
  <c r="AB40" i="35"/>
  <c r="AR40" i="35" s="1"/>
  <c r="AT40" i="35" s="1"/>
  <c r="E6" i="35" s="1"/>
  <c r="Z59" i="41"/>
  <c r="AB59" i="41" s="1"/>
  <c r="L64" i="41"/>
  <c r="N64" i="41" s="1"/>
  <c r="AQ64" i="41" s="1"/>
  <c r="AK59" i="41"/>
  <c r="AM59" i="41" s="1"/>
  <c r="AS59" i="41" s="1"/>
  <c r="X110" i="48"/>
  <c r="B154" i="66"/>
  <c r="A154" i="66"/>
  <c r="D193" i="65"/>
  <c r="I193" i="66"/>
  <c r="I178" i="66"/>
  <c r="D178" i="65"/>
  <c r="A178" i="65" s="1"/>
  <c r="J178" i="66"/>
  <c r="B178" i="65" s="1"/>
  <c r="D262" i="65"/>
  <c r="I262" i="66"/>
  <c r="J262" i="66"/>
  <c r="B262" i="65" s="1"/>
  <c r="B166" i="66"/>
  <c r="A166" i="66"/>
  <c r="D167" i="66"/>
  <c r="L179" i="66"/>
  <c r="I136" i="66"/>
  <c r="D136" i="65"/>
  <c r="A136" i="65" s="1"/>
  <c r="J136" i="66"/>
  <c r="B136" i="65" s="1"/>
  <c r="D277" i="65"/>
  <c r="I277" i="66"/>
  <c r="J277" i="66"/>
  <c r="B277" i="65" s="1"/>
  <c r="D151" i="65"/>
  <c r="A151" i="65" s="1"/>
  <c r="J151" i="66"/>
  <c r="B151" i="65" s="1"/>
  <c r="I151" i="66"/>
  <c r="D206" i="66"/>
  <c r="L263" i="66"/>
  <c r="X90" i="45"/>
  <c r="AI110" i="47"/>
  <c r="B127" i="66"/>
  <c r="A127" i="66"/>
  <c r="X115" i="49"/>
  <c r="CS105" i="61"/>
  <c r="L165" i="66"/>
  <c r="R84" i="41"/>
  <c r="T84" i="41" s="1"/>
  <c r="D98" i="41"/>
  <c r="F98" i="41" s="1"/>
  <c r="H98" i="41" s="1"/>
  <c r="R97" i="41"/>
  <c r="D102" i="41"/>
  <c r="F102" i="41" s="1"/>
  <c r="CW101" i="61"/>
  <c r="D81" i="66"/>
  <c r="L85" i="66"/>
  <c r="R103" i="44"/>
  <c r="V103" i="44" s="1"/>
  <c r="AE108" i="44"/>
  <c r="AG108" i="44" s="1"/>
  <c r="D442" i="66"/>
  <c r="L465" i="66"/>
  <c r="AE120" i="48"/>
  <c r="AI119" i="48" s="1"/>
  <c r="B403" i="66"/>
  <c r="A403" i="66"/>
  <c r="V118" i="48"/>
  <c r="T118" i="48"/>
  <c r="AG128" i="49"/>
  <c r="H102" i="42"/>
  <c r="F109" i="46"/>
  <c r="J107" i="46"/>
  <c r="F117" i="46"/>
  <c r="AE125" i="49"/>
  <c r="AI124" i="49" s="1"/>
  <c r="V107" i="45"/>
  <c r="T107" i="45"/>
  <c r="V138" i="50"/>
  <c r="T138" i="50"/>
  <c r="T133" i="50"/>
  <c r="V133" i="50"/>
  <c r="T128" i="50"/>
  <c r="V128" i="50"/>
  <c r="AE135" i="50"/>
  <c r="AI134" i="50" s="1"/>
  <c r="AG133" i="50"/>
  <c r="AG135" i="50" s="1"/>
  <c r="H107" i="44"/>
  <c r="X105" i="47"/>
  <c r="B80" i="66"/>
  <c r="A80" i="66"/>
  <c r="A175" i="66"/>
  <c r="B175" i="66"/>
  <c r="T113" i="47"/>
  <c r="V113" i="47"/>
  <c r="F105" i="45"/>
  <c r="J104" i="45" s="1"/>
  <c r="J112" i="47"/>
  <c r="AG130" i="50"/>
  <c r="B137" i="66"/>
  <c r="A137" i="66"/>
  <c r="B61" i="66"/>
  <c r="A61" i="66"/>
  <c r="D124" i="65"/>
  <c r="A124" i="65" s="1"/>
  <c r="I124" i="66"/>
  <c r="J124" i="66"/>
  <c r="B124" i="65" s="1"/>
  <c r="D366" i="66"/>
  <c r="L385" i="66"/>
  <c r="CV102" i="61"/>
  <c r="D100" i="66"/>
  <c r="L105" i="66"/>
  <c r="CT104" i="61"/>
  <c r="D138" i="66"/>
  <c r="L145" i="66"/>
  <c r="CR106" i="61"/>
  <c r="D176" i="66"/>
  <c r="L185" i="66"/>
  <c r="CU103" i="61"/>
  <c r="D119" i="66"/>
  <c r="L125" i="66"/>
  <c r="L85" i="47"/>
  <c r="N85" i="47" s="1"/>
  <c r="AQ85" i="47" s="1"/>
  <c r="Z80" i="47"/>
  <c r="AB80" i="47" s="1"/>
  <c r="D444" i="65"/>
  <c r="A444" i="65" s="1"/>
  <c r="J444" i="66"/>
  <c r="B444" i="65" s="1"/>
  <c r="I444" i="66"/>
  <c r="X100" i="46"/>
  <c r="AG123" i="48"/>
  <c r="T114" i="48"/>
  <c r="T115" i="48" s="1"/>
  <c r="X114" i="48" s="1"/>
  <c r="V114" i="48"/>
  <c r="V115" i="48" s="1"/>
  <c r="F124" i="49"/>
  <c r="H124" i="49" s="1"/>
  <c r="J122" i="49"/>
  <c r="T97" i="42"/>
  <c r="V97" i="42"/>
  <c r="V108" i="46"/>
  <c r="T108" i="46"/>
  <c r="V112" i="46"/>
  <c r="T112" i="46"/>
  <c r="AE150" i="50"/>
  <c r="AI149" i="50" s="1"/>
  <c r="AG148" i="50"/>
  <c r="AG150" i="50" s="1"/>
  <c r="AE145" i="50"/>
  <c r="AI144" i="50" s="1"/>
  <c r="AG143" i="50"/>
  <c r="AG145" i="50" s="1"/>
  <c r="H103" i="44"/>
  <c r="B232" i="66"/>
  <c r="A232" i="66"/>
  <c r="H105" i="45"/>
  <c r="J105" i="45" s="1"/>
  <c r="H113" i="47"/>
  <c r="H115" i="47" s="1"/>
  <c r="F115" i="47"/>
  <c r="AE130" i="50"/>
  <c r="AI129" i="50" s="1"/>
  <c r="D384" i="65"/>
  <c r="A384" i="65" s="1"/>
  <c r="J384" i="66"/>
  <c r="B384" i="65" s="1"/>
  <c r="I384" i="66"/>
  <c r="B118" i="66"/>
  <c r="A118" i="66"/>
  <c r="AE129" i="49"/>
  <c r="AG129" i="49" s="1"/>
  <c r="AE133" i="49"/>
  <c r="AE134" i="49"/>
  <c r="AG134" i="49" s="1"/>
  <c r="AE138" i="49"/>
  <c r="AE139" i="49"/>
  <c r="AG139" i="49" s="1"/>
  <c r="R128" i="49"/>
  <c r="D129" i="49"/>
  <c r="R133" i="49"/>
  <c r="AE144" i="49"/>
  <c r="AG144" i="49" s="1"/>
  <c r="AE143" i="49"/>
  <c r="D134" i="49"/>
  <c r="D139" i="49"/>
  <c r="AE149" i="49"/>
  <c r="AG149" i="49" s="1"/>
  <c r="AE148" i="49"/>
  <c r="R138" i="49"/>
  <c r="D144" i="49"/>
  <c r="F144" i="49" s="1"/>
  <c r="H144" i="49" s="1"/>
  <c r="R143" i="49"/>
  <c r="R114" i="47"/>
  <c r="AE123" i="47"/>
  <c r="R118" i="47"/>
  <c r="D119" i="47"/>
  <c r="AE119" i="47"/>
  <c r="AG119" i="47" s="1"/>
  <c r="L205" i="66"/>
  <c r="H99" i="45"/>
  <c r="H100" i="45" s="1"/>
  <c r="J100" i="45" s="1"/>
  <c r="F100" i="45"/>
  <c r="J99" i="45" s="1"/>
  <c r="B422" i="66"/>
  <c r="A422" i="66"/>
  <c r="H97" i="41"/>
  <c r="V123" i="49"/>
  <c r="T123" i="49"/>
  <c r="AG109" i="46"/>
  <c r="AG110" i="46" s="1"/>
  <c r="AE110" i="46"/>
  <c r="AI109" i="46" s="1"/>
  <c r="F113" i="46"/>
  <c r="V99" i="45"/>
  <c r="V100" i="45" s="1"/>
  <c r="T99" i="45"/>
  <c r="F134" i="50"/>
  <c r="H134" i="50" s="1"/>
  <c r="J132" i="50"/>
  <c r="J134" i="50" s="1"/>
  <c r="N134" i="50" s="1"/>
  <c r="AQ134" i="50" s="1"/>
  <c r="F129" i="50"/>
  <c r="H129" i="50" s="1"/>
  <c r="J127" i="50"/>
  <c r="V89" i="44"/>
  <c r="V90" i="44" s="1"/>
  <c r="T89" i="44"/>
  <c r="T90" i="44" s="1"/>
  <c r="X89" i="44" s="1"/>
  <c r="J124" i="50"/>
  <c r="N124" i="50" s="1"/>
  <c r="AQ124" i="50" s="1"/>
  <c r="J125" i="50"/>
  <c r="N125" i="50" s="1"/>
  <c r="AQ125" i="50" s="1"/>
  <c r="D404" i="65"/>
  <c r="A404" i="65" s="1"/>
  <c r="J404" i="66"/>
  <c r="B404" i="65" s="1"/>
  <c r="I404" i="66"/>
  <c r="T109" i="47"/>
  <c r="T110" i="47" s="1"/>
  <c r="X109" i="47" s="1"/>
  <c r="V109" i="47"/>
  <c r="V110" i="47" s="1"/>
  <c r="B365" i="66"/>
  <c r="A365" i="66"/>
  <c r="D204" i="65"/>
  <c r="A204" i="65" s="1"/>
  <c r="J204" i="66"/>
  <c r="B204" i="65" s="1"/>
  <c r="I204" i="66"/>
  <c r="D104" i="65"/>
  <c r="A104" i="65" s="1"/>
  <c r="I104" i="66"/>
  <c r="J104" i="66"/>
  <c r="B104" i="65" s="1"/>
  <c r="D108" i="44"/>
  <c r="F108" i="44" s="1"/>
  <c r="H108" i="44" s="1"/>
  <c r="R99" i="44"/>
  <c r="R107" i="44"/>
  <c r="D112" i="44"/>
  <c r="F112" i="44" s="1"/>
  <c r="D385" i="66"/>
  <c r="L405" i="66"/>
  <c r="R148" i="49"/>
  <c r="T148" i="49" s="1"/>
  <c r="AE128" i="48"/>
  <c r="R123" i="48"/>
  <c r="D124" i="48"/>
  <c r="AE124" i="48"/>
  <c r="AG124" i="48" s="1"/>
  <c r="R104" i="45"/>
  <c r="D113" i="45"/>
  <c r="R112" i="45"/>
  <c r="D117" i="45"/>
  <c r="AE109" i="45"/>
  <c r="D109" i="45"/>
  <c r="AE113" i="45"/>
  <c r="R108" i="45"/>
  <c r="D423" i="66"/>
  <c r="L445" i="66"/>
  <c r="R87" i="40"/>
  <c r="D97" i="40"/>
  <c r="F97" i="40" s="1"/>
  <c r="D404" i="66"/>
  <c r="L425" i="66"/>
  <c r="R89" i="43"/>
  <c r="D103" i="43"/>
  <c r="F103" i="43" s="1"/>
  <c r="R102" i="43"/>
  <c r="D107" i="43"/>
  <c r="F107" i="43" s="1"/>
  <c r="R109" i="46"/>
  <c r="D118" i="46"/>
  <c r="F118" i="46" s="1"/>
  <c r="H118" i="46" s="1"/>
  <c r="R113" i="46"/>
  <c r="AE118" i="46"/>
  <c r="D114" i="46"/>
  <c r="F114" i="46" s="1"/>
  <c r="H114" i="46" s="1"/>
  <c r="AE114" i="46"/>
  <c r="AG114" i="46" s="1"/>
  <c r="T100" i="45"/>
  <c r="X99" i="45" s="1"/>
  <c r="D104" i="44"/>
  <c r="F104" i="44" s="1"/>
  <c r="H104" i="44" s="1"/>
  <c r="Z79" i="47"/>
  <c r="AB79" i="47" s="1"/>
  <c r="D424" i="65"/>
  <c r="A424" i="65" s="1"/>
  <c r="J424" i="66"/>
  <c r="B424" i="65" s="1"/>
  <c r="I424" i="66"/>
  <c r="F119" i="48"/>
  <c r="J117" i="48"/>
  <c r="V87" i="41"/>
  <c r="T87" i="41"/>
  <c r="D164" i="65"/>
  <c r="A164" i="65" s="1"/>
  <c r="J164" i="66"/>
  <c r="B164" i="65" s="1"/>
  <c r="I164" i="66"/>
  <c r="AG113" i="46"/>
  <c r="V104" i="46"/>
  <c r="V105" i="46" s="1"/>
  <c r="T104" i="46"/>
  <c r="T105" i="46" s="1"/>
  <c r="X104" i="46" s="1"/>
  <c r="AG125" i="49"/>
  <c r="H117" i="47"/>
  <c r="H112" i="45"/>
  <c r="AG138" i="50"/>
  <c r="AG140" i="50" s="1"/>
  <c r="AE140" i="50"/>
  <c r="AI139" i="50" s="1"/>
  <c r="T102" i="44"/>
  <c r="V102" i="44"/>
  <c r="D84" i="65"/>
  <c r="A84" i="65" s="1"/>
  <c r="I84" i="66"/>
  <c r="J84" i="66"/>
  <c r="B84" i="65" s="1"/>
  <c r="B384" i="66"/>
  <c r="A384" i="66"/>
  <c r="D184" i="65"/>
  <c r="A184" i="65" s="1"/>
  <c r="J184" i="66"/>
  <c r="B184" i="65" s="1"/>
  <c r="I184" i="66"/>
  <c r="AG118" i="47"/>
  <c r="H109" i="47"/>
  <c r="H110" i="47" s="1"/>
  <c r="J110" i="47" s="1"/>
  <c r="F110" i="47"/>
  <c r="J109" i="47" s="1"/>
  <c r="D144" i="65"/>
  <c r="A144" i="65" s="1"/>
  <c r="J144" i="66"/>
  <c r="B144" i="65" s="1"/>
  <c r="I144" i="66"/>
  <c r="D64" i="65"/>
  <c r="A64" i="65" s="1"/>
  <c r="I64" i="66"/>
  <c r="J64" i="66"/>
  <c r="B64" i="65" s="1"/>
  <c r="B99" i="66"/>
  <c r="A99" i="66"/>
  <c r="AP16" i="41"/>
  <c r="AR16" i="41" s="1"/>
  <c r="AP11" i="41"/>
  <c r="AR11" i="41" s="1"/>
  <c r="AL13" i="41" s="1"/>
  <c r="Z60" i="41"/>
  <c r="AB60" i="41" s="1"/>
  <c r="AR59" i="41" s="1"/>
  <c r="L65" i="41"/>
  <c r="N65" i="41" s="1"/>
  <c r="AQ65" i="41" s="1"/>
  <c r="AP5" i="42"/>
  <c r="AR5" i="42" s="1"/>
  <c r="AR135" i="38"/>
  <c r="F60" i="36"/>
  <c r="X24" i="44"/>
  <c r="L8" i="44" s="1"/>
  <c r="AP69" i="44" s="1"/>
  <c r="AE55" i="35"/>
  <c r="AI54" i="35" s="1"/>
  <c r="AR129" i="50"/>
  <c r="Y10" i="11"/>
  <c r="X9" i="11" s="1"/>
  <c r="L64" i="42"/>
  <c r="N64" i="42" s="1"/>
  <c r="AQ64" i="42" s="1"/>
  <c r="AB27" i="42"/>
  <c r="AD27" i="42" s="1"/>
  <c r="AE75" i="39"/>
  <c r="AI74" i="39" s="1"/>
  <c r="AK59" i="42"/>
  <c r="AM59" i="42" s="1"/>
  <c r="AS59" i="42" s="1"/>
  <c r="X25" i="42"/>
  <c r="L9" i="42" s="1"/>
  <c r="AP60" i="42" s="1"/>
  <c r="AR134" i="29"/>
  <c r="CG117" i="61"/>
  <c r="CP108" i="61"/>
  <c r="CK113" i="61"/>
  <c r="CN110" i="61"/>
  <c r="CM111" i="61"/>
  <c r="CQ107" i="61"/>
  <c r="CJ114" i="61"/>
  <c r="CE119" i="61"/>
  <c r="CO109" i="61"/>
  <c r="CL112" i="61"/>
  <c r="CI115" i="61"/>
  <c r="CF118" i="61"/>
  <c r="A192" i="65"/>
  <c r="A140" i="65"/>
  <c r="CH116" i="61"/>
  <c r="A153" i="65"/>
  <c r="X24" i="42"/>
  <c r="X7" i="43"/>
  <c r="L7" i="43" s="1"/>
  <c r="X25" i="44"/>
  <c r="L9" i="44" s="1"/>
  <c r="AP70" i="44" s="1"/>
  <c r="H45" i="33"/>
  <c r="N54" i="37"/>
  <c r="AQ54" i="37" s="1"/>
  <c r="X8" i="11"/>
  <c r="AI75" i="40"/>
  <c r="D25" i="25"/>
  <c r="F25" i="25" s="1"/>
  <c r="G25" i="25" s="1"/>
  <c r="H25" i="25"/>
  <c r="I25" i="25" s="1"/>
  <c r="AV25" i="25"/>
  <c r="AE26" i="61"/>
  <c r="AP26" i="25"/>
  <c r="B26" i="25"/>
  <c r="C4" i="28"/>
  <c r="R32" i="29"/>
  <c r="AE33" i="29"/>
  <c r="AG33" i="29" s="1"/>
  <c r="D37" i="29"/>
  <c r="F37" i="29" s="1"/>
  <c r="H37" i="29" s="1"/>
  <c r="T32" i="30"/>
  <c r="V32" i="30"/>
  <c r="AG65" i="37"/>
  <c r="T93" i="43"/>
  <c r="AR69" i="46"/>
  <c r="AR70" i="46"/>
  <c r="AI40" i="33"/>
  <c r="J40" i="33"/>
  <c r="N40" i="33" s="1"/>
  <c r="AQ40" i="33" s="1"/>
  <c r="T72" i="38"/>
  <c r="AG40" i="32"/>
  <c r="J92" i="43"/>
  <c r="J95" i="43" s="1"/>
  <c r="N95" i="43" s="1"/>
  <c r="AQ95" i="43" s="1"/>
  <c r="AI45" i="34"/>
  <c r="H60" i="36"/>
  <c r="J57" i="36"/>
  <c r="J42" i="33"/>
  <c r="AE65" i="37"/>
  <c r="AI64" i="37" s="1"/>
  <c r="R93" i="42"/>
  <c r="V93" i="42" s="1"/>
  <c r="J62" i="37"/>
  <c r="AI85" i="42"/>
  <c r="AR130" i="34"/>
  <c r="AI70" i="39"/>
  <c r="AT155" i="59"/>
  <c r="AE98" i="42"/>
  <c r="AG98" i="42" s="1"/>
  <c r="J47" i="34"/>
  <c r="D94" i="42"/>
  <c r="F94" i="42" s="1"/>
  <c r="H94" i="42" s="1"/>
  <c r="AR49" i="37"/>
  <c r="X80" i="42"/>
  <c r="AE60" i="36"/>
  <c r="AI59" i="36" s="1"/>
  <c r="X70" i="40"/>
  <c r="H89" i="43"/>
  <c r="H90" i="43" s="1"/>
  <c r="J90" i="43" s="1"/>
  <c r="F90" i="43"/>
  <c r="J89" i="43" s="1"/>
  <c r="D68" i="36"/>
  <c r="F68" i="36" s="1"/>
  <c r="R67" i="36"/>
  <c r="R51" i="59"/>
  <c r="D57" i="59"/>
  <c r="F57" i="59" s="1"/>
  <c r="X50" i="35"/>
  <c r="AE99" i="43"/>
  <c r="R98" i="43"/>
  <c r="AE103" i="43"/>
  <c r="D99" i="43"/>
  <c r="Z50" i="36"/>
  <c r="AB50" i="36" s="1"/>
  <c r="L55" i="36"/>
  <c r="T67" i="37"/>
  <c r="V67" i="37"/>
  <c r="V84" i="42"/>
  <c r="V85" i="42" s="1"/>
  <c r="T84" i="42"/>
  <c r="T85" i="42" s="1"/>
  <c r="X84" i="42" s="1"/>
  <c r="AI100" i="45"/>
  <c r="AI105" i="45"/>
  <c r="H52" i="32"/>
  <c r="AE105" i="44"/>
  <c r="AI104" i="44" s="1"/>
  <c r="AG103" i="44"/>
  <c r="AG105" i="44" s="1"/>
  <c r="V98" i="44"/>
  <c r="T98" i="44"/>
  <c r="V82" i="40"/>
  <c r="T82" i="40"/>
  <c r="H82" i="39"/>
  <c r="H54" i="36"/>
  <c r="H55" i="36" s="1"/>
  <c r="J55" i="36" s="1"/>
  <c r="F55" i="36"/>
  <c r="J54" i="36" s="1"/>
  <c r="R47" i="31"/>
  <c r="D52" i="31"/>
  <c r="F52" i="31" s="1"/>
  <c r="H68" i="37"/>
  <c r="AR50" i="37"/>
  <c r="AR49" i="38"/>
  <c r="V47" i="32"/>
  <c r="T47" i="32"/>
  <c r="AG99" i="44"/>
  <c r="AG100" i="44" s="1"/>
  <c r="AE100" i="44"/>
  <c r="AI99" i="44" s="1"/>
  <c r="V77" i="39"/>
  <c r="T77" i="39"/>
  <c r="H67" i="35"/>
  <c r="D83" i="39"/>
  <c r="F83" i="39" s="1"/>
  <c r="H83" i="39" s="1"/>
  <c r="R82" i="39"/>
  <c r="D87" i="39"/>
  <c r="F87" i="39" s="1"/>
  <c r="R77" i="38"/>
  <c r="D82" i="38"/>
  <c r="F82" i="38" s="1"/>
  <c r="D88" i="40"/>
  <c r="F88" i="40" s="1"/>
  <c r="H88" i="40" s="1"/>
  <c r="R79" i="40"/>
  <c r="H69" i="39"/>
  <c r="H70" i="39" s="1"/>
  <c r="J70" i="39" s="1"/>
  <c r="F70" i="39"/>
  <c r="J69" i="39" s="1"/>
  <c r="V49" i="34"/>
  <c r="T49" i="34"/>
  <c r="AR69" i="44"/>
  <c r="AR70" i="44"/>
  <c r="V69" i="39"/>
  <c r="V70" i="39" s="1"/>
  <c r="T69" i="39"/>
  <c r="T70" i="39" s="1"/>
  <c r="X69" i="39" s="1"/>
  <c r="R39" i="33"/>
  <c r="T39" i="33" s="1"/>
  <c r="T40" i="33" s="1"/>
  <c r="X39" i="33" s="1"/>
  <c r="D53" i="33"/>
  <c r="F53" i="33" s="1"/>
  <c r="D72" i="36"/>
  <c r="F72" i="36" s="1"/>
  <c r="H84" i="42"/>
  <c r="H85" i="42" s="1"/>
  <c r="F85" i="42"/>
  <c r="J84" i="42" s="1"/>
  <c r="V79" i="41"/>
  <c r="V80" i="41" s="1"/>
  <c r="T79" i="41"/>
  <c r="T80" i="41" s="1"/>
  <c r="X79" i="41" s="1"/>
  <c r="F99" i="44"/>
  <c r="J97" i="44"/>
  <c r="H87" i="40"/>
  <c r="J39" i="33"/>
  <c r="N39" i="33" s="1"/>
  <c r="AQ39" i="33" s="1"/>
  <c r="AE40" i="32"/>
  <c r="AI39" i="32" s="1"/>
  <c r="AR130" i="40"/>
  <c r="AR130" i="33"/>
  <c r="AE45" i="33"/>
  <c r="AI44" i="33" s="1"/>
  <c r="AG45" i="33"/>
  <c r="AG75" i="39"/>
  <c r="AR135" i="47"/>
  <c r="AR129" i="46"/>
  <c r="AR129" i="37"/>
  <c r="AR130" i="28"/>
  <c r="AR45" i="38"/>
  <c r="AT45" i="38" s="1"/>
  <c r="E7" i="38" s="1"/>
  <c r="AK50" i="38" s="1"/>
  <c r="AM50" i="38" s="1"/>
  <c r="AS50" i="38" s="1"/>
  <c r="F65" i="37"/>
  <c r="AR134" i="41"/>
  <c r="AR44" i="37"/>
  <c r="AT44" i="37" s="1"/>
  <c r="D7" i="37" s="1"/>
  <c r="AK49" i="37" s="1"/>
  <c r="AM49" i="37" s="1"/>
  <c r="AS49" i="37" s="1"/>
  <c r="H65" i="37"/>
  <c r="AR45" i="37"/>
  <c r="AT45" i="37" s="1"/>
  <c r="E7" i="37" s="1"/>
  <c r="AK50" i="37" s="1"/>
  <c r="AM50" i="37" s="1"/>
  <c r="AS50" i="37" s="1"/>
  <c r="Z55" i="37"/>
  <c r="L60" i="37"/>
  <c r="AK55" i="37"/>
  <c r="AM55" i="37" s="1"/>
  <c r="AS55" i="37" s="1"/>
  <c r="AR55" i="39"/>
  <c r="AT55" i="39" s="1"/>
  <c r="E9" i="39" s="1"/>
  <c r="AR54" i="39"/>
  <c r="AT54" i="39" s="1"/>
  <c r="D9" i="39" s="1"/>
  <c r="Z59" i="39" s="1"/>
  <c r="AB59" i="39" s="1"/>
  <c r="L60" i="38"/>
  <c r="N60" i="38" s="1"/>
  <c r="AQ60" i="38" s="1"/>
  <c r="AK55" i="38"/>
  <c r="AM55" i="38" s="1"/>
  <c r="AS55" i="38" s="1"/>
  <c r="Z55" i="38"/>
  <c r="AB55" i="38" s="1"/>
  <c r="AR60" i="41"/>
  <c r="AT49" i="37"/>
  <c r="D8" i="37" s="1"/>
  <c r="X75" i="41"/>
  <c r="Z45" i="36"/>
  <c r="AB45" i="36" s="1"/>
  <c r="L50" i="36"/>
  <c r="N50" i="36" s="1"/>
  <c r="AQ50" i="36" s="1"/>
  <c r="AK45" i="36"/>
  <c r="AM45" i="36" s="1"/>
  <c r="AS45" i="36" s="1"/>
  <c r="Y9" i="10"/>
  <c r="AA9" i="10" s="1"/>
  <c r="AG9" i="10" s="1"/>
  <c r="AG70" i="38"/>
  <c r="AR130" i="27"/>
  <c r="X140" i="29"/>
  <c r="AB140" i="29" s="1"/>
  <c r="AR139" i="29" s="1"/>
  <c r="H143" i="37"/>
  <c r="H148" i="47"/>
  <c r="AR129" i="49"/>
  <c r="AR134" i="36"/>
  <c r="H143" i="43"/>
  <c r="X135" i="40"/>
  <c r="AB135" i="40" s="1"/>
  <c r="AR134" i="40" s="1"/>
  <c r="X60" i="38"/>
  <c r="H143" i="46"/>
  <c r="H166" i="59"/>
  <c r="H148" i="40"/>
  <c r="X45" i="35"/>
  <c r="X65" i="40"/>
  <c r="AE70" i="38"/>
  <c r="AI69" i="38" s="1"/>
  <c r="X135" i="33"/>
  <c r="AB135" i="33" s="1"/>
  <c r="AR134" i="33" s="1"/>
  <c r="AI95" i="43"/>
  <c r="H148" i="29"/>
  <c r="H143" i="26"/>
  <c r="X140" i="41"/>
  <c r="AB140" i="41" s="1"/>
  <c r="AR140" i="41" s="1"/>
  <c r="AG60" i="36"/>
  <c r="AR135" i="30"/>
  <c r="AR129" i="44"/>
  <c r="X135" i="28"/>
  <c r="AB135" i="28" s="1"/>
  <c r="AR134" i="28" s="1"/>
  <c r="X162" i="59"/>
  <c r="AB162" i="59" s="1"/>
  <c r="AT162" i="59" s="1"/>
  <c r="H148" i="27"/>
  <c r="X135" i="39"/>
  <c r="AB135" i="39" s="1"/>
  <c r="AR134" i="39" s="1"/>
  <c r="X140" i="35"/>
  <c r="AB140" i="35" s="1"/>
  <c r="AR140" i="35" s="1"/>
  <c r="H148" i="32"/>
  <c r="H50" i="34"/>
  <c r="AR135" i="42"/>
  <c r="H148" i="33"/>
  <c r="H148" i="49"/>
  <c r="H148" i="35"/>
  <c r="H148" i="50"/>
  <c r="N44" i="35"/>
  <c r="AQ44" i="35" s="1"/>
  <c r="F50" i="34"/>
  <c r="J49" i="34" s="1"/>
  <c r="H148" i="41"/>
  <c r="AI35" i="32"/>
  <c r="AM35" i="32" s="1"/>
  <c r="AS35" i="32" s="1"/>
  <c r="AB139" i="36"/>
  <c r="X140" i="36"/>
  <c r="AB140" i="36" s="1"/>
  <c r="X135" i="31"/>
  <c r="AB135" i="31" s="1"/>
  <c r="AR135" i="31" s="1"/>
  <c r="X140" i="42"/>
  <c r="AB140" i="42" s="1"/>
  <c r="AR140" i="42" s="1"/>
  <c r="X140" i="48"/>
  <c r="AB140" i="48" s="1"/>
  <c r="AR140" i="48" s="1"/>
  <c r="X135" i="27"/>
  <c r="AB135" i="27" s="1"/>
  <c r="AR134" i="27" s="1"/>
  <c r="AA6" i="7"/>
  <c r="AG6" i="7" s="1"/>
  <c r="X5" i="7"/>
  <c r="AB134" i="44"/>
  <c r="X135" i="44"/>
  <c r="AB135" i="44" s="1"/>
  <c r="AA13" i="14"/>
  <c r="X12" i="14"/>
  <c r="X140" i="38"/>
  <c r="AB140" i="38" s="1"/>
  <c r="AR140" i="38" s="1"/>
  <c r="X135" i="50"/>
  <c r="AB135" i="50" s="1"/>
  <c r="AR134" i="50" s="1"/>
  <c r="X140" i="30"/>
  <c r="AB140" i="30" s="1"/>
  <c r="AR140" i="30" s="1"/>
  <c r="X135" i="49"/>
  <c r="AB135" i="49" s="1"/>
  <c r="AR134" i="49" s="1"/>
  <c r="X135" i="37"/>
  <c r="AB135" i="37" s="1"/>
  <c r="AR135" i="37" s="1"/>
  <c r="AA14" i="15"/>
  <c r="AG14" i="15" s="1"/>
  <c r="X13" i="15"/>
  <c r="X40" i="34"/>
  <c r="X140" i="47"/>
  <c r="AB140" i="47" s="1"/>
  <c r="AR140" i="47" s="1"/>
  <c r="AR34" i="33"/>
  <c r="AT34" i="33" s="1"/>
  <c r="D5" i="33" s="1"/>
  <c r="AR35" i="33"/>
  <c r="AT35" i="33" s="1"/>
  <c r="E5" i="33" s="1"/>
  <c r="AR59" i="40"/>
  <c r="AT59" i="40" s="1"/>
  <c r="D10" i="40" s="1"/>
  <c r="L69" i="40" s="1"/>
  <c r="N69" i="40" s="1"/>
  <c r="AQ69" i="40" s="1"/>
  <c r="AR60" i="40"/>
  <c r="AT60" i="40" s="1"/>
  <c r="E10" i="40" s="1"/>
  <c r="L70" i="40" s="1"/>
  <c r="N70" i="40" s="1"/>
  <c r="AQ70" i="40" s="1"/>
  <c r="AA11" i="13"/>
  <c r="AG11" i="13" s="1"/>
  <c r="X10" i="13"/>
  <c r="V83" i="41"/>
  <c r="T83" i="41"/>
  <c r="T85" i="41" s="1"/>
  <c r="X84" i="41" s="1"/>
  <c r="Y150" i="36"/>
  <c r="Y149" i="36"/>
  <c r="Z150" i="36"/>
  <c r="R147" i="36"/>
  <c r="Z149" i="36"/>
  <c r="Q149" i="44"/>
  <c r="Q147" i="44"/>
  <c r="X142" i="50"/>
  <c r="R144" i="50"/>
  <c r="H137" i="34"/>
  <c r="H140" i="34" s="1"/>
  <c r="F140" i="34"/>
  <c r="H21" i="21"/>
  <c r="I21" i="21" s="1"/>
  <c r="D21" i="21"/>
  <c r="F21" i="21" s="1"/>
  <c r="G21" i="21" s="1"/>
  <c r="AW8" i="61"/>
  <c r="AN11" i="68" s="1"/>
  <c r="B8" i="7"/>
  <c r="AP8" i="7"/>
  <c r="Y7" i="7" s="1"/>
  <c r="X6" i="7" s="1"/>
  <c r="C22" i="46"/>
  <c r="F142" i="35"/>
  <c r="AA14" i="16"/>
  <c r="AG14" i="16" s="1"/>
  <c r="H137" i="35"/>
  <c r="H140" i="35" s="1"/>
  <c r="F140" i="35"/>
  <c r="V139" i="34"/>
  <c r="T139" i="34"/>
  <c r="AY6" i="61"/>
  <c r="AP9" i="68" s="1"/>
  <c r="B6" i="5"/>
  <c r="AP6" i="5"/>
  <c r="C24" i="48"/>
  <c r="AG88" i="41"/>
  <c r="AI55" i="36"/>
  <c r="AA8" i="10"/>
  <c r="AG8" i="10" s="1"/>
  <c r="H148" i="34"/>
  <c r="Z145" i="49"/>
  <c r="Z144" i="49"/>
  <c r="R142" i="49"/>
  <c r="Y145" i="49"/>
  <c r="Y144" i="49"/>
  <c r="AE44" i="32"/>
  <c r="AG44" i="32" s="1"/>
  <c r="AE48" i="32"/>
  <c r="D44" i="32"/>
  <c r="F44" i="32" s="1"/>
  <c r="H44" i="32" s="1"/>
  <c r="R43" i="32"/>
  <c r="D48" i="32"/>
  <c r="F48" i="32" s="1"/>
  <c r="H48" i="32" s="1"/>
  <c r="T144" i="38"/>
  <c r="V144" i="38"/>
  <c r="H57" i="35"/>
  <c r="C147" i="36"/>
  <c r="G148" i="36"/>
  <c r="D148" i="36"/>
  <c r="F148" i="36" s="1"/>
  <c r="AG4" i="6"/>
  <c r="D148" i="46"/>
  <c r="F148" i="46" s="1"/>
  <c r="C147" i="46"/>
  <c r="G148" i="46"/>
  <c r="AV13" i="13"/>
  <c r="X135" i="46"/>
  <c r="AB135" i="46" s="1"/>
  <c r="AR134" i="46" s="1"/>
  <c r="Z150" i="26"/>
  <c r="Z149" i="26"/>
  <c r="R147" i="26"/>
  <c r="Y150" i="26"/>
  <c r="Y149" i="26"/>
  <c r="AA8" i="9"/>
  <c r="F142" i="27"/>
  <c r="K149" i="47"/>
  <c r="L150" i="47"/>
  <c r="G147" i="47"/>
  <c r="K150" i="47"/>
  <c r="L149" i="47"/>
  <c r="D147" i="47"/>
  <c r="AV19" i="53"/>
  <c r="AK20" i="61"/>
  <c r="AB23" i="68" s="1"/>
  <c r="B20" i="19"/>
  <c r="AP20" i="19"/>
  <c r="C10" i="34"/>
  <c r="D67" i="34" s="1"/>
  <c r="F67" i="34" s="1"/>
  <c r="B20" i="53"/>
  <c r="AP20" i="53"/>
  <c r="V139" i="27"/>
  <c r="T139" i="27"/>
  <c r="Y15" i="16"/>
  <c r="X14" i="16" s="1"/>
  <c r="AV21" i="21"/>
  <c r="H7" i="7"/>
  <c r="I7" i="7" s="1"/>
  <c r="D7" i="7"/>
  <c r="F7" i="7" s="1"/>
  <c r="G7" i="7" s="1"/>
  <c r="Z145" i="27"/>
  <c r="Z144" i="27"/>
  <c r="R142" i="27"/>
  <c r="Y145" i="27"/>
  <c r="Y144" i="27"/>
  <c r="AI50" i="35"/>
  <c r="V139" i="43"/>
  <c r="T139" i="43"/>
  <c r="BA4" i="61"/>
  <c r="BB3" i="61"/>
  <c r="B4" i="3"/>
  <c r="C26" i="50"/>
  <c r="AP4" i="3"/>
  <c r="K150" i="44"/>
  <c r="L149" i="44"/>
  <c r="D147" i="44"/>
  <c r="K149" i="44"/>
  <c r="L150" i="44"/>
  <c r="G147" i="44"/>
  <c r="V144" i="26"/>
  <c r="T144" i="26"/>
  <c r="F137" i="30"/>
  <c r="H18" i="18"/>
  <c r="I18" i="18" s="1"/>
  <c r="D18" i="18"/>
  <c r="F18" i="18" s="1"/>
  <c r="G18" i="18" s="1"/>
  <c r="V139" i="40"/>
  <c r="T139" i="40"/>
  <c r="AV9" i="9"/>
  <c r="AO16" i="61"/>
  <c r="AF19" i="68" s="1"/>
  <c r="B16" i="15"/>
  <c r="AP16" i="15"/>
  <c r="C14" i="38"/>
  <c r="R69" i="38" s="1"/>
  <c r="H132" i="46"/>
  <c r="H135" i="46" s="1"/>
  <c r="F135" i="46"/>
  <c r="L145" i="48"/>
  <c r="G142" i="48"/>
  <c r="K145" i="48"/>
  <c r="L144" i="48"/>
  <c r="D142" i="48"/>
  <c r="K144" i="48"/>
  <c r="AA6" i="8"/>
  <c r="AG6" i="8" s="1"/>
  <c r="G148" i="26"/>
  <c r="D148" i="26"/>
  <c r="F148" i="26" s="1"/>
  <c r="C147" i="26"/>
  <c r="F137" i="36"/>
  <c r="AF13" i="15"/>
  <c r="AN17" i="61"/>
  <c r="AE20" i="68" s="1"/>
  <c r="B17" i="16"/>
  <c r="C13" i="37"/>
  <c r="AP17" i="16"/>
  <c r="AV12" i="12"/>
  <c r="V144" i="48"/>
  <c r="T144" i="48"/>
  <c r="L149" i="28"/>
  <c r="D147" i="28"/>
  <c r="K149" i="28"/>
  <c r="L150" i="28"/>
  <c r="G147" i="28"/>
  <c r="K150" i="28"/>
  <c r="Q147" i="50"/>
  <c r="Q149" i="50"/>
  <c r="AE90" i="42"/>
  <c r="AI89" i="42" s="1"/>
  <c r="G9" i="11"/>
  <c r="Z145" i="28"/>
  <c r="Z144" i="28"/>
  <c r="R142" i="28"/>
  <c r="Y145" i="28"/>
  <c r="Y144" i="28"/>
  <c r="D38" i="30"/>
  <c r="AE38" i="30"/>
  <c r="AE34" i="30"/>
  <c r="R33" i="30"/>
  <c r="R37" i="30"/>
  <c r="D42" i="30"/>
  <c r="T34" i="59"/>
  <c r="V34" i="59"/>
  <c r="AE40" i="59"/>
  <c r="AI40" i="59"/>
  <c r="R144" i="43"/>
  <c r="X142" i="43"/>
  <c r="AG8" i="11"/>
  <c r="H137" i="47"/>
  <c r="H140" i="47" s="1"/>
  <c r="F140" i="47"/>
  <c r="Q149" i="43"/>
  <c r="Q147" i="43"/>
  <c r="AE84" i="40"/>
  <c r="AG84" i="40" s="1"/>
  <c r="AE88" i="40"/>
  <c r="R83" i="40"/>
  <c r="D84" i="40"/>
  <c r="H149" i="49"/>
  <c r="D46" i="59"/>
  <c r="F46" i="59" s="1"/>
  <c r="H46" i="59" s="1"/>
  <c r="AG41" i="59"/>
  <c r="AG42" i="59" s="1"/>
  <c r="AK41" i="59" s="1"/>
  <c r="R35" i="59"/>
  <c r="AG46" i="59"/>
  <c r="R40" i="59"/>
  <c r="D41" i="59"/>
  <c r="F41" i="59" s="1"/>
  <c r="H41" i="59" s="1"/>
  <c r="R45" i="59"/>
  <c r="D51" i="59"/>
  <c r="H137" i="29"/>
  <c r="H140" i="29" s="1"/>
  <c r="F140" i="29"/>
  <c r="L145" i="30"/>
  <c r="G142" i="30"/>
  <c r="K145" i="30"/>
  <c r="L144" i="30"/>
  <c r="D142" i="30"/>
  <c r="K144" i="30"/>
  <c r="AV11" i="11"/>
  <c r="G148" i="43"/>
  <c r="D148" i="43"/>
  <c r="F148" i="43" s="1"/>
  <c r="C147" i="43"/>
  <c r="V59" i="37"/>
  <c r="V60" i="37" s="1"/>
  <c r="T59" i="37"/>
  <c r="T60" i="37" s="1"/>
  <c r="X59" i="37" s="1"/>
  <c r="X142" i="37"/>
  <c r="R144" i="37"/>
  <c r="AI65" i="38"/>
  <c r="AG83" i="40"/>
  <c r="T167" i="59"/>
  <c r="V167" i="59"/>
  <c r="L149" i="31"/>
  <c r="L150" i="31"/>
  <c r="K150" i="31"/>
  <c r="K149" i="31"/>
  <c r="D147" i="31"/>
  <c r="G147" i="31"/>
  <c r="R149" i="48"/>
  <c r="X147" i="48"/>
  <c r="G8" i="10"/>
  <c r="K149" i="41"/>
  <c r="L150" i="41"/>
  <c r="G147" i="41"/>
  <c r="K150" i="41"/>
  <c r="L149" i="41"/>
  <c r="D147" i="41"/>
  <c r="T144" i="42"/>
  <c r="V144" i="42"/>
  <c r="F74" i="39"/>
  <c r="J72" i="39"/>
  <c r="AR129" i="31"/>
  <c r="M174" i="59"/>
  <c r="G173" i="59"/>
  <c r="M173" i="59"/>
  <c r="F62" i="35"/>
  <c r="F54" i="35"/>
  <c r="J52" i="35"/>
  <c r="F42" i="31"/>
  <c r="T37" i="31"/>
  <c r="V37" i="31"/>
  <c r="L145" i="26"/>
  <c r="G142" i="26"/>
  <c r="K145" i="26"/>
  <c r="L144" i="26"/>
  <c r="D142" i="26"/>
  <c r="K144" i="26"/>
  <c r="F140" i="44"/>
  <c r="H137" i="44"/>
  <c r="H140" i="44" s="1"/>
  <c r="Y150" i="42"/>
  <c r="Y149" i="42"/>
  <c r="Z149" i="42"/>
  <c r="Z150" i="42"/>
  <c r="R147" i="42"/>
  <c r="V34" i="32"/>
  <c r="V35" i="32" s="1"/>
  <c r="X35" i="32" s="1"/>
  <c r="AB35" i="32" s="1"/>
  <c r="T34" i="32"/>
  <c r="T35" i="32" s="1"/>
  <c r="X34" i="32" s="1"/>
  <c r="AB34" i="32" s="1"/>
  <c r="G148" i="39"/>
  <c r="D148" i="39"/>
  <c r="F148" i="39" s="1"/>
  <c r="C147" i="39"/>
  <c r="H72" i="37"/>
  <c r="F142" i="32"/>
  <c r="Z145" i="44"/>
  <c r="Z144" i="44"/>
  <c r="R142" i="44"/>
  <c r="Y145" i="44"/>
  <c r="Y144" i="44"/>
  <c r="Z150" i="30"/>
  <c r="Z149" i="30"/>
  <c r="R147" i="30"/>
  <c r="Y150" i="30"/>
  <c r="Y149" i="30"/>
  <c r="X142" i="34"/>
  <c r="R144" i="34"/>
  <c r="AG50" i="34"/>
  <c r="T137" i="49"/>
  <c r="T140" i="49" s="1"/>
  <c r="X139" i="49" s="1"/>
  <c r="V137" i="49"/>
  <c r="V140" i="49" s="1"/>
  <c r="AG80" i="40"/>
  <c r="T165" i="59"/>
  <c r="T168" i="59" s="1"/>
  <c r="X167" i="59" s="1"/>
  <c r="AB167" i="59" s="1"/>
  <c r="V165" i="59"/>
  <c r="V168" i="59" s="1"/>
  <c r="AG63" i="36"/>
  <c r="H148" i="38"/>
  <c r="J37" i="32"/>
  <c r="Q147" i="34"/>
  <c r="Q149" i="34"/>
  <c r="F135" i="48"/>
  <c r="H132" i="48"/>
  <c r="H135" i="48" s="1"/>
  <c r="K149" i="42"/>
  <c r="K150" i="42"/>
  <c r="L150" i="42"/>
  <c r="G147" i="42"/>
  <c r="L149" i="42"/>
  <c r="D147" i="42"/>
  <c r="AE69" i="37"/>
  <c r="AG69" i="37" s="1"/>
  <c r="AE73" i="37"/>
  <c r="R68" i="37"/>
  <c r="D69" i="37"/>
  <c r="X5" i="8"/>
  <c r="AE54" i="34"/>
  <c r="AG54" i="34" s="1"/>
  <c r="AE58" i="34"/>
  <c r="D54" i="34"/>
  <c r="R53" i="34"/>
  <c r="D58" i="34"/>
  <c r="F58" i="34" s="1"/>
  <c r="H58" i="34" s="1"/>
  <c r="R57" i="34"/>
  <c r="D62" i="34"/>
  <c r="AK40" i="34"/>
  <c r="AM40" i="34" s="1"/>
  <c r="AS40" i="34" s="1"/>
  <c r="Z40" i="34"/>
  <c r="L45" i="34"/>
  <c r="L145" i="43"/>
  <c r="G142" i="43"/>
  <c r="K145" i="43"/>
  <c r="L144" i="43"/>
  <c r="D142" i="43"/>
  <c r="K144" i="43"/>
  <c r="K150" i="27"/>
  <c r="L149" i="27"/>
  <c r="D147" i="27"/>
  <c r="K149" i="27"/>
  <c r="L150" i="27"/>
  <c r="G147" i="27"/>
  <c r="F135" i="36"/>
  <c r="H132" i="36"/>
  <c r="H135" i="36" s="1"/>
  <c r="H4" i="4"/>
  <c r="I4" i="4" s="1"/>
  <c r="D4" i="4"/>
  <c r="V171" i="59"/>
  <c r="V174" i="59" s="1"/>
  <c r="T171" i="59"/>
  <c r="T174" i="59" s="1"/>
  <c r="X173" i="59" s="1"/>
  <c r="AB173" i="59" s="1"/>
  <c r="G7" i="9"/>
  <c r="T139" i="45"/>
  <c r="V139" i="45"/>
  <c r="J142" i="50"/>
  <c r="F142" i="50"/>
  <c r="AT11" i="61"/>
  <c r="AK14" i="68" s="1"/>
  <c r="B11" i="10"/>
  <c r="AP11" i="10"/>
  <c r="C19" i="43"/>
  <c r="AE104" i="43" s="1"/>
  <c r="AG104" i="43" s="1"/>
  <c r="AA10" i="12"/>
  <c r="F6" i="7"/>
  <c r="X135" i="43"/>
  <c r="AB135" i="43" s="1"/>
  <c r="AR135" i="43" s="1"/>
  <c r="V173" i="59"/>
  <c r="T173" i="59"/>
  <c r="F142" i="28"/>
  <c r="F142" i="34"/>
  <c r="X142" i="49"/>
  <c r="R144" i="49"/>
  <c r="H22" i="22"/>
  <c r="I22" i="22" s="1"/>
  <c r="D22" i="22"/>
  <c r="F22" i="22" s="1"/>
  <c r="G22" i="22" s="1"/>
  <c r="AI55" i="35"/>
  <c r="H149" i="50"/>
  <c r="M150" i="46"/>
  <c r="I150" i="46"/>
  <c r="G149" i="46"/>
  <c r="M149" i="46"/>
  <c r="I149" i="46"/>
  <c r="AE89" i="41"/>
  <c r="AG89" i="41" s="1"/>
  <c r="R88" i="41"/>
  <c r="AE93" i="41"/>
  <c r="D89" i="41"/>
  <c r="X135" i="45"/>
  <c r="AB135" i="45" s="1"/>
  <c r="AR134" i="45" s="1"/>
  <c r="V144" i="30"/>
  <c r="T144" i="30"/>
  <c r="R149" i="26"/>
  <c r="X147" i="26"/>
  <c r="AE59" i="35"/>
  <c r="AG59" i="35" s="1"/>
  <c r="R58" i="35"/>
  <c r="AE63" i="35"/>
  <c r="D59" i="35"/>
  <c r="R54" i="35"/>
  <c r="D63" i="35"/>
  <c r="F63" i="35" s="1"/>
  <c r="H63" i="35" s="1"/>
  <c r="R62" i="35"/>
  <c r="F137" i="45"/>
  <c r="V142" i="29"/>
  <c r="V145" i="29" s="1"/>
  <c r="T142" i="29"/>
  <c r="T145" i="29" s="1"/>
  <c r="X144" i="29" s="1"/>
  <c r="AB144" i="29" s="1"/>
  <c r="F137" i="26"/>
  <c r="X147" i="35"/>
  <c r="R149" i="35"/>
  <c r="R48" i="33"/>
  <c r="R44" i="33"/>
  <c r="AE49" i="33"/>
  <c r="AG49" i="33" s="1"/>
  <c r="AE53" i="33"/>
  <c r="D49" i="33"/>
  <c r="D57" i="33"/>
  <c r="R52" i="33"/>
  <c r="AV7" i="7"/>
  <c r="X142" i="27"/>
  <c r="R144" i="27"/>
  <c r="V139" i="31"/>
  <c r="T139" i="31"/>
  <c r="AZ5" i="61"/>
  <c r="B5" i="4"/>
  <c r="C25" i="49"/>
  <c r="AP5" i="4"/>
  <c r="Y4" i="4" s="1"/>
  <c r="H148" i="44"/>
  <c r="F137" i="37"/>
  <c r="Q147" i="37"/>
  <c r="Q149" i="37"/>
  <c r="AX7" i="61"/>
  <c r="B7" i="6"/>
  <c r="AP7" i="6"/>
  <c r="C23" i="47"/>
  <c r="F89" i="42"/>
  <c r="J87" i="42"/>
  <c r="V88" i="42"/>
  <c r="T88" i="42"/>
  <c r="AA10" i="11"/>
  <c r="AG10" i="11" s="1"/>
  <c r="AE64" i="36"/>
  <c r="AG64" i="36" s="1"/>
  <c r="R63" i="36"/>
  <c r="AE68" i="36"/>
  <c r="R59" i="36"/>
  <c r="D64" i="36"/>
  <c r="AU10" i="61"/>
  <c r="AL13" i="68" s="1"/>
  <c r="B10" i="9"/>
  <c r="AP10" i="9"/>
  <c r="C20" i="44"/>
  <c r="H47" i="33"/>
  <c r="H15" i="15"/>
  <c r="I15" i="15" s="1"/>
  <c r="D15" i="15"/>
  <c r="F15" i="15" s="1"/>
  <c r="G15" i="15" s="1"/>
  <c r="X7" i="10"/>
  <c r="T144" i="47"/>
  <c r="V144" i="47"/>
  <c r="H143" i="48"/>
  <c r="F135" i="26"/>
  <c r="H132" i="26"/>
  <c r="H135" i="26" s="1"/>
  <c r="M149" i="26"/>
  <c r="I149" i="26"/>
  <c r="M150" i="26"/>
  <c r="I150" i="26"/>
  <c r="G149" i="26"/>
  <c r="X147" i="38"/>
  <c r="R149" i="38"/>
  <c r="V137" i="28"/>
  <c r="V140" i="28" s="1"/>
  <c r="T137" i="28"/>
  <c r="T140" i="28" s="1"/>
  <c r="X139" i="28" s="1"/>
  <c r="AB139" i="28" s="1"/>
  <c r="H143" i="45"/>
  <c r="F135" i="43"/>
  <c r="H132" i="43"/>
  <c r="H135" i="43" s="1"/>
  <c r="H16" i="16"/>
  <c r="I16" i="16" s="1"/>
  <c r="D16" i="16"/>
  <c r="F16" i="16" s="1"/>
  <c r="G16" i="16" s="1"/>
  <c r="AR13" i="61"/>
  <c r="AP13" i="12"/>
  <c r="B13" i="12"/>
  <c r="C17" i="41"/>
  <c r="AE94" i="41" s="1"/>
  <c r="AG94" i="41" s="1"/>
  <c r="T144" i="29"/>
  <c r="V144" i="29"/>
  <c r="H148" i="28"/>
  <c r="H137" i="40"/>
  <c r="H140" i="40" s="1"/>
  <c r="F140" i="40"/>
  <c r="L150" i="32"/>
  <c r="G147" i="32"/>
  <c r="K150" i="32"/>
  <c r="L149" i="32"/>
  <c r="D147" i="32"/>
  <c r="K149" i="32"/>
  <c r="AG90" i="42"/>
  <c r="AF12" i="16"/>
  <c r="AF13" i="16" s="1"/>
  <c r="V142" i="35"/>
  <c r="V145" i="35" s="1"/>
  <c r="T142" i="35"/>
  <c r="T145" i="35" s="1"/>
  <c r="X144" i="35" s="1"/>
  <c r="AB144" i="35" s="1"/>
  <c r="D24" i="24"/>
  <c r="F24" i="24" s="1"/>
  <c r="G24" i="24" s="1"/>
  <c r="H24" i="24"/>
  <c r="I24" i="24" s="1"/>
  <c r="F40" i="59"/>
  <c r="H153" i="59"/>
  <c r="H156" i="59" s="1"/>
  <c r="F156" i="59"/>
  <c r="V44" i="34"/>
  <c r="V45" i="34" s="1"/>
  <c r="T44" i="34"/>
  <c r="T45" i="34" s="1"/>
  <c r="X44" i="34" s="1"/>
  <c r="X142" i="40"/>
  <c r="R144" i="40"/>
  <c r="H137" i="28"/>
  <c r="H140" i="28" s="1"/>
  <c r="F140" i="28"/>
  <c r="Q147" i="40"/>
  <c r="Q149" i="40"/>
  <c r="V137" i="43"/>
  <c r="V140" i="43" s="1"/>
  <c r="T137" i="43"/>
  <c r="T140" i="43" s="1"/>
  <c r="X139" i="43" s="1"/>
  <c r="AB139" i="43" s="1"/>
  <c r="T144" i="41"/>
  <c r="V144" i="41"/>
  <c r="H14" i="14"/>
  <c r="I14" i="14" s="1"/>
  <c r="D14" i="14"/>
  <c r="F14" i="14" s="1"/>
  <c r="G14" i="14" s="1"/>
  <c r="D39" i="31"/>
  <c r="F39" i="31" s="1"/>
  <c r="H39" i="31" s="1"/>
  <c r="R38" i="31"/>
  <c r="R34" i="31"/>
  <c r="AE43" i="31"/>
  <c r="AE39" i="31"/>
  <c r="AG39" i="31" s="1"/>
  <c r="D43" i="31"/>
  <c r="F43" i="31" s="1"/>
  <c r="H43" i="31" s="1"/>
  <c r="R42" i="31"/>
  <c r="D47" i="31"/>
  <c r="F140" i="31"/>
  <c r="H137" i="31"/>
  <c r="H140" i="31" s="1"/>
  <c r="X147" i="47"/>
  <c r="R149" i="47"/>
  <c r="X147" i="29"/>
  <c r="R149" i="29"/>
  <c r="H143" i="36"/>
  <c r="H143" i="30"/>
  <c r="AS12" i="61"/>
  <c r="AJ15" i="68" s="1"/>
  <c r="B12" i="11"/>
  <c r="AP12" i="11"/>
  <c r="C18" i="42"/>
  <c r="M149" i="43"/>
  <c r="I149" i="43"/>
  <c r="M150" i="43"/>
  <c r="I150" i="43"/>
  <c r="G149" i="43"/>
  <c r="V72" i="37"/>
  <c r="T72" i="37"/>
  <c r="T63" i="37"/>
  <c r="V63" i="37"/>
  <c r="Z145" i="37"/>
  <c r="Z144" i="37"/>
  <c r="R142" i="37"/>
  <c r="Y145" i="37"/>
  <c r="Y144" i="37"/>
  <c r="AF15" i="19"/>
  <c r="Q147" i="39"/>
  <c r="Q149" i="39"/>
  <c r="G148" i="30"/>
  <c r="D148" i="30"/>
  <c r="F148" i="30" s="1"/>
  <c r="C147" i="30"/>
  <c r="AF4" i="7"/>
  <c r="AF5" i="7" s="1"/>
  <c r="V74" i="40"/>
  <c r="V75" i="40" s="1"/>
  <c r="T74" i="40"/>
  <c r="T75" i="40" s="1"/>
  <c r="X74" i="40" s="1"/>
  <c r="V139" i="37"/>
  <c r="T139" i="37"/>
  <c r="V139" i="28"/>
  <c r="T139" i="28"/>
  <c r="H148" i="31"/>
  <c r="V73" i="39"/>
  <c r="T73" i="39"/>
  <c r="Y11" i="12"/>
  <c r="AV8" i="8"/>
  <c r="F69" i="38"/>
  <c r="J67" i="38"/>
  <c r="V57" i="35"/>
  <c r="T57" i="35"/>
  <c r="T144" i="35"/>
  <c r="V144" i="35"/>
  <c r="F38" i="31"/>
  <c r="AG38" i="31"/>
  <c r="F47" i="32"/>
  <c r="AG43" i="32"/>
  <c r="L145" i="39"/>
  <c r="G142" i="39"/>
  <c r="K144" i="39"/>
  <c r="D142" i="39"/>
  <c r="K145" i="39"/>
  <c r="L144" i="39"/>
  <c r="AG48" i="33"/>
  <c r="I150" i="39"/>
  <c r="I149" i="39"/>
  <c r="M150" i="39"/>
  <c r="M149" i="39"/>
  <c r="G149" i="39"/>
  <c r="X142" i="44"/>
  <c r="R144" i="44"/>
  <c r="R149" i="30"/>
  <c r="X147" i="30"/>
  <c r="F142" i="31"/>
  <c r="Z145" i="34"/>
  <c r="Z144" i="34"/>
  <c r="R142" i="34"/>
  <c r="Y145" i="34"/>
  <c r="Y144" i="34"/>
  <c r="AE50" i="34"/>
  <c r="AI49" i="34" s="1"/>
  <c r="AE80" i="40"/>
  <c r="AI79" i="40" s="1"/>
  <c r="F140" i="33"/>
  <c r="H137" i="33"/>
  <c r="H140" i="33" s="1"/>
  <c r="H38" i="32"/>
  <c r="H40" i="32" s="1"/>
  <c r="F40" i="32"/>
  <c r="Z145" i="33"/>
  <c r="Z144" i="33"/>
  <c r="R142" i="33"/>
  <c r="Y145" i="33"/>
  <c r="Y144" i="33"/>
  <c r="G148" i="48"/>
  <c r="D148" i="48"/>
  <c r="F148" i="48" s="1"/>
  <c r="C147" i="48"/>
  <c r="G4" i="6"/>
  <c r="AV17" i="17"/>
  <c r="H20" i="20"/>
  <c r="I20" i="20" s="1"/>
  <c r="D20" i="20"/>
  <c r="F20" i="20" s="1"/>
  <c r="G20" i="20" s="1"/>
  <c r="G11" i="13"/>
  <c r="AR39" i="36"/>
  <c r="AT39" i="36" s="1"/>
  <c r="D6" i="36" s="1"/>
  <c r="AG15" i="17"/>
  <c r="AR135" i="35"/>
  <c r="AR134" i="35"/>
  <c r="AV10" i="10"/>
  <c r="AH23" i="61"/>
  <c r="Y26" i="68" s="1"/>
  <c r="AP23" i="22"/>
  <c r="C7" i="31"/>
  <c r="C7" i="59"/>
  <c r="B23" i="22"/>
  <c r="X147" i="41"/>
  <c r="R149" i="41"/>
  <c r="F142" i="38"/>
  <c r="AV19" i="19"/>
  <c r="AF14" i="17"/>
  <c r="Q149" i="49"/>
  <c r="Q147" i="49"/>
  <c r="L149" i="50"/>
  <c r="D147" i="50"/>
  <c r="K149" i="50"/>
  <c r="L150" i="50"/>
  <c r="G147" i="50"/>
  <c r="K150" i="50"/>
  <c r="AV6" i="6"/>
  <c r="AG93" i="42"/>
  <c r="AG95" i="42" s="1"/>
  <c r="AE95" i="42"/>
  <c r="AI94" i="42" s="1"/>
  <c r="Q147" i="45"/>
  <c r="Q149" i="45"/>
  <c r="AV18" i="18"/>
  <c r="R144" i="39"/>
  <c r="X142" i="39"/>
  <c r="V142" i="30"/>
  <c r="V145" i="30" s="1"/>
  <c r="T142" i="30"/>
  <c r="T145" i="30" s="1"/>
  <c r="X144" i="30" s="1"/>
  <c r="AB144" i="30" s="1"/>
  <c r="H9" i="9"/>
  <c r="I9" i="9" s="1"/>
  <c r="D9" i="9"/>
  <c r="AE79" i="39"/>
  <c r="AG79" i="39" s="1"/>
  <c r="AE83" i="39"/>
  <c r="R78" i="39"/>
  <c r="D79" i="39"/>
  <c r="F79" i="39" s="1"/>
  <c r="H79" i="39" s="1"/>
  <c r="R74" i="39"/>
  <c r="AG7" i="10"/>
  <c r="V137" i="37"/>
  <c r="V140" i="37" s="1"/>
  <c r="T137" i="37"/>
  <c r="T140" i="37" s="1"/>
  <c r="X139" i="37" s="1"/>
  <c r="AB139" i="37" s="1"/>
  <c r="Y150" i="38"/>
  <c r="Y149" i="38"/>
  <c r="Z150" i="38"/>
  <c r="Z149" i="38"/>
  <c r="R147" i="38"/>
  <c r="V139" i="50"/>
  <c r="T139" i="50"/>
  <c r="J94" i="43"/>
  <c r="N94" i="43" s="1"/>
  <c r="AQ94" i="43" s="1"/>
  <c r="T137" i="27"/>
  <c r="T140" i="27" s="1"/>
  <c r="X139" i="27" s="1"/>
  <c r="AB139" i="27" s="1"/>
  <c r="V137" i="27"/>
  <c r="V140" i="27" s="1"/>
  <c r="R64" i="38"/>
  <c r="AE74" i="38"/>
  <c r="AG74" i="38" s="1"/>
  <c r="R73" i="38"/>
  <c r="AE78" i="38"/>
  <c r="D74" i="38"/>
  <c r="D78" i="38"/>
  <c r="X142" i="46"/>
  <c r="R144" i="46"/>
  <c r="X142" i="45"/>
  <c r="R144" i="45"/>
  <c r="L168" i="59"/>
  <c r="K167" i="59"/>
  <c r="K168" i="59"/>
  <c r="D165" i="59"/>
  <c r="I167" i="59"/>
  <c r="I168" i="59"/>
  <c r="L167" i="59"/>
  <c r="G165" i="59"/>
  <c r="V139" i="39"/>
  <c r="T139" i="39"/>
  <c r="T142" i="36"/>
  <c r="T145" i="36" s="1"/>
  <c r="X144" i="36" s="1"/>
  <c r="AB144" i="36" s="1"/>
  <c r="V142" i="36"/>
  <c r="V145" i="36" s="1"/>
  <c r="AF25" i="61"/>
  <c r="W28" i="68" s="1"/>
  <c r="AP25" i="24"/>
  <c r="B25" i="24"/>
  <c r="C5" i="29"/>
  <c r="V39" i="59"/>
  <c r="T39" i="59"/>
  <c r="AG85" i="41"/>
  <c r="F57" i="34"/>
  <c r="T48" i="34"/>
  <c r="T50" i="34" s="1"/>
  <c r="X49" i="34" s="1"/>
  <c r="V48" i="34"/>
  <c r="Z145" i="40"/>
  <c r="Z144" i="40"/>
  <c r="R142" i="40"/>
  <c r="Y145" i="40"/>
  <c r="Y144" i="40"/>
  <c r="L149" i="40"/>
  <c r="D147" i="40"/>
  <c r="K149" i="40"/>
  <c r="L150" i="40"/>
  <c r="G147" i="40"/>
  <c r="K150" i="40"/>
  <c r="T137" i="31"/>
  <c r="T140" i="31" s="1"/>
  <c r="X139" i="31" s="1"/>
  <c r="AB139" i="31" s="1"/>
  <c r="V137" i="31"/>
  <c r="V140" i="31" s="1"/>
  <c r="AV14" i="14"/>
  <c r="H23" i="23"/>
  <c r="I23" i="23" s="1"/>
  <c r="D23" i="23"/>
  <c r="F23" i="23" s="1"/>
  <c r="G23" i="23" s="1"/>
  <c r="Y150" i="47"/>
  <c r="Y149" i="47"/>
  <c r="Z150" i="47"/>
  <c r="Z149" i="47"/>
  <c r="R147" i="47"/>
  <c r="Y150" i="29"/>
  <c r="Y149" i="29"/>
  <c r="Z150" i="29"/>
  <c r="Z149" i="29"/>
  <c r="R147" i="29"/>
  <c r="D148" i="37"/>
  <c r="F148" i="37" s="1"/>
  <c r="C147" i="37"/>
  <c r="G148" i="37"/>
  <c r="V137" i="46"/>
  <c r="V140" i="46" s="1"/>
  <c r="T137" i="46"/>
  <c r="T140" i="46" s="1"/>
  <c r="X139" i="46" s="1"/>
  <c r="AB139" i="46" s="1"/>
  <c r="H11" i="11"/>
  <c r="I11" i="11" s="1"/>
  <c r="D11" i="11"/>
  <c r="F11" i="11" s="1"/>
  <c r="G11" i="11" s="1"/>
  <c r="AG68" i="37"/>
  <c r="M149" i="30"/>
  <c r="I149" i="30"/>
  <c r="M150" i="30"/>
  <c r="I150" i="30"/>
  <c r="G149" i="30"/>
  <c r="T78" i="40"/>
  <c r="V78" i="40"/>
  <c r="F142" i="47"/>
  <c r="V64" i="39"/>
  <c r="V65" i="39" s="1"/>
  <c r="T64" i="39"/>
  <c r="T65" i="39" s="1"/>
  <c r="X64" i="39" s="1"/>
  <c r="F135" i="30"/>
  <c r="H132" i="30"/>
  <c r="H135" i="30" s="1"/>
  <c r="V142" i="48"/>
  <c r="V145" i="48" s="1"/>
  <c r="T142" i="48"/>
  <c r="T145" i="48" s="1"/>
  <c r="X144" i="48" s="1"/>
  <c r="AB144" i="48" s="1"/>
  <c r="AV9" i="61"/>
  <c r="AM12" i="68" s="1"/>
  <c r="B9" i="8"/>
  <c r="AP9" i="8"/>
  <c r="C21" i="45"/>
  <c r="T148" i="50"/>
  <c r="V148" i="50"/>
  <c r="AG73" i="38"/>
  <c r="H132" i="45"/>
  <c r="H135" i="45" s="1"/>
  <c r="F135" i="45"/>
  <c r="V53" i="35"/>
  <c r="T53" i="35"/>
  <c r="X13" i="16"/>
  <c r="V33" i="31"/>
  <c r="T33" i="31"/>
  <c r="F137" i="46"/>
  <c r="F135" i="39"/>
  <c r="H132" i="39"/>
  <c r="H135" i="39" s="1"/>
  <c r="V42" i="32"/>
  <c r="T42" i="32"/>
  <c r="V38" i="32"/>
  <c r="T38" i="32"/>
  <c r="H143" i="39"/>
  <c r="Y5" i="6"/>
  <c r="V139" i="46"/>
  <c r="T139" i="46"/>
  <c r="Y12" i="13"/>
  <c r="H137" i="38"/>
  <c r="H140" i="38" s="1"/>
  <c r="F140" i="38"/>
  <c r="J77" i="40"/>
  <c r="M150" i="45"/>
  <c r="I150" i="45"/>
  <c r="G149" i="45"/>
  <c r="M149" i="45"/>
  <c r="I149" i="45"/>
  <c r="V54" i="36"/>
  <c r="V55" i="36" s="1"/>
  <c r="T54" i="36"/>
  <c r="T55" i="36" s="1"/>
  <c r="X54" i="36" s="1"/>
  <c r="K149" i="38"/>
  <c r="L150" i="38"/>
  <c r="G147" i="38"/>
  <c r="K150" i="38"/>
  <c r="L149" i="38"/>
  <c r="D147" i="38"/>
  <c r="X142" i="33"/>
  <c r="R144" i="33"/>
  <c r="M149" i="48"/>
  <c r="I149" i="48"/>
  <c r="D149" i="48"/>
  <c r="F149" i="48" s="1"/>
  <c r="M150" i="48"/>
  <c r="I150" i="48"/>
  <c r="G149" i="48"/>
  <c r="H148" i="42"/>
  <c r="Z145" i="31"/>
  <c r="Z144" i="31"/>
  <c r="R142" i="31"/>
  <c r="Y145" i="31"/>
  <c r="Y144" i="31"/>
  <c r="H17" i="17"/>
  <c r="I17" i="17" s="1"/>
  <c r="D17" i="17"/>
  <c r="F17" i="17" s="1"/>
  <c r="G17" i="17" s="1"/>
  <c r="F140" i="27"/>
  <c r="H137" i="27"/>
  <c r="H140" i="27" s="1"/>
  <c r="AV20" i="20"/>
  <c r="AR134" i="48"/>
  <c r="F142" i="41"/>
  <c r="AV5" i="5"/>
  <c r="H137" i="50"/>
  <c r="H140" i="50" s="1"/>
  <c r="J140" i="50" s="1"/>
  <c r="N140" i="50" s="1"/>
  <c r="AQ140" i="50" s="1"/>
  <c r="F140" i="50"/>
  <c r="J139" i="50" s="1"/>
  <c r="N139" i="50" s="1"/>
  <c r="AQ139" i="50" s="1"/>
  <c r="H13" i="13"/>
  <c r="I13" i="13" s="1"/>
  <c r="D13" i="13"/>
  <c r="F13" i="13" s="1"/>
  <c r="G13" i="13" s="1"/>
  <c r="H74" i="40"/>
  <c r="H75" i="40" s="1"/>
  <c r="J75" i="40" s="1"/>
  <c r="F75" i="40"/>
  <c r="J74" i="40" s="1"/>
  <c r="T137" i="33"/>
  <c r="T140" i="33" s="1"/>
  <c r="X139" i="33" s="1"/>
  <c r="AB139" i="33" s="1"/>
  <c r="V137" i="33"/>
  <c r="V140" i="33" s="1"/>
  <c r="L144" i="37"/>
  <c r="D142" i="37"/>
  <c r="K144" i="37"/>
  <c r="L145" i="37"/>
  <c r="G142" i="37"/>
  <c r="K145" i="37"/>
  <c r="T137" i="44"/>
  <c r="T140" i="44" s="1"/>
  <c r="X139" i="44" s="1"/>
  <c r="AB139" i="44" s="1"/>
  <c r="V137" i="44"/>
  <c r="V140" i="44" s="1"/>
  <c r="Y150" i="35"/>
  <c r="Y149" i="35"/>
  <c r="Z150" i="35"/>
  <c r="Z149" i="35"/>
  <c r="R147" i="35"/>
  <c r="F137" i="39"/>
  <c r="H10" i="10"/>
  <c r="I10" i="10" s="1"/>
  <c r="D10" i="10"/>
  <c r="H132" i="37"/>
  <c r="H135" i="37" s="1"/>
  <c r="F135" i="37"/>
  <c r="AF15" i="53"/>
  <c r="F142" i="49"/>
  <c r="X140" i="26"/>
  <c r="AB140" i="26" s="1"/>
  <c r="AR140" i="26" s="1"/>
  <c r="H5" i="5"/>
  <c r="I5" i="5" s="1"/>
  <c r="D5" i="5"/>
  <c r="F5" i="5" s="1"/>
  <c r="G5" i="5" s="1"/>
  <c r="J49" i="35"/>
  <c r="J50" i="35"/>
  <c r="F84" i="41"/>
  <c r="J82" i="41"/>
  <c r="AF11" i="14"/>
  <c r="AF12" i="14" s="1"/>
  <c r="L149" i="34"/>
  <c r="D147" i="34"/>
  <c r="K149" i="34"/>
  <c r="L150" i="34"/>
  <c r="G147" i="34"/>
  <c r="K150" i="34"/>
  <c r="T137" i="45"/>
  <c r="T140" i="45" s="1"/>
  <c r="X139" i="45" s="1"/>
  <c r="AB139" i="45" s="1"/>
  <c r="V137" i="45"/>
  <c r="V140" i="45" s="1"/>
  <c r="AV22" i="22"/>
  <c r="X147" i="36"/>
  <c r="R149" i="36"/>
  <c r="M149" i="36"/>
  <c r="I149" i="36"/>
  <c r="M150" i="36"/>
  <c r="I150" i="36"/>
  <c r="G149" i="36"/>
  <c r="Y150" i="41"/>
  <c r="Y149" i="41"/>
  <c r="Z150" i="41"/>
  <c r="Z149" i="41"/>
  <c r="R147" i="41"/>
  <c r="Q147" i="28"/>
  <c r="Q149" i="28"/>
  <c r="AQ14" i="61"/>
  <c r="AH17" i="68" s="1"/>
  <c r="B14" i="13"/>
  <c r="AP14" i="13"/>
  <c r="C16" i="40"/>
  <c r="V137" i="40"/>
  <c r="V140" i="40" s="1"/>
  <c r="T137" i="40"/>
  <c r="T140" i="40" s="1"/>
  <c r="X139" i="40" s="1"/>
  <c r="AB139" i="40" s="1"/>
  <c r="X135" i="34"/>
  <c r="AB135" i="34" s="1"/>
  <c r="AR135" i="34" s="1"/>
  <c r="Z145" i="50"/>
  <c r="Z144" i="50"/>
  <c r="R142" i="50"/>
  <c r="Y145" i="50"/>
  <c r="Y144" i="50"/>
  <c r="T142" i="47"/>
  <c r="T145" i="47" s="1"/>
  <c r="X144" i="47" s="1"/>
  <c r="AB144" i="47" s="1"/>
  <c r="V142" i="47"/>
  <c r="V145" i="47" s="1"/>
  <c r="F142" i="44"/>
  <c r="V137" i="50"/>
  <c r="V140" i="50" s="1"/>
  <c r="T137" i="50"/>
  <c r="T140" i="50" s="1"/>
  <c r="X139" i="50" s="1"/>
  <c r="AB139" i="50" s="1"/>
  <c r="D19" i="53"/>
  <c r="F19" i="53" s="1"/>
  <c r="G19" i="53" s="1"/>
  <c r="H19" i="53"/>
  <c r="I19" i="53" s="1"/>
  <c r="H19" i="19"/>
  <c r="I19" i="19" s="1"/>
  <c r="D19" i="19"/>
  <c r="F19" i="19" s="1"/>
  <c r="G19" i="19" s="1"/>
  <c r="X7" i="9"/>
  <c r="H137" i="42"/>
  <c r="H140" i="42" s="1"/>
  <c r="F140" i="42"/>
  <c r="F11" i="12"/>
  <c r="V137" i="39"/>
  <c r="V140" i="39" s="1"/>
  <c r="T137" i="39"/>
  <c r="T140" i="39" s="1"/>
  <c r="X139" i="39" s="1"/>
  <c r="AB139" i="39" s="1"/>
  <c r="T144" i="36"/>
  <c r="V144" i="36"/>
  <c r="AF5" i="9"/>
  <c r="AF6" i="9" s="1"/>
  <c r="AF7" i="9" s="1"/>
  <c r="F142" i="29"/>
  <c r="AI22" i="61"/>
  <c r="Z25" i="68" s="1"/>
  <c r="C8" i="32"/>
  <c r="B22" i="21"/>
  <c r="AP22" i="21"/>
  <c r="J64" i="38"/>
  <c r="J65" i="38"/>
  <c r="H137" i="41"/>
  <c r="H140" i="41" s="1"/>
  <c r="F140" i="41"/>
  <c r="V142" i="41"/>
  <c r="V145" i="41" s="1"/>
  <c r="T142" i="41"/>
  <c r="T145" i="41" s="1"/>
  <c r="X144" i="41" s="1"/>
  <c r="AB144" i="41" s="1"/>
  <c r="AV4" i="4"/>
  <c r="J60" i="37"/>
  <c r="J59" i="37"/>
  <c r="H6" i="6"/>
  <c r="I6" i="6" s="1"/>
  <c r="D6" i="6"/>
  <c r="F6" i="6" s="1"/>
  <c r="G6" i="6" s="1"/>
  <c r="AL19" i="61"/>
  <c r="AC22" i="68" s="1"/>
  <c r="B19" i="18"/>
  <c r="C11" i="35"/>
  <c r="D72" i="35" s="1"/>
  <c r="AP19" i="18"/>
  <c r="Y145" i="39"/>
  <c r="Z144" i="39"/>
  <c r="Z145" i="39"/>
  <c r="Y144" i="39"/>
  <c r="R142" i="39"/>
  <c r="AV15" i="15"/>
  <c r="Y15" i="15"/>
  <c r="X14" i="15" s="1"/>
  <c r="AF10" i="13"/>
  <c r="F140" i="49"/>
  <c r="H137" i="49"/>
  <c r="H140" i="49" s="1"/>
  <c r="K144" i="45"/>
  <c r="L145" i="45"/>
  <c r="K145" i="45"/>
  <c r="L144" i="45"/>
  <c r="G142" i="45"/>
  <c r="D142" i="45"/>
  <c r="AF8" i="12"/>
  <c r="AF9" i="12" s="1"/>
  <c r="H77" i="38"/>
  <c r="F137" i="43"/>
  <c r="F137" i="48"/>
  <c r="T142" i="42"/>
  <c r="T145" i="42" s="1"/>
  <c r="X144" i="42" s="1"/>
  <c r="AB144" i="42" s="1"/>
  <c r="V142" i="42"/>
  <c r="V145" i="42" s="1"/>
  <c r="AV16" i="16"/>
  <c r="H12" i="12"/>
  <c r="I12" i="12" s="1"/>
  <c r="D12" i="12"/>
  <c r="F12" i="12" s="1"/>
  <c r="G12" i="12" s="1"/>
  <c r="Z145" i="46"/>
  <c r="Z144" i="46"/>
  <c r="R142" i="46"/>
  <c r="Y145" i="46"/>
  <c r="Y144" i="46"/>
  <c r="Y145" i="45"/>
  <c r="Y144" i="45"/>
  <c r="Z144" i="45"/>
  <c r="Z145" i="45"/>
  <c r="R142" i="45"/>
  <c r="X142" i="28"/>
  <c r="R144" i="28"/>
  <c r="AV24" i="24"/>
  <c r="F45" i="59"/>
  <c r="AE35" i="59"/>
  <c r="AI35" i="59"/>
  <c r="AI36" i="59" s="1"/>
  <c r="AG36" i="59"/>
  <c r="M34" i="59" s="1"/>
  <c r="AO35" i="59" s="1"/>
  <c r="AU35" i="59" s="1"/>
  <c r="AE85" i="41"/>
  <c r="AI84" i="41" s="1"/>
  <c r="V52" i="34"/>
  <c r="T52" i="34"/>
  <c r="AG53" i="34"/>
  <c r="Z145" i="43"/>
  <c r="Z144" i="43"/>
  <c r="R142" i="43"/>
  <c r="Y145" i="43"/>
  <c r="Y144" i="43"/>
  <c r="F4" i="5"/>
  <c r="AP15" i="61"/>
  <c r="AG18" i="68" s="1"/>
  <c r="AP15" i="14"/>
  <c r="C15" i="39"/>
  <c r="B15" i="14"/>
  <c r="F159" i="59"/>
  <c r="AV23" i="23"/>
  <c r="AG24" i="61"/>
  <c r="X27" i="68" s="1"/>
  <c r="B24" i="23"/>
  <c r="AP24" i="23"/>
  <c r="C6" i="30"/>
  <c r="AH3" i="30" s="1"/>
  <c r="V142" i="26"/>
  <c r="V145" i="26" s="1"/>
  <c r="T142" i="26"/>
  <c r="T145" i="26" s="1"/>
  <c r="X144" i="26" s="1"/>
  <c r="AB144" i="26" s="1"/>
  <c r="K145" i="36"/>
  <c r="K144" i="36"/>
  <c r="L145" i="36"/>
  <c r="G142" i="36"/>
  <c r="L144" i="36"/>
  <c r="D142" i="36"/>
  <c r="M150" i="37"/>
  <c r="I150" i="37"/>
  <c r="G149" i="37"/>
  <c r="M149" i="37"/>
  <c r="I149" i="37"/>
  <c r="Q147" i="46"/>
  <c r="Q149" i="46"/>
  <c r="H137" i="32"/>
  <c r="H140" i="32" s="1"/>
  <c r="F140" i="32"/>
  <c r="V139" i="49"/>
  <c r="T139" i="49"/>
  <c r="Q149" i="27"/>
  <c r="Q147" i="27"/>
  <c r="Z150" i="48"/>
  <c r="Z149" i="48"/>
  <c r="R147" i="48"/>
  <c r="Y150" i="48"/>
  <c r="Y149" i="48"/>
  <c r="F142" i="33"/>
  <c r="F78" i="39"/>
  <c r="AG78" i="39"/>
  <c r="H8" i="8"/>
  <c r="I8" i="8" s="1"/>
  <c r="D8" i="8"/>
  <c r="V68" i="38"/>
  <c r="T68" i="38"/>
  <c r="G172" i="59"/>
  <c r="D172" i="59"/>
  <c r="F172" i="59" s="1"/>
  <c r="C171" i="59"/>
  <c r="K149" i="29"/>
  <c r="L150" i="29"/>
  <c r="G147" i="29"/>
  <c r="K150" i="29"/>
  <c r="L149" i="29"/>
  <c r="D147" i="29"/>
  <c r="AG58" i="35"/>
  <c r="AG34" i="31"/>
  <c r="AG35" i="31" s="1"/>
  <c r="AE35" i="31"/>
  <c r="AI34" i="31" s="1"/>
  <c r="AM34" i="31" s="1"/>
  <c r="AS34" i="31" s="1"/>
  <c r="K150" i="33"/>
  <c r="L149" i="33"/>
  <c r="D147" i="33"/>
  <c r="K149" i="33"/>
  <c r="L150" i="33"/>
  <c r="G147" i="33"/>
  <c r="V137" i="34"/>
  <c r="V140" i="34" s="1"/>
  <c r="T137" i="34"/>
  <c r="T140" i="34" s="1"/>
  <c r="X139" i="34" s="1"/>
  <c r="AB139" i="34" s="1"/>
  <c r="Y4" i="5"/>
  <c r="X147" i="42"/>
  <c r="R149" i="42"/>
  <c r="K150" i="49"/>
  <c r="L149" i="49"/>
  <c r="D147" i="49"/>
  <c r="K149" i="49"/>
  <c r="L150" i="49"/>
  <c r="G147" i="49"/>
  <c r="Q149" i="33"/>
  <c r="Q147" i="33"/>
  <c r="V43" i="33"/>
  <c r="T43" i="33"/>
  <c r="V142" i="38"/>
  <c r="V145" i="38" s="1"/>
  <c r="T142" i="38"/>
  <c r="T145" i="38" s="1"/>
  <c r="X144" i="38" s="1"/>
  <c r="AB144" i="38" s="1"/>
  <c r="L144" i="46"/>
  <c r="D142" i="46"/>
  <c r="K144" i="46"/>
  <c r="L145" i="46"/>
  <c r="G142" i="46"/>
  <c r="K145" i="46"/>
  <c r="K149" i="35"/>
  <c r="L150" i="35"/>
  <c r="G147" i="35"/>
  <c r="K150" i="35"/>
  <c r="L149" i="35"/>
  <c r="D147" i="35"/>
  <c r="X55" i="37"/>
  <c r="H62" i="36"/>
  <c r="H44" i="34"/>
  <c r="H45" i="34" s="1"/>
  <c r="J45" i="34" s="1"/>
  <c r="F45" i="34"/>
  <c r="J44" i="34" s="1"/>
  <c r="F142" i="42"/>
  <c r="H78" i="40"/>
  <c r="H80" i="40" s="1"/>
  <c r="F80" i="40"/>
  <c r="V139" i="33"/>
  <c r="T139" i="33"/>
  <c r="C147" i="45"/>
  <c r="G148" i="45"/>
  <c r="D148" i="45"/>
  <c r="F148" i="45" s="1"/>
  <c r="AI90" i="43"/>
  <c r="V62" i="36"/>
  <c r="T62" i="36"/>
  <c r="V58" i="36"/>
  <c r="T58" i="36"/>
  <c r="Q149" i="31"/>
  <c r="Q147" i="31"/>
  <c r="F142" i="40"/>
  <c r="H42" i="32"/>
  <c r="H45" i="32" s="1"/>
  <c r="AG15" i="18"/>
  <c r="Y7" i="8"/>
  <c r="V139" i="44"/>
  <c r="T139" i="44"/>
  <c r="X142" i="31"/>
  <c r="R144" i="31"/>
  <c r="J85" i="42"/>
  <c r="AM18" i="61"/>
  <c r="AD21" i="68" s="1"/>
  <c r="B18" i="17"/>
  <c r="AP18" i="17"/>
  <c r="C12" i="36"/>
  <c r="D73" i="36" s="1"/>
  <c r="F73" i="36" s="1"/>
  <c r="H73" i="36" s="1"/>
  <c r="AG5" i="8"/>
  <c r="AJ21" i="61"/>
  <c r="AA24" i="68" s="1"/>
  <c r="C9" i="33"/>
  <c r="R49" i="33" s="1"/>
  <c r="AP21" i="20"/>
  <c r="B21" i="20"/>
  <c r="AK39" i="34"/>
  <c r="AM39" i="34" s="1"/>
  <c r="AS39" i="34" s="1"/>
  <c r="Z39" i="34"/>
  <c r="AB39" i="34" s="1"/>
  <c r="L44" i="34"/>
  <c r="DA98" i="61" l="1"/>
  <c r="AS6" i="68"/>
  <c r="D155" i="66"/>
  <c r="AI16" i="68"/>
  <c r="CZ99" i="61"/>
  <c r="AR7" i="68"/>
  <c r="EX130" i="61"/>
  <c r="GI130" i="61" s="1"/>
  <c r="O9" i="64" s="1"/>
  <c r="AO10" i="68"/>
  <c r="CY100" i="61"/>
  <c r="AQ8" i="68"/>
  <c r="J42" i="32"/>
  <c r="AP59" i="43"/>
  <c r="AP34" i="43"/>
  <c r="AT34" i="43" s="1"/>
  <c r="D5" i="43" s="1"/>
  <c r="AP60" i="43"/>
  <c r="AP35" i="43"/>
  <c r="AT35" i="43" s="1"/>
  <c r="E5" i="43" s="1"/>
  <c r="T20" i="30"/>
  <c r="X20" i="30" s="1"/>
  <c r="J15" i="30"/>
  <c r="V8" i="30"/>
  <c r="X8" i="30" s="1"/>
  <c r="J22" i="30"/>
  <c r="T13" i="30"/>
  <c r="V13" i="30" s="1"/>
  <c r="T2" i="30"/>
  <c r="AK59" i="39"/>
  <c r="AM59" i="39" s="1"/>
  <c r="AS59" i="39" s="1"/>
  <c r="V39" i="33"/>
  <c r="V40" i="33" s="1"/>
  <c r="V148" i="49"/>
  <c r="J64" i="37"/>
  <c r="T103" i="44"/>
  <c r="V8" i="29"/>
  <c r="J15" i="29"/>
  <c r="J22" i="29"/>
  <c r="T2" i="29"/>
  <c r="T13" i="29"/>
  <c r="X13" i="30"/>
  <c r="AJ3" i="30"/>
  <c r="AR59" i="42"/>
  <c r="F45" i="32"/>
  <c r="AI115" i="47"/>
  <c r="AI40" i="32"/>
  <c r="AE45" i="32"/>
  <c r="AI44" i="32" s="1"/>
  <c r="N60" i="37"/>
  <c r="AQ60" i="37" s="1"/>
  <c r="V50" i="34"/>
  <c r="X50" i="34" s="1"/>
  <c r="D212" i="66"/>
  <c r="B212" i="66" s="1"/>
  <c r="J102" i="44"/>
  <c r="AT69" i="44"/>
  <c r="AI120" i="48"/>
  <c r="A156" i="66"/>
  <c r="AB55" i="37"/>
  <c r="L64" i="39"/>
  <c r="N64" i="39" s="1"/>
  <c r="AQ64" i="39" s="1"/>
  <c r="J142" i="49"/>
  <c r="AG55" i="34"/>
  <c r="AE120" i="47"/>
  <c r="AI119" i="47" s="1"/>
  <c r="AE55" i="34"/>
  <c r="AI54" i="34" s="1"/>
  <c r="J65" i="37"/>
  <c r="AI75" i="39"/>
  <c r="J50" i="34"/>
  <c r="J59" i="36"/>
  <c r="AG120" i="47"/>
  <c r="AR39" i="35"/>
  <c r="AT39" i="35" s="1"/>
  <c r="D6" i="35" s="1"/>
  <c r="L54" i="35" s="1"/>
  <c r="CX101" i="61"/>
  <c r="V84" i="41"/>
  <c r="AI125" i="49"/>
  <c r="A244" i="66"/>
  <c r="D157" i="66"/>
  <c r="B157" i="66" s="1"/>
  <c r="J135" i="50"/>
  <c r="N135" i="50" s="1"/>
  <c r="AQ135" i="50" s="1"/>
  <c r="L8" i="42"/>
  <c r="AP59" i="42" s="1"/>
  <c r="AT59" i="42" s="1"/>
  <c r="D10" i="42" s="1"/>
  <c r="L278" i="66"/>
  <c r="I278" i="66" s="1"/>
  <c r="L242" i="66"/>
  <c r="J217" i="66"/>
  <c r="B217" i="65" s="1"/>
  <c r="I217" i="66"/>
  <c r="D217" i="65"/>
  <c r="A217" i="65" s="1"/>
  <c r="I157" i="66"/>
  <c r="D157" i="65"/>
  <c r="A157" i="65" s="1"/>
  <c r="J157" i="66"/>
  <c r="B157" i="65" s="1"/>
  <c r="D194" i="66"/>
  <c r="B194" i="66" s="1"/>
  <c r="L182" i="66"/>
  <c r="A212" i="66"/>
  <c r="D324" i="66"/>
  <c r="A324" i="66" s="1"/>
  <c r="L302" i="66"/>
  <c r="B145" i="66"/>
  <c r="A145" i="66"/>
  <c r="L194" i="66"/>
  <c r="J194" i="66" s="1"/>
  <c r="B194" i="65" s="1"/>
  <c r="L170" i="66"/>
  <c r="D233" i="66"/>
  <c r="L218" i="66"/>
  <c r="D245" i="66"/>
  <c r="A245" i="66" s="1"/>
  <c r="B189" i="66"/>
  <c r="A189" i="66"/>
  <c r="L236" i="66"/>
  <c r="D236" i="65" s="1"/>
  <c r="D190" i="66"/>
  <c r="AE115" i="46"/>
  <c r="AI114" i="46" s="1"/>
  <c r="L11" i="41"/>
  <c r="AP60" i="41" s="1"/>
  <c r="AT60" i="41" s="1"/>
  <c r="E10" i="41" s="1"/>
  <c r="X110" i="47"/>
  <c r="AG115" i="46"/>
  <c r="AT70" i="44"/>
  <c r="D263" i="65"/>
  <c r="J263" i="66"/>
  <c r="B263" i="65" s="1"/>
  <c r="I263" i="66"/>
  <c r="D179" i="65"/>
  <c r="A179" i="65" s="1"/>
  <c r="I179" i="66"/>
  <c r="J179" i="66"/>
  <c r="B179" i="65" s="1"/>
  <c r="L264" i="66"/>
  <c r="AI145" i="50"/>
  <c r="X115" i="48"/>
  <c r="AI135" i="50"/>
  <c r="B167" i="66"/>
  <c r="A167" i="66"/>
  <c r="D168" i="66"/>
  <c r="L180" i="66"/>
  <c r="B155" i="66"/>
  <c r="A155" i="66"/>
  <c r="X100" i="45"/>
  <c r="D207" i="66"/>
  <c r="X105" i="46"/>
  <c r="A206" i="66"/>
  <c r="B206" i="66"/>
  <c r="D310" i="66"/>
  <c r="CR107" i="61"/>
  <c r="L206" i="66"/>
  <c r="AE108" i="43"/>
  <c r="AG108" i="43" s="1"/>
  <c r="D462" i="66"/>
  <c r="L486" i="66"/>
  <c r="AI140" i="50"/>
  <c r="H119" i="48"/>
  <c r="H120" i="48" s="1"/>
  <c r="J120" i="48" s="1"/>
  <c r="F120" i="48"/>
  <c r="J119" i="48" s="1"/>
  <c r="AR80" i="47"/>
  <c r="AR79" i="47"/>
  <c r="V109" i="46"/>
  <c r="V110" i="46" s="1"/>
  <c r="T109" i="46"/>
  <c r="T110" i="46" s="1"/>
  <c r="X109" i="46" s="1"/>
  <c r="V89" i="43"/>
  <c r="V90" i="43" s="1"/>
  <c r="T89" i="43"/>
  <c r="T90" i="43" s="1"/>
  <c r="X89" i="43" s="1"/>
  <c r="H97" i="40"/>
  <c r="A423" i="66"/>
  <c r="B423" i="66"/>
  <c r="AG109" i="45"/>
  <c r="AG110" i="45" s="1"/>
  <c r="AE110" i="45"/>
  <c r="AI109" i="45" s="1"/>
  <c r="V104" i="45"/>
  <c r="V105" i="45" s="1"/>
  <c r="T104" i="45"/>
  <c r="T105" i="45" s="1"/>
  <c r="X104" i="45" s="1"/>
  <c r="AG128" i="48"/>
  <c r="B385" i="66"/>
  <c r="A385" i="66"/>
  <c r="H113" i="46"/>
  <c r="H115" i="46" s="1"/>
  <c r="F115" i="46"/>
  <c r="D205" i="65"/>
  <c r="A205" i="65" s="1"/>
  <c r="J205" i="66"/>
  <c r="B205" i="65" s="1"/>
  <c r="I205" i="66"/>
  <c r="T118" i="47"/>
  <c r="V118" i="47"/>
  <c r="AG148" i="49"/>
  <c r="AG150" i="49" s="1"/>
  <c r="AE150" i="49"/>
  <c r="AI149" i="49" s="1"/>
  <c r="AG143" i="49"/>
  <c r="AG145" i="49" s="1"/>
  <c r="AE145" i="49"/>
  <c r="AI144" i="49" s="1"/>
  <c r="V128" i="49"/>
  <c r="T128" i="49"/>
  <c r="AG133" i="49"/>
  <c r="AG135" i="49" s="1"/>
  <c r="AE135" i="49"/>
  <c r="AI134" i="49" s="1"/>
  <c r="B119" i="66"/>
  <c r="A119" i="66"/>
  <c r="B138" i="66"/>
  <c r="A138" i="66"/>
  <c r="B81" i="66"/>
  <c r="A81" i="66"/>
  <c r="D424" i="66"/>
  <c r="L446" i="66"/>
  <c r="R87" i="39"/>
  <c r="D97" i="39"/>
  <c r="F97" i="39" s="1"/>
  <c r="D386" i="66"/>
  <c r="L406" i="66"/>
  <c r="CU104" i="61"/>
  <c r="D139" i="66"/>
  <c r="L146" i="66"/>
  <c r="R89" i="42"/>
  <c r="D103" i="42"/>
  <c r="F103" i="42" s="1"/>
  <c r="R102" i="42"/>
  <c r="D107" i="42"/>
  <c r="F107" i="42" s="1"/>
  <c r="AE134" i="48"/>
  <c r="AG134" i="48" s="1"/>
  <c r="AE138" i="48"/>
  <c r="AE139" i="48"/>
  <c r="AG139" i="48" s="1"/>
  <c r="AE133" i="48"/>
  <c r="AE129" i="48"/>
  <c r="AG129" i="48" s="1"/>
  <c r="R128" i="48"/>
  <c r="R133" i="48"/>
  <c r="D129" i="48"/>
  <c r="AE143" i="48"/>
  <c r="AE144" i="48"/>
  <c r="AG144" i="48" s="1"/>
  <c r="R138" i="48"/>
  <c r="AE149" i="48"/>
  <c r="AG149" i="48" s="1"/>
  <c r="AE148" i="48"/>
  <c r="R143" i="48"/>
  <c r="D134" i="48"/>
  <c r="R148" i="48"/>
  <c r="D139" i="48"/>
  <c r="D144" i="48"/>
  <c r="F144" i="48" s="1"/>
  <c r="H144" i="48" s="1"/>
  <c r="D104" i="43"/>
  <c r="F104" i="43" s="1"/>
  <c r="H104" i="43" s="1"/>
  <c r="R103" i="43"/>
  <c r="V103" i="43" s="1"/>
  <c r="AL12" i="41"/>
  <c r="L10" i="41" s="1"/>
  <c r="AP59" i="41" s="1"/>
  <c r="AT59" i="41" s="1"/>
  <c r="D10" i="41" s="1"/>
  <c r="L69" i="41" s="1"/>
  <c r="N69" i="41" s="1"/>
  <c r="AQ69" i="41" s="1"/>
  <c r="AG118" i="46"/>
  <c r="H107" i="43"/>
  <c r="V87" i="40"/>
  <c r="T87" i="40"/>
  <c r="T108" i="45"/>
  <c r="V108" i="45"/>
  <c r="F117" i="45"/>
  <c r="H112" i="44"/>
  <c r="X90" i="44"/>
  <c r="B233" i="66"/>
  <c r="A233" i="66"/>
  <c r="AG123" i="47"/>
  <c r="V143" i="49"/>
  <c r="T143" i="49"/>
  <c r="F105" i="44"/>
  <c r="AI150" i="50"/>
  <c r="D385" i="65"/>
  <c r="A385" i="65" s="1"/>
  <c r="J385" i="66"/>
  <c r="B385" i="65" s="1"/>
  <c r="I385" i="66"/>
  <c r="H117" i="46"/>
  <c r="AE130" i="49"/>
  <c r="AI129" i="49" s="1"/>
  <c r="D465" i="65"/>
  <c r="A465" i="65" s="1"/>
  <c r="J465" i="66"/>
  <c r="B465" i="65" s="1"/>
  <c r="I465" i="66"/>
  <c r="D367" i="66"/>
  <c r="L386" i="66"/>
  <c r="R109" i="45"/>
  <c r="D118" i="45"/>
  <c r="F118" i="45" s="1"/>
  <c r="H118" i="45" s="1"/>
  <c r="AE114" i="45"/>
  <c r="AG114" i="45" s="1"/>
  <c r="R113" i="45"/>
  <c r="D114" i="45"/>
  <c r="F114" i="45" s="1"/>
  <c r="H114" i="45" s="1"/>
  <c r="AE118" i="45"/>
  <c r="D405" i="66"/>
  <c r="L426" i="66"/>
  <c r="CT105" i="61"/>
  <c r="D158" i="66"/>
  <c r="L166" i="66"/>
  <c r="CW102" i="61"/>
  <c r="D101" i="66"/>
  <c r="L106" i="66"/>
  <c r="CS106" i="61"/>
  <c r="D177" i="66"/>
  <c r="L186" i="66"/>
  <c r="CV103" i="61"/>
  <c r="D120" i="66"/>
  <c r="L126" i="66"/>
  <c r="T113" i="46"/>
  <c r="V113" i="46"/>
  <c r="T102" i="43"/>
  <c r="V102" i="43"/>
  <c r="D425" i="65"/>
  <c r="A425" i="65" s="1"/>
  <c r="J425" i="66"/>
  <c r="B425" i="65" s="1"/>
  <c r="I425" i="66"/>
  <c r="AG113" i="45"/>
  <c r="V112" i="45"/>
  <c r="T112" i="45"/>
  <c r="F124" i="48"/>
  <c r="H124" i="48" s="1"/>
  <c r="J122" i="48"/>
  <c r="T107" i="44"/>
  <c r="V107" i="44"/>
  <c r="J129" i="50"/>
  <c r="N129" i="50" s="1"/>
  <c r="AQ129" i="50" s="1"/>
  <c r="J130" i="50"/>
  <c r="N130" i="50" s="1"/>
  <c r="AQ130" i="50" s="1"/>
  <c r="AI110" i="46"/>
  <c r="T114" i="47"/>
  <c r="T115" i="47" s="1"/>
  <c r="X114" i="47" s="1"/>
  <c r="V114" i="47"/>
  <c r="V115" i="47" s="1"/>
  <c r="F139" i="49"/>
  <c r="H139" i="49" s="1"/>
  <c r="J137" i="49"/>
  <c r="J140" i="49" s="1"/>
  <c r="N140" i="49" s="1"/>
  <c r="AQ140" i="49" s="1"/>
  <c r="V133" i="49"/>
  <c r="T133" i="49"/>
  <c r="AG138" i="49"/>
  <c r="AG140" i="49" s="1"/>
  <c r="AE140" i="49"/>
  <c r="AI139" i="49" s="1"/>
  <c r="H105" i="44"/>
  <c r="J124" i="49"/>
  <c r="N124" i="49" s="1"/>
  <c r="AQ124" i="49" s="1"/>
  <c r="J125" i="49"/>
  <c r="N125" i="49" s="1"/>
  <c r="AQ125" i="49" s="1"/>
  <c r="AG125" i="48"/>
  <c r="D185" i="65"/>
  <c r="A185" i="65" s="1"/>
  <c r="J185" i="66"/>
  <c r="B185" i="65" s="1"/>
  <c r="I185" i="66"/>
  <c r="D105" i="65"/>
  <c r="A105" i="65" s="1"/>
  <c r="J105" i="66"/>
  <c r="B105" i="65" s="1"/>
  <c r="I105" i="66"/>
  <c r="B366" i="66"/>
  <c r="A366" i="66"/>
  <c r="AI130" i="50"/>
  <c r="AG130" i="49"/>
  <c r="B442" i="66"/>
  <c r="A442" i="66"/>
  <c r="H102" i="41"/>
  <c r="D165" i="65"/>
  <c r="A165" i="65" s="1"/>
  <c r="J165" i="66"/>
  <c r="B165" i="65" s="1"/>
  <c r="I165" i="66"/>
  <c r="R84" i="40"/>
  <c r="V84" i="40" s="1"/>
  <c r="D98" i="40"/>
  <c r="F98" i="40" s="1"/>
  <c r="H98" i="40" s="1"/>
  <c r="D102" i="40"/>
  <c r="F102" i="40" s="1"/>
  <c r="R97" i="40"/>
  <c r="D443" i="66"/>
  <c r="L466" i="66"/>
  <c r="D113" i="44"/>
  <c r="R104" i="44"/>
  <c r="D117" i="44"/>
  <c r="R112" i="44"/>
  <c r="R108" i="44"/>
  <c r="AE113" i="44"/>
  <c r="AE109" i="44"/>
  <c r="D109" i="44"/>
  <c r="D124" i="47"/>
  <c r="R123" i="47"/>
  <c r="AE124" i="47"/>
  <c r="AG124" i="47" s="1"/>
  <c r="AE128" i="47"/>
  <c r="R99" i="43"/>
  <c r="D108" i="43"/>
  <c r="F108" i="43" s="1"/>
  <c r="H108" i="43" s="1"/>
  <c r="R107" i="43"/>
  <c r="D112" i="43"/>
  <c r="F112" i="43" s="1"/>
  <c r="R114" i="46"/>
  <c r="D119" i="46"/>
  <c r="F119" i="46" s="1"/>
  <c r="H119" i="46" s="1"/>
  <c r="AE123" i="46"/>
  <c r="AE119" i="46"/>
  <c r="AG119" i="46" s="1"/>
  <c r="R118" i="46"/>
  <c r="H99" i="44"/>
  <c r="H100" i="44" s="1"/>
  <c r="J100" i="44" s="1"/>
  <c r="F100" i="44"/>
  <c r="J99" i="44" s="1"/>
  <c r="H103" i="43"/>
  <c r="B404" i="66"/>
  <c r="A404" i="66"/>
  <c r="D445" i="65"/>
  <c r="A445" i="65" s="1"/>
  <c r="J445" i="66"/>
  <c r="B445" i="65" s="1"/>
  <c r="I445" i="66"/>
  <c r="F109" i="45"/>
  <c r="J107" i="45"/>
  <c r="F113" i="45"/>
  <c r="V123" i="48"/>
  <c r="T123" i="48"/>
  <c r="D405" i="65"/>
  <c r="A405" i="65" s="1"/>
  <c r="I405" i="66"/>
  <c r="J405" i="66"/>
  <c r="B405" i="65" s="1"/>
  <c r="T99" i="44"/>
  <c r="T100" i="44" s="1"/>
  <c r="X99" i="44" s="1"/>
  <c r="V99" i="44"/>
  <c r="V100" i="44" s="1"/>
  <c r="J112" i="46"/>
  <c r="F119" i="47"/>
  <c r="J117" i="47"/>
  <c r="V138" i="49"/>
  <c r="T138" i="49"/>
  <c r="F134" i="49"/>
  <c r="H134" i="49" s="1"/>
  <c r="J132" i="49"/>
  <c r="F129" i="49"/>
  <c r="H129" i="49" s="1"/>
  <c r="J127" i="49"/>
  <c r="AE125" i="48"/>
  <c r="AI124" i="48" s="1"/>
  <c r="D125" i="65"/>
  <c r="A125" i="65" s="1"/>
  <c r="J125" i="66"/>
  <c r="B125" i="65" s="1"/>
  <c r="I125" i="66"/>
  <c r="B176" i="66"/>
  <c r="A176" i="66"/>
  <c r="D145" i="65"/>
  <c r="A145" i="65" s="1"/>
  <c r="J145" i="66"/>
  <c r="B145" i="65" s="1"/>
  <c r="I145" i="66"/>
  <c r="B100" i="66"/>
  <c r="A100" i="66"/>
  <c r="J114" i="47"/>
  <c r="J115" i="47"/>
  <c r="H109" i="46"/>
  <c r="H110" i="46" s="1"/>
  <c r="J110" i="46" s="1"/>
  <c r="F110" i="46"/>
  <c r="J109" i="46" s="1"/>
  <c r="D85" i="65"/>
  <c r="A85" i="65" s="1"/>
  <c r="I85" i="66"/>
  <c r="J85" i="66"/>
  <c r="B85" i="65" s="1"/>
  <c r="T97" i="41"/>
  <c r="V97" i="41"/>
  <c r="A157" i="66"/>
  <c r="AT60" i="42"/>
  <c r="E10" i="42" s="1"/>
  <c r="AP16" i="42" s="1"/>
  <c r="AR16" i="42" s="1"/>
  <c r="J45" i="33"/>
  <c r="CL113" i="61"/>
  <c r="CF119" i="61"/>
  <c r="CK114" i="61"/>
  <c r="CH117" i="61"/>
  <c r="A141" i="65"/>
  <c r="A154" i="65"/>
  <c r="CP109" i="61"/>
  <c r="CG118" i="61"/>
  <c r="CQ108" i="61"/>
  <c r="CM112" i="61"/>
  <c r="CJ115" i="61"/>
  <c r="CI116" i="61"/>
  <c r="CO110" i="61"/>
  <c r="CE120" i="61"/>
  <c r="A193" i="65"/>
  <c r="CN111" i="61"/>
  <c r="AP15" i="42"/>
  <c r="AR15" i="42" s="1"/>
  <c r="AP10" i="42"/>
  <c r="AR10" i="42" s="1"/>
  <c r="AB22" i="43"/>
  <c r="AD22" i="43" s="1"/>
  <c r="AB27" i="43"/>
  <c r="AD27" i="43" s="1"/>
  <c r="AP5" i="43"/>
  <c r="AR5" i="43" s="1"/>
  <c r="AB23" i="43"/>
  <c r="AD23" i="43" s="1"/>
  <c r="AB28" i="43"/>
  <c r="AD28" i="43" s="1"/>
  <c r="AP6" i="43"/>
  <c r="AR6" i="43" s="1"/>
  <c r="AI65" i="37"/>
  <c r="J44" i="33"/>
  <c r="AI45" i="33"/>
  <c r="N45" i="34"/>
  <c r="AQ45" i="34" s="1"/>
  <c r="V85" i="41"/>
  <c r="X85" i="41" s="1"/>
  <c r="J92" i="42"/>
  <c r="J94" i="42" s="1"/>
  <c r="N94" i="42" s="1"/>
  <c r="AQ94" i="42" s="1"/>
  <c r="T93" i="42"/>
  <c r="AR135" i="46"/>
  <c r="H26" i="25"/>
  <c r="I26" i="25" s="1"/>
  <c r="D26" i="25"/>
  <c r="F26" i="25" s="1"/>
  <c r="G26" i="25" s="1"/>
  <c r="T32" i="29"/>
  <c r="V32" i="29"/>
  <c r="AV26" i="25"/>
  <c r="D37" i="28"/>
  <c r="F37" i="28" s="1"/>
  <c r="H37" i="28" s="1"/>
  <c r="R32" i="28"/>
  <c r="AE33" i="28"/>
  <c r="AG33" i="28" s="1"/>
  <c r="AE27" i="61"/>
  <c r="AP27" i="25"/>
  <c r="B27" i="25"/>
  <c r="C4" i="27"/>
  <c r="AR135" i="39"/>
  <c r="N55" i="36"/>
  <c r="AQ55" i="36" s="1"/>
  <c r="L69" i="42"/>
  <c r="N69" i="42" s="1"/>
  <c r="AQ69" i="42" s="1"/>
  <c r="L69" i="43"/>
  <c r="N69" i="43" s="1"/>
  <c r="AQ69" i="43" s="1"/>
  <c r="L70" i="43"/>
  <c r="N70" i="43" s="1"/>
  <c r="AQ70" i="43" s="1"/>
  <c r="AR135" i="28"/>
  <c r="J60" i="36"/>
  <c r="Y10" i="10"/>
  <c r="X9" i="10" s="1"/>
  <c r="AI60" i="36"/>
  <c r="AM60" i="36" s="1"/>
  <c r="AS60" i="36" s="1"/>
  <c r="AI70" i="38"/>
  <c r="AE40" i="31"/>
  <c r="AI39" i="31" s="1"/>
  <c r="Y5" i="5"/>
  <c r="AA5" i="5" s="1"/>
  <c r="AG5" i="5" s="1"/>
  <c r="AG60" i="35"/>
  <c r="AE60" i="35"/>
  <c r="AI59" i="35" s="1"/>
  <c r="AE70" i="37"/>
  <c r="AI69" i="37" s="1"/>
  <c r="AR139" i="35"/>
  <c r="AR139" i="41"/>
  <c r="AI100" i="44"/>
  <c r="Y6" i="6"/>
  <c r="AA6" i="6" s="1"/>
  <c r="AG6" i="6" s="1"/>
  <c r="AI105" i="44"/>
  <c r="X85" i="42"/>
  <c r="X70" i="39"/>
  <c r="X80" i="41"/>
  <c r="AE99" i="42"/>
  <c r="D99" i="42"/>
  <c r="AE103" i="42"/>
  <c r="R98" i="42"/>
  <c r="D77" i="36"/>
  <c r="F77" i="36" s="1"/>
  <c r="H89" i="42"/>
  <c r="H90" i="42" s="1"/>
  <c r="F90" i="42"/>
  <c r="H54" i="35"/>
  <c r="H55" i="35" s="1"/>
  <c r="J55" i="35" s="1"/>
  <c r="F55" i="35"/>
  <c r="J54" i="35" s="1"/>
  <c r="Z50" i="35"/>
  <c r="AB50" i="35" s="1"/>
  <c r="L55" i="35"/>
  <c r="H87" i="39"/>
  <c r="H68" i="36"/>
  <c r="T49" i="33"/>
  <c r="V49" i="33"/>
  <c r="R72" i="36"/>
  <c r="D94" i="41"/>
  <c r="F94" i="41" s="1"/>
  <c r="H94" i="41" s="1"/>
  <c r="R93" i="41"/>
  <c r="V93" i="41" s="1"/>
  <c r="H67" i="34"/>
  <c r="H53" i="33"/>
  <c r="H82" i="38"/>
  <c r="V82" i="39"/>
  <c r="T82" i="39"/>
  <c r="AG103" i="43"/>
  <c r="AG105" i="43" s="1"/>
  <c r="AE105" i="43"/>
  <c r="AI104" i="43" s="1"/>
  <c r="V98" i="43"/>
  <c r="T98" i="43"/>
  <c r="H57" i="59"/>
  <c r="R47" i="30"/>
  <c r="D52" i="30"/>
  <c r="F52" i="30" s="1"/>
  <c r="R79" i="39"/>
  <c r="D88" i="39"/>
  <c r="F88" i="39" s="1"/>
  <c r="H88" i="39" s="1"/>
  <c r="D68" i="35"/>
  <c r="F68" i="35" s="1"/>
  <c r="R67" i="35"/>
  <c r="H84" i="41"/>
  <c r="H85" i="41" s="1"/>
  <c r="J85" i="41" s="1"/>
  <c r="F85" i="41"/>
  <c r="J84" i="41" s="1"/>
  <c r="H69" i="38"/>
  <c r="H70" i="38" s="1"/>
  <c r="J70" i="38" s="1"/>
  <c r="F70" i="38"/>
  <c r="J69" i="38" s="1"/>
  <c r="AE98" i="41"/>
  <c r="AG98" i="41" s="1"/>
  <c r="T79" i="40"/>
  <c r="T80" i="40" s="1"/>
  <c r="X79" i="40" s="1"/>
  <c r="V79" i="40"/>
  <c r="V80" i="40" s="1"/>
  <c r="V77" i="38"/>
  <c r="T77" i="38"/>
  <c r="H52" i="31"/>
  <c r="V51" i="59"/>
  <c r="T51" i="59"/>
  <c r="R39" i="32"/>
  <c r="V39" i="32" s="1"/>
  <c r="V40" i="32" s="1"/>
  <c r="D53" i="32"/>
  <c r="F53" i="32" s="1"/>
  <c r="Z49" i="36"/>
  <c r="AB49" i="36" s="1"/>
  <c r="AR49" i="36" s="1"/>
  <c r="L54" i="36"/>
  <c r="N54" i="36" s="1"/>
  <c r="AQ54" i="36" s="1"/>
  <c r="R77" i="37"/>
  <c r="D82" i="37"/>
  <c r="F82" i="37" s="1"/>
  <c r="D83" i="38"/>
  <c r="F83" i="38" s="1"/>
  <c r="H83" i="38" s="1"/>
  <c r="R82" i="38"/>
  <c r="D87" i="38"/>
  <c r="F87" i="38" s="1"/>
  <c r="V69" i="38"/>
  <c r="V70" i="38" s="1"/>
  <c r="T69" i="38"/>
  <c r="T70" i="38" s="1"/>
  <c r="X69" i="38" s="1"/>
  <c r="T47" i="31"/>
  <c r="V47" i="31"/>
  <c r="F99" i="43"/>
  <c r="J97" i="43"/>
  <c r="AG99" i="43"/>
  <c r="AG100" i="43" s="1"/>
  <c r="AE100" i="43"/>
  <c r="AI99" i="43" s="1"/>
  <c r="V67" i="36"/>
  <c r="T67" i="36"/>
  <c r="AR139" i="42"/>
  <c r="AR55" i="38"/>
  <c r="AT55" i="38" s="1"/>
  <c r="E9" i="38" s="1"/>
  <c r="AR54" i="38"/>
  <c r="AT54" i="38" s="1"/>
  <c r="D9" i="38" s="1"/>
  <c r="L64" i="38" s="1"/>
  <c r="N64" i="38" s="1"/>
  <c r="AQ64" i="38" s="1"/>
  <c r="X8" i="10"/>
  <c r="AR135" i="40"/>
  <c r="AG80" i="39"/>
  <c r="AT161" i="59"/>
  <c r="AE80" i="39"/>
  <c r="AI79" i="39" s="1"/>
  <c r="AG70" i="37"/>
  <c r="AG45" i="32"/>
  <c r="AI45" i="32" s="1"/>
  <c r="AR140" i="29"/>
  <c r="AI90" i="42"/>
  <c r="J39" i="59"/>
  <c r="J77" i="39"/>
  <c r="AT50" i="36"/>
  <c r="E8" i="36" s="1"/>
  <c r="L60" i="36" s="1"/>
  <c r="AE50" i="33"/>
  <c r="AI49" i="33" s="1"/>
  <c r="AR139" i="48"/>
  <c r="AR135" i="33"/>
  <c r="AG50" i="33"/>
  <c r="AG40" i="31"/>
  <c r="L65" i="39"/>
  <c r="N65" i="39" s="1"/>
  <c r="AQ65" i="39" s="1"/>
  <c r="Z60" i="39"/>
  <c r="AB60" i="39" s="1"/>
  <c r="AR60" i="39" s="1"/>
  <c r="AT60" i="39" s="1"/>
  <c r="E10" i="39" s="1"/>
  <c r="L70" i="39" s="1"/>
  <c r="N70" i="39" s="1"/>
  <c r="AQ70" i="39" s="1"/>
  <c r="Z65" i="40"/>
  <c r="AB65" i="40" s="1"/>
  <c r="AK65" i="40"/>
  <c r="AM65" i="40" s="1"/>
  <c r="AS65" i="40" s="1"/>
  <c r="Z45" i="35"/>
  <c r="AB45" i="35" s="1"/>
  <c r="L50" i="35"/>
  <c r="N50" i="35" s="1"/>
  <c r="AQ50" i="35" s="1"/>
  <c r="AT50" i="35" s="1"/>
  <c r="E8" i="35" s="1"/>
  <c r="AK45" i="35"/>
  <c r="AM45" i="35" s="1"/>
  <c r="AS45" i="35" s="1"/>
  <c r="AK64" i="40"/>
  <c r="AM64" i="40" s="1"/>
  <c r="AS64" i="40" s="1"/>
  <c r="Z64" i="40"/>
  <c r="AB64" i="40" s="1"/>
  <c r="Z54" i="37"/>
  <c r="AB54" i="37" s="1"/>
  <c r="L59" i="37"/>
  <c r="N59" i="37" s="1"/>
  <c r="AQ59" i="37" s="1"/>
  <c r="AK54" i="37"/>
  <c r="AM54" i="37" s="1"/>
  <c r="AS54" i="37" s="1"/>
  <c r="AK44" i="36"/>
  <c r="AM44" i="36" s="1"/>
  <c r="AS44" i="36" s="1"/>
  <c r="Z44" i="36"/>
  <c r="AB44" i="36" s="1"/>
  <c r="AR44" i="36" s="1"/>
  <c r="AT44" i="36" s="1"/>
  <c r="D7" i="36" s="1"/>
  <c r="AK49" i="36" s="1"/>
  <c r="AM49" i="36" s="1"/>
  <c r="AS49" i="36" s="1"/>
  <c r="L49" i="36"/>
  <c r="N49" i="36" s="1"/>
  <c r="AQ49" i="36" s="1"/>
  <c r="Z44" i="35"/>
  <c r="AB44" i="35" s="1"/>
  <c r="X168" i="59"/>
  <c r="AB168" i="59" s="1"/>
  <c r="AT167" i="59" s="1"/>
  <c r="X140" i="34"/>
  <c r="AB140" i="34" s="1"/>
  <c r="AR140" i="34" s="1"/>
  <c r="AR135" i="27"/>
  <c r="AR134" i="31"/>
  <c r="H172" i="59"/>
  <c r="AE75" i="38"/>
  <c r="AI74" i="38" s="1"/>
  <c r="AG75" i="38"/>
  <c r="AE85" i="40"/>
  <c r="AI84" i="40" s="1"/>
  <c r="J37" i="31"/>
  <c r="X145" i="35"/>
  <c r="AB145" i="35" s="1"/>
  <c r="AR145" i="35" s="1"/>
  <c r="X140" i="28"/>
  <c r="AB140" i="28" s="1"/>
  <c r="AR139" i="28" s="1"/>
  <c r="H148" i="45"/>
  <c r="X145" i="42"/>
  <c r="AB145" i="42" s="1"/>
  <c r="AR145" i="42" s="1"/>
  <c r="X145" i="47"/>
  <c r="AB145" i="47" s="1"/>
  <c r="AR144" i="47" s="1"/>
  <c r="AI95" i="42"/>
  <c r="X45" i="34"/>
  <c r="AG85" i="40"/>
  <c r="AR135" i="49"/>
  <c r="X140" i="50"/>
  <c r="AB140" i="50" s="1"/>
  <c r="AR139" i="50" s="1"/>
  <c r="X140" i="43"/>
  <c r="AB140" i="43" s="1"/>
  <c r="AR139" i="43" s="1"/>
  <c r="H148" i="36"/>
  <c r="M35" i="59"/>
  <c r="AO36" i="59" s="1"/>
  <c r="AU36" i="59" s="1"/>
  <c r="X140" i="31"/>
  <c r="AB140" i="31" s="1"/>
  <c r="AR139" i="31" s="1"/>
  <c r="X65" i="39"/>
  <c r="X145" i="29"/>
  <c r="AB145" i="29" s="1"/>
  <c r="AR144" i="29" s="1"/>
  <c r="H148" i="37"/>
  <c r="X145" i="36"/>
  <c r="AB145" i="36" s="1"/>
  <c r="AR145" i="36" s="1"/>
  <c r="X140" i="27"/>
  <c r="AB140" i="27" s="1"/>
  <c r="AR139" i="27" s="1"/>
  <c r="N44" i="34"/>
  <c r="AQ44" i="34" s="1"/>
  <c r="AR139" i="47"/>
  <c r="AR134" i="37"/>
  <c r="X145" i="41"/>
  <c r="AB145" i="41" s="1"/>
  <c r="AR145" i="41" s="1"/>
  <c r="X140" i="45"/>
  <c r="AB140" i="45" s="1"/>
  <c r="AR139" i="45" s="1"/>
  <c r="X140" i="37"/>
  <c r="AB140" i="37" s="1"/>
  <c r="AR139" i="37" s="1"/>
  <c r="X145" i="26"/>
  <c r="AB145" i="26" s="1"/>
  <c r="AR144" i="26" s="1"/>
  <c r="X140" i="39"/>
  <c r="AB140" i="39" s="1"/>
  <c r="AR140" i="39" s="1"/>
  <c r="X140" i="40"/>
  <c r="AB140" i="40" s="1"/>
  <c r="AR140" i="40" s="1"/>
  <c r="X174" i="59"/>
  <c r="AB174" i="59" s="1"/>
  <c r="AT174" i="59" s="1"/>
  <c r="AR35" i="32"/>
  <c r="AT35" i="32" s="1"/>
  <c r="E5" i="32" s="1"/>
  <c r="AR34" i="32"/>
  <c r="AT34" i="32" s="1"/>
  <c r="D5" i="32" s="1"/>
  <c r="AB139" i="49"/>
  <c r="X140" i="49"/>
  <c r="AB140" i="49" s="1"/>
  <c r="X145" i="38"/>
  <c r="AB145" i="38" s="1"/>
  <c r="AR145" i="38" s="1"/>
  <c r="X140" i="44"/>
  <c r="AB140" i="44" s="1"/>
  <c r="AR140" i="44" s="1"/>
  <c r="X140" i="33"/>
  <c r="AB140" i="33" s="1"/>
  <c r="AR140" i="33" s="1"/>
  <c r="X55" i="36"/>
  <c r="X145" i="30"/>
  <c r="AB145" i="30" s="1"/>
  <c r="AR145" i="30" s="1"/>
  <c r="AE69" i="36"/>
  <c r="AG69" i="36" s="1"/>
  <c r="AE73" i="36"/>
  <c r="R68" i="36"/>
  <c r="D69" i="36"/>
  <c r="AF5" i="8"/>
  <c r="AF6" i="8" s="1"/>
  <c r="H18" i="17"/>
  <c r="I18" i="17" s="1"/>
  <c r="D18" i="17"/>
  <c r="F18" i="17" s="1"/>
  <c r="G18" i="17" s="1"/>
  <c r="V144" i="31"/>
  <c r="T144" i="31"/>
  <c r="H142" i="40"/>
  <c r="H145" i="40" s="1"/>
  <c r="F145" i="40"/>
  <c r="F142" i="46"/>
  <c r="AE58" i="33"/>
  <c r="AE54" i="33"/>
  <c r="AG54" i="33" s="1"/>
  <c r="D54" i="33"/>
  <c r="R53" i="33"/>
  <c r="D58" i="33"/>
  <c r="F58" i="33" s="1"/>
  <c r="H58" i="33" s="1"/>
  <c r="D62" i="33"/>
  <c r="R57" i="33"/>
  <c r="AM19" i="61"/>
  <c r="AD22" i="68" s="1"/>
  <c r="C12" i="35"/>
  <c r="R72" i="35" s="1"/>
  <c r="B19" i="17"/>
  <c r="AP19" i="17"/>
  <c r="R149" i="31"/>
  <c r="X147" i="31"/>
  <c r="X140" i="46"/>
  <c r="AB140" i="46" s="1"/>
  <c r="AR139" i="46" s="1"/>
  <c r="F147" i="33"/>
  <c r="AI35" i="31"/>
  <c r="AM35" i="31" s="1"/>
  <c r="AS35" i="31" s="1"/>
  <c r="F147" i="29"/>
  <c r="H78" i="39"/>
  <c r="H80" i="39" s="1"/>
  <c r="F80" i="39"/>
  <c r="X147" i="46"/>
  <c r="R149" i="46"/>
  <c r="AV24" i="23"/>
  <c r="H15" i="14"/>
  <c r="I15" i="14" s="1"/>
  <c r="D15" i="14"/>
  <c r="F15" i="14" s="1"/>
  <c r="G15" i="14" s="1"/>
  <c r="G4" i="5"/>
  <c r="V142" i="43"/>
  <c r="V145" i="43" s="1"/>
  <c r="T142" i="43"/>
  <c r="T145" i="43" s="1"/>
  <c r="X144" i="43" s="1"/>
  <c r="AB144" i="43" s="1"/>
  <c r="H45" i="59"/>
  <c r="V144" i="28"/>
  <c r="T144" i="28"/>
  <c r="T142" i="45"/>
  <c r="T145" i="45" s="1"/>
  <c r="X144" i="45" s="1"/>
  <c r="AB144" i="45" s="1"/>
  <c r="V142" i="45"/>
  <c r="V145" i="45" s="1"/>
  <c r="AV19" i="18"/>
  <c r="H22" i="21"/>
  <c r="I22" i="21" s="1"/>
  <c r="D22" i="21"/>
  <c r="F22" i="21" s="1"/>
  <c r="G22" i="21" s="1"/>
  <c r="AV14" i="13"/>
  <c r="Z150" i="28"/>
  <c r="Z149" i="28"/>
  <c r="R147" i="28"/>
  <c r="Y150" i="28"/>
  <c r="Y149" i="28"/>
  <c r="F145" i="49"/>
  <c r="J144" i="49" s="1"/>
  <c r="N144" i="49" s="1"/>
  <c r="AQ144" i="49" s="1"/>
  <c r="H142" i="49"/>
  <c r="H145" i="49" s="1"/>
  <c r="F140" i="39"/>
  <c r="H137" i="39"/>
  <c r="H140" i="39" s="1"/>
  <c r="V147" i="35"/>
  <c r="V150" i="35" s="1"/>
  <c r="T147" i="35"/>
  <c r="T150" i="35" s="1"/>
  <c r="X149" i="35" s="1"/>
  <c r="AB149" i="35" s="1"/>
  <c r="H149" i="48"/>
  <c r="AF26" i="61"/>
  <c r="C5" i="28"/>
  <c r="AP26" i="24"/>
  <c r="B26" i="24"/>
  <c r="F165" i="59"/>
  <c r="T144" i="45"/>
  <c r="V144" i="45"/>
  <c r="V144" i="46"/>
  <c r="T144" i="46"/>
  <c r="AG78" i="38"/>
  <c r="V147" i="38"/>
  <c r="V150" i="38" s="1"/>
  <c r="T147" i="38"/>
  <c r="T150" i="38" s="1"/>
  <c r="X149" i="38" s="1"/>
  <c r="AB149" i="38" s="1"/>
  <c r="V78" i="39"/>
  <c r="T78" i="39"/>
  <c r="F9" i="9"/>
  <c r="H23" i="22"/>
  <c r="I23" i="22" s="1"/>
  <c r="D23" i="22"/>
  <c r="F23" i="22" s="1"/>
  <c r="G23" i="22" s="1"/>
  <c r="AH24" i="61"/>
  <c r="Y27" i="68" s="1"/>
  <c r="B24" i="22"/>
  <c r="C7" i="30"/>
  <c r="AP24" i="22"/>
  <c r="V142" i="34"/>
  <c r="V145" i="34" s="1"/>
  <c r="T142" i="34"/>
  <c r="T145" i="34" s="1"/>
  <c r="X144" i="34" s="1"/>
  <c r="AB144" i="34" s="1"/>
  <c r="F145" i="31"/>
  <c r="H142" i="31"/>
  <c r="H145" i="31" s="1"/>
  <c r="X40" i="33"/>
  <c r="H148" i="30"/>
  <c r="Y150" i="39"/>
  <c r="Z149" i="39"/>
  <c r="Z150" i="39"/>
  <c r="Y149" i="39"/>
  <c r="R147" i="39"/>
  <c r="AV12" i="11"/>
  <c r="H13" i="12"/>
  <c r="I13" i="12" s="1"/>
  <c r="D13" i="12"/>
  <c r="F13" i="12" s="1"/>
  <c r="G13" i="12" s="1"/>
  <c r="V63" i="36"/>
  <c r="T63" i="36"/>
  <c r="AX8" i="61"/>
  <c r="B8" i="6"/>
  <c r="AP8" i="6"/>
  <c r="C23" i="46"/>
  <c r="F49" i="33"/>
  <c r="J47" i="33"/>
  <c r="V48" i="33"/>
  <c r="T48" i="33"/>
  <c r="F140" i="26"/>
  <c r="H137" i="26"/>
  <c r="H140" i="26" s="1"/>
  <c r="T54" i="35"/>
  <c r="T55" i="35" s="1"/>
  <c r="X54" i="35" s="1"/>
  <c r="V54" i="35"/>
  <c r="V55" i="35" s="1"/>
  <c r="V149" i="26"/>
  <c r="T149" i="26"/>
  <c r="AT12" i="61"/>
  <c r="AK15" i="68" s="1"/>
  <c r="AP12" i="10"/>
  <c r="B12" i="10"/>
  <c r="C19" i="42"/>
  <c r="AE104" i="42" s="1"/>
  <c r="AG104" i="42" s="1"/>
  <c r="T53" i="34"/>
  <c r="V53" i="34"/>
  <c r="H148" i="39"/>
  <c r="T147" i="42"/>
  <c r="T150" i="42" s="1"/>
  <c r="X149" i="42" s="1"/>
  <c r="AB149" i="42" s="1"/>
  <c r="V147" i="42"/>
  <c r="V150" i="42" s="1"/>
  <c r="F142" i="26"/>
  <c r="H42" i="31"/>
  <c r="H62" i="35"/>
  <c r="X60" i="37"/>
  <c r="H148" i="43"/>
  <c r="T45" i="59"/>
  <c r="V45" i="59"/>
  <c r="V35" i="59"/>
  <c r="V36" i="59" s="1"/>
  <c r="H35" i="59" s="1"/>
  <c r="AB36" i="59" s="1"/>
  <c r="T35" i="59"/>
  <c r="T36" i="59" s="1"/>
  <c r="H34" i="59" s="1"/>
  <c r="AB35" i="59" s="1"/>
  <c r="V144" i="43"/>
  <c r="T144" i="43"/>
  <c r="V37" i="30"/>
  <c r="T37" i="30"/>
  <c r="F38" i="30"/>
  <c r="AE74" i="37"/>
  <c r="AG74" i="37" s="1"/>
  <c r="AE78" i="37"/>
  <c r="R64" i="37"/>
  <c r="R73" i="37"/>
  <c r="D74" i="37"/>
  <c r="D78" i="37"/>
  <c r="H148" i="26"/>
  <c r="H16" i="15"/>
  <c r="I16" i="15" s="1"/>
  <c r="D16" i="15"/>
  <c r="F16" i="15" s="1"/>
  <c r="G16" i="15" s="1"/>
  <c r="F147" i="44"/>
  <c r="AV4" i="3"/>
  <c r="BA5" i="61"/>
  <c r="B5" i="3"/>
  <c r="AP5" i="3"/>
  <c r="Y4" i="3" s="1"/>
  <c r="C26" i="49"/>
  <c r="AE59" i="34"/>
  <c r="AG59" i="34" s="1"/>
  <c r="AE63" i="34"/>
  <c r="R58" i="34"/>
  <c r="D59" i="34"/>
  <c r="R54" i="34"/>
  <c r="D63" i="34"/>
  <c r="F63" i="34" s="1"/>
  <c r="H63" i="34" s="1"/>
  <c r="R62" i="34"/>
  <c r="AG8" i="9"/>
  <c r="AG48" i="32"/>
  <c r="T142" i="49"/>
  <c r="T145" i="49" s="1"/>
  <c r="X144" i="49" s="1"/>
  <c r="AB144" i="49" s="1"/>
  <c r="V142" i="49"/>
  <c r="V145" i="49" s="1"/>
  <c r="AE90" i="41"/>
  <c r="AI89" i="41" s="1"/>
  <c r="AV8" i="7"/>
  <c r="AR134" i="34"/>
  <c r="X147" i="44"/>
  <c r="R149" i="44"/>
  <c r="AK39" i="33"/>
  <c r="AM39" i="33" s="1"/>
  <c r="AS39" i="33" s="1"/>
  <c r="Z39" i="33"/>
  <c r="AB39" i="33" s="1"/>
  <c r="L44" i="33"/>
  <c r="AR135" i="50"/>
  <c r="AR134" i="44"/>
  <c r="AR135" i="44"/>
  <c r="AF6" i="7"/>
  <c r="AR139" i="38"/>
  <c r="AA7" i="8"/>
  <c r="K150" i="45"/>
  <c r="K149" i="45"/>
  <c r="L150" i="45"/>
  <c r="L149" i="45"/>
  <c r="G147" i="45"/>
  <c r="D147" i="45"/>
  <c r="Z150" i="33"/>
  <c r="Z149" i="33"/>
  <c r="R147" i="33"/>
  <c r="Y150" i="33"/>
  <c r="Y149" i="33"/>
  <c r="T149" i="42"/>
  <c r="V149" i="42"/>
  <c r="V147" i="48"/>
  <c r="V150" i="48" s="1"/>
  <c r="T147" i="48"/>
  <c r="T150" i="48" s="1"/>
  <c r="X149" i="48" s="1"/>
  <c r="Z150" i="46"/>
  <c r="Z149" i="46"/>
  <c r="R147" i="46"/>
  <c r="Y150" i="46"/>
  <c r="Y149" i="46"/>
  <c r="H24" i="23"/>
  <c r="I24" i="23" s="1"/>
  <c r="D24" i="23"/>
  <c r="F24" i="23" s="1"/>
  <c r="G24" i="23" s="1"/>
  <c r="F162" i="59"/>
  <c r="H159" i="59"/>
  <c r="H162" i="59" s="1"/>
  <c r="AE84" i="39"/>
  <c r="AG84" i="39" s="1"/>
  <c r="AE88" i="39"/>
  <c r="R83" i="39"/>
  <c r="D84" i="39"/>
  <c r="V142" i="46"/>
  <c r="V145" i="46" s="1"/>
  <c r="T142" i="46"/>
  <c r="T145" i="46" s="1"/>
  <c r="X144" i="46" s="1"/>
  <c r="AB144" i="46" s="1"/>
  <c r="F140" i="43"/>
  <c r="H137" i="43"/>
  <c r="H140" i="43" s="1"/>
  <c r="R63" i="35"/>
  <c r="AE64" i="35"/>
  <c r="AG64" i="35" s="1"/>
  <c r="R59" i="35"/>
  <c r="AE68" i="35"/>
  <c r="D64" i="35"/>
  <c r="F64" i="35" s="1"/>
  <c r="H64" i="35" s="1"/>
  <c r="D73" i="35"/>
  <c r="F73" i="35" s="1"/>
  <c r="H73" i="35" s="1"/>
  <c r="R48" i="32"/>
  <c r="D49" i="32"/>
  <c r="AE53" i="32"/>
  <c r="AE49" i="32"/>
  <c r="AG49" i="32" s="1"/>
  <c r="R44" i="32"/>
  <c r="R52" i="32"/>
  <c r="D57" i="32"/>
  <c r="H142" i="29"/>
  <c r="H145" i="29" s="1"/>
  <c r="F145" i="29"/>
  <c r="G11" i="12"/>
  <c r="H14" i="13"/>
  <c r="I14" i="13" s="1"/>
  <c r="D14" i="13"/>
  <c r="F14" i="13" s="1"/>
  <c r="G14" i="13" s="1"/>
  <c r="V147" i="41"/>
  <c r="V150" i="41" s="1"/>
  <c r="T147" i="41"/>
  <c r="T150" i="41" s="1"/>
  <c r="X149" i="41" s="1"/>
  <c r="T149" i="36"/>
  <c r="V149" i="36"/>
  <c r="F147" i="34"/>
  <c r="J45" i="32"/>
  <c r="J44" i="32"/>
  <c r="AA12" i="13"/>
  <c r="AG12" i="13" s="1"/>
  <c r="H137" i="46"/>
  <c r="H140" i="46" s="1"/>
  <c r="F140" i="46"/>
  <c r="AV9" i="8"/>
  <c r="AR140" i="28"/>
  <c r="F147" i="40"/>
  <c r="AI85" i="41"/>
  <c r="AE34" i="29"/>
  <c r="D38" i="29"/>
  <c r="R33" i="29"/>
  <c r="AE38" i="29"/>
  <c r="D42" i="29"/>
  <c r="R37" i="29"/>
  <c r="V73" i="38"/>
  <c r="T73" i="38"/>
  <c r="AF7" i="10"/>
  <c r="AF8" i="10" s="1"/>
  <c r="AF9" i="10" s="1"/>
  <c r="AG83" i="39"/>
  <c r="V144" i="39"/>
  <c r="T144" i="39"/>
  <c r="Z150" i="49"/>
  <c r="Z149" i="49"/>
  <c r="R147" i="49"/>
  <c r="Y150" i="49"/>
  <c r="Y149" i="49"/>
  <c r="T149" i="41"/>
  <c r="V149" i="41"/>
  <c r="AG47" i="59"/>
  <c r="AG48" i="59" s="1"/>
  <c r="AK47" i="59" s="1"/>
  <c r="R46" i="59"/>
  <c r="AG52" i="59"/>
  <c r="D47" i="59"/>
  <c r="D52" i="59"/>
  <c r="F52" i="59" s="1"/>
  <c r="H52" i="59" s="1"/>
  <c r="L150" i="48"/>
  <c r="G147" i="48"/>
  <c r="K150" i="48"/>
  <c r="L149" i="48"/>
  <c r="D147" i="48"/>
  <c r="K149" i="48"/>
  <c r="V144" i="44"/>
  <c r="T144" i="44"/>
  <c r="H38" i="31"/>
  <c r="H40" i="31" s="1"/>
  <c r="F40" i="31"/>
  <c r="V142" i="37"/>
  <c r="V145" i="37" s="1"/>
  <c r="T142" i="37"/>
  <c r="T145" i="37" s="1"/>
  <c r="X144" i="37" s="1"/>
  <c r="AB144" i="37" s="1"/>
  <c r="H12" i="11"/>
  <c r="I12" i="11" s="1"/>
  <c r="D12" i="11"/>
  <c r="F12" i="11" s="1"/>
  <c r="G12" i="11" s="1"/>
  <c r="T149" i="47"/>
  <c r="V149" i="47"/>
  <c r="F47" i="31"/>
  <c r="AG43" i="31"/>
  <c r="X147" i="40"/>
  <c r="R149" i="40"/>
  <c r="H40" i="59"/>
  <c r="H42" i="59" s="1"/>
  <c r="F42" i="59"/>
  <c r="AV13" i="12"/>
  <c r="AV10" i="9"/>
  <c r="F64" i="36"/>
  <c r="J62" i="36"/>
  <c r="X147" i="37"/>
  <c r="R149" i="37"/>
  <c r="H5" i="4"/>
  <c r="I5" i="4" s="1"/>
  <c r="D5" i="4"/>
  <c r="F5" i="4" s="1"/>
  <c r="G5" i="4" s="1"/>
  <c r="V144" i="27"/>
  <c r="T144" i="27"/>
  <c r="AG53" i="33"/>
  <c r="T149" i="35"/>
  <c r="V149" i="35"/>
  <c r="F72" i="35"/>
  <c r="F59" i="35"/>
  <c r="J57" i="35"/>
  <c r="V88" i="41"/>
  <c r="T88" i="41"/>
  <c r="V144" i="49"/>
  <c r="T144" i="49"/>
  <c r="H142" i="28"/>
  <c r="H145" i="28" s="1"/>
  <c r="F145" i="28"/>
  <c r="G6" i="7"/>
  <c r="AR139" i="26"/>
  <c r="F62" i="34"/>
  <c r="F54" i="34"/>
  <c r="J52" i="34"/>
  <c r="F69" i="37"/>
  <c r="J67" i="37"/>
  <c r="F147" i="42"/>
  <c r="X147" i="34"/>
  <c r="R149" i="34"/>
  <c r="AG65" i="36"/>
  <c r="V149" i="48"/>
  <c r="T149" i="48"/>
  <c r="F147" i="31"/>
  <c r="V144" i="37"/>
  <c r="T144" i="37"/>
  <c r="H77" i="37"/>
  <c r="F142" i="30"/>
  <c r="AI41" i="59"/>
  <c r="AI42" i="59" s="1"/>
  <c r="AK42" i="59" s="1"/>
  <c r="AE41" i="59"/>
  <c r="F84" i="40"/>
  <c r="J82" i="40"/>
  <c r="Z150" i="43"/>
  <c r="Z149" i="43"/>
  <c r="R147" i="43"/>
  <c r="Y150" i="43"/>
  <c r="Y149" i="43"/>
  <c r="T33" i="30"/>
  <c r="V33" i="30"/>
  <c r="X147" i="50"/>
  <c r="R149" i="50"/>
  <c r="H17" i="16"/>
  <c r="I17" i="16" s="1"/>
  <c r="D17" i="16"/>
  <c r="F17" i="16" s="1"/>
  <c r="G17" i="16" s="1"/>
  <c r="F140" i="36"/>
  <c r="H137" i="36"/>
  <c r="H140" i="36" s="1"/>
  <c r="F142" i="48"/>
  <c r="J142" i="48"/>
  <c r="AO17" i="61"/>
  <c r="AF20" i="68" s="1"/>
  <c r="C14" i="37"/>
  <c r="R69" i="37" s="1"/>
  <c r="AP17" i="15"/>
  <c r="B17" i="15"/>
  <c r="AA15" i="16"/>
  <c r="AV20" i="19"/>
  <c r="V147" i="26"/>
  <c r="V150" i="26" s="1"/>
  <c r="T147" i="26"/>
  <c r="T150" i="26" s="1"/>
  <c r="X149" i="26" s="1"/>
  <c r="AB149" i="26" s="1"/>
  <c r="L149" i="46"/>
  <c r="D147" i="46"/>
  <c r="K149" i="46"/>
  <c r="L150" i="46"/>
  <c r="G147" i="46"/>
  <c r="K150" i="46"/>
  <c r="AV6" i="5"/>
  <c r="D8" i="7"/>
  <c r="H8" i="7"/>
  <c r="I8" i="7" s="1"/>
  <c r="V144" i="50"/>
  <c r="T144" i="50"/>
  <c r="AR135" i="45"/>
  <c r="AF11" i="13"/>
  <c r="AB40" i="34"/>
  <c r="AR40" i="34" s="1"/>
  <c r="AT40" i="34" s="1"/>
  <c r="E6" i="34" s="1"/>
  <c r="AG13" i="14"/>
  <c r="AR140" i="36"/>
  <c r="AR139" i="36"/>
  <c r="AJ22" i="61"/>
  <c r="AA25" i="68" s="1"/>
  <c r="AP22" i="20"/>
  <c r="C9" i="32"/>
  <c r="R49" i="32" s="1"/>
  <c r="B22" i="20"/>
  <c r="H21" i="20"/>
  <c r="I21" i="20" s="1"/>
  <c r="D21" i="20"/>
  <c r="F21" i="20" s="1"/>
  <c r="G21" i="20" s="1"/>
  <c r="AV18" i="17"/>
  <c r="F147" i="35"/>
  <c r="X147" i="33"/>
  <c r="R149" i="33"/>
  <c r="F147" i="49"/>
  <c r="J147" i="49"/>
  <c r="I174" i="59"/>
  <c r="K174" i="59"/>
  <c r="L173" i="59"/>
  <c r="G171" i="59"/>
  <c r="K173" i="59"/>
  <c r="D171" i="59"/>
  <c r="L174" i="59"/>
  <c r="I173" i="59"/>
  <c r="F8" i="8"/>
  <c r="F145" i="33"/>
  <c r="H142" i="33"/>
  <c r="H145" i="33" s="1"/>
  <c r="Z150" i="27"/>
  <c r="Z149" i="27"/>
  <c r="R147" i="27"/>
  <c r="Y150" i="27"/>
  <c r="Y149" i="27"/>
  <c r="AG25" i="61"/>
  <c r="X28" i="68" s="1"/>
  <c r="B25" i="23"/>
  <c r="C6" i="29"/>
  <c r="AP25" i="23"/>
  <c r="AV15" i="14"/>
  <c r="X145" i="48"/>
  <c r="AB145" i="48" s="1"/>
  <c r="AR145" i="48" s="1"/>
  <c r="X75" i="40"/>
  <c r="V142" i="39"/>
  <c r="V145" i="39" s="1"/>
  <c r="T142" i="39"/>
  <c r="T145" i="39" s="1"/>
  <c r="X144" i="39" s="1"/>
  <c r="AB144" i="39" s="1"/>
  <c r="H19" i="18"/>
  <c r="I19" i="18" s="1"/>
  <c r="D19" i="18"/>
  <c r="F19" i="18" s="1"/>
  <c r="G19" i="18" s="1"/>
  <c r="AA4" i="4"/>
  <c r="AI23" i="61"/>
  <c r="Z26" i="68" s="1"/>
  <c r="C8" i="31"/>
  <c r="D53" i="31" s="1"/>
  <c r="F53" i="31" s="1"/>
  <c r="H53" i="31" s="1"/>
  <c r="B23" i="21"/>
  <c r="AP23" i="21"/>
  <c r="C8" i="59"/>
  <c r="F145" i="44"/>
  <c r="H142" i="44"/>
  <c r="H145" i="44" s="1"/>
  <c r="AQ15" i="61"/>
  <c r="AH18" i="68" s="1"/>
  <c r="B15" i="13"/>
  <c r="AP15" i="13"/>
  <c r="C16" i="39"/>
  <c r="AR140" i="31"/>
  <c r="H142" i="41"/>
  <c r="H145" i="41" s="1"/>
  <c r="F145" i="41"/>
  <c r="F147" i="38"/>
  <c r="J80" i="40"/>
  <c r="J79" i="40"/>
  <c r="X5" i="6"/>
  <c r="AA5" i="6"/>
  <c r="X4" i="6"/>
  <c r="H9" i="8"/>
  <c r="I9" i="8" s="1"/>
  <c r="D9" i="8"/>
  <c r="F9" i="8" s="1"/>
  <c r="G9" i="8" s="1"/>
  <c r="H142" i="47"/>
  <c r="H145" i="47" s="1"/>
  <c r="F145" i="47"/>
  <c r="L149" i="37"/>
  <c r="D147" i="37"/>
  <c r="K149" i="37"/>
  <c r="L150" i="37"/>
  <c r="G147" i="37"/>
  <c r="K150" i="37"/>
  <c r="V147" i="29"/>
  <c r="V150" i="29" s="1"/>
  <c r="T147" i="29"/>
  <c r="T150" i="29" s="1"/>
  <c r="X149" i="29" s="1"/>
  <c r="AB149" i="29" s="1"/>
  <c r="Y14" i="14"/>
  <c r="V142" i="40"/>
  <c r="V145" i="40" s="1"/>
  <c r="T142" i="40"/>
  <c r="T145" i="40" s="1"/>
  <c r="X144" i="40" s="1"/>
  <c r="AB144" i="40" s="1"/>
  <c r="D25" i="24"/>
  <c r="F25" i="24" s="1"/>
  <c r="G25" i="24" s="1"/>
  <c r="H25" i="24"/>
  <c r="I25" i="24" s="1"/>
  <c r="F78" i="38"/>
  <c r="V74" i="39"/>
  <c r="V75" i="39" s="1"/>
  <c r="T74" i="39"/>
  <c r="T75" i="39" s="1"/>
  <c r="X74" i="39" s="1"/>
  <c r="X147" i="45"/>
  <c r="R149" i="45"/>
  <c r="X147" i="49"/>
  <c r="R149" i="49"/>
  <c r="AE48" i="31"/>
  <c r="D44" i="31"/>
  <c r="F44" i="31" s="1"/>
  <c r="H44" i="31" s="1"/>
  <c r="R43" i="31"/>
  <c r="AE44" i="31"/>
  <c r="AG44" i="31" s="1"/>
  <c r="R39" i="31"/>
  <c r="D48" i="31"/>
  <c r="F48" i="31" s="1"/>
  <c r="H48" i="31" s="1"/>
  <c r="AF15" i="17"/>
  <c r="H148" i="48"/>
  <c r="T142" i="33"/>
  <c r="T145" i="33" s="1"/>
  <c r="X144" i="33" s="1"/>
  <c r="AB144" i="33" s="1"/>
  <c r="V142" i="33"/>
  <c r="V145" i="33" s="1"/>
  <c r="V149" i="30"/>
  <c r="T149" i="30"/>
  <c r="H47" i="32"/>
  <c r="AA11" i="12"/>
  <c r="AG11" i="12" s="1"/>
  <c r="AS13" i="61"/>
  <c r="AJ16" i="68" s="1"/>
  <c r="B13" i="11"/>
  <c r="AP13" i="11"/>
  <c r="C18" i="41"/>
  <c r="T42" i="31"/>
  <c r="V42" i="31"/>
  <c r="T34" i="31"/>
  <c r="T35" i="31" s="1"/>
  <c r="X34" i="31" s="1"/>
  <c r="AB34" i="31" s="1"/>
  <c r="V34" i="31"/>
  <c r="V35" i="31" s="1"/>
  <c r="X35" i="31" s="1"/>
  <c r="AB35" i="31" s="1"/>
  <c r="Z150" i="40"/>
  <c r="Z149" i="40"/>
  <c r="R147" i="40"/>
  <c r="Y150" i="40"/>
  <c r="Y149" i="40"/>
  <c r="V144" i="40"/>
  <c r="T144" i="40"/>
  <c r="AR14" i="61"/>
  <c r="AI17" i="68" s="1"/>
  <c r="C17" i="40"/>
  <c r="AE98" i="40" s="1"/>
  <c r="AP14" i="12"/>
  <c r="B14" i="12"/>
  <c r="T149" i="38"/>
  <c r="V149" i="38"/>
  <c r="H10" i="9"/>
  <c r="I10" i="9" s="1"/>
  <c r="D10" i="9"/>
  <c r="F10" i="9" s="1"/>
  <c r="G10" i="9" s="1"/>
  <c r="V59" i="36"/>
  <c r="V60" i="36" s="1"/>
  <c r="T59" i="36"/>
  <c r="T60" i="36" s="1"/>
  <c r="X59" i="36" s="1"/>
  <c r="J89" i="42"/>
  <c r="J90" i="42"/>
  <c r="AV7" i="6"/>
  <c r="Z150" i="37"/>
  <c r="Z149" i="37"/>
  <c r="R147" i="37"/>
  <c r="Y150" i="37"/>
  <c r="Y149" i="37"/>
  <c r="AZ6" i="61"/>
  <c r="AP6" i="4"/>
  <c r="Y5" i="4" s="1"/>
  <c r="C25" i="48"/>
  <c r="B6" i="4"/>
  <c r="T52" i="33"/>
  <c r="V52" i="33"/>
  <c r="H137" i="45"/>
  <c r="H140" i="45" s="1"/>
  <c r="F140" i="45"/>
  <c r="V62" i="35"/>
  <c r="T62" i="35"/>
  <c r="AG63" i="35"/>
  <c r="F89" i="41"/>
  <c r="J87" i="41"/>
  <c r="AG10" i="12"/>
  <c r="AV11" i="10"/>
  <c r="H142" i="50"/>
  <c r="H145" i="50" s="1"/>
  <c r="J145" i="50" s="1"/>
  <c r="N145" i="50" s="1"/>
  <c r="AQ145" i="50" s="1"/>
  <c r="F145" i="50"/>
  <c r="J144" i="50" s="1"/>
  <c r="N144" i="50" s="1"/>
  <c r="AQ144" i="50" s="1"/>
  <c r="F4" i="4"/>
  <c r="F147" i="27"/>
  <c r="V57" i="34"/>
  <c r="T57" i="34"/>
  <c r="AG58" i="34"/>
  <c r="T68" i="37"/>
  <c r="V68" i="37"/>
  <c r="Z150" i="34"/>
  <c r="Z149" i="34"/>
  <c r="R147" i="34"/>
  <c r="Y150" i="34"/>
  <c r="Y149" i="34"/>
  <c r="AE65" i="36"/>
  <c r="AI64" i="36" s="1"/>
  <c r="AI50" i="34"/>
  <c r="H142" i="32"/>
  <c r="H145" i="32" s="1"/>
  <c r="F145" i="32"/>
  <c r="Y11" i="11"/>
  <c r="T40" i="59"/>
  <c r="V40" i="59"/>
  <c r="T83" i="40"/>
  <c r="T85" i="40" s="1"/>
  <c r="X84" i="40" s="1"/>
  <c r="V83" i="40"/>
  <c r="R149" i="43"/>
  <c r="X147" i="43"/>
  <c r="AF8" i="11"/>
  <c r="AF9" i="11" s="1"/>
  <c r="AF10" i="11" s="1"/>
  <c r="AG34" i="30"/>
  <c r="AG35" i="30" s="1"/>
  <c r="AE35" i="30"/>
  <c r="AI34" i="30" s="1"/>
  <c r="AM34" i="30" s="1"/>
  <c r="AS34" i="30" s="1"/>
  <c r="Z150" i="50"/>
  <c r="Z149" i="50"/>
  <c r="R147" i="50"/>
  <c r="Y150" i="50"/>
  <c r="Y149" i="50"/>
  <c r="AN18" i="61"/>
  <c r="AE21" i="68" s="1"/>
  <c r="AP18" i="16"/>
  <c r="C13" i="36"/>
  <c r="B18" i="16"/>
  <c r="AE79" i="38"/>
  <c r="AG79" i="38" s="1"/>
  <c r="R78" i="38"/>
  <c r="D79" i="38"/>
  <c r="F79" i="38" s="1"/>
  <c r="H79" i="38" s="1"/>
  <c r="AE83" i="38"/>
  <c r="R74" i="38"/>
  <c r="Y9" i="9"/>
  <c r="F140" i="30"/>
  <c r="H137" i="30"/>
  <c r="H140" i="30" s="1"/>
  <c r="H4" i="3"/>
  <c r="I4" i="3" s="1"/>
  <c r="D4" i="3"/>
  <c r="T142" i="27"/>
  <c r="T145" i="27" s="1"/>
  <c r="X144" i="27" s="1"/>
  <c r="AB144" i="27" s="1"/>
  <c r="V142" i="27"/>
  <c r="V145" i="27" s="1"/>
  <c r="AV20" i="53"/>
  <c r="H20" i="19"/>
  <c r="I20" i="19" s="1"/>
  <c r="D20" i="19"/>
  <c r="F20" i="19" s="1"/>
  <c r="G20" i="19" s="1"/>
  <c r="H148" i="46"/>
  <c r="T43" i="32"/>
  <c r="V43" i="32"/>
  <c r="H6" i="5"/>
  <c r="I6" i="5" s="1"/>
  <c r="D6" i="5"/>
  <c r="AR134" i="43"/>
  <c r="AW9" i="61"/>
  <c r="AN12" i="68" s="1"/>
  <c r="C22" i="45"/>
  <c r="B9" i="7"/>
  <c r="AP9" i="7"/>
  <c r="T147" i="36"/>
  <c r="T150" i="36" s="1"/>
  <c r="X149" i="36" s="1"/>
  <c r="AB149" i="36" s="1"/>
  <c r="V147" i="36"/>
  <c r="V150" i="36" s="1"/>
  <c r="X11" i="13"/>
  <c r="AR139" i="30"/>
  <c r="AV21" i="20"/>
  <c r="AF15" i="18"/>
  <c r="Z150" i="31"/>
  <c r="Z149" i="31"/>
  <c r="Y149" i="31"/>
  <c r="Y150" i="31"/>
  <c r="R147" i="31"/>
  <c r="H142" i="42"/>
  <c r="H145" i="42" s="1"/>
  <c r="F145" i="42"/>
  <c r="AA4" i="5"/>
  <c r="X147" i="27"/>
  <c r="R149" i="27"/>
  <c r="F142" i="36"/>
  <c r="R34" i="30"/>
  <c r="D43" i="30"/>
  <c r="F43" i="30" s="1"/>
  <c r="H43" i="30" s="1"/>
  <c r="AE39" i="30"/>
  <c r="AG39" i="30" s="1"/>
  <c r="R38" i="30"/>
  <c r="AE43" i="30"/>
  <c r="D39" i="30"/>
  <c r="F39" i="30" s="1"/>
  <c r="H39" i="30" s="1"/>
  <c r="R42" i="30"/>
  <c r="D47" i="30"/>
  <c r="AP16" i="61"/>
  <c r="AG19" i="68" s="1"/>
  <c r="C15" i="38"/>
  <c r="AP16" i="14"/>
  <c r="B16" i="14"/>
  <c r="F140" i="48"/>
  <c r="H137" i="48"/>
  <c r="H140" i="48" s="1"/>
  <c r="F142" i="45"/>
  <c r="AA15" i="15"/>
  <c r="AL20" i="61"/>
  <c r="AC23" i="68" s="1"/>
  <c r="B20" i="18"/>
  <c r="C11" i="34"/>
  <c r="AP20" i="18"/>
  <c r="AV22" i="21"/>
  <c r="V142" i="50"/>
  <c r="V145" i="50" s="1"/>
  <c r="T142" i="50"/>
  <c r="T145" i="50" s="1"/>
  <c r="X144" i="50" s="1"/>
  <c r="AB144" i="50" s="1"/>
  <c r="AE89" i="40"/>
  <c r="AG89" i="40" s="1"/>
  <c r="AE93" i="40"/>
  <c r="D89" i="40"/>
  <c r="R88" i="40"/>
  <c r="X147" i="28"/>
  <c r="R149" i="28"/>
  <c r="F10" i="10"/>
  <c r="F142" i="37"/>
  <c r="T142" i="31"/>
  <c r="T145" i="31" s="1"/>
  <c r="X144" i="31" s="1"/>
  <c r="AB144" i="31" s="1"/>
  <c r="V142" i="31"/>
  <c r="V145" i="31" s="1"/>
  <c r="V144" i="33"/>
  <c r="T144" i="33"/>
  <c r="H72" i="36"/>
  <c r="AV10" i="61"/>
  <c r="AM13" i="68" s="1"/>
  <c r="AP10" i="8"/>
  <c r="B10" i="8"/>
  <c r="C21" i="44"/>
  <c r="V147" i="47"/>
  <c r="V150" i="47" s="1"/>
  <c r="T147" i="47"/>
  <c r="T150" i="47" s="1"/>
  <c r="X149" i="47" s="1"/>
  <c r="AB149" i="47" s="1"/>
  <c r="H57" i="34"/>
  <c r="AV25" i="24"/>
  <c r="F74" i="38"/>
  <c r="J72" i="38"/>
  <c r="T64" i="38"/>
  <c r="T65" i="38" s="1"/>
  <c r="X64" i="38" s="1"/>
  <c r="V64" i="38"/>
  <c r="V65" i="38" s="1"/>
  <c r="Y150" i="45"/>
  <c r="Y149" i="45"/>
  <c r="Z149" i="45"/>
  <c r="R147" i="45"/>
  <c r="Z150" i="45"/>
  <c r="J147" i="50"/>
  <c r="F147" i="50"/>
  <c r="H142" i="38"/>
  <c r="H145" i="38" s="1"/>
  <c r="F145" i="38"/>
  <c r="AV23" i="22"/>
  <c r="F142" i="39"/>
  <c r="Y8" i="8"/>
  <c r="X7" i="8" s="1"/>
  <c r="L150" i="30"/>
  <c r="G147" i="30"/>
  <c r="K150" i="30"/>
  <c r="L149" i="30"/>
  <c r="D147" i="30"/>
  <c r="K149" i="30"/>
  <c r="R149" i="39"/>
  <c r="X147" i="39"/>
  <c r="T149" i="29"/>
  <c r="V149" i="29"/>
  <c r="V38" i="31"/>
  <c r="T38" i="31"/>
  <c r="F147" i="32"/>
  <c r="AU11" i="61"/>
  <c r="AL14" i="68" s="1"/>
  <c r="C20" i="43"/>
  <c r="B11" i="9"/>
  <c r="AP11" i="9"/>
  <c r="T72" i="36"/>
  <c r="V72" i="36"/>
  <c r="AG68" i="36"/>
  <c r="H7" i="6"/>
  <c r="I7" i="6" s="1"/>
  <c r="D7" i="6"/>
  <c r="F7" i="6" s="1"/>
  <c r="G7" i="6" s="1"/>
  <c r="H137" i="37"/>
  <c r="H140" i="37" s="1"/>
  <c r="F140" i="37"/>
  <c r="AV5" i="4"/>
  <c r="AA7" i="7"/>
  <c r="F57" i="33"/>
  <c r="V44" i="33"/>
  <c r="V45" i="33" s="1"/>
  <c r="T44" i="33"/>
  <c r="T45" i="33" s="1"/>
  <c r="X44" i="33" s="1"/>
  <c r="V58" i="35"/>
  <c r="T58" i="35"/>
  <c r="AE95" i="41"/>
  <c r="AI94" i="41" s="1"/>
  <c r="AG93" i="41"/>
  <c r="AG95" i="41" s="1"/>
  <c r="H142" i="34"/>
  <c r="H145" i="34" s="1"/>
  <c r="F145" i="34"/>
  <c r="X10" i="12"/>
  <c r="H11" i="10"/>
  <c r="I11" i="10" s="1"/>
  <c r="D11" i="10"/>
  <c r="F11" i="10" s="1"/>
  <c r="G11" i="10" s="1"/>
  <c r="F142" i="43"/>
  <c r="AG73" i="37"/>
  <c r="J40" i="32"/>
  <c r="N40" i="32" s="1"/>
  <c r="AQ40" i="32" s="1"/>
  <c r="J39" i="32"/>
  <c r="N39" i="32" s="1"/>
  <c r="AQ39" i="32" s="1"/>
  <c r="AI80" i="40"/>
  <c r="V144" i="34"/>
  <c r="T144" i="34"/>
  <c r="V147" i="30"/>
  <c r="V150" i="30" s="1"/>
  <c r="T147" i="30"/>
  <c r="T150" i="30" s="1"/>
  <c r="X149" i="30" s="1"/>
  <c r="AB149" i="30" s="1"/>
  <c r="T142" i="44"/>
  <c r="T145" i="44" s="1"/>
  <c r="X144" i="44" s="1"/>
  <c r="AB144" i="44" s="1"/>
  <c r="V142" i="44"/>
  <c r="V145" i="44" s="1"/>
  <c r="L150" i="39"/>
  <c r="G147" i="39"/>
  <c r="K149" i="39"/>
  <c r="D147" i="39"/>
  <c r="K150" i="39"/>
  <c r="L149" i="39"/>
  <c r="H74" i="39"/>
  <c r="H75" i="39" s="1"/>
  <c r="J75" i="39" s="1"/>
  <c r="F75" i="39"/>
  <c r="J74" i="39" s="1"/>
  <c r="F147" i="41"/>
  <c r="L150" i="43"/>
  <c r="G147" i="43"/>
  <c r="K150" i="43"/>
  <c r="L149" i="43"/>
  <c r="D147" i="43"/>
  <c r="K149" i="43"/>
  <c r="F51" i="59"/>
  <c r="AI46" i="59"/>
  <c r="AE46" i="59"/>
  <c r="AG88" i="40"/>
  <c r="F42" i="30"/>
  <c r="AG38" i="30"/>
  <c r="V142" i="28"/>
  <c r="V145" i="28" s="1"/>
  <c r="T142" i="28"/>
  <c r="T145" i="28" s="1"/>
  <c r="X144" i="28" s="1"/>
  <c r="AB144" i="28" s="1"/>
  <c r="F147" i="28"/>
  <c r="Y12" i="12"/>
  <c r="X11" i="12" s="1"/>
  <c r="AV17" i="16"/>
  <c r="L150" i="26"/>
  <c r="G147" i="26"/>
  <c r="K150" i="26"/>
  <c r="L149" i="26"/>
  <c r="D147" i="26"/>
  <c r="K149" i="26"/>
  <c r="X6" i="8"/>
  <c r="AV16" i="15"/>
  <c r="BB4" i="61"/>
  <c r="BC3" i="61"/>
  <c r="B4" i="2"/>
  <c r="AP4" i="2"/>
  <c r="C27" i="50"/>
  <c r="D20" i="53"/>
  <c r="F20" i="53" s="1"/>
  <c r="G20" i="53" s="1"/>
  <c r="H20" i="53"/>
  <c r="I20" i="53" s="1"/>
  <c r="AK21" i="61"/>
  <c r="AB24" i="68" s="1"/>
  <c r="AP21" i="19"/>
  <c r="C10" i="33"/>
  <c r="D67" i="33" s="1"/>
  <c r="F67" i="33" s="1"/>
  <c r="B21" i="19"/>
  <c r="AP21" i="53"/>
  <c r="B21" i="53"/>
  <c r="F147" i="47"/>
  <c r="F145" i="27"/>
  <c r="H142" i="27"/>
  <c r="H145" i="27" s="1"/>
  <c r="Y13" i="13"/>
  <c r="AF4" i="6"/>
  <c r="K150" i="36"/>
  <c r="K149" i="36"/>
  <c r="L150" i="36"/>
  <c r="G147" i="36"/>
  <c r="L149" i="36"/>
  <c r="D147" i="36"/>
  <c r="AG90" i="41"/>
  <c r="AI90" i="41" s="1"/>
  <c r="AY7" i="61"/>
  <c r="B7" i="5"/>
  <c r="C24" i="47"/>
  <c r="AP7" i="5"/>
  <c r="AF14" i="16"/>
  <c r="H142" i="35"/>
  <c r="H145" i="35" s="1"/>
  <c r="F145" i="35"/>
  <c r="Z150" i="44"/>
  <c r="Z149" i="44"/>
  <c r="R147" i="44"/>
  <c r="Y150" i="44"/>
  <c r="Y149" i="44"/>
  <c r="AK40" i="33"/>
  <c r="AM40" i="33" s="1"/>
  <c r="AS40" i="33" s="1"/>
  <c r="Z40" i="33"/>
  <c r="L45" i="33"/>
  <c r="AF14" i="15"/>
  <c r="CX102" i="61" l="1"/>
  <c r="AP10" i="68"/>
  <c r="DB98" i="61"/>
  <c r="AT6" i="68"/>
  <c r="CZ100" i="61"/>
  <c r="AR8" i="68"/>
  <c r="EX131" i="61"/>
  <c r="GI131" i="61" s="1"/>
  <c r="O10" i="64" s="1"/>
  <c r="AO11" i="68"/>
  <c r="DA99" i="61"/>
  <c r="AS7" i="68"/>
  <c r="CY101" i="61"/>
  <c r="AQ9" i="68"/>
  <c r="V20" i="30"/>
  <c r="Z40" i="43"/>
  <c r="AB40" i="43" s="1"/>
  <c r="AK40" i="43"/>
  <c r="AM40" i="43" s="1"/>
  <c r="AS40" i="43" s="1"/>
  <c r="L45" i="43"/>
  <c r="N45" i="43" s="1"/>
  <c r="AQ45" i="43" s="1"/>
  <c r="AK39" i="43"/>
  <c r="AM39" i="43" s="1"/>
  <c r="AS39" i="43" s="1"/>
  <c r="Z39" i="43"/>
  <c r="AB39" i="43" s="1"/>
  <c r="AR39" i="43" s="1"/>
  <c r="L44" i="43"/>
  <c r="N44" i="43" s="1"/>
  <c r="AQ44" i="43" s="1"/>
  <c r="T3" i="30"/>
  <c r="V26" i="30"/>
  <c r="X26" i="30" s="1"/>
  <c r="T14" i="30"/>
  <c r="V14" i="30" s="1"/>
  <c r="X14" i="30" s="1"/>
  <c r="V9" i="30"/>
  <c r="X9" i="30" s="1"/>
  <c r="X10" i="30" s="1"/>
  <c r="L22" i="30"/>
  <c r="L23" i="30" s="1"/>
  <c r="J23" i="30"/>
  <c r="N22" i="30" s="1"/>
  <c r="V2" i="30"/>
  <c r="X2" i="30"/>
  <c r="N15" i="30"/>
  <c r="N17" i="30" s="1"/>
  <c r="P14" i="30"/>
  <c r="L15" i="30"/>
  <c r="L17" i="30" s="1"/>
  <c r="V26" i="29"/>
  <c r="T14" i="29"/>
  <c r="V14" i="29" s="1"/>
  <c r="X14" i="29" s="1"/>
  <c r="AH3" i="29"/>
  <c r="T3" i="29"/>
  <c r="T20" i="29"/>
  <c r="AH8" i="29"/>
  <c r="V9" i="29"/>
  <c r="X9" i="29" s="1"/>
  <c r="V13" i="29"/>
  <c r="X8" i="29"/>
  <c r="V8" i="28"/>
  <c r="J15" i="28"/>
  <c r="T13" i="28"/>
  <c r="J22" i="28"/>
  <c r="T2" i="28"/>
  <c r="AL3" i="30"/>
  <c r="V2" i="29"/>
  <c r="X2" i="29"/>
  <c r="J23" i="29"/>
  <c r="N22" i="29" s="1"/>
  <c r="L22" i="29"/>
  <c r="L23" i="29" s="1"/>
  <c r="L15" i="29"/>
  <c r="L17" i="29" s="1"/>
  <c r="N15" i="29"/>
  <c r="N17" i="29" s="1"/>
  <c r="P14" i="29"/>
  <c r="AI55" i="34"/>
  <c r="AK44" i="35"/>
  <c r="AM44" i="35" s="1"/>
  <c r="AS44" i="35" s="1"/>
  <c r="L49" i="35"/>
  <c r="N49" i="35" s="1"/>
  <c r="AQ49" i="35" s="1"/>
  <c r="AT49" i="35" s="1"/>
  <c r="D8" i="35" s="1"/>
  <c r="AR54" i="37"/>
  <c r="AT54" i="37" s="1"/>
  <c r="D9" i="37" s="1"/>
  <c r="L64" i="37" s="1"/>
  <c r="N64" i="37" s="1"/>
  <c r="AQ64" i="37" s="1"/>
  <c r="Z49" i="35"/>
  <c r="AB49" i="35" s="1"/>
  <c r="AR50" i="35" s="1"/>
  <c r="AI120" i="47"/>
  <c r="J105" i="44"/>
  <c r="J104" i="44"/>
  <c r="J145" i="49"/>
  <c r="N145" i="49" s="1"/>
  <c r="AQ145" i="49" s="1"/>
  <c r="J62" i="35"/>
  <c r="T103" i="43"/>
  <c r="N45" i="33"/>
  <c r="AQ45" i="33" s="1"/>
  <c r="N44" i="33"/>
  <c r="AQ44" i="33" s="1"/>
  <c r="T84" i="40"/>
  <c r="D213" i="66"/>
  <c r="D268" i="66"/>
  <c r="J236" i="66"/>
  <c r="B236" i="65" s="1"/>
  <c r="Y6" i="5"/>
  <c r="AI40" i="31"/>
  <c r="Z59" i="38"/>
  <c r="AB59" i="38" s="1"/>
  <c r="AR59" i="39"/>
  <c r="AT59" i="39" s="1"/>
  <c r="D10" i="39" s="1"/>
  <c r="L69" i="39" s="1"/>
  <c r="N69" i="39" s="1"/>
  <c r="AQ69" i="39" s="1"/>
  <c r="L363" i="66"/>
  <c r="J102" i="43"/>
  <c r="Y7" i="6"/>
  <c r="D278" i="65"/>
  <c r="J278" i="66"/>
  <c r="B278" i="65" s="1"/>
  <c r="A194" i="66"/>
  <c r="AI115" i="46"/>
  <c r="AI130" i="49"/>
  <c r="J95" i="42"/>
  <c r="N95" i="42" s="1"/>
  <c r="AQ95" i="42" s="1"/>
  <c r="I236" i="66"/>
  <c r="B324" i="66"/>
  <c r="D194" i="65"/>
  <c r="I194" i="66"/>
  <c r="AE115" i="45"/>
  <c r="AI114" i="45" s="1"/>
  <c r="AI70" i="37"/>
  <c r="DD98" i="61"/>
  <c r="DG98" i="61" s="1"/>
  <c r="X4" i="5"/>
  <c r="Z64" i="41"/>
  <c r="AB64" i="41" s="1"/>
  <c r="J112" i="45"/>
  <c r="AK64" i="41"/>
  <c r="AM64" i="41" s="1"/>
  <c r="AS64" i="41" s="1"/>
  <c r="B245" i="66"/>
  <c r="AK64" i="42"/>
  <c r="AM64" i="42" s="1"/>
  <c r="AS64" i="42" s="1"/>
  <c r="Z64" i="42"/>
  <c r="AB64" i="42" s="1"/>
  <c r="D195" i="66"/>
  <c r="B195" i="66" s="1"/>
  <c r="L183" i="66"/>
  <c r="B268" i="66"/>
  <c r="A268" i="66"/>
  <c r="J170" i="66"/>
  <c r="B170" i="65" s="1"/>
  <c r="I170" i="66"/>
  <c r="D170" i="65"/>
  <c r="A170" i="65" s="1"/>
  <c r="D302" i="65"/>
  <c r="I302" i="66"/>
  <c r="J302" i="66"/>
  <c r="B302" i="65" s="1"/>
  <c r="D182" i="65"/>
  <c r="J182" i="66"/>
  <c r="B182" i="65" s="1"/>
  <c r="I182" i="66"/>
  <c r="L279" i="66"/>
  <c r="J279" i="66" s="1"/>
  <c r="B279" i="65" s="1"/>
  <c r="L243" i="66"/>
  <c r="D325" i="66"/>
  <c r="B325" i="66" s="1"/>
  <c r="L303" i="66"/>
  <c r="B190" i="66"/>
  <c r="A190" i="66"/>
  <c r="L237" i="66"/>
  <c r="I237" i="66" s="1"/>
  <c r="D191" i="66"/>
  <c r="D246" i="66"/>
  <c r="B246" i="66" s="1"/>
  <c r="D218" i="65"/>
  <c r="A218" i="65" s="1"/>
  <c r="I218" i="66"/>
  <c r="J218" i="66"/>
  <c r="B218" i="65" s="1"/>
  <c r="D242" i="65"/>
  <c r="A242" i="65" s="1"/>
  <c r="I242" i="66"/>
  <c r="J242" i="66"/>
  <c r="B242" i="65" s="1"/>
  <c r="B213" i="66"/>
  <c r="A213" i="66"/>
  <c r="D234" i="66"/>
  <c r="D202" i="66"/>
  <c r="L219" i="66"/>
  <c r="AK65" i="42"/>
  <c r="AM65" i="42" s="1"/>
  <c r="AS65" i="42" s="1"/>
  <c r="Z65" i="42"/>
  <c r="AB65" i="42" s="1"/>
  <c r="L70" i="42"/>
  <c r="N70" i="42" s="1"/>
  <c r="AQ70" i="42" s="1"/>
  <c r="AG115" i="45"/>
  <c r="L70" i="41"/>
  <c r="N70" i="41" s="1"/>
  <c r="AQ70" i="41" s="1"/>
  <c r="AK65" i="41"/>
  <c r="AM65" i="41" s="1"/>
  <c r="AS65" i="41" s="1"/>
  <c r="Z65" i="41"/>
  <c r="AB65" i="41" s="1"/>
  <c r="AI110" i="45"/>
  <c r="X90" i="43"/>
  <c r="Z79" i="48"/>
  <c r="AB79" i="48" s="1"/>
  <c r="L84" i="48"/>
  <c r="N84" i="48" s="1"/>
  <c r="AQ84" i="48" s="1"/>
  <c r="Z80" i="48"/>
  <c r="AB80" i="48" s="1"/>
  <c r="L265" i="66"/>
  <c r="A168" i="66"/>
  <c r="B168" i="66"/>
  <c r="A246" i="66"/>
  <c r="AI135" i="49"/>
  <c r="AI145" i="49"/>
  <c r="X110" i="46"/>
  <c r="B207" i="66"/>
  <c r="A207" i="66"/>
  <c r="D182" i="66"/>
  <c r="L195" i="66"/>
  <c r="X100" i="44"/>
  <c r="D169" i="66"/>
  <c r="L181" i="66"/>
  <c r="D208" i="66"/>
  <c r="L223" i="66"/>
  <c r="I363" i="66"/>
  <c r="D363" i="65"/>
  <c r="A363" i="65" s="1"/>
  <c r="J363" i="66"/>
  <c r="B363" i="65" s="1"/>
  <c r="D180" i="65"/>
  <c r="A180" i="65" s="1"/>
  <c r="J180" i="66"/>
  <c r="B180" i="65" s="1"/>
  <c r="I180" i="66"/>
  <c r="J264" i="66"/>
  <c r="B264" i="65" s="1"/>
  <c r="D264" i="65"/>
  <c r="I264" i="66"/>
  <c r="AE133" i="47"/>
  <c r="AE129" i="47"/>
  <c r="AG129" i="47" s="1"/>
  <c r="R133" i="47"/>
  <c r="AE139" i="47"/>
  <c r="AG139" i="47" s="1"/>
  <c r="R138" i="47"/>
  <c r="AE134" i="47"/>
  <c r="AG134" i="47" s="1"/>
  <c r="AE138" i="47"/>
  <c r="R128" i="47"/>
  <c r="D129" i="47"/>
  <c r="D134" i="47"/>
  <c r="R143" i="47"/>
  <c r="AE144" i="47"/>
  <c r="AG144" i="47" s="1"/>
  <c r="AE143" i="47"/>
  <c r="D139" i="47"/>
  <c r="R148" i="47"/>
  <c r="AE149" i="47"/>
  <c r="AG149" i="47" s="1"/>
  <c r="AE148" i="47"/>
  <c r="D144" i="47"/>
  <c r="D149" i="47"/>
  <c r="D368" i="66"/>
  <c r="L387" i="66"/>
  <c r="CT106" i="61"/>
  <c r="D178" i="66"/>
  <c r="L187" i="66"/>
  <c r="D118" i="44"/>
  <c r="F118" i="44" s="1"/>
  <c r="H118" i="44" s="1"/>
  <c r="R109" i="44"/>
  <c r="AE114" i="44"/>
  <c r="AG114" i="44" s="1"/>
  <c r="AE118" i="44"/>
  <c r="D114" i="44"/>
  <c r="F114" i="44" s="1"/>
  <c r="H114" i="44" s="1"/>
  <c r="R113" i="44"/>
  <c r="D311" i="66"/>
  <c r="R89" i="41"/>
  <c r="D103" i="41"/>
  <c r="F103" i="41" s="1"/>
  <c r="R102" i="41"/>
  <c r="D107" i="41"/>
  <c r="F107" i="41" s="1"/>
  <c r="R84" i="39"/>
  <c r="T84" i="39" s="1"/>
  <c r="D98" i="39"/>
  <c r="F98" i="39" s="1"/>
  <c r="H98" i="39" s="1"/>
  <c r="R97" i="39"/>
  <c r="D102" i="39"/>
  <c r="F102" i="39" s="1"/>
  <c r="CW103" i="61"/>
  <c r="D121" i="66"/>
  <c r="L127" i="66"/>
  <c r="D425" i="66"/>
  <c r="L447" i="66"/>
  <c r="L347" i="66"/>
  <c r="J135" i="49"/>
  <c r="N135" i="49" s="1"/>
  <c r="AQ135" i="49" s="1"/>
  <c r="J134" i="49"/>
  <c r="N134" i="49" s="1"/>
  <c r="AQ134" i="49" s="1"/>
  <c r="V118" i="46"/>
  <c r="T118" i="46"/>
  <c r="V114" i="46"/>
  <c r="V115" i="46" s="1"/>
  <c r="T114" i="46"/>
  <c r="T115" i="46" s="1"/>
  <c r="X114" i="46" s="1"/>
  <c r="V99" i="43"/>
  <c r="V100" i="43" s="1"/>
  <c r="T99" i="43"/>
  <c r="F124" i="47"/>
  <c r="H124" i="47" s="1"/>
  <c r="J122" i="47"/>
  <c r="V108" i="44"/>
  <c r="T108" i="44"/>
  <c r="F113" i="44"/>
  <c r="H102" i="40"/>
  <c r="X115" i="47"/>
  <c r="J125" i="48"/>
  <c r="N125" i="48" s="1"/>
  <c r="AQ125" i="48" s="1"/>
  <c r="J124" i="48"/>
  <c r="N124" i="48" s="1"/>
  <c r="AQ124" i="48" s="1"/>
  <c r="B177" i="66"/>
  <c r="A177" i="66"/>
  <c r="AG118" i="45"/>
  <c r="B234" i="66"/>
  <c r="A234" i="66"/>
  <c r="AG125" i="47"/>
  <c r="F134" i="48"/>
  <c r="H134" i="48" s="1"/>
  <c r="J132" i="48"/>
  <c r="V138" i="48"/>
  <c r="T138" i="48"/>
  <c r="V133" i="48"/>
  <c r="T133" i="48"/>
  <c r="V102" i="42"/>
  <c r="T102" i="42"/>
  <c r="B139" i="66"/>
  <c r="A139" i="66"/>
  <c r="A386" i="66"/>
  <c r="B386" i="66"/>
  <c r="H97" i="39"/>
  <c r="AE130" i="48"/>
  <c r="AI129" i="48" s="1"/>
  <c r="D206" i="65"/>
  <c r="A206" i="65" s="1"/>
  <c r="I206" i="66"/>
  <c r="J206" i="66"/>
  <c r="B206" i="65" s="1"/>
  <c r="R87" i="38"/>
  <c r="D97" i="38"/>
  <c r="F97" i="38" s="1"/>
  <c r="CS107" i="61"/>
  <c r="L207" i="66"/>
  <c r="R123" i="46"/>
  <c r="AE128" i="46"/>
  <c r="D124" i="46"/>
  <c r="AE124" i="46"/>
  <c r="AG124" i="46" s="1"/>
  <c r="AE108" i="42"/>
  <c r="AG108" i="42" s="1"/>
  <c r="D104" i="42"/>
  <c r="J102" i="42" s="1"/>
  <c r="H119" i="47"/>
  <c r="H120" i="47" s="1"/>
  <c r="J120" i="47" s="1"/>
  <c r="F120" i="47"/>
  <c r="J119" i="47" s="1"/>
  <c r="J114" i="46"/>
  <c r="J115" i="46"/>
  <c r="H109" i="45"/>
  <c r="H110" i="45" s="1"/>
  <c r="J110" i="45" s="1"/>
  <c r="F110" i="45"/>
  <c r="J109" i="45" s="1"/>
  <c r="F105" i="43"/>
  <c r="H112" i="43"/>
  <c r="AG128" i="47"/>
  <c r="F109" i="44"/>
  <c r="J107" i="44"/>
  <c r="T112" i="44"/>
  <c r="V112" i="44"/>
  <c r="D466" i="65"/>
  <c r="A466" i="65" s="1"/>
  <c r="I466" i="66"/>
  <c r="J466" i="66"/>
  <c r="B466" i="65" s="1"/>
  <c r="D166" i="65"/>
  <c r="A166" i="65" s="1"/>
  <c r="J166" i="66"/>
  <c r="B166" i="65" s="1"/>
  <c r="I166" i="66"/>
  <c r="V109" i="45"/>
  <c r="V110" i="45" s="1"/>
  <c r="T109" i="45"/>
  <c r="T110" i="45" s="1"/>
  <c r="X109" i="45" s="1"/>
  <c r="D386" i="65"/>
  <c r="A386" i="65" s="1"/>
  <c r="I386" i="66"/>
  <c r="J386" i="66"/>
  <c r="B386" i="65" s="1"/>
  <c r="F120" i="46"/>
  <c r="V143" i="48"/>
  <c r="T143" i="48"/>
  <c r="T128" i="48"/>
  <c r="V128" i="48"/>
  <c r="AE140" i="48"/>
  <c r="AI139" i="48" s="1"/>
  <c r="AG138" i="48"/>
  <c r="AG140" i="48" s="1"/>
  <c r="H103" i="42"/>
  <c r="T87" i="39"/>
  <c r="V87" i="39"/>
  <c r="AG130" i="48"/>
  <c r="D486" i="65"/>
  <c r="A486" i="65" s="1"/>
  <c r="J486" i="66"/>
  <c r="B486" i="65" s="1"/>
  <c r="I486" i="66"/>
  <c r="B310" i="66"/>
  <c r="A310" i="66"/>
  <c r="R114" i="45"/>
  <c r="AE119" i="45"/>
  <c r="AG119" i="45" s="1"/>
  <c r="D119" i="45"/>
  <c r="F119" i="45" s="1"/>
  <c r="H119" i="45" s="1"/>
  <c r="R118" i="45"/>
  <c r="AE123" i="45"/>
  <c r="D406" i="66"/>
  <c r="L427" i="66"/>
  <c r="D444" i="66"/>
  <c r="L467" i="66"/>
  <c r="R99" i="42"/>
  <c r="D108" i="42"/>
  <c r="F108" i="42" s="1"/>
  <c r="H108" i="42" s="1"/>
  <c r="R107" i="42"/>
  <c r="D112" i="42"/>
  <c r="F112" i="42" s="1"/>
  <c r="D463" i="66"/>
  <c r="L487" i="66"/>
  <c r="H99" i="43"/>
  <c r="H100" i="43" s="1"/>
  <c r="J100" i="43" s="1"/>
  <c r="F100" i="43"/>
  <c r="J99" i="43" s="1"/>
  <c r="T100" i="43"/>
  <c r="X99" i="43" s="1"/>
  <c r="R103" i="42"/>
  <c r="T103" i="42" s="1"/>
  <c r="J129" i="49"/>
  <c r="N129" i="49" s="1"/>
  <c r="AQ129" i="49" s="1"/>
  <c r="J130" i="49"/>
  <c r="N130" i="49" s="1"/>
  <c r="AQ130" i="49" s="1"/>
  <c r="H105" i="43"/>
  <c r="J105" i="43" s="1"/>
  <c r="AG123" i="46"/>
  <c r="AG125" i="46" s="1"/>
  <c r="V107" i="43"/>
  <c r="T107" i="43"/>
  <c r="AG109" i="44"/>
  <c r="AG110" i="44" s="1"/>
  <c r="AE110" i="44"/>
  <c r="AI109" i="44" s="1"/>
  <c r="F117" i="44"/>
  <c r="B443" i="66"/>
  <c r="A443" i="66"/>
  <c r="AI125" i="48"/>
  <c r="D126" i="65"/>
  <c r="A126" i="65" s="1"/>
  <c r="J126" i="66"/>
  <c r="B126" i="65" s="1"/>
  <c r="I126" i="66"/>
  <c r="D106" i="65"/>
  <c r="A106" i="65" s="1"/>
  <c r="I106" i="66"/>
  <c r="J106" i="66"/>
  <c r="B106" i="65" s="1"/>
  <c r="B158" i="66"/>
  <c r="A158" i="66"/>
  <c r="D426" i="65"/>
  <c r="A426" i="65" s="1"/>
  <c r="J426" i="66"/>
  <c r="B426" i="65" s="1"/>
  <c r="I426" i="66"/>
  <c r="T113" i="45"/>
  <c r="V113" i="45"/>
  <c r="A367" i="66"/>
  <c r="B367" i="66"/>
  <c r="H120" i="46"/>
  <c r="AG120" i="46"/>
  <c r="F139" i="48"/>
  <c r="H139" i="48" s="1"/>
  <c r="J137" i="48"/>
  <c r="J139" i="48" s="1"/>
  <c r="N139" i="48" s="1"/>
  <c r="AQ139" i="48" s="1"/>
  <c r="AG148" i="48"/>
  <c r="AG150" i="48" s="1"/>
  <c r="AE150" i="48"/>
  <c r="AI149" i="48" s="1"/>
  <c r="AG143" i="48"/>
  <c r="AG145" i="48" s="1"/>
  <c r="AE145" i="48"/>
  <c r="AI144" i="48" s="1"/>
  <c r="V89" i="42"/>
  <c r="V90" i="42" s="1"/>
  <c r="T89" i="42"/>
  <c r="T90" i="42" s="1"/>
  <c r="X89" i="42" s="1"/>
  <c r="D446" i="65"/>
  <c r="A446" i="65" s="1"/>
  <c r="J446" i="66"/>
  <c r="B446" i="65" s="1"/>
  <c r="I446" i="66"/>
  <c r="AI150" i="49"/>
  <c r="B462" i="66"/>
  <c r="A462" i="66"/>
  <c r="R104" i="43"/>
  <c r="D113" i="43"/>
  <c r="R112" i="43"/>
  <c r="D117" i="43"/>
  <c r="R108" i="43"/>
  <c r="AE109" i="43"/>
  <c r="D109" i="43"/>
  <c r="AE113" i="43"/>
  <c r="CU105" i="61"/>
  <c r="D159" i="66"/>
  <c r="L167" i="66"/>
  <c r="CV104" i="61"/>
  <c r="D140" i="66"/>
  <c r="L147" i="66"/>
  <c r="CR108" i="61"/>
  <c r="L227" i="66"/>
  <c r="D254" i="66"/>
  <c r="D387" i="66"/>
  <c r="L407" i="66"/>
  <c r="D482" i="66"/>
  <c r="L507" i="66"/>
  <c r="H113" i="45"/>
  <c r="H115" i="45" s="1"/>
  <c r="F115" i="45"/>
  <c r="T123" i="47"/>
  <c r="V123" i="47"/>
  <c r="AG113" i="44"/>
  <c r="AG115" i="44" s="1"/>
  <c r="V104" i="44"/>
  <c r="V105" i="44" s="1"/>
  <c r="T104" i="44"/>
  <c r="T105" i="44" s="1"/>
  <c r="X104" i="44" s="1"/>
  <c r="V97" i="40"/>
  <c r="T97" i="40"/>
  <c r="AI140" i="49"/>
  <c r="A120" i="66"/>
  <c r="B120" i="66"/>
  <c r="D186" i="65"/>
  <c r="A186" i="65" s="1"/>
  <c r="J186" i="66"/>
  <c r="B186" i="65" s="1"/>
  <c r="I186" i="66"/>
  <c r="B101" i="66"/>
  <c r="A101" i="66"/>
  <c r="B405" i="66"/>
  <c r="A405" i="66"/>
  <c r="AE125" i="47"/>
  <c r="AI124" i="47" s="1"/>
  <c r="H117" i="45"/>
  <c r="H120" i="45" s="1"/>
  <c r="F120" i="45"/>
  <c r="AE120" i="46"/>
  <c r="AI119" i="46" s="1"/>
  <c r="V148" i="48"/>
  <c r="T148" i="48"/>
  <c r="F129" i="48"/>
  <c r="H129" i="48" s="1"/>
  <c r="J127" i="48"/>
  <c r="AG133" i="48"/>
  <c r="AG135" i="48" s="1"/>
  <c r="AE135" i="48"/>
  <c r="AI134" i="48" s="1"/>
  <c r="H107" i="42"/>
  <c r="D146" i="65"/>
  <c r="A146" i="65" s="1"/>
  <c r="J146" i="66"/>
  <c r="B146" i="65" s="1"/>
  <c r="I146" i="66"/>
  <c r="D406" i="65"/>
  <c r="A406" i="65" s="1"/>
  <c r="J406" i="66"/>
  <c r="B406" i="65" s="1"/>
  <c r="I406" i="66"/>
  <c r="J139" i="49"/>
  <c r="N139" i="49" s="1"/>
  <c r="AQ139" i="49" s="1"/>
  <c r="B424" i="66"/>
  <c r="A424" i="66"/>
  <c r="J117" i="46"/>
  <c r="X105" i="45"/>
  <c r="AP11" i="42"/>
  <c r="AR11" i="42" s="1"/>
  <c r="AL12" i="42" s="1"/>
  <c r="L10" i="42" s="1"/>
  <c r="AP64" i="42" s="1"/>
  <c r="AP50" i="45"/>
  <c r="AP49" i="45"/>
  <c r="X25" i="43"/>
  <c r="L9" i="43" s="1"/>
  <c r="CO111" i="61"/>
  <c r="A155" i="65"/>
  <c r="CH118" i="61"/>
  <c r="CF120" i="61"/>
  <c r="CE121" i="61"/>
  <c r="CJ116" i="61"/>
  <c r="CK115" i="61"/>
  <c r="CM113" i="61"/>
  <c r="CP110" i="61"/>
  <c r="CI117" i="61"/>
  <c r="CQ109" i="61"/>
  <c r="CN112" i="61"/>
  <c r="CG119" i="61"/>
  <c r="CL114" i="61"/>
  <c r="A194" i="65"/>
  <c r="X24" i="43"/>
  <c r="L8" i="43" s="1"/>
  <c r="T93" i="41"/>
  <c r="T50" i="33"/>
  <c r="X49" i="33" s="1"/>
  <c r="T39" i="32"/>
  <c r="T40" i="32" s="1"/>
  <c r="X39" i="32" s="1"/>
  <c r="X40" i="32" s="1"/>
  <c r="N60" i="36"/>
  <c r="AQ60" i="36" s="1"/>
  <c r="AG70" i="36"/>
  <c r="V85" i="40"/>
  <c r="X85" i="40" s="1"/>
  <c r="H27" i="25"/>
  <c r="I27" i="25" s="1"/>
  <c r="D27" i="25"/>
  <c r="F27" i="25" s="1"/>
  <c r="G27" i="25" s="1"/>
  <c r="AV27" i="25"/>
  <c r="V32" i="28"/>
  <c r="T32" i="28"/>
  <c r="AE33" i="27"/>
  <c r="AG33" i="27" s="1"/>
  <c r="R32" i="27"/>
  <c r="D37" i="27"/>
  <c r="F37" i="27" s="1"/>
  <c r="H37" i="27" s="1"/>
  <c r="AP28" i="25"/>
  <c r="C4" i="26"/>
  <c r="B28" i="25"/>
  <c r="AR140" i="45"/>
  <c r="J79" i="39"/>
  <c r="AE70" i="36"/>
  <c r="AI69" i="36" s="1"/>
  <c r="AR140" i="43"/>
  <c r="J80" i="39"/>
  <c r="AI60" i="35"/>
  <c r="AM60" i="35" s="1"/>
  <c r="AS60" i="35" s="1"/>
  <c r="AG90" i="40"/>
  <c r="AE90" i="40"/>
  <c r="AI89" i="40" s="1"/>
  <c r="AR50" i="36"/>
  <c r="AA10" i="10"/>
  <c r="AG10" i="10" s="1"/>
  <c r="N54" i="35"/>
  <c r="AQ54" i="35" s="1"/>
  <c r="AR140" i="37"/>
  <c r="Y11" i="10"/>
  <c r="X10" i="10" s="1"/>
  <c r="C34" i="59"/>
  <c r="N41" i="59" s="1"/>
  <c r="AS41" i="59" s="1"/>
  <c r="AK59" i="38"/>
  <c r="AM59" i="38" s="1"/>
  <c r="AS59" i="38" s="1"/>
  <c r="J42" i="31"/>
  <c r="D94" i="40"/>
  <c r="J92" i="40" s="1"/>
  <c r="AE94" i="40"/>
  <c r="AG94" i="40" s="1"/>
  <c r="AG60" i="34"/>
  <c r="AR145" i="29"/>
  <c r="AE60" i="34"/>
  <c r="AI59" i="34" s="1"/>
  <c r="V50" i="33"/>
  <c r="AI85" i="40"/>
  <c r="N55" i="35"/>
  <c r="AQ55" i="35" s="1"/>
  <c r="C35" i="59"/>
  <c r="N42" i="59" s="1"/>
  <c r="AS42" i="59" s="1"/>
  <c r="D77" i="35"/>
  <c r="F77" i="35" s="1"/>
  <c r="J92" i="41"/>
  <c r="J94" i="41" s="1"/>
  <c r="N94" i="41" s="1"/>
  <c r="AQ94" i="41" s="1"/>
  <c r="R93" i="40"/>
  <c r="V93" i="40" s="1"/>
  <c r="AT168" i="59"/>
  <c r="AR144" i="35"/>
  <c r="AI50" i="33"/>
  <c r="AI80" i="39"/>
  <c r="AI105" i="43"/>
  <c r="X80" i="40"/>
  <c r="X70" i="38"/>
  <c r="R41" i="59"/>
  <c r="T41" i="59" s="1"/>
  <c r="T42" i="59" s="1"/>
  <c r="X41" i="59" s="1"/>
  <c r="D58" i="59"/>
  <c r="F58" i="59" s="1"/>
  <c r="Z50" i="34"/>
  <c r="AB50" i="34" s="1"/>
  <c r="L55" i="34"/>
  <c r="AI100" i="43"/>
  <c r="H87" i="38"/>
  <c r="V77" i="37"/>
  <c r="T77" i="37"/>
  <c r="H53" i="32"/>
  <c r="V67" i="35"/>
  <c r="T67" i="35"/>
  <c r="H52" i="30"/>
  <c r="H67" i="33"/>
  <c r="D68" i="34"/>
  <c r="F68" i="34" s="1"/>
  <c r="R67" i="34"/>
  <c r="R79" i="38"/>
  <c r="D88" i="38"/>
  <c r="F88" i="38" s="1"/>
  <c r="H88" i="38" s="1"/>
  <c r="R77" i="36"/>
  <c r="D82" i="36"/>
  <c r="F82" i="36" s="1"/>
  <c r="AE99" i="41"/>
  <c r="AE103" i="41"/>
  <c r="D99" i="41"/>
  <c r="R98" i="41"/>
  <c r="V84" i="39"/>
  <c r="H84" i="40"/>
  <c r="H85" i="40" s="1"/>
  <c r="J85" i="40" s="1"/>
  <c r="F85" i="40"/>
  <c r="J84" i="40" s="1"/>
  <c r="H54" i="34"/>
  <c r="H55" i="34" s="1"/>
  <c r="J55" i="34" s="1"/>
  <c r="F55" i="34"/>
  <c r="J54" i="34" s="1"/>
  <c r="D72" i="34"/>
  <c r="F72" i="34" s="1"/>
  <c r="AR140" i="50"/>
  <c r="V82" i="38"/>
  <c r="T82" i="38"/>
  <c r="V69" i="37"/>
  <c r="V70" i="37" s="1"/>
  <c r="T69" i="37"/>
  <c r="T70" i="37" s="1"/>
  <c r="X69" i="37" s="1"/>
  <c r="H68" i="35"/>
  <c r="V47" i="30"/>
  <c r="T47" i="30"/>
  <c r="V98" i="42"/>
  <c r="T98" i="42"/>
  <c r="AG99" i="42"/>
  <c r="AG100" i="42" s="1"/>
  <c r="AE100" i="42"/>
  <c r="AI99" i="42" s="1"/>
  <c r="T49" i="32"/>
  <c r="V49" i="32"/>
  <c r="H89" i="41"/>
  <c r="H90" i="41" s="1"/>
  <c r="J90" i="41" s="1"/>
  <c r="F90" i="41"/>
  <c r="J89" i="41" s="1"/>
  <c r="R47" i="29"/>
  <c r="D52" i="29"/>
  <c r="F52" i="29" s="1"/>
  <c r="D83" i="37"/>
  <c r="F83" i="37" s="1"/>
  <c r="H83" i="37" s="1"/>
  <c r="R82" i="37"/>
  <c r="D87" i="37"/>
  <c r="F87" i="37" s="1"/>
  <c r="H69" i="37"/>
  <c r="H70" i="37" s="1"/>
  <c r="J70" i="37" s="1"/>
  <c r="F70" i="37"/>
  <c r="J69" i="37" s="1"/>
  <c r="H82" i="37"/>
  <c r="V79" i="39"/>
  <c r="V80" i="39" s="1"/>
  <c r="T79" i="39"/>
  <c r="T80" i="39" s="1"/>
  <c r="X79" i="39" s="1"/>
  <c r="AG103" i="42"/>
  <c r="AG105" i="42" s="1"/>
  <c r="AE105" i="42"/>
  <c r="AI104" i="42" s="1"/>
  <c r="F99" i="42"/>
  <c r="J97" i="42"/>
  <c r="Z55" i="36"/>
  <c r="AB55" i="36" s="1"/>
  <c r="AG75" i="37"/>
  <c r="AE75" i="37"/>
  <c r="AI74" i="37" s="1"/>
  <c r="Z60" i="38"/>
  <c r="AB60" i="38" s="1"/>
  <c r="L65" i="38"/>
  <c r="N65" i="38" s="1"/>
  <c r="AQ65" i="38" s="1"/>
  <c r="AK55" i="35"/>
  <c r="AM55" i="35" s="1"/>
  <c r="AS55" i="35" s="1"/>
  <c r="Z55" i="35"/>
  <c r="L60" i="35"/>
  <c r="AT173" i="59"/>
  <c r="AG65" i="35"/>
  <c r="AR55" i="37"/>
  <c r="AT55" i="37" s="1"/>
  <c r="E9" i="37" s="1"/>
  <c r="Z60" i="37" s="1"/>
  <c r="AB60" i="37" s="1"/>
  <c r="AE55" i="33"/>
  <c r="AI54" i="33" s="1"/>
  <c r="J39" i="31"/>
  <c r="N39" i="31" s="1"/>
  <c r="AQ39" i="31" s="1"/>
  <c r="AR144" i="42"/>
  <c r="AE65" i="35"/>
  <c r="AI64" i="35" s="1"/>
  <c r="AG55" i="33"/>
  <c r="AI55" i="33" s="1"/>
  <c r="J40" i="31"/>
  <c r="N40" i="31" s="1"/>
  <c r="AQ40" i="31" s="1"/>
  <c r="AR140" i="27"/>
  <c r="AR139" i="34"/>
  <c r="AG40" i="30"/>
  <c r="AK55" i="36"/>
  <c r="AM55" i="36" s="1"/>
  <c r="AS55" i="36" s="1"/>
  <c r="Z59" i="37"/>
  <c r="AB59" i="37" s="1"/>
  <c r="AR144" i="41"/>
  <c r="AR145" i="47"/>
  <c r="AI75" i="38"/>
  <c r="AT49" i="36"/>
  <c r="D8" i="36" s="1"/>
  <c r="AK54" i="36" s="1"/>
  <c r="AM54" i="36" s="1"/>
  <c r="AS54" i="36" s="1"/>
  <c r="AK54" i="35"/>
  <c r="AM54" i="35" s="1"/>
  <c r="AS54" i="35" s="1"/>
  <c r="Z54" i="35"/>
  <c r="AB54" i="35" s="1"/>
  <c r="L59" i="35"/>
  <c r="AK65" i="39"/>
  <c r="AM65" i="39" s="1"/>
  <c r="AS65" i="39" s="1"/>
  <c r="Z65" i="39"/>
  <c r="AB65" i="39" s="1"/>
  <c r="Z45" i="34"/>
  <c r="AB45" i="34" s="1"/>
  <c r="L50" i="34"/>
  <c r="N50" i="34" s="1"/>
  <c r="AQ50" i="34" s="1"/>
  <c r="AK45" i="34"/>
  <c r="AM45" i="34" s="1"/>
  <c r="AS45" i="34" s="1"/>
  <c r="AR139" i="33"/>
  <c r="AR44" i="35"/>
  <c r="AT44" i="35" s="1"/>
  <c r="D7" i="35" s="1"/>
  <c r="AK49" i="35" s="1"/>
  <c r="AM49" i="35" s="1"/>
  <c r="AS49" i="35" s="1"/>
  <c r="AR45" i="35"/>
  <c r="AT45" i="35" s="1"/>
  <c r="E7" i="35" s="1"/>
  <c r="AK50" i="35" s="1"/>
  <c r="AM50" i="35" s="1"/>
  <c r="AS50" i="35" s="1"/>
  <c r="AR45" i="36"/>
  <c r="AT45" i="36" s="1"/>
  <c r="E7" i="36" s="1"/>
  <c r="AK50" i="36" s="1"/>
  <c r="AM50" i="36" s="1"/>
  <c r="AS50" i="36" s="1"/>
  <c r="AR64" i="40"/>
  <c r="AT64" i="40" s="1"/>
  <c r="AR65" i="40"/>
  <c r="AT65" i="40" s="1"/>
  <c r="Z64" i="39"/>
  <c r="AB64" i="39" s="1"/>
  <c r="X55" i="35"/>
  <c r="AR139" i="40"/>
  <c r="Y10" i="9"/>
  <c r="AA10" i="9" s="1"/>
  <c r="AG10" i="9" s="1"/>
  <c r="X150" i="30"/>
  <c r="AB150" i="30" s="1"/>
  <c r="AR150" i="30" s="1"/>
  <c r="X145" i="34"/>
  <c r="AB145" i="34" s="1"/>
  <c r="AR144" i="34" s="1"/>
  <c r="X145" i="28"/>
  <c r="AB145" i="28" s="1"/>
  <c r="AR144" i="28" s="1"/>
  <c r="X145" i="43"/>
  <c r="AB145" i="43" s="1"/>
  <c r="AR145" i="43" s="1"/>
  <c r="X150" i="47"/>
  <c r="AB150" i="47" s="1"/>
  <c r="AR149" i="47" s="1"/>
  <c r="X150" i="42"/>
  <c r="AB150" i="42" s="1"/>
  <c r="AR150" i="42" s="1"/>
  <c r="X150" i="26"/>
  <c r="AB150" i="26" s="1"/>
  <c r="AR150" i="26" s="1"/>
  <c r="AR139" i="44"/>
  <c r="AB149" i="41"/>
  <c r="X150" i="41"/>
  <c r="AB150" i="41" s="1"/>
  <c r="X145" i="27"/>
  <c r="AB145" i="27" s="1"/>
  <c r="AR144" i="27" s="1"/>
  <c r="Y14" i="13"/>
  <c r="AA14" i="13" s="1"/>
  <c r="AG14" i="13" s="1"/>
  <c r="AE40" i="30"/>
  <c r="AI39" i="30" s="1"/>
  <c r="X45" i="33"/>
  <c r="X145" i="50"/>
  <c r="AB145" i="50" s="1"/>
  <c r="AR145" i="50" s="1"/>
  <c r="X145" i="49"/>
  <c r="AB145" i="49" s="1"/>
  <c r="AR145" i="49" s="1"/>
  <c r="X60" i="36"/>
  <c r="Y12" i="11"/>
  <c r="AA12" i="11" s="1"/>
  <c r="AG12" i="11" s="1"/>
  <c r="X145" i="33"/>
  <c r="AB145" i="33" s="1"/>
  <c r="AR144" i="33" s="1"/>
  <c r="AE85" i="39"/>
  <c r="AI84" i="39" s="1"/>
  <c r="AR144" i="36"/>
  <c r="AR139" i="39"/>
  <c r="AR140" i="46"/>
  <c r="AR145" i="26"/>
  <c r="X75" i="39"/>
  <c r="X145" i="45"/>
  <c r="AB145" i="45" s="1"/>
  <c r="AR144" i="45" s="1"/>
  <c r="AA6" i="5"/>
  <c r="AG6" i="5" s="1"/>
  <c r="X5" i="5"/>
  <c r="X145" i="31"/>
  <c r="AB145" i="31" s="1"/>
  <c r="AR144" i="31" s="1"/>
  <c r="X150" i="36"/>
  <c r="AB150" i="36" s="1"/>
  <c r="AR149" i="36" s="1"/>
  <c r="X145" i="39"/>
  <c r="AB145" i="39" s="1"/>
  <c r="AR144" i="39" s="1"/>
  <c r="X145" i="44"/>
  <c r="AB145" i="44" s="1"/>
  <c r="AR145" i="44" s="1"/>
  <c r="AR34" i="31"/>
  <c r="AT34" i="31" s="1"/>
  <c r="D5" i="31" s="1"/>
  <c r="AR35" i="31"/>
  <c r="AT35" i="31" s="1"/>
  <c r="E5" i="31" s="1"/>
  <c r="X150" i="29"/>
  <c r="AB150" i="29" s="1"/>
  <c r="AR150" i="29" s="1"/>
  <c r="AB149" i="48"/>
  <c r="X150" i="48"/>
  <c r="AB150" i="48" s="1"/>
  <c r="V149" i="39"/>
  <c r="T149" i="39"/>
  <c r="F147" i="36"/>
  <c r="AA13" i="13"/>
  <c r="AG13" i="13" s="1"/>
  <c r="H147" i="47"/>
  <c r="H150" i="47" s="1"/>
  <c r="F150" i="47"/>
  <c r="H21" i="19"/>
  <c r="I21" i="19" s="1"/>
  <c r="D21" i="19"/>
  <c r="F21" i="19" s="1"/>
  <c r="G21" i="19" s="1"/>
  <c r="AV4" i="2"/>
  <c r="F147" i="43"/>
  <c r="F147" i="39"/>
  <c r="AI95" i="41"/>
  <c r="AG7" i="7"/>
  <c r="H11" i="9"/>
  <c r="I11" i="9" s="1"/>
  <c r="D11" i="9"/>
  <c r="F11" i="9" s="1"/>
  <c r="G11" i="9" s="1"/>
  <c r="X150" i="38"/>
  <c r="AB150" i="38" s="1"/>
  <c r="AR149" i="38" s="1"/>
  <c r="X145" i="40"/>
  <c r="AB145" i="40" s="1"/>
  <c r="AR144" i="40" s="1"/>
  <c r="F145" i="39"/>
  <c r="H142" i="39"/>
  <c r="H145" i="39" s="1"/>
  <c r="H147" i="50"/>
  <c r="H150" i="50" s="1"/>
  <c r="J150" i="50" s="1"/>
  <c r="N150" i="50" s="1"/>
  <c r="AQ150" i="50" s="1"/>
  <c r="F150" i="50"/>
  <c r="J149" i="50" s="1"/>
  <c r="N149" i="50" s="1"/>
  <c r="AQ149" i="50" s="1"/>
  <c r="T147" i="45"/>
  <c r="T150" i="45" s="1"/>
  <c r="X149" i="45" s="1"/>
  <c r="AB149" i="45" s="1"/>
  <c r="V147" i="45"/>
  <c r="V150" i="45" s="1"/>
  <c r="AV11" i="61"/>
  <c r="AM14" i="68" s="1"/>
  <c r="C21" i="43"/>
  <c r="B11" i="8"/>
  <c r="AP11" i="8"/>
  <c r="AE64" i="34"/>
  <c r="AG64" i="34" s="1"/>
  <c r="AE68" i="34"/>
  <c r="D64" i="34"/>
  <c r="R63" i="34"/>
  <c r="R59" i="34"/>
  <c r="AV16" i="14"/>
  <c r="V42" i="30"/>
  <c r="T42" i="30"/>
  <c r="F145" i="36"/>
  <c r="H142" i="36"/>
  <c r="H145" i="36" s="1"/>
  <c r="AW10" i="61"/>
  <c r="AN13" i="68" s="1"/>
  <c r="C22" i="44"/>
  <c r="B10" i="7"/>
  <c r="AP10" i="7"/>
  <c r="F4" i="3"/>
  <c r="AG83" i="38"/>
  <c r="AE74" i="36"/>
  <c r="AG74" i="36" s="1"/>
  <c r="R73" i="36"/>
  <c r="AE78" i="36"/>
  <c r="R64" i="36"/>
  <c r="D74" i="36"/>
  <c r="D78" i="36"/>
  <c r="AA11" i="11"/>
  <c r="X10" i="11"/>
  <c r="V147" i="34"/>
  <c r="V150" i="34" s="1"/>
  <c r="T147" i="34"/>
  <c r="T150" i="34" s="1"/>
  <c r="X149" i="34" s="1"/>
  <c r="AB149" i="34" s="1"/>
  <c r="X150" i="35"/>
  <c r="AB150" i="35" s="1"/>
  <c r="AR149" i="35" s="1"/>
  <c r="AV6" i="4"/>
  <c r="AA7" i="6"/>
  <c r="AG7" i="6" s="1"/>
  <c r="H14" i="12"/>
  <c r="I14" i="12" s="1"/>
  <c r="D14" i="12"/>
  <c r="F14" i="12" s="1"/>
  <c r="G14" i="12" s="1"/>
  <c r="V147" i="40"/>
  <c r="V150" i="40" s="1"/>
  <c r="T147" i="40"/>
  <c r="T150" i="40" s="1"/>
  <c r="X149" i="40" s="1"/>
  <c r="AB149" i="40" s="1"/>
  <c r="H13" i="11"/>
  <c r="I13" i="11" s="1"/>
  <c r="D13" i="11"/>
  <c r="F13" i="11" s="1"/>
  <c r="G13" i="11" s="1"/>
  <c r="V149" i="49"/>
  <c r="T149" i="49"/>
  <c r="H78" i="38"/>
  <c r="H80" i="38" s="1"/>
  <c r="F80" i="38"/>
  <c r="H15" i="13"/>
  <c r="I15" i="13" s="1"/>
  <c r="D15" i="13"/>
  <c r="F15" i="13" s="1"/>
  <c r="G15" i="13" s="1"/>
  <c r="R48" i="31"/>
  <c r="AE49" i="31"/>
  <c r="AG49" i="31" s="1"/>
  <c r="AE53" i="31"/>
  <c r="R44" i="31"/>
  <c r="D49" i="31"/>
  <c r="F49" i="31" s="1"/>
  <c r="H49" i="31" s="1"/>
  <c r="D57" i="31"/>
  <c r="R52" i="31"/>
  <c r="H25" i="23"/>
  <c r="I25" i="23" s="1"/>
  <c r="D25" i="23"/>
  <c r="F25" i="23" s="1"/>
  <c r="G25" i="23" s="1"/>
  <c r="G8" i="8"/>
  <c r="F171" i="59"/>
  <c r="V149" i="33"/>
  <c r="T149" i="33"/>
  <c r="R53" i="32"/>
  <c r="AE54" i="32"/>
  <c r="AG54" i="32" s="1"/>
  <c r="AE58" i="32"/>
  <c r="D54" i="32"/>
  <c r="R57" i="32"/>
  <c r="D58" i="32"/>
  <c r="F58" i="32" s="1"/>
  <c r="H58" i="32" s="1"/>
  <c r="D62" i="32"/>
  <c r="F147" i="46"/>
  <c r="H17" i="15"/>
  <c r="I17" i="15" s="1"/>
  <c r="D17" i="15"/>
  <c r="F17" i="15" s="1"/>
  <c r="G17" i="15" s="1"/>
  <c r="V149" i="50"/>
  <c r="T149" i="50"/>
  <c r="V147" i="43"/>
  <c r="V150" i="43" s="1"/>
  <c r="T147" i="43"/>
  <c r="T150" i="43" s="1"/>
  <c r="X149" i="43" s="1"/>
  <c r="AB149" i="43" s="1"/>
  <c r="V149" i="40"/>
  <c r="T149" i="40"/>
  <c r="AI52" i="59"/>
  <c r="AE52" i="59"/>
  <c r="T147" i="49"/>
  <c r="T150" i="49" s="1"/>
  <c r="X149" i="49" s="1"/>
  <c r="AB149" i="49" s="1"/>
  <c r="V147" i="49"/>
  <c r="V150" i="49" s="1"/>
  <c r="X145" i="46"/>
  <c r="AB145" i="46" s="1"/>
  <c r="AR144" i="46" s="1"/>
  <c r="V37" i="29"/>
  <c r="T37" i="29"/>
  <c r="F38" i="29"/>
  <c r="H147" i="34"/>
  <c r="H150" i="34" s="1"/>
  <c r="F150" i="34"/>
  <c r="F57" i="32"/>
  <c r="AG53" i="32"/>
  <c r="AG68" i="35"/>
  <c r="AG88" i="39"/>
  <c r="T147" i="33"/>
  <c r="T150" i="33" s="1"/>
  <c r="X149" i="33" s="1"/>
  <c r="AB149" i="33" s="1"/>
  <c r="V147" i="33"/>
  <c r="V150" i="33" s="1"/>
  <c r="V149" i="44"/>
  <c r="T149" i="44"/>
  <c r="AG50" i="32"/>
  <c r="AG63" i="34"/>
  <c r="AV5" i="3"/>
  <c r="F150" i="44"/>
  <c r="H147" i="44"/>
  <c r="H150" i="44" s="1"/>
  <c r="T73" i="37"/>
  <c r="V73" i="37"/>
  <c r="F65" i="35"/>
  <c r="J64" i="35" s="1"/>
  <c r="AT13" i="61"/>
  <c r="AK16" i="68" s="1"/>
  <c r="AP13" i="10"/>
  <c r="C19" i="41"/>
  <c r="AE104" i="41" s="1"/>
  <c r="AG104" i="41" s="1"/>
  <c r="B13" i="10"/>
  <c r="AX9" i="61"/>
  <c r="B9" i="6"/>
  <c r="C23" i="45"/>
  <c r="AP9" i="6"/>
  <c r="Y8" i="6" s="1"/>
  <c r="AB40" i="33"/>
  <c r="AR39" i="33" s="1"/>
  <c r="AT39" i="33" s="1"/>
  <c r="D6" i="33" s="1"/>
  <c r="AV24" i="22"/>
  <c r="G9" i="9"/>
  <c r="AV26" i="24"/>
  <c r="H147" i="29"/>
  <c r="H150" i="29" s="1"/>
  <c r="F150" i="29"/>
  <c r="AV19" i="17"/>
  <c r="T57" i="33"/>
  <c r="V57" i="33"/>
  <c r="F54" i="33"/>
  <c r="J52" i="33"/>
  <c r="V68" i="36"/>
  <c r="T68" i="36"/>
  <c r="X6" i="6"/>
  <c r="AR139" i="49"/>
  <c r="AR140" i="49"/>
  <c r="AV21" i="53"/>
  <c r="AK22" i="61"/>
  <c r="AB25" i="68" s="1"/>
  <c r="AP22" i="19"/>
  <c r="B22" i="19"/>
  <c r="AP22" i="53"/>
  <c r="C10" i="32"/>
  <c r="D67" i="32" s="1"/>
  <c r="F67" i="32" s="1"/>
  <c r="B22" i="53"/>
  <c r="BB5" i="61"/>
  <c r="AP5" i="2"/>
  <c r="B5" i="2"/>
  <c r="C27" i="49"/>
  <c r="H7" i="5"/>
  <c r="I7" i="5" s="1"/>
  <c r="D7" i="5"/>
  <c r="F7" i="5" s="1"/>
  <c r="G7" i="5" s="1"/>
  <c r="AE59" i="33"/>
  <c r="AG59" i="33" s="1"/>
  <c r="AE63" i="33"/>
  <c r="R58" i="33"/>
  <c r="D59" i="33"/>
  <c r="R54" i="33"/>
  <c r="D63" i="33"/>
  <c r="F63" i="33" s="1"/>
  <c r="H63" i="33" s="1"/>
  <c r="R62" i="33"/>
  <c r="H4" i="2"/>
  <c r="I4" i="2" s="1"/>
  <c r="D4" i="2"/>
  <c r="H147" i="41"/>
  <c r="H150" i="41" s="1"/>
  <c r="F150" i="41"/>
  <c r="F147" i="30"/>
  <c r="H74" i="38"/>
  <c r="H75" i="38" s="1"/>
  <c r="J75" i="38" s="1"/>
  <c r="F75" i="38"/>
  <c r="J74" i="38" s="1"/>
  <c r="V149" i="28"/>
  <c r="T149" i="28"/>
  <c r="H20" i="18"/>
  <c r="I20" i="18" s="1"/>
  <c r="D20" i="18"/>
  <c r="F20" i="18" s="1"/>
  <c r="G20" i="18" s="1"/>
  <c r="AG15" i="15"/>
  <c r="R83" i="38"/>
  <c r="AE84" i="38"/>
  <c r="AG84" i="38" s="1"/>
  <c r="D84" i="38"/>
  <c r="AE88" i="38"/>
  <c r="V149" i="27"/>
  <c r="T149" i="27"/>
  <c r="T147" i="31"/>
  <c r="T150" i="31" s="1"/>
  <c r="X149" i="31" s="1"/>
  <c r="AB149" i="31" s="1"/>
  <c r="V147" i="31"/>
  <c r="V150" i="31" s="1"/>
  <c r="AV9" i="7"/>
  <c r="AV18" i="16"/>
  <c r="V147" i="50"/>
  <c r="V150" i="50" s="1"/>
  <c r="T147" i="50"/>
  <c r="T150" i="50" s="1"/>
  <c r="X149" i="50" s="1"/>
  <c r="AB149" i="50" s="1"/>
  <c r="AZ7" i="61"/>
  <c r="B7" i="4"/>
  <c r="AP7" i="4"/>
  <c r="C25" i="47"/>
  <c r="V147" i="37"/>
  <c r="V150" i="37" s="1"/>
  <c r="T147" i="37"/>
  <c r="T150" i="37" s="1"/>
  <c r="X149" i="37" s="1"/>
  <c r="AB149" i="37" s="1"/>
  <c r="AV14" i="12"/>
  <c r="AS14" i="61"/>
  <c r="AJ17" i="68" s="1"/>
  <c r="B14" i="11"/>
  <c r="C18" i="40"/>
  <c r="AP14" i="11"/>
  <c r="V39" i="31"/>
  <c r="V40" i="31" s="1"/>
  <c r="T39" i="31"/>
  <c r="T40" i="31" s="1"/>
  <c r="X39" i="31" s="1"/>
  <c r="AG48" i="31"/>
  <c r="AG5" i="6"/>
  <c r="AQ16" i="61"/>
  <c r="AP16" i="13"/>
  <c r="B16" i="13"/>
  <c r="C16" i="38"/>
  <c r="AG58" i="59"/>
  <c r="AG53" i="59"/>
  <c r="R52" i="59"/>
  <c r="R47" i="59"/>
  <c r="D53" i="59"/>
  <c r="R57" i="59"/>
  <c r="D63" i="59"/>
  <c r="AI24" i="61"/>
  <c r="Z27" i="68" s="1"/>
  <c r="B24" i="21"/>
  <c r="AP24" i="21"/>
  <c r="C8" i="30"/>
  <c r="AG26" i="61"/>
  <c r="X29" i="68" s="1"/>
  <c r="C6" i="28"/>
  <c r="AP26" i="23"/>
  <c r="B26" i="23"/>
  <c r="T147" i="27"/>
  <c r="T150" i="27" s="1"/>
  <c r="X149" i="27" s="1"/>
  <c r="AB149" i="27" s="1"/>
  <c r="V147" i="27"/>
  <c r="V150" i="27" s="1"/>
  <c r="AV22" i="20"/>
  <c r="AG15" i="16"/>
  <c r="AV17" i="15"/>
  <c r="F145" i="48"/>
  <c r="J144" i="48" s="1"/>
  <c r="N144" i="48" s="1"/>
  <c r="AQ144" i="48" s="1"/>
  <c r="H142" i="48"/>
  <c r="H145" i="48" s="1"/>
  <c r="J145" i="48" s="1"/>
  <c r="N145" i="48" s="1"/>
  <c r="AQ145" i="48" s="1"/>
  <c r="F145" i="30"/>
  <c r="H142" i="30"/>
  <c r="H145" i="30" s="1"/>
  <c r="AI65" i="36"/>
  <c r="H147" i="42"/>
  <c r="H150" i="42" s="1"/>
  <c r="F150" i="42"/>
  <c r="H72" i="35"/>
  <c r="H64" i="36"/>
  <c r="H65" i="36" s="1"/>
  <c r="J65" i="36" s="1"/>
  <c r="F65" i="36"/>
  <c r="J64" i="36" s="1"/>
  <c r="H47" i="31"/>
  <c r="F147" i="48"/>
  <c r="J147" i="48"/>
  <c r="AR59" i="38"/>
  <c r="AT59" i="38" s="1"/>
  <c r="D10" i="38" s="1"/>
  <c r="L69" i="38" s="1"/>
  <c r="N69" i="38" s="1"/>
  <c r="AQ69" i="38" s="1"/>
  <c r="V46" i="59"/>
  <c r="T46" i="59"/>
  <c r="F42" i="29"/>
  <c r="AG34" i="29"/>
  <c r="AG35" i="29" s="1"/>
  <c r="AE35" i="29"/>
  <c r="AI34" i="29" s="1"/>
  <c r="AM34" i="29" s="1"/>
  <c r="AS34" i="29" s="1"/>
  <c r="V52" i="32"/>
  <c r="T52" i="32"/>
  <c r="F49" i="32"/>
  <c r="J47" i="32"/>
  <c r="V72" i="35"/>
  <c r="T72" i="35"/>
  <c r="T59" i="35"/>
  <c r="T60" i="35" s="1"/>
  <c r="X59" i="35" s="1"/>
  <c r="V59" i="35"/>
  <c r="V60" i="35" s="1"/>
  <c r="AR144" i="48"/>
  <c r="V147" i="46"/>
  <c r="V150" i="46" s="1"/>
  <c r="T147" i="46"/>
  <c r="T150" i="46" s="1"/>
  <c r="X149" i="46" s="1"/>
  <c r="AB149" i="46" s="1"/>
  <c r="F147" i="45"/>
  <c r="AG7" i="8"/>
  <c r="AE50" i="32"/>
  <c r="AI49" i="32" s="1"/>
  <c r="AF8" i="9"/>
  <c r="V54" i="34"/>
  <c r="V55" i="34" s="1"/>
  <c r="T54" i="34"/>
  <c r="T55" i="34" s="1"/>
  <c r="X54" i="34" s="1"/>
  <c r="H5" i="3"/>
  <c r="I5" i="3" s="1"/>
  <c r="D5" i="3"/>
  <c r="F5" i="3" s="1"/>
  <c r="G5" i="3" s="1"/>
  <c r="V64" i="37"/>
  <c r="V65" i="37" s="1"/>
  <c r="T64" i="37"/>
  <c r="T65" i="37" s="1"/>
  <c r="X64" i="37" s="1"/>
  <c r="J37" i="30"/>
  <c r="H65" i="35"/>
  <c r="J65" i="35" s="1"/>
  <c r="F145" i="26"/>
  <c r="H142" i="26"/>
  <c r="H145" i="26" s="1"/>
  <c r="R43" i="30"/>
  <c r="AE44" i="30"/>
  <c r="AG44" i="30" s="1"/>
  <c r="AE48" i="30"/>
  <c r="D44" i="30"/>
  <c r="R39" i="30"/>
  <c r="D48" i="30"/>
  <c r="F48" i="30" s="1"/>
  <c r="H48" i="30" s="1"/>
  <c r="F168" i="59"/>
  <c r="H165" i="59"/>
  <c r="H168" i="59" s="1"/>
  <c r="D38" i="28"/>
  <c r="R37" i="28"/>
  <c r="AE34" i="28"/>
  <c r="R33" i="28"/>
  <c r="AE38" i="28"/>
  <c r="D42" i="28"/>
  <c r="V147" i="28"/>
  <c r="V150" i="28" s="1"/>
  <c r="T147" i="28"/>
  <c r="T150" i="28" s="1"/>
  <c r="X149" i="28" s="1"/>
  <c r="AB149" i="28" s="1"/>
  <c r="V149" i="46"/>
  <c r="T149" i="46"/>
  <c r="H19" i="17"/>
  <c r="I19" i="17" s="1"/>
  <c r="D19" i="17"/>
  <c r="F19" i="17" s="1"/>
  <c r="G19" i="17" s="1"/>
  <c r="F62" i="33"/>
  <c r="AG73" i="36"/>
  <c r="AR144" i="30"/>
  <c r="AR39" i="34"/>
  <c r="AT39" i="34" s="1"/>
  <c r="D6" i="34" s="1"/>
  <c r="AK39" i="32"/>
  <c r="AM39" i="32" s="1"/>
  <c r="AS39" i="32" s="1"/>
  <c r="Z39" i="32"/>
  <c r="L44" i="32"/>
  <c r="N44" i="32" s="1"/>
  <c r="AQ44" i="32" s="1"/>
  <c r="T147" i="44"/>
  <c r="T150" i="44" s="1"/>
  <c r="X149" i="44" s="1"/>
  <c r="AB149" i="44" s="1"/>
  <c r="V147" i="44"/>
  <c r="V150" i="44" s="1"/>
  <c r="H147" i="28"/>
  <c r="H150" i="28" s="1"/>
  <c r="F150" i="28"/>
  <c r="H42" i="30"/>
  <c r="AY8" i="61"/>
  <c r="C24" i="46"/>
  <c r="AP8" i="5"/>
  <c r="Y7" i="5" s="1"/>
  <c r="X6" i="5" s="1"/>
  <c r="B8" i="5"/>
  <c r="H21" i="53"/>
  <c r="I21" i="53" s="1"/>
  <c r="D21" i="53"/>
  <c r="F21" i="53" s="1"/>
  <c r="G21" i="53" s="1"/>
  <c r="AV21" i="19"/>
  <c r="BC4" i="61"/>
  <c r="C28" i="50"/>
  <c r="AP4" i="1"/>
  <c r="B4" i="1"/>
  <c r="F147" i="26"/>
  <c r="AA12" i="12"/>
  <c r="AG12" i="12" s="1"/>
  <c r="H51" i="59"/>
  <c r="F145" i="43"/>
  <c r="H142" i="43"/>
  <c r="H145" i="43" s="1"/>
  <c r="AA5" i="4"/>
  <c r="AG5" i="4" s="1"/>
  <c r="AU12" i="61"/>
  <c r="AL15" i="68" s="1"/>
  <c r="AP12" i="9"/>
  <c r="B12" i="9"/>
  <c r="C20" i="42"/>
  <c r="F150" i="32"/>
  <c r="H147" i="32"/>
  <c r="H150" i="32" s="1"/>
  <c r="X65" i="38"/>
  <c r="H10" i="8"/>
  <c r="I10" i="8" s="1"/>
  <c r="D10" i="8"/>
  <c r="G10" i="10"/>
  <c r="F89" i="40"/>
  <c r="J87" i="40"/>
  <c r="AG98" i="40"/>
  <c r="AL21" i="61"/>
  <c r="AC24" i="68" s="1"/>
  <c r="AP21" i="18"/>
  <c r="B21" i="18"/>
  <c r="C11" i="33"/>
  <c r="D72" i="33" s="1"/>
  <c r="H142" i="45"/>
  <c r="H145" i="45" s="1"/>
  <c r="F145" i="45"/>
  <c r="AP17" i="61"/>
  <c r="AG20" i="68" s="1"/>
  <c r="C15" i="37"/>
  <c r="B17" i="14"/>
  <c r="AP17" i="14"/>
  <c r="AG43" i="30"/>
  <c r="V34" i="30"/>
  <c r="V35" i="30" s="1"/>
  <c r="X35" i="30" s="1"/>
  <c r="AB35" i="30" s="1"/>
  <c r="T34" i="30"/>
  <c r="T35" i="30" s="1"/>
  <c r="X34" i="30" s="1"/>
  <c r="AB34" i="30" s="1"/>
  <c r="H9" i="7"/>
  <c r="I9" i="7" s="1"/>
  <c r="D9" i="7"/>
  <c r="F9" i="7" s="1"/>
  <c r="G9" i="7" s="1"/>
  <c r="F6" i="5"/>
  <c r="AA9" i="9"/>
  <c r="X8" i="9"/>
  <c r="V78" i="38"/>
  <c r="T78" i="38"/>
  <c r="AN19" i="61"/>
  <c r="AE22" i="68" s="1"/>
  <c r="B19" i="16"/>
  <c r="AP19" i="16"/>
  <c r="C13" i="35"/>
  <c r="AI35" i="30"/>
  <c r="AM35" i="30" s="1"/>
  <c r="AS35" i="30" s="1"/>
  <c r="X145" i="37"/>
  <c r="AB145" i="37" s="1"/>
  <c r="AR144" i="37" s="1"/>
  <c r="F150" i="27"/>
  <c r="H147" i="27"/>
  <c r="H150" i="27" s="1"/>
  <c r="H6" i="4"/>
  <c r="I6" i="4" s="1"/>
  <c r="D6" i="4"/>
  <c r="H77" i="36"/>
  <c r="T149" i="45"/>
  <c r="V149" i="45"/>
  <c r="F147" i="37"/>
  <c r="H147" i="38"/>
  <c r="H150" i="38" s="1"/>
  <c r="F150" i="38"/>
  <c r="AE89" i="39"/>
  <c r="AG89" i="39" s="1"/>
  <c r="AE93" i="39"/>
  <c r="R88" i="39"/>
  <c r="D89" i="39"/>
  <c r="AV23" i="21"/>
  <c r="AG4" i="4"/>
  <c r="Y15" i="14"/>
  <c r="X14" i="14" s="1"/>
  <c r="AV25" i="23"/>
  <c r="AJ23" i="61"/>
  <c r="AA26" i="68" s="1"/>
  <c r="C9" i="31"/>
  <c r="R49" i="31" s="1"/>
  <c r="B23" i="20"/>
  <c r="C9" i="59"/>
  <c r="R53" i="59" s="1"/>
  <c r="AP23" i="20"/>
  <c r="F8" i="7"/>
  <c r="AE79" i="37"/>
  <c r="AG79" i="37" s="1"/>
  <c r="AE83" i="37"/>
  <c r="R78" i="37"/>
  <c r="D79" i="37"/>
  <c r="F79" i="37" s="1"/>
  <c r="H79" i="37" s="1"/>
  <c r="R74" i="37"/>
  <c r="V149" i="34"/>
  <c r="T149" i="34"/>
  <c r="H62" i="34"/>
  <c r="Y13" i="12"/>
  <c r="AE45" i="31"/>
  <c r="AI44" i="31" s="1"/>
  <c r="AI47" i="59"/>
  <c r="AI48" i="59" s="1"/>
  <c r="AK48" i="59" s="1"/>
  <c r="AE47" i="59"/>
  <c r="AG85" i="39"/>
  <c r="AG38" i="29"/>
  <c r="AF12" i="13"/>
  <c r="T44" i="32"/>
  <c r="T45" i="32" s="1"/>
  <c r="X44" i="32" s="1"/>
  <c r="V44" i="32"/>
  <c r="V45" i="32" s="1"/>
  <c r="T48" i="32"/>
  <c r="V48" i="32"/>
  <c r="F84" i="39"/>
  <c r="J82" i="39"/>
  <c r="F59" i="34"/>
  <c r="J57" i="34"/>
  <c r="BA6" i="61"/>
  <c r="B6" i="3"/>
  <c r="C26" i="48"/>
  <c r="AP6" i="3"/>
  <c r="F78" i="37"/>
  <c r="AG78" i="37"/>
  <c r="H38" i="30"/>
  <c r="H40" i="30" s="1"/>
  <c r="F40" i="30"/>
  <c r="H45" i="31"/>
  <c r="J45" i="31" s="1"/>
  <c r="H12" i="10"/>
  <c r="I12" i="10" s="1"/>
  <c r="D12" i="10"/>
  <c r="F12" i="10" s="1"/>
  <c r="G12" i="10" s="1"/>
  <c r="H49" i="33"/>
  <c r="H50" i="33" s="1"/>
  <c r="J50" i="33" s="1"/>
  <c r="F50" i="33"/>
  <c r="J49" i="33" s="1"/>
  <c r="AV8" i="6"/>
  <c r="H24" i="22"/>
  <c r="I24" i="22" s="1"/>
  <c r="D24" i="22"/>
  <c r="F24" i="22" s="1"/>
  <c r="G24" i="22" s="1"/>
  <c r="AG80" i="38"/>
  <c r="AF27" i="61"/>
  <c r="L364" i="66" s="1"/>
  <c r="C5" i="27"/>
  <c r="B27" i="24"/>
  <c r="AP27" i="24"/>
  <c r="AE69" i="35"/>
  <c r="AG69" i="35" s="1"/>
  <c r="R68" i="35"/>
  <c r="D69" i="35"/>
  <c r="AE73" i="35"/>
  <c r="AG58" i="33"/>
  <c r="AR144" i="38"/>
  <c r="AK40" i="32"/>
  <c r="AM40" i="32" s="1"/>
  <c r="AS40" i="32" s="1"/>
  <c r="Z40" i="32"/>
  <c r="L45" i="32"/>
  <c r="N45" i="32" s="1"/>
  <c r="AQ45" i="32" s="1"/>
  <c r="AV7" i="5"/>
  <c r="H57" i="33"/>
  <c r="AV11" i="9"/>
  <c r="AA8" i="8"/>
  <c r="AG8" i="8" s="1"/>
  <c r="AV10" i="8"/>
  <c r="H142" i="37"/>
  <c r="H145" i="37" s="1"/>
  <c r="F145" i="37"/>
  <c r="T88" i="40"/>
  <c r="V88" i="40"/>
  <c r="AG93" i="40"/>
  <c r="AV20" i="18"/>
  <c r="H16" i="14"/>
  <c r="I16" i="14" s="1"/>
  <c r="D16" i="14"/>
  <c r="F16" i="14" s="1"/>
  <c r="G16" i="14" s="1"/>
  <c r="F47" i="30"/>
  <c r="V38" i="30"/>
  <c r="T38" i="30"/>
  <c r="AG4" i="5"/>
  <c r="T74" i="38"/>
  <c r="T75" i="38" s="1"/>
  <c r="X74" i="38" s="1"/>
  <c r="V74" i="38"/>
  <c r="V75" i="38" s="1"/>
  <c r="H18" i="16"/>
  <c r="I18" i="16" s="1"/>
  <c r="D18" i="16"/>
  <c r="F18" i="16" s="1"/>
  <c r="G18" i="16" s="1"/>
  <c r="AT36" i="59"/>
  <c r="AV36" i="59" s="1"/>
  <c r="E5" i="59" s="1"/>
  <c r="AT35" i="59"/>
  <c r="AV35" i="59" s="1"/>
  <c r="V149" i="43"/>
  <c r="T149" i="43"/>
  <c r="G4" i="4"/>
  <c r="AA11" i="10"/>
  <c r="AG11" i="10" s="1"/>
  <c r="AF10" i="12"/>
  <c r="AF11" i="12" s="1"/>
  <c r="AR15" i="61"/>
  <c r="AI18" i="68" s="1"/>
  <c r="B15" i="12"/>
  <c r="C17" i="39"/>
  <c r="AE98" i="39" s="1"/>
  <c r="AP15" i="12"/>
  <c r="AV13" i="11"/>
  <c r="V43" i="31"/>
  <c r="T43" i="31"/>
  <c r="J77" i="38"/>
  <c r="AA14" i="14"/>
  <c r="AG14" i="14" s="1"/>
  <c r="X13" i="14"/>
  <c r="AV15" i="13"/>
  <c r="H23" i="21"/>
  <c r="I23" i="21" s="1"/>
  <c r="D23" i="21"/>
  <c r="F23" i="21" s="1"/>
  <c r="G23" i="21" s="1"/>
  <c r="X4" i="4"/>
  <c r="AE39" i="29"/>
  <c r="AG39" i="29" s="1"/>
  <c r="D43" i="29"/>
  <c r="F43" i="29" s="1"/>
  <c r="H43" i="29" s="1"/>
  <c r="R34" i="29"/>
  <c r="D39" i="29"/>
  <c r="F39" i="29" s="1"/>
  <c r="H39" i="29" s="1"/>
  <c r="AE43" i="29"/>
  <c r="R42" i="29"/>
  <c r="R38" i="29"/>
  <c r="D47" i="29"/>
  <c r="F150" i="49"/>
  <c r="J149" i="49" s="1"/>
  <c r="N149" i="49" s="1"/>
  <c r="AQ149" i="49" s="1"/>
  <c r="H147" i="49"/>
  <c r="H150" i="49" s="1"/>
  <c r="J150" i="49" s="1"/>
  <c r="N150" i="49" s="1"/>
  <c r="AQ150" i="49" s="1"/>
  <c r="H147" i="35"/>
  <c r="H150" i="35" s="1"/>
  <c r="F150" i="35"/>
  <c r="H22" i="20"/>
  <c r="I22" i="20" s="1"/>
  <c r="D22" i="20"/>
  <c r="F22" i="20" s="1"/>
  <c r="G22" i="20" s="1"/>
  <c r="AF13" i="14"/>
  <c r="AO18" i="61"/>
  <c r="AF21" i="68" s="1"/>
  <c r="B18" i="15"/>
  <c r="AP18" i="15"/>
  <c r="C14" i="36"/>
  <c r="R69" i="36" s="1"/>
  <c r="F150" i="31"/>
  <c r="H147" i="31"/>
  <c r="H150" i="31" s="1"/>
  <c r="H59" i="35"/>
  <c r="H60" i="35" s="1"/>
  <c r="J60" i="35" s="1"/>
  <c r="F60" i="35"/>
  <c r="J59" i="35" s="1"/>
  <c r="N59" i="35" s="1"/>
  <c r="AQ59" i="35" s="1"/>
  <c r="V149" i="37"/>
  <c r="T149" i="37"/>
  <c r="AG45" i="31"/>
  <c r="F47" i="59"/>
  <c r="J45" i="59"/>
  <c r="V33" i="29"/>
  <c r="T33" i="29"/>
  <c r="H147" i="40"/>
  <c r="H150" i="40" s="1"/>
  <c r="F150" i="40"/>
  <c r="Y9" i="8"/>
  <c r="X12" i="13"/>
  <c r="V63" i="35"/>
  <c r="T63" i="35"/>
  <c r="V83" i="39"/>
  <c r="V85" i="39" s="1"/>
  <c r="T83" i="39"/>
  <c r="T85" i="39" s="1"/>
  <c r="X84" i="39" s="1"/>
  <c r="Y8" i="7"/>
  <c r="V62" i="34"/>
  <c r="T62" i="34"/>
  <c r="T58" i="34"/>
  <c r="V58" i="34"/>
  <c r="AA4" i="3"/>
  <c r="F74" i="37"/>
  <c r="J72" i="37"/>
  <c r="F45" i="31"/>
  <c r="J44" i="31" s="1"/>
  <c r="AV12" i="10"/>
  <c r="H8" i="6"/>
  <c r="I8" i="6" s="1"/>
  <c r="D8" i="6"/>
  <c r="F8" i="6" s="1"/>
  <c r="G8" i="6" s="1"/>
  <c r="V147" i="39"/>
  <c r="V150" i="39" s="1"/>
  <c r="T147" i="39"/>
  <c r="T150" i="39" s="1"/>
  <c r="X149" i="39" s="1"/>
  <c r="AB149" i="39" s="1"/>
  <c r="AH25" i="61"/>
  <c r="Y28" i="68" s="1"/>
  <c r="B25" i="22"/>
  <c r="C7" i="29"/>
  <c r="AP25" i="22"/>
  <c r="AE80" i="38"/>
  <c r="AI79" i="38" s="1"/>
  <c r="D26" i="24"/>
  <c r="F26" i="24" s="1"/>
  <c r="G26" i="24" s="1"/>
  <c r="H26" i="24"/>
  <c r="I26" i="24" s="1"/>
  <c r="F150" i="33"/>
  <c r="H147" i="33"/>
  <c r="H150" i="33" s="1"/>
  <c r="V149" i="31"/>
  <c r="T149" i="31"/>
  <c r="AM20" i="61"/>
  <c r="AD23" i="68" s="1"/>
  <c r="AP20" i="17"/>
  <c r="C12" i="34"/>
  <c r="D77" i="34" s="1"/>
  <c r="B20" i="17"/>
  <c r="V53" i="33"/>
  <c r="T53" i="33"/>
  <c r="H142" i="46"/>
  <c r="H145" i="46" s="1"/>
  <c r="F145" i="46"/>
  <c r="F69" i="36"/>
  <c r="J67" i="36"/>
  <c r="CX103" i="61" l="1"/>
  <c r="AP11" i="68"/>
  <c r="D196" i="66"/>
  <c r="B196" i="66" s="1"/>
  <c r="AH19" i="68"/>
  <c r="DA100" i="61"/>
  <c r="AS8" i="68"/>
  <c r="CZ101" i="61"/>
  <c r="AR9" i="68"/>
  <c r="DB99" i="61"/>
  <c r="AT7" i="68"/>
  <c r="CY102" i="61"/>
  <c r="AQ10" i="68"/>
  <c r="EX132" i="61"/>
  <c r="GI132" i="61" s="1"/>
  <c r="O11" i="64" s="1"/>
  <c r="AO12" i="68"/>
  <c r="AR60" i="38"/>
  <c r="AT60" i="38" s="1"/>
  <c r="E10" i="38" s="1"/>
  <c r="L70" i="38" s="1"/>
  <c r="N70" i="38" s="1"/>
  <c r="AQ70" i="38" s="1"/>
  <c r="AR49" i="35"/>
  <c r="J115" i="45"/>
  <c r="J104" i="43"/>
  <c r="AP64" i="43"/>
  <c r="AP39" i="43"/>
  <c r="AP65" i="43"/>
  <c r="AP40" i="43"/>
  <c r="AT39" i="43"/>
  <c r="D6" i="43" s="1"/>
  <c r="AR40" i="43"/>
  <c r="V10" i="30"/>
  <c r="Z9" i="30" s="1"/>
  <c r="Z10" i="30" s="1"/>
  <c r="DF98" i="61"/>
  <c r="BF98" i="61" s="1"/>
  <c r="P15" i="30"/>
  <c r="P16" i="30" s="1"/>
  <c r="N19" i="30" s="1"/>
  <c r="V27" i="30"/>
  <c r="AJ14" i="30"/>
  <c r="AL14" i="30" s="1"/>
  <c r="AH4" i="30"/>
  <c r="AJ4" i="30" s="1"/>
  <c r="AL4" i="30" s="1"/>
  <c r="AH8" i="30"/>
  <c r="T21" i="30"/>
  <c r="T15" i="30"/>
  <c r="T4" i="30"/>
  <c r="N23" i="30"/>
  <c r="X3" i="30"/>
  <c r="V3" i="30"/>
  <c r="AK64" i="39"/>
  <c r="AM64" i="39" s="1"/>
  <c r="AS64" i="39" s="1"/>
  <c r="AK59" i="37"/>
  <c r="AM59" i="37" s="1"/>
  <c r="AS59" i="37" s="1"/>
  <c r="F104" i="42"/>
  <c r="H104" i="42" s="1"/>
  <c r="F94" i="40"/>
  <c r="H94" i="40" s="1"/>
  <c r="AI70" i="36"/>
  <c r="AR145" i="34"/>
  <c r="T50" i="32"/>
  <c r="X49" i="32" s="1"/>
  <c r="V10" i="29"/>
  <c r="Z9" i="29" s="1"/>
  <c r="P15" i="29"/>
  <c r="P16" i="29" s="1"/>
  <c r="N18" i="29" s="1"/>
  <c r="L4" i="29" s="1"/>
  <c r="AP34" i="29" s="1"/>
  <c r="N23" i="29"/>
  <c r="V13" i="28"/>
  <c r="X10" i="29"/>
  <c r="V3" i="29"/>
  <c r="X3" i="29"/>
  <c r="D53" i="30"/>
  <c r="F53" i="30" s="1"/>
  <c r="H53" i="30" s="1"/>
  <c r="P14" i="28"/>
  <c r="L15" i="28"/>
  <c r="L17" i="28" s="1"/>
  <c r="N15" i="28"/>
  <c r="N17" i="28" s="1"/>
  <c r="AJ3" i="29"/>
  <c r="X2" i="28"/>
  <c r="V2" i="28"/>
  <c r="X8" i="28"/>
  <c r="X13" i="29"/>
  <c r="AJ8" i="29"/>
  <c r="AL8" i="29"/>
  <c r="AJ14" i="29"/>
  <c r="AH4" i="29"/>
  <c r="AJ4" i="29" s="1"/>
  <c r="AL4" i="29" s="1"/>
  <c r="T21" i="29"/>
  <c r="V27" i="29"/>
  <c r="X27" i="29" s="1"/>
  <c r="T15" i="29"/>
  <c r="T4" i="29"/>
  <c r="V26" i="28"/>
  <c r="T20" i="28"/>
  <c r="AH8" i="28"/>
  <c r="T14" i="28"/>
  <c r="V14" i="28" s="1"/>
  <c r="X14" i="28" s="1"/>
  <c r="V9" i="28"/>
  <c r="X9" i="28" s="1"/>
  <c r="AH3" i="28"/>
  <c r="T3" i="28"/>
  <c r="L22" i="28"/>
  <c r="L23" i="28" s="1"/>
  <c r="J23" i="28"/>
  <c r="N22" i="28" s="1"/>
  <c r="V20" i="29"/>
  <c r="X20" i="29"/>
  <c r="X26" i="29"/>
  <c r="AI115" i="45"/>
  <c r="AI85" i="39"/>
  <c r="V103" i="42"/>
  <c r="AR64" i="42"/>
  <c r="AR65" i="42"/>
  <c r="J114" i="45"/>
  <c r="AR64" i="41"/>
  <c r="AT64" i="41" s="1"/>
  <c r="D11" i="41" s="1"/>
  <c r="AK69" i="41" s="1"/>
  <c r="AM69" i="41" s="1"/>
  <c r="AS69" i="41" s="1"/>
  <c r="D214" i="66"/>
  <c r="B214" i="66" s="1"/>
  <c r="D192" i="66"/>
  <c r="A192" i="66" s="1"/>
  <c r="D269" i="66"/>
  <c r="A269" i="66" s="1"/>
  <c r="I279" i="66"/>
  <c r="AI90" i="40"/>
  <c r="A325" i="66"/>
  <c r="AE125" i="46"/>
  <c r="AI124" i="46" s="1"/>
  <c r="AI125" i="46" s="1"/>
  <c r="D279" i="65"/>
  <c r="J237" i="66"/>
  <c r="B237" i="65" s="1"/>
  <c r="A195" i="66"/>
  <c r="DD99" i="61"/>
  <c r="J117" i="45"/>
  <c r="J119" i="45" s="1"/>
  <c r="AI135" i="48"/>
  <c r="L65" i="37"/>
  <c r="N65" i="37" s="1"/>
  <c r="AQ65" i="37" s="1"/>
  <c r="AR65" i="41"/>
  <c r="AT65" i="41" s="1"/>
  <c r="E11" i="41" s="1"/>
  <c r="AK70" i="41" s="1"/>
  <c r="AM70" i="41" s="1"/>
  <c r="AS70" i="41" s="1"/>
  <c r="D237" i="65"/>
  <c r="AE115" i="44"/>
  <c r="AI114" i="44" s="1"/>
  <c r="AI115" i="44" s="1"/>
  <c r="AI130" i="48"/>
  <c r="AE95" i="40"/>
  <c r="AI94" i="40" s="1"/>
  <c r="I243" i="66"/>
  <c r="J243" i="66"/>
  <c r="B243" i="65" s="1"/>
  <c r="D243" i="65"/>
  <c r="A243" i="65" s="1"/>
  <c r="D326" i="66"/>
  <c r="A326" i="66" s="1"/>
  <c r="L304" i="66"/>
  <c r="D219" i="65"/>
  <c r="A219" i="65" s="1"/>
  <c r="J219" i="66"/>
  <c r="B219" i="65" s="1"/>
  <c r="I219" i="66"/>
  <c r="X100" i="43"/>
  <c r="A202" i="66"/>
  <c r="B202" i="66"/>
  <c r="B191" i="66"/>
  <c r="A191" i="66"/>
  <c r="D303" i="65"/>
  <c r="I303" i="66"/>
  <c r="J303" i="66"/>
  <c r="B303" i="65" s="1"/>
  <c r="D183" i="65"/>
  <c r="J183" i="66"/>
  <c r="B183" i="65" s="1"/>
  <c r="I183" i="66"/>
  <c r="B192" i="66"/>
  <c r="D235" i="66"/>
  <c r="B235" i="66" s="1"/>
  <c r="D203" i="66"/>
  <c r="L220" i="66"/>
  <c r="L280" i="66"/>
  <c r="I280" i="66" s="1"/>
  <c r="L244" i="66"/>
  <c r="D247" i="66"/>
  <c r="A247" i="66" s="1"/>
  <c r="AL13" i="42"/>
  <c r="L11" i="42" s="1"/>
  <c r="AP65" i="42" s="1"/>
  <c r="AT65" i="42" s="1"/>
  <c r="E11" i="42" s="1"/>
  <c r="L75" i="42" s="1"/>
  <c r="N75" i="42" s="1"/>
  <c r="AQ75" i="42" s="1"/>
  <c r="AG130" i="47"/>
  <c r="AE130" i="47"/>
  <c r="AI129" i="47" s="1"/>
  <c r="AE60" i="33"/>
  <c r="AI59" i="33" s="1"/>
  <c r="X50" i="33"/>
  <c r="X110" i="45"/>
  <c r="AI140" i="48"/>
  <c r="Z79" i="46"/>
  <c r="AB79" i="46" s="1"/>
  <c r="L84" i="46"/>
  <c r="N84" i="46" s="1"/>
  <c r="AQ84" i="46" s="1"/>
  <c r="AI110" i="44"/>
  <c r="D364" i="65"/>
  <c r="A364" i="65" s="1"/>
  <c r="J364" i="66"/>
  <c r="B364" i="65" s="1"/>
  <c r="I364" i="66"/>
  <c r="D209" i="66"/>
  <c r="L224" i="66"/>
  <c r="A196" i="66"/>
  <c r="J181" i="66"/>
  <c r="B181" i="65" s="1"/>
  <c r="I181" i="66"/>
  <c r="D181" i="65"/>
  <c r="A181" i="65" s="1"/>
  <c r="D195" i="65"/>
  <c r="A195" i="65" s="1"/>
  <c r="I195" i="66"/>
  <c r="J195" i="66"/>
  <c r="B195" i="65" s="1"/>
  <c r="D265" i="65"/>
  <c r="J265" i="66"/>
  <c r="B265" i="65" s="1"/>
  <c r="I265" i="66"/>
  <c r="AR79" i="48"/>
  <c r="AR80" i="48"/>
  <c r="AI145" i="48"/>
  <c r="J112" i="44"/>
  <c r="A169" i="66"/>
  <c r="B169" i="66"/>
  <c r="B182" i="66"/>
  <c r="A182" i="66"/>
  <c r="D222" i="66"/>
  <c r="L238" i="66"/>
  <c r="L266" i="66"/>
  <c r="D183" i="66"/>
  <c r="L196" i="66"/>
  <c r="D223" i="65"/>
  <c r="J223" i="66"/>
  <c r="B223" i="65" s="1"/>
  <c r="I223" i="66"/>
  <c r="B208" i="66"/>
  <c r="A208" i="66"/>
  <c r="X115" i="46"/>
  <c r="D445" i="66"/>
  <c r="L468" i="66"/>
  <c r="D312" i="66"/>
  <c r="R104" i="42"/>
  <c r="D113" i="42"/>
  <c r="R112" i="42"/>
  <c r="D117" i="42"/>
  <c r="AE113" i="42"/>
  <c r="AE109" i="42"/>
  <c r="D109" i="42"/>
  <c r="R108" i="42"/>
  <c r="AE133" i="46"/>
  <c r="AE129" i="46"/>
  <c r="AG129" i="46" s="1"/>
  <c r="AE148" i="46"/>
  <c r="AE139" i="46"/>
  <c r="AG139" i="46" s="1"/>
  <c r="R128" i="46"/>
  <c r="AE138" i="46"/>
  <c r="AE143" i="46"/>
  <c r="AE134" i="46"/>
  <c r="AG134" i="46" s="1"/>
  <c r="R133" i="46"/>
  <c r="R138" i="46"/>
  <c r="AE144" i="46"/>
  <c r="AG144" i="46" s="1"/>
  <c r="AE149" i="46"/>
  <c r="AG149" i="46" s="1"/>
  <c r="D129" i="46"/>
  <c r="D134" i="46"/>
  <c r="R143" i="46"/>
  <c r="D139" i="46"/>
  <c r="D144" i="46"/>
  <c r="R148" i="46"/>
  <c r="D149" i="46"/>
  <c r="D464" i="66"/>
  <c r="L488" i="66"/>
  <c r="D426" i="66"/>
  <c r="L448" i="66"/>
  <c r="R84" i="38"/>
  <c r="T84" i="38" s="1"/>
  <c r="D98" i="38"/>
  <c r="F98" i="38" s="1"/>
  <c r="H98" i="38" s="1"/>
  <c r="R97" i="38"/>
  <c r="D102" i="38"/>
  <c r="F102" i="38" s="1"/>
  <c r="H99" i="42"/>
  <c r="H100" i="42" s="1"/>
  <c r="J100" i="42" s="1"/>
  <c r="F100" i="42"/>
  <c r="D407" i="65"/>
  <c r="A407" i="65" s="1"/>
  <c r="J407" i="66"/>
  <c r="B407" i="65" s="1"/>
  <c r="I407" i="66"/>
  <c r="D147" i="65"/>
  <c r="A147" i="65" s="1"/>
  <c r="I147" i="66"/>
  <c r="J147" i="66"/>
  <c r="B147" i="65" s="1"/>
  <c r="B159" i="66"/>
  <c r="A159" i="66"/>
  <c r="AG109" i="43"/>
  <c r="AG110" i="43" s="1"/>
  <c r="AE110" i="43"/>
  <c r="AI109" i="43" s="1"/>
  <c r="F113" i="43"/>
  <c r="X90" i="42"/>
  <c r="AI150" i="48"/>
  <c r="B463" i="66"/>
  <c r="A463" i="66"/>
  <c r="V99" i="42"/>
  <c r="T99" i="42"/>
  <c r="T100" i="42" s="1"/>
  <c r="X99" i="42" s="1"/>
  <c r="B444" i="66"/>
  <c r="A444" i="66"/>
  <c r="AG123" i="45"/>
  <c r="T114" i="45"/>
  <c r="T115" i="45" s="1"/>
  <c r="X114" i="45" s="1"/>
  <c r="V114" i="45"/>
  <c r="V115" i="45" s="1"/>
  <c r="F105" i="42"/>
  <c r="J104" i="42" s="1"/>
  <c r="H109" i="44"/>
  <c r="H110" i="44" s="1"/>
  <c r="J110" i="44" s="1"/>
  <c r="F110" i="44"/>
  <c r="J109" i="44" s="1"/>
  <c r="AG128" i="46"/>
  <c r="T87" i="38"/>
  <c r="V87" i="38"/>
  <c r="H113" i="44"/>
  <c r="H115" i="44" s="1"/>
  <c r="F115" i="44"/>
  <c r="D447" i="65"/>
  <c r="A447" i="65" s="1"/>
  <c r="J447" i="66"/>
  <c r="B447" i="65" s="1"/>
  <c r="I447" i="66"/>
  <c r="H102" i="39"/>
  <c r="T89" i="41"/>
  <c r="T90" i="41" s="1"/>
  <c r="X89" i="41" s="1"/>
  <c r="V89" i="41"/>
  <c r="V90" i="41" s="1"/>
  <c r="B311" i="66"/>
  <c r="A311" i="66"/>
  <c r="D387" i="65"/>
  <c r="A387" i="65" s="1"/>
  <c r="I387" i="66"/>
  <c r="J387" i="66"/>
  <c r="B387" i="65" s="1"/>
  <c r="AG148" i="47"/>
  <c r="AG150" i="47" s="1"/>
  <c r="AE150" i="47"/>
  <c r="AI149" i="47" s="1"/>
  <c r="AG143" i="47"/>
  <c r="AG145" i="47" s="1"/>
  <c r="AE145" i="47"/>
  <c r="AI144" i="47" s="1"/>
  <c r="F129" i="47"/>
  <c r="H129" i="47" s="1"/>
  <c r="J127" i="47"/>
  <c r="T138" i="47"/>
  <c r="V138" i="47"/>
  <c r="AE135" i="47"/>
  <c r="AI134" i="47" s="1"/>
  <c r="AG133" i="47"/>
  <c r="AG135" i="47" s="1"/>
  <c r="D255" i="66"/>
  <c r="D407" i="66"/>
  <c r="L428" i="66"/>
  <c r="L348" i="66"/>
  <c r="D369" i="66"/>
  <c r="L388" i="66"/>
  <c r="R89" i="40"/>
  <c r="D103" i="40"/>
  <c r="F103" i="40" s="1"/>
  <c r="D107" i="40"/>
  <c r="F107" i="40" s="1"/>
  <c r="R102" i="40"/>
  <c r="CW104" i="61"/>
  <c r="D141" i="66"/>
  <c r="L148" i="66"/>
  <c r="CS108" i="61"/>
  <c r="L228" i="66"/>
  <c r="R114" i="44"/>
  <c r="AE119" i="44"/>
  <c r="AG119" i="44" s="1"/>
  <c r="D119" i="44"/>
  <c r="AE123" i="44"/>
  <c r="R118" i="44"/>
  <c r="R109" i="43"/>
  <c r="D118" i="43"/>
  <c r="F118" i="43" s="1"/>
  <c r="H118" i="43" s="1"/>
  <c r="R113" i="43"/>
  <c r="AE114" i="43"/>
  <c r="AG114" i="43" s="1"/>
  <c r="D114" i="43"/>
  <c r="F114" i="43" s="1"/>
  <c r="H114" i="43" s="1"/>
  <c r="AE118" i="43"/>
  <c r="R103" i="41"/>
  <c r="V103" i="41" s="1"/>
  <c r="D104" i="41"/>
  <c r="F104" i="41" s="1"/>
  <c r="H104" i="41" s="1"/>
  <c r="J119" i="46"/>
  <c r="J120" i="46"/>
  <c r="B387" i="66"/>
  <c r="A387" i="66"/>
  <c r="D227" i="65"/>
  <c r="A227" i="65" s="1"/>
  <c r="I227" i="66"/>
  <c r="J227" i="66"/>
  <c r="B227" i="65" s="1"/>
  <c r="A140" i="66"/>
  <c r="B140" i="66"/>
  <c r="T108" i="43"/>
  <c r="V108" i="43"/>
  <c r="V104" i="43"/>
  <c r="V105" i="43" s="1"/>
  <c r="T104" i="43"/>
  <c r="T105" i="43" s="1"/>
  <c r="X104" i="43" s="1"/>
  <c r="J120" i="45"/>
  <c r="H112" i="42"/>
  <c r="D427" i="65"/>
  <c r="A427" i="65" s="1"/>
  <c r="J427" i="66"/>
  <c r="B427" i="65" s="1"/>
  <c r="I427" i="66"/>
  <c r="T118" i="45"/>
  <c r="V118" i="45"/>
  <c r="H105" i="42"/>
  <c r="V123" i="46"/>
  <c r="T123" i="46"/>
  <c r="J140" i="48"/>
  <c r="N140" i="48" s="1"/>
  <c r="AQ140" i="48" s="1"/>
  <c r="B425" i="66"/>
  <c r="A425" i="66"/>
  <c r="V97" i="39"/>
  <c r="T97" i="39"/>
  <c r="H107" i="41"/>
  <c r="AG118" i="44"/>
  <c r="D187" i="65"/>
  <c r="A187" i="65" s="1"/>
  <c r="J187" i="66"/>
  <c r="B187" i="65" s="1"/>
  <c r="I187" i="66"/>
  <c r="B368" i="66"/>
  <c r="A368" i="66"/>
  <c r="V128" i="47"/>
  <c r="T128" i="47"/>
  <c r="R87" i="37"/>
  <c r="D97" i="37"/>
  <c r="F97" i="37" s="1"/>
  <c r="D388" i="66"/>
  <c r="L408" i="66"/>
  <c r="CV105" i="61"/>
  <c r="D160" i="66"/>
  <c r="L168" i="66"/>
  <c r="CU106" i="61"/>
  <c r="D179" i="66"/>
  <c r="L188" i="66"/>
  <c r="J129" i="48"/>
  <c r="N129" i="48" s="1"/>
  <c r="AQ129" i="48" s="1"/>
  <c r="J130" i="48"/>
  <c r="N130" i="48" s="1"/>
  <c r="AQ130" i="48" s="1"/>
  <c r="D507" i="65"/>
  <c r="A507" i="65" s="1"/>
  <c r="J507" i="66"/>
  <c r="B507" i="65" s="1"/>
  <c r="I507" i="66"/>
  <c r="AG113" i="43"/>
  <c r="F117" i="43"/>
  <c r="V107" i="42"/>
  <c r="T107" i="42"/>
  <c r="B406" i="66"/>
  <c r="A406" i="66"/>
  <c r="D207" i="65"/>
  <c r="A207" i="65" s="1"/>
  <c r="J207" i="66"/>
  <c r="B207" i="65" s="1"/>
  <c r="I207" i="66"/>
  <c r="J135" i="48"/>
  <c r="N135" i="48" s="1"/>
  <c r="AQ135" i="48" s="1"/>
  <c r="J134" i="48"/>
  <c r="N134" i="48" s="1"/>
  <c r="AQ134" i="48" s="1"/>
  <c r="AI125" i="47"/>
  <c r="AG120" i="45"/>
  <c r="D347" i="65"/>
  <c r="J347" i="66"/>
  <c r="B347" i="65" s="1"/>
  <c r="I347" i="66"/>
  <c r="D127" i="65"/>
  <c r="A127" i="65" s="1"/>
  <c r="J127" i="66"/>
  <c r="B127" i="65" s="1"/>
  <c r="I127" i="66"/>
  <c r="V102" i="41"/>
  <c r="T102" i="41"/>
  <c r="B178" i="66"/>
  <c r="A178" i="66"/>
  <c r="F149" i="47"/>
  <c r="H149" i="47" s="1"/>
  <c r="J147" i="47"/>
  <c r="J149" i="47" s="1"/>
  <c r="N149" i="47" s="1"/>
  <c r="AQ149" i="47" s="1"/>
  <c r="V148" i="47"/>
  <c r="T148" i="47"/>
  <c r="V143" i="47"/>
  <c r="T143" i="47"/>
  <c r="AG138" i="47"/>
  <c r="AG140" i="47" s="1"/>
  <c r="AE140" i="47"/>
  <c r="AI139" i="47" s="1"/>
  <c r="V133" i="47"/>
  <c r="T133" i="47"/>
  <c r="D483" i="66"/>
  <c r="L508" i="66"/>
  <c r="CT107" i="61"/>
  <c r="D198" i="66"/>
  <c r="L208" i="66"/>
  <c r="L288" i="66"/>
  <c r="CR109" i="61"/>
  <c r="AE128" i="45"/>
  <c r="D124" i="45"/>
  <c r="R123" i="45"/>
  <c r="AE124" i="45"/>
  <c r="AG124" i="45" s="1"/>
  <c r="R99" i="41"/>
  <c r="D108" i="41"/>
  <c r="F108" i="41" s="1"/>
  <c r="H108" i="41" s="1"/>
  <c r="R107" i="41"/>
  <c r="D112" i="41"/>
  <c r="F112" i="41" s="1"/>
  <c r="V100" i="42"/>
  <c r="AE108" i="41"/>
  <c r="AG108" i="41" s="1"/>
  <c r="X105" i="44"/>
  <c r="A482" i="66"/>
  <c r="B482" i="66"/>
  <c r="B254" i="66"/>
  <c r="A254" i="66"/>
  <c r="D167" i="65"/>
  <c r="A167" i="65" s="1"/>
  <c r="J167" i="66"/>
  <c r="B167" i="65" s="1"/>
  <c r="I167" i="66"/>
  <c r="J107" i="43"/>
  <c r="F109" i="43"/>
  <c r="V112" i="43"/>
  <c r="T112" i="43"/>
  <c r="AI120" i="46"/>
  <c r="H117" i="44"/>
  <c r="D487" i="65"/>
  <c r="A487" i="65" s="1"/>
  <c r="J487" i="66"/>
  <c r="B487" i="65" s="1"/>
  <c r="I487" i="66"/>
  <c r="D467" i="65"/>
  <c r="A467" i="65" s="1"/>
  <c r="J467" i="66"/>
  <c r="B467" i="65" s="1"/>
  <c r="I467" i="66"/>
  <c r="F124" i="46"/>
  <c r="H124" i="46" s="1"/>
  <c r="J122" i="46"/>
  <c r="H97" i="38"/>
  <c r="AE120" i="45"/>
  <c r="AI119" i="45" s="1"/>
  <c r="J124" i="47"/>
  <c r="N124" i="47" s="1"/>
  <c r="AQ124" i="47" s="1"/>
  <c r="J125" i="47"/>
  <c r="N125" i="47" s="1"/>
  <c r="AQ125" i="47" s="1"/>
  <c r="B121" i="66"/>
  <c r="A121" i="66"/>
  <c r="H103" i="41"/>
  <c r="V113" i="44"/>
  <c r="T113" i="44"/>
  <c r="V109" i="44"/>
  <c r="V110" i="44" s="1"/>
  <c r="T109" i="44"/>
  <c r="T110" i="44" s="1"/>
  <c r="X109" i="44" s="1"/>
  <c r="F144" i="47"/>
  <c r="H144" i="47" s="1"/>
  <c r="J142" i="47"/>
  <c r="F139" i="47"/>
  <c r="H139" i="47" s="1"/>
  <c r="J137" i="47"/>
  <c r="F134" i="47"/>
  <c r="H134" i="47" s="1"/>
  <c r="J132" i="47"/>
  <c r="AT64" i="42"/>
  <c r="D11" i="42" s="1"/>
  <c r="Z69" i="42" s="1"/>
  <c r="AB69" i="42" s="1"/>
  <c r="AG95" i="40"/>
  <c r="V41" i="59"/>
  <c r="V42" i="59" s="1"/>
  <c r="X42" i="59" s="1"/>
  <c r="AB39" i="32"/>
  <c r="Y10" i="8"/>
  <c r="X9" i="8" s="1"/>
  <c r="AR145" i="27"/>
  <c r="J95" i="41"/>
  <c r="N95" i="41" s="1"/>
  <c r="AQ95" i="41" s="1"/>
  <c r="CF121" i="61"/>
  <c r="CH119" i="61"/>
  <c r="CO112" i="61"/>
  <c r="CG120" i="61"/>
  <c r="CN113" i="61"/>
  <c r="CE122" i="61"/>
  <c r="CI118" i="61"/>
  <c r="CJ117" i="61"/>
  <c r="A182" i="65"/>
  <c r="CL115" i="61"/>
  <c r="CQ110" i="61"/>
  <c r="CM114" i="61"/>
  <c r="CK116" i="61"/>
  <c r="CP111" i="61"/>
  <c r="AR145" i="45"/>
  <c r="AR145" i="46"/>
  <c r="N55" i="34"/>
  <c r="AQ55" i="34" s="1"/>
  <c r="AG60" i="33"/>
  <c r="AI75" i="37"/>
  <c r="H28" i="25"/>
  <c r="I28" i="25" s="1"/>
  <c r="I29" i="25" s="1"/>
  <c r="I39" i="25" s="1"/>
  <c r="D28" i="25"/>
  <c r="S7" i="25"/>
  <c r="AE33" i="26"/>
  <c r="AG33" i="26" s="1"/>
  <c r="D37" i="26"/>
  <c r="F37" i="26" s="1"/>
  <c r="H37" i="26" s="1"/>
  <c r="R32" i="26"/>
  <c r="T32" i="27"/>
  <c r="V32" i="27"/>
  <c r="AG75" i="36"/>
  <c r="Y15" i="13"/>
  <c r="AV28" i="25"/>
  <c r="Y28" i="25"/>
  <c r="BG7" i="25"/>
  <c r="AI60" i="34"/>
  <c r="AM60" i="34" s="1"/>
  <c r="AS60" i="34" s="1"/>
  <c r="AE75" i="36"/>
  <c r="AI74" i="36" s="1"/>
  <c r="AR144" i="50"/>
  <c r="T93" i="40"/>
  <c r="V50" i="32"/>
  <c r="X50" i="32" s="1"/>
  <c r="X9" i="9"/>
  <c r="Y11" i="9"/>
  <c r="F50" i="31"/>
  <c r="AR150" i="35"/>
  <c r="AR149" i="42"/>
  <c r="AE50" i="31"/>
  <c r="AI49" i="31" s="1"/>
  <c r="AI45" i="31"/>
  <c r="AR149" i="41"/>
  <c r="AG50" i="31"/>
  <c r="Y12" i="10"/>
  <c r="N60" i="35"/>
  <c r="AQ60" i="35" s="1"/>
  <c r="AR149" i="26"/>
  <c r="AB40" i="32"/>
  <c r="X13" i="13"/>
  <c r="Y13" i="11"/>
  <c r="AA13" i="11" s="1"/>
  <c r="AG13" i="11" s="1"/>
  <c r="AG65" i="34"/>
  <c r="AE65" i="34"/>
  <c r="AI64" i="34" s="1"/>
  <c r="AR144" i="43"/>
  <c r="AR145" i="39"/>
  <c r="AR145" i="33"/>
  <c r="AR144" i="49"/>
  <c r="X11" i="11"/>
  <c r="AR145" i="28"/>
  <c r="AR40" i="33"/>
  <c r="AT40" i="33" s="1"/>
  <c r="E6" i="33" s="1"/>
  <c r="Z50" i="33" s="1"/>
  <c r="AB55" i="35"/>
  <c r="AR55" i="35" s="1"/>
  <c r="AT55" i="35" s="1"/>
  <c r="E9" i="35" s="1"/>
  <c r="Z60" i="35" s="1"/>
  <c r="AI105" i="42"/>
  <c r="AI65" i="35"/>
  <c r="X85" i="39"/>
  <c r="X80" i="39"/>
  <c r="X70" i="37"/>
  <c r="V49" i="31"/>
  <c r="T49" i="31"/>
  <c r="D94" i="39"/>
  <c r="F94" i="39" s="1"/>
  <c r="H94" i="39" s="1"/>
  <c r="AE94" i="39"/>
  <c r="AG94" i="39" s="1"/>
  <c r="AE99" i="40"/>
  <c r="R98" i="40"/>
  <c r="AE103" i="40"/>
  <c r="D99" i="40"/>
  <c r="L54" i="33"/>
  <c r="Z49" i="33"/>
  <c r="AB49" i="33" s="1"/>
  <c r="R72" i="34"/>
  <c r="T72" i="34" s="1"/>
  <c r="AR150" i="41"/>
  <c r="Z69" i="41"/>
  <c r="AB69" i="41" s="1"/>
  <c r="L74" i="41"/>
  <c r="N74" i="41" s="1"/>
  <c r="AQ74" i="41" s="1"/>
  <c r="H52" i="29"/>
  <c r="AI100" i="42"/>
  <c r="F99" i="41"/>
  <c r="J97" i="41"/>
  <c r="AE105" i="41"/>
  <c r="AI104" i="41" s="1"/>
  <c r="AG103" i="41"/>
  <c r="AG105" i="41" s="1"/>
  <c r="V69" i="36"/>
  <c r="V70" i="36" s="1"/>
  <c r="T69" i="36"/>
  <c r="T70" i="36" s="1"/>
  <c r="X69" i="36" s="1"/>
  <c r="H68" i="34"/>
  <c r="J105" i="42"/>
  <c r="H84" i="39"/>
  <c r="H85" i="39" s="1"/>
  <c r="J85" i="39" s="1"/>
  <c r="F85" i="39"/>
  <c r="J84" i="39" s="1"/>
  <c r="R93" i="39"/>
  <c r="V93" i="39" s="1"/>
  <c r="Z49" i="34"/>
  <c r="AB49" i="34" s="1"/>
  <c r="AR50" i="34" s="1"/>
  <c r="L54" i="34"/>
  <c r="N54" i="34" s="1"/>
  <c r="AQ54" i="34" s="1"/>
  <c r="D52" i="28"/>
  <c r="F52" i="28" s="1"/>
  <c r="R47" i="28"/>
  <c r="H67" i="32"/>
  <c r="D73" i="34"/>
  <c r="F73" i="34" s="1"/>
  <c r="H73" i="34" s="1"/>
  <c r="Z70" i="41"/>
  <c r="AB70" i="41" s="1"/>
  <c r="L75" i="41"/>
  <c r="N75" i="41" s="1"/>
  <c r="AQ75" i="41" s="1"/>
  <c r="H87" i="37"/>
  <c r="V47" i="29"/>
  <c r="T47" i="29"/>
  <c r="AG99" i="41"/>
  <c r="AG100" i="41" s="1"/>
  <c r="AE100" i="41"/>
  <c r="AI99" i="41" s="1"/>
  <c r="V53" i="59"/>
  <c r="T53" i="59"/>
  <c r="R79" i="37"/>
  <c r="D88" i="37"/>
  <c r="F88" i="37" s="1"/>
  <c r="H88" i="37" s="1"/>
  <c r="H89" i="40"/>
  <c r="H90" i="40" s="1"/>
  <c r="J90" i="40" s="1"/>
  <c r="F90" i="40"/>
  <c r="J89" i="40" s="1"/>
  <c r="J99" i="42"/>
  <c r="T82" i="37"/>
  <c r="V82" i="37"/>
  <c r="T98" i="41"/>
  <c r="V98" i="41"/>
  <c r="H82" i="36"/>
  <c r="T79" i="38"/>
  <c r="T80" i="38" s="1"/>
  <c r="X79" i="38" s="1"/>
  <c r="V79" i="38"/>
  <c r="V80" i="38" s="1"/>
  <c r="H58" i="59"/>
  <c r="H69" i="36"/>
  <c r="H70" i="36" s="1"/>
  <c r="F70" i="36"/>
  <c r="J69" i="36" s="1"/>
  <c r="R82" i="36"/>
  <c r="D83" i="36"/>
  <c r="F83" i="36" s="1"/>
  <c r="H83" i="36" s="1"/>
  <c r="D87" i="36"/>
  <c r="F87" i="36" s="1"/>
  <c r="R77" i="35"/>
  <c r="D82" i="35"/>
  <c r="F82" i="35" s="1"/>
  <c r="D68" i="33"/>
  <c r="F68" i="33" s="1"/>
  <c r="R67" i="33"/>
  <c r="H54" i="33"/>
  <c r="H55" i="33" s="1"/>
  <c r="J55" i="33" s="1"/>
  <c r="F55" i="33"/>
  <c r="T77" i="36"/>
  <c r="V77" i="36"/>
  <c r="V67" i="34"/>
  <c r="T67" i="34"/>
  <c r="H50" i="31"/>
  <c r="AR150" i="47"/>
  <c r="AE45" i="30"/>
  <c r="AI44" i="30" s="1"/>
  <c r="L59" i="36"/>
  <c r="N59" i="36" s="1"/>
  <c r="AQ59" i="36" s="1"/>
  <c r="AG45" i="30"/>
  <c r="AI40" i="30"/>
  <c r="AR150" i="36"/>
  <c r="AR145" i="31"/>
  <c r="AR64" i="39"/>
  <c r="AT64" i="39" s="1"/>
  <c r="D11" i="39" s="1"/>
  <c r="J77" i="37"/>
  <c r="AR149" i="30"/>
  <c r="Z54" i="36"/>
  <c r="AB54" i="36" s="1"/>
  <c r="AK65" i="38"/>
  <c r="AM65" i="38" s="1"/>
  <c r="AS65" i="38" s="1"/>
  <c r="Z65" i="38"/>
  <c r="AB65" i="38" s="1"/>
  <c r="Z44" i="33"/>
  <c r="AB44" i="33" s="1"/>
  <c r="L49" i="33"/>
  <c r="N49" i="33" s="1"/>
  <c r="AQ49" i="33" s="1"/>
  <c r="AT49" i="33" s="1"/>
  <c r="D8" i="33" s="1"/>
  <c r="AK44" i="33"/>
  <c r="AM44" i="33" s="1"/>
  <c r="AS44" i="33" s="1"/>
  <c r="AR65" i="39"/>
  <c r="AT65" i="39" s="1"/>
  <c r="E11" i="39" s="1"/>
  <c r="AK44" i="34"/>
  <c r="AM44" i="34" s="1"/>
  <c r="AS44" i="34" s="1"/>
  <c r="Z44" i="34"/>
  <c r="AB44" i="34" s="1"/>
  <c r="AR45" i="34" s="1"/>
  <c r="AT45" i="34" s="1"/>
  <c r="E7" i="34" s="1"/>
  <c r="AK50" i="34" s="1"/>
  <c r="AM50" i="34" s="1"/>
  <c r="AS50" i="34" s="1"/>
  <c r="AT50" i="34" s="1"/>
  <c r="E8" i="34" s="1"/>
  <c r="L49" i="34"/>
  <c r="N49" i="34" s="1"/>
  <c r="AQ49" i="34" s="1"/>
  <c r="AT49" i="34" s="1"/>
  <c r="D8" i="34" s="1"/>
  <c r="AK64" i="38"/>
  <c r="AM64" i="38" s="1"/>
  <c r="AS64" i="38" s="1"/>
  <c r="Z64" i="38"/>
  <c r="AB64" i="38" s="1"/>
  <c r="AE80" i="37"/>
  <c r="AI79" i="37" s="1"/>
  <c r="X45" i="32"/>
  <c r="X150" i="39"/>
  <c r="AB150" i="39" s="1"/>
  <c r="AR149" i="39" s="1"/>
  <c r="X150" i="34"/>
  <c r="AB150" i="34" s="1"/>
  <c r="AR150" i="34" s="1"/>
  <c r="X55" i="34"/>
  <c r="X150" i="40"/>
  <c r="AB150" i="40" s="1"/>
  <c r="AR149" i="40" s="1"/>
  <c r="X150" i="28"/>
  <c r="AB150" i="28" s="1"/>
  <c r="AR150" i="28" s="1"/>
  <c r="X150" i="49"/>
  <c r="AB150" i="49" s="1"/>
  <c r="AR150" i="49" s="1"/>
  <c r="AG55" i="32"/>
  <c r="X150" i="46"/>
  <c r="AB150" i="46" s="1"/>
  <c r="AR150" i="46" s="1"/>
  <c r="X150" i="50"/>
  <c r="AB150" i="50" s="1"/>
  <c r="AR149" i="50" s="1"/>
  <c r="AR59" i="37"/>
  <c r="AT59" i="37" s="1"/>
  <c r="D10" i="37" s="1"/>
  <c r="L69" i="37" s="1"/>
  <c r="N69" i="37" s="1"/>
  <c r="AQ69" i="37" s="1"/>
  <c r="AR60" i="37"/>
  <c r="AT60" i="37" s="1"/>
  <c r="E10" i="37" s="1"/>
  <c r="L70" i="37" s="1"/>
  <c r="N70" i="37" s="1"/>
  <c r="AQ70" i="37" s="1"/>
  <c r="X150" i="44"/>
  <c r="AB150" i="44" s="1"/>
  <c r="AR150" i="44" s="1"/>
  <c r="X40" i="31"/>
  <c r="X150" i="37"/>
  <c r="AB150" i="37" s="1"/>
  <c r="AR149" i="37" s="1"/>
  <c r="X75" i="38"/>
  <c r="X60" i="35"/>
  <c r="AR35" i="30"/>
  <c r="AR34" i="30"/>
  <c r="H18" i="15"/>
  <c r="I18" i="15" s="1"/>
  <c r="D18" i="15"/>
  <c r="F18" i="15" s="1"/>
  <c r="G18" i="15" s="1"/>
  <c r="V38" i="29"/>
  <c r="T38" i="29"/>
  <c r="V34" i="29"/>
  <c r="V35" i="29" s="1"/>
  <c r="X35" i="29" s="1"/>
  <c r="AB35" i="29" s="1"/>
  <c r="T34" i="29"/>
  <c r="T35" i="29" s="1"/>
  <c r="X34" i="29" s="1"/>
  <c r="AB34" i="29" s="1"/>
  <c r="H15" i="12"/>
  <c r="I15" i="12" s="1"/>
  <c r="D15" i="12"/>
  <c r="F15" i="12" s="1"/>
  <c r="G15" i="12" s="1"/>
  <c r="AM21" i="61"/>
  <c r="AD24" i="68" s="1"/>
  <c r="AP21" i="17"/>
  <c r="C12" i="33"/>
  <c r="D77" i="33" s="1"/>
  <c r="B21" i="17"/>
  <c r="AH26" i="61"/>
  <c r="Y29" i="68" s="1"/>
  <c r="AP26" i="22"/>
  <c r="B26" i="22"/>
  <c r="C7" i="28"/>
  <c r="AA12" i="10"/>
  <c r="AG12" i="10" s="1"/>
  <c r="AO19" i="61"/>
  <c r="AF22" i="68" s="1"/>
  <c r="C14" i="35"/>
  <c r="R69" i="35" s="1"/>
  <c r="B19" i="15"/>
  <c r="AP19" i="15"/>
  <c r="V42" i="29"/>
  <c r="T42" i="29"/>
  <c r="J79" i="38"/>
  <c r="J80" i="38"/>
  <c r="AR16" i="61"/>
  <c r="AP16" i="12"/>
  <c r="C17" i="38"/>
  <c r="AE98" i="38" s="1"/>
  <c r="B16" i="12"/>
  <c r="H47" i="30"/>
  <c r="AA11" i="9"/>
  <c r="AG11" i="9" s="1"/>
  <c r="V68" i="35"/>
  <c r="T68" i="35"/>
  <c r="H27" i="24"/>
  <c r="I27" i="24" s="1"/>
  <c r="D27" i="24"/>
  <c r="F27" i="24" s="1"/>
  <c r="G27" i="24" s="1"/>
  <c r="AG80" i="37"/>
  <c r="BA7" i="61"/>
  <c r="C26" i="47"/>
  <c r="AP7" i="3"/>
  <c r="B7" i="3"/>
  <c r="AG40" i="29"/>
  <c r="H23" i="20"/>
  <c r="I23" i="20" s="1"/>
  <c r="D23" i="20"/>
  <c r="F23" i="20" s="1"/>
  <c r="G23" i="20" s="1"/>
  <c r="F89" i="39"/>
  <c r="J87" i="39"/>
  <c r="AN20" i="61"/>
  <c r="AE23" i="68" s="1"/>
  <c r="C13" i="34"/>
  <c r="AP20" i="16"/>
  <c r="B20" i="16"/>
  <c r="AG9" i="9"/>
  <c r="X150" i="27"/>
  <c r="AB150" i="27" s="1"/>
  <c r="AR149" i="27" s="1"/>
  <c r="AE84" i="37"/>
  <c r="AG84" i="37" s="1"/>
  <c r="AE88" i="37"/>
  <c r="R83" i="37"/>
  <c r="D84" i="37"/>
  <c r="AL22" i="61"/>
  <c r="AC25" i="68" s="1"/>
  <c r="AP22" i="18"/>
  <c r="C11" i="32"/>
  <c r="B22" i="18"/>
  <c r="F10" i="8"/>
  <c r="AV12" i="9"/>
  <c r="F150" i="26"/>
  <c r="H147" i="26"/>
  <c r="H150" i="26" s="1"/>
  <c r="H8" i="5"/>
  <c r="I8" i="5" s="1"/>
  <c r="D8" i="5"/>
  <c r="AG38" i="28"/>
  <c r="F38" i="28"/>
  <c r="J40" i="30"/>
  <c r="N40" i="30" s="1"/>
  <c r="AQ40" i="30" s="1"/>
  <c r="J39" i="30"/>
  <c r="N39" i="30" s="1"/>
  <c r="AQ39" i="30" s="1"/>
  <c r="F150" i="45"/>
  <c r="H147" i="45"/>
  <c r="H150" i="45" s="1"/>
  <c r="H42" i="29"/>
  <c r="D43" i="28"/>
  <c r="F43" i="28" s="1"/>
  <c r="H43" i="28" s="1"/>
  <c r="AE39" i="28"/>
  <c r="AG39" i="28" s="1"/>
  <c r="R34" i="28"/>
  <c r="R38" i="28"/>
  <c r="D39" i="28"/>
  <c r="F39" i="28" s="1"/>
  <c r="H39" i="28" s="1"/>
  <c r="AE43" i="28"/>
  <c r="R42" i="28"/>
  <c r="D47" i="28"/>
  <c r="AV24" i="21"/>
  <c r="V57" i="59"/>
  <c r="T57" i="59"/>
  <c r="AI53" i="59"/>
  <c r="AI54" i="59" s="1"/>
  <c r="AE53" i="59"/>
  <c r="H16" i="13"/>
  <c r="I16" i="13" s="1"/>
  <c r="D16" i="13"/>
  <c r="F16" i="13" s="1"/>
  <c r="G16" i="13" s="1"/>
  <c r="AF5" i="6"/>
  <c r="AF6" i="6" s="1"/>
  <c r="AF7" i="6" s="1"/>
  <c r="AS15" i="61"/>
  <c r="AJ18" i="68" s="1"/>
  <c r="B15" i="11"/>
  <c r="C18" i="39"/>
  <c r="AP15" i="11"/>
  <c r="AR145" i="37"/>
  <c r="F150" i="30"/>
  <c r="H147" i="30"/>
  <c r="H150" i="30" s="1"/>
  <c r="F4" i="2"/>
  <c r="T62" i="33"/>
  <c r="V62" i="33"/>
  <c r="V58" i="33"/>
  <c r="T58" i="33"/>
  <c r="H5" i="2"/>
  <c r="I5" i="2" s="1"/>
  <c r="D5" i="2"/>
  <c r="F5" i="2" s="1"/>
  <c r="G5" i="2" s="1"/>
  <c r="D22" i="53"/>
  <c r="F22" i="53" s="1"/>
  <c r="G22" i="53" s="1"/>
  <c r="H22" i="53"/>
  <c r="I22" i="53" s="1"/>
  <c r="AV22" i="19"/>
  <c r="AV9" i="6"/>
  <c r="AI50" i="32"/>
  <c r="AE90" i="39"/>
  <c r="AI89" i="39" s="1"/>
  <c r="AE55" i="32"/>
  <c r="AI54" i="32" s="1"/>
  <c r="J47" i="31"/>
  <c r="H147" i="46"/>
  <c r="H150" i="46" s="1"/>
  <c r="F150" i="46"/>
  <c r="F62" i="32"/>
  <c r="AG58" i="32"/>
  <c r="F174" i="59"/>
  <c r="H171" i="59"/>
  <c r="H174" i="59" s="1"/>
  <c r="F57" i="31"/>
  <c r="AG78" i="36"/>
  <c r="AE85" i="38"/>
  <c r="AI84" i="38" s="1"/>
  <c r="AV10" i="7"/>
  <c r="AG68" i="34"/>
  <c r="AV11" i="8"/>
  <c r="AR150" i="38"/>
  <c r="AR150" i="48"/>
  <c r="AR149" i="48"/>
  <c r="AK39" i="31"/>
  <c r="AM39" i="31" s="1"/>
  <c r="AS39" i="31" s="1"/>
  <c r="Z39" i="31"/>
  <c r="AB39" i="31" s="1"/>
  <c r="L44" i="31"/>
  <c r="N44" i="31" s="1"/>
  <c r="AQ44" i="31" s="1"/>
  <c r="AR144" i="44"/>
  <c r="AV20" i="17"/>
  <c r="H20" i="17"/>
  <c r="I20" i="17" s="1"/>
  <c r="D20" i="17"/>
  <c r="F20" i="17" s="1"/>
  <c r="G20" i="17" s="1"/>
  <c r="AV25" i="22"/>
  <c r="AG4" i="3"/>
  <c r="H47" i="59"/>
  <c r="H48" i="59" s="1"/>
  <c r="J48" i="59" s="1"/>
  <c r="F48" i="59"/>
  <c r="J47" i="59" s="1"/>
  <c r="AE79" i="36"/>
  <c r="AG79" i="36" s="1"/>
  <c r="AE83" i="36"/>
  <c r="R78" i="36"/>
  <c r="R74" i="36"/>
  <c r="D79" i="36"/>
  <c r="F79" i="36" s="1"/>
  <c r="H79" i="36" s="1"/>
  <c r="AG43" i="29"/>
  <c r="AA15" i="13"/>
  <c r="AV15" i="12"/>
  <c r="AV34" i="59"/>
  <c r="B18" i="58" s="1" a="1"/>
  <c r="D5" i="59"/>
  <c r="F5" i="59"/>
  <c r="AE34" i="27"/>
  <c r="R33" i="27"/>
  <c r="D38" i="27"/>
  <c r="AE38" i="27"/>
  <c r="R37" i="27"/>
  <c r="D42" i="27"/>
  <c r="AV6" i="3"/>
  <c r="AE40" i="29"/>
  <c r="AI39" i="29" s="1"/>
  <c r="AA13" i="12"/>
  <c r="AG13" i="12" s="1"/>
  <c r="T78" i="37"/>
  <c r="V78" i="37"/>
  <c r="AE54" i="31"/>
  <c r="AG54" i="31" s="1"/>
  <c r="AE58" i="31"/>
  <c r="R53" i="31"/>
  <c r="D54" i="31"/>
  <c r="D58" i="31"/>
  <c r="F58" i="31" s="1"/>
  <c r="H58" i="31" s="1"/>
  <c r="D62" i="31"/>
  <c r="R57" i="31"/>
  <c r="AG98" i="39"/>
  <c r="AG93" i="39"/>
  <c r="AG95" i="39" s="1"/>
  <c r="AF10" i="10"/>
  <c r="AF11" i="10" s="1"/>
  <c r="AE74" i="35"/>
  <c r="AG74" i="35" s="1"/>
  <c r="R64" i="35"/>
  <c r="R73" i="35"/>
  <c r="D74" i="35"/>
  <c r="AE78" i="35"/>
  <c r="D78" i="35"/>
  <c r="AP18" i="61"/>
  <c r="AG21" i="68" s="1"/>
  <c r="C15" i="36"/>
  <c r="AP18" i="14"/>
  <c r="B18" i="14"/>
  <c r="AE64" i="33"/>
  <c r="AG64" i="33" s="1"/>
  <c r="AE68" i="33"/>
  <c r="D64" i="33"/>
  <c r="R63" i="33"/>
  <c r="R59" i="33"/>
  <c r="AU13" i="61"/>
  <c r="AL16" i="68" s="1"/>
  <c r="AP13" i="9"/>
  <c r="Y12" i="9" s="1"/>
  <c r="C20" i="41"/>
  <c r="B13" i="9"/>
  <c r="AF12" i="12"/>
  <c r="BC5" i="61"/>
  <c r="C28" i="49"/>
  <c r="B5" i="1"/>
  <c r="AP5" i="1"/>
  <c r="Y4" i="1" s="1"/>
  <c r="AV8" i="5"/>
  <c r="H62" i="33"/>
  <c r="V33" i="28"/>
  <c r="T33" i="28"/>
  <c r="V39" i="30"/>
  <c r="V40" i="30" s="1"/>
  <c r="T39" i="30"/>
  <c r="T40" i="30" s="1"/>
  <c r="X39" i="30" s="1"/>
  <c r="V43" i="30"/>
  <c r="T43" i="30"/>
  <c r="AF15" i="16"/>
  <c r="AG27" i="61"/>
  <c r="B27" i="23"/>
  <c r="AP27" i="23"/>
  <c r="C6" i="27"/>
  <c r="H24" i="21"/>
  <c r="I24" i="21" s="1"/>
  <c r="D24" i="21"/>
  <c r="F24" i="21" s="1"/>
  <c r="G24" i="21" s="1"/>
  <c r="F53" i="59"/>
  <c r="J51" i="59"/>
  <c r="AI58" i="59"/>
  <c r="AE58" i="59"/>
  <c r="AV16" i="13"/>
  <c r="AV14" i="11"/>
  <c r="AV7" i="4"/>
  <c r="V83" i="38"/>
  <c r="V85" i="38" s="1"/>
  <c r="T83" i="38"/>
  <c r="AG63" i="33"/>
  <c r="AV5" i="2"/>
  <c r="R58" i="32"/>
  <c r="AE59" i="32"/>
  <c r="AG59" i="32" s="1"/>
  <c r="R54" i="32"/>
  <c r="AE63" i="32"/>
  <c r="R62" i="32"/>
  <c r="D59" i="32"/>
  <c r="D63" i="32"/>
  <c r="F63" i="32" s="1"/>
  <c r="H63" i="32" s="1"/>
  <c r="D72" i="32"/>
  <c r="AK23" i="61"/>
  <c r="AB26" i="68" s="1"/>
  <c r="C10" i="59"/>
  <c r="AP23" i="19"/>
  <c r="B23" i="19"/>
  <c r="C10" i="31"/>
  <c r="D67" i="31" s="1"/>
  <c r="F67" i="31" s="1"/>
  <c r="AP23" i="53"/>
  <c r="B23" i="53"/>
  <c r="AV13" i="10"/>
  <c r="AG90" i="39"/>
  <c r="H77" i="35"/>
  <c r="V48" i="31"/>
  <c r="T48" i="31"/>
  <c r="T50" i="31" s="1"/>
  <c r="X49" i="31" s="1"/>
  <c r="Y6" i="4"/>
  <c r="F78" i="36"/>
  <c r="V73" i="36"/>
  <c r="T73" i="36"/>
  <c r="G4" i="3"/>
  <c r="H10" i="7"/>
  <c r="I10" i="7" s="1"/>
  <c r="D10" i="7"/>
  <c r="V59" i="34"/>
  <c r="V60" i="34" s="1"/>
  <c r="T59" i="34"/>
  <c r="T60" i="34" s="1"/>
  <c r="X59" i="34" s="1"/>
  <c r="H11" i="8"/>
  <c r="I11" i="8" s="1"/>
  <c r="D11" i="8"/>
  <c r="F11" i="8" s="1"/>
  <c r="G11" i="8" s="1"/>
  <c r="F150" i="39"/>
  <c r="H147" i="39"/>
  <c r="H150" i="39" s="1"/>
  <c r="F150" i="36"/>
  <c r="H147" i="36"/>
  <c r="H150" i="36" s="1"/>
  <c r="AR145" i="40"/>
  <c r="AR149" i="29"/>
  <c r="H25" i="22"/>
  <c r="I25" i="22" s="1"/>
  <c r="D25" i="22"/>
  <c r="F25" i="22" s="1"/>
  <c r="G25" i="22" s="1"/>
  <c r="AA8" i="7"/>
  <c r="X7" i="7"/>
  <c r="J70" i="36"/>
  <c r="AE69" i="34"/>
  <c r="AG69" i="34" s="1"/>
  <c r="AE73" i="34"/>
  <c r="D69" i="34"/>
  <c r="R68" i="34"/>
  <c r="AE44" i="29"/>
  <c r="AG44" i="29" s="1"/>
  <c r="R43" i="29"/>
  <c r="AE48" i="29"/>
  <c r="D44" i="29"/>
  <c r="F44" i="29" s="1"/>
  <c r="H44" i="29" s="1"/>
  <c r="D48" i="29"/>
  <c r="F48" i="29" s="1"/>
  <c r="H48" i="29" s="1"/>
  <c r="H74" i="37"/>
  <c r="H75" i="37" s="1"/>
  <c r="J75" i="37" s="1"/>
  <c r="F75" i="37"/>
  <c r="J74" i="37" s="1"/>
  <c r="AA9" i="8"/>
  <c r="AG9" i="8" s="1"/>
  <c r="AV18" i="15"/>
  <c r="F47" i="29"/>
  <c r="AF14" i="14"/>
  <c r="X150" i="45"/>
  <c r="AB150" i="45" s="1"/>
  <c r="AR150" i="45" s="1"/>
  <c r="X11" i="10"/>
  <c r="Z42" i="59"/>
  <c r="AM42" i="59"/>
  <c r="AO42" i="59" s="1"/>
  <c r="AU42" i="59" s="1"/>
  <c r="L48" i="59"/>
  <c r="AA7" i="5"/>
  <c r="AG73" i="35"/>
  <c r="X150" i="31"/>
  <c r="AB150" i="31" s="1"/>
  <c r="AR149" i="31" s="1"/>
  <c r="B28" i="24"/>
  <c r="T31" i="61"/>
  <c r="AP28" i="24"/>
  <c r="C5" i="26"/>
  <c r="AA8" i="6"/>
  <c r="H59" i="34"/>
  <c r="H60" i="34" s="1"/>
  <c r="J60" i="34" s="1"/>
  <c r="F60" i="34"/>
  <c r="J59" i="34" s="1"/>
  <c r="AG83" i="37"/>
  <c r="G8" i="7"/>
  <c r="AV23" i="20"/>
  <c r="AJ24" i="61"/>
  <c r="AA27" i="68" s="1"/>
  <c r="AP24" i="20"/>
  <c r="C9" i="30"/>
  <c r="B24" i="20"/>
  <c r="AA15" i="14"/>
  <c r="V88" i="39"/>
  <c r="T88" i="39"/>
  <c r="H147" i="37"/>
  <c r="H150" i="37" s="1"/>
  <c r="F150" i="37"/>
  <c r="X150" i="43"/>
  <c r="AB150" i="43" s="1"/>
  <c r="AR150" i="43" s="1"/>
  <c r="AV19" i="16"/>
  <c r="AV17" i="14"/>
  <c r="H21" i="18"/>
  <c r="I21" i="18" s="1"/>
  <c r="D21" i="18"/>
  <c r="F21" i="18" s="1"/>
  <c r="G21" i="18" s="1"/>
  <c r="J95" i="40"/>
  <c r="N95" i="40" s="1"/>
  <c r="AQ95" i="40" s="1"/>
  <c r="J94" i="40"/>
  <c r="N94" i="40" s="1"/>
  <c r="AQ94" i="40" s="1"/>
  <c r="X12" i="12"/>
  <c r="D4" i="1"/>
  <c r="H4" i="1"/>
  <c r="I4" i="1" s="1"/>
  <c r="AG34" i="28"/>
  <c r="AG35" i="28" s="1"/>
  <c r="AE35" i="28"/>
  <c r="AI34" i="28" s="1"/>
  <c r="AM34" i="28" s="1"/>
  <c r="AS34" i="28" s="1"/>
  <c r="F44" i="30"/>
  <c r="J42" i="30"/>
  <c r="X65" i="37"/>
  <c r="AI35" i="29"/>
  <c r="AM35" i="29" s="1"/>
  <c r="AS35" i="29" s="1"/>
  <c r="X150" i="33"/>
  <c r="AB150" i="33" s="1"/>
  <c r="AR149" i="33" s="1"/>
  <c r="H26" i="23"/>
  <c r="I26" i="23" s="1"/>
  <c r="D26" i="23"/>
  <c r="F26" i="23" s="1"/>
  <c r="G26" i="23" s="1"/>
  <c r="AI25" i="61"/>
  <c r="Z28" i="68" s="1"/>
  <c r="B25" i="21"/>
  <c r="C8" i="29"/>
  <c r="AP25" i="21"/>
  <c r="T47" i="59"/>
  <c r="T48" i="59" s="1"/>
  <c r="X47" i="59" s="1"/>
  <c r="V47" i="59"/>
  <c r="V48" i="59" s="1"/>
  <c r="AQ17" i="61"/>
  <c r="AH20" i="68" s="1"/>
  <c r="AP17" i="13"/>
  <c r="B17" i="13"/>
  <c r="C16" i="37"/>
  <c r="Y14" i="12"/>
  <c r="H7" i="4"/>
  <c r="I7" i="4" s="1"/>
  <c r="D7" i="4"/>
  <c r="F7" i="4" s="1"/>
  <c r="G7" i="4" s="1"/>
  <c r="AG88" i="38"/>
  <c r="V54" i="33"/>
  <c r="V55" i="33" s="1"/>
  <c r="T54" i="33"/>
  <c r="T55" i="33" s="1"/>
  <c r="X54" i="33" s="1"/>
  <c r="BB6" i="61"/>
  <c r="AP6" i="2"/>
  <c r="C27" i="48"/>
  <c r="B6" i="2"/>
  <c r="AV22" i="53"/>
  <c r="H9" i="6"/>
  <c r="I9" i="6" s="1"/>
  <c r="D9" i="6"/>
  <c r="F9" i="6" s="1"/>
  <c r="G9" i="6" s="1"/>
  <c r="AT14" i="61"/>
  <c r="AK17" i="68" s="1"/>
  <c r="C19" i="40"/>
  <c r="AP14" i="10"/>
  <c r="Y13" i="10" s="1"/>
  <c r="B14" i="10"/>
  <c r="AG70" i="35"/>
  <c r="H57" i="32"/>
  <c r="J37" i="29"/>
  <c r="V57" i="32"/>
  <c r="T57" i="32"/>
  <c r="T53" i="32"/>
  <c r="V53" i="32"/>
  <c r="V44" i="31"/>
  <c r="V45" i="31" s="1"/>
  <c r="T44" i="31"/>
  <c r="T45" i="31" s="1"/>
  <c r="X44" i="31" s="1"/>
  <c r="AG11" i="11"/>
  <c r="F74" i="36"/>
  <c r="J72" i="36"/>
  <c r="F77" i="34"/>
  <c r="T63" i="34"/>
  <c r="V63" i="34"/>
  <c r="AF7" i="7"/>
  <c r="Y4" i="2"/>
  <c r="AF13" i="13"/>
  <c r="AF14" i="13" s="1"/>
  <c r="AF4" i="5"/>
  <c r="AF5" i="5" s="1"/>
  <c r="AF6" i="5" s="1"/>
  <c r="X8" i="8"/>
  <c r="F69" i="35"/>
  <c r="J67" i="35"/>
  <c r="AV27" i="24"/>
  <c r="AI80" i="38"/>
  <c r="H78" i="37"/>
  <c r="H80" i="37" s="1"/>
  <c r="F80" i="37"/>
  <c r="H6" i="3"/>
  <c r="I6" i="3" s="1"/>
  <c r="D6" i="3"/>
  <c r="F6" i="3" s="1"/>
  <c r="G6" i="3" s="1"/>
  <c r="H72" i="34"/>
  <c r="V74" i="37"/>
  <c r="V75" i="37" s="1"/>
  <c r="T74" i="37"/>
  <c r="T75" i="37" s="1"/>
  <c r="X74" i="37" s="1"/>
  <c r="AG59" i="59"/>
  <c r="AG60" i="59" s="1"/>
  <c r="AK59" i="59" s="1"/>
  <c r="R58" i="59"/>
  <c r="AG64" i="59"/>
  <c r="D59" i="59"/>
  <c r="R63" i="59"/>
  <c r="D64" i="59"/>
  <c r="F64" i="59" s="1"/>
  <c r="H64" i="59" s="1"/>
  <c r="D69" i="59"/>
  <c r="AF4" i="4"/>
  <c r="AF5" i="4" s="1"/>
  <c r="F6" i="4"/>
  <c r="H19" i="16"/>
  <c r="I19" i="16" s="1"/>
  <c r="D19" i="16"/>
  <c r="F19" i="16" s="1"/>
  <c r="G19" i="16" s="1"/>
  <c r="G6" i="5"/>
  <c r="H17" i="14"/>
  <c r="I17" i="14" s="1"/>
  <c r="D17" i="14"/>
  <c r="F17" i="14" s="1"/>
  <c r="G17" i="14" s="1"/>
  <c r="AV21" i="18"/>
  <c r="H12" i="9"/>
  <c r="I12" i="9" s="1"/>
  <c r="D12" i="9"/>
  <c r="F12" i="9" s="1"/>
  <c r="AV4" i="1"/>
  <c r="AY9" i="61"/>
  <c r="AP12" i="68" s="1"/>
  <c r="B9" i="5"/>
  <c r="C24" i="45"/>
  <c r="AP9" i="5"/>
  <c r="F42" i="28"/>
  <c r="V37" i="28"/>
  <c r="T37" i="28"/>
  <c r="AG48" i="30"/>
  <c r="AF7" i="8"/>
  <c r="AF8" i="8" s="1"/>
  <c r="H49" i="32"/>
  <c r="H50" i="32" s="1"/>
  <c r="J50" i="32" s="1"/>
  <c r="F50" i="32"/>
  <c r="J49" i="32" s="1"/>
  <c r="F150" i="48"/>
  <c r="J149" i="48" s="1"/>
  <c r="N149" i="48" s="1"/>
  <c r="AQ149" i="48" s="1"/>
  <c r="H147" i="48"/>
  <c r="H150" i="48" s="1"/>
  <c r="J150" i="48" s="1"/>
  <c r="N150" i="48" s="1"/>
  <c r="AQ150" i="48" s="1"/>
  <c r="AV26" i="23"/>
  <c r="AE49" i="30"/>
  <c r="AG49" i="30" s="1"/>
  <c r="AE53" i="30"/>
  <c r="R48" i="30"/>
  <c r="R44" i="30"/>
  <c r="D49" i="30"/>
  <c r="R52" i="30"/>
  <c r="D57" i="30"/>
  <c r="F63" i="59"/>
  <c r="V52" i="59"/>
  <c r="V54" i="59" s="1"/>
  <c r="T52" i="59"/>
  <c r="AE89" i="38"/>
  <c r="AG89" i="38" s="1"/>
  <c r="R88" i="38"/>
  <c r="D89" i="38"/>
  <c r="AE93" i="38"/>
  <c r="AE94" i="38"/>
  <c r="AG94" i="38" s="1"/>
  <c r="H14" i="11"/>
  <c r="I14" i="11" s="1"/>
  <c r="D14" i="11"/>
  <c r="F14" i="11" s="1"/>
  <c r="G14" i="11" s="1"/>
  <c r="AZ8" i="61"/>
  <c r="B8" i="4"/>
  <c r="C25" i="46"/>
  <c r="AP8" i="4"/>
  <c r="Y9" i="7"/>
  <c r="X8" i="7" s="1"/>
  <c r="F84" i="38"/>
  <c r="J82" i="38"/>
  <c r="AF15" i="15"/>
  <c r="F72" i="33"/>
  <c r="F59" i="33"/>
  <c r="J57" i="33"/>
  <c r="H22" i="19"/>
  <c r="I22" i="19" s="1"/>
  <c r="D22" i="19"/>
  <c r="F22" i="19" s="1"/>
  <c r="G22" i="19" s="1"/>
  <c r="J54" i="33"/>
  <c r="N54" i="33" s="1"/>
  <c r="AQ54" i="33" s="1"/>
  <c r="AX10" i="61"/>
  <c r="B10" i="6"/>
  <c r="AP10" i="6"/>
  <c r="C23" i="44"/>
  <c r="H13" i="10"/>
  <c r="I13" i="10" s="1"/>
  <c r="D13" i="10"/>
  <c r="F13" i="10" s="1"/>
  <c r="G13" i="10" s="1"/>
  <c r="Y5" i="3"/>
  <c r="AE70" i="35"/>
  <c r="AI69" i="35" s="1"/>
  <c r="H38" i="29"/>
  <c r="H40" i="29" s="1"/>
  <c r="F40" i="29"/>
  <c r="AG54" i="59"/>
  <c r="AK53" i="59" s="1"/>
  <c r="F54" i="32"/>
  <c r="J52" i="32"/>
  <c r="T52" i="31"/>
  <c r="V52" i="31"/>
  <c r="AG53" i="31"/>
  <c r="X7" i="6"/>
  <c r="V64" i="36"/>
  <c r="V65" i="36" s="1"/>
  <c r="T64" i="36"/>
  <c r="T65" i="36" s="1"/>
  <c r="X64" i="36" s="1"/>
  <c r="AG85" i="38"/>
  <c r="AW11" i="61"/>
  <c r="AN14" i="68" s="1"/>
  <c r="AP11" i="7"/>
  <c r="C22" i="43"/>
  <c r="B11" i="7"/>
  <c r="F64" i="34"/>
  <c r="J62" i="34"/>
  <c r="AV12" i="61"/>
  <c r="AM15" i="68" s="1"/>
  <c r="AP12" i="8"/>
  <c r="C21" i="42"/>
  <c r="B12" i="8"/>
  <c r="F150" i="43"/>
  <c r="H147" i="43"/>
  <c r="H150" i="43" s="1"/>
  <c r="X14" i="13"/>
  <c r="AK40" i="31"/>
  <c r="AM40" i="31" s="1"/>
  <c r="AS40" i="31" s="1"/>
  <c r="Z40" i="31"/>
  <c r="L45" i="31"/>
  <c r="N45" i="31" s="1"/>
  <c r="AQ45" i="31" s="1"/>
  <c r="X10" i="9"/>
  <c r="EX133" i="61" l="1"/>
  <c r="GI133" i="61" s="1"/>
  <c r="O12" i="64" s="1"/>
  <c r="AO13" i="68"/>
  <c r="DA101" i="61"/>
  <c r="AS9" i="68"/>
  <c r="D197" i="66"/>
  <c r="A197" i="66" s="1"/>
  <c r="AI19" i="68"/>
  <c r="CY103" i="61"/>
  <c r="AQ11" i="68"/>
  <c r="DB100" i="61"/>
  <c r="AT8" i="68"/>
  <c r="CZ102" i="61"/>
  <c r="AR10" i="68"/>
  <c r="AT40" i="43"/>
  <c r="E6" i="43" s="1"/>
  <c r="AK45" i="43" s="1"/>
  <c r="AM45" i="43" s="1"/>
  <c r="AS45" i="43" s="1"/>
  <c r="L54" i="43"/>
  <c r="N54" i="43" s="1"/>
  <c r="AQ54" i="43" s="1"/>
  <c r="AK44" i="43"/>
  <c r="AM44" i="43" s="1"/>
  <c r="AS44" i="43" s="1"/>
  <c r="Z44" i="43"/>
  <c r="AB44" i="43" s="1"/>
  <c r="Z49" i="43"/>
  <c r="AB49" i="43" s="1"/>
  <c r="L49" i="43"/>
  <c r="N49" i="43" s="1"/>
  <c r="AQ49" i="43" s="1"/>
  <c r="AT49" i="43" s="1"/>
  <c r="D8" i="43" s="1"/>
  <c r="X28" i="29"/>
  <c r="R49" i="30"/>
  <c r="AH5" i="30"/>
  <c r="AJ15" i="30"/>
  <c r="AH9" i="30"/>
  <c r="T22" i="30"/>
  <c r="AL8" i="30"/>
  <c r="AJ8" i="30"/>
  <c r="L5" i="30"/>
  <c r="X4" i="30"/>
  <c r="X5" i="30" s="1"/>
  <c r="V4" i="30"/>
  <c r="V5" i="30" s="1"/>
  <c r="Z4" i="30" s="1"/>
  <c r="N18" i="30"/>
  <c r="L4" i="30" s="1"/>
  <c r="V15" i="30"/>
  <c r="Z13" i="30"/>
  <c r="BX98" i="61"/>
  <c r="BP98" i="61"/>
  <c r="CA98" i="61"/>
  <c r="BW98" i="61"/>
  <c r="BS98" i="61"/>
  <c r="BO98" i="61"/>
  <c r="BK98" i="61"/>
  <c r="BG98" i="61"/>
  <c r="BV98" i="61"/>
  <c r="BN98" i="61"/>
  <c r="BZ98" i="61"/>
  <c r="BR98" i="61"/>
  <c r="BJ98" i="61"/>
  <c r="CC98" i="61"/>
  <c r="BY98" i="61"/>
  <c r="BU98" i="61"/>
  <c r="BQ98" i="61"/>
  <c r="BM98" i="61"/>
  <c r="BI98" i="61"/>
  <c r="CB98" i="61"/>
  <c r="BT98" i="61"/>
  <c r="BL98" i="61"/>
  <c r="BH98" i="61"/>
  <c r="DG99" i="61"/>
  <c r="DF99" i="61"/>
  <c r="V21" i="30"/>
  <c r="X21" i="30"/>
  <c r="X27" i="30"/>
  <c r="X28" i="30" s="1"/>
  <c r="V28" i="30"/>
  <c r="Z27" i="30" s="1"/>
  <c r="Z10" i="29"/>
  <c r="P15" i="28"/>
  <c r="P16" i="28" s="1"/>
  <c r="N18" i="28" s="1"/>
  <c r="L4" i="28" s="1"/>
  <c r="AP34" i="28" s="1"/>
  <c r="V10" i="28"/>
  <c r="Z9" i="28" s="1"/>
  <c r="N23" i="28"/>
  <c r="V28" i="29"/>
  <c r="Z27" i="29" s="1"/>
  <c r="X3" i="28"/>
  <c r="V3" i="28"/>
  <c r="AL8" i="28"/>
  <c r="AJ8" i="28"/>
  <c r="V15" i="29"/>
  <c r="Z13" i="29"/>
  <c r="AL14" i="29"/>
  <c r="X13" i="28"/>
  <c r="AJ3" i="28"/>
  <c r="X20" i="28"/>
  <c r="V20" i="28"/>
  <c r="AL3" i="29"/>
  <c r="AH5" i="29"/>
  <c r="AJ5" i="29" s="1"/>
  <c r="AL5" i="29" s="1"/>
  <c r="AH9" i="29"/>
  <c r="AJ15" i="29"/>
  <c r="AL15" i="29" s="1"/>
  <c r="T22" i="29"/>
  <c r="X26" i="28"/>
  <c r="X21" i="29"/>
  <c r="V21" i="29"/>
  <c r="X10" i="28"/>
  <c r="Z10" i="28" s="1"/>
  <c r="N19" i="29"/>
  <c r="L5" i="29" s="1"/>
  <c r="AP35" i="29" s="1"/>
  <c r="AJ14" i="28"/>
  <c r="T21" i="28"/>
  <c r="T15" i="28"/>
  <c r="V15" i="28" s="1"/>
  <c r="X15" i="28" s="1"/>
  <c r="AH4" i="28"/>
  <c r="AJ4" i="28" s="1"/>
  <c r="AL4" i="28" s="1"/>
  <c r="V27" i="28"/>
  <c r="X27" i="28" s="1"/>
  <c r="T4" i="28"/>
  <c r="X4" i="29"/>
  <c r="X5" i="29" s="1"/>
  <c r="V4" i="29"/>
  <c r="V5" i="29" s="1"/>
  <c r="Z4" i="29" s="1"/>
  <c r="J114" i="44"/>
  <c r="J115" i="44"/>
  <c r="T93" i="39"/>
  <c r="B269" i="66"/>
  <c r="A214" i="66"/>
  <c r="D270" i="66"/>
  <c r="L257" i="66"/>
  <c r="J257" i="66" s="1"/>
  <c r="B257" i="65" s="1"/>
  <c r="AI65" i="34"/>
  <c r="T54" i="59"/>
  <c r="X53" i="59" s="1"/>
  <c r="J80" i="37"/>
  <c r="V84" i="38"/>
  <c r="AR39" i="32"/>
  <c r="AT39" i="32" s="1"/>
  <c r="D6" i="32" s="1"/>
  <c r="AI60" i="33"/>
  <c r="AM60" i="33" s="1"/>
  <c r="AS60" i="33" s="1"/>
  <c r="AA10" i="8"/>
  <c r="AG10" i="8" s="1"/>
  <c r="AI95" i="40"/>
  <c r="AR54" i="35"/>
  <c r="AT54" i="35" s="1"/>
  <c r="D9" i="35" s="1"/>
  <c r="L64" i="35" s="1"/>
  <c r="N64" i="35" s="1"/>
  <c r="AQ64" i="35" s="1"/>
  <c r="AI130" i="47"/>
  <c r="AG85" i="37"/>
  <c r="T85" i="38"/>
  <c r="X84" i="38" s="1"/>
  <c r="X85" i="38" s="1"/>
  <c r="AR149" i="34"/>
  <c r="J102" i="41"/>
  <c r="AI45" i="30"/>
  <c r="A235" i="66"/>
  <c r="AG120" i="44"/>
  <c r="B247" i="66"/>
  <c r="D193" i="66"/>
  <c r="A193" i="66" s="1"/>
  <c r="CX104" i="61"/>
  <c r="T103" i="41"/>
  <c r="D280" i="65"/>
  <c r="V72" i="34"/>
  <c r="AB50" i="33"/>
  <c r="J280" i="66"/>
  <c r="B280" i="65" s="1"/>
  <c r="DD100" i="61"/>
  <c r="B326" i="66"/>
  <c r="AK69" i="42"/>
  <c r="AM69" i="42" s="1"/>
  <c r="AS69" i="42" s="1"/>
  <c r="AK70" i="42"/>
  <c r="AM70" i="42" s="1"/>
  <c r="AS70" i="42" s="1"/>
  <c r="AE115" i="43"/>
  <c r="AI114" i="43" s="1"/>
  <c r="B193" i="66"/>
  <c r="D257" i="65"/>
  <c r="A257" i="65" s="1"/>
  <c r="D236" i="66"/>
  <c r="B236" i="66" s="1"/>
  <c r="D204" i="66"/>
  <c r="L221" i="66"/>
  <c r="D244" i="65"/>
  <c r="A244" i="65" s="1"/>
  <c r="I244" i="66"/>
  <c r="J244" i="66"/>
  <c r="B244" i="65" s="1"/>
  <c r="AI50" i="31"/>
  <c r="D248" i="66"/>
  <c r="B248" i="66" s="1"/>
  <c r="J304" i="66"/>
  <c r="B304" i="65" s="1"/>
  <c r="D304" i="65"/>
  <c r="I304" i="66"/>
  <c r="B270" i="66"/>
  <c r="A270" i="66"/>
  <c r="L365" i="66"/>
  <c r="D365" i="65" s="1"/>
  <c r="A365" i="65" s="1"/>
  <c r="L317" i="66"/>
  <c r="D220" i="65"/>
  <c r="A220" i="65" s="1"/>
  <c r="I220" i="66"/>
  <c r="J220" i="66"/>
  <c r="B220" i="65" s="1"/>
  <c r="L233" i="66"/>
  <c r="D215" i="66"/>
  <c r="D327" i="66"/>
  <c r="B327" i="66" s="1"/>
  <c r="L305" i="66"/>
  <c r="D226" i="66"/>
  <c r="L245" i="66"/>
  <c r="A203" i="66"/>
  <c r="B203" i="66"/>
  <c r="J92" i="39"/>
  <c r="AR40" i="32"/>
  <c r="AT40" i="32" s="1"/>
  <c r="E6" i="32" s="1"/>
  <c r="Z50" i="32" s="1"/>
  <c r="AB50" i="32" s="1"/>
  <c r="AE120" i="44"/>
  <c r="AI119" i="44" s="1"/>
  <c r="AG130" i="46"/>
  <c r="AI150" i="47"/>
  <c r="J150" i="47"/>
  <c r="N150" i="47" s="1"/>
  <c r="AQ150" i="47" s="1"/>
  <c r="X110" i="44"/>
  <c r="L89" i="48"/>
  <c r="N89" i="48" s="1"/>
  <c r="AQ89" i="48" s="1"/>
  <c r="X100" i="42"/>
  <c r="AG115" i="43"/>
  <c r="AE130" i="46"/>
  <c r="AI129" i="46" s="1"/>
  <c r="Z80" i="46"/>
  <c r="AB80" i="46" s="1"/>
  <c r="AR80" i="46" s="1"/>
  <c r="L85" i="46"/>
  <c r="N85" i="46" s="1"/>
  <c r="AQ85" i="46" s="1"/>
  <c r="Z85" i="48"/>
  <c r="AB85" i="48" s="1"/>
  <c r="L90" i="48"/>
  <c r="N90" i="48" s="1"/>
  <c r="AQ90" i="48" s="1"/>
  <c r="A327" i="66"/>
  <c r="L281" i="66"/>
  <c r="B197" i="66"/>
  <c r="I196" i="66"/>
  <c r="D196" i="65"/>
  <c r="A196" i="65" s="1"/>
  <c r="J196" i="66"/>
  <c r="B196" i="65" s="1"/>
  <c r="D238" i="65"/>
  <c r="I238" i="66"/>
  <c r="J238" i="66"/>
  <c r="B238" i="65" s="1"/>
  <c r="D224" i="65"/>
  <c r="I224" i="66"/>
  <c r="J224" i="66"/>
  <c r="B224" i="65" s="1"/>
  <c r="B183" i="66"/>
  <c r="A183" i="66"/>
  <c r="B222" i="66"/>
  <c r="A222" i="66"/>
  <c r="B209" i="66"/>
  <c r="A209" i="66"/>
  <c r="D210" i="66"/>
  <c r="L225" i="66"/>
  <c r="L267" i="66"/>
  <c r="J266" i="66"/>
  <c r="B266" i="65" s="1"/>
  <c r="D266" i="65"/>
  <c r="I266" i="66"/>
  <c r="D223" i="66"/>
  <c r="L239" i="66"/>
  <c r="Z70" i="42"/>
  <c r="AB70" i="42" s="1"/>
  <c r="AR70" i="42" s="1"/>
  <c r="R109" i="42"/>
  <c r="D118" i="42"/>
  <c r="F118" i="42" s="1"/>
  <c r="H118" i="42" s="1"/>
  <c r="D114" i="42"/>
  <c r="F114" i="42" s="1"/>
  <c r="H114" i="42" s="1"/>
  <c r="AE118" i="42"/>
  <c r="AE114" i="42"/>
  <c r="AG114" i="42" s="1"/>
  <c r="R113" i="42"/>
  <c r="R99" i="40"/>
  <c r="D108" i="40"/>
  <c r="F108" i="40" s="1"/>
  <c r="H108" i="40" s="1"/>
  <c r="R107" i="40"/>
  <c r="D112" i="40"/>
  <c r="F112" i="40" s="1"/>
  <c r="R84" i="37"/>
  <c r="V84" i="37" s="1"/>
  <c r="D98" i="37"/>
  <c r="F98" i="37" s="1"/>
  <c r="H98" i="37" s="1"/>
  <c r="R97" i="37"/>
  <c r="D102" i="37"/>
  <c r="F102" i="37" s="1"/>
  <c r="D427" i="66"/>
  <c r="L449" i="66"/>
  <c r="D313" i="66"/>
  <c r="D389" i="66"/>
  <c r="L409" i="66"/>
  <c r="J140" i="47"/>
  <c r="N140" i="47" s="1"/>
  <c r="AQ140" i="47" s="1"/>
  <c r="J139" i="47"/>
  <c r="N139" i="47" s="1"/>
  <c r="AQ139" i="47" s="1"/>
  <c r="F105" i="41"/>
  <c r="T99" i="41"/>
  <c r="T100" i="41" s="1"/>
  <c r="X99" i="41" s="1"/>
  <c r="V99" i="41"/>
  <c r="AG128" i="45"/>
  <c r="D288" i="65"/>
  <c r="I288" i="66"/>
  <c r="J288" i="66"/>
  <c r="B288" i="65" s="1"/>
  <c r="B198" i="66"/>
  <c r="A198" i="66"/>
  <c r="D508" i="65"/>
  <c r="A508" i="65" s="1"/>
  <c r="I508" i="66"/>
  <c r="J508" i="66"/>
  <c r="B508" i="65" s="1"/>
  <c r="AI120" i="45"/>
  <c r="H117" i="43"/>
  <c r="D188" i="65"/>
  <c r="A188" i="65" s="1"/>
  <c r="J188" i="66"/>
  <c r="B188" i="65" s="1"/>
  <c r="I188" i="66"/>
  <c r="B160" i="66"/>
  <c r="A160" i="66"/>
  <c r="V118" i="44"/>
  <c r="T118" i="44"/>
  <c r="V114" i="44"/>
  <c r="V115" i="44" s="1"/>
  <c r="T114" i="44"/>
  <c r="T115" i="44" s="1"/>
  <c r="X114" i="44" s="1"/>
  <c r="D148" i="65"/>
  <c r="A148" i="65" s="1"/>
  <c r="J148" i="66"/>
  <c r="B148" i="65" s="1"/>
  <c r="I148" i="66"/>
  <c r="H107" i="40"/>
  <c r="B369" i="66"/>
  <c r="A369" i="66"/>
  <c r="D428" i="65"/>
  <c r="A428" i="65" s="1"/>
  <c r="J428" i="66"/>
  <c r="B428" i="65" s="1"/>
  <c r="I428" i="66"/>
  <c r="AI135" i="47"/>
  <c r="J130" i="47"/>
  <c r="N130" i="47" s="1"/>
  <c r="AQ130" i="47" s="1"/>
  <c r="J129" i="47"/>
  <c r="N129" i="47" s="1"/>
  <c r="AQ129" i="47" s="1"/>
  <c r="X115" i="45"/>
  <c r="B464" i="66"/>
  <c r="A464" i="66"/>
  <c r="F139" i="46"/>
  <c r="H139" i="46" s="1"/>
  <c r="J137" i="46"/>
  <c r="T108" i="42"/>
  <c r="V108" i="42"/>
  <c r="F117" i="42"/>
  <c r="B445" i="66"/>
  <c r="A445" i="66"/>
  <c r="R114" i="43"/>
  <c r="AE123" i="43"/>
  <c r="D119" i="43"/>
  <c r="AE119" i="43"/>
  <c r="AG119" i="43" s="1"/>
  <c r="R118" i="43"/>
  <c r="CV106" i="61"/>
  <c r="D180" i="66"/>
  <c r="L189" i="66"/>
  <c r="CW105" i="61"/>
  <c r="D161" i="66"/>
  <c r="L169" i="66"/>
  <c r="CS109" i="61"/>
  <c r="L249" i="66"/>
  <c r="D446" i="66"/>
  <c r="L469" i="66"/>
  <c r="D408" i="66"/>
  <c r="L429" i="66"/>
  <c r="R104" i="41"/>
  <c r="D113" i="41"/>
  <c r="R112" i="41"/>
  <c r="D117" i="41"/>
  <c r="R108" i="41"/>
  <c r="AE113" i="41"/>
  <c r="D109" i="41"/>
  <c r="AE109" i="41"/>
  <c r="CR110" i="61"/>
  <c r="D256" i="66"/>
  <c r="D465" i="66"/>
  <c r="L489" i="66"/>
  <c r="D370" i="66"/>
  <c r="L389" i="66"/>
  <c r="H99" i="41"/>
  <c r="H100" i="41" s="1"/>
  <c r="J100" i="41" s="1"/>
  <c r="F100" i="41"/>
  <c r="J99" i="41" s="1"/>
  <c r="AE108" i="40"/>
  <c r="AG108" i="40" s="1"/>
  <c r="AP15" i="43"/>
  <c r="AR15" i="43" s="1"/>
  <c r="L74" i="42"/>
  <c r="N74" i="42" s="1"/>
  <c r="AQ74" i="42" s="1"/>
  <c r="H105" i="41"/>
  <c r="H112" i="41"/>
  <c r="B483" i="66"/>
  <c r="A483" i="66"/>
  <c r="B179" i="66"/>
  <c r="A179" i="66"/>
  <c r="H97" i="37"/>
  <c r="V113" i="43"/>
  <c r="T113" i="43"/>
  <c r="AG123" i="44"/>
  <c r="D228" i="65"/>
  <c r="A228" i="65" s="1"/>
  <c r="I228" i="66"/>
  <c r="J228" i="66"/>
  <c r="B228" i="65" s="1"/>
  <c r="B141" i="66"/>
  <c r="A141" i="66"/>
  <c r="H103" i="40"/>
  <c r="B407" i="66"/>
  <c r="A407" i="66"/>
  <c r="X90" i="41"/>
  <c r="AI110" i="43"/>
  <c r="H102" i="38"/>
  <c r="D448" i="65"/>
  <c r="A448" i="65" s="1"/>
  <c r="I448" i="66"/>
  <c r="J448" i="66"/>
  <c r="B448" i="65" s="1"/>
  <c r="F149" i="46"/>
  <c r="H149" i="46" s="1"/>
  <c r="J147" i="46"/>
  <c r="J150" i="46" s="1"/>
  <c r="N150" i="46" s="1"/>
  <c r="AQ150" i="46" s="1"/>
  <c r="T143" i="46"/>
  <c r="V143" i="46"/>
  <c r="AG143" i="46"/>
  <c r="AG145" i="46" s="1"/>
  <c r="AE145" i="46"/>
  <c r="AI144" i="46" s="1"/>
  <c r="AG148" i="46"/>
  <c r="AG150" i="46" s="1"/>
  <c r="AE150" i="46"/>
  <c r="AI149" i="46" s="1"/>
  <c r="F109" i="42"/>
  <c r="J107" i="42"/>
  <c r="V112" i="42"/>
  <c r="T112" i="42"/>
  <c r="CU107" i="61"/>
  <c r="D199" i="66"/>
  <c r="L209" i="66"/>
  <c r="D124" i="44"/>
  <c r="AE124" i="44"/>
  <c r="AG124" i="44" s="1"/>
  <c r="R123" i="44"/>
  <c r="AE128" i="44"/>
  <c r="AE148" i="45"/>
  <c r="R138" i="45"/>
  <c r="D134" i="45"/>
  <c r="AE134" i="45"/>
  <c r="AG134" i="45" s="1"/>
  <c r="AE149" i="45"/>
  <c r="AG149" i="45" s="1"/>
  <c r="R133" i="45"/>
  <c r="AE129" i="45"/>
  <c r="AG129" i="45" s="1"/>
  <c r="AE133" i="45"/>
  <c r="D139" i="45"/>
  <c r="AE143" i="45"/>
  <c r="D129" i="45"/>
  <c r="R128" i="45"/>
  <c r="R143" i="45"/>
  <c r="AE139" i="45"/>
  <c r="AG139" i="45" s="1"/>
  <c r="AE138" i="45"/>
  <c r="AE144" i="45"/>
  <c r="AG144" i="45" s="1"/>
  <c r="R148" i="45"/>
  <c r="D144" i="45"/>
  <c r="D149" i="45"/>
  <c r="D484" i="66"/>
  <c r="L509" i="66"/>
  <c r="L289" i="66"/>
  <c r="L349" i="66"/>
  <c r="AE104" i="40"/>
  <c r="AG104" i="40" s="1"/>
  <c r="R103" i="40"/>
  <c r="V103" i="40" s="1"/>
  <c r="D104" i="40"/>
  <c r="J102" i="40" s="1"/>
  <c r="J135" i="47"/>
  <c r="N135" i="47" s="1"/>
  <c r="AQ135" i="47" s="1"/>
  <c r="J134" i="47"/>
  <c r="N134" i="47" s="1"/>
  <c r="AQ134" i="47" s="1"/>
  <c r="J145" i="47"/>
  <c r="N145" i="47" s="1"/>
  <c r="AQ145" i="47" s="1"/>
  <c r="J144" i="47"/>
  <c r="N144" i="47" s="1"/>
  <c r="AQ144" i="47" s="1"/>
  <c r="J124" i="46"/>
  <c r="N124" i="46" s="1"/>
  <c r="AQ124" i="46" s="1"/>
  <c r="J125" i="46"/>
  <c r="N125" i="46" s="1"/>
  <c r="AQ125" i="46" s="1"/>
  <c r="H109" i="43"/>
  <c r="H110" i="43" s="1"/>
  <c r="J110" i="43" s="1"/>
  <c r="F110" i="43"/>
  <c r="J109" i="43" s="1"/>
  <c r="V107" i="41"/>
  <c r="T107" i="41"/>
  <c r="V123" i="45"/>
  <c r="T123" i="45"/>
  <c r="AI140" i="47"/>
  <c r="D408" i="65"/>
  <c r="A408" i="65" s="1"/>
  <c r="J408" i="66"/>
  <c r="B408" i="65" s="1"/>
  <c r="I408" i="66"/>
  <c r="V87" i="37"/>
  <c r="T87" i="37"/>
  <c r="AG118" i="43"/>
  <c r="AG120" i="43" s="1"/>
  <c r="F119" i="44"/>
  <c r="J117" i="44"/>
  <c r="T89" i="40"/>
  <c r="T90" i="40" s="1"/>
  <c r="X89" i="40" s="1"/>
  <c r="V89" i="40"/>
  <c r="V90" i="40" s="1"/>
  <c r="D348" i="65"/>
  <c r="J348" i="66"/>
  <c r="B348" i="65" s="1"/>
  <c r="I348" i="66"/>
  <c r="AE125" i="45"/>
  <c r="AI124" i="45" s="1"/>
  <c r="J112" i="43"/>
  <c r="V97" i="38"/>
  <c r="T97" i="38"/>
  <c r="B426" i="66"/>
  <c r="A426" i="66"/>
  <c r="T148" i="46"/>
  <c r="V148" i="46"/>
  <c r="F134" i="46"/>
  <c r="H134" i="46" s="1"/>
  <c r="J132" i="46"/>
  <c r="T138" i="46"/>
  <c r="V138" i="46"/>
  <c r="AE140" i="46"/>
  <c r="AI139" i="46" s="1"/>
  <c r="AG138" i="46"/>
  <c r="AG140" i="46" s="1"/>
  <c r="AG109" i="42"/>
  <c r="AG110" i="42" s="1"/>
  <c r="AE110" i="42"/>
  <c r="AI109" i="42" s="1"/>
  <c r="F113" i="42"/>
  <c r="B312" i="66"/>
  <c r="A312" i="66"/>
  <c r="CT108" i="61"/>
  <c r="D218" i="66"/>
  <c r="L229" i="66"/>
  <c r="R87" i="36"/>
  <c r="D97" i="36"/>
  <c r="F97" i="36" s="1"/>
  <c r="R89" i="39"/>
  <c r="D103" i="39"/>
  <c r="F103" i="39" s="1"/>
  <c r="R102" i="39"/>
  <c r="D107" i="39"/>
  <c r="F107" i="39" s="1"/>
  <c r="V100" i="41"/>
  <c r="F124" i="45"/>
  <c r="H124" i="45" s="1"/>
  <c r="J122" i="45"/>
  <c r="D208" i="65"/>
  <c r="A208" i="65" s="1"/>
  <c r="J208" i="66"/>
  <c r="B208" i="65" s="1"/>
  <c r="I208" i="66"/>
  <c r="D168" i="65"/>
  <c r="A168" i="65" s="1"/>
  <c r="J168" i="66"/>
  <c r="B168" i="65" s="1"/>
  <c r="I168" i="66"/>
  <c r="B388" i="66"/>
  <c r="A388" i="66"/>
  <c r="X105" i="43"/>
  <c r="T109" i="43"/>
  <c r="T110" i="43" s="1"/>
  <c r="X109" i="43" s="1"/>
  <c r="V109" i="43"/>
  <c r="V110" i="43" s="1"/>
  <c r="V102" i="40"/>
  <c r="T102" i="40"/>
  <c r="D388" i="65"/>
  <c r="A388" i="65" s="1"/>
  <c r="J388" i="66"/>
  <c r="B388" i="65" s="1"/>
  <c r="I388" i="66"/>
  <c r="B255" i="66"/>
  <c r="A255" i="66"/>
  <c r="AI145" i="47"/>
  <c r="AG125" i="45"/>
  <c r="H113" i="43"/>
  <c r="H115" i="43" s="1"/>
  <c r="F115" i="43"/>
  <c r="D488" i="65"/>
  <c r="A488" i="65" s="1"/>
  <c r="I488" i="66"/>
  <c r="J488" i="66"/>
  <c r="B488" i="65" s="1"/>
  <c r="F144" i="46"/>
  <c r="H144" i="46" s="1"/>
  <c r="J142" i="46"/>
  <c r="F129" i="46"/>
  <c r="H129" i="46" s="1"/>
  <c r="J127" i="46"/>
  <c r="T133" i="46"/>
  <c r="V133" i="46"/>
  <c r="T128" i="46"/>
  <c r="V128" i="46"/>
  <c r="AG133" i="46"/>
  <c r="AG135" i="46" s="1"/>
  <c r="AE135" i="46"/>
  <c r="AI134" i="46" s="1"/>
  <c r="AG113" i="42"/>
  <c r="AG115" i="42" s="1"/>
  <c r="V104" i="42"/>
  <c r="V105" i="42" s="1"/>
  <c r="T104" i="42"/>
  <c r="T105" i="42" s="1"/>
  <c r="X104" i="42" s="1"/>
  <c r="D468" i="65"/>
  <c r="A468" i="65" s="1"/>
  <c r="I468" i="66"/>
  <c r="J468" i="66"/>
  <c r="B468" i="65" s="1"/>
  <c r="Z45" i="33"/>
  <c r="AB45" i="33" s="1"/>
  <c r="Z69" i="43"/>
  <c r="AB69" i="43" s="1"/>
  <c r="AI80" i="37"/>
  <c r="AP10" i="43"/>
  <c r="AR10" i="43" s="1"/>
  <c r="CI119" i="61"/>
  <c r="CM115" i="61"/>
  <c r="CH120" i="61"/>
  <c r="D75" i="59"/>
  <c r="F75" i="59" s="1"/>
  <c r="H75" i="59" s="1"/>
  <c r="AA10" i="59"/>
  <c r="Y3" i="59"/>
  <c r="Y14" i="59"/>
  <c r="N15" i="59"/>
  <c r="P22" i="59"/>
  <c r="CO113" i="61"/>
  <c r="CK117" i="61"/>
  <c r="CJ118" i="61"/>
  <c r="CG121" i="61"/>
  <c r="CL116" i="61"/>
  <c r="A183" i="65"/>
  <c r="CP112" i="61"/>
  <c r="CF122" i="61"/>
  <c r="CQ111" i="61"/>
  <c r="CN114" i="61"/>
  <c r="AI75" i="36"/>
  <c r="AK45" i="33"/>
  <c r="AM45" i="33" s="1"/>
  <c r="AS45" i="33" s="1"/>
  <c r="Y15" i="12"/>
  <c r="V50" i="31"/>
  <c r="X50" i="31" s="1"/>
  <c r="L50" i="33"/>
  <c r="N50" i="33" s="1"/>
  <c r="AQ50" i="33" s="1"/>
  <c r="AT50" i="33" s="1"/>
  <c r="E8" i="33" s="1"/>
  <c r="AK55" i="33" s="1"/>
  <c r="AM55" i="33" s="1"/>
  <c r="AS55" i="33" s="1"/>
  <c r="R93" i="38"/>
  <c r="V93" i="38" s="1"/>
  <c r="D94" i="38"/>
  <c r="J92" i="38" s="1"/>
  <c r="AE85" i="37"/>
  <c r="AI84" i="37" s="1"/>
  <c r="AI55" i="32"/>
  <c r="F28" i="25"/>
  <c r="D29" i="25"/>
  <c r="I35" i="25" s="1"/>
  <c r="AA28" i="25"/>
  <c r="AG28" i="25" s="1"/>
  <c r="Y27" i="25"/>
  <c r="X28" i="25" s="1"/>
  <c r="T32" i="26"/>
  <c r="V32" i="26"/>
  <c r="AR149" i="46"/>
  <c r="AR69" i="42"/>
  <c r="AT69" i="42" s="1"/>
  <c r="D12" i="42" s="1"/>
  <c r="Z74" i="42" s="1"/>
  <c r="AB74" i="42" s="1"/>
  <c r="X12" i="11"/>
  <c r="AE95" i="39"/>
  <c r="AI94" i="39" s="1"/>
  <c r="AE55" i="31"/>
  <c r="AI54" i="31" s="1"/>
  <c r="AR149" i="49"/>
  <c r="AR150" i="40"/>
  <c r="Y14" i="11"/>
  <c r="AG55" i="31"/>
  <c r="AI55" i="31" s="1"/>
  <c r="AR150" i="27"/>
  <c r="AR49" i="34"/>
  <c r="AR149" i="28"/>
  <c r="J77" i="36"/>
  <c r="R72" i="33"/>
  <c r="T72" i="33" s="1"/>
  <c r="AR70" i="41"/>
  <c r="AT70" i="41" s="1"/>
  <c r="E12" i="41" s="1"/>
  <c r="AK75" i="41" s="1"/>
  <c r="AM75" i="41" s="1"/>
  <c r="AS75" i="41" s="1"/>
  <c r="AG75" i="35"/>
  <c r="L55" i="33"/>
  <c r="N55" i="33" s="1"/>
  <c r="AQ55" i="33" s="1"/>
  <c r="AR50" i="33"/>
  <c r="D73" i="33"/>
  <c r="F73" i="33" s="1"/>
  <c r="H73" i="33" s="1"/>
  <c r="AI90" i="39"/>
  <c r="X70" i="36"/>
  <c r="X80" i="38"/>
  <c r="H69" i="35"/>
  <c r="H70" i="35" s="1"/>
  <c r="J70" i="35" s="1"/>
  <c r="F70" i="35"/>
  <c r="J69" i="35" s="1"/>
  <c r="V49" i="30"/>
  <c r="T49" i="30"/>
  <c r="H67" i="31"/>
  <c r="R67" i="32"/>
  <c r="D68" i="32"/>
  <c r="F68" i="32" s="1"/>
  <c r="H89" i="39"/>
  <c r="H90" i="39" s="1"/>
  <c r="J90" i="39" s="1"/>
  <c r="F90" i="39"/>
  <c r="J89" i="39" s="1"/>
  <c r="D83" i="35"/>
  <c r="F83" i="35" s="1"/>
  <c r="H83" i="35" s="1"/>
  <c r="R82" i="35"/>
  <c r="D87" i="35"/>
  <c r="F87" i="35" s="1"/>
  <c r="L55" i="32"/>
  <c r="H68" i="33"/>
  <c r="AI105" i="41"/>
  <c r="AG99" i="40"/>
  <c r="AG100" i="40" s="1"/>
  <c r="AE100" i="40"/>
  <c r="AI99" i="40" s="1"/>
  <c r="R39" i="29"/>
  <c r="T39" i="29" s="1"/>
  <c r="T40" i="29" s="1"/>
  <c r="X39" i="29" s="1"/>
  <c r="D53" i="29"/>
  <c r="F53" i="29" s="1"/>
  <c r="D82" i="34"/>
  <c r="F82" i="34" s="1"/>
  <c r="R77" i="34"/>
  <c r="Z70" i="39"/>
  <c r="AB70" i="39" s="1"/>
  <c r="L75" i="39"/>
  <c r="N75" i="39" s="1"/>
  <c r="AQ75" i="39" s="1"/>
  <c r="H82" i="35"/>
  <c r="T82" i="36"/>
  <c r="V82" i="36"/>
  <c r="V47" i="28"/>
  <c r="T47" i="28"/>
  <c r="AR49" i="33"/>
  <c r="T103" i="40"/>
  <c r="AG103" i="40"/>
  <c r="AG105" i="40" s="1"/>
  <c r="H54" i="32"/>
  <c r="H55" i="32" s="1"/>
  <c r="J55" i="32" s="1"/>
  <c r="F55" i="32"/>
  <c r="J54" i="32" s="1"/>
  <c r="H84" i="38"/>
  <c r="H85" i="38" s="1"/>
  <c r="J85" i="38" s="1"/>
  <c r="F85" i="38"/>
  <c r="J84" i="38" s="1"/>
  <c r="R79" i="36"/>
  <c r="D88" i="36"/>
  <c r="F88" i="36" s="1"/>
  <c r="H88" i="36" s="1"/>
  <c r="AE99" i="39"/>
  <c r="D99" i="39"/>
  <c r="AE103" i="39"/>
  <c r="R98" i="39"/>
  <c r="V77" i="35"/>
  <c r="T77" i="35"/>
  <c r="V79" i="37"/>
  <c r="V80" i="37" s="1"/>
  <c r="T79" i="37"/>
  <c r="T80" i="37" s="1"/>
  <c r="X79" i="37" s="1"/>
  <c r="J105" i="41"/>
  <c r="H52" i="28"/>
  <c r="F99" i="40"/>
  <c r="J97" i="40"/>
  <c r="T98" i="40"/>
  <c r="V98" i="40"/>
  <c r="X54" i="59"/>
  <c r="R47" i="27"/>
  <c r="D52" i="27"/>
  <c r="F52" i="27" s="1"/>
  <c r="Z49" i="32"/>
  <c r="AB49" i="32" s="1"/>
  <c r="L54" i="32"/>
  <c r="Z69" i="39"/>
  <c r="AB69" i="39" s="1"/>
  <c r="L74" i="39"/>
  <c r="N74" i="39" s="1"/>
  <c r="AQ74" i="39" s="1"/>
  <c r="T67" i="33"/>
  <c r="V67" i="33"/>
  <c r="T69" i="35"/>
  <c r="T70" i="35" s="1"/>
  <c r="X69" i="35" s="1"/>
  <c r="V69" i="35"/>
  <c r="V70" i="35" s="1"/>
  <c r="H87" i="36"/>
  <c r="AI100" i="41"/>
  <c r="AR69" i="41"/>
  <c r="AT69" i="41" s="1"/>
  <c r="D12" i="41" s="1"/>
  <c r="AK74" i="41" s="1"/>
  <c r="AM74" i="41" s="1"/>
  <c r="AS74" i="41" s="1"/>
  <c r="Z59" i="35"/>
  <c r="AB59" i="35" s="1"/>
  <c r="AI85" i="38"/>
  <c r="L65" i="35"/>
  <c r="N65" i="35" s="1"/>
  <c r="AQ65" i="35" s="1"/>
  <c r="J42" i="29"/>
  <c r="J79" i="37"/>
  <c r="AR44" i="34"/>
  <c r="AT44" i="34" s="1"/>
  <c r="D7" i="34" s="1"/>
  <c r="AK49" i="34" s="1"/>
  <c r="AM49" i="34" s="1"/>
  <c r="AS49" i="34" s="1"/>
  <c r="AK69" i="39"/>
  <c r="AM69" i="39" s="1"/>
  <c r="AS69" i="39" s="1"/>
  <c r="AK59" i="35"/>
  <c r="AM59" i="35" s="1"/>
  <c r="AS59" i="35" s="1"/>
  <c r="AR150" i="31"/>
  <c r="AR54" i="36"/>
  <c r="AT54" i="36" s="1"/>
  <c r="D9" i="36" s="1"/>
  <c r="AR55" i="36"/>
  <c r="AT55" i="36" s="1"/>
  <c r="E9" i="36" s="1"/>
  <c r="AK54" i="33"/>
  <c r="AM54" i="33" s="1"/>
  <c r="AS54" i="33" s="1"/>
  <c r="Z54" i="33"/>
  <c r="AB54" i="33" s="1"/>
  <c r="L59" i="33"/>
  <c r="L50" i="32"/>
  <c r="N50" i="32" s="1"/>
  <c r="AQ50" i="32" s="1"/>
  <c r="Z45" i="32"/>
  <c r="AB45" i="32" s="1"/>
  <c r="AK45" i="32"/>
  <c r="AM45" i="32" s="1"/>
  <c r="AS45" i="32" s="1"/>
  <c r="Z65" i="37"/>
  <c r="AB65" i="37" s="1"/>
  <c r="AK65" i="37"/>
  <c r="AM65" i="37" s="1"/>
  <c r="AS65" i="37" s="1"/>
  <c r="AK70" i="39"/>
  <c r="AM70" i="39" s="1"/>
  <c r="AS70" i="39" s="1"/>
  <c r="AK64" i="37"/>
  <c r="AM64" i="37" s="1"/>
  <c r="AS64" i="37" s="1"/>
  <c r="Z64" i="37"/>
  <c r="AB64" i="37" s="1"/>
  <c r="AK54" i="34"/>
  <c r="AM54" i="34" s="1"/>
  <c r="AS54" i="34" s="1"/>
  <c r="Z54" i="34"/>
  <c r="AB54" i="34" s="1"/>
  <c r="L59" i="34"/>
  <c r="N59" i="34" s="1"/>
  <c r="AQ59" i="34" s="1"/>
  <c r="AR65" i="38"/>
  <c r="AT65" i="38" s="1"/>
  <c r="E11" i="38" s="1"/>
  <c r="AR64" i="38"/>
  <c r="AT64" i="38" s="1"/>
  <c r="D11" i="38" s="1"/>
  <c r="Z55" i="34"/>
  <c r="AB55" i="34" s="1"/>
  <c r="AK55" i="34"/>
  <c r="AM55" i="34" s="1"/>
  <c r="AS55" i="34" s="1"/>
  <c r="L60" i="34"/>
  <c r="N60" i="34" s="1"/>
  <c r="AQ60" i="34" s="1"/>
  <c r="L49" i="32"/>
  <c r="N49" i="32" s="1"/>
  <c r="AQ49" i="32" s="1"/>
  <c r="AT49" i="32" s="1"/>
  <c r="D8" i="32" s="1"/>
  <c r="AK44" i="32"/>
  <c r="AM44" i="32" s="1"/>
  <c r="AS44" i="32" s="1"/>
  <c r="Z44" i="32"/>
  <c r="AB44" i="32" s="1"/>
  <c r="AR44" i="33"/>
  <c r="AT44" i="33" s="1"/>
  <c r="D7" i="33" s="1"/>
  <c r="AK49" i="33" s="1"/>
  <c r="AM49" i="33" s="1"/>
  <c r="AS49" i="33" s="1"/>
  <c r="AR45" i="33"/>
  <c r="AT45" i="33" s="1"/>
  <c r="E7" i="33" s="1"/>
  <c r="AK50" i="33" s="1"/>
  <c r="AM50" i="33" s="1"/>
  <c r="AS50" i="33" s="1"/>
  <c r="AR149" i="44"/>
  <c r="AE65" i="33"/>
  <c r="AI64" i="33" s="1"/>
  <c r="AR150" i="39"/>
  <c r="AG65" i="33"/>
  <c r="AR150" i="50"/>
  <c r="Y10" i="7"/>
  <c r="AA10" i="7" s="1"/>
  <c r="AG10" i="7" s="1"/>
  <c r="AR150" i="37"/>
  <c r="AI35" i="28"/>
  <c r="AM35" i="28" s="1"/>
  <c r="AS35" i="28" s="1"/>
  <c r="X60" i="34"/>
  <c r="N48" i="59"/>
  <c r="AS48" i="59" s="1"/>
  <c r="AG40" i="28"/>
  <c r="AG90" i="38"/>
  <c r="X48" i="59"/>
  <c r="AG80" i="36"/>
  <c r="X45" i="31"/>
  <c r="AA15" i="12"/>
  <c r="X40" i="30"/>
  <c r="AA13" i="10"/>
  <c r="AG13" i="10" s="1"/>
  <c r="X12" i="10"/>
  <c r="X55" i="33"/>
  <c r="AA12" i="9"/>
  <c r="X11" i="9"/>
  <c r="AV12" i="8"/>
  <c r="F57" i="30"/>
  <c r="G6" i="4"/>
  <c r="H77" i="34"/>
  <c r="H14" i="10"/>
  <c r="I14" i="10" s="1"/>
  <c r="D14" i="10"/>
  <c r="F14" i="10" s="1"/>
  <c r="G14" i="10" s="1"/>
  <c r="AE89" i="37"/>
  <c r="AG89" i="37" s="1"/>
  <c r="AE93" i="37"/>
  <c r="R88" i="37"/>
  <c r="D89" i="37"/>
  <c r="AE53" i="29"/>
  <c r="R48" i="29"/>
  <c r="AE49" i="29"/>
  <c r="AG49" i="29" s="1"/>
  <c r="D49" i="29"/>
  <c r="R44" i="29"/>
  <c r="R52" i="29"/>
  <c r="D57" i="29"/>
  <c r="H12" i="8"/>
  <c r="I12" i="8" s="1"/>
  <c r="D12" i="8"/>
  <c r="F12" i="8" s="1"/>
  <c r="G12" i="8" s="1"/>
  <c r="H64" i="34"/>
  <c r="H65" i="34" s="1"/>
  <c r="J65" i="34" s="1"/>
  <c r="F65" i="34"/>
  <c r="J64" i="34" s="1"/>
  <c r="AW12" i="61"/>
  <c r="AN15" i="68" s="1"/>
  <c r="C22" i="42"/>
  <c r="B12" i="7"/>
  <c r="AP12" i="7"/>
  <c r="AV10" i="6"/>
  <c r="F94" i="38"/>
  <c r="H94" i="38" s="1"/>
  <c r="H63" i="59"/>
  <c r="H11" i="7"/>
  <c r="I11" i="7" s="1"/>
  <c r="D11" i="7"/>
  <c r="F11" i="7" s="1"/>
  <c r="G11" i="7" s="1"/>
  <c r="H10" i="6"/>
  <c r="I10" i="6" s="1"/>
  <c r="D10" i="6"/>
  <c r="F10" i="6" s="1"/>
  <c r="H72" i="33"/>
  <c r="AV8" i="4"/>
  <c r="V44" i="30"/>
  <c r="V45" i="30" s="1"/>
  <c r="T44" i="30"/>
  <c r="T45" i="30" s="1"/>
  <c r="X44" i="30" s="1"/>
  <c r="AG50" i="30"/>
  <c r="AY10" i="61"/>
  <c r="B10" i="5"/>
  <c r="AP10" i="5"/>
  <c r="C24" i="44"/>
  <c r="G12" i="9"/>
  <c r="F59" i="59"/>
  <c r="J57" i="59"/>
  <c r="AA4" i="2"/>
  <c r="AF11" i="11"/>
  <c r="AF12" i="11" s="1"/>
  <c r="AF13" i="11" s="1"/>
  <c r="AT15" i="61"/>
  <c r="AK18" i="68" s="1"/>
  <c r="C19" i="39"/>
  <c r="AP15" i="10"/>
  <c r="Y14" i="10" s="1"/>
  <c r="B15" i="10"/>
  <c r="AV6" i="2"/>
  <c r="AQ18" i="61"/>
  <c r="AH21" i="68" s="1"/>
  <c r="C16" i="36"/>
  <c r="B18" i="13"/>
  <c r="AP18" i="13"/>
  <c r="AV25" i="21"/>
  <c r="AG15" i="14"/>
  <c r="AE54" i="30"/>
  <c r="AG54" i="30" s="1"/>
  <c r="AE58" i="30"/>
  <c r="R53" i="30"/>
  <c r="D54" i="30"/>
  <c r="R57" i="30"/>
  <c r="D58" i="30"/>
  <c r="F58" i="30" s="1"/>
  <c r="H58" i="30" s="1"/>
  <c r="D62" i="30"/>
  <c r="AE75" i="35"/>
  <c r="AI74" i="35" s="1"/>
  <c r="H47" i="29"/>
  <c r="AG48" i="29"/>
  <c r="F69" i="34"/>
  <c r="J67" i="34"/>
  <c r="F10" i="7"/>
  <c r="AA6" i="4"/>
  <c r="X5" i="4"/>
  <c r="D23" i="53"/>
  <c r="F23" i="53" s="1"/>
  <c r="G23" i="53" s="1"/>
  <c r="H23" i="53"/>
  <c r="I23" i="53" s="1"/>
  <c r="AV23" i="19"/>
  <c r="T54" i="32"/>
  <c r="T55" i="32" s="1"/>
  <c r="X54" i="32" s="1"/>
  <c r="V54" i="32"/>
  <c r="V55" i="32" s="1"/>
  <c r="AA14" i="11"/>
  <c r="AG14" i="11" s="1"/>
  <c r="H27" i="23"/>
  <c r="I27" i="23" s="1"/>
  <c r="D27" i="23"/>
  <c r="F27" i="23" s="1"/>
  <c r="G27" i="23" s="1"/>
  <c r="D5" i="1"/>
  <c r="F5" i="1" s="1"/>
  <c r="G5" i="1" s="1"/>
  <c r="H5" i="1"/>
  <c r="I5" i="1" s="1"/>
  <c r="AU14" i="61"/>
  <c r="AL17" i="68" s="1"/>
  <c r="B14" i="9"/>
  <c r="AP14" i="9"/>
  <c r="Y13" i="9" s="1"/>
  <c r="C20" i="40"/>
  <c r="V59" i="33"/>
  <c r="V60" i="33" s="1"/>
  <c r="T59" i="33"/>
  <c r="T60" i="33" s="1"/>
  <c r="X59" i="33" s="1"/>
  <c r="AE84" i="36"/>
  <c r="AG84" i="36" s="1"/>
  <c r="AE88" i="36"/>
  <c r="R83" i="36"/>
  <c r="D84" i="36"/>
  <c r="F74" i="35"/>
  <c r="J72" i="35"/>
  <c r="AR149" i="43"/>
  <c r="AI95" i="39"/>
  <c r="T57" i="31"/>
  <c r="V57" i="31"/>
  <c r="V53" i="31"/>
  <c r="T53" i="31"/>
  <c r="AB42" i="59"/>
  <c r="F42" i="27"/>
  <c r="V33" i="27"/>
  <c r="T33" i="27"/>
  <c r="X13" i="11"/>
  <c r="AG15" i="13"/>
  <c r="AE80" i="36"/>
  <c r="AI79" i="36" s="1"/>
  <c r="AG60" i="32"/>
  <c r="J50" i="31"/>
  <c r="J49" i="31"/>
  <c r="Y9" i="6"/>
  <c r="AG43" i="28"/>
  <c r="AE40" i="28"/>
  <c r="AI39" i="28" s="1"/>
  <c r="R63" i="32"/>
  <c r="AE64" i="32"/>
  <c r="AG64" i="32" s="1"/>
  <c r="R59" i="32"/>
  <c r="AE68" i="32"/>
  <c r="D64" i="32"/>
  <c r="F64" i="32" s="1"/>
  <c r="H64" i="32" s="1"/>
  <c r="T83" i="37"/>
  <c r="T85" i="37" s="1"/>
  <c r="X84" i="37" s="1"/>
  <c r="V83" i="37"/>
  <c r="H20" i="16"/>
  <c r="I20" i="16" s="1"/>
  <c r="D20" i="16"/>
  <c r="F20" i="16" s="1"/>
  <c r="G20" i="16" s="1"/>
  <c r="AI40" i="29"/>
  <c r="AV19" i="15"/>
  <c r="AE48" i="28"/>
  <c r="R43" i="28"/>
  <c r="AE44" i="28"/>
  <c r="AG44" i="28" s="1"/>
  <c r="D44" i="28"/>
  <c r="D48" i="28"/>
  <c r="F48" i="28" s="1"/>
  <c r="H48" i="28" s="1"/>
  <c r="AV21" i="17"/>
  <c r="AB40" i="31"/>
  <c r="AR40" i="31" s="1"/>
  <c r="AT40" i="31" s="1"/>
  <c r="E6" i="31" s="1"/>
  <c r="AG73" i="34"/>
  <c r="AR35" i="29"/>
  <c r="AT35" i="29" s="1"/>
  <c r="E5" i="29" s="1"/>
  <c r="AR34" i="29"/>
  <c r="AT34" i="29" s="1"/>
  <c r="D5" i="29" s="1"/>
  <c r="AV23" i="53"/>
  <c r="AG65" i="59"/>
  <c r="AG66" i="59" s="1"/>
  <c r="AK65" i="59" s="1"/>
  <c r="R64" i="59"/>
  <c r="AG70" i="59"/>
  <c r="R59" i="59"/>
  <c r="D65" i="59"/>
  <c r="R69" i="59"/>
  <c r="D70" i="59"/>
  <c r="F70" i="59" s="1"/>
  <c r="H70" i="59" s="1"/>
  <c r="F59" i="32"/>
  <c r="J57" i="32"/>
  <c r="Y7" i="4"/>
  <c r="C6" i="26"/>
  <c r="B28" i="23"/>
  <c r="U31" i="61"/>
  <c r="AP28" i="23"/>
  <c r="H13" i="9"/>
  <c r="I13" i="9" s="1"/>
  <c r="D13" i="9"/>
  <c r="F13" i="9" s="1"/>
  <c r="G13" i="9" s="1"/>
  <c r="F77" i="33"/>
  <c r="V63" i="33"/>
  <c r="T63" i="33"/>
  <c r="AP19" i="61"/>
  <c r="AG22" i="68" s="1"/>
  <c r="B19" i="14"/>
  <c r="C15" i="35"/>
  <c r="AP19" i="14"/>
  <c r="V73" i="35"/>
  <c r="T73" i="35"/>
  <c r="F62" i="31"/>
  <c r="AG58" i="31"/>
  <c r="T37" i="27"/>
  <c r="V37" i="27"/>
  <c r="AG34" i="27"/>
  <c r="AG35" i="27" s="1"/>
  <c r="AE35" i="27"/>
  <c r="AI34" i="27" s="1"/>
  <c r="AM34" i="27" s="1"/>
  <c r="AS34" i="27" s="1"/>
  <c r="Z41" i="59"/>
  <c r="AB41" i="59" s="1"/>
  <c r="AM41" i="59"/>
  <c r="AO41" i="59" s="1"/>
  <c r="AU41" i="59" s="1"/>
  <c r="L47" i="59"/>
  <c r="N47" i="59" s="1"/>
  <c r="AS47" i="59" s="1"/>
  <c r="AR149" i="45"/>
  <c r="T74" i="36"/>
  <c r="T75" i="36" s="1"/>
  <c r="X74" i="36" s="1"/>
  <c r="V74" i="36"/>
  <c r="V75" i="36" s="1"/>
  <c r="AF4" i="3"/>
  <c r="AG70" i="34"/>
  <c r="AE60" i="32"/>
  <c r="AI59" i="32" s="1"/>
  <c r="G4" i="2"/>
  <c r="H15" i="11"/>
  <c r="I15" i="11" s="1"/>
  <c r="D15" i="11"/>
  <c r="F15" i="11" s="1"/>
  <c r="G15" i="11" s="1"/>
  <c r="F45" i="29"/>
  <c r="J37" i="28"/>
  <c r="G10" i="8"/>
  <c r="AV22" i="18"/>
  <c r="AG88" i="37"/>
  <c r="AV20" i="16"/>
  <c r="J94" i="39"/>
  <c r="N94" i="39" s="1"/>
  <c r="AQ94" i="39" s="1"/>
  <c r="J95" i="39"/>
  <c r="N95" i="39" s="1"/>
  <c r="AQ95" i="39" s="1"/>
  <c r="BA8" i="61"/>
  <c r="C26" i="46"/>
  <c r="AP8" i="3"/>
  <c r="B8" i="3"/>
  <c r="AV16" i="12"/>
  <c r="H19" i="15"/>
  <c r="I19" i="15" s="1"/>
  <c r="D19" i="15"/>
  <c r="F19" i="15" s="1"/>
  <c r="G19" i="15" s="1"/>
  <c r="AF12" i="10"/>
  <c r="H26" i="22"/>
  <c r="I26" i="22" s="1"/>
  <c r="D26" i="22"/>
  <c r="F26" i="22" s="1"/>
  <c r="G26" i="22" s="1"/>
  <c r="AM22" i="61"/>
  <c r="AD25" i="68" s="1"/>
  <c r="C12" i="32"/>
  <c r="R72" i="32" s="1"/>
  <c r="B22" i="17"/>
  <c r="AP22" i="17"/>
  <c r="V48" i="30"/>
  <c r="V50" i="30" s="1"/>
  <c r="T48" i="30"/>
  <c r="AA4" i="1"/>
  <c r="AE64" i="59"/>
  <c r="AI64" i="59"/>
  <c r="BB7" i="61"/>
  <c r="AP7" i="2"/>
  <c r="C27" i="47"/>
  <c r="B7" i="2"/>
  <c r="X14" i="12"/>
  <c r="AA14" i="12"/>
  <c r="AG14" i="12" s="1"/>
  <c r="F4" i="1"/>
  <c r="AV24" i="20"/>
  <c r="D28" i="24"/>
  <c r="H28" i="24"/>
  <c r="I28" i="24" s="1"/>
  <c r="I29" i="24" s="1"/>
  <c r="I39" i="24" s="1"/>
  <c r="S7" i="24"/>
  <c r="AF9" i="8"/>
  <c r="AF10" i="8" s="1"/>
  <c r="V43" i="29"/>
  <c r="T43" i="29"/>
  <c r="AV13" i="61"/>
  <c r="AM16" i="68" s="1"/>
  <c r="AP13" i="8"/>
  <c r="C21" i="41"/>
  <c r="B13" i="8"/>
  <c r="AV11" i="7"/>
  <c r="X65" i="36"/>
  <c r="X75" i="37"/>
  <c r="H59" i="33"/>
  <c r="H60" i="33" s="1"/>
  <c r="J60" i="33" s="1"/>
  <c r="F60" i="33"/>
  <c r="J59" i="33" s="1"/>
  <c r="H8" i="4"/>
  <c r="I8" i="4" s="1"/>
  <c r="D8" i="4"/>
  <c r="F8" i="4" s="1"/>
  <c r="G8" i="4" s="1"/>
  <c r="AG98" i="38"/>
  <c r="F89" i="38"/>
  <c r="J87" i="38"/>
  <c r="V52" i="30"/>
  <c r="T52" i="30"/>
  <c r="AG53" i="30"/>
  <c r="V58" i="59"/>
  <c r="T58" i="59"/>
  <c r="H74" i="36"/>
  <c r="H75" i="36" s="1"/>
  <c r="J75" i="36" s="1"/>
  <c r="F75" i="36"/>
  <c r="J74" i="36" s="1"/>
  <c r="AK54" i="59"/>
  <c r="AI70" i="35"/>
  <c r="AV14" i="10"/>
  <c r="H6" i="2"/>
  <c r="I6" i="2" s="1"/>
  <c r="D6" i="2"/>
  <c r="F6" i="2" s="1"/>
  <c r="G6" i="2" s="1"/>
  <c r="AE90" i="38"/>
  <c r="AI89" i="38" s="1"/>
  <c r="H17" i="13"/>
  <c r="I17" i="13" s="1"/>
  <c r="D17" i="13"/>
  <c r="F17" i="13" s="1"/>
  <c r="G17" i="13" s="1"/>
  <c r="H25" i="21"/>
  <c r="I25" i="21" s="1"/>
  <c r="D25" i="21"/>
  <c r="F25" i="21" s="1"/>
  <c r="G25" i="21" s="1"/>
  <c r="AJ25" i="61"/>
  <c r="AA28" i="68" s="1"/>
  <c r="AP25" i="20"/>
  <c r="C9" i="29"/>
  <c r="B25" i="20"/>
  <c r="R37" i="26"/>
  <c r="AE38" i="26"/>
  <c r="D38" i="26"/>
  <c r="R33" i="26"/>
  <c r="AE34" i="26"/>
  <c r="D42" i="26"/>
  <c r="AE59" i="31"/>
  <c r="AG59" i="31" s="1"/>
  <c r="AE63" i="31"/>
  <c r="R58" i="31"/>
  <c r="D59" i="31"/>
  <c r="F59" i="31" s="1"/>
  <c r="H59" i="31" s="1"/>
  <c r="R54" i="31"/>
  <c r="D63" i="31"/>
  <c r="F63" i="31" s="1"/>
  <c r="H63" i="31" s="1"/>
  <c r="R62" i="31"/>
  <c r="AK24" i="61"/>
  <c r="AB27" i="68" s="1"/>
  <c r="B24" i="19"/>
  <c r="AP24" i="19"/>
  <c r="C10" i="30"/>
  <c r="B24" i="53"/>
  <c r="AP24" i="53"/>
  <c r="V62" i="32"/>
  <c r="T62" i="32"/>
  <c r="T58" i="32"/>
  <c r="V58" i="32"/>
  <c r="H53" i="59"/>
  <c r="H54" i="59" s="1"/>
  <c r="J54" i="59" s="1"/>
  <c r="F54" i="59"/>
  <c r="J53" i="59" s="1"/>
  <c r="D43" i="27"/>
  <c r="F43" i="27" s="1"/>
  <c r="H43" i="27" s="1"/>
  <c r="R34" i="27"/>
  <c r="D39" i="27"/>
  <c r="F39" i="27" s="1"/>
  <c r="H39" i="27" s="1"/>
  <c r="AE43" i="27"/>
  <c r="AE39" i="27"/>
  <c r="AG39" i="27" s="1"/>
  <c r="R42" i="27"/>
  <c r="R38" i="27"/>
  <c r="D47" i="27"/>
  <c r="AR150" i="33"/>
  <c r="BC6" i="61"/>
  <c r="C28" i="48"/>
  <c r="AP6" i="1"/>
  <c r="Y5" i="1" s="1"/>
  <c r="B6" i="1"/>
  <c r="F64" i="33"/>
  <c r="J62" i="33"/>
  <c r="H18" i="14"/>
  <c r="I18" i="14" s="1"/>
  <c r="D18" i="14"/>
  <c r="F18" i="14" s="1"/>
  <c r="G18" i="14" s="1"/>
  <c r="F78" i="35"/>
  <c r="T64" i="35"/>
  <c r="T65" i="35" s="1"/>
  <c r="X64" i="35" s="1"/>
  <c r="V64" i="35"/>
  <c r="V65" i="35" s="1"/>
  <c r="AF13" i="12"/>
  <c r="AG38" i="27"/>
  <c r="K22" i="58"/>
  <c r="G22" i="58"/>
  <c r="C22" i="58"/>
  <c r="K21" i="58"/>
  <c r="G21" i="58"/>
  <c r="C21" i="58"/>
  <c r="K20" i="58"/>
  <c r="G20" i="58"/>
  <c r="C20" i="58"/>
  <c r="K19" i="58"/>
  <c r="G19" i="58"/>
  <c r="C19" i="58"/>
  <c r="K18" i="58"/>
  <c r="G18" i="58"/>
  <c r="C18" i="58"/>
  <c r="J22" i="58"/>
  <c r="F22" i="58"/>
  <c r="B22" i="58"/>
  <c r="J21" i="58"/>
  <c r="F21" i="58"/>
  <c r="B21" i="58"/>
  <c r="J20" i="58"/>
  <c r="F20" i="58"/>
  <c r="B20" i="58"/>
  <c r="J19" i="58"/>
  <c r="F19" i="58"/>
  <c r="B19" i="58"/>
  <c r="J18" i="58"/>
  <c r="F18" i="58"/>
  <c r="B18" i="58"/>
  <c r="M22" i="58"/>
  <c r="I22" i="58"/>
  <c r="E22" i="58"/>
  <c r="M21" i="58"/>
  <c r="I21" i="58"/>
  <c r="E21" i="58"/>
  <c r="M20" i="58"/>
  <c r="I20" i="58"/>
  <c r="E20" i="58"/>
  <c r="M19" i="58"/>
  <c r="I19" i="58"/>
  <c r="E19" i="58"/>
  <c r="M18" i="58"/>
  <c r="I18" i="58"/>
  <c r="E18" i="58"/>
  <c r="L22" i="58"/>
  <c r="H22" i="58"/>
  <c r="D22" i="58"/>
  <c r="L21" i="58"/>
  <c r="H21" i="58"/>
  <c r="D21" i="58"/>
  <c r="L20" i="58"/>
  <c r="H20" i="58"/>
  <c r="D20" i="58"/>
  <c r="L19" i="58"/>
  <c r="H19" i="58"/>
  <c r="D19" i="58"/>
  <c r="L18" i="58"/>
  <c r="H18" i="58"/>
  <c r="D18" i="58"/>
  <c r="AG45" i="29"/>
  <c r="V78" i="36"/>
  <c r="T78" i="36"/>
  <c r="AE70" i="34"/>
  <c r="AI69" i="34" s="1"/>
  <c r="H62" i="32"/>
  <c r="AS16" i="61"/>
  <c r="AJ19" i="68" s="1"/>
  <c r="B16" i="11"/>
  <c r="C18" i="38"/>
  <c r="AP16" i="11"/>
  <c r="F47" i="28"/>
  <c r="T38" i="28"/>
  <c r="V38" i="28"/>
  <c r="H45" i="29"/>
  <c r="H38" i="28"/>
  <c r="H40" i="28" s="1"/>
  <c r="F40" i="28"/>
  <c r="F8" i="5"/>
  <c r="AL23" i="61"/>
  <c r="AC26" i="68" s="1"/>
  <c r="AP23" i="18"/>
  <c r="C11" i="31"/>
  <c r="C11" i="59"/>
  <c r="B23" i="18"/>
  <c r="AF9" i="9"/>
  <c r="AF10" i="9" s="1"/>
  <c r="AF11" i="9" s="1"/>
  <c r="AE74" i="34"/>
  <c r="AG74" i="34" s="1"/>
  <c r="AE78" i="34"/>
  <c r="R64" i="34"/>
  <c r="R73" i="34"/>
  <c r="D74" i="34"/>
  <c r="D78" i="34"/>
  <c r="H7" i="3"/>
  <c r="I7" i="3" s="1"/>
  <c r="D7" i="3"/>
  <c r="F7" i="3" s="1"/>
  <c r="G7" i="3" s="1"/>
  <c r="AR17" i="61"/>
  <c r="AI20" i="68" s="1"/>
  <c r="B17" i="12"/>
  <c r="AP17" i="12"/>
  <c r="C17" i="37"/>
  <c r="D94" i="37" s="1"/>
  <c r="AE79" i="35"/>
  <c r="AG79" i="35" s="1"/>
  <c r="R78" i="35"/>
  <c r="AE83" i="35"/>
  <c r="D79" i="35"/>
  <c r="F79" i="35" s="1"/>
  <c r="H79" i="35" s="1"/>
  <c r="R74" i="35"/>
  <c r="AV26" i="22"/>
  <c r="H21" i="17"/>
  <c r="I21" i="17" s="1"/>
  <c r="D21" i="17"/>
  <c r="F21" i="17" s="1"/>
  <c r="G21" i="17" s="1"/>
  <c r="AA5" i="3"/>
  <c r="X4" i="3"/>
  <c r="AX11" i="61"/>
  <c r="AO14" i="68" s="1"/>
  <c r="C23" i="43"/>
  <c r="B11" i="6"/>
  <c r="AP11" i="6"/>
  <c r="X9" i="7"/>
  <c r="AA9" i="7"/>
  <c r="AG9" i="7" s="1"/>
  <c r="AE95" i="38"/>
  <c r="AI94" i="38" s="1"/>
  <c r="AG93" i="38"/>
  <c r="AG95" i="38" s="1"/>
  <c r="AV9" i="5"/>
  <c r="F69" i="59"/>
  <c r="AZ9" i="61"/>
  <c r="B9" i="4"/>
  <c r="C25" i="45"/>
  <c r="AP9" i="4"/>
  <c r="V88" i="38"/>
  <c r="T88" i="38"/>
  <c r="F49" i="30"/>
  <c r="J47" i="30"/>
  <c r="AE50" i="30"/>
  <c r="AI49" i="30" s="1"/>
  <c r="H42" i="28"/>
  <c r="H9" i="5"/>
  <c r="I9" i="5" s="1"/>
  <c r="D9" i="5"/>
  <c r="F9" i="5" s="1"/>
  <c r="G9" i="5" s="1"/>
  <c r="V63" i="59"/>
  <c r="T63" i="59"/>
  <c r="AE59" i="59"/>
  <c r="AI59" i="59"/>
  <c r="AI60" i="59" s="1"/>
  <c r="AK60" i="59" s="1"/>
  <c r="J40" i="29"/>
  <c r="N40" i="29" s="1"/>
  <c r="AQ40" i="29" s="1"/>
  <c r="J39" i="29"/>
  <c r="N39" i="29" s="1"/>
  <c r="AQ39" i="29" s="1"/>
  <c r="AV17" i="13"/>
  <c r="AI26" i="61"/>
  <c r="Z29" i="68" s="1"/>
  <c r="B26" i="21"/>
  <c r="AP26" i="21"/>
  <c r="C8" i="28"/>
  <c r="H44" i="30"/>
  <c r="H45" i="30" s="1"/>
  <c r="J45" i="30" s="1"/>
  <c r="F45" i="30"/>
  <c r="J44" i="30" s="1"/>
  <c r="H24" i="20"/>
  <c r="I24" i="20" s="1"/>
  <c r="D24" i="20"/>
  <c r="F24" i="20" s="1"/>
  <c r="G24" i="20" s="1"/>
  <c r="AG8" i="6"/>
  <c r="AV28" i="24"/>
  <c r="Y28" i="24"/>
  <c r="BG7" i="24"/>
  <c r="AG7" i="5"/>
  <c r="T68" i="34"/>
  <c r="V68" i="34"/>
  <c r="AG8" i="7"/>
  <c r="H78" i="36"/>
  <c r="H80" i="36" s="1"/>
  <c r="F80" i="36"/>
  <c r="J79" i="36" s="1"/>
  <c r="H23" i="19"/>
  <c r="I23" i="19" s="1"/>
  <c r="D23" i="19"/>
  <c r="F23" i="19" s="1"/>
  <c r="G23" i="19" s="1"/>
  <c r="F72" i="32"/>
  <c r="AG63" i="32"/>
  <c r="Y5" i="2"/>
  <c r="AV27" i="23"/>
  <c r="Y8" i="5"/>
  <c r="AV5" i="1"/>
  <c r="AV13" i="9"/>
  <c r="AG68" i="33"/>
  <c r="AV18" i="14"/>
  <c r="AG78" i="35"/>
  <c r="F54" i="31"/>
  <c r="J52" i="31"/>
  <c r="X13" i="12"/>
  <c r="Y6" i="3"/>
  <c r="F38" i="27"/>
  <c r="AE45" i="29"/>
  <c r="AI44" i="29" s="1"/>
  <c r="AG83" i="36"/>
  <c r="Y11" i="8"/>
  <c r="H57" i="31"/>
  <c r="AV15" i="11"/>
  <c r="V42" i="28"/>
  <c r="T42" i="28"/>
  <c r="V34" i="28"/>
  <c r="V35" i="28" s="1"/>
  <c r="X35" i="28" s="1"/>
  <c r="AB35" i="28" s="1"/>
  <c r="T34" i="28"/>
  <c r="T35" i="28" s="1"/>
  <c r="X34" i="28" s="1"/>
  <c r="AB34" i="28" s="1"/>
  <c r="H22" i="18"/>
  <c r="I22" i="18" s="1"/>
  <c r="D22" i="18"/>
  <c r="F22" i="18" s="1"/>
  <c r="G22" i="18" s="1"/>
  <c r="F84" i="37"/>
  <c r="J82" i="37"/>
  <c r="AN21" i="61"/>
  <c r="AE24" i="68" s="1"/>
  <c r="AP21" i="16"/>
  <c r="C13" i="33"/>
  <c r="B21" i="16"/>
  <c r="AV7" i="3"/>
  <c r="H16" i="12"/>
  <c r="I16" i="12" s="1"/>
  <c r="D16" i="12"/>
  <c r="F16" i="12" s="1"/>
  <c r="G16" i="12" s="1"/>
  <c r="AO20" i="61"/>
  <c r="AF23" i="68" s="1"/>
  <c r="AP20" i="15"/>
  <c r="B20" i="15"/>
  <c r="C14" i="34"/>
  <c r="R69" i="34" s="1"/>
  <c r="AH27" i="61"/>
  <c r="Y30" i="68" s="1"/>
  <c r="B27" i="22"/>
  <c r="AP27" i="22"/>
  <c r="C7" i="27"/>
  <c r="AE69" i="33"/>
  <c r="AG69" i="33" s="1"/>
  <c r="AE73" i="33"/>
  <c r="R68" i="33"/>
  <c r="D69" i="33"/>
  <c r="AB60" i="35"/>
  <c r="CZ103" i="61" l="1"/>
  <c r="AR11" i="68"/>
  <c r="DA102" i="61"/>
  <c r="AS10" i="68"/>
  <c r="CX105" i="61"/>
  <c r="AP13" i="68"/>
  <c r="DB101" i="61"/>
  <c r="AT9" i="68"/>
  <c r="CY104" i="61"/>
  <c r="AQ12" i="68"/>
  <c r="L50" i="43"/>
  <c r="N50" i="43" s="1"/>
  <c r="AQ50" i="43" s="1"/>
  <c r="AT50" i="43" s="1"/>
  <c r="E8" i="43" s="1"/>
  <c r="AK55" i="43" s="1"/>
  <c r="AM55" i="43" s="1"/>
  <c r="AS55" i="43" s="1"/>
  <c r="Z50" i="43"/>
  <c r="AB50" i="43" s="1"/>
  <c r="Z45" i="43"/>
  <c r="AB45" i="43" s="1"/>
  <c r="AR45" i="43" s="1"/>
  <c r="L55" i="43"/>
  <c r="N55" i="43" s="1"/>
  <c r="AQ55" i="43" s="1"/>
  <c r="AR44" i="43"/>
  <c r="Z54" i="43"/>
  <c r="AB54" i="43" s="1"/>
  <c r="AK54" i="43"/>
  <c r="AM54" i="43" s="1"/>
  <c r="AS54" i="43" s="1"/>
  <c r="L59" i="43"/>
  <c r="N59" i="43" s="1"/>
  <c r="AQ59" i="43" s="1"/>
  <c r="AT59" i="43" s="1"/>
  <c r="D10" i="43" s="1"/>
  <c r="AR50" i="43"/>
  <c r="AR49" i="43"/>
  <c r="Z28" i="29"/>
  <c r="Z5" i="30"/>
  <c r="D67" i="30"/>
  <c r="F67" i="30" s="1"/>
  <c r="AH10" i="30"/>
  <c r="X15" i="30"/>
  <c r="X16" i="30" s="1"/>
  <c r="Z16" i="30" s="1"/>
  <c r="V16" i="30"/>
  <c r="Z15" i="30" s="1"/>
  <c r="AL9" i="30"/>
  <c r="AJ9" i="30"/>
  <c r="BT99" i="61"/>
  <c r="BH99" i="61"/>
  <c r="DN99" i="61" s="1"/>
  <c r="CA99" i="61"/>
  <c r="EG99" i="61" s="1"/>
  <c r="BW99" i="61"/>
  <c r="BS99" i="61"/>
  <c r="BO99" i="61"/>
  <c r="BK99" i="61"/>
  <c r="DQ99" i="61" s="1"/>
  <c r="BG99" i="61"/>
  <c r="BZ99" i="61"/>
  <c r="EF99" i="61" s="1"/>
  <c r="BR99" i="61"/>
  <c r="BN99" i="61"/>
  <c r="BF99" i="61"/>
  <c r="BV99" i="61"/>
  <c r="BJ99" i="61"/>
  <c r="DP99" i="61" s="1"/>
  <c r="CC99" i="61"/>
  <c r="BY99" i="61"/>
  <c r="BU99" i="61"/>
  <c r="BQ99" i="61"/>
  <c r="DW99" i="61" s="1"/>
  <c r="BM99" i="61"/>
  <c r="DS99" i="61" s="1"/>
  <c r="BI99" i="61"/>
  <c r="CB99" i="61"/>
  <c r="EH99" i="61" s="1"/>
  <c r="BX99" i="61"/>
  <c r="ED99" i="61" s="1"/>
  <c r="BP99" i="61"/>
  <c r="DV99" i="61" s="1"/>
  <c r="BL99" i="61"/>
  <c r="AL15" i="30"/>
  <c r="AL16" i="30" s="1"/>
  <c r="AJ16" i="30"/>
  <c r="AN15" i="30" s="1"/>
  <c r="DG100" i="61"/>
  <c r="DF100" i="61"/>
  <c r="Z28" i="30"/>
  <c r="AJ5" i="30"/>
  <c r="AN3" i="30"/>
  <c r="X22" i="30"/>
  <c r="X23" i="30" s="1"/>
  <c r="V22" i="30"/>
  <c r="V23" i="30" s="1"/>
  <c r="Z22" i="30" s="1"/>
  <c r="X28" i="28"/>
  <c r="AH5" i="28"/>
  <c r="AJ5" i="28" s="1"/>
  <c r="AL5" i="28" s="1"/>
  <c r="AJ15" i="28"/>
  <c r="AL15" i="28" s="1"/>
  <c r="AH9" i="28"/>
  <c r="T22" i="28"/>
  <c r="Z5" i="29"/>
  <c r="AN3" i="29"/>
  <c r="V28" i="28"/>
  <c r="Z27" i="28" s="1"/>
  <c r="AL9" i="29"/>
  <c r="AJ9" i="29"/>
  <c r="X16" i="28"/>
  <c r="AL16" i="29"/>
  <c r="R49" i="29"/>
  <c r="AH10" i="29"/>
  <c r="V4" i="28"/>
  <c r="V5" i="28" s="1"/>
  <c r="Z4" i="28" s="1"/>
  <c r="X4" i="28"/>
  <c r="X5" i="28" s="1"/>
  <c r="V21" i="28"/>
  <c r="X21" i="28"/>
  <c r="AL6" i="29"/>
  <c r="AL3" i="28"/>
  <c r="V16" i="28"/>
  <c r="Z13" i="28"/>
  <c r="AL14" i="28"/>
  <c r="AL16" i="28" s="1"/>
  <c r="X22" i="29"/>
  <c r="X23" i="29" s="1"/>
  <c r="V22" i="29"/>
  <c r="V23" i="29" s="1"/>
  <c r="Z22" i="29" s="1"/>
  <c r="N19" i="28"/>
  <c r="L5" i="28" s="1"/>
  <c r="AP35" i="28" s="1"/>
  <c r="AJ6" i="29"/>
  <c r="X15" i="29"/>
  <c r="X16" i="29" s="1"/>
  <c r="Z16" i="29" s="1"/>
  <c r="V16" i="29"/>
  <c r="Z15" i="29" s="1"/>
  <c r="AJ16" i="29"/>
  <c r="AN15" i="29" s="1"/>
  <c r="AE105" i="40"/>
  <c r="AI104" i="40" s="1"/>
  <c r="AI105" i="40" s="1"/>
  <c r="F104" i="40"/>
  <c r="H104" i="40" s="1"/>
  <c r="AI130" i="46"/>
  <c r="J104" i="41"/>
  <c r="T93" i="38"/>
  <c r="AI85" i="37"/>
  <c r="AT70" i="42"/>
  <c r="E12" i="42" s="1"/>
  <c r="AE120" i="43"/>
  <c r="AI119" i="43" s="1"/>
  <c r="I257" i="66"/>
  <c r="D249" i="66"/>
  <c r="T2" i="26"/>
  <c r="T13" i="26"/>
  <c r="AE90" i="37"/>
  <c r="AI89" i="37" s="1"/>
  <c r="T84" i="37"/>
  <c r="J112" i="42"/>
  <c r="Y15" i="11"/>
  <c r="AA15" i="11" s="1"/>
  <c r="AI115" i="43"/>
  <c r="AI120" i="44"/>
  <c r="A236" i="66"/>
  <c r="I365" i="66"/>
  <c r="H31" i="64"/>
  <c r="EX134" i="61"/>
  <c r="V39" i="29"/>
  <c r="V40" i="29" s="1"/>
  <c r="X40" i="29" s="1"/>
  <c r="AE115" i="42"/>
  <c r="AI114" i="42" s="1"/>
  <c r="AI115" i="42" s="1"/>
  <c r="J365" i="66"/>
  <c r="B365" i="65" s="1"/>
  <c r="A248" i="66"/>
  <c r="DR99" i="61"/>
  <c r="DZ99" i="61"/>
  <c r="DO99" i="61"/>
  <c r="EA99" i="61"/>
  <c r="EE99" i="61"/>
  <c r="EI99" i="61"/>
  <c r="EP127" i="61" s="1"/>
  <c r="DL99" i="61"/>
  <c r="DT99" i="61"/>
  <c r="DX99" i="61"/>
  <c r="DM99" i="61"/>
  <c r="DU99" i="61"/>
  <c r="DY99" i="61"/>
  <c r="EC99" i="61"/>
  <c r="EB99" i="61"/>
  <c r="EU126" i="61"/>
  <c r="EV126" i="61" s="1"/>
  <c r="BX96" i="61"/>
  <c r="DD101" i="61"/>
  <c r="L366" i="66"/>
  <c r="D366" i="65" s="1"/>
  <c r="A366" i="65" s="1"/>
  <c r="L318" i="66"/>
  <c r="L234" i="66"/>
  <c r="D216" i="66"/>
  <c r="D227" i="66"/>
  <c r="L246" i="66"/>
  <c r="D328" i="66"/>
  <c r="A328" i="66" s="1"/>
  <c r="D282" i="66"/>
  <c r="L306" i="66"/>
  <c r="L338" i="66"/>
  <c r="J338" i="66" s="1"/>
  <c r="B338" i="65" s="1"/>
  <c r="D271" i="66"/>
  <c r="L258" i="66"/>
  <c r="L254" i="66"/>
  <c r="J254" i="66" s="1"/>
  <c r="B254" i="65" s="1"/>
  <c r="D205" i="66"/>
  <c r="L222" i="66"/>
  <c r="D221" i="65"/>
  <c r="A221" i="65" s="1"/>
  <c r="J221" i="66"/>
  <c r="B221" i="65" s="1"/>
  <c r="I221" i="66"/>
  <c r="D245" i="65"/>
  <c r="A245" i="65" s="1"/>
  <c r="I245" i="66"/>
  <c r="J245" i="66"/>
  <c r="B245" i="65" s="1"/>
  <c r="B215" i="66"/>
  <c r="A215" i="66"/>
  <c r="B204" i="66"/>
  <c r="A204" i="66"/>
  <c r="B226" i="66"/>
  <c r="A226" i="66"/>
  <c r="J233" i="66"/>
  <c r="B233" i="65" s="1"/>
  <c r="D233" i="65"/>
  <c r="A233" i="65" s="1"/>
  <c r="I233" i="66"/>
  <c r="J317" i="66"/>
  <c r="B317" i="65" s="1"/>
  <c r="D317" i="65"/>
  <c r="I317" i="66"/>
  <c r="D305" i="65"/>
  <c r="J305" i="66"/>
  <c r="B305" i="65" s="1"/>
  <c r="I305" i="66"/>
  <c r="L80" i="41"/>
  <c r="N80" i="41" s="1"/>
  <c r="AQ80" i="41" s="1"/>
  <c r="AR79" i="46"/>
  <c r="X115" i="44"/>
  <c r="Z75" i="41"/>
  <c r="AB75" i="41" s="1"/>
  <c r="AI125" i="45"/>
  <c r="X110" i="43"/>
  <c r="AI110" i="42"/>
  <c r="D302" i="66"/>
  <c r="I239" i="66"/>
  <c r="J239" i="66"/>
  <c r="B239" i="65" s="1"/>
  <c r="D239" i="65"/>
  <c r="J225" i="66"/>
  <c r="B225" i="65" s="1"/>
  <c r="I225" i="66"/>
  <c r="D225" i="65"/>
  <c r="L268" i="66"/>
  <c r="L282" i="66"/>
  <c r="I338" i="66"/>
  <c r="AI150" i="46"/>
  <c r="B223" i="66"/>
  <c r="A223" i="66"/>
  <c r="A210" i="66"/>
  <c r="B210" i="66"/>
  <c r="D211" i="66"/>
  <c r="L226" i="66"/>
  <c r="D224" i="66"/>
  <c r="L240" i="66"/>
  <c r="J267" i="66"/>
  <c r="B267" i="65" s="1"/>
  <c r="I267" i="66"/>
  <c r="D267" i="65"/>
  <c r="D281" i="65"/>
  <c r="J281" i="66"/>
  <c r="B281" i="65" s="1"/>
  <c r="I281" i="66"/>
  <c r="D237" i="66"/>
  <c r="A237" i="66" s="1"/>
  <c r="A249" i="66"/>
  <c r="B249" i="66"/>
  <c r="CW106" i="61"/>
  <c r="D181" i="66"/>
  <c r="L190" i="66"/>
  <c r="D409" i="66"/>
  <c r="L430" i="66"/>
  <c r="D428" i="66"/>
  <c r="L450" i="66"/>
  <c r="R109" i="41"/>
  <c r="D118" i="41"/>
  <c r="F118" i="41" s="1"/>
  <c r="H118" i="41" s="1"/>
  <c r="AE118" i="41"/>
  <c r="AE114" i="41"/>
  <c r="AG114" i="41" s="1"/>
  <c r="R113" i="41"/>
  <c r="D114" i="41"/>
  <c r="F114" i="41" s="1"/>
  <c r="H114" i="41" s="1"/>
  <c r="R99" i="39"/>
  <c r="D108" i="39"/>
  <c r="F108" i="39" s="1"/>
  <c r="H108" i="39" s="1"/>
  <c r="R107" i="39"/>
  <c r="D112" i="39"/>
  <c r="F112" i="39" s="1"/>
  <c r="R114" i="42"/>
  <c r="R118" i="42"/>
  <c r="D119" i="42"/>
  <c r="AE119" i="42"/>
  <c r="AG119" i="42" s="1"/>
  <c r="AE123" i="42"/>
  <c r="H99" i="40"/>
  <c r="H100" i="40" s="1"/>
  <c r="J100" i="40" s="1"/>
  <c r="F100" i="40"/>
  <c r="R103" i="39"/>
  <c r="V103" i="39" s="1"/>
  <c r="Z75" i="42"/>
  <c r="AB75" i="42" s="1"/>
  <c r="AR75" i="42" s="1"/>
  <c r="L80" i="42"/>
  <c r="N80" i="42" s="1"/>
  <c r="AQ80" i="42" s="1"/>
  <c r="J130" i="46"/>
  <c r="N130" i="46" s="1"/>
  <c r="AQ130" i="46" s="1"/>
  <c r="J129" i="46"/>
  <c r="N129" i="46" s="1"/>
  <c r="AQ129" i="46" s="1"/>
  <c r="J125" i="45"/>
  <c r="N125" i="45" s="1"/>
  <c r="AQ125" i="45" s="1"/>
  <c r="J124" i="45"/>
  <c r="N124" i="45" s="1"/>
  <c r="AQ124" i="45" s="1"/>
  <c r="H103" i="39"/>
  <c r="D229" i="65"/>
  <c r="A229" i="65" s="1"/>
  <c r="J229" i="66"/>
  <c r="B229" i="65" s="1"/>
  <c r="I229" i="66"/>
  <c r="H113" i="42"/>
  <c r="H115" i="42" s="1"/>
  <c r="F115" i="42"/>
  <c r="J115" i="43"/>
  <c r="J114" i="43"/>
  <c r="D289" i="65"/>
  <c r="J289" i="66"/>
  <c r="B289" i="65" s="1"/>
  <c r="I289" i="66"/>
  <c r="F149" i="45"/>
  <c r="H149" i="45" s="1"/>
  <c r="J147" i="45"/>
  <c r="AG138" i="45"/>
  <c r="AG140" i="45" s="1"/>
  <c r="AE140" i="45"/>
  <c r="AI139" i="45" s="1"/>
  <c r="F129" i="45"/>
  <c r="H129" i="45" s="1"/>
  <c r="J127" i="45"/>
  <c r="F134" i="45"/>
  <c r="H134" i="45" s="1"/>
  <c r="J132" i="45"/>
  <c r="V123" i="44"/>
  <c r="T123" i="44"/>
  <c r="B199" i="66"/>
  <c r="A199" i="66"/>
  <c r="L79" i="42"/>
  <c r="N79" i="42" s="1"/>
  <c r="AQ79" i="42" s="1"/>
  <c r="AT79" i="42" s="1"/>
  <c r="B370" i="66"/>
  <c r="A370" i="66"/>
  <c r="AG109" i="41"/>
  <c r="AG110" i="41" s="1"/>
  <c r="AE110" i="41"/>
  <c r="AI109" i="41" s="1"/>
  <c r="F117" i="41"/>
  <c r="D429" i="65"/>
  <c r="A429" i="65" s="1"/>
  <c r="J429" i="66"/>
  <c r="B429" i="65" s="1"/>
  <c r="I429" i="66"/>
  <c r="D249" i="65"/>
  <c r="A249" i="65" s="1"/>
  <c r="I249" i="66"/>
  <c r="J249" i="66"/>
  <c r="B249" i="65" s="1"/>
  <c r="B161" i="66"/>
  <c r="A161" i="66"/>
  <c r="F119" i="43"/>
  <c r="J117" i="43"/>
  <c r="J149" i="46"/>
  <c r="N149" i="46" s="1"/>
  <c r="AQ149" i="46" s="1"/>
  <c r="B427" i="66"/>
  <c r="A427" i="66"/>
  <c r="V99" i="40"/>
  <c r="V100" i="40" s="1"/>
  <c r="T99" i="40"/>
  <c r="T100" i="40" s="1"/>
  <c r="X99" i="40" s="1"/>
  <c r="D485" i="66"/>
  <c r="L510" i="66"/>
  <c r="D352" i="66"/>
  <c r="D371" i="66"/>
  <c r="L390" i="66"/>
  <c r="D466" i="66"/>
  <c r="L490" i="66"/>
  <c r="CR111" i="61"/>
  <c r="L290" i="66"/>
  <c r="D447" i="66"/>
  <c r="L470" i="66"/>
  <c r="D390" i="66"/>
  <c r="L410" i="66"/>
  <c r="L350" i="66"/>
  <c r="R84" i="36"/>
  <c r="T84" i="36" s="1"/>
  <c r="D98" i="36"/>
  <c r="F98" i="36" s="1"/>
  <c r="H98" i="36" s="1"/>
  <c r="R97" i="36"/>
  <c r="D102" i="36"/>
  <c r="F102" i="36" s="1"/>
  <c r="CS110" i="61"/>
  <c r="D257" i="66"/>
  <c r="CV107" i="61"/>
  <c r="D200" i="66"/>
  <c r="L210" i="66"/>
  <c r="AE104" i="39"/>
  <c r="AG104" i="39" s="1"/>
  <c r="V89" i="39"/>
  <c r="V90" i="39" s="1"/>
  <c r="T89" i="39"/>
  <c r="T90" i="39" s="1"/>
  <c r="X89" i="39" s="1"/>
  <c r="A218" i="66"/>
  <c r="B218" i="66"/>
  <c r="H119" i="44"/>
  <c r="H120" i="44" s="1"/>
  <c r="J120" i="44" s="1"/>
  <c r="F120" i="44"/>
  <c r="J119" i="44" s="1"/>
  <c r="F144" i="45"/>
  <c r="H144" i="45" s="1"/>
  <c r="J142" i="45"/>
  <c r="AE145" i="45"/>
  <c r="AI144" i="45" s="1"/>
  <c r="AG143" i="45"/>
  <c r="AG145" i="45" s="1"/>
  <c r="V133" i="45"/>
  <c r="T133" i="45"/>
  <c r="V138" i="45"/>
  <c r="T138" i="45"/>
  <c r="F105" i="40"/>
  <c r="J104" i="40" s="1"/>
  <c r="D489" i="65"/>
  <c r="A489" i="65" s="1"/>
  <c r="J489" i="66"/>
  <c r="B489" i="65" s="1"/>
  <c r="I489" i="66"/>
  <c r="B256" i="66"/>
  <c r="A256" i="66"/>
  <c r="J107" i="41"/>
  <c r="F109" i="41"/>
  <c r="V112" i="41"/>
  <c r="T112" i="41"/>
  <c r="B408" i="66"/>
  <c r="A408" i="66"/>
  <c r="B237" i="66"/>
  <c r="AG123" i="43"/>
  <c r="AG130" i="45"/>
  <c r="D409" i="65"/>
  <c r="A409" i="65" s="1"/>
  <c r="J409" i="66"/>
  <c r="B409" i="65" s="1"/>
  <c r="I409" i="66"/>
  <c r="H102" i="37"/>
  <c r="H112" i="40"/>
  <c r="V113" i="42"/>
  <c r="T113" i="42"/>
  <c r="CU108" i="61"/>
  <c r="D219" i="66"/>
  <c r="L230" i="66"/>
  <c r="CT109" i="61"/>
  <c r="L250" i="66"/>
  <c r="D314" i="66"/>
  <c r="J144" i="46"/>
  <c r="N144" i="46" s="1"/>
  <c r="AQ144" i="46" s="1"/>
  <c r="J145" i="46"/>
  <c r="N145" i="46" s="1"/>
  <c r="AQ145" i="46" s="1"/>
  <c r="H107" i="39"/>
  <c r="H97" i="36"/>
  <c r="D349" i="65"/>
  <c r="I349" i="66"/>
  <c r="J349" i="66"/>
  <c r="B349" i="65" s="1"/>
  <c r="D509" i="65"/>
  <c r="A509" i="65" s="1"/>
  <c r="J509" i="66"/>
  <c r="B509" i="65" s="1"/>
  <c r="I509" i="66"/>
  <c r="V148" i="45"/>
  <c r="T148" i="45"/>
  <c r="T143" i="45"/>
  <c r="V143" i="45"/>
  <c r="F139" i="45"/>
  <c r="H139" i="45" s="1"/>
  <c r="J137" i="45"/>
  <c r="AG148" i="45"/>
  <c r="AG150" i="45" s="1"/>
  <c r="AE150" i="45"/>
  <c r="AI149" i="45" s="1"/>
  <c r="F124" i="44"/>
  <c r="H124" i="44" s="1"/>
  <c r="J122" i="44"/>
  <c r="H105" i="40"/>
  <c r="J105" i="40" s="1"/>
  <c r="AE125" i="44"/>
  <c r="AI124" i="44" s="1"/>
  <c r="B465" i="66"/>
  <c r="A465" i="66"/>
  <c r="AG113" i="41"/>
  <c r="AG115" i="41" s="1"/>
  <c r="F113" i="41"/>
  <c r="D469" i="65"/>
  <c r="A469" i="65" s="1"/>
  <c r="I469" i="66"/>
  <c r="J469" i="66"/>
  <c r="B469" i="65" s="1"/>
  <c r="D189" i="65"/>
  <c r="A189" i="65" s="1"/>
  <c r="J189" i="66"/>
  <c r="B189" i="65" s="1"/>
  <c r="I189" i="66"/>
  <c r="V118" i="43"/>
  <c r="T118" i="43"/>
  <c r="V114" i="43"/>
  <c r="V115" i="43" s="1"/>
  <c r="T114" i="43"/>
  <c r="T115" i="43" s="1"/>
  <c r="X114" i="43" s="1"/>
  <c r="J140" i="46"/>
  <c r="N140" i="46" s="1"/>
  <c r="AQ140" i="46" s="1"/>
  <c r="J139" i="46"/>
  <c r="N139" i="46" s="1"/>
  <c r="AQ139" i="46" s="1"/>
  <c r="AE130" i="45"/>
  <c r="AI129" i="45" s="1"/>
  <c r="A389" i="66"/>
  <c r="B389" i="66"/>
  <c r="B313" i="66"/>
  <c r="A313" i="66"/>
  <c r="V97" i="37"/>
  <c r="T97" i="37"/>
  <c r="V107" i="40"/>
  <c r="T107" i="40"/>
  <c r="V109" i="42"/>
  <c r="V110" i="42" s="1"/>
  <c r="T109" i="42"/>
  <c r="T110" i="42" s="1"/>
  <c r="X109" i="42" s="1"/>
  <c r="R123" i="43"/>
  <c r="AE128" i="43"/>
  <c r="AE124" i="43"/>
  <c r="AG124" i="43" s="1"/>
  <c r="D124" i="43"/>
  <c r="R89" i="38"/>
  <c r="D103" i="38"/>
  <c r="F103" i="38" s="1"/>
  <c r="R102" i="38"/>
  <c r="D107" i="38"/>
  <c r="F107" i="38" s="1"/>
  <c r="R87" i="35"/>
  <c r="D97" i="35"/>
  <c r="F97" i="35" s="1"/>
  <c r="D113" i="40"/>
  <c r="R104" i="40"/>
  <c r="D117" i="40"/>
  <c r="R112" i="40"/>
  <c r="D109" i="40"/>
  <c r="AE113" i="40"/>
  <c r="R108" i="40"/>
  <c r="AE109" i="40"/>
  <c r="R143" i="44"/>
  <c r="AE148" i="44"/>
  <c r="AE138" i="44"/>
  <c r="AE129" i="44"/>
  <c r="AG129" i="44" s="1"/>
  <c r="R133" i="44"/>
  <c r="AE143" i="44"/>
  <c r="D129" i="44"/>
  <c r="R128" i="44"/>
  <c r="R148" i="44"/>
  <c r="D149" i="44"/>
  <c r="R138" i="44"/>
  <c r="AE134" i="44"/>
  <c r="AG134" i="44" s="1"/>
  <c r="AE144" i="44"/>
  <c r="AG144" i="44" s="1"/>
  <c r="AE149" i="44"/>
  <c r="AG149" i="44" s="1"/>
  <c r="D144" i="44"/>
  <c r="D134" i="44"/>
  <c r="AE139" i="44"/>
  <c r="AG139" i="44" s="1"/>
  <c r="D139" i="44"/>
  <c r="AE133" i="44"/>
  <c r="AE108" i="39"/>
  <c r="AG108" i="39" s="1"/>
  <c r="D104" i="39"/>
  <c r="F104" i="39" s="1"/>
  <c r="H104" i="39" s="1"/>
  <c r="X105" i="42"/>
  <c r="AI135" i="46"/>
  <c r="X100" i="41"/>
  <c r="V102" i="39"/>
  <c r="T102" i="39"/>
  <c r="T87" i="36"/>
  <c r="V87" i="36"/>
  <c r="AI140" i="46"/>
  <c r="J134" i="46"/>
  <c r="N134" i="46" s="1"/>
  <c r="AQ134" i="46" s="1"/>
  <c r="J135" i="46"/>
  <c r="N135" i="46" s="1"/>
  <c r="AQ135" i="46" s="1"/>
  <c r="X90" i="40"/>
  <c r="AI120" i="43"/>
  <c r="B484" i="66"/>
  <c r="A484" i="66"/>
  <c r="V128" i="45"/>
  <c r="T128" i="45"/>
  <c r="AE135" i="45"/>
  <c r="AI134" i="45" s="1"/>
  <c r="AG133" i="45"/>
  <c r="AG135" i="45" s="1"/>
  <c r="AG128" i="44"/>
  <c r="D209" i="65"/>
  <c r="A209" i="65" s="1"/>
  <c r="J209" i="66"/>
  <c r="B209" i="65" s="1"/>
  <c r="I209" i="66"/>
  <c r="H109" i="42"/>
  <c r="H110" i="42" s="1"/>
  <c r="J110" i="42" s="1"/>
  <c r="F110" i="42"/>
  <c r="J109" i="42" s="1"/>
  <c r="AI145" i="46"/>
  <c r="AG125" i="44"/>
  <c r="D389" i="65"/>
  <c r="A389" i="65" s="1"/>
  <c r="I389" i="66"/>
  <c r="J389" i="66"/>
  <c r="B389" i="65" s="1"/>
  <c r="V108" i="41"/>
  <c r="T108" i="41"/>
  <c r="V104" i="41"/>
  <c r="V105" i="41" s="1"/>
  <c r="T104" i="41"/>
  <c r="T105" i="41" s="1"/>
  <c r="X104" i="41" s="1"/>
  <c r="B446" i="66"/>
  <c r="A446" i="66"/>
  <c r="D169" i="65"/>
  <c r="A169" i="65" s="1"/>
  <c r="J169" i="66"/>
  <c r="B169" i="65" s="1"/>
  <c r="I169" i="66"/>
  <c r="B180" i="66"/>
  <c r="A180" i="66"/>
  <c r="H117" i="42"/>
  <c r="D449" i="65"/>
  <c r="A449" i="65" s="1"/>
  <c r="J449" i="66"/>
  <c r="B449" i="65" s="1"/>
  <c r="I449" i="66"/>
  <c r="AG118" i="42"/>
  <c r="AG120" i="42" s="1"/>
  <c r="N55" i="32"/>
  <c r="AQ55" i="32" s="1"/>
  <c r="L60" i="33"/>
  <c r="N60" i="33" s="1"/>
  <c r="AQ60" i="33" s="1"/>
  <c r="Z55" i="33"/>
  <c r="AB55" i="33" s="1"/>
  <c r="AR54" i="33" s="1"/>
  <c r="AT54" i="33" s="1"/>
  <c r="D9" i="33" s="1"/>
  <c r="Z59" i="33" s="1"/>
  <c r="AB59" i="33" s="1"/>
  <c r="Y11" i="7"/>
  <c r="X10" i="7" s="1"/>
  <c r="CK118" i="61"/>
  <c r="CJ119" i="61"/>
  <c r="CP113" i="61"/>
  <c r="A236" i="65"/>
  <c r="A275" i="65"/>
  <c r="R22" i="59"/>
  <c r="R23" i="59" s="1"/>
  <c r="P23" i="59"/>
  <c r="T22" i="59" s="1"/>
  <c r="N22" i="59"/>
  <c r="AC10" i="59"/>
  <c r="CG122" i="61"/>
  <c r="CN115" i="61"/>
  <c r="CM116" i="61"/>
  <c r="CH121" i="61"/>
  <c r="AA28" i="59"/>
  <c r="Y21" i="59"/>
  <c r="Y15" i="59"/>
  <c r="AA15" i="59" s="1"/>
  <c r="AC15" i="59" s="1"/>
  <c r="AA11" i="59"/>
  <c r="AC11" i="59" s="1"/>
  <c r="Y4" i="59"/>
  <c r="CI120" i="61"/>
  <c r="A262" i="65"/>
  <c r="A288" i="65"/>
  <c r="T13" i="59"/>
  <c r="R15" i="59"/>
  <c r="R17" i="59" s="1"/>
  <c r="P15" i="59"/>
  <c r="P17" i="59" s="1"/>
  <c r="CQ112" i="61"/>
  <c r="CL117" i="61"/>
  <c r="CO114" i="61"/>
  <c r="A197" i="65"/>
  <c r="A223" i="65"/>
  <c r="AA14" i="59"/>
  <c r="AC3" i="59"/>
  <c r="AA3" i="59"/>
  <c r="AI80" i="36"/>
  <c r="AG90" i="37"/>
  <c r="AI90" i="37" s="1"/>
  <c r="AE40" i="27"/>
  <c r="AI39" i="27" s="1"/>
  <c r="AI40" i="28"/>
  <c r="V72" i="33"/>
  <c r="N59" i="33"/>
  <c r="AQ59" i="33" s="1"/>
  <c r="T50" i="30"/>
  <c r="X49" i="30" s="1"/>
  <c r="X50" i="30" s="1"/>
  <c r="AA27" i="25"/>
  <c r="AG27" i="25" s="1"/>
  <c r="Y26" i="25"/>
  <c r="X27" i="25" s="1"/>
  <c r="G28" i="25"/>
  <c r="G29" i="25" s="1"/>
  <c r="I38" i="25" s="1"/>
  <c r="F29" i="25"/>
  <c r="I36" i="25" s="1"/>
  <c r="J44" i="29"/>
  <c r="AK75" i="42"/>
  <c r="AM75" i="42" s="1"/>
  <c r="AS75" i="42" s="1"/>
  <c r="AT75" i="42" s="1"/>
  <c r="E13" i="42" s="1"/>
  <c r="AK80" i="42" s="1"/>
  <c r="AM80" i="42" s="1"/>
  <c r="AS80" i="42" s="1"/>
  <c r="AK74" i="42"/>
  <c r="AM74" i="42" s="1"/>
  <c r="AS74" i="42" s="1"/>
  <c r="J80" i="36"/>
  <c r="J45" i="29"/>
  <c r="AI90" i="38"/>
  <c r="Z74" i="41"/>
  <c r="AB74" i="41" s="1"/>
  <c r="L79" i="41"/>
  <c r="N79" i="41" s="1"/>
  <c r="AQ79" i="41" s="1"/>
  <c r="N54" i="32"/>
  <c r="AQ54" i="32" s="1"/>
  <c r="AI75" i="35"/>
  <c r="J37" i="27"/>
  <c r="AR60" i="35"/>
  <c r="AT60" i="35" s="1"/>
  <c r="E10" i="35" s="1"/>
  <c r="L70" i="35" s="1"/>
  <c r="N70" i="35" s="1"/>
  <c r="AQ70" i="35" s="1"/>
  <c r="V85" i="37"/>
  <c r="X85" i="37" s="1"/>
  <c r="AG80" i="35"/>
  <c r="AG50" i="29"/>
  <c r="AE50" i="29"/>
  <c r="AI49" i="29" s="1"/>
  <c r="F60" i="31"/>
  <c r="H60" i="31"/>
  <c r="J57" i="31"/>
  <c r="AI100" i="40"/>
  <c r="X70" i="35"/>
  <c r="X80" i="37"/>
  <c r="H54" i="31"/>
  <c r="H55" i="31" s="1"/>
  <c r="J55" i="31" s="1"/>
  <c r="F55" i="31"/>
  <c r="J54" i="31" s="1"/>
  <c r="R75" i="59"/>
  <c r="D76" i="59"/>
  <c r="F76" i="59" s="1"/>
  <c r="D73" i="32"/>
  <c r="F73" i="32" s="1"/>
  <c r="H73" i="32" s="1"/>
  <c r="R93" i="37"/>
  <c r="V93" i="37" s="1"/>
  <c r="AE94" i="37"/>
  <c r="AG94" i="37" s="1"/>
  <c r="J99" i="40"/>
  <c r="AG103" i="39"/>
  <c r="AG99" i="39"/>
  <c r="AG100" i="39" s="1"/>
  <c r="AE100" i="39"/>
  <c r="AI99" i="39" s="1"/>
  <c r="T77" i="34"/>
  <c r="V77" i="34"/>
  <c r="V82" i="35"/>
  <c r="T82" i="35"/>
  <c r="H68" i="32"/>
  <c r="D68" i="31"/>
  <c r="F68" i="31" s="1"/>
  <c r="R67" i="31"/>
  <c r="H59" i="59"/>
  <c r="H60" i="59" s="1"/>
  <c r="J60" i="59" s="1"/>
  <c r="F60" i="59"/>
  <c r="J59" i="59" s="1"/>
  <c r="AE98" i="37"/>
  <c r="AG98" i="37" s="1"/>
  <c r="Z69" i="38"/>
  <c r="AB69" i="38" s="1"/>
  <c r="L74" i="38"/>
  <c r="N74" i="38" s="1"/>
  <c r="AQ74" i="38" s="1"/>
  <c r="AR69" i="39"/>
  <c r="AT69" i="39" s="1"/>
  <c r="AR70" i="39"/>
  <c r="AT70" i="39" s="1"/>
  <c r="E12" i="39" s="1"/>
  <c r="AK75" i="39" s="1"/>
  <c r="AM75" i="39" s="1"/>
  <c r="AS75" i="39" s="1"/>
  <c r="AR49" i="32"/>
  <c r="AR50" i="32"/>
  <c r="F99" i="39"/>
  <c r="J97" i="39"/>
  <c r="H82" i="34"/>
  <c r="V67" i="32"/>
  <c r="T67" i="32"/>
  <c r="D82" i="33"/>
  <c r="F82" i="33" s="1"/>
  <c r="R77" i="33"/>
  <c r="H84" i="37"/>
  <c r="H85" i="37" s="1"/>
  <c r="J85" i="37" s="1"/>
  <c r="F85" i="37"/>
  <c r="J84" i="37" s="1"/>
  <c r="R39" i="28"/>
  <c r="V39" i="28" s="1"/>
  <c r="V40" i="28" s="1"/>
  <c r="D53" i="28"/>
  <c r="F53" i="28" s="1"/>
  <c r="H89" i="38"/>
  <c r="H90" i="38" s="1"/>
  <c r="J90" i="38" s="1"/>
  <c r="F90" i="38"/>
  <c r="J89" i="38" s="1"/>
  <c r="Z70" i="38"/>
  <c r="AB70" i="38" s="1"/>
  <c r="L75" i="38"/>
  <c r="N75" i="38" s="1"/>
  <c r="AQ75" i="38" s="1"/>
  <c r="H52" i="27"/>
  <c r="V79" i="36"/>
  <c r="V80" i="36" s="1"/>
  <c r="T79" i="36"/>
  <c r="T80" i="36" s="1"/>
  <c r="X79" i="36" s="1"/>
  <c r="V69" i="34"/>
  <c r="V70" i="34" s="1"/>
  <c r="T69" i="34"/>
  <c r="T70" i="34" s="1"/>
  <c r="X69" i="34" s="1"/>
  <c r="H53" i="29"/>
  <c r="D83" i="34"/>
  <c r="F83" i="34" s="1"/>
  <c r="H83" i="34" s="1"/>
  <c r="R82" i="34"/>
  <c r="D87" i="34"/>
  <c r="F87" i="34" s="1"/>
  <c r="AE103" i="38"/>
  <c r="R98" i="38"/>
  <c r="D99" i="38"/>
  <c r="AE99" i="38"/>
  <c r="H67" i="30"/>
  <c r="D72" i="31"/>
  <c r="F72" i="31" s="1"/>
  <c r="T49" i="29"/>
  <c r="V49" i="29"/>
  <c r="R79" i="35"/>
  <c r="D88" i="35"/>
  <c r="F88" i="35" s="1"/>
  <c r="H88" i="35" s="1"/>
  <c r="R47" i="26"/>
  <c r="D52" i="26"/>
  <c r="F52" i="26" s="1"/>
  <c r="D81" i="59"/>
  <c r="F81" i="59" s="1"/>
  <c r="Z50" i="31"/>
  <c r="AB50" i="31" s="1"/>
  <c r="L55" i="31"/>
  <c r="D77" i="32"/>
  <c r="F77" i="32" s="1"/>
  <c r="H69" i="34"/>
  <c r="H70" i="34" s="1"/>
  <c r="J70" i="34" s="1"/>
  <c r="F70" i="34"/>
  <c r="J69" i="34" s="1"/>
  <c r="T47" i="27"/>
  <c r="V47" i="27"/>
  <c r="V98" i="39"/>
  <c r="T98" i="39"/>
  <c r="H87" i="35"/>
  <c r="Y9" i="5"/>
  <c r="AA9" i="5" s="1"/>
  <c r="AG9" i="5" s="1"/>
  <c r="Y8" i="4"/>
  <c r="X7" i="4" s="1"/>
  <c r="AE80" i="35"/>
  <c r="AI79" i="35" s="1"/>
  <c r="AR64" i="37"/>
  <c r="AT64" i="37" s="1"/>
  <c r="D11" i="37" s="1"/>
  <c r="AK69" i="37" s="1"/>
  <c r="AM69" i="37" s="1"/>
  <c r="AS69" i="37" s="1"/>
  <c r="AR65" i="37"/>
  <c r="AT65" i="37" s="1"/>
  <c r="E11" i="37" s="1"/>
  <c r="F65" i="32"/>
  <c r="AG65" i="32"/>
  <c r="H65" i="32"/>
  <c r="AE55" i="30"/>
  <c r="AI54" i="30" s="1"/>
  <c r="J62" i="32"/>
  <c r="J64" i="32" s="1"/>
  <c r="AE65" i="32"/>
  <c r="AI64" i="32" s="1"/>
  <c r="AG55" i="30"/>
  <c r="AR45" i="32"/>
  <c r="AT45" i="32" s="1"/>
  <c r="E7" i="32" s="1"/>
  <c r="AK50" i="32" s="1"/>
  <c r="AM50" i="32" s="1"/>
  <c r="AS50" i="32" s="1"/>
  <c r="L65" i="36"/>
  <c r="N65" i="36" s="1"/>
  <c r="AQ65" i="36" s="1"/>
  <c r="Z60" i="36"/>
  <c r="AB60" i="36" s="1"/>
  <c r="Z59" i="36"/>
  <c r="AB59" i="36" s="1"/>
  <c r="L64" i="36"/>
  <c r="N64" i="36" s="1"/>
  <c r="AQ64" i="36" s="1"/>
  <c r="AK59" i="36"/>
  <c r="AM59" i="36" s="1"/>
  <c r="AS59" i="36" s="1"/>
  <c r="L59" i="32"/>
  <c r="AK54" i="32"/>
  <c r="AM54" i="32" s="1"/>
  <c r="AS54" i="32" s="1"/>
  <c r="Z54" i="32"/>
  <c r="AB54" i="32" s="1"/>
  <c r="AR44" i="32"/>
  <c r="AT44" i="32" s="1"/>
  <c r="D7" i="32" s="1"/>
  <c r="AK49" i="32" s="1"/>
  <c r="AM49" i="32" s="1"/>
  <c r="AS49" i="32" s="1"/>
  <c r="AK45" i="31"/>
  <c r="AM45" i="31" s="1"/>
  <c r="AS45" i="31" s="1"/>
  <c r="Z45" i="31"/>
  <c r="AB45" i="31" s="1"/>
  <c r="L50" i="31"/>
  <c r="N50" i="31" s="1"/>
  <c r="AQ50" i="31" s="1"/>
  <c r="AT50" i="31" s="1"/>
  <c r="E8" i="31" s="1"/>
  <c r="AT50" i="32"/>
  <c r="E8" i="32" s="1"/>
  <c r="AK69" i="38"/>
  <c r="AM69" i="38" s="1"/>
  <c r="AS69" i="38" s="1"/>
  <c r="AR54" i="34"/>
  <c r="AT54" i="34" s="1"/>
  <c r="D9" i="34" s="1"/>
  <c r="AR55" i="34"/>
  <c r="AT55" i="34" s="1"/>
  <c r="E9" i="34" s="1"/>
  <c r="AK70" i="38"/>
  <c r="AM70" i="38" s="1"/>
  <c r="AS70" i="38" s="1"/>
  <c r="AI65" i="33"/>
  <c r="AG40" i="27"/>
  <c r="AG85" i="36"/>
  <c r="Y10" i="6"/>
  <c r="AA10" i="6" s="1"/>
  <c r="AG10" i="6" s="1"/>
  <c r="Y7" i="3"/>
  <c r="X6" i="3" s="1"/>
  <c r="X45" i="30"/>
  <c r="AE85" i="36"/>
  <c r="AI84" i="36" s="1"/>
  <c r="X65" i="35"/>
  <c r="AI35" i="27"/>
  <c r="AM35" i="27" s="1"/>
  <c r="AS35" i="27" s="1"/>
  <c r="X60" i="33"/>
  <c r="AG45" i="28"/>
  <c r="X75" i="36"/>
  <c r="X55" i="32"/>
  <c r="H20" i="15"/>
  <c r="I20" i="15" s="1"/>
  <c r="D20" i="15"/>
  <c r="F20" i="15" s="1"/>
  <c r="G20" i="15" s="1"/>
  <c r="AV21" i="16"/>
  <c r="AA5" i="1"/>
  <c r="AG5" i="1" s="1"/>
  <c r="F69" i="33"/>
  <c r="J67" i="33"/>
  <c r="B28" i="22"/>
  <c r="AP28" i="22"/>
  <c r="C7" i="26"/>
  <c r="J15" i="26" s="1"/>
  <c r="V31" i="61"/>
  <c r="AV20" i="15"/>
  <c r="AN22" i="61"/>
  <c r="AE25" i="68" s="1"/>
  <c r="AP22" i="16"/>
  <c r="B22" i="16"/>
  <c r="C13" i="32"/>
  <c r="AA11" i="8"/>
  <c r="X10" i="8"/>
  <c r="AA13" i="9"/>
  <c r="AG13" i="9" s="1"/>
  <c r="AF7" i="5"/>
  <c r="H26" i="21"/>
  <c r="I26" i="21" s="1"/>
  <c r="D26" i="21"/>
  <c r="F26" i="21" s="1"/>
  <c r="G26" i="21" s="1"/>
  <c r="AI95" i="38"/>
  <c r="AX12" i="61"/>
  <c r="C23" i="42"/>
  <c r="AP12" i="6"/>
  <c r="B12" i="6"/>
  <c r="H17" i="12"/>
  <c r="I17" i="12" s="1"/>
  <c r="D17" i="12"/>
  <c r="F17" i="12" s="1"/>
  <c r="G17" i="12" s="1"/>
  <c r="V64" i="34"/>
  <c r="V65" i="34" s="1"/>
  <c r="T64" i="34"/>
  <c r="T65" i="34" s="1"/>
  <c r="X64" i="34" s="1"/>
  <c r="AV23" i="18"/>
  <c r="G8" i="5"/>
  <c r="H16" i="11"/>
  <c r="I16" i="11" s="1"/>
  <c r="D16" i="11"/>
  <c r="F16" i="11" s="1"/>
  <c r="G16" i="11" s="1"/>
  <c r="AE59" i="30"/>
  <c r="AG59" i="30" s="1"/>
  <c r="R58" i="30"/>
  <c r="AE63" i="30"/>
  <c r="R54" i="30"/>
  <c r="D59" i="30"/>
  <c r="F59" i="30" s="1"/>
  <c r="H59" i="30" s="1"/>
  <c r="R62" i="30"/>
  <c r="D63" i="30"/>
  <c r="F63" i="30" s="1"/>
  <c r="H63" i="30" s="1"/>
  <c r="T33" i="26"/>
  <c r="V33" i="26"/>
  <c r="AE54" i="29"/>
  <c r="AG54" i="29" s="1"/>
  <c r="R53" i="29"/>
  <c r="AE58" i="29"/>
  <c r="D54" i="29"/>
  <c r="D58" i="29"/>
  <c r="F58" i="29" s="1"/>
  <c r="H58" i="29" s="1"/>
  <c r="R57" i="29"/>
  <c r="D62" i="29"/>
  <c r="AV7" i="2"/>
  <c r="AG4" i="1"/>
  <c r="H22" i="17"/>
  <c r="I22" i="17" s="1"/>
  <c r="D22" i="17"/>
  <c r="F22" i="17" s="1"/>
  <c r="G22" i="17" s="1"/>
  <c r="BA9" i="61"/>
  <c r="AP9" i="3"/>
  <c r="C26" i="45"/>
  <c r="B9" i="3"/>
  <c r="J40" i="28"/>
  <c r="N40" i="28" s="1"/>
  <c r="AQ40" i="28" s="1"/>
  <c r="J39" i="28"/>
  <c r="N39" i="28" s="1"/>
  <c r="AQ39" i="28" s="1"/>
  <c r="AI70" i="34"/>
  <c r="H62" i="31"/>
  <c r="R83" i="35"/>
  <c r="AE84" i="35"/>
  <c r="AG84" i="35" s="1"/>
  <c r="D84" i="35"/>
  <c r="AE88" i="35"/>
  <c r="D43" i="26"/>
  <c r="F43" i="26" s="1"/>
  <c r="H43" i="26" s="1"/>
  <c r="AE43" i="26"/>
  <c r="R34" i="26"/>
  <c r="D39" i="26"/>
  <c r="F39" i="26" s="1"/>
  <c r="H39" i="26" s="1"/>
  <c r="AE39" i="26"/>
  <c r="AG39" i="26" s="1"/>
  <c r="R38" i="26"/>
  <c r="R42" i="26"/>
  <c r="D47" i="26"/>
  <c r="AA7" i="4"/>
  <c r="AG7" i="4" s="1"/>
  <c r="V59" i="59"/>
  <c r="V60" i="59" s="1"/>
  <c r="T59" i="59"/>
  <c r="T60" i="59" s="1"/>
  <c r="X59" i="59" s="1"/>
  <c r="AK39" i="29"/>
  <c r="AM39" i="29" s="1"/>
  <c r="AS39" i="29" s="1"/>
  <c r="Z39" i="29"/>
  <c r="AB39" i="29" s="1"/>
  <c r="L44" i="29"/>
  <c r="AG48" i="28"/>
  <c r="V72" i="32"/>
  <c r="T72" i="32"/>
  <c r="H42" i="27"/>
  <c r="F84" i="36"/>
  <c r="J82" i="36"/>
  <c r="AV14" i="9"/>
  <c r="AG6" i="4"/>
  <c r="G10" i="7"/>
  <c r="F54" i="30"/>
  <c r="J52" i="30"/>
  <c r="AE89" i="36"/>
  <c r="AG89" i="36" s="1"/>
  <c r="AE93" i="36"/>
  <c r="R88" i="36"/>
  <c r="D89" i="36"/>
  <c r="AV15" i="10"/>
  <c r="AV10" i="5"/>
  <c r="G10" i="6"/>
  <c r="AW13" i="61"/>
  <c r="AN16" i="68" s="1"/>
  <c r="AP13" i="7"/>
  <c r="Y12" i="7" s="1"/>
  <c r="X11" i="7" s="1"/>
  <c r="B13" i="7"/>
  <c r="C22" i="41"/>
  <c r="F49" i="29"/>
  <c r="J47" i="29"/>
  <c r="AG93" i="37"/>
  <c r="AR59" i="35"/>
  <c r="AT59" i="35" s="1"/>
  <c r="D10" i="35" s="1"/>
  <c r="L69" i="35" s="1"/>
  <c r="N69" i="35" s="1"/>
  <c r="AQ69" i="35" s="1"/>
  <c r="X12" i="9"/>
  <c r="V68" i="33"/>
  <c r="T68" i="33"/>
  <c r="H21" i="16"/>
  <c r="I21" i="16" s="1"/>
  <c r="D21" i="16"/>
  <c r="F21" i="16" s="1"/>
  <c r="G21" i="16" s="1"/>
  <c r="H38" i="27"/>
  <c r="H40" i="27" s="1"/>
  <c r="F40" i="27"/>
  <c r="H72" i="32"/>
  <c r="AI27" i="61"/>
  <c r="Z30" i="68" s="1"/>
  <c r="B27" i="21"/>
  <c r="AP27" i="21"/>
  <c r="C8" i="27"/>
  <c r="D53" i="27" s="1"/>
  <c r="F53" i="27" s="1"/>
  <c r="H53" i="27" s="1"/>
  <c r="H49" i="30"/>
  <c r="H50" i="30" s="1"/>
  <c r="J50" i="30" s="1"/>
  <c r="F50" i="30"/>
  <c r="J49" i="30" s="1"/>
  <c r="H9" i="4"/>
  <c r="I9" i="4" s="1"/>
  <c r="D9" i="4"/>
  <c r="F9" i="4" s="1"/>
  <c r="G9" i="4" s="1"/>
  <c r="AV11" i="6"/>
  <c r="AG83" i="35"/>
  <c r="AR18" i="61"/>
  <c r="AI21" i="68" s="1"/>
  <c r="AP18" i="12"/>
  <c r="B18" i="12"/>
  <c r="C17" i="36"/>
  <c r="AE94" i="36" s="1"/>
  <c r="AG94" i="36" s="1"/>
  <c r="F78" i="34"/>
  <c r="AG78" i="34"/>
  <c r="H23" i="18"/>
  <c r="I23" i="18" s="1"/>
  <c r="D23" i="18"/>
  <c r="F23" i="18" s="1"/>
  <c r="G23" i="18" s="1"/>
  <c r="AL24" i="61"/>
  <c r="AC27" i="68" s="1"/>
  <c r="AP24" i="18"/>
  <c r="C11" i="30"/>
  <c r="B24" i="18"/>
  <c r="AS17" i="61"/>
  <c r="AJ20" i="68" s="1"/>
  <c r="C18" i="37"/>
  <c r="AP17" i="11"/>
  <c r="B17" i="11"/>
  <c r="J77" i="35"/>
  <c r="BC7" i="61"/>
  <c r="AP7" i="1"/>
  <c r="Y6" i="1" s="1"/>
  <c r="B7" i="1"/>
  <c r="C28" i="47"/>
  <c r="F47" i="27"/>
  <c r="AG43" i="27"/>
  <c r="AV24" i="19"/>
  <c r="T62" i="31"/>
  <c r="V62" i="31"/>
  <c r="V58" i="31"/>
  <c r="T58" i="31"/>
  <c r="F38" i="26"/>
  <c r="AV25" i="20"/>
  <c r="AA14" i="10"/>
  <c r="AG14" i="10" s="1"/>
  <c r="AA11" i="7"/>
  <c r="AV13" i="8"/>
  <c r="AF14" i="12"/>
  <c r="BB8" i="61"/>
  <c r="AP8" i="2"/>
  <c r="C27" i="46"/>
  <c r="B8" i="2"/>
  <c r="X4" i="1"/>
  <c r="R68" i="32"/>
  <c r="AE69" i="32"/>
  <c r="AG69" i="32" s="1"/>
  <c r="AE73" i="32"/>
  <c r="D69" i="32"/>
  <c r="H8" i="3"/>
  <c r="I8" i="3" s="1"/>
  <c r="D8" i="3"/>
  <c r="F8" i="3" s="1"/>
  <c r="AE60" i="31"/>
  <c r="AI59" i="31" s="1"/>
  <c r="H19" i="14"/>
  <c r="I19" i="14" s="1"/>
  <c r="D19" i="14"/>
  <c r="F19" i="14" s="1"/>
  <c r="G19" i="14" s="1"/>
  <c r="AV28" i="23"/>
  <c r="Y28" i="23"/>
  <c r="BG7" i="23"/>
  <c r="AE70" i="59"/>
  <c r="AI70" i="59"/>
  <c r="AK40" i="29"/>
  <c r="AM40" i="29" s="1"/>
  <c r="AS40" i="29" s="1"/>
  <c r="Z40" i="29"/>
  <c r="L45" i="29"/>
  <c r="F44" i="28"/>
  <c r="J42" i="28"/>
  <c r="T59" i="32"/>
  <c r="T60" i="32" s="1"/>
  <c r="X59" i="32" s="1"/>
  <c r="V59" i="32"/>
  <c r="V60" i="32" s="1"/>
  <c r="V83" i="36"/>
  <c r="T83" i="36"/>
  <c r="H14" i="9"/>
  <c r="I14" i="9" s="1"/>
  <c r="D14" i="9"/>
  <c r="F14" i="9" s="1"/>
  <c r="G14" i="9" s="1"/>
  <c r="AF14" i="11"/>
  <c r="X6" i="4"/>
  <c r="F62" i="30"/>
  <c r="V53" i="30"/>
  <c r="T53" i="30"/>
  <c r="AF15" i="14"/>
  <c r="AQ19" i="61"/>
  <c r="C16" i="35"/>
  <c r="B19" i="13"/>
  <c r="AP19" i="13"/>
  <c r="AG4" i="2"/>
  <c r="H10" i="5"/>
  <c r="I10" i="5" s="1"/>
  <c r="D10" i="5"/>
  <c r="J94" i="38"/>
  <c r="N94" i="38" s="1"/>
  <c r="AQ94" i="38" s="1"/>
  <c r="J95" i="38"/>
  <c r="N95" i="38" s="1"/>
  <c r="AQ95" i="38" s="1"/>
  <c r="AV12" i="7"/>
  <c r="F57" i="29"/>
  <c r="Y12" i="8"/>
  <c r="X11" i="8" s="1"/>
  <c r="AF13" i="10"/>
  <c r="H27" i="22"/>
  <c r="I27" i="22" s="1"/>
  <c r="D27" i="22"/>
  <c r="F27" i="22" s="1"/>
  <c r="G27" i="22" s="1"/>
  <c r="R43" i="27"/>
  <c r="AE44" i="27"/>
  <c r="AG44" i="27" s="1"/>
  <c r="AE48" i="27"/>
  <c r="D44" i="27"/>
  <c r="F44" i="27" s="1"/>
  <c r="H44" i="27" s="1"/>
  <c r="R39" i="27"/>
  <c r="D48" i="27"/>
  <c r="F48" i="27" s="1"/>
  <c r="H48" i="27" s="1"/>
  <c r="AO21" i="61"/>
  <c r="AF24" i="68" s="1"/>
  <c r="AP21" i="15"/>
  <c r="B21" i="15"/>
  <c r="C14" i="33"/>
  <c r="R69" i="33" s="1"/>
  <c r="AG73" i="33"/>
  <c r="AV27" i="22"/>
  <c r="AE79" i="34"/>
  <c r="AG79" i="34" s="1"/>
  <c r="AE83" i="34"/>
  <c r="R78" i="34"/>
  <c r="D79" i="34"/>
  <c r="F79" i="34" s="1"/>
  <c r="H79" i="34" s="1"/>
  <c r="R74" i="34"/>
  <c r="AE74" i="33"/>
  <c r="AG74" i="33" s="1"/>
  <c r="AE78" i="33"/>
  <c r="D74" i="33"/>
  <c r="R73" i="33"/>
  <c r="R64" i="33"/>
  <c r="D78" i="33"/>
  <c r="AA6" i="3"/>
  <c r="AG6" i="3" s="1"/>
  <c r="AE70" i="33"/>
  <c r="AI69" i="33" s="1"/>
  <c r="AA8" i="5"/>
  <c r="X7" i="5"/>
  <c r="AA5" i="2"/>
  <c r="AG5" i="2" s="1"/>
  <c r="AF8" i="7"/>
  <c r="AF9" i="7" s="1"/>
  <c r="AF10" i="7" s="1"/>
  <c r="AE53" i="28"/>
  <c r="AE49" i="28"/>
  <c r="AG49" i="28" s="1"/>
  <c r="R48" i="28"/>
  <c r="D49" i="28"/>
  <c r="R44" i="28"/>
  <c r="R52" i="28"/>
  <c r="D57" i="28"/>
  <c r="AZ10" i="61"/>
  <c r="AP10" i="4"/>
  <c r="C25" i="44"/>
  <c r="B10" i="4"/>
  <c r="H11" i="6"/>
  <c r="I11" i="6" s="1"/>
  <c r="D11" i="6"/>
  <c r="F11" i="6" s="1"/>
  <c r="G11" i="6" s="1"/>
  <c r="AG5" i="3"/>
  <c r="V78" i="35"/>
  <c r="T78" i="35"/>
  <c r="F74" i="34"/>
  <c r="J72" i="34"/>
  <c r="AG71" i="59"/>
  <c r="R70" i="59"/>
  <c r="AG76" i="59"/>
  <c r="R65" i="59"/>
  <c r="D71" i="59"/>
  <c r="H47" i="28"/>
  <c r="AV16" i="11"/>
  <c r="AI45" i="29"/>
  <c r="H78" i="35"/>
  <c r="H80" i="35" s="1"/>
  <c r="F80" i="35"/>
  <c r="H64" i="33"/>
  <c r="H65" i="33" s="1"/>
  <c r="J65" i="33" s="1"/>
  <c r="F65" i="33"/>
  <c r="J64" i="33" s="1"/>
  <c r="D6" i="1"/>
  <c r="H6" i="1"/>
  <c r="I6" i="1" s="1"/>
  <c r="V38" i="27"/>
  <c r="T38" i="27"/>
  <c r="AV24" i="53"/>
  <c r="H24" i="19"/>
  <c r="I24" i="19" s="1"/>
  <c r="D24" i="19"/>
  <c r="F24" i="19" s="1"/>
  <c r="G24" i="19" s="1"/>
  <c r="AG63" i="31"/>
  <c r="F42" i="26"/>
  <c r="AG38" i="26"/>
  <c r="AJ26" i="61"/>
  <c r="AA29" i="68" s="1"/>
  <c r="AP26" i="20"/>
  <c r="C9" i="28"/>
  <c r="B26" i="20"/>
  <c r="AV14" i="61"/>
  <c r="AM17" i="68" s="1"/>
  <c r="AP14" i="8"/>
  <c r="B14" i="8"/>
  <c r="C21" i="40"/>
  <c r="G4" i="1"/>
  <c r="H7" i="2"/>
  <c r="I7" i="2" s="1"/>
  <c r="D7" i="2"/>
  <c r="AM23" i="61"/>
  <c r="AD26" i="68" s="1"/>
  <c r="B23" i="17"/>
  <c r="AP23" i="17"/>
  <c r="C12" i="59"/>
  <c r="C12" i="31"/>
  <c r="R72" i="31" s="1"/>
  <c r="AV8" i="3"/>
  <c r="AG60" i="31"/>
  <c r="AP20" i="61"/>
  <c r="AG23" i="68" s="1"/>
  <c r="AP20" i="14"/>
  <c r="C15" i="34"/>
  <c r="B20" i="14"/>
  <c r="H77" i="33"/>
  <c r="T69" i="59"/>
  <c r="V69" i="59"/>
  <c r="T64" i="59"/>
  <c r="V64" i="59"/>
  <c r="AG75" i="34"/>
  <c r="AE45" i="28"/>
  <c r="AI44" i="28" s="1"/>
  <c r="AA9" i="6"/>
  <c r="X8" i="6"/>
  <c r="AI60" i="32"/>
  <c r="AM60" i="32" s="1"/>
  <c r="AS60" i="32" s="1"/>
  <c r="AG88" i="36"/>
  <c r="AU15" i="61"/>
  <c r="AL18" i="68" s="1"/>
  <c r="B15" i="9"/>
  <c r="AP15" i="9"/>
  <c r="C20" i="39"/>
  <c r="X14" i="11"/>
  <c r="AG58" i="30"/>
  <c r="AV18" i="13"/>
  <c r="AT16" i="61"/>
  <c r="AK19" i="68" s="1"/>
  <c r="C19" i="38"/>
  <c r="R103" i="38" s="1"/>
  <c r="AP16" i="10"/>
  <c r="B16" i="10"/>
  <c r="X4" i="2"/>
  <c r="AY11" i="61"/>
  <c r="C24" i="43"/>
  <c r="AP11" i="5"/>
  <c r="B11" i="5"/>
  <c r="H12" i="7"/>
  <c r="I12" i="7" s="1"/>
  <c r="D12" i="7"/>
  <c r="V52" i="29"/>
  <c r="T52" i="29"/>
  <c r="V48" i="29"/>
  <c r="T48" i="29"/>
  <c r="F89" i="37"/>
  <c r="J87" i="37"/>
  <c r="AR39" i="31"/>
  <c r="AT39" i="31" s="1"/>
  <c r="D6" i="31" s="1"/>
  <c r="X13" i="10"/>
  <c r="AG15" i="12"/>
  <c r="AG70" i="33"/>
  <c r="AR35" i="28"/>
  <c r="AT35" i="28" s="1"/>
  <c r="E5" i="28" s="1"/>
  <c r="AR34" i="28"/>
  <c r="AT34" i="28" s="1"/>
  <c r="D5" i="28" s="1"/>
  <c r="AA28" i="24"/>
  <c r="AG28" i="24" s="1"/>
  <c r="Y27" i="24"/>
  <c r="X28" i="24" s="1"/>
  <c r="AF8" i="6"/>
  <c r="AV26" i="21"/>
  <c r="AV9" i="4"/>
  <c r="H69" i="59"/>
  <c r="X5" i="3"/>
  <c r="T74" i="35"/>
  <c r="T75" i="35" s="1"/>
  <c r="X74" i="35" s="1"/>
  <c r="V74" i="35"/>
  <c r="V75" i="35" s="1"/>
  <c r="AV17" i="12"/>
  <c r="T73" i="34"/>
  <c r="V73" i="34"/>
  <c r="AE64" i="31"/>
  <c r="AG64" i="31" s="1"/>
  <c r="AE68" i="31"/>
  <c r="R63" i="31"/>
  <c r="D64" i="31"/>
  <c r="F64" i="31" s="1"/>
  <c r="H64" i="31" s="1"/>
  <c r="R59" i="31"/>
  <c r="AV6" i="1"/>
  <c r="T42" i="27"/>
  <c r="V42" i="27"/>
  <c r="T34" i="27"/>
  <c r="T35" i="27" s="1"/>
  <c r="X34" i="27" s="1"/>
  <c r="AB34" i="27" s="1"/>
  <c r="V34" i="27"/>
  <c r="V35" i="27" s="1"/>
  <c r="X35" i="27" s="1"/>
  <c r="AB35" i="27" s="1"/>
  <c r="H24" i="53"/>
  <c r="I24" i="53" s="1"/>
  <c r="D24" i="53"/>
  <c r="F24" i="53" s="1"/>
  <c r="G24" i="53" s="1"/>
  <c r="AK25" i="61"/>
  <c r="AB28" i="68" s="1"/>
  <c r="B25" i="19"/>
  <c r="C10" i="29"/>
  <c r="D67" i="29" s="1"/>
  <c r="F67" i="29" s="1"/>
  <c r="AP25" i="53"/>
  <c r="AP25" i="19"/>
  <c r="B25" i="53"/>
  <c r="V54" i="31"/>
  <c r="V55" i="31" s="1"/>
  <c r="T54" i="31"/>
  <c r="T55" i="31" s="1"/>
  <c r="X54" i="31" s="1"/>
  <c r="AG34" i="26"/>
  <c r="AG35" i="26" s="1"/>
  <c r="AE35" i="26"/>
  <c r="AI34" i="26" s="1"/>
  <c r="AM34" i="26" s="1"/>
  <c r="AS34" i="26" s="1"/>
  <c r="V37" i="26"/>
  <c r="T37" i="26"/>
  <c r="H25" i="20"/>
  <c r="I25" i="20" s="1"/>
  <c r="D25" i="20"/>
  <c r="F25" i="20" s="1"/>
  <c r="G25" i="20" s="1"/>
  <c r="H13" i="8"/>
  <c r="I13" i="8" s="1"/>
  <c r="D13" i="8"/>
  <c r="F13" i="8" s="1"/>
  <c r="F28" i="24"/>
  <c r="D29" i="24"/>
  <c r="I35" i="24" s="1"/>
  <c r="AV22" i="17"/>
  <c r="AT41" i="59"/>
  <c r="AT42" i="59"/>
  <c r="AV19" i="14"/>
  <c r="H28" i="23"/>
  <c r="I28" i="23" s="1"/>
  <c r="I29" i="23" s="1"/>
  <c r="I39" i="23" s="1"/>
  <c r="D28" i="23"/>
  <c r="S7" i="23"/>
  <c r="H59" i="32"/>
  <c r="H60" i="32" s="1"/>
  <c r="J60" i="32" s="1"/>
  <c r="F60" i="32"/>
  <c r="J59" i="32" s="1"/>
  <c r="F65" i="59"/>
  <c r="J63" i="59"/>
  <c r="AE65" i="59"/>
  <c r="AI65" i="59"/>
  <c r="AI66" i="59" s="1"/>
  <c r="AK66" i="59" s="1"/>
  <c r="AE75" i="34"/>
  <c r="AI74" i="34" s="1"/>
  <c r="T43" i="28"/>
  <c r="V43" i="28"/>
  <c r="AG68" i="32"/>
  <c r="T63" i="32"/>
  <c r="V63" i="32"/>
  <c r="AF15" i="13"/>
  <c r="H74" i="35"/>
  <c r="H75" i="35" s="1"/>
  <c r="J75" i="35" s="1"/>
  <c r="F75" i="35"/>
  <c r="J74" i="35" s="1"/>
  <c r="V57" i="30"/>
  <c r="T57" i="30"/>
  <c r="H18" i="13"/>
  <c r="I18" i="13" s="1"/>
  <c r="D18" i="13"/>
  <c r="F18" i="13" s="1"/>
  <c r="G18" i="13" s="1"/>
  <c r="Y6" i="2"/>
  <c r="H15" i="10"/>
  <c r="I15" i="10" s="1"/>
  <c r="D15" i="10"/>
  <c r="F15" i="10" s="1"/>
  <c r="G15" i="10" s="1"/>
  <c r="AI50" i="30"/>
  <c r="T44" i="29"/>
  <c r="T45" i="29" s="1"/>
  <c r="X44" i="29" s="1"/>
  <c r="V44" i="29"/>
  <c r="V45" i="29" s="1"/>
  <c r="AG53" i="29"/>
  <c r="F94" i="37"/>
  <c r="H94" i="37" s="1"/>
  <c r="J92" i="37"/>
  <c r="T88" i="37"/>
  <c r="V88" i="37"/>
  <c r="H57" i="30"/>
  <c r="AG12" i="9"/>
  <c r="L255" i="66" l="1"/>
  <c r="AH22" i="68"/>
  <c r="DA103" i="61"/>
  <c r="AS11" i="68"/>
  <c r="CZ104" i="61"/>
  <c r="AR12" i="68"/>
  <c r="EX135" i="61"/>
  <c r="GI135" i="61" s="1"/>
  <c r="O14" i="64" s="1"/>
  <c r="AO15" i="68"/>
  <c r="DB102" i="61"/>
  <c r="AT10" i="68"/>
  <c r="CY105" i="61"/>
  <c r="AQ13" i="68"/>
  <c r="CX106" i="61"/>
  <c r="AP14" i="68"/>
  <c r="L60" i="43"/>
  <c r="N60" i="43" s="1"/>
  <c r="AQ60" i="43" s="1"/>
  <c r="AT60" i="43" s="1"/>
  <c r="E10" i="43" s="1"/>
  <c r="Z65" i="43" s="1"/>
  <c r="AB65" i="43" s="1"/>
  <c r="Z55" i="43"/>
  <c r="AB55" i="43" s="1"/>
  <c r="AR54" i="43" s="1"/>
  <c r="AT54" i="43" s="1"/>
  <c r="D9" i="43" s="1"/>
  <c r="Z64" i="43"/>
  <c r="AB64" i="43" s="1"/>
  <c r="AK64" i="43"/>
  <c r="AM64" i="43" s="1"/>
  <c r="AS64" i="43" s="1"/>
  <c r="L74" i="43"/>
  <c r="N74" i="43" s="1"/>
  <c r="AQ74" i="43" s="1"/>
  <c r="AR55" i="43"/>
  <c r="AT55" i="43" s="1"/>
  <c r="E9" i="43" s="1"/>
  <c r="DG101" i="61"/>
  <c r="DF101" i="61"/>
  <c r="AL5" i="30"/>
  <c r="AL6" i="30" s="1"/>
  <c r="AN6" i="30" s="1"/>
  <c r="AJ6" i="30"/>
  <c r="AN5" i="30" s="1"/>
  <c r="AN16" i="30"/>
  <c r="Z23" i="30"/>
  <c r="CB100" i="61"/>
  <c r="BP100" i="61"/>
  <c r="DV100" i="61" s="1"/>
  <c r="BH100" i="61"/>
  <c r="DN100" i="61" s="1"/>
  <c r="CA100" i="61"/>
  <c r="BW100" i="61"/>
  <c r="BS100" i="61"/>
  <c r="BO100" i="61"/>
  <c r="DU100" i="61" s="1"/>
  <c r="BK100" i="61"/>
  <c r="BG100" i="61"/>
  <c r="BZ100" i="61"/>
  <c r="BR100" i="61"/>
  <c r="DX100" i="61" s="1"/>
  <c r="BJ100" i="61"/>
  <c r="BV100" i="61"/>
  <c r="BN100" i="61"/>
  <c r="DT100" i="61" s="1"/>
  <c r="BF100" i="61"/>
  <c r="DL100" i="61" s="1"/>
  <c r="CC100" i="61"/>
  <c r="BY100" i="61"/>
  <c r="BU100" i="61"/>
  <c r="EA100" i="61" s="1"/>
  <c r="BQ100" i="61"/>
  <c r="DW100" i="61" s="1"/>
  <c r="BM100" i="61"/>
  <c r="BI100" i="61"/>
  <c r="BX100" i="61"/>
  <c r="ED100" i="61" s="1"/>
  <c r="BT100" i="61"/>
  <c r="DZ100" i="61" s="1"/>
  <c r="BL100" i="61"/>
  <c r="AL10" i="30"/>
  <c r="AL11" i="30" s="1"/>
  <c r="AJ10" i="30"/>
  <c r="AJ11" i="30" s="1"/>
  <c r="AN10" i="30" s="1"/>
  <c r="V84" i="36"/>
  <c r="AJ16" i="28"/>
  <c r="AN15" i="28" s="1"/>
  <c r="Z28" i="28"/>
  <c r="AJ6" i="28"/>
  <c r="AN3" i="28"/>
  <c r="T93" i="37"/>
  <c r="AN6" i="29"/>
  <c r="Z5" i="28"/>
  <c r="AN5" i="29"/>
  <c r="AN16" i="28"/>
  <c r="AL6" i="28"/>
  <c r="V22" i="28"/>
  <c r="V23" i="28" s="1"/>
  <c r="Z22" i="28" s="1"/>
  <c r="X22" i="28"/>
  <c r="X23" i="28" s="1"/>
  <c r="J22" i="26"/>
  <c r="J23" i="26" s="1"/>
  <c r="N22" i="26" s="1"/>
  <c r="AN16" i="29"/>
  <c r="AJ9" i="28"/>
  <c r="AL9" i="28"/>
  <c r="V8" i="26"/>
  <c r="X8" i="26" s="1"/>
  <c r="Z23" i="29"/>
  <c r="Z15" i="28"/>
  <c r="Z16" i="28"/>
  <c r="R49" i="28"/>
  <c r="AH10" i="28"/>
  <c r="AJ10" i="29"/>
  <c r="AJ11" i="29" s="1"/>
  <c r="AN10" i="29" s="1"/>
  <c r="AL10" i="29"/>
  <c r="AL11" i="29" s="1"/>
  <c r="J40" i="27"/>
  <c r="N40" i="27" s="1"/>
  <c r="AQ40" i="27" s="1"/>
  <c r="T103" i="39"/>
  <c r="AE120" i="42"/>
  <c r="AI119" i="42" s="1"/>
  <c r="AI120" i="42" s="1"/>
  <c r="J112" i="41"/>
  <c r="J115" i="42"/>
  <c r="J114" i="42"/>
  <c r="V13" i="26"/>
  <c r="T14" i="26"/>
  <c r="V14" i="26" s="1"/>
  <c r="X14" i="26" s="1"/>
  <c r="N15" i="26"/>
  <c r="N17" i="26" s="1"/>
  <c r="P14" i="26"/>
  <c r="L15" i="26"/>
  <c r="L17" i="26" s="1"/>
  <c r="D290" i="66"/>
  <c r="B290" i="66" s="1"/>
  <c r="L319" i="66"/>
  <c r="V2" i="26"/>
  <c r="X2" i="26"/>
  <c r="T50" i="29"/>
  <c r="X49" i="29" s="1"/>
  <c r="D338" i="65"/>
  <c r="A338" i="65" s="1"/>
  <c r="B328" i="66"/>
  <c r="GI134" i="61"/>
  <c r="O13" i="64" s="1"/>
  <c r="J102" i="39"/>
  <c r="AG105" i="39"/>
  <c r="D254" i="65"/>
  <c r="A254" i="65" s="1"/>
  <c r="AT80" i="42"/>
  <c r="D77" i="31"/>
  <c r="F77" i="31" s="1"/>
  <c r="I254" i="66"/>
  <c r="I366" i="66"/>
  <c r="AI125" i="44"/>
  <c r="EJ127" i="61"/>
  <c r="FV127" i="61"/>
  <c r="DT127" i="61"/>
  <c r="FF127" i="61"/>
  <c r="DS127" i="61"/>
  <c r="FE127" i="61"/>
  <c r="ED127" i="61"/>
  <c r="FP127" i="61"/>
  <c r="EO127" i="61"/>
  <c r="GA127" i="61"/>
  <c r="DY127" i="61"/>
  <c r="FK127" i="61"/>
  <c r="EM127" i="61"/>
  <c r="FY127" i="61"/>
  <c r="EF127" i="61"/>
  <c r="FR127" i="61"/>
  <c r="EE127" i="61"/>
  <c r="FQ127" i="61"/>
  <c r="GB127" i="61"/>
  <c r="DZ127" i="61"/>
  <c r="FL127" i="61"/>
  <c r="EK127" i="61"/>
  <c r="FW127" i="61"/>
  <c r="DU127" i="61"/>
  <c r="FG127" i="61"/>
  <c r="EI127" i="61"/>
  <c r="FU127" i="61"/>
  <c r="EB127" i="61"/>
  <c r="FN127" i="61"/>
  <c r="EA127" i="61"/>
  <c r="FM127" i="61"/>
  <c r="EL127" i="61"/>
  <c r="FX127" i="61"/>
  <c r="DV127" i="61"/>
  <c r="FH127" i="61"/>
  <c r="EG127" i="61"/>
  <c r="FS127" i="61"/>
  <c r="EN127" i="61"/>
  <c r="FZ127" i="61"/>
  <c r="DX127" i="61"/>
  <c r="FJ127" i="61"/>
  <c r="DW127" i="61"/>
  <c r="FI127" i="61"/>
  <c r="EH127" i="61"/>
  <c r="FT127" i="61"/>
  <c r="EC127" i="61"/>
  <c r="FO127" i="61"/>
  <c r="EU127" i="61"/>
  <c r="EV127" i="61" s="1"/>
  <c r="DK99" i="61"/>
  <c r="DM100" i="61"/>
  <c r="DQ100" i="61"/>
  <c r="DR100" i="61"/>
  <c r="EH100" i="61"/>
  <c r="DP100" i="61"/>
  <c r="EB100" i="61"/>
  <c r="EF100" i="61"/>
  <c r="DS100" i="61"/>
  <c r="EE100" i="61"/>
  <c r="DY100" i="61"/>
  <c r="DO100" i="61"/>
  <c r="EI100" i="61"/>
  <c r="EP128" i="61" s="1"/>
  <c r="EC100" i="61"/>
  <c r="EG100" i="61"/>
  <c r="DD102" i="61"/>
  <c r="AI60" i="31"/>
  <c r="AM60" i="31" s="1"/>
  <c r="AS60" i="31" s="1"/>
  <c r="AE115" i="41"/>
  <c r="AI114" i="41" s="1"/>
  <c r="AI115" i="41" s="1"/>
  <c r="J366" i="66"/>
  <c r="B366" i="65" s="1"/>
  <c r="X115" i="43"/>
  <c r="D228" i="66"/>
  <c r="L247" i="66"/>
  <c r="I222" i="66"/>
  <c r="J222" i="66"/>
  <c r="B222" i="65" s="1"/>
  <c r="D222" i="65"/>
  <c r="A222" i="65" s="1"/>
  <c r="A282" i="66"/>
  <c r="B282" i="66"/>
  <c r="B216" i="66"/>
  <c r="A216" i="66"/>
  <c r="L235" i="66"/>
  <c r="D217" i="66"/>
  <c r="D329" i="66"/>
  <c r="B329" i="66" s="1"/>
  <c r="D283" i="66"/>
  <c r="L307" i="66"/>
  <c r="D250" i="66"/>
  <c r="B250" i="66" s="1"/>
  <c r="B205" i="66"/>
  <c r="A205" i="66"/>
  <c r="A271" i="66"/>
  <c r="B271" i="66"/>
  <c r="D234" i="65"/>
  <c r="A234" i="65" s="1"/>
  <c r="I234" i="66"/>
  <c r="J234" i="66"/>
  <c r="B234" i="65" s="1"/>
  <c r="L339" i="66"/>
  <c r="J339" i="66" s="1"/>
  <c r="B339" i="65" s="1"/>
  <c r="D272" i="66"/>
  <c r="L259" i="66"/>
  <c r="J246" i="66"/>
  <c r="B246" i="65" s="1"/>
  <c r="D246" i="65"/>
  <c r="A246" i="65" s="1"/>
  <c r="I246" i="66"/>
  <c r="J318" i="66"/>
  <c r="B318" i="65" s="1"/>
  <c r="I318" i="66"/>
  <c r="D318" i="65"/>
  <c r="I319" i="66"/>
  <c r="D319" i="65"/>
  <c r="J319" i="66"/>
  <c r="B319" i="65" s="1"/>
  <c r="I258" i="66"/>
  <c r="D258" i="65"/>
  <c r="A258" i="65" s="1"/>
  <c r="J258" i="66"/>
  <c r="B258" i="65" s="1"/>
  <c r="D306" i="65"/>
  <c r="I306" i="66"/>
  <c r="J306" i="66"/>
  <c r="B306" i="65" s="1"/>
  <c r="A227" i="66"/>
  <c r="B227" i="66"/>
  <c r="AG130" i="44"/>
  <c r="AI110" i="41"/>
  <c r="AI140" i="45"/>
  <c r="AI135" i="45"/>
  <c r="A224" i="66"/>
  <c r="B224" i="66"/>
  <c r="J255" i="66"/>
  <c r="B255" i="65" s="1"/>
  <c r="I255" i="66"/>
  <c r="D255" i="65"/>
  <c r="A255" i="65" s="1"/>
  <c r="D303" i="66"/>
  <c r="D225" i="66"/>
  <c r="L241" i="66"/>
  <c r="D342" i="66"/>
  <c r="L367" i="66"/>
  <c r="AE130" i="44"/>
  <c r="AI129" i="44" s="1"/>
  <c r="D238" i="66"/>
  <c r="X90" i="39"/>
  <c r="J226" i="66"/>
  <c r="B226" i="65" s="1"/>
  <c r="D226" i="65"/>
  <c r="A226" i="65" s="1"/>
  <c r="I226" i="66"/>
  <c r="D268" i="65"/>
  <c r="A268" i="65" s="1"/>
  <c r="I268" i="66"/>
  <c r="J268" i="66"/>
  <c r="B268" i="65" s="1"/>
  <c r="B302" i="66"/>
  <c r="A302" i="66"/>
  <c r="L283" i="66"/>
  <c r="B211" i="66"/>
  <c r="A211" i="66"/>
  <c r="A250" i="66"/>
  <c r="A290" i="66"/>
  <c r="L269" i="66"/>
  <c r="AE105" i="39"/>
  <c r="AI104" i="39" s="1"/>
  <c r="X105" i="41"/>
  <c r="D240" i="65"/>
  <c r="A240" i="65" s="1"/>
  <c r="I240" i="66"/>
  <c r="J240" i="66"/>
  <c r="B240" i="65" s="1"/>
  <c r="D282" i="65"/>
  <c r="A282" i="65" s="1"/>
  <c r="I282" i="66"/>
  <c r="J282" i="66"/>
  <c r="B282" i="65" s="1"/>
  <c r="CS111" i="61"/>
  <c r="L291" i="66"/>
  <c r="R104" i="39"/>
  <c r="D113" i="39"/>
  <c r="R112" i="39"/>
  <c r="D117" i="39"/>
  <c r="D109" i="39"/>
  <c r="AE113" i="39"/>
  <c r="AE109" i="39"/>
  <c r="R108" i="39"/>
  <c r="D410" i="66"/>
  <c r="L431" i="66"/>
  <c r="D118" i="40"/>
  <c r="F118" i="40" s="1"/>
  <c r="H118" i="40" s="1"/>
  <c r="R109" i="40"/>
  <c r="D114" i="40"/>
  <c r="F114" i="40" s="1"/>
  <c r="H114" i="40" s="1"/>
  <c r="AE114" i="40"/>
  <c r="AG114" i="40" s="1"/>
  <c r="AE118" i="40"/>
  <c r="R113" i="40"/>
  <c r="D372" i="66"/>
  <c r="L391" i="66"/>
  <c r="R89" i="37"/>
  <c r="D103" i="37"/>
  <c r="F103" i="37" s="1"/>
  <c r="R102" i="37"/>
  <c r="D107" i="37"/>
  <c r="F107" i="37" s="1"/>
  <c r="CV108" i="61"/>
  <c r="D220" i="66"/>
  <c r="L231" i="66"/>
  <c r="H99" i="39"/>
  <c r="H100" i="39" s="1"/>
  <c r="F100" i="39"/>
  <c r="J99" i="39" s="1"/>
  <c r="L85" i="42"/>
  <c r="N85" i="42" s="1"/>
  <c r="AQ85" i="42" s="1"/>
  <c r="AG133" i="44"/>
  <c r="AG135" i="44" s="1"/>
  <c r="AE135" i="44"/>
  <c r="AI134" i="44" s="1"/>
  <c r="F144" i="44"/>
  <c r="H144" i="44" s="1"/>
  <c r="J142" i="44"/>
  <c r="V138" i="44"/>
  <c r="T138" i="44"/>
  <c r="F129" i="44"/>
  <c r="H129" i="44" s="1"/>
  <c r="J127" i="44"/>
  <c r="AG138" i="44"/>
  <c r="AG140" i="44" s="1"/>
  <c r="AE140" i="44"/>
  <c r="AI139" i="44" s="1"/>
  <c r="V108" i="40"/>
  <c r="T108" i="40"/>
  <c r="F117" i="40"/>
  <c r="V87" i="35"/>
  <c r="T87" i="35"/>
  <c r="T89" i="38"/>
  <c r="T90" i="38" s="1"/>
  <c r="X89" i="38" s="1"/>
  <c r="V89" i="38"/>
  <c r="V90" i="38" s="1"/>
  <c r="V123" i="43"/>
  <c r="T123" i="43"/>
  <c r="AI150" i="45"/>
  <c r="AI130" i="45"/>
  <c r="AI145" i="45"/>
  <c r="X100" i="40"/>
  <c r="T97" i="36"/>
  <c r="V97" i="36"/>
  <c r="B447" i="66"/>
  <c r="A447" i="66"/>
  <c r="D490" i="65"/>
  <c r="A490" i="65" s="1"/>
  <c r="I490" i="66"/>
  <c r="J490" i="66"/>
  <c r="B490" i="65" s="1"/>
  <c r="H117" i="41"/>
  <c r="F105" i="39"/>
  <c r="V118" i="42"/>
  <c r="T118" i="42"/>
  <c r="D450" i="65"/>
  <c r="A450" i="65" s="1"/>
  <c r="I450" i="66"/>
  <c r="J450" i="66"/>
  <c r="B450" i="65" s="1"/>
  <c r="D190" i="65"/>
  <c r="A190" i="65" s="1"/>
  <c r="J190" i="66"/>
  <c r="B190" i="65" s="1"/>
  <c r="I190" i="66"/>
  <c r="AR74" i="42"/>
  <c r="AT74" i="42" s="1"/>
  <c r="D13" i="42" s="1"/>
  <c r="Z79" i="42" s="1"/>
  <c r="AB79" i="42" s="1"/>
  <c r="D448" i="66"/>
  <c r="L471" i="66"/>
  <c r="D353" i="66"/>
  <c r="D467" i="66"/>
  <c r="L491" i="66"/>
  <c r="R84" i="35"/>
  <c r="T84" i="35" s="1"/>
  <c r="D98" i="35"/>
  <c r="F98" i="35" s="1"/>
  <c r="H98" i="35" s="1"/>
  <c r="R97" i="35"/>
  <c r="D102" i="35"/>
  <c r="F102" i="35" s="1"/>
  <c r="R114" i="41"/>
  <c r="D119" i="41"/>
  <c r="AE119" i="41"/>
  <c r="AG119" i="41" s="1"/>
  <c r="R118" i="41"/>
  <c r="AE123" i="41"/>
  <c r="Z80" i="42"/>
  <c r="AB80" i="42" s="1"/>
  <c r="F139" i="44"/>
  <c r="H139" i="44" s="1"/>
  <c r="J137" i="44"/>
  <c r="F149" i="44"/>
  <c r="H149" i="44" s="1"/>
  <c r="J147" i="44"/>
  <c r="AE145" i="44"/>
  <c r="AI144" i="44" s="1"/>
  <c r="AG143" i="44"/>
  <c r="AG145" i="44" s="1"/>
  <c r="AG148" i="44"/>
  <c r="AG150" i="44" s="1"/>
  <c r="AE150" i="44"/>
  <c r="AI149" i="44" s="1"/>
  <c r="AG113" i="40"/>
  <c r="T104" i="40"/>
  <c r="T105" i="40" s="1"/>
  <c r="X104" i="40" s="1"/>
  <c r="V104" i="40"/>
  <c r="V105" i="40" s="1"/>
  <c r="H107" i="38"/>
  <c r="F124" i="43"/>
  <c r="H124" i="43" s="1"/>
  <c r="J122" i="43"/>
  <c r="H113" i="41"/>
  <c r="H115" i="41" s="1"/>
  <c r="J115" i="41" s="1"/>
  <c r="F115" i="41"/>
  <c r="J114" i="41" s="1"/>
  <c r="J124" i="44"/>
  <c r="N124" i="44" s="1"/>
  <c r="AQ124" i="44" s="1"/>
  <c r="J125" i="44"/>
  <c r="N125" i="44" s="1"/>
  <c r="AQ125" i="44" s="1"/>
  <c r="J140" i="45"/>
  <c r="N140" i="45" s="1"/>
  <c r="AQ140" i="45" s="1"/>
  <c r="J139" i="45"/>
  <c r="N139" i="45" s="1"/>
  <c r="AQ139" i="45" s="1"/>
  <c r="B314" i="66"/>
  <c r="A314" i="66"/>
  <c r="D230" i="65"/>
  <c r="A230" i="65" s="1"/>
  <c r="I230" i="66"/>
  <c r="J230" i="66"/>
  <c r="B230" i="65" s="1"/>
  <c r="AG125" i="43"/>
  <c r="D210" i="65"/>
  <c r="A210" i="65" s="1"/>
  <c r="I210" i="66"/>
  <c r="J210" i="66"/>
  <c r="B210" i="65" s="1"/>
  <c r="B257" i="66"/>
  <c r="A257" i="66"/>
  <c r="D410" i="65"/>
  <c r="A410" i="65" s="1"/>
  <c r="I410" i="66"/>
  <c r="J410" i="66"/>
  <c r="B410" i="65" s="1"/>
  <c r="D290" i="65"/>
  <c r="I290" i="66"/>
  <c r="J290" i="66"/>
  <c r="B290" i="65" s="1"/>
  <c r="B466" i="66"/>
  <c r="A466" i="66"/>
  <c r="A352" i="66"/>
  <c r="B352" i="66"/>
  <c r="J134" i="45"/>
  <c r="N134" i="45" s="1"/>
  <c r="AQ134" i="45" s="1"/>
  <c r="J135" i="45"/>
  <c r="N135" i="45" s="1"/>
  <c r="AQ135" i="45" s="1"/>
  <c r="H105" i="39"/>
  <c r="AG123" i="42"/>
  <c r="V114" i="42"/>
  <c r="V115" i="42" s="1"/>
  <c r="T114" i="42"/>
  <c r="T115" i="42" s="1"/>
  <c r="X114" i="42" s="1"/>
  <c r="V99" i="39"/>
  <c r="T99" i="39"/>
  <c r="AG118" i="41"/>
  <c r="B428" i="66"/>
  <c r="A428" i="66"/>
  <c r="B181" i="66"/>
  <c r="A181" i="66"/>
  <c r="R138" i="43"/>
  <c r="AE138" i="43"/>
  <c r="AE134" i="43"/>
  <c r="AG134" i="43" s="1"/>
  <c r="R143" i="43"/>
  <c r="AE143" i="43"/>
  <c r="R128" i="43"/>
  <c r="AE149" i="43"/>
  <c r="AG149" i="43" s="1"/>
  <c r="R133" i="43"/>
  <c r="D144" i="43"/>
  <c r="D149" i="43"/>
  <c r="R148" i="43"/>
  <c r="AE139" i="43"/>
  <c r="AG139" i="43" s="1"/>
  <c r="AE129" i="43"/>
  <c r="AG129" i="43" s="1"/>
  <c r="AE144" i="43"/>
  <c r="AG144" i="43" s="1"/>
  <c r="D129" i="43"/>
  <c r="D134" i="43"/>
  <c r="AE148" i="43"/>
  <c r="D139" i="43"/>
  <c r="AE133" i="43"/>
  <c r="L351" i="66"/>
  <c r="R123" i="42"/>
  <c r="AE128" i="42"/>
  <c r="AE124" i="42"/>
  <c r="AG124" i="42" s="1"/>
  <c r="D124" i="42"/>
  <c r="D391" i="66"/>
  <c r="L411" i="66"/>
  <c r="T100" i="39"/>
  <c r="X99" i="39" s="1"/>
  <c r="T148" i="44"/>
  <c r="V148" i="44"/>
  <c r="V133" i="44"/>
  <c r="T133" i="44"/>
  <c r="V143" i="44"/>
  <c r="T143" i="44"/>
  <c r="J107" i="40"/>
  <c r="F109" i="40"/>
  <c r="F113" i="40"/>
  <c r="V102" i="38"/>
  <c r="T102" i="38"/>
  <c r="X110" i="42"/>
  <c r="D250" i="65"/>
  <c r="A250" i="65" s="1"/>
  <c r="I250" i="66"/>
  <c r="J250" i="66"/>
  <c r="B250" i="65" s="1"/>
  <c r="B219" i="66"/>
  <c r="A219" i="66"/>
  <c r="AE125" i="43"/>
  <c r="AI124" i="43" s="1"/>
  <c r="J145" i="45"/>
  <c r="N145" i="45" s="1"/>
  <c r="AQ145" i="45" s="1"/>
  <c r="J144" i="45"/>
  <c r="N144" i="45" s="1"/>
  <c r="AQ144" i="45" s="1"/>
  <c r="B200" i="66"/>
  <c r="A200" i="66"/>
  <c r="B390" i="66"/>
  <c r="A390" i="66"/>
  <c r="D390" i="65"/>
  <c r="A390" i="65" s="1"/>
  <c r="J390" i="66"/>
  <c r="B390" i="65" s="1"/>
  <c r="I390" i="66"/>
  <c r="D510" i="65"/>
  <c r="A510" i="65" s="1"/>
  <c r="J510" i="66"/>
  <c r="B510" i="65" s="1"/>
  <c r="I510" i="66"/>
  <c r="H112" i="39"/>
  <c r="D430" i="65"/>
  <c r="A430" i="65" s="1"/>
  <c r="J430" i="66"/>
  <c r="B430" i="65" s="1"/>
  <c r="I430" i="66"/>
  <c r="R99" i="38"/>
  <c r="D108" i="38"/>
  <c r="F108" i="38" s="1"/>
  <c r="H108" i="38" s="1"/>
  <c r="R107" i="38"/>
  <c r="D112" i="38"/>
  <c r="F112" i="38" s="1"/>
  <c r="CT110" i="61"/>
  <c r="D258" i="66"/>
  <c r="R87" i="34"/>
  <c r="D97" i="34"/>
  <c r="F97" i="34" s="1"/>
  <c r="CU109" i="61"/>
  <c r="L251" i="66"/>
  <c r="D429" i="66"/>
  <c r="L451" i="66"/>
  <c r="D315" i="66"/>
  <c r="D486" i="66"/>
  <c r="L511" i="66"/>
  <c r="CW107" i="61"/>
  <c r="D201" i="66"/>
  <c r="L211" i="66"/>
  <c r="V100" i="39"/>
  <c r="AE104" i="38"/>
  <c r="AG104" i="38" s="1"/>
  <c r="AE108" i="38"/>
  <c r="AG108" i="38" s="1"/>
  <c r="D104" i="38"/>
  <c r="F104" i="38" s="1"/>
  <c r="H104" i="38" s="1"/>
  <c r="F134" i="44"/>
  <c r="H134" i="44" s="1"/>
  <c r="J132" i="44"/>
  <c r="V128" i="44"/>
  <c r="T128" i="44"/>
  <c r="AG109" i="40"/>
  <c r="AG110" i="40" s="1"/>
  <c r="AE110" i="40"/>
  <c r="AI109" i="40" s="1"/>
  <c r="V112" i="40"/>
  <c r="T112" i="40"/>
  <c r="H97" i="35"/>
  <c r="H103" i="38"/>
  <c r="AG128" i="43"/>
  <c r="AG130" i="43" s="1"/>
  <c r="B238" i="66"/>
  <c r="A238" i="66"/>
  <c r="H109" i="41"/>
  <c r="H110" i="41" s="1"/>
  <c r="J110" i="41" s="1"/>
  <c r="F110" i="41"/>
  <c r="J109" i="41" s="1"/>
  <c r="H102" i="36"/>
  <c r="D350" i="65"/>
  <c r="J350" i="66"/>
  <c r="B350" i="65" s="1"/>
  <c r="I350" i="66"/>
  <c r="D470" i="65"/>
  <c r="A470" i="65" s="1"/>
  <c r="J470" i="66"/>
  <c r="B470" i="65" s="1"/>
  <c r="I470" i="66"/>
  <c r="B371" i="66"/>
  <c r="A371" i="66"/>
  <c r="B485" i="66"/>
  <c r="A485" i="66"/>
  <c r="H119" i="43"/>
  <c r="H120" i="43" s="1"/>
  <c r="J120" i="43" s="1"/>
  <c r="F120" i="43"/>
  <c r="J119" i="43" s="1"/>
  <c r="J130" i="45"/>
  <c r="N130" i="45" s="1"/>
  <c r="AQ130" i="45" s="1"/>
  <c r="J129" i="45"/>
  <c r="N129" i="45" s="1"/>
  <c r="AQ129" i="45" s="1"/>
  <c r="J150" i="45"/>
  <c r="N150" i="45" s="1"/>
  <c r="AQ150" i="45" s="1"/>
  <c r="J149" i="45"/>
  <c r="N149" i="45" s="1"/>
  <c r="AQ149" i="45" s="1"/>
  <c r="F119" i="42"/>
  <c r="J117" i="42"/>
  <c r="V107" i="39"/>
  <c r="T107" i="39"/>
  <c r="T113" i="41"/>
  <c r="V113" i="41"/>
  <c r="V109" i="41"/>
  <c r="V110" i="41" s="1"/>
  <c r="T109" i="41"/>
  <c r="T110" i="41" s="1"/>
  <c r="X109" i="41" s="1"/>
  <c r="B409" i="66"/>
  <c r="A409" i="66"/>
  <c r="AG60" i="30"/>
  <c r="V85" i="36"/>
  <c r="CR112" i="61"/>
  <c r="AI40" i="27"/>
  <c r="T23" i="59"/>
  <c r="CL118" i="61"/>
  <c r="CP114" i="61"/>
  <c r="AA4" i="59"/>
  <c r="AC4" i="59"/>
  <c r="AC28" i="59"/>
  <c r="AA12" i="59"/>
  <c r="AE11" i="59" s="1"/>
  <c r="A302" i="65"/>
  <c r="CO115" i="61"/>
  <c r="D87" i="59"/>
  <c r="AP15" i="59"/>
  <c r="AA29" i="59"/>
  <c r="AC29" i="59" s="1"/>
  <c r="Y16" i="59"/>
  <c r="Y22" i="59"/>
  <c r="Y5" i="59"/>
  <c r="CI121" i="61"/>
  <c r="CN116" i="61"/>
  <c r="CK119" i="61"/>
  <c r="CQ113" i="61"/>
  <c r="CH122" i="61"/>
  <c r="CM117" i="61"/>
  <c r="AC14" i="59"/>
  <c r="A276" i="65"/>
  <c r="T15" i="59"/>
  <c r="AC12" i="59"/>
  <c r="CJ120" i="61"/>
  <c r="A224" i="65"/>
  <c r="A289" i="65"/>
  <c r="A237" i="65"/>
  <c r="AC21" i="59"/>
  <c r="AA21" i="59"/>
  <c r="A263" i="65"/>
  <c r="AG55" i="29"/>
  <c r="J39" i="27"/>
  <c r="N39" i="27" s="1"/>
  <c r="AQ39" i="27" s="1"/>
  <c r="AI80" i="35"/>
  <c r="H60" i="30"/>
  <c r="F60" i="30"/>
  <c r="J57" i="30"/>
  <c r="AE60" i="30"/>
  <c r="AI59" i="30" s="1"/>
  <c r="N45" i="29"/>
  <c r="AQ45" i="29" s="1"/>
  <c r="Z65" i="35"/>
  <c r="AB65" i="35" s="1"/>
  <c r="N44" i="29"/>
  <c r="AQ44" i="29" s="1"/>
  <c r="AK65" i="35"/>
  <c r="AM65" i="35" s="1"/>
  <c r="AS65" i="35" s="1"/>
  <c r="AG90" i="36"/>
  <c r="AA26" i="25"/>
  <c r="AG26" i="25" s="1"/>
  <c r="Y25" i="25"/>
  <c r="J65" i="32"/>
  <c r="J59" i="31"/>
  <c r="AA8" i="4"/>
  <c r="AG8" i="4" s="1"/>
  <c r="AR55" i="33"/>
  <c r="AT55" i="33" s="1"/>
  <c r="E9" i="33" s="1"/>
  <c r="Z60" i="33" s="1"/>
  <c r="AB60" i="33" s="1"/>
  <c r="AR59" i="33" s="1"/>
  <c r="AT59" i="33" s="1"/>
  <c r="D10" i="33" s="1"/>
  <c r="L69" i="33" s="1"/>
  <c r="L80" i="39"/>
  <c r="N80" i="39" s="1"/>
  <c r="AQ80" i="39" s="1"/>
  <c r="Z75" i="39"/>
  <c r="AB75" i="39" s="1"/>
  <c r="AR75" i="41"/>
  <c r="AT75" i="41" s="1"/>
  <c r="E13" i="41" s="1"/>
  <c r="AR74" i="41"/>
  <c r="AT74" i="41" s="1"/>
  <c r="D13" i="41" s="1"/>
  <c r="AI85" i="36"/>
  <c r="AI50" i="29"/>
  <c r="J42" i="27"/>
  <c r="AG95" i="37"/>
  <c r="V50" i="29"/>
  <c r="X50" i="29" s="1"/>
  <c r="X8" i="5"/>
  <c r="AE95" i="37"/>
  <c r="AI94" i="37" s="1"/>
  <c r="N55" i="31"/>
  <c r="AQ55" i="31" s="1"/>
  <c r="J60" i="31"/>
  <c r="Y8" i="3"/>
  <c r="AA8" i="3" s="1"/>
  <c r="AG8" i="3" s="1"/>
  <c r="AI55" i="30"/>
  <c r="AR70" i="38"/>
  <c r="AT70" i="38" s="1"/>
  <c r="E12" i="38" s="1"/>
  <c r="AK75" i="38" s="1"/>
  <c r="AM75" i="38" s="1"/>
  <c r="AS75" i="38" s="1"/>
  <c r="T85" i="36"/>
  <c r="X84" i="36" s="1"/>
  <c r="AK59" i="33"/>
  <c r="AM59" i="33" s="1"/>
  <c r="AS59" i="33" s="1"/>
  <c r="D73" i="31"/>
  <c r="F73" i="31" s="1"/>
  <c r="H73" i="31" s="1"/>
  <c r="AE55" i="29"/>
  <c r="AI54" i="29" s="1"/>
  <c r="T39" i="28"/>
  <c r="T40" i="28" s="1"/>
  <c r="X39" i="28" s="1"/>
  <c r="X40" i="28" s="1"/>
  <c r="N59" i="32"/>
  <c r="AQ59" i="32" s="1"/>
  <c r="Y9" i="4"/>
  <c r="AA9" i="4" s="1"/>
  <c r="X9" i="6"/>
  <c r="Y11" i="6"/>
  <c r="X10" i="6" s="1"/>
  <c r="AI65" i="32"/>
  <c r="AI100" i="39"/>
  <c r="D82" i="59"/>
  <c r="F82" i="59" s="1"/>
  <c r="H82" i="59" s="1"/>
  <c r="R81" i="59"/>
  <c r="T81" i="59" s="1"/>
  <c r="X70" i="34"/>
  <c r="X80" i="36"/>
  <c r="V49" i="28"/>
  <c r="T49" i="28"/>
  <c r="D83" i="33"/>
  <c r="F83" i="33" s="1"/>
  <c r="H83" i="33" s="1"/>
  <c r="D87" i="33"/>
  <c r="F87" i="33" s="1"/>
  <c r="R82" i="33"/>
  <c r="H69" i="33"/>
  <c r="H70" i="33" s="1"/>
  <c r="J70" i="33" s="1"/>
  <c r="F70" i="33"/>
  <c r="J69" i="33" s="1"/>
  <c r="L80" i="38"/>
  <c r="N80" i="38" s="1"/>
  <c r="AQ80" i="38" s="1"/>
  <c r="V47" i="26"/>
  <c r="T47" i="26"/>
  <c r="V103" i="38"/>
  <c r="T103" i="38"/>
  <c r="V98" i="38"/>
  <c r="T98" i="38"/>
  <c r="H82" i="33"/>
  <c r="J100" i="39"/>
  <c r="H68" i="31"/>
  <c r="H67" i="29"/>
  <c r="R67" i="30"/>
  <c r="D68" i="30"/>
  <c r="F68" i="30" s="1"/>
  <c r="AE98" i="36"/>
  <c r="AG98" i="36" s="1"/>
  <c r="H54" i="30"/>
  <c r="H55" i="30" s="1"/>
  <c r="F55" i="30"/>
  <c r="J54" i="30" s="1"/>
  <c r="D72" i="30"/>
  <c r="F72" i="30" s="1"/>
  <c r="R77" i="32"/>
  <c r="D82" i="32"/>
  <c r="F82" i="32" s="1"/>
  <c r="Z75" i="38"/>
  <c r="AB75" i="38" s="1"/>
  <c r="AG99" i="38"/>
  <c r="AG100" i="38" s="1"/>
  <c r="AE100" i="38"/>
  <c r="AI99" i="38" s="1"/>
  <c r="H87" i="34"/>
  <c r="V69" i="33"/>
  <c r="V70" i="33" s="1"/>
  <c r="T69" i="33"/>
  <c r="T70" i="33" s="1"/>
  <c r="X69" i="33" s="1"/>
  <c r="H89" i="37"/>
  <c r="H90" i="37" s="1"/>
  <c r="J90" i="37" s="1"/>
  <c r="F90" i="37"/>
  <c r="J89" i="37" s="1"/>
  <c r="D94" i="36"/>
  <c r="J92" i="36" s="1"/>
  <c r="R93" i="36"/>
  <c r="T93" i="36" s="1"/>
  <c r="Z70" i="37"/>
  <c r="AB70" i="37" s="1"/>
  <c r="L75" i="37"/>
  <c r="N75" i="37" s="1"/>
  <c r="AQ75" i="37" s="1"/>
  <c r="V79" i="35"/>
  <c r="V80" i="35" s="1"/>
  <c r="T79" i="35"/>
  <c r="T80" i="35" s="1"/>
  <c r="X79" i="35" s="1"/>
  <c r="V82" i="34"/>
  <c r="T82" i="34"/>
  <c r="J105" i="39"/>
  <c r="AR69" i="38"/>
  <c r="AT69" i="38" s="1"/>
  <c r="D12" i="38" s="1"/>
  <c r="AK74" i="38" s="1"/>
  <c r="AM74" i="38" s="1"/>
  <c r="AS74" i="38" s="1"/>
  <c r="H76" i="59"/>
  <c r="Z49" i="31"/>
  <c r="AB49" i="31" s="1"/>
  <c r="AR50" i="31" s="1"/>
  <c r="L54" i="31"/>
  <c r="N54" i="31" s="1"/>
  <c r="AQ54" i="31" s="1"/>
  <c r="R79" i="34"/>
  <c r="D88" i="34"/>
  <c r="F88" i="34" s="1"/>
  <c r="H88" i="34" s="1"/>
  <c r="AE103" i="37"/>
  <c r="R98" i="37"/>
  <c r="AE99" i="37"/>
  <c r="D99" i="37"/>
  <c r="H84" i="36"/>
  <c r="H85" i="36" s="1"/>
  <c r="J85" i="36" s="1"/>
  <c r="F85" i="36"/>
  <c r="J84" i="36" s="1"/>
  <c r="Z69" i="37"/>
  <c r="AB69" i="37" s="1"/>
  <c r="L74" i="37"/>
  <c r="N74" i="37" s="1"/>
  <c r="AQ74" i="37" s="1"/>
  <c r="H52" i="26"/>
  <c r="J97" i="38"/>
  <c r="F99" i="38"/>
  <c r="AG103" i="38"/>
  <c r="AG105" i="38" s="1"/>
  <c r="H53" i="28"/>
  <c r="V77" i="33"/>
  <c r="T77" i="33"/>
  <c r="T67" i="31"/>
  <c r="V67" i="31"/>
  <c r="T75" i="59"/>
  <c r="V75" i="59"/>
  <c r="AK70" i="37"/>
  <c r="AM70" i="37" s="1"/>
  <c r="AS70" i="37" s="1"/>
  <c r="AG70" i="32"/>
  <c r="AB40" i="29"/>
  <c r="AR40" i="29" s="1"/>
  <c r="AG85" i="35"/>
  <c r="L64" i="33"/>
  <c r="N64" i="33" s="1"/>
  <c r="AQ64" i="33" s="1"/>
  <c r="AE70" i="32"/>
  <c r="AI69" i="32" s="1"/>
  <c r="AE90" i="36"/>
  <c r="AI89" i="36" s="1"/>
  <c r="AE85" i="35"/>
  <c r="AI84" i="35" s="1"/>
  <c r="AE40" i="26"/>
  <c r="AI39" i="26" s="1"/>
  <c r="AA7" i="3"/>
  <c r="AG7" i="3" s="1"/>
  <c r="AI70" i="33"/>
  <c r="AG40" i="26"/>
  <c r="J37" i="26"/>
  <c r="AR59" i="36"/>
  <c r="AT59" i="36" s="1"/>
  <c r="D10" i="36" s="1"/>
  <c r="L69" i="36" s="1"/>
  <c r="N69" i="36" s="1"/>
  <c r="AQ69" i="36" s="1"/>
  <c r="AR60" i="36"/>
  <c r="AT60" i="36" s="1"/>
  <c r="E10" i="36" s="1"/>
  <c r="J62" i="31"/>
  <c r="L60" i="31"/>
  <c r="AK55" i="31"/>
  <c r="AM55" i="31" s="1"/>
  <c r="AS55" i="31" s="1"/>
  <c r="Z55" i="31"/>
  <c r="Z60" i="34"/>
  <c r="AB60" i="34" s="1"/>
  <c r="L65" i="34"/>
  <c r="N65" i="34" s="1"/>
  <c r="AQ65" i="34" s="1"/>
  <c r="L60" i="32"/>
  <c r="N60" i="32" s="1"/>
  <c r="AQ60" i="32" s="1"/>
  <c r="AK55" i="32"/>
  <c r="AM55" i="32" s="1"/>
  <c r="AS55" i="32" s="1"/>
  <c r="Z55" i="32"/>
  <c r="AB55" i="32" s="1"/>
  <c r="AK59" i="34"/>
  <c r="AM59" i="34" s="1"/>
  <c r="AS59" i="34" s="1"/>
  <c r="L64" i="34"/>
  <c r="N64" i="34" s="1"/>
  <c r="AQ64" i="34" s="1"/>
  <c r="Z59" i="34"/>
  <c r="AB59" i="34" s="1"/>
  <c r="AK44" i="31"/>
  <c r="AM44" i="31" s="1"/>
  <c r="AS44" i="31" s="1"/>
  <c r="Z44" i="31"/>
  <c r="AB44" i="31" s="1"/>
  <c r="L49" i="31"/>
  <c r="N49" i="31" s="1"/>
  <c r="AQ49" i="31" s="1"/>
  <c r="AT49" i="31" s="1"/>
  <c r="D8" i="31" s="1"/>
  <c r="Z64" i="35"/>
  <c r="AB64" i="35" s="1"/>
  <c r="AK64" i="35"/>
  <c r="AM64" i="35" s="1"/>
  <c r="AS64" i="35" s="1"/>
  <c r="X75" i="35"/>
  <c r="X65" i="34"/>
  <c r="AG75" i="33"/>
  <c r="AR34" i="27"/>
  <c r="AR35" i="27"/>
  <c r="X55" i="31"/>
  <c r="X60" i="32"/>
  <c r="AV25" i="19"/>
  <c r="AF12" i="9"/>
  <c r="AF13" i="9" s="1"/>
  <c r="X45" i="29"/>
  <c r="AV25" i="53"/>
  <c r="AA6" i="1"/>
  <c r="T72" i="31"/>
  <c r="V72" i="31"/>
  <c r="AA27" i="24"/>
  <c r="AG27" i="24" s="1"/>
  <c r="Y26" i="24"/>
  <c r="AF15" i="12"/>
  <c r="H11" i="5"/>
  <c r="I11" i="5" s="1"/>
  <c r="D11" i="5"/>
  <c r="F11" i="5" s="1"/>
  <c r="G11" i="5" s="1"/>
  <c r="AV16" i="10"/>
  <c r="AU16" i="61"/>
  <c r="AL19" i="68" s="1"/>
  <c r="C20" i="38"/>
  <c r="B16" i="9"/>
  <c r="AP16" i="9"/>
  <c r="AV20" i="14"/>
  <c r="H23" i="17"/>
  <c r="I23" i="17" s="1"/>
  <c r="D23" i="17"/>
  <c r="F23" i="17" s="1"/>
  <c r="G23" i="17" s="1"/>
  <c r="AJ27" i="61"/>
  <c r="AA30" i="68" s="1"/>
  <c r="B27" i="20"/>
  <c r="AP27" i="20"/>
  <c r="C9" i="27"/>
  <c r="R49" i="27" s="1"/>
  <c r="F6" i="1"/>
  <c r="AI76" i="59"/>
  <c r="AE76" i="59"/>
  <c r="H74" i="34"/>
  <c r="H75" i="34" s="1"/>
  <c r="J75" i="34" s="1"/>
  <c r="F75" i="34"/>
  <c r="J74" i="34" s="1"/>
  <c r="H10" i="4"/>
  <c r="I10" i="4" s="1"/>
  <c r="D10" i="4"/>
  <c r="F49" i="28"/>
  <c r="J47" i="28"/>
  <c r="F74" i="33"/>
  <c r="J72" i="33"/>
  <c r="T78" i="34"/>
  <c r="V78" i="34"/>
  <c r="AV21" i="15"/>
  <c r="F10" i="5"/>
  <c r="AF4" i="2"/>
  <c r="AF5" i="2" s="1"/>
  <c r="AV19" i="13"/>
  <c r="G8" i="3"/>
  <c r="H47" i="27"/>
  <c r="AV7" i="1"/>
  <c r="J79" i="35"/>
  <c r="J80" i="35"/>
  <c r="AS18" i="61"/>
  <c r="AJ21" i="68" s="1"/>
  <c r="B18" i="11"/>
  <c r="AP18" i="11"/>
  <c r="C18" i="36"/>
  <c r="H24" i="18"/>
  <c r="I24" i="18" s="1"/>
  <c r="D24" i="18"/>
  <c r="F24" i="18" s="1"/>
  <c r="G24" i="18" s="1"/>
  <c r="J77" i="34"/>
  <c r="H18" i="12"/>
  <c r="I18" i="12" s="1"/>
  <c r="D18" i="12"/>
  <c r="F18" i="12" s="1"/>
  <c r="G18" i="12" s="1"/>
  <c r="H27" i="21"/>
  <c r="I27" i="21" s="1"/>
  <c r="D27" i="21"/>
  <c r="F27" i="21" s="1"/>
  <c r="G27" i="21" s="1"/>
  <c r="AW14" i="61"/>
  <c r="AN17" i="68" s="1"/>
  <c r="B14" i="7"/>
  <c r="C22" i="40"/>
  <c r="AP14" i="7"/>
  <c r="Y13" i="7" s="1"/>
  <c r="V88" i="36"/>
  <c r="T88" i="36"/>
  <c r="F45" i="27"/>
  <c r="H81" i="59"/>
  <c r="V42" i="26"/>
  <c r="T42" i="26"/>
  <c r="V34" i="26"/>
  <c r="V35" i="26" s="1"/>
  <c r="X35" i="26" s="1"/>
  <c r="AB35" i="26" s="1"/>
  <c r="T34" i="26"/>
  <c r="T35" i="26" s="1"/>
  <c r="X34" i="26" s="1"/>
  <c r="AB34" i="26" s="1"/>
  <c r="F84" i="35"/>
  <c r="J82" i="35"/>
  <c r="H9" i="3"/>
  <c r="I9" i="3" s="1"/>
  <c r="D9" i="3"/>
  <c r="V57" i="29"/>
  <c r="T57" i="29"/>
  <c r="V53" i="29"/>
  <c r="T53" i="29"/>
  <c r="V62" i="30"/>
  <c r="T62" i="30"/>
  <c r="V58" i="30"/>
  <c r="T58" i="30"/>
  <c r="AV12" i="6"/>
  <c r="AG11" i="8"/>
  <c r="AV22" i="16"/>
  <c r="R43" i="26"/>
  <c r="AE48" i="26"/>
  <c r="AE44" i="26"/>
  <c r="AG44" i="26" s="1"/>
  <c r="D44" i="26"/>
  <c r="D48" i="26"/>
  <c r="F48" i="26" s="1"/>
  <c r="H48" i="26" s="1"/>
  <c r="AE59" i="29"/>
  <c r="AG59" i="29" s="1"/>
  <c r="R58" i="29"/>
  <c r="AE63" i="29"/>
  <c r="D59" i="29"/>
  <c r="R54" i="29"/>
  <c r="D63" i="29"/>
  <c r="F63" i="29" s="1"/>
  <c r="H63" i="29" s="1"/>
  <c r="R62" i="29"/>
  <c r="V63" i="31"/>
  <c r="T63" i="31"/>
  <c r="Z39" i="28"/>
  <c r="AK39" i="28"/>
  <c r="AM39" i="28" s="1"/>
  <c r="AS39" i="28" s="1"/>
  <c r="L44" i="28"/>
  <c r="F12" i="7"/>
  <c r="AV11" i="5"/>
  <c r="AP21" i="61"/>
  <c r="AG24" i="68" s="1"/>
  <c r="B21" i="14"/>
  <c r="AP21" i="14"/>
  <c r="C15" i="33"/>
  <c r="AE69" i="31"/>
  <c r="AG69" i="31" s="1"/>
  <c r="AE73" i="31"/>
  <c r="D69" i="31"/>
  <c r="R68" i="31"/>
  <c r="AM24" i="61"/>
  <c r="AD27" i="68" s="1"/>
  <c r="C12" i="30"/>
  <c r="R72" i="30" s="1"/>
  <c r="B24" i="17"/>
  <c r="AP24" i="17"/>
  <c r="H14" i="8"/>
  <c r="I14" i="8" s="1"/>
  <c r="D14" i="8"/>
  <c r="F14" i="8" s="1"/>
  <c r="G14" i="8" s="1"/>
  <c r="H26" i="20"/>
  <c r="I26" i="20" s="1"/>
  <c r="D26" i="20"/>
  <c r="F26" i="20" s="1"/>
  <c r="G26" i="20" s="1"/>
  <c r="AE65" i="31"/>
  <c r="AI64" i="31" s="1"/>
  <c r="V70" i="59"/>
  <c r="T70" i="59"/>
  <c r="AF5" i="3"/>
  <c r="AF6" i="3" s="1"/>
  <c r="AF7" i="3" s="1"/>
  <c r="F57" i="28"/>
  <c r="T48" i="28"/>
  <c r="V48" i="28"/>
  <c r="F78" i="33"/>
  <c r="AG78" i="33"/>
  <c r="AG83" i="34"/>
  <c r="AO22" i="61"/>
  <c r="AF25" i="68" s="1"/>
  <c r="AP22" i="15"/>
  <c r="B22" i="15"/>
  <c r="C14" i="32"/>
  <c r="R69" i="32" s="1"/>
  <c r="AG48" i="27"/>
  <c r="H57" i="29"/>
  <c r="H19" i="13"/>
  <c r="I19" i="13" s="1"/>
  <c r="D19" i="13"/>
  <c r="F19" i="13" s="1"/>
  <c r="G19" i="13" s="1"/>
  <c r="AI45" i="28"/>
  <c r="H44" i="28"/>
  <c r="H45" i="28" s="1"/>
  <c r="J45" i="28" s="1"/>
  <c r="F45" i="28"/>
  <c r="J44" i="28" s="1"/>
  <c r="T68" i="32"/>
  <c r="V68" i="32"/>
  <c r="AV8" i="2"/>
  <c r="H38" i="26"/>
  <c r="H40" i="26" s="1"/>
  <c r="F40" i="26"/>
  <c r="AE45" i="27"/>
  <c r="AI44" i="27" s="1"/>
  <c r="BC8" i="61"/>
  <c r="B8" i="1"/>
  <c r="AP8" i="1"/>
  <c r="C28" i="46"/>
  <c r="H17" i="11"/>
  <c r="I17" i="11" s="1"/>
  <c r="D17" i="11"/>
  <c r="F17" i="11" s="1"/>
  <c r="G17" i="11" s="1"/>
  <c r="AE64" i="30"/>
  <c r="AG64" i="30" s="1"/>
  <c r="R63" i="30"/>
  <c r="AE68" i="30"/>
  <c r="R59" i="30"/>
  <c r="D64" i="30"/>
  <c r="H78" i="34"/>
  <c r="H80" i="34" s="1"/>
  <c r="F80" i="34"/>
  <c r="AV18" i="12"/>
  <c r="W31" i="61"/>
  <c r="AP28" i="21"/>
  <c r="B28" i="21"/>
  <c r="C8" i="26"/>
  <c r="V9" i="26" s="1"/>
  <c r="X9" i="26" s="1"/>
  <c r="Y10" i="5"/>
  <c r="F89" i="36"/>
  <c r="J87" i="36"/>
  <c r="AG93" i="36"/>
  <c r="AG95" i="36" s="1"/>
  <c r="AE95" i="36"/>
  <c r="AI94" i="36" s="1"/>
  <c r="AG50" i="28"/>
  <c r="T38" i="26"/>
  <c r="V38" i="26"/>
  <c r="AG43" i="26"/>
  <c r="H65" i="31"/>
  <c r="H72" i="31"/>
  <c r="AN23" i="61"/>
  <c r="AE26" i="68" s="1"/>
  <c r="B23" i="16"/>
  <c r="AP23" i="16"/>
  <c r="C13" i="59"/>
  <c r="C13" i="31"/>
  <c r="AV28" i="22"/>
  <c r="Y28" i="22"/>
  <c r="BG7" i="22"/>
  <c r="AG15" i="11"/>
  <c r="J95" i="37"/>
  <c r="N95" i="37" s="1"/>
  <c r="AQ95" i="37" s="1"/>
  <c r="J94" i="37"/>
  <c r="N94" i="37" s="1"/>
  <c r="AQ94" i="37" s="1"/>
  <c r="H65" i="59"/>
  <c r="H66" i="59" s="1"/>
  <c r="J66" i="59" s="1"/>
  <c r="F66" i="59"/>
  <c r="J65" i="59" s="1"/>
  <c r="F28" i="23"/>
  <c r="D29" i="23"/>
  <c r="I35" i="23" s="1"/>
  <c r="G28" i="24"/>
  <c r="G29" i="24" s="1"/>
  <c r="I38" i="24" s="1"/>
  <c r="F29" i="24"/>
  <c r="I36" i="24" s="1"/>
  <c r="AI35" i="26"/>
  <c r="AM35" i="26" s="1"/>
  <c r="AS35" i="26" s="1"/>
  <c r="D25" i="53"/>
  <c r="F25" i="53" s="1"/>
  <c r="G25" i="53" s="1"/>
  <c r="H25" i="53"/>
  <c r="I25" i="53" s="1"/>
  <c r="H25" i="19"/>
  <c r="I25" i="19" s="1"/>
  <c r="D25" i="19"/>
  <c r="F25" i="19" s="1"/>
  <c r="G25" i="19" s="1"/>
  <c r="AG68" i="31"/>
  <c r="AK40" i="28"/>
  <c r="AM40" i="28" s="1"/>
  <c r="AS40" i="28" s="1"/>
  <c r="Z40" i="28"/>
  <c r="L45" i="28"/>
  <c r="AT17" i="61"/>
  <c r="AK20" i="68" s="1"/>
  <c r="B17" i="10"/>
  <c r="AP17" i="10"/>
  <c r="C19" i="37"/>
  <c r="R103" i="37" s="1"/>
  <c r="AV15" i="9"/>
  <c r="AG9" i="6"/>
  <c r="H20" i="14"/>
  <c r="I20" i="14" s="1"/>
  <c r="D20" i="14"/>
  <c r="F20" i="14" s="1"/>
  <c r="G20" i="14" s="1"/>
  <c r="AG77" i="59"/>
  <c r="R76" i="59"/>
  <c r="AG82" i="59"/>
  <c r="D77" i="59"/>
  <c r="F7" i="2"/>
  <c r="AV14" i="8"/>
  <c r="AE54" i="28"/>
  <c r="AG54" i="28" s="1"/>
  <c r="AE58" i="28"/>
  <c r="D54" i="28"/>
  <c r="R53" i="28"/>
  <c r="D58" i="28"/>
  <c r="F58" i="28" s="1"/>
  <c r="H58" i="28" s="1"/>
  <c r="R57" i="28"/>
  <c r="D62" i="28"/>
  <c r="AG65" i="31"/>
  <c r="F71" i="59"/>
  <c r="J69" i="59"/>
  <c r="AI71" i="59"/>
  <c r="AI72" i="59" s="1"/>
  <c r="AE71" i="59"/>
  <c r="AV10" i="4"/>
  <c r="V52" i="28"/>
  <c r="T52" i="28"/>
  <c r="AG8" i="5"/>
  <c r="V64" i="33"/>
  <c r="V65" i="33" s="1"/>
  <c r="T64" i="33"/>
  <c r="T65" i="33" s="1"/>
  <c r="X64" i="33" s="1"/>
  <c r="V74" i="34"/>
  <c r="V75" i="34" s="1"/>
  <c r="T74" i="34"/>
  <c r="T75" i="34" s="1"/>
  <c r="X74" i="34" s="1"/>
  <c r="AE75" i="33"/>
  <c r="AI74" i="33" s="1"/>
  <c r="AE79" i="33"/>
  <c r="AG79" i="33" s="1"/>
  <c r="AE83" i="33"/>
  <c r="D79" i="33"/>
  <c r="F79" i="33" s="1"/>
  <c r="H79" i="33" s="1"/>
  <c r="R78" i="33"/>
  <c r="R74" i="33"/>
  <c r="AA12" i="7"/>
  <c r="AG12" i="7" s="1"/>
  <c r="AE89" i="35"/>
  <c r="AG89" i="35" s="1"/>
  <c r="R88" i="35"/>
  <c r="D89" i="35"/>
  <c r="AE93" i="35"/>
  <c r="AA28" i="23"/>
  <c r="AG28" i="23" s="1"/>
  <c r="Y27" i="23"/>
  <c r="X28" i="23" s="1"/>
  <c r="F69" i="32"/>
  <c r="J67" i="32"/>
  <c r="BB9" i="61"/>
  <c r="AP9" i="2"/>
  <c r="C27" i="45"/>
  <c r="B9" i="2"/>
  <c r="AG11" i="7"/>
  <c r="AF14" i="10"/>
  <c r="AG45" i="27"/>
  <c r="AV17" i="11"/>
  <c r="AV24" i="18"/>
  <c r="AG80" i="34"/>
  <c r="AR19" i="61"/>
  <c r="AP19" i="12"/>
  <c r="C17" i="35"/>
  <c r="R93" i="35" s="1"/>
  <c r="B19" i="12"/>
  <c r="AE53" i="27"/>
  <c r="R48" i="27"/>
  <c r="AE49" i="27"/>
  <c r="AG49" i="27" s="1"/>
  <c r="D49" i="27"/>
  <c r="F49" i="27" s="1"/>
  <c r="H49" i="27" s="1"/>
  <c r="R44" i="27"/>
  <c r="D57" i="27"/>
  <c r="R52" i="27"/>
  <c r="H13" i="7"/>
  <c r="I13" i="7" s="1"/>
  <c r="D13" i="7"/>
  <c r="F13" i="7" s="1"/>
  <c r="G13" i="7" s="1"/>
  <c r="J55" i="30"/>
  <c r="AF6" i="4"/>
  <c r="AF7" i="4" s="1"/>
  <c r="AF8" i="4" s="1"/>
  <c r="H77" i="32"/>
  <c r="AE50" i="28"/>
  <c r="AI49" i="28" s="1"/>
  <c r="X60" i="59"/>
  <c r="V83" i="35"/>
  <c r="T83" i="35"/>
  <c r="F65" i="31"/>
  <c r="AV9" i="3"/>
  <c r="Y7" i="2"/>
  <c r="X6" i="2" s="1"/>
  <c r="F54" i="29"/>
  <c r="J52" i="29"/>
  <c r="V54" i="30"/>
  <c r="V55" i="30" s="1"/>
  <c r="T54" i="30"/>
  <c r="T55" i="30" s="1"/>
  <c r="X54" i="30" s="1"/>
  <c r="AX13" i="61"/>
  <c r="B13" i="6"/>
  <c r="C23" i="41"/>
  <c r="AP13" i="6"/>
  <c r="R73" i="32"/>
  <c r="R64" i="32"/>
  <c r="AE74" i="32"/>
  <c r="AG74" i="32" s="1"/>
  <c r="AE78" i="32"/>
  <c r="D74" i="32"/>
  <c r="D78" i="32"/>
  <c r="H28" i="22"/>
  <c r="I28" i="22" s="1"/>
  <c r="I29" i="22" s="1"/>
  <c r="I39" i="22" s="1"/>
  <c r="D28" i="22"/>
  <c r="S7" i="22"/>
  <c r="X5" i="1"/>
  <c r="AA6" i="2"/>
  <c r="AG6" i="2" s="1"/>
  <c r="G13" i="8"/>
  <c r="AK26" i="61"/>
  <c r="AB29" i="68" s="1"/>
  <c r="C10" i="28"/>
  <c r="D67" i="28" s="1"/>
  <c r="F67" i="28" s="1"/>
  <c r="AP26" i="19"/>
  <c r="B26" i="19"/>
  <c r="B26" i="53"/>
  <c r="AP26" i="53"/>
  <c r="V59" i="31"/>
  <c r="V60" i="31" s="1"/>
  <c r="T59" i="31"/>
  <c r="T60" i="31" s="1"/>
  <c r="X59" i="31" s="1"/>
  <c r="AY12" i="61"/>
  <c r="AP12" i="5"/>
  <c r="C24" i="42"/>
  <c r="B12" i="5"/>
  <c r="H16" i="10"/>
  <c r="I16" i="10" s="1"/>
  <c r="D16" i="10"/>
  <c r="F16" i="10" s="1"/>
  <c r="G16" i="10" s="1"/>
  <c r="H15" i="9"/>
  <c r="I15" i="9" s="1"/>
  <c r="D15" i="9"/>
  <c r="F15" i="9" s="1"/>
  <c r="G15" i="9" s="1"/>
  <c r="AI75" i="34"/>
  <c r="AE84" i="34"/>
  <c r="AG84" i="34" s="1"/>
  <c r="AE88" i="34"/>
  <c r="D84" i="34"/>
  <c r="R83" i="34"/>
  <c r="AV23" i="17"/>
  <c r="AV15" i="61"/>
  <c r="AM18" i="68" s="1"/>
  <c r="B15" i="8"/>
  <c r="C21" i="39"/>
  <c r="AP15" i="8"/>
  <c r="AV26" i="20"/>
  <c r="H42" i="26"/>
  <c r="F87" i="59"/>
  <c r="V65" i="59"/>
  <c r="V66" i="59" s="1"/>
  <c r="T65" i="59"/>
  <c r="T66" i="59" s="1"/>
  <c r="X65" i="59" s="1"/>
  <c r="AZ11" i="61"/>
  <c r="AP11" i="4"/>
  <c r="B11" i="4"/>
  <c r="C25" i="43"/>
  <c r="V44" i="28"/>
  <c r="V45" i="28" s="1"/>
  <c r="T44" i="28"/>
  <c r="T45" i="28" s="1"/>
  <c r="X44" i="28" s="1"/>
  <c r="AG53" i="28"/>
  <c r="X5" i="2"/>
  <c r="V73" i="33"/>
  <c r="T73" i="33"/>
  <c r="H21" i="15"/>
  <c r="I21" i="15" s="1"/>
  <c r="D21" i="15"/>
  <c r="F21" i="15" s="1"/>
  <c r="G21" i="15" s="1"/>
  <c r="V39" i="27"/>
  <c r="V40" i="27" s="1"/>
  <c r="T39" i="27"/>
  <c r="T40" i="27" s="1"/>
  <c r="X39" i="27" s="1"/>
  <c r="V43" i="27"/>
  <c r="T43" i="27"/>
  <c r="AA12" i="8"/>
  <c r="AG12" i="8" s="1"/>
  <c r="AQ20" i="61"/>
  <c r="AH23" i="68" s="1"/>
  <c r="B20" i="13"/>
  <c r="C16" i="34"/>
  <c r="AP20" i="13"/>
  <c r="H62" i="30"/>
  <c r="AG72" i="59"/>
  <c r="AK71" i="59" s="1"/>
  <c r="AG73" i="32"/>
  <c r="H8" i="2"/>
  <c r="I8" i="2" s="1"/>
  <c r="D8" i="2"/>
  <c r="F8" i="2" s="1"/>
  <c r="G8" i="2" s="1"/>
  <c r="Y13" i="8"/>
  <c r="X12" i="8" s="1"/>
  <c r="H7" i="1"/>
  <c r="I7" i="1" s="1"/>
  <c r="D7" i="1"/>
  <c r="F7" i="1" s="1"/>
  <c r="G7" i="1" s="1"/>
  <c r="AL25" i="61"/>
  <c r="AC28" i="68" s="1"/>
  <c r="B25" i="18"/>
  <c r="C11" i="29"/>
  <c r="AP25" i="18"/>
  <c r="AE80" i="34"/>
  <c r="AI79" i="34" s="1"/>
  <c r="AV27" i="21"/>
  <c r="H49" i="29"/>
  <c r="H50" i="29" s="1"/>
  <c r="J50" i="29" s="1"/>
  <c r="F50" i="29"/>
  <c r="J49" i="29" s="1"/>
  <c r="AV13" i="7"/>
  <c r="Y15" i="10"/>
  <c r="Y14" i="9"/>
  <c r="H45" i="27"/>
  <c r="F47" i="26"/>
  <c r="AG88" i="35"/>
  <c r="BA10" i="61"/>
  <c r="AP10" i="3"/>
  <c r="B10" i="3"/>
  <c r="C26" i="44"/>
  <c r="AF4" i="1"/>
  <c r="AF5" i="1" s="1"/>
  <c r="F62" i="29"/>
  <c r="AG58" i="29"/>
  <c r="AG63" i="30"/>
  <c r="H12" i="6"/>
  <c r="I12" i="6" s="1"/>
  <c r="D12" i="6"/>
  <c r="F12" i="6" s="1"/>
  <c r="G12" i="6" s="1"/>
  <c r="H22" i="16"/>
  <c r="I22" i="16" s="1"/>
  <c r="D22" i="16"/>
  <c r="F22" i="16" s="1"/>
  <c r="G22" i="16" s="1"/>
  <c r="L256" i="66" l="1"/>
  <c r="AI22" i="68"/>
  <c r="CZ105" i="61"/>
  <c r="AR13" i="68"/>
  <c r="CX107" i="61"/>
  <c r="AP15" i="68"/>
  <c r="EX136" i="61"/>
  <c r="GI136" i="61" s="1"/>
  <c r="O15" i="64" s="1"/>
  <c r="AO16" i="68"/>
  <c r="CY106" i="61"/>
  <c r="AQ14" i="68"/>
  <c r="DA104" i="61"/>
  <c r="AS12" i="68"/>
  <c r="DB103" i="61"/>
  <c r="AT11" i="68"/>
  <c r="AK65" i="43"/>
  <c r="AM65" i="43" s="1"/>
  <c r="AS65" i="43" s="1"/>
  <c r="J45" i="27"/>
  <c r="L65" i="43"/>
  <c r="N65" i="43" s="1"/>
  <c r="AQ65" i="43" s="1"/>
  <c r="AT65" i="43" s="1"/>
  <c r="Z60" i="43"/>
  <c r="AB60" i="43" s="1"/>
  <c r="AK59" i="43"/>
  <c r="AM59" i="43" s="1"/>
  <c r="AS59" i="43" s="1"/>
  <c r="Z59" i="43"/>
  <c r="AB59" i="43" s="1"/>
  <c r="L64" i="43"/>
  <c r="N64" i="43" s="1"/>
  <c r="AQ64" i="43" s="1"/>
  <c r="AT64" i="43" s="1"/>
  <c r="D11" i="43" s="1"/>
  <c r="AK69" i="43" s="1"/>
  <c r="AM69" i="43" s="1"/>
  <c r="AS69" i="43" s="1"/>
  <c r="AR64" i="43"/>
  <c r="AR65" i="43"/>
  <c r="V84" i="35"/>
  <c r="AN11" i="30"/>
  <c r="DG102" i="61"/>
  <c r="DF102" i="61"/>
  <c r="CB101" i="61"/>
  <c r="BX101" i="61"/>
  <c r="BP101" i="61"/>
  <c r="CC101" i="61"/>
  <c r="BW101" i="61"/>
  <c r="BS101" i="61"/>
  <c r="BO101" i="61"/>
  <c r="BK101" i="61"/>
  <c r="BG101" i="61"/>
  <c r="BV101" i="61"/>
  <c r="BJ101" i="61"/>
  <c r="CA101" i="61"/>
  <c r="BR101" i="61"/>
  <c r="BN101" i="61"/>
  <c r="BF101" i="61"/>
  <c r="BZ101" i="61"/>
  <c r="BU101" i="61"/>
  <c r="BQ101" i="61"/>
  <c r="BM101" i="61"/>
  <c r="BI101" i="61"/>
  <c r="BY101" i="61"/>
  <c r="BT101" i="61"/>
  <c r="BL101" i="61"/>
  <c r="BH101" i="61"/>
  <c r="L22" i="26"/>
  <c r="L23" i="26" s="1"/>
  <c r="N23" i="26" s="1"/>
  <c r="V93" i="36"/>
  <c r="AN5" i="28"/>
  <c r="AN6" i="28"/>
  <c r="AN11" i="29"/>
  <c r="T3" i="26"/>
  <c r="X3" i="26" s="1"/>
  <c r="Z23" i="28"/>
  <c r="AH3" i="26"/>
  <c r="AJ3" i="26" s="1"/>
  <c r="AL3" i="26" s="1"/>
  <c r="T20" i="26"/>
  <c r="AJ10" i="28"/>
  <c r="AJ11" i="28" s="1"/>
  <c r="AN10" i="28" s="1"/>
  <c r="AL10" i="28"/>
  <c r="AL11" i="28" s="1"/>
  <c r="V26" i="26"/>
  <c r="X26" i="26" s="1"/>
  <c r="AI75" i="33"/>
  <c r="AI105" i="39"/>
  <c r="J44" i="27"/>
  <c r="P15" i="26"/>
  <c r="P16" i="26" s="1"/>
  <c r="N19" i="26" s="1"/>
  <c r="AE105" i="38"/>
  <c r="AI104" i="38" s="1"/>
  <c r="F94" i="36"/>
  <c r="H94" i="36" s="1"/>
  <c r="J102" i="38"/>
  <c r="AI60" i="30"/>
  <c r="AM60" i="30" s="1"/>
  <c r="AS60" i="30" s="1"/>
  <c r="J104" i="39"/>
  <c r="V10" i="26"/>
  <c r="Z9" i="26" s="1"/>
  <c r="D291" i="66"/>
  <c r="T4" i="26"/>
  <c r="D262" i="66"/>
  <c r="X10" i="26"/>
  <c r="L320" i="66"/>
  <c r="J112" i="40"/>
  <c r="X13" i="26"/>
  <c r="A329" i="66"/>
  <c r="J64" i="31"/>
  <c r="AI130" i="44"/>
  <c r="AE130" i="43"/>
  <c r="AI129" i="43" s="1"/>
  <c r="AI130" i="43" s="1"/>
  <c r="T85" i="35"/>
  <c r="X84" i="35" s="1"/>
  <c r="J65" i="31"/>
  <c r="D339" i="65"/>
  <c r="A339" i="65" s="1"/>
  <c r="EH128" i="61"/>
  <c r="FT128" i="61"/>
  <c r="EL128" i="61"/>
  <c r="FX128" i="61"/>
  <c r="EI128" i="61"/>
  <c r="FU128" i="61"/>
  <c r="DS128" i="61"/>
  <c r="FE128" i="61"/>
  <c r="EC128" i="61"/>
  <c r="FO128" i="61"/>
  <c r="DX128" i="61"/>
  <c r="FJ128" i="61"/>
  <c r="EN128" i="61"/>
  <c r="FZ128" i="61"/>
  <c r="DV128" i="61"/>
  <c r="FH128" i="61"/>
  <c r="ED128" i="61"/>
  <c r="FP128" i="61"/>
  <c r="EE128" i="61"/>
  <c r="FQ128" i="61"/>
  <c r="EO128" i="61"/>
  <c r="GA128" i="61"/>
  <c r="DY128" i="61"/>
  <c r="FK128" i="61"/>
  <c r="DT128" i="61"/>
  <c r="FF128" i="61"/>
  <c r="EJ128" i="61"/>
  <c r="FV128" i="61"/>
  <c r="EF128" i="61"/>
  <c r="FR128" i="61"/>
  <c r="DZ128" i="61"/>
  <c r="FL128" i="61"/>
  <c r="EA128" i="61"/>
  <c r="FM128" i="61"/>
  <c r="EK128" i="61"/>
  <c r="FW128" i="61"/>
  <c r="DU128" i="61"/>
  <c r="FG128" i="61"/>
  <c r="DR127" i="61"/>
  <c r="EZ127" i="61" s="1"/>
  <c r="FD127" i="61"/>
  <c r="GE127" i="61" s="1"/>
  <c r="L6" i="64" s="1"/>
  <c r="GB128" i="61"/>
  <c r="EM128" i="61"/>
  <c r="FY128" i="61"/>
  <c r="DW128" i="61"/>
  <c r="FI128" i="61"/>
  <c r="EG128" i="61"/>
  <c r="FS128" i="61"/>
  <c r="EB128" i="61"/>
  <c r="FN128" i="61"/>
  <c r="X100" i="39"/>
  <c r="I339" i="66"/>
  <c r="DM101" i="61"/>
  <c r="DQ101" i="61"/>
  <c r="DU101" i="61"/>
  <c r="DY101" i="61"/>
  <c r="EC101" i="61"/>
  <c r="EG101" i="61"/>
  <c r="DO101" i="61"/>
  <c r="DS101" i="61"/>
  <c r="DW101" i="61"/>
  <c r="EA101" i="61"/>
  <c r="EE101" i="61"/>
  <c r="EI101" i="61"/>
  <c r="EP129" i="61" s="1"/>
  <c r="DN101" i="61"/>
  <c r="DV101" i="61"/>
  <c r="ED101" i="61"/>
  <c r="DR101" i="61"/>
  <c r="DZ101" i="61"/>
  <c r="EH101" i="61"/>
  <c r="DT101" i="61"/>
  <c r="DX101" i="61"/>
  <c r="DL101" i="61"/>
  <c r="EB101" i="61"/>
  <c r="DP101" i="61"/>
  <c r="EF101" i="61"/>
  <c r="EU128" i="61"/>
  <c r="EV128" i="61" s="1"/>
  <c r="DK100" i="61"/>
  <c r="DD103" i="61"/>
  <c r="AE120" i="41"/>
  <c r="AI119" i="41" s="1"/>
  <c r="D330" i="66"/>
  <c r="B330" i="66" s="1"/>
  <c r="D284" i="66"/>
  <c r="L308" i="66"/>
  <c r="L260" i="66"/>
  <c r="A272" i="66"/>
  <c r="B272" i="66"/>
  <c r="B217" i="66"/>
  <c r="A217" i="66"/>
  <c r="B262" i="66"/>
  <c r="A262" i="66"/>
  <c r="D229" i="66"/>
  <c r="L248" i="66"/>
  <c r="D320" i="65"/>
  <c r="J320" i="66"/>
  <c r="B320" i="65" s="1"/>
  <c r="I320" i="66"/>
  <c r="J259" i="66"/>
  <c r="B259" i="65" s="1"/>
  <c r="I259" i="66"/>
  <c r="D259" i="65"/>
  <c r="A259" i="65" s="1"/>
  <c r="J307" i="66"/>
  <c r="B307" i="65" s="1"/>
  <c r="D307" i="65"/>
  <c r="I307" i="66"/>
  <c r="I235" i="66"/>
  <c r="D235" i="65"/>
  <c r="A235" i="65" s="1"/>
  <c r="J235" i="66"/>
  <c r="B235" i="65" s="1"/>
  <c r="D247" i="65"/>
  <c r="A247" i="65" s="1"/>
  <c r="J247" i="66"/>
  <c r="B247" i="65" s="1"/>
  <c r="I247" i="66"/>
  <c r="L340" i="66"/>
  <c r="D340" i="65" s="1"/>
  <c r="A340" i="65" s="1"/>
  <c r="D273" i="66"/>
  <c r="L296" i="66"/>
  <c r="D251" i="66"/>
  <c r="A251" i="66" s="1"/>
  <c r="A283" i="66"/>
  <c r="B283" i="66"/>
  <c r="A228" i="66"/>
  <c r="B228" i="66"/>
  <c r="AG115" i="40"/>
  <c r="AE115" i="40"/>
  <c r="AI114" i="40" s="1"/>
  <c r="N69" i="33"/>
  <c r="AQ69" i="33" s="1"/>
  <c r="X85" i="36"/>
  <c r="AG120" i="41"/>
  <c r="AI120" i="41" s="1"/>
  <c r="AR80" i="42"/>
  <c r="AR79" i="42"/>
  <c r="AI140" i="44"/>
  <c r="AI135" i="44"/>
  <c r="AK79" i="42"/>
  <c r="AM79" i="42" s="1"/>
  <c r="AS79" i="42" s="1"/>
  <c r="L84" i="42"/>
  <c r="N84" i="42" s="1"/>
  <c r="AQ84" i="42" s="1"/>
  <c r="X110" i="41"/>
  <c r="AI110" i="40"/>
  <c r="J269" i="66"/>
  <c r="B269" i="65" s="1"/>
  <c r="D269" i="65"/>
  <c r="A269" i="65" s="1"/>
  <c r="I269" i="66"/>
  <c r="D283" i="65"/>
  <c r="A283" i="65" s="1"/>
  <c r="J283" i="66"/>
  <c r="B283" i="65" s="1"/>
  <c r="I283" i="66"/>
  <c r="B225" i="66"/>
  <c r="A225" i="66"/>
  <c r="L270" i="66"/>
  <c r="B291" i="66"/>
  <c r="A291" i="66"/>
  <c r="J367" i="66"/>
  <c r="B367" i="65" s="1"/>
  <c r="I367" i="66"/>
  <c r="D367" i="65"/>
  <c r="A367" i="65" s="1"/>
  <c r="D239" i="66"/>
  <c r="B239" i="66" s="1"/>
  <c r="A342" i="66"/>
  <c r="B342" i="66"/>
  <c r="B303" i="66"/>
  <c r="A303" i="66"/>
  <c r="D256" i="65"/>
  <c r="A256" i="65" s="1"/>
  <c r="I256" i="66"/>
  <c r="J256" i="66"/>
  <c r="B256" i="65" s="1"/>
  <c r="D304" i="66"/>
  <c r="L284" i="66"/>
  <c r="D343" i="66"/>
  <c r="L368" i="66"/>
  <c r="X115" i="42"/>
  <c r="I241" i="66"/>
  <c r="J241" i="66"/>
  <c r="B241" i="65" s="1"/>
  <c r="D241" i="65"/>
  <c r="A241" i="65" s="1"/>
  <c r="D354" i="66"/>
  <c r="R109" i="39"/>
  <c r="D118" i="39"/>
  <c r="F118" i="39" s="1"/>
  <c r="H118" i="39" s="1"/>
  <c r="AE118" i="39"/>
  <c r="AE114" i="39"/>
  <c r="AG114" i="39" s="1"/>
  <c r="D114" i="39"/>
  <c r="F114" i="39" s="1"/>
  <c r="H114" i="39" s="1"/>
  <c r="R113" i="39"/>
  <c r="D124" i="41"/>
  <c r="AE124" i="41"/>
  <c r="AG124" i="41" s="1"/>
  <c r="R123" i="41"/>
  <c r="AE128" i="41"/>
  <c r="R87" i="33"/>
  <c r="D97" i="33"/>
  <c r="F97" i="33" s="1"/>
  <c r="R114" i="40"/>
  <c r="R118" i="40"/>
  <c r="AE119" i="40"/>
  <c r="AG119" i="40" s="1"/>
  <c r="D119" i="40"/>
  <c r="AE123" i="40"/>
  <c r="H99" i="38"/>
  <c r="H100" i="38" s="1"/>
  <c r="J100" i="38" s="1"/>
  <c r="F100" i="38"/>
  <c r="J99" i="38" s="1"/>
  <c r="F105" i="38"/>
  <c r="J104" i="38" s="1"/>
  <c r="B315" i="66"/>
  <c r="A315" i="66"/>
  <c r="V107" i="38"/>
  <c r="T107" i="38"/>
  <c r="H109" i="40"/>
  <c r="H110" i="40" s="1"/>
  <c r="F110" i="40"/>
  <c r="F124" i="42"/>
  <c r="H124" i="42" s="1"/>
  <c r="J122" i="42"/>
  <c r="D351" i="65"/>
  <c r="J351" i="66"/>
  <c r="B351" i="65" s="1"/>
  <c r="I351" i="66"/>
  <c r="AG148" i="43"/>
  <c r="AG150" i="43" s="1"/>
  <c r="AE150" i="43"/>
  <c r="AI149" i="43" s="1"/>
  <c r="F144" i="43"/>
  <c r="H144" i="43" s="1"/>
  <c r="J142" i="43"/>
  <c r="AE145" i="43"/>
  <c r="AI144" i="43" s="1"/>
  <c r="AG143" i="43"/>
  <c r="AG145" i="43" s="1"/>
  <c r="V138" i="43"/>
  <c r="T138" i="43"/>
  <c r="AI145" i="44"/>
  <c r="J140" i="44"/>
  <c r="N140" i="44" s="1"/>
  <c r="AQ140" i="44" s="1"/>
  <c r="J139" i="44"/>
  <c r="N139" i="44" s="1"/>
  <c r="AQ139" i="44" s="1"/>
  <c r="V118" i="41"/>
  <c r="T118" i="41"/>
  <c r="B220" i="66"/>
  <c r="A220" i="66"/>
  <c r="H103" i="37"/>
  <c r="T113" i="40"/>
  <c r="V113" i="40"/>
  <c r="V109" i="40"/>
  <c r="V110" i="40" s="1"/>
  <c r="T109" i="40"/>
  <c r="T110" i="40" s="1"/>
  <c r="X109" i="40" s="1"/>
  <c r="V108" i="39"/>
  <c r="T108" i="39"/>
  <c r="F117" i="39"/>
  <c r="D291" i="65"/>
  <c r="I291" i="66"/>
  <c r="J291" i="66"/>
  <c r="B291" i="65" s="1"/>
  <c r="D449" i="66"/>
  <c r="L472" i="66"/>
  <c r="D411" i="66"/>
  <c r="L432" i="66"/>
  <c r="D392" i="66"/>
  <c r="L412" i="66"/>
  <c r="CR113" i="61"/>
  <c r="D316" i="66"/>
  <c r="L332" i="66"/>
  <c r="R104" i="38"/>
  <c r="D113" i="38"/>
  <c r="R112" i="38"/>
  <c r="D117" i="38"/>
  <c r="D109" i="38"/>
  <c r="R108" i="38"/>
  <c r="AE113" i="38"/>
  <c r="AE109" i="38"/>
  <c r="AE108" i="37"/>
  <c r="AG108" i="37" s="1"/>
  <c r="H105" i="38"/>
  <c r="J105" i="38" s="1"/>
  <c r="D511" i="65"/>
  <c r="A511" i="65" s="1"/>
  <c r="I511" i="66"/>
  <c r="J511" i="66"/>
  <c r="B511" i="65" s="1"/>
  <c r="D451" i="65"/>
  <c r="A451" i="65" s="1"/>
  <c r="J451" i="66"/>
  <c r="B451" i="65" s="1"/>
  <c r="I451" i="66"/>
  <c r="B258" i="66"/>
  <c r="A258" i="66"/>
  <c r="J110" i="40"/>
  <c r="J109" i="40"/>
  <c r="F134" i="43"/>
  <c r="H134" i="43" s="1"/>
  <c r="J132" i="43"/>
  <c r="T133" i="43"/>
  <c r="V133" i="43"/>
  <c r="V143" i="43"/>
  <c r="T143" i="43"/>
  <c r="AE125" i="42"/>
  <c r="AI124" i="42" s="1"/>
  <c r="B353" i="66"/>
  <c r="A353" i="66"/>
  <c r="X90" i="38"/>
  <c r="V89" i="37"/>
  <c r="V90" i="37" s="1"/>
  <c r="T89" i="37"/>
  <c r="T90" i="37" s="1"/>
  <c r="X89" i="37" s="1"/>
  <c r="AG118" i="40"/>
  <c r="AG120" i="40" s="1"/>
  <c r="AG109" i="39"/>
  <c r="AG110" i="39" s="1"/>
  <c r="AE110" i="39"/>
  <c r="AI109" i="39" s="1"/>
  <c r="T112" i="39"/>
  <c r="V112" i="39"/>
  <c r="R84" i="34"/>
  <c r="V84" i="34" s="1"/>
  <c r="D98" i="34"/>
  <c r="F98" i="34" s="1"/>
  <c r="H98" i="34" s="1"/>
  <c r="R97" i="34"/>
  <c r="D102" i="34"/>
  <c r="F102" i="34" s="1"/>
  <c r="CU110" i="61"/>
  <c r="D259" i="66"/>
  <c r="L272" i="66"/>
  <c r="R148" i="42"/>
  <c r="AE134" i="42"/>
  <c r="AG134" i="42" s="1"/>
  <c r="D149" i="42"/>
  <c r="AE144" i="42"/>
  <c r="AG144" i="42" s="1"/>
  <c r="AE149" i="42"/>
  <c r="AG149" i="42" s="1"/>
  <c r="AE139" i="42"/>
  <c r="AG139" i="42" s="1"/>
  <c r="D129" i="42"/>
  <c r="D139" i="42"/>
  <c r="AE133" i="42"/>
  <c r="R138" i="42"/>
  <c r="AE143" i="42"/>
  <c r="R128" i="42"/>
  <c r="D144" i="42"/>
  <c r="R133" i="42"/>
  <c r="R143" i="42"/>
  <c r="AE129" i="42"/>
  <c r="AG129" i="42" s="1"/>
  <c r="AE148" i="42"/>
  <c r="AE138" i="42"/>
  <c r="D134" i="42"/>
  <c r="D468" i="66"/>
  <c r="L492" i="66"/>
  <c r="CW108" i="61"/>
  <c r="D221" i="66"/>
  <c r="L232" i="66"/>
  <c r="CS112" i="61"/>
  <c r="CV109" i="61"/>
  <c r="D240" i="66"/>
  <c r="L252" i="66"/>
  <c r="R89" i="36"/>
  <c r="R102" i="36"/>
  <c r="D103" i="36"/>
  <c r="F103" i="36" s="1"/>
  <c r="D107" i="36"/>
  <c r="F107" i="36" s="1"/>
  <c r="CT111" i="61"/>
  <c r="D278" i="66"/>
  <c r="L292" i="66"/>
  <c r="H119" i="42"/>
  <c r="H120" i="42" s="1"/>
  <c r="J120" i="42" s="1"/>
  <c r="F120" i="42"/>
  <c r="J119" i="42" s="1"/>
  <c r="J134" i="44"/>
  <c r="N134" i="44" s="1"/>
  <c r="AQ134" i="44" s="1"/>
  <c r="J135" i="44"/>
  <c r="N135" i="44" s="1"/>
  <c r="AQ135" i="44" s="1"/>
  <c r="D211" i="65"/>
  <c r="A211" i="65" s="1"/>
  <c r="I211" i="66"/>
  <c r="J211" i="66"/>
  <c r="B211" i="65" s="1"/>
  <c r="B486" i="66"/>
  <c r="A486" i="66"/>
  <c r="B429" i="66"/>
  <c r="A429" i="66"/>
  <c r="H97" i="34"/>
  <c r="T99" i="38"/>
  <c r="T100" i="38" s="1"/>
  <c r="X99" i="38" s="1"/>
  <c r="V99" i="38"/>
  <c r="V100" i="38" s="1"/>
  <c r="D411" i="65"/>
  <c r="A411" i="65" s="1"/>
  <c r="J411" i="66"/>
  <c r="B411" i="65" s="1"/>
  <c r="I411" i="66"/>
  <c r="AG128" i="42"/>
  <c r="AE135" i="43"/>
  <c r="AI134" i="43" s="1"/>
  <c r="AG133" i="43"/>
  <c r="AG135" i="43" s="1"/>
  <c r="F129" i="43"/>
  <c r="H129" i="43" s="1"/>
  <c r="J127" i="43"/>
  <c r="T148" i="43"/>
  <c r="V148" i="43"/>
  <c r="AG125" i="42"/>
  <c r="AI125" i="43"/>
  <c r="J124" i="43"/>
  <c r="N124" i="43" s="1"/>
  <c r="AQ124" i="43" s="1"/>
  <c r="J125" i="43"/>
  <c r="N125" i="43" s="1"/>
  <c r="AQ125" i="43" s="1"/>
  <c r="X105" i="40"/>
  <c r="AI150" i="44"/>
  <c r="J149" i="44"/>
  <c r="N149" i="44" s="1"/>
  <c r="AQ149" i="44" s="1"/>
  <c r="J150" i="44"/>
  <c r="N150" i="44" s="1"/>
  <c r="AQ150" i="44" s="1"/>
  <c r="F119" i="41"/>
  <c r="J117" i="41"/>
  <c r="H102" i="35"/>
  <c r="D491" i="65"/>
  <c r="A491" i="65" s="1"/>
  <c r="J491" i="66"/>
  <c r="B491" i="65" s="1"/>
  <c r="I491" i="66"/>
  <c r="D471" i="65"/>
  <c r="A471" i="65" s="1"/>
  <c r="J471" i="66"/>
  <c r="B471" i="65" s="1"/>
  <c r="I471" i="66"/>
  <c r="H117" i="40"/>
  <c r="H107" i="37"/>
  <c r="D391" i="65"/>
  <c r="A391" i="65" s="1"/>
  <c r="J391" i="66"/>
  <c r="B391" i="65" s="1"/>
  <c r="I391" i="66"/>
  <c r="D431" i="65"/>
  <c r="A431" i="65" s="1"/>
  <c r="J431" i="66"/>
  <c r="B431" i="65" s="1"/>
  <c r="I431" i="66"/>
  <c r="AG113" i="39"/>
  <c r="AG115" i="39" s="1"/>
  <c r="F113" i="39"/>
  <c r="L352" i="66"/>
  <c r="R99" i="37"/>
  <c r="D108" i="37"/>
  <c r="F108" i="37" s="1"/>
  <c r="H108" i="37" s="1"/>
  <c r="R107" i="37"/>
  <c r="D112" i="37"/>
  <c r="F112" i="37" s="1"/>
  <c r="D430" i="66"/>
  <c r="L452" i="66"/>
  <c r="D373" i="66"/>
  <c r="L392" i="66"/>
  <c r="D487" i="66"/>
  <c r="L512" i="66"/>
  <c r="D104" i="37"/>
  <c r="J102" i="37" s="1"/>
  <c r="AE104" i="37"/>
  <c r="AG104" i="37" s="1"/>
  <c r="B201" i="66"/>
  <c r="A201" i="66"/>
  <c r="D251" i="65"/>
  <c r="A251" i="65" s="1"/>
  <c r="J251" i="66"/>
  <c r="B251" i="65" s="1"/>
  <c r="I251" i="66"/>
  <c r="T87" i="34"/>
  <c r="V87" i="34"/>
  <c r="H112" i="38"/>
  <c r="H113" i="40"/>
  <c r="H115" i="40" s="1"/>
  <c r="F115" i="40"/>
  <c r="A391" i="66"/>
  <c r="B391" i="66"/>
  <c r="V123" i="42"/>
  <c r="T123" i="42"/>
  <c r="F139" i="43"/>
  <c r="H139" i="43" s="1"/>
  <c r="J137" i="43"/>
  <c r="F149" i="43"/>
  <c r="H149" i="43" s="1"/>
  <c r="J147" i="43"/>
  <c r="V128" i="43"/>
  <c r="T128" i="43"/>
  <c r="AE140" i="43"/>
  <c r="AI139" i="43" s="1"/>
  <c r="AG138" i="43"/>
  <c r="AG140" i="43" s="1"/>
  <c r="AG123" i="41"/>
  <c r="AG125" i="41" s="1"/>
  <c r="T114" i="41"/>
  <c r="T115" i="41" s="1"/>
  <c r="X114" i="41" s="1"/>
  <c r="V114" i="41"/>
  <c r="V115" i="41" s="1"/>
  <c r="T97" i="35"/>
  <c r="V97" i="35"/>
  <c r="B467" i="66"/>
  <c r="A467" i="66"/>
  <c r="B448" i="66"/>
  <c r="A448" i="66"/>
  <c r="J129" i="44"/>
  <c r="N129" i="44" s="1"/>
  <c r="AQ129" i="44" s="1"/>
  <c r="J130" i="44"/>
  <c r="N130" i="44" s="1"/>
  <c r="AQ130" i="44" s="1"/>
  <c r="J145" i="44"/>
  <c r="N145" i="44" s="1"/>
  <c r="AQ145" i="44" s="1"/>
  <c r="J144" i="44"/>
  <c r="N144" i="44" s="1"/>
  <c r="AQ144" i="44" s="1"/>
  <c r="D231" i="65"/>
  <c r="A231" i="65" s="1"/>
  <c r="J231" i="66"/>
  <c r="B231" i="65" s="1"/>
  <c r="I231" i="66"/>
  <c r="T102" i="37"/>
  <c r="V102" i="37"/>
  <c r="B372" i="66"/>
  <c r="A372" i="66"/>
  <c r="B410" i="66"/>
  <c r="A410" i="66"/>
  <c r="F109" i="39"/>
  <c r="J107" i="39"/>
  <c r="V104" i="39"/>
  <c r="V105" i="39" s="1"/>
  <c r="T104" i="39"/>
  <c r="T105" i="39" s="1"/>
  <c r="X104" i="39" s="1"/>
  <c r="X8" i="4"/>
  <c r="AI70" i="32"/>
  <c r="N60" i="31"/>
  <c r="AQ60" i="31" s="1"/>
  <c r="AI55" i="29"/>
  <c r="AA30" i="59"/>
  <c r="AE29" i="59" s="1"/>
  <c r="CK120" i="61"/>
  <c r="CJ121" i="61"/>
  <c r="CM118" i="61"/>
  <c r="CN117" i="61"/>
  <c r="A277" i="65"/>
  <c r="A225" i="65"/>
  <c r="A264" i="65"/>
  <c r="AA5" i="59"/>
  <c r="AA6" i="59" s="1"/>
  <c r="AE5" i="59" s="1"/>
  <c r="AC5" i="59"/>
  <c r="AC6" i="59" s="1"/>
  <c r="AR15" i="59"/>
  <c r="A238" i="65"/>
  <c r="CQ114" i="61"/>
  <c r="AP16" i="59"/>
  <c r="AR16" i="59" s="1"/>
  <c r="AN5" i="59"/>
  <c r="AN9" i="59"/>
  <c r="T16" i="59"/>
  <c r="R19" i="59" s="1"/>
  <c r="P5" i="59" s="1"/>
  <c r="AA22" i="59"/>
  <c r="AC22" i="59"/>
  <c r="AC30" i="59"/>
  <c r="CP115" i="61"/>
  <c r="CL119" i="61"/>
  <c r="CO116" i="61"/>
  <c r="CI122" i="61"/>
  <c r="A303" i="65"/>
  <c r="AA16" i="59"/>
  <c r="AE14" i="59"/>
  <c r="A290" i="65"/>
  <c r="AE12" i="59"/>
  <c r="J59" i="30"/>
  <c r="AI90" i="36"/>
  <c r="J60" i="30"/>
  <c r="AI95" i="37"/>
  <c r="L65" i="33"/>
  <c r="N65" i="33" s="1"/>
  <c r="AQ65" i="33" s="1"/>
  <c r="J39" i="26"/>
  <c r="N39" i="26" s="1"/>
  <c r="AQ39" i="26" s="1"/>
  <c r="V85" i="35"/>
  <c r="X85" i="35" s="1"/>
  <c r="X26" i="25"/>
  <c r="AA25" i="25"/>
  <c r="AG25" i="25" s="1"/>
  <c r="Y24" i="25"/>
  <c r="AI40" i="26"/>
  <c r="AG60" i="29"/>
  <c r="V50" i="28"/>
  <c r="AE60" i="29"/>
  <c r="AI59" i="29" s="1"/>
  <c r="AR39" i="29"/>
  <c r="AG70" i="31"/>
  <c r="J40" i="26"/>
  <c r="N40" i="26" s="1"/>
  <c r="AQ40" i="26" s="1"/>
  <c r="X7" i="3"/>
  <c r="AB39" i="28"/>
  <c r="V81" i="59"/>
  <c r="AE70" i="31"/>
  <c r="AI69" i="31" s="1"/>
  <c r="Z79" i="41"/>
  <c r="AB79" i="41" s="1"/>
  <c r="L84" i="41"/>
  <c r="N84" i="41" s="1"/>
  <c r="AQ84" i="41" s="1"/>
  <c r="AK79" i="41"/>
  <c r="AM79" i="41" s="1"/>
  <c r="AS79" i="41" s="1"/>
  <c r="AT79" i="41" s="1"/>
  <c r="L79" i="38"/>
  <c r="N79" i="38" s="1"/>
  <c r="AQ79" i="38" s="1"/>
  <c r="AK80" i="41"/>
  <c r="AM80" i="41" s="1"/>
  <c r="AS80" i="41" s="1"/>
  <c r="AT80" i="41" s="1"/>
  <c r="Z80" i="41"/>
  <c r="AB80" i="41" s="1"/>
  <c r="L85" i="41"/>
  <c r="N85" i="41" s="1"/>
  <c r="AQ85" i="41" s="1"/>
  <c r="Z74" i="38"/>
  <c r="AB74" i="38" s="1"/>
  <c r="AR74" i="38" s="1"/>
  <c r="AT74" i="38" s="1"/>
  <c r="AG90" i="35"/>
  <c r="AE65" i="30"/>
  <c r="AI64" i="30" s="1"/>
  <c r="AE90" i="35"/>
  <c r="AI89" i="35" s="1"/>
  <c r="T50" i="28"/>
  <c r="X49" i="28" s="1"/>
  <c r="Y11" i="5"/>
  <c r="X10" i="5" s="1"/>
  <c r="AA11" i="6"/>
  <c r="AG11" i="6" s="1"/>
  <c r="J47" i="27"/>
  <c r="AE75" i="32"/>
  <c r="AI74" i="32" s="1"/>
  <c r="D77" i="30"/>
  <c r="F77" i="30" s="1"/>
  <c r="AI100" i="38"/>
  <c r="D73" i="30"/>
  <c r="F73" i="30" s="1"/>
  <c r="H73" i="30" s="1"/>
  <c r="AR49" i="31"/>
  <c r="X70" i="33"/>
  <c r="X80" i="35"/>
  <c r="D68" i="29"/>
  <c r="F68" i="29" s="1"/>
  <c r="R67" i="29"/>
  <c r="H67" i="28"/>
  <c r="H54" i="29"/>
  <c r="H55" i="29" s="1"/>
  <c r="J55" i="29" s="1"/>
  <c r="F55" i="29"/>
  <c r="J54" i="29" s="1"/>
  <c r="AE98" i="35"/>
  <c r="AG98" i="35" s="1"/>
  <c r="AE94" i="35"/>
  <c r="AG94" i="35" s="1"/>
  <c r="R82" i="32"/>
  <c r="D83" i="32"/>
  <c r="F83" i="32" s="1"/>
  <c r="H83" i="32" s="1"/>
  <c r="D87" i="32"/>
  <c r="F87" i="32" s="1"/>
  <c r="L70" i="36"/>
  <c r="N70" i="36" s="1"/>
  <c r="AQ70" i="36" s="1"/>
  <c r="AG99" i="37"/>
  <c r="AG100" i="37" s="1"/>
  <c r="AE100" i="37"/>
  <c r="AI99" i="37" s="1"/>
  <c r="F104" i="37"/>
  <c r="H104" i="37" s="1"/>
  <c r="AG103" i="37"/>
  <c r="V79" i="34"/>
  <c r="V80" i="34" s="1"/>
  <c r="T79" i="34"/>
  <c r="T80" i="34" s="1"/>
  <c r="X79" i="34" s="1"/>
  <c r="T77" i="32"/>
  <c r="V77" i="32"/>
  <c r="H87" i="33"/>
  <c r="H69" i="32"/>
  <c r="H70" i="32" s="1"/>
  <c r="J70" i="32" s="1"/>
  <c r="F70" i="32"/>
  <c r="J69" i="32" s="1"/>
  <c r="R77" i="31"/>
  <c r="D82" i="31"/>
  <c r="F82" i="31" s="1"/>
  <c r="D72" i="29"/>
  <c r="F72" i="29" s="1"/>
  <c r="R98" i="36"/>
  <c r="AE103" i="36"/>
  <c r="D99" i="36"/>
  <c r="AE99" i="36"/>
  <c r="AI105" i="38"/>
  <c r="V69" i="32"/>
  <c r="V70" i="32" s="1"/>
  <c r="T69" i="32"/>
  <c r="T70" i="32" s="1"/>
  <c r="X69" i="32" s="1"/>
  <c r="R87" i="59"/>
  <c r="D93" i="59"/>
  <c r="F93" i="59" s="1"/>
  <c r="D88" i="33"/>
  <c r="F88" i="33" s="1"/>
  <c r="H88" i="33" s="1"/>
  <c r="R79" i="33"/>
  <c r="H84" i="35"/>
  <c r="H85" i="35" s="1"/>
  <c r="J85" i="35" s="1"/>
  <c r="F85" i="35"/>
  <c r="J84" i="35" s="1"/>
  <c r="AR69" i="37"/>
  <c r="AT69" i="37" s="1"/>
  <c r="D12" i="37" s="1"/>
  <c r="AR70" i="37"/>
  <c r="AT70" i="37" s="1"/>
  <c r="E12" i="37" s="1"/>
  <c r="AK75" i="37" s="1"/>
  <c r="AM75" i="37" s="1"/>
  <c r="AS75" i="37" s="1"/>
  <c r="F99" i="37"/>
  <c r="J97" i="37"/>
  <c r="T103" i="37"/>
  <c r="V103" i="37"/>
  <c r="H68" i="30"/>
  <c r="D94" i="35"/>
  <c r="F94" i="35" s="1"/>
  <c r="H94" i="35" s="1"/>
  <c r="H89" i="36"/>
  <c r="H90" i="36" s="1"/>
  <c r="J90" i="36" s="1"/>
  <c r="F90" i="36"/>
  <c r="J89" i="36" s="1"/>
  <c r="R39" i="26"/>
  <c r="T39" i="26" s="1"/>
  <c r="T40" i="26" s="1"/>
  <c r="X39" i="26" s="1"/>
  <c r="D53" i="26"/>
  <c r="F53" i="26" s="1"/>
  <c r="V49" i="27"/>
  <c r="T49" i="27"/>
  <c r="V98" i="37"/>
  <c r="T98" i="37"/>
  <c r="H82" i="32"/>
  <c r="V67" i="30"/>
  <c r="T67" i="30"/>
  <c r="V82" i="33"/>
  <c r="T82" i="33"/>
  <c r="AG75" i="32"/>
  <c r="AI85" i="35"/>
  <c r="AI65" i="31"/>
  <c r="Z64" i="36"/>
  <c r="AB64" i="36" s="1"/>
  <c r="AK64" i="36"/>
  <c r="AM64" i="36" s="1"/>
  <c r="AS64" i="36" s="1"/>
  <c r="AB55" i="31"/>
  <c r="AG65" i="30"/>
  <c r="AG45" i="26"/>
  <c r="AE45" i="26"/>
  <c r="AI44" i="26" s="1"/>
  <c r="AI45" i="27"/>
  <c r="AI95" i="36"/>
  <c r="N44" i="28"/>
  <c r="AQ44" i="28" s="1"/>
  <c r="Z65" i="36"/>
  <c r="AB65" i="36" s="1"/>
  <c r="AK65" i="36"/>
  <c r="AM65" i="36" s="1"/>
  <c r="AS65" i="36" s="1"/>
  <c r="AG55" i="28"/>
  <c r="AE55" i="28"/>
  <c r="AI54" i="28" s="1"/>
  <c r="AR60" i="33"/>
  <c r="AT60" i="33" s="1"/>
  <c r="E10" i="33" s="1"/>
  <c r="AR54" i="32"/>
  <c r="AT54" i="32" s="1"/>
  <c r="D9" i="32" s="1"/>
  <c r="AR55" i="32"/>
  <c r="AT55" i="32" s="1"/>
  <c r="E9" i="32" s="1"/>
  <c r="AK64" i="33"/>
  <c r="AM64" i="33" s="1"/>
  <c r="AS64" i="33" s="1"/>
  <c r="Z64" i="33"/>
  <c r="AB64" i="33" s="1"/>
  <c r="AK54" i="31"/>
  <c r="AM54" i="31" s="1"/>
  <c r="AS54" i="31" s="1"/>
  <c r="L59" i="31"/>
  <c r="N59" i="31" s="1"/>
  <c r="AQ59" i="31" s="1"/>
  <c r="Z54" i="31"/>
  <c r="AB54" i="31" s="1"/>
  <c r="AR44" i="31"/>
  <c r="AT44" i="31" s="1"/>
  <c r="D7" i="31" s="1"/>
  <c r="AK49" i="31" s="1"/>
  <c r="AM49" i="31" s="1"/>
  <c r="AS49" i="31" s="1"/>
  <c r="AR45" i="31"/>
  <c r="AT45" i="31" s="1"/>
  <c r="E7" i="31" s="1"/>
  <c r="AK50" i="31" s="1"/>
  <c r="AM50" i="31" s="1"/>
  <c r="AS50" i="31" s="1"/>
  <c r="AR65" i="35"/>
  <c r="AT65" i="35" s="1"/>
  <c r="E11" i="35" s="1"/>
  <c r="AR64" i="35"/>
  <c r="AT64" i="35" s="1"/>
  <c r="D11" i="35" s="1"/>
  <c r="AR59" i="34"/>
  <c r="AT59" i="34" s="1"/>
  <c r="D10" i="34" s="1"/>
  <c r="L69" i="34" s="1"/>
  <c r="N69" i="34" s="1"/>
  <c r="AQ69" i="34" s="1"/>
  <c r="AR60" i="34"/>
  <c r="AT60" i="34" s="1"/>
  <c r="E10" i="34" s="1"/>
  <c r="L70" i="34" s="1"/>
  <c r="N70" i="34" s="1"/>
  <c r="AQ70" i="34" s="1"/>
  <c r="X75" i="34"/>
  <c r="X45" i="28"/>
  <c r="X55" i="30"/>
  <c r="X60" i="31"/>
  <c r="X40" i="27"/>
  <c r="N45" i="28"/>
  <c r="AQ45" i="28" s="1"/>
  <c r="Y14" i="8"/>
  <c r="AA14" i="8" s="1"/>
  <c r="AG14" i="8" s="1"/>
  <c r="X66" i="59"/>
  <c r="AR35" i="26"/>
  <c r="AT35" i="26" s="1"/>
  <c r="E5" i="26" s="1"/>
  <c r="AR34" i="26"/>
  <c r="AT34" i="26" s="1"/>
  <c r="D5" i="26" s="1"/>
  <c r="H62" i="29"/>
  <c r="AA14" i="9"/>
  <c r="AG14" i="9" s="1"/>
  <c r="X13" i="9"/>
  <c r="H10" i="3"/>
  <c r="I10" i="3" s="1"/>
  <c r="D10" i="3"/>
  <c r="F10" i="3" s="1"/>
  <c r="G10" i="3" s="1"/>
  <c r="AA13" i="7"/>
  <c r="AG13" i="7" s="1"/>
  <c r="R63" i="29"/>
  <c r="AE64" i="29"/>
  <c r="AG64" i="29" s="1"/>
  <c r="AE68" i="29"/>
  <c r="R59" i="29"/>
  <c r="D64" i="29"/>
  <c r="AV20" i="13"/>
  <c r="AV11" i="4"/>
  <c r="H15" i="8"/>
  <c r="I15" i="8" s="1"/>
  <c r="D15" i="8"/>
  <c r="F15" i="8" s="1"/>
  <c r="G15" i="8" s="1"/>
  <c r="AG88" i="34"/>
  <c r="AY13" i="61"/>
  <c r="B13" i="5"/>
  <c r="AP13" i="5"/>
  <c r="C24" i="41"/>
  <c r="D26" i="53"/>
  <c r="F26" i="53" s="1"/>
  <c r="G26" i="53" s="1"/>
  <c r="H26" i="53"/>
  <c r="I26" i="53" s="1"/>
  <c r="AK27" i="61"/>
  <c r="AB30" i="68" s="1"/>
  <c r="B27" i="19"/>
  <c r="AP27" i="19"/>
  <c r="C10" i="27"/>
  <c r="D67" i="27" s="1"/>
  <c r="F67" i="27" s="1"/>
  <c r="B27" i="53"/>
  <c r="AP27" i="53"/>
  <c r="AF6" i="2"/>
  <c r="F28" i="22"/>
  <c r="D29" i="22"/>
  <c r="I35" i="22" s="1"/>
  <c r="AG78" i="32"/>
  <c r="AV13" i="6"/>
  <c r="F57" i="27"/>
  <c r="V48" i="27"/>
  <c r="T48" i="27"/>
  <c r="H9" i="2"/>
  <c r="I9" i="2" s="1"/>
  <c r="D9" i="2"/>
  <c r="F9" i="2" s="1"/>
  <c r="G9" i="2" s="1"/>
  <c r="AG93" i="35"/>
  <c r="V88" i="35"/>
  <c r="T88" i="35"/>
  <c r="AG83" i="33"/>
  <c r="F77" i="59"/>
  <c r="J75" i="59"/>
  <c r="AV17" i="10"/>
  <c r="AV23" i="16"/>
  <c r="V59" i="30"/>
  <c r="V60" i="30" s="1"/>
  <c r="T59" i="30"/>
  <c r="T60" i="30" s="1"/>
  <c r="X59" i="30" s="1"/>
  <c r="R78" i="32"/>
  <c r="R74" i="32"/>
  <c r="AE79" i="32"/>
  <c r="AG79" i="32" s="1"/>
  <c r="AE83" i="32"/>
  <c r="D79" i="32"/>
  <c r="F79" i="32" s="1"/>
  <c r="H79" i="32" s="1"/>
  <c r="AE80" i="33"/>
  <c r="AI79" i="33" s="1"/>
  <c r="H57" i="28"/>
  <c r="H24" i="17"/>
  <c r="I24" i="17" s="1"/>
  <c r="D24" i="17"/>
  <c r="F24" i="17" s="1"/>
  <c r="G24" i="17" s="1"/>
  <c r="F69" i="31"/>
  <c r="J67" i="31"/>
  <c r="AE84" i="33"/>
  <c r="AG84" i="33" s="1"/>
  <c r="AE88" i="33"/>
  <c r="D84" i="33"/>
  <c r="R83" i="33"/>
  <c r="H77" i="31"/>
  <c r="V58" i="29"/>
  <c r="T58" i="29"/>
  <c r="AG48" i="26"/>
  <c r="AV14" i="7"/>
  <c r="AV18" i="11"/>
  <c r="H50" i="27"/>
  <c r="H74" i="33"/>
  <c r="H75" i="33" s="1"/>
  <c r="J75" i="33" s="1"/>
  <c r="F75" i="33"/>
  <c r="J74" i="33" s="1"/>
  <c r="F10" i="4"/>
  <c r="AE58" i="27"/>
  <c r="AE54" i="27"/>
  <c r="AG54" i="27" s="1"/>
  <c r="R53" i="27"/>
  <c r="D54" i="27"/>
  <c r="D58" i="27"/>
  <c r="F58" i="27" s="1"/>
  <c r="H58" i="27" s="1"/>
  <c r="D62" i="27"/>
  <c r="R57" i="27"/>
  <c r="AV16" i="9"/>
  <c r="AA26" i="24"/>
  <c r="AG26" i="24" s="1"/>
  <c r="Y25" i="24"/>
  <c r="X26" i="24" s="1"/>
  <c r="AG6" i="1"/>
  <c r="AV10" i="3"/>
  <c r="H47" i="26"/>
  <c r="AA15" i="10"/>
  <c r="X14" i="10"/>
  <c r="H25" i="18"/>
  <c r="I25" i="18" s="1"/>
  <c r="D25" i="18"/>
  <c r="F25" i="18" s="1"/>
  <c r="G25" i="18" s="1"/>
  <c r="AE89" i="34"/>
  <c r="AG89" i="34" s="1"/>
  <c r="AE93" i="34"/>
  <c r="R88" i="34"/>
  <c r="D89" i="34"/>
  <c r="AZ12" i="61"/>
  <c r="B12" i="4"/>
  <c r="AP12" i="4"/>
  <c r="C25" i="42"/>
  <c r="AV16" i="61"/>
  <c r="AM19" i="68" s="1"/>
  <c r="B16" i="8"/>
  <c r="AP16" i="8"/>
  <c r="C21" i="38"/>
  <c r="H12" i="5"/>
  <c r="I12" i="5" s="1"/>
  <c r="D12" i="5"/>
  <c r="H26" i="19"/>
  <c r="I26" i="19" s="1"/>
  <c r="D26" i="19"/>
  <c r="F26" i="19" s="1"/>
  <c r="G26" i="19" s="1"/>
  <c r="Y9" i="3"/>
  <c r="J94" i="36"/>
  <c r="N94" i="36" s="1"/>
  <c r="AQ94" i="36" s="1"/>
  <c r="J95" i="36"/>
  <c r="N95" i="36" s="1"/>
  <c r="AQ95" i="36" s="1"/>
  <c r="V44" i="27"/>
  <c r="V45" i="27" s="1"/>
  <c r="T44" i="27"/>
  <c r="T45" i="27" s="1"/>
  <c r="X44" i="27" s="1"/>
  <c r="AG53" i="27"/>
  <c r="AV19" i="12"/>
  <c r="AK72" i="59"/>
  <c r="F89" i="35"/>
  <c r="J87" i="35"/>
  <c r="V74" i="33"/>
  <c r="V75" i="33" s="1"/>
  <c r="T74" i="33"/>
  <c r="T75" i="33" s="1"/>
  <c r="X74" i="33" s="1"/>
  <c r="AF8" i="5"/>
  <c r="AF9" i="5" s="1"/>
  <c r="H71" i="59"/>
  <c r="H72" i="59" s="1"/>
  <c r="J72" i="59" s="1"/>
  <c r="F72" i="59"/>
  <c r="J71" i="59" s="1"/>
  <c r="T53" i="28"/>
  <c r="V53" i="28"/>
  <c r="AI82" i="59"/>
  <c r="AE82" i="59"/>
  <c r="Y15" i="9"/>
  <c r="X14" i="9" s="1"/>
  <c r="H17" i="10"/>
  <c r="I17" i="10" s="1"/>
  <c r="D17" i="10"/>
  <c r="F17" i="10" s="1"/>
  <c r="G17" i="10" s="1"/>
  <c r="AF15" i="11"/>
  <c r="AA28" i="22"/>
  <c r="AG28" i="22" s="1"/>
  <c r="Y27" i="22"/>
  <c r="X28" i="22" s="1"/>
  <c r="H23" i="16"/>
  <c r="I23" i="16" s="1"/>
  <c r="D23" i="16"/>
  <c r="F23" i="16" s="1"/>
  <c r="G23" i="16" s="1"/>
  <c r="AA10" i="5"/>
  <c r="X9" i="5"/>
  <c r="AE53" i="26"/>
  <c r="AE49" i="26"/>
  <c r="AG49" i="26" s="1"/>
  <c r="R48" i="26"/>
  <c r="R44" i="26"/>
  <c r="D49" i="26"/>
  <c r="R52" i="26"/>
  <c r="D57" i="26"/>
  <c r="AG68" i="30"/>
  <c r="AV8" i="1"/>
  <c r="AE50" i="27"/>
  <c r="AI49" i="27" s="1"/>
  <c r="H22" i="15"/>
  <c r="I22" i="15" s="1"/>
  <c r="D22" i="15"/>
  <c r="F22" i="15" s="1"/>
  <c r="G22" i="15" s="1"/>
  <c r="AG85" i="34"/>
  <c r="AG80" i="33"/>
  <c r="AE69" i="30"/>
  <c r="AG69" i="30" s="1"/>
  <c r="R68" i="30"/>
  <c r="AE73" i="30"/>
  <c r="D69" i="30"/>
  <c r="AG73" i="31"/>
  <c r="AV21" i="14"/>
  <c r="G12" i="7"/>
  <c r="T54" i="29"/>
  <c r="T55" i="29" s="1"/>
  <c r="X54" i="29" s="1"/>
  <c r="V54" i="29"/>
  <c r="V55" i="29" s="1"/>
  <c r="T43" i="26"/>
  <c r="V43" i="26"/>
  <c r="F9" i="3"/>
  <c r="H18" i="11"/>
  <c r="I18" i="11" s="1"/>
  <c r="D18" i="11"/>
  <c r="F18" i="11" s="1"/>
  <c r="G18" i="11" s="1"/>
  <c r="Y7" i="1"/>
  <c r="F50" i="27"/>
  <c r="AV27" i="20"/>
  <c r="H16" i="9"/>
  <c r="I16" i="9" s="1"/>
  <c r="D16" i="9"/>
  <c r="F16" i="9" s="1"/>
  <c r="G16" i="9" s="1"/>
  <c r="AB40" i="28"/>
  <c r="BA11" i="61"/>
  <c r="B11" i="3"/>
  <c r="C26" i="43"/>
  <c r="AP11" i="3"/>
  <c r="AL26" i="61"/>
  <c r="AC29" i="68" s="1"/>
  <c r="C11" i="28"/>
  <c r="D72" i="28" s="1"/>
  <c r="B26" i="18"/>
  <c r="AP26" i="18"/>
  <c r="AA13" i="8"/>
  <c r="AG13" i="8" s="1"/>
  <c r="H20" i="13"/>
  <c r="I20" i="13" s="1"/>
  <c r="D20" i="13"/>
  <c r="F20" i="13" s="1"/>
  <c r="G20" i="13" s="1"/>
  <c r="H87" i="59"/>
  <c r="AV15" i="8"/>
  <c r="T83" i="34"/>
  <c r="T85" i="34" s="1"/>
  <c r="X84" i="34" s="1"/>
  <c r="V83" i="34"/>
  <c r="V85" i="34" s="1"/>
  <c r="AV26" i="19"/>
  <c r="F78" i="32"/>
  <c r="V64" i="32"/>
  <c r="V65" i="32" s="1"/>
  <c r="T64" i="32"/>
  <c r="T65" i="32" s="1"/>
  <c r="X64" i="32" s="1"/>
  <c r="H13" i="6"/>
  <c r="I13" i="6" s="1"/>
  <c r="D13" i="6"/>
  <c r="F13" i="6" s="1"/>
  <c r="G13" i="6" s="1"/>
  <c r="AR20" i="61"/>
  <c r="AI23" i="68" s="1"/>
  <c r="B20" i="12"/>
  <c r="AP20" i="12"/>
  <c r="C17" i="34"/>
  <c r="AE98" i="34" s="1"/>
  <c r="AF11" i="7"/>
  <c r="AF12" i="7" s="1"/>
  <c r="AV9" i="2"/>
  <c r="AA27" i="23"/>
  <c r="AG27" i="23" s="1"/>
  <c r="Y26" i="23"/>
  <c r="X27" i="23" s="1"/>
  <c r="V93" i="35"/>
  <c r="T93" i="35"/>
  <c r="V78" i="33"/>
  <c r="T78" i="33"/>
  <c r="X65" i="33"/>
  <c r="Y10" i="4"/>
  <c r="F62" i="28"/>
  <c r="F54" i="28"/>
  <c r="J52" i="28"/>
  <c r="V76" i="59"/>
  <c r="T76" i="59"/>
  <c r="AT18" i="61"/>
  <c r="AK21" i="68" s="1"/>
  <c r="B18" i="10"/>
  <c r="C19" i="36"/>
  <c r="R103" i="36" s="1"/>
  <c r="AP18" i="10"/>
  <c r="G28" i="23"/>
  <c r="G29" i="23" s="1"/>
  <c r="I38" i="23" s="1"/>
  <c r="F29" i="23"/>
  <c r="I36" i="23" s="1"/>
  <c r="AE74" i="31"/>
  <c r="AG74" i="31" s="1"/>
  <c r="AE78" i="31"/>
  <c r="D74" i="31"/>
  <c r="R64" i="31"/>
  <c r="R73" i="31"/>
  <c r="D78" i="31"/>
  <c r="AN24" i="61"/>
  <c r="AE27" i="68" s="1"/>
  <c r="C13" i="30"/>
  <c r="B24" i="16"/>
  <c r="AP24" i="16"/>
  <c r="H28" i="21"/>
  <c r="I28" i="21" s="1"/>
  <c r="I29" i="21" s="1"/>
  <c r="I39" i="21" s="1"/>
  <c r="D28" i="21"/>
  <c r="S7" i="21"/>
  <c r="V72" i="30"/>
  <c r="T72" i="30"/>
  <c r="V63" i="30"/>
  <c r="T63" i="30"/>
  <c r="D8" i="1"/>
  <c r="F8" i="1" s="1"/>
  <c r="G8" i="1" s="1"/>
  <c r="H8" i="1"/>
  <c r="I8" i="1" s="1"/>
  <c r="AG50" i="27"/>
  <c r="AV22" i="15"/>
  <c r="AE85" i="34"/>
  <c r="AI84" i="34" s="1"/>
  <c r="J77" i="33"/>
  <c r="AM25" i="61"/>
  <c r="AD28" i="68" s="1"/>
  <c r="B25" i="17"/>
  <c r="C12" i="29"/>
  <c r="D73" i="29" s="1"/>
  <c r="F73" i="29" s="1"/>
  <c r="H73" i="29" s="1"/>
  <c r="AP25" i="17"/>
  <c r="H21" i="14"/>
  <c r="I21" i="14" s="1"/>
  <c r="D21" i="14"/>
  <c r="F21" i="14" s="1"/>
  <c r="G21" i="14" s="1"/>
  <c r="AG9" i="4"/>
  <c r="F59" i="29"/>
  <c r="J57" i="29"/>
  <c r="F44" i="26"/>
  <c r="J42" i="26"/>
  <c r="AF11" i="8"/>
  <c r="AF12" i="8" s="1"/>
  <c r="Y12" i="6"/>
  <c r="H14" i="7"/>
  <c r="I14" i="7" s="1"/>
  <c r="D14" i="7"/>
  <c r="F14" i="7" s="1"/>
  <c r="G14" i="7" s="1"/>
  <c r="AS19" i="61"/>
  <c r="AJ22" i="68" s="1"/>
  <c r="B19" i="11"/>
  <c r="C18" i="35"/>
  <c r="AP19" i="11"/>
  <c r="G10" i="5"/>
  <c r="G6" i="1"/>
  <c r="H27" i="20"/>
  <c r="I27" i="20" s="1"/>
  <c r="D27" i="20"/>
  <c r="F27" i="20" s="1"/>
  <c r="G27" i="20" s="1"/>
  <c r="X27" i="24"/>
  <c r="AV25" i="18"/>
  <c r="AQ21" i="61"/>
  <c r="AH24" i="68" s="1"/>
  <c r="B21" i="13"/>
  <c r="AP21" i="13"/>
  <c r="C16" i="33"/>
  <c r="H11" i="4"/>
  <c r="I11" i="4" s="1"/>
  <c r="D11" i="4"/>
  <c r="F11" i="4" s="1"/>
  <c r="G11" i="4" s="1"/>
  <c r="F84" i="34"/>
  <c r="J82" i="34"/>
  <c r="AV12" i="5"/>
  <c r="AV26" i="53"/>
  <c r="AE59" i="28"/>
  <c r="AG59" i="28" s="1"/>
  <c r="AE63" i="28"/>
  <c r="R58" i="28"/>
  <c r="D59" i="28"/>
  <c r="F59" i="28" s="1"/>
  <c r="H59" i="28" s="1"/>
  <c r="D63" i="28"/>
  <c r="F63" i="28" s="1"/>
  <c r="H63" i="28" s="1"/>
  <c r="R54" i="28"/>
  <c r="R62" i="28"/>
  <c r="F74" i="32"/>
  <c r="J72" i="32"/>
  <c r="T73" i="32"/>
  <c r="V73" i="32"/>
  <c r="AX14" i="61"/>
  <c r="AP14" i="6"/>
  <c r="C23" i="40"/>
  <c r="B14" i="6"/>
  <c r="H72" i="30"/>
  <c r="AA7" i="2"/>
  <c r="AG7" i="2" s="1"/>
  <c r="T52" i="27"/>
  <c r="V52" i="27"/>
  <c r="H19" i="12"/>
  <c r="I19" i="12" s="1"/>
  <c r="D19" i="12"/>
  <c r="F19" i="12" s="1"/>
  <c r="G19" i="12" s="1"/>
  <c r="AI80" i="34"/>
  <c r="BB10" i="61"/>
  <c r="B10" i="2"/>
  <c r="AP10" i="2"/>
  <c r="C27" i="44"/>
  <c r="X12" i="7"/>
  <c r="V57" i="28"/>
  <c r="T57" i="28"/>
  <c r="AG58" i="28"/>
  <c r="G7" i="2"/>
  <c r="AI77" i="59"/>
  <c r="AI78" i="59" s="1"/>
  <c r="AE77" i="59"/>
  <c r="AF9" i="6"/>
  <c r="AF10" i="6" s="1"/>
  <c r="AF11" i="6" s="1"/>
  <c r="AG83" i="59"/>
  <c r="AG84" i="59" s="1"/>
  <c r="AK83" i="59" s="1"/>
  <c r="R82" i="59"/>
  <c r="AG88" i="59"/>
  <c r="R71" i="59"/>
  <c r="D83" i="59"/>
  <c r="D88" i="59"/>
  <c r="AI50" i="28"/>
  <c r="AV28" i="21"/>
  <c r="Y28" i="21"/>
  <c r="BG7" i="21"/>
  <c r="F64" i="30"/>
  <c r="J62" i="30"/>
  <c r="BC9" i="61"/>
  <c r="B9" i="1"/>
  <c r="AP9" i="1"/>
  <c r="C28" i="45"/>
  <c r="Y8" i="2"/>
  <c r="AO23" i="61"/>
  <c r="AF26" i="68" s="1"/>
  <c r="B23" i="15"/>
  <c r="C14" i="31"/>
  <c r="R69" i="31" s="1"/>
  <c r="AP23" i="15"/>
  <c r="C14" i="59"/>
  <c r="H78" i="33"/>
  <c r="H80" i="33" s="1"/>
  <c r="F80" i="33"/>
  <c r="AV24" i="17"/>
  <c r="V68" i="31"/>
  <c r="T68" i="31"/>
  <c r="AF8" i="3"/>
  <c r="AP22" i="61"/>
  <c r="AG25" i="68" s="1"/>
  <c r="AP22" i="14"/>
  <c r="C15" i="32"/>
  <c r="B22" i="14"/>
  <c r="V62" i="29"/>
  <c r="T62" i="29"/>
  <c r="AG63" i="29"/>
  <c r="AW15" i="61"/>
  <c r="AN18" i="68" s="1"/>
  <c r="AP15" i="7"/>
  <c r="Y14" i="7" s="1"/>
  <c r="C22" i="39"/>
  <c r="B15" i="7"/>
  <c r="J80" i="34"/>
  <c r="J79" i="34"/>
  <c r="H49" i="28"/>
  <c r="H50" i="28" s="1"/>
  <c r="J50" i="28" s="1"/>
  <c r="F50" i="28"/>
  <c r="J49" i="28" s="1"/>
  <c r="AG78" i="59"/>
  <c r="AK77" i="59" s="1"/>
  <c r="AP28" i="20"/>
  <c r="C9" i="26"/>
  <c r="AH4" i="26" s="1"/>
  <c r="X31" i="61"/>
  <c r="B28" i="20"/>
  <c r="AU17" i="61"/>
  <c r="AL20" i="68" s="1"/>
  <c r="AP17" i="9"/>
  <c r="C20" i="37"/>
  <c r="B17" i="9"/>
  <c r="CY107" i="61" l="1"/>
  <c r="AQ15" i="68"/>
  <c r="CZ106" i="61"/>
  <c r="AR14" i="68"/>
  <c r="EX137" i="61"/>
  <c r="GI137" i="61" s="1"/>
  <c r="O16" i="64" s="1"/>
  <c r="AO17" i="68"/>
  <c r="CX108" i="61"/>
  <c r="AP16" i="68"/>
  <c r="DB104" i="61"/>
  <c r="AT12" i="68"/>
  <c r="DA105" i="61"/>
  <c r="AS13" i="68"/>
  <c r="V3" i="26"/>
  <c r="AR60" i="43"/>
  <c r="AR59" i="43"/>
  <c r="BZ102" i="61"/>
  <c r="BV102" i="61"/>
  <c r="BR102" i="61"/>
  <c r="BN102" i="61"/>
  <c r="BJ102" i="61"/>
  <c r="BF102" i="61"/>
  <c r="CB102" i="61"/>
  <c r="BX102" i="61"/>
  <c r="BT102" i="61"/>
  <c r="BP102" i="61"/>
  <c r="BL102" i="61"/>
  <c r="BH102" i="61"/>
  <c r="BG102" i="61"/>
  <c r="CC102" i="61"/>
  <c r="BU102" i="61"/>
  <c r="BM102" i="61"/>
  <c r="BK102" i="61"/>
  <c r="CA102" i="61"/>
  <c r="BS102" i="61"/>
  <c r="BY102" i="61"/>
  <c r="BQ102" i="61"/>
  <c r="BI102" i="61"/>
  <c r="BW102" i="61"/>
  <c r="BO102" i="61"/>
  <c r="DG103" i="61"/>
  <c r="DF103" i="61"/>
  <c r="AB10" i="32"/>
  <c r="AD10" i="32" s="1"/>
  <c r="AB16" i="32"/>
  <c r="AD16" i="32" s="1"/>
  <c r="AB5" i="32"/>
  <c r="AD5" i="32" s="1"/>
  <c r="AB9" i="32"/>
  <c r="AD9" i="32" s="1"/>
  <c r="AB15" i="32"/>
  <c r="AD15" i="32" s="1"/>
  <c r="AB4" i="32"/>
  <c r="AD4" i="32" s="1"/>
  <c r="AN11" i="28"/>
  <c r="T15" i="26"/>
  <c r="V15" i="26" s="1"/>
  <c r="X15" i="26" s="1"/>
  <c r="X20" i="26"/>
  <c r="V20" i="26"/>
  <c r="V27" i="26"/>
  <c r="X27" i="26" s="1"/>
  <c r="X28" i="26" s="1"/>
  <c r="T21" i="26"/>
  <c r="V21" i="26" s="1"/>
  <c r="AJ14" i="26"/>
  <c r="AL14" i="26" s="1"/>
  <c r="AH8" i="26"/>
  <c r="AL8" i="26" s="1"/>
  <c r="X16" i="26"/>
  <c r="Z10" i="26"/>
  <c r="J92" i="35"/>
  <c r="V16" i="26"/>
  <c r="L5" i="26"/>
  <c r="AP40" i="26" s="1"/>
  <c r="N18" i="26"/>
  <c r="L4" i="26" s="1"/>
  <c r="AP39" i="26" s="1"/>
  <c r="D263" i="66"/>
  <c r="D292" i="66"/>
  <c r="AJ4" i="26"/>
  <c r="R49" i="26"/>
  <c r="V49" i="26" s="1"/>
  <c r="J114" i="40"/>
  <c r="AR40" i="28"/>
  <c r="AE95" i="35"/>
  <c r="AI94" i="35" s="1"/>
  <c r="J115" i="40"/>
  <c r="X4" i="26"/>
  <c r="X5" i="26" s="1"/>
  <c r="V4" i="26"/>
  <c r="V5" i="26" s="1"/>
  <c r="Z4" i="26" s="1"/>
  <c r="J49" i="27"/>
  <c r="AI125" i="42"/>
  <c r="J112" i="39"/>
  <c r="AR64" i="36"/>
  <c r="AT64" i="36" s="1"/>
  <c r="D11" i="36" s="1"/>
  <c r="L74" i="36" s="1"/>
  <c r="N74" i="36" s="1"/>
  <c r="AQ74" i="36" s="1"/>
  <c r="GH127" i="61"/>
  <c r="N6" i="64" s="1"/>
  <c r="AG105" i="37"/>
  <c r="AE125" i="41"/>
  <c r="AI124" i="41" s="1"/>
  <c r="A330" i="66"/>
  <c r="T84" i="34"/>
  <c r="AE105" i="37"/>
  <c r="AI104" i="37" s="1"/>
  <c r="AE115" i="39"/>
  <c r="AI114" i="39" s="1"/>
  <c r="GC127" i="61"/>
  <c r="GD127" i="61" s="1"/>
  <c r="ER127" i="61"/>
  <c r="DR128" i="61"/>
  <c r="EZ128" i="61" s="1"/>
  <c r="FD128" i="61"/>
  <c r="GE128" i="61" s="1"/>
  <c r="L7" i="64" s="1"/>
  <c r="EI129" i="61"/>
  <c r="FU129" i="61"/>
  <c r="EO129" i="61"/>
  <c r="GA129" i="61"/>
  <c r="EC129" i="61"/>
  <c r="FO129" i="61"/>
  <c r="EH129" i="61"/>
  <c r="FT129" i="61"/>
  <c r="EB129" i="61"/>
  <c r="FN129" i="61"/>
  <c r="DS129" i="61"/>
  <c r="FE129" i="61"/>
  <c r="EG129" i="61"/>
  <c r="FS129" i="61"/>
  <c r="DU129" i="61"/>
  <c r="FG129" i="61"/>
  <c r="ED129" i="61"/>
  <c r="FP129" i="61"/>
  <c r="EN129" i="61"/>
  <c r="FZ129" i="61"/>
  <c r="DX129" i="61"/>
  <c r="FJ129" i="61"/>
  <c r="EM129" i="61"/>
  <c r="FY129" i="61"/>
  <c r="EE129" i="61"/>
  <c r="FQ129" i="61"/>
  <c r="DY129" i="61"/>
  <c r="FK129" i="61"/>
  <c r="GB129" i="61"/>
  <c r="DZ129" i="61"/>
  <c r="FL129" i="61"/>
  <c r="EJ129" i="61"/>
  <c r="FV129" i="61"/>
  <c r="DT129" i="61"/>
  <c r="FF129" i="61"/>
  <c r="DW129" i="61"/>
  <c r="FI129" i="61"/>
  <c r="EA129" i="61"/>
  <c r="FM129" i="61"/>
  <c r="EK129" i="61"/>
  <c r="FW129" i="61"/>
  <c r="EL129" i="61"/>
  <c r="FX129" i="61"/>
  <c r="DV129" i="61"/>
  <c r="FH129" i="61"/>
  <c r="EF129" i="61"/>
  <c r="FR129" i="61"/>
  <c r="DL102" i="61"/>
  <c r="DP102" i="61"/>
  <c r="DT102" i="61"/>
  <c r="DX102" i="61"/>
  <c r="EB102" i="61"/>
  <c r="EF102" i="61"/>
  <c r="DN102" i="61"/>
  <c r="DR102" i="61"/>
  <c r="DV102" i="61"/>
  <c r="DZ102" i="61"/>
  <c r="ED102" i="61"/>
  <c r="EH102" i="61"/>
  <c r="DM102" i="61"/>
  <c r="DU102" i="61"/>
  <c r="EC102" i="61"/>
  <c r="DQ102" i="61"/>
  <c r="DY102" i="61"/>
  <c r="EG102" i="61"/>
  <c r="EA102" i="61"/>
  <c r="DO102" i="61"/>
  <c r="EE102" i="61"/>
  <c r="DS102" i="61"/>
  <c r="EI102" i="61"/>
  <c r="EP130" i="61" s="1"/>
  <c r="DW102" i="61"/>
  <c r="EU129" i="61"/>
  <c r="EV129" i="61" s="1"/>
  <c r="DK101" i="61"/>
  <c r="DD104" i="61"/>
  <c r="AI115" i="40"/>
  <c r="AA11" i="5"/>
  <c r="AG11" i="5" s="1"/>
  <c r="AE120" i="40"/>
  <c r="AI119" i="40" s="1"/>
  <c r="AI120" i="40" s="1"/>
  <c r="I340" i="66"/>
  <c r="AE130" i="42"/>
  <c r="AI129" i="42" s="1"/>
  <c r="J340" i="66"/>
  <c r="B340" i="65" s="1"/>
  <c r="L261" i="66"/>
  <c r="B263" i="66"/>
  <c r="A263" i="66"/>
  <c r="L321" i="66"/>
  <c r="D296" i="66"/>
  <c r="B229" i="66"/>
  <c r="A229" i="66"/>
  <c r="D331" i="66"/>
  <c r="A331" i="66" s="1"/>
  <c r="D285" i="66"/>
  <c r="L309" i="66"/>
  <c r="J296" i="66"/>
  <c r="B296" i="65" s="1"/>
  <c r="D296" i="65"/>
  <c r="A296" i="65" s="1"/>
  <c r="I296" i="66"/>
  <c r="J308" i="66"/>
  <c r="B308" i="65" s="1"/>
  <c r="D308" i="65"/>
  <c r="I308" i="66"/>
  <c r="L341" i="66"/>
  <c r="J341" i="66" s="1"/>
  <c r="B341" i="65" s="1"/>
  <c r="D274" i="66"/>
  <c r="L297" i="66"/>
  <c r="B251" i="66"/>
  <c r="D252" i="66"/>
  <c r="B252" i="66" s="1"/>
  <c r="A273" i="66"/>
  <c r="B273" i="66"/>
  <c r="A284" i="66"/>
  <c r="B284" i="66"/>
  <c r="I248" i="66"/>
  <c r="J248" i="66"/>
  <c r="B248" i="65" s="1"/>
  <c r="D248" i="65"/>
  <c r="A248" i="65" s="1"/>
  <c r="I260" i="66"/>
  <c r="J260" i="66"/>
  <c r="B260" i="65" s="1"/>
  <c r="D260" i="65"/>
  <c r="A260" i="65" s="1"/>
  <c r="AI65" i="30"/>
  <c r="Y12" i="5"/>
  <c r="X11" i="5" s="1"/>
  <c r="X110" i="40"/>
  <c r="AI125" i="41"/>
  <c r="A239" i="66"/>
  <c r="AI150" i="43"/>
  <c r="D266" i="66"/>
  <c r="L285" i="66"/>
  <c r="L271" i="66"/>
  <c r="AI140" i="43"/>
  <c r="AI135" i="43"/>
  <c r="J368" i="66"/>
  <c r="B368" i="65" s="1"/>
  <c r="I368" i="66"/>
  <c r="D368" i="65"/>
  <c r="A368" i="65" s="1"/>
  <c r="D305" i="66"/>
  <c r="L327" i="66"/>
  <c r="B343" i="66"/>
  <c r="A343" i="66"/>
  <c r="B304" i="66"/>
  <c r="A304" i="66"/>
  <c r="D344" i="66"/>
  <c r="L369" i="66"/>
  <c r="X105" i="39"/>
  <c r="J284" i="66"/>
  <c r="B284" i="65" s="1"/>
  <c r="D284" i="65"/>
  <c r="A284" i="65" s="1"/>
  <c r="I284" i="66"/>
  <c r="B292" i="66"/>
  <c r="A292" i="66"/>
  <c r="I270" i="66"/>
  <c r="J270" i="66"/>
  <c r="B270" i="65" s="1"/>
  <c r="D270" i="65"/>
  <c r="A270" i="65" s="1"/>
  <c r="X115" i="41"/>
  <c r="D393" i="66"/>
  <c r="L413" i="66"/>
  <c r="D374" i="66"/>
  <c r="L393" i="66"/>
  <c r="D355" i="66"/>
  <c r="R109" i="38"/>
  <c r="D118" i="38"/>
  <c r="F118" i="38" s="1"/>
  <c r="H118" i="38" s="1"/>
  <c r="R113" i="38"/>
  <c r="AE114" i="38"/>
  <c r="AG114" i="38" s="1"/>
  <c r="AE118" i="38"/>
  <c r="D114" i="38"/>
  <c r="F114" i="38" s="1"/>
  <c r="H114" i="38" s="1"/>
  <c r="H99" i="37"/>
  <c r="H100" i="37" s="1"/>
  <c r="J100" i="37" s="1"/>
  <c r="F100" i="37"/>
  <c r="H109" i="39"/>
  <c r="H110" i="39" s="1"/>
  <c r="J110" i="39" s="1"/>
  <c r="F110" i="39"/>
  <c r="A373" i="66"/>
  <c r="B373" i="66"/>
  <c r="V107" i="37"/>
  <c r="T107" i="37"/>
  <c r="AI115" i="39"/>
  <c r="X100" i="38"/>
  <c r="T89" i="36"/>
  <c r="T90" i="36" s="1"/>
  <c r="X89" i="36" s="1"/>
  <c r="V89" i="36"/>
  <c r="V90" i="36" s="1"/>
  <c r="B221" i="66"/>
  <c r="A221" i="66"/>
  <c r="F134" i="42"/>
  <c r="H134" i="42" s="1"/>
  <c r="J132" i="42"/>
  <c r="T143" i="42"/>
  <c r="V143" i="42"/>
  <c r="AE145" i="42"/>
  <c r="AI144" i="42" s="1"/>
  <c r="AG143" i="42"/>
  <c r="AG145" i="42" s="1"/>
  <c r="F129" i="42"/>
  <c r="H129" i="42" s="1"/>
  <c r="J127" i="42"/>
  <c r="F149" i="42"/>
  <c r="H149" i="42" s="1"/>
  <c r="J147" i="42"/>
  <c r="B259" i="66"/>
  <c r="A259" i="66"/>
  <c r="AI110" i="39"/>
  <c r="X90" i="37"/>
  <c r="J134" i="43"/>
  <c r="N134" i="43" s="1"/>
  <c r="AQ134" i="43" s="1"/>
  <c r="J135" i="43"/>
  <c r="N135" i="43" s="1"/>
  <c r="AQ135" i="43" s="1"/>
  <c r="AG113" i="38"/>
  <c r="V112" i="38"/>
  <c r="T112" i="38"/>
  <c r="B316" i="66"/>
  <c r="A316" i="66"/>
  <c r="D432" i="65"/>
  <c r="A432" i="65" s="1"/>
  <c r="I432" i="66"/>
  <c r="J432" i="66"/>
  <c r="B432" i="65" s="1"/>
  <c r="F105" i="37"/>
  <c r="AI145" i="43"/>
  <c r="F119" i="40"/>
  <c r="J117" i="40"/>
  <c r="H97" i="33"/>
  <c r="CT112" i="61"/>
  <c r="CV110" i="61"/>
  <c r="D260" i="66"/>
  <c r="L273" i="66"/>
  <c r="AE124" i="40"/>
  <c r="AG124" i="40" s="1"/>
  <c r="R123" i="40"/>
  <c r="D124" i="40"/>
  <c r="AE128" i="40"/>
  <c r="R84" i="33"/>
  <c r="D98" i="33"/>
  <c r="F98" i="33" s="1"/>
  <c r="H98" i="33" s="1"/>
  <c r="D102" i="33"/>
  <c r="F102" i="33" s="1"/>
  <c r="R97" i="33"/>
  <c r="CR114" i="61"/>
  <c r="L353" i="66"/>
  <c r="D431" i="66"/>
  <c r="L453" i="66"/>
  <c r="CS113" i="61"/>
  <c r="D317" i="66"/>
  <c r="L333" i="66"/>
  <c r="AE149" i="41"/>
  <c r="AG149" i="41" s="1"/>
  <c r="AE138" i="41"/>
  <c r="AE129" i="41"/>
  <c r="AG129" i="41" s="1"/>
  <c r="R148" i="41"/>
  <c r="AE134" i="41"/>
  <c r="AG134" i="41" s="1"/>
  <c r="D149" i="41"/>
  <c r="AE133" i="41"/>
  <c r="AE143" i="41"/>
  <c r="R133" i="41"/>
  <c r="AE139" i="41"/>
  <c r="AG139" i="41" s="1"/>
  <c r="D134" i="41"/>
  <c r="R128" i="41"/>
  <c r="AE148" i="41"/>
  <c r="R138" i="41"/>
  <c r="AE144" i="41"/>
  <c r="AG144" i="41" s="1"/>
  <c r="D139" i="41"/>
  <c r="D129" i="41"/>
  <c r="R143" i="41"/>
  <c r="D144" i="41"/>
  <c r="J139" i="43"/>
  <c r="N139" i="43" s="1"/>
  <c r="AQ139" i="43" s="1"/>
  <c r="J140" i="43"/>
  <c r="N140" i="43" s="1"/>
  <c r="AQ140" i="43" s="1"/>
  <c r="D512" i="65"/>
  <c r="A512" i="65" s="1"/>
  <c r="I512" i="66"/>
  <c r="J512" i="66"/>
  <c r="B512" i="65" s="1"/>
  <c r="D452" i="65"/>
  <c r="A452" i="65" s="1"/>
  <c r="J452" i="66"/>
  <c r="B452" i="65" s="1"/>
  <c r="I452" i="66"/>
  <c r="J130" i="43"/>
  <c r="N130" i="43" s="1"/>
  <c r="AQ130" i="43" s="1"/>
  <c r="J129" i="43"/>
  <c r="N129" i="43" s="1"/>
  <c r="AQ129" i="43" s="1"/>
  <c r="AG130" i="42"/>
  <c r="AI130" i="42" s="1"/>
  <c r="H107" i="36"/>
  <c r="D252" i="65"/>
  <c r="I252" i="66"/>
  <c r="J252" i="66"/>
  <c r="B252" i="65" s="1"/>
  <c r="AG138" i="42"/>
  <c r="AG140" i="42" s="1"/>
  <c r="AE140" i="42"/>
  <c r="AI139" i="42" s="1"/>
  <c r="T133" i="42"/>
  <c r="V133" i="42"/>
  <c r="V138" i="42"/>
  <c r="T138" i="42"/>
  <c r="V108" i="38"/>
  <c r="T108" i="38"/>
  <c r="F113" i="38"/>
  <c r="B411" i="66"/>
  <c r="A411" i="66"/>
  <c r="H117" i="39"/>
  <c r="H105" i="37"/>
  <c r="T87" i="33"/>
  <c r="V87" i="33"/>
  <c r="F124" i="41"/>
  <c r="H124" i="41" s="1"/>
  <c r="J122" i="41"/>
  <c r="AG118" i="39"/>
  <c r="B354" i="66"/>
  <c r="A354" i="66"/>
  <c r="D469" i="66"/>
  <c r="L493" i="66"/>
  <c r="D488" i="66"/>
  <c r="L513" i="66"/>
  <c r="AE108" i="36"/>
  <c r="AG108" i="36" s="1"/>
  <c r="D104" i="36"/>
  <c r="B487" i="66"/>
  <c r="A487" i="66"/>
  <c r="B430" i="66"/>
  <c r="A430" i="66"/>
  <c r="V99" i="37"/>
  <c r="V100" i="37" s="1"/>
  <c r="T99" i="37"/>
  <c r="T100" i="37" s="1"/>
  <c r="X99" i="37" s="1"/>
  <c r="H113" i="39"/>
  <c r="H115" i="39" s="1"/>
  <c r="J115" i="39" s="1"/>
  <c r="F115" i="39"/>
  <c r="J114" i="39" s="1"/>
  <c r="H119" i="41"/>
  <c r="H120" i="41" s="1"/>
  <c r="J120" i="41" s="1"/>
  <c r="F120" i="41"/>
  <c r="J119" i="41" s="1"/>
  <c r="D292" i="65"/>
  <c r="I292" i="66"/>
  <c r="J292" i="66"/>
  <c r="B292" i="65" s="1"/>
  <c r="H103" i="36"/>
  <c r="B240" i="66"/>
  <c r="A240" i="66"/>
  <c r="D492" i="65"/>
  <c r="A492" i="65" s="1"/>
  <c r="I492" i="66"/>
  <c r="J492" i="66"/>
  <c r="B492" i="65" s="1"/>
  <c r="AE150" i="42"/>
  <c r="AI149" i="42" s="1"/>
  <c r="AG148" i="42"/>
  <c r="AG150" i="42" s="1"/>
  <c r="F144" i="42"/>
  <c r="H144" i="42" s="1"/>
  <c r="J142" i="42"/>
  <c r="AE135" i="42"/>
  <c r="AI134" i="42" s="1"/>
  <c r="AG133" i="42"/>
  <c r="AG135" i="42" s="1"/>
  <c r="V148" i="42"/>
  <c r="T148" i="42"/>
  <c r="H102" i="34"/>
  <c r="J107" i="38"/>
  <c r="F109" i="38"/>
  <c r="T104" i="38"/>
  <c r="T105" i="38" s="1"/>
  <c r="X104" i="38" s="1"/>
  <c r="V104" i="38"/>
  <c r="V105" i="38" s="1"/>
  <c r="D412" i="65"/>
  <c r="A412" i="65" s="1"/>
  <c r="J412" i="66"/>
  <c r="B412" i="65" s="1"/>
  <c r="I412" i="66"/>
  <c r="D472" i="65"/>
  <c r="A472" i="65" s="1"/>
  <c r="I472" i="66"/>
  <c r="J472" i="66"/>
  <c r="B472" i="65" s="1"/>
  <c r="J144" i="43"/>
  <c r="N144" i="43" s="1"/>
  <c r="AQ144" i="43" s="1"/>
  <c r="J145" i="43"/>
  <c r="N145" i="43" s="1"/>
  <c r="AQ145" i="43" s="1"/>
  <c r="J124" i="42"/>
  <c r="N124" i="42" s="1"/>
  <c r="AQ124" i="42" s="1"/>
  <c r="J125" i="42"/>
  <c r="N125" i="42" s="1"/>
  <c r="AQ125" i="42" s="1"/>
  <c r="V118" i="40"/>
  <c r="T118" i="40"/>
  <c r="AG128" i="41"/>
  <c r="T113" i="39"/>
  <c r="V113" i="39"/>
  <c r="R104" i="37"/>
  <c r="D113" i="37"/>
  <c r="R112" i="37"/>
  <c r="D117" i="37"/>
  <c r="AE113" i="37"/>
  <c r="D109" i="37"/>
  <c r="AE109" i="37"/>
  <c r="R108" i="37"/>
  <c r="R87" i="32"/>
  <c r="D97" i="32"/>
  <c r="F97" i="32" s="1"/>
  <c r="R114" i="39"/>
  <c r="R118" i="39"/>
  <c r="AE123" i="39"/>
  <c r="D119" i="39"/>
  <c r="AE119" i="39"/>
  <c r="AG119" i="39" s="1"/>
  <c r="D412" i="66"/>
  <c r="L433" i="66"/>
  <c r="CW109" i="61"/>
  <c r="D241" i="66"/>
  <c r="L253" i="66"/>
  <c r="R89" i="35"/>
  <c r="D103" i="35"/>
  <c r="F103" i="35" s="1"/>
  <c r="R102" i="35"/>
  <c r="D107" i="35"/>
  <c r="F107" i="35" s="1"/>
  <c r="D450" i="66"/>
  <c r="L473" i="66"/>
  <c r="R99" i="36"/>
  <c r="R107" i="36"/>
  <c r="D108" i="36"/>
  <c r="F108" i="36" s="1"/>
  <c r="H108" i="36" s="1"/>
  <c r="D112" i="36"/>
  <c r="F112" i="36" s="1"/>
  <c r="CU111" i="61"/>
  <c r="D279" i="66"/>
  <c r="L293" i="66"/>
  <c r="AE104" i="36"/>
  <c r="AG104" i="36" s="1"/>
  <c r="J109" i="39"/>
  <c r="J149" i="43"/>
  <c r="N149" i="43" s="1"/>
  <c r="AQ149" i="43" s="1"/>
  <c r="J150" i="43"/>
  <c r="N150" i="43" s="1"/>
  <c r="AQ150" i="43" s="1"/>
  <c r="D392" i="65"/>
  <c r="A392" i="65" s="1"/>
  <c r="J392" i="66"/>
  <c r="B392" i="65" s="1"/>
  <c r="I392" i="66"/>
  <c r="H112" i="37"/>
  <c r="D352" i="65"/>
  <c r="A352" i="65" s="1"/>
  <c r="J352" i="66"/>
  <c r="B352" i="65" s="1"/>
  <c r="I352" i="66"/>
  <c r="B278" i="66"/>
  <c r="A278" i="66"/>
  <c r="T102" i="36"/>
  <c r="V102" i="36"/>
  <c r="D232" i="65"/>
  <c r="A232" i="65" s="1"/>
  <c r="I232" i="66"/>
  <c r="J232" i="66"/>
  <c r="B232" i="65" s="1"/>
  <c r="B468" i="66"/>
  <c r="A468" i="66"/>
  <c r="T128" i="42"/>
  <c r="V128" i="42"/>
  <c r="F139" i="42"/>
  <c r="H139" i="42" s="1"/>
  <c r="J137" i="42"/>
  <c r="D272" i="65"/>
  <c r="A272" i="65" s="1"/>
  <c r="I272" i="66"/>
  <c r="J272" i="66"/>
  <c r="B272" i="65" s="1"/>
  <c r="V97" i="34"/>
  <c r="T97" i="34"/>
  <c r="AG109" i="38"/>
  <c r="AG110" i="38" s="1"/>
  <c r="AE110" i="38"/>
  <c r="AI109" i="38" s="1"/>
  <c r="F117" i="38"/>
  <c r="D332" i="65"/>
  <c r="J332" i="66"/>
  <c r="B332" i="65" s="1"/>
  <c r="I332" i="66"/>
  <c r="B392" i="66"/>
  <c r="A392" i="66"/>
  <c r="B449" i="66"/>
  <c r="A449" i="66"/>
  <c r="AG123" i="40"/>
  <c r="AG125" i="40" s="1"/>
  <c r="T114" i="40"/>
  <c r="T115" i="40" s="1"/>
  <c r="X114" i="40" s="1"/>
  <c r="V114" i="40"/>
  <c r="V115" i="40" s="1"/>
  <c r="V123" i="41"/>
  <c r="T123" i="41"/>
  <c r="T109" i="39"/>
  <c r="T110" i="39" s="1"/>
  <c r="X109" i="39" s="1"/>
  <c r="V109" i="39"/>
  <c r="V110" i="39" s="1"/>
  <c r="AE30" i="59"/>
  <c r="AR66" i="59"/>
  <c r="AR42" i="59"/>
  <c r="AV42" i="59" s="1"/>
  <c r="E6" i="59" s="1"/>
  <c r="AI70" i="31"/>
  <c r="J50" i="27"/>
  <c r="T50" i="27"/>
  <c r="X49" i="27" s="1"/>
  <c r="X13" i="8"/>
  <c r="AP17" i="59"/>
  <c r="AT16" i="59" s="1"/>
  <c r="AE6" i="59"/>
  <c r="CO117" i="61"/>
  <c r="CL120" i="61"/>
  <c r="CK121" i="61"/>
  <c r="A304" i="65"/>
  <c r="R18" i="59"/>
  <c r="AP5" i="59"/>
  <c r="AT3" i="59"/>
  <c r="A278" i="65"/>
  <c r="CP116" i="61"/>
  <c r="CQ115" i="61"/>
  <c r="AR17" i="59"/>
  <c r="CM119" i="61"/>
  <c r="CJ122" i="61"/>
  <c r="AC16" i="59"/>
  <c r="AC17" i="59" s="1"/>
  <c r="AE17" i="59" s="1"/>
  <c r="AA17" i="59"/>
  <c r="AE16" i="59" s="1"/>
  <c r="A265" i="65"/>
  <c r="A252" i="65"/>
  <c r="A239" i="65"/>
  <c r="A291" i="65"/>
  <c r="A317" i="65"/>
  <c r="R77" i="59"/>
  <c r="T77" i="59" s="1"/>
  <c r="T78" i="59" s="1"/>
  <c r="X77" i="59" s="1"/>
  <c r="Y23" i="59"/>
  <c r="CN118" i="61"/>
  <c r="AR9" i="59"/>
  <c r="AR11" i="59" s="1"/>
  <c r="AP9" i="59"/>
  <c r="AP11" i="59" s="1"/>
  <c r="AT10" i="59" s="1"/>
  <c r="AI60" i="29"/>
  <c r="AM60" i="29" s="1"/>
  <c r="AS60" i="29" s="1"/>
  <c r="AE65" i="29"/>
  <c r="AI64" i="29" s="1"/>
  <c r="AG95" i="35"/>
  <c r="AI95" i="35" s="1"/>
  <c r="AI75" i="32"/>
  <c r="V39" i="26"/>
  <c r="V40" i="26" s="1"/>
  <c r="X40" i="26" s="1"/>
  <c r="X25" i="25"/>
  <c r="AA24" i="25"/>
  <c r="AG24" i="25" s="1"/>
  <c r="Y23" i="25"/>
  <c r="X50" i="28"/>
  <c r="AG65" i="29"/>
  <c r="AI65" i="29" s="1"/>
  <c r="AI80" i="33"/>
  <c r="AI90" i="35"/>
  <c r="AR55" i="31"/>
  <c r="AT55" i="31" s="1"/>
  <c r="E9" i="31" s="1"/>
  <c r="AK74" i="37"/>
  <c r="AM74" i="37" s="1"/>
  <c r="AS74" i="37" s="1"/>
  <c r="Z74" i="37"/>
  <c r="AB74" i="37" s="1"/>
  <c r="L79" i="37"/>
  <c r="N79" i="37" s="1"/>
  <c r="AQ79" i="37" s="1"/>
  <c r="L80" i="37"/>
  <c r="N80" i="37" s="1"/>
  <c r="AQ80" i="37" s="1"/>
  <c r="Z75" i="37"/>
  <c r="AB75" i="37" s="1"/>
  <c r="AR75" i="38"/>
  <c r="AT75" i="38" s="1"/>
  <c r="AR79" i="41"/>
  <c r="AR80" i="41"/>
  <c r="J77" i="32"/>
  <c r="AG55" i="27"/>
  <c r="AI45" i="26"/>
  <c r="Y15" i="8"/>
  <c r="AA15" i="8" s="1"/>
  <c r="V50" i="27"/>
  <c r="X85" i="34"/>
  <c r="X80" i="34"/>
  <c r="X70" i="32"/>
  <c r="R77" i="30"/>
  <c r="D82" i="30"/>
  <c r="F82" i="30" s="1"/>
  <c r="H54" i="28"/>
  <c r="H55" i="28" s="1"/>
  <c r="J55" i="28" s="1"/>
  <c r="F55" i="28"/>
  <c r="J54" i="28" s="1"/>
  <c r="D94" i="34"/>
  <c r="J92" i="34" s="1"/>
  <c r="AE94" i="34"/>
  <c r="AG94" i="34" s="1"/>
  <c r="H69" i="31"/>
  <c r="H70" i="31" s="1"/>
  <c r="J70" i="31" s="1"/>
  <c r="F70" i="31"/>
  <c r="H77" i="59"/>
  <c r="H78" i="59" s="1"/>
  <c r="F78" i="59"/>
  <c r="J77" i="59" s="1"/>
  <c r="AR54" i="31"/>
  <c r="AT54" i="31" s="1"/>
  <c r="D9" i="31" s="1"/>
  <c r="AK65" i="33"/>
  <c r="AM65" i="33" s="1"/>
  <c r="AS65" i="33" s="1"/>
  <c r="L70" i="33"/>
  <c r="N70" i="33" s="1"/>
  <c r="AQ70" i="33" s="1"/>
  <c r="Z69" i="36"/>
  <c r="AB69" i="36" s="1"/>
  <c r="H93" i="59"/>
  <c r="J102" i="36"/>
  <c r="F104" i="36"/>
  <c r="H104" i="36" s="1"/>
  <c r="T103" i="36"/>
  <c r="V103" i="36"/>
  <c r="AI100" i="37"/>
  <c r="T67" i="29"/>
  <c r="V67" i="29"/>
  <c r="R79" i="32"/>
  <c r="D88" i="32"/>
  <c r="F88" i="32" s="1"/>
  <c r="H88" i="32" s="1"/>
  <c r="D83" i="31"/>
  <c r="F83" i="31" s="1"/>
  <c r="H83" i="31" s="1"/>
  <c r="D87" i="31"/>
  <c r="F87" i="31" s="1"/>
  <c r="R82" i="31"/>
  <c r="H84" i="34"/>
  <c r="H85" i="34" s="1"/>
  <c r="F85" i="34"/>
  <c r="J84" i="34" s="1"/>
  <c r="D99" i="35"/>
  <c r="AE99" i="35"/>
  <c r="AE103" i="35"/>
  <c r="R98" i="35"/>
  <c r="H67" i="27"/>
  <c r="D77" i="29"/>
  <c r="F77" i="29" s="1"/>
  <c r="H53" i="26"/>
  <c r="J99" i="37"/>
  <c r="V87" i="59"/>
  <c r="T87" i="59"/>
  <c r="F99" i="36"/>
  <c r="J97" i="36"/>
  <c r="T98" i="36"/>
  <c r="V98" i="36"/>
  <c r="H82" i="31"/>
  <c r="AI105" i="37"/>
  <c r="V82" i="32"/>
  <c r="T82" i="32"/>
  <c r="H68" i="29"/>
  <c r="T84" i="33"/>
  <c r="V84" i="33"/>
  <c r="D68" i="28"/>
  <c r="F68" i="28" s="1"/>
  <c r="R67" i="28"/>
  <c r="R72" i="29"/>
  <c r="V72" i="29" s="1"/>
  <c r="Z69" i="35"/>
  <c r="AB69" i="35" s="1"/>
  <c r="L74" i="35"/>
  <c r="N74" i="35" s="1"/>
  <c r="AQ74" i="35" s="1"/>
  <c r="V79" i="33"/>
  <c r="V80" i="33" s="1"/>
  <c r="T79" i="33"/>
  <c r="T80" i="33" s="1"/>
  <c r="X79" i="33" s="1"/>
  <c r="AG99" i="36"/>
  <c r="AG100" i="36" s="1"/>
  <c r="AE100" i="36"/>
  <c r="AI99" i="36" s="1"/>
  <c r="AG103" i="36"/>
  <c r="T77" i="31"/>
  <c r="V77" i="31"/>
  <c r="R93" i="59"/>
  <c r="D94" i="59"/>
  <c r="F94" i="59" s="1"/>
  <c r="H94" i="59" s="1"/>
  <c r="D99" i="59"/>
  <c r="F99" i="59" s="1"/>
  <c r="H89" i="35"/>
  <c r="H90" i="35" s="1"/>
  <c r="J90" i="35" s="1"/>
  <c r="F90" i="35"/>
  <c r="J89" i="35" s="1"/>
  <c r="R93" i="34"/>
  <c r="T93" i="34" s="1"/>
  <c r="Z70" i="35"/>
  <c r="AB70" i="35" s="1"/>
  <c r="L75" i="35"/>
  <c r="N75" i="35" s="1"/>
  <c r="AQ75" i="35" s="1"/>
  <c r="T69" i="31"/>
  <c r="T70" i="31" s="1"/>
  <c r="X69" i="31" s="1"/>
  <c r="V69" i="31"/>
  <c r="V70" i="31" s="1"/>
  <c r="J105" i="37"/>
  <c r="J104" i="37"/>
  <c r="H87" i="32"/>
  <c r="AI50" i="27"/>
  <c r="AE55" i="27"/>
  <c r="AI54" i="27" s="1"/>
  <c r="AI55" i="28"/>
  <c r="AR65" i="36"/>
  <c r="AT65" i="36" s="1"/>
  <c r="E11" i="36" s="1"/>
  <c r="AK69" i="36"/>
  <c r="AM69" i="36" s="1"/>
  <c r="AS69" i="36" s="1"/>
  <c r="Z65" i="33"/>
  <c r="AB65" i="33" s="1"/>
  <c r="AK70" i="35"/>
  <c r="AM70" i="35" s="1"/>
  <c r="AS70" i="35" s="1"/>
  <c r="Z65" i="34"/>
  <c r="AB65" i="34" s="1"/>
  <c r="AK65" i="34"/>
  <c r="AM65" i="34" s="1"/>
  <c r="AS65" i="34" s="1"/>
  <c r="Z60" i="32"/>
  <c r="AB60" i="32" s="1"/>
  <c r="L65" i="32"/>
  <c r="N65" i="32" s="1"/>
  <c r="AQ65" i="32" s="1"/>
  <c r="AK64" i="34"/>
  <c r="AM64" i="34" s="1"/>
  <c r="AS64" i="34" s="1"/>
  <c r="Z64" i="34"/>
  <c r="AB64" i="34" s="1"/>
  <c r="AK59" i="32"/>
  <c r="AM59" i="32" s="1"/>
  <c r="AS59" i="32" s="1"/>
  <c r="Z59" i="32"/>
  <c r="AB59" i="32" s="1"/>
  <c r="L64" i="32"/>
  <c r="N64" i="32" s="1"/>
  <c r="AQ64" i="32" s="1"/>
  <c r="AK69" i="35"/>
  <c r="AM69" i="35" s="1"/>
  <c r="AS69" i="35" s="1"/>
  <c r="AE60" i="28"/>
  <c r="AI59" i="28" s="1"/>
  <c r="X45" i="27"/>
  <c r="AK78" i="59"/>
  <c r="X75" i="33"/>
  <c r="AE85" i="33"/>
  <c r="AI84" i="33" s="1"/>
  <c r="X55" i="29"/>
  <c r="AA14" i="7"/>
  <c r="AG14" i="7" s="1"/>
  <c r="X13" i="7"/>
  <c r="AU18" i="61"/>
  <c r="AL21" i="68" s="1"/>
  <c r="AP18" i="9"/>
  <c r="B18" i="9"/>
  <c r="C20" i="36"/>
  <c r="AV22" i="14"/>
  <c r="AG89" i="59"/>
  <c r="AG90" i="59" s="1"/>
  <c r="AK89" i="59" s="1"/>
  <c r="R88" i="59"/>
  <c r="AG94" i="59"/>
  <c r="R83" i="59"/>
  <c r="D89" i="59"/>
  <c r="F89" i="59" s="1"/>
  <c r="H89" i="59" s="1"/>
  <c r="AV17" i="9"/>
  <c r="H15" i="7"/>
  <c r="I15" i="7" s="1"/>
  <c r="D15" i="7"/>
  <c r="F15" i="7" s="1"/>
  <c r="G15" i="7" s="1"/>
  <c r="AP23" i="61"/>
  <c r="AG26" i="68" s="1"/>
  <c r="C15" i="59"/>
  <c r="AP23" i="14"/>
  <c r="B23" i="14"/>
  <c r="C15" i="31"/>
  <c r="AV23" i="15"/>
  <c r="AV9" i="1"/>
  <c r="H64" i="30"/>
  <c r="H65" i="30" s="1"/>
  <c r="J65" i="30" s="1"/>
  <c r="F65" i="30"/>
  <c r="J64" i="30" s="1"/>
  <c r="F88" i="59"/>
  <c r="V82" i="59"/>
  <c r="T82" i="59"/>
  <c r="AG60" i="28"/>
  <c r="BB11" i="61"/>
  <c r="C27" i="43"/>
  <c r="B11" i="2"/>
  <c r="AP11" i="2"/>
  <c r="AV14" i="6"/>
  <c r="V54" i="28"/>
  <c r="V55" i="28" s="1"/>
  <c r="T54" i="28"/>
  <c r="T55" i="28" s="1"/>
  <c r="X54" i="28" s="1"/>
  <c r="AG63" i="28"/>
  <c r="AQ22" i="61"/>
  <c r="AH25" i="68" s="1"/>
  <c r="AP22" i="13"/>
  <c r="B22" i="13"/>
  <c r="C16" i="32"/>
  <c r="H19" i="11"/>
  <c r="I19" i="11" s="1"/>
  <c r="D19" i="11"/>
  <c r="F19" i="11" s="1"/>
  <c r="G19" i="11" s="1"/>
  <c r="H25" i="17"/>
  <c r="I25" i="17" s="1"/>
  <c r="D25" i="17"/>
  <c r="F25" i="17" s="1"/>
  <c r="G25" i="17" s="1"/>
  <c r="H24" i="16"/>
  <c r="I24" i="16" s="1"/>
  <c r="D24" i="16"/>
  <c r="F24" i="16" s="1"/>
  <c r="G24" i="16" s="1"/>
  <c r="V73" i="31"/>
  <c r="T73" i="31"/>
  <c r="AT19" i="61"/>
  <c r="AK22" i="68" s="1"/>
  <c r="B19" i="10"/>
  <c r="C19" i="35"/>
  <c r="AE108" i="35" s="1"/>
  <c r="AP19" i="10"/>
  <c r="H62" i="28"/>
  <c r="J94" i="35"/>
  <c r="N94" i="35" s="1"/>
  <c r="AQ94" i="35" s="1"/>
  <c r="J95" i="35"/>
  <c r="N95" i="35" s="1"/>
  <c r="AQ95" i="35" s="1"/>
  <c r="AA26" i="23"/>
  <c r="AG26" i="23" s="1"/>
  <c r="Y25" i="23"/>
  <c r="AR21" i="61"/>
  <c r="AI24" i="68" s="1"/>
  <c r="AP21" i="12"/>
  <c r="B21" i="12"/>
  <c r="C17" i="33"/>
  <c r="AE94" i="33" s="1"/>
  <c r="AG94" i="33" s="1"/>
  <c r="X65" i="32"/>
  <c r="AL27" i="61"/>
  <c r="AC30" i="68" s="1"/>
  <c r="C11" i="27"/>
  <c r="T13" i="27" s="1"/>
  <c r="V13" i="27" s="1"/>
  <c r="B27" i="18"/>
  <c r="AP27" i="18"/>
  <c r="F69" i="30"/>
  <c r="J67" i="30"/>
  <c r="F49" i="26"/>
  <c r="J47" i="26"/>
  <c r="AG53" i="26"/>
  <c r="AA9" i="3"/>
  <c r="X8" i="3"/>
  <c r="AV16" i="8"/>
  <c r="AZ13" i="61"/>
  <c r="B13" i="4"/>
  <c r="C25" i="41"/>
  <c r="AP13" i="4"/>
  <c r="T88" i="34"/>
  <c r="V88" i="34"/>
  <c r="AG15" i="10"/>
  <c r="F62" i="27"/>
  <c r="AG50" i="26"/>
  <c r="F84" i="33"/>
  <c r="J82" i="33"/>
  <c r="T78" i="32"/>
  <c r="V78" i="32"/>
  <c r="H77" i="30"/>
  <c r="J78" i="59"/>
  <c r="AG85" i="33"/>
  <c r="AV27" i="19"/>
  <c r="F64" i="29"/>
  <c r="J62" i="29"/>
  <c r="V63" i="29"/>
  <c r="T63" i="29"/>
  <c r="AF14" i="9"/>
  <c r="Z39" i="26"/>
  <c r="AB39" i="26" s="1"/>
  <c r="AK39" i="26"/>
  <c r="AM39" i="26" s="1"/>
  <c r="AS39" i="26" s="1"/>
  <c r="L44" i="26"/>
  <c r="H22" i="14"/>
  <c r="I22" i="14" s="1"/>
  <c r="D22" i="14"/>
  <c r="F22" i="14" s="1"/>
  <c r="G22" i="14" s="1"/>
  <c r="AE79" i="31"/>
  <c r="AG79" i="31" s="1"/>
  <c r="AE83" i="31"/>
  <c r="R78" i="31"/>
  <c r="D79" i="31"/>
  <c r="F79" i="31" s="1"/>
  <c r="H79" i="31" s="1"/>
  <c r="R74" i="31"/>
  <c r="AA8" i="2"/>
  <c r="AG8" i="2" s="1"/>
  <c r="H9" i="1"/>
  <c r="I9" i="1" s="1"/>
  <c r="D9" i="1"/>
  <c r="F9" i="1" s="1"/>
  <c r="G9" i="1" s="1"/>
  <c r="F83" i="59"/>
  <c r="J81" i="59"/>
  <c r="AE83" i="59"/>
  <c r="AI83" i="59"/>
  <c r="AI84" i="59" s="1"/>
  <c r="AK84" i="59" s="1"/>
  <c r="AF7" i="2"/>
  <c r="AX15" i="61"/>
  <c r="B15" i="6"/>
  <c r="C23" i="39"/>
  <c r="AP15" i="6"/>
  <c r="H74" i="32"/>
  <c r="H75" i="32" s="1"/>
  <c r="J75" i="32" s="1"/>
  <c r="F75" i="32"/>
  <c r="J74" i="32" s="1"/>
  <c r="AE89" i="33"/>
  <c r="AG89" i="33" s="1"/>
  <c r="AE93" i="33"/>
  <c r="D89" i="33"/>
  <c r="R88" i="33"/>
  <c r="AS20" i="61"/>
  <c r="AJ23" i="68" s="1"/>
  <c r="B20" i="11"/>
  <c r="C18" i="34"/>
  <c r="AP20" i="11"/>
  <c r="H44" i="26"/>
  <c r="H45" i="26" s="1"/>
  <c r="J45" i="26" s="1"/>
  <c r="F45" i="26"/>
  <c r="J44" i="26" s="1"/>
  <c r="H72" i="29"/>
  <c r="AM26" i="61"/>
  <c r="AD29" i="68" s="1"/>
  <c r="B26" i="17"/>
  <c r="AP26" i="17"/>
  <c r="C12" i="28"/>
  <c r="D73" i="28" s="1"/>
  <c r="F73" i="28" s="1"/>
  <c r="H73" i="28" s="1"/>
  <c r="F28" i="21"/>
  <c r="D29" i="21"/>
  <c r="I35" i="21" s="1"/>
  <c r="AE74" i="30"/>
  <c r="AG74" i="30" s="1"/>
  <c r="R64" i="30"/>
  <c r="AE78" i="30"/>
  <c r="R73" i="30"/>
  <c r="D74" i="30"/>
  <c r="D78" i="30"/>
  <c r="V64" i="31"/>
  <c r="V65" i="31" s="1"/>
  <c r="T64" i="31"/>
  <c r="T65" i="31" s="1"/>
  <c r="X64" i="31" s="1"/>
  <c r="AV18" i="10"/>
  <c r="AV26" i="18"/>
  <c r="H11" i="3"/>
  <c r="I11" i="3" s="1"/>
  <c r="D11" i="3"/>
  <c r="F11" i="3" s="1"/>
  <c r="G11" i="3" s="1"/>
  <c r="AG73" i="30"/>
  <c r="J57" i="28"/>
  <c r="AE70" i="30"/>
  <c r="AI69" i="30" s="1"/>
  <c r="V44" i="26"/>
  <c r="V45" i="26" s="1"/>
  <c r="T44" i="26"/>
  <c r="T45" i="26" s="1"/>
  <c r="X44" i="26" s="1"/>
  <c r="H16" i="8"/>
  <c r="I16" i="8" s="1"/>
  <c r="D16" i="8"/>
  <c r="F16" i="8" s="1"/>
  <c r="G16" i="8" s="1"/>
  <c r="AG98" i="34"/>
  <c r="AF6" i="1"/>
  <c r="AG58" i="27"/>
  <c r="AE50" i="26"/>
  <c r="AI49" i="26" s="1"/>
  <c r="AG88" i="33"/>
  <c r="F60" i="28"/>
  <c r="AG83" i="32"/>
  <c r="G28" i="22"/>
  <c r="G29" i="22" s="1"/>
  <c r="I38" i="22" s="1"/>
  <c r="F29" i="22"/>
  <c r="I36" i="22" s="1"/>
  <c r="AV27" i="53"/>
  <c r="H27" i="19"/>
  <c r="I27" i="19" s="1"/>
  <c r="D27" i="19"/>
  <c r="F27" i="19" s="1"/>
  <c r="G27" i="19" s="1"/>
  <c r="AV13" i="5"/>
  <c r="AG90" i="34"/>
  <c r="T59" i="29"/>
  <c r="T60" i="29" s="1"/>
  <c r="X59" i="29" s="1"/>
  <c r="V59" i="29"/>
  <c r="V60" i="29" s="1"/>
  <c r="AF13" i="7"/>
  <c r="Z40" i="26"/>
  <c r="AK40" i="26"/>
  <c r="AM40" i="26" s="1"/>
  <c r="AS40" i="26" s="1"/>
  <c r="L45" i="26"/>
  <c r="AE54" i="26"/>
  <c r="AG54" i="26" s="1"/>
  <c r="R53" i="26"/>
  <c r="AE58" i="26"/>
  <c r="D54" i="26"/>
  <c r="R57" i="26"/>
  <c r="D58" i="26"/>
  <c r="F58" i="26" s="1"/>
  <c r="H58" i="26" s="1"/>
  <c r="D62" i="26"/>
  <c r="H17" i="9"/>
  <c r="I17" i="9" s="1"/>
  <c r="D17" i="9"/>
  <c r="F17" i="9" s="1"/>
  <c r="G17" i="9" s="1"/>
  <c r="AV28" i="20"/>
  <c r="Y28" i="20"/>
  <c r="Y27" i="20" s="1"/>
  <c r="BG7" i="20"/>
  <c r="AV15" i="7"/>
  <c r="R83" i="32"/>
  <c r="AE84" i="32"/>
  <c r="AG84" i="32" s="1"/>
  <c r="AE88" i="32"/>
  <c r="D84" i="32"/>
  <c r="H23" i="15"/>
  <c r="I23" i="15" s="1"/>
  <c r="D23" i="15"/>
  <c r="F23" i="15" s="1"/>
  <c r="G23" i="15" s="1"/>
  <c r="BC10" i="61"/>
  <c r="C28" i="44"/>
  <c r="AP10" i="1"/>
  <c r="B10" i="1"/>
  <c r="T71" i="59"/>
  <c r="T72" i="59" s="1"/>
  <c r="X71" i="59" s="1"/>
  <c r="V71" i="59"/>
  <c r="V72" i="59" s="1"/>
  <c r="AV10" i="2"/>
  <c r="X7" i="2"/>
  <c r="H14" i="6"/>
  <c r="I14" i="6" s="1"/>
  <c r="D14" i="6"/>
  <c r="F14" i="6" s="1"/>
  <c r="G14" i="6" s="1"/>
  <c r="F72" i="28"/>
  <c r="AA12" i="5"/>
  <c r="AG12" i="5" s="1"/>
  <c r="J85" i="34"/>
  <c r="AV21" i="13"/>
  <c r="AV19" i="11"/>
  <c r="AA12" i="6"/>
  <c r="X11" i="6"/>
  <c r="AV25" i="17"/>
  <c r="AN25" i="61"/>
  <c r="AE28" i="68" s="1"/>
  <c r="B25" i="16"/>
  <c r="AP25" i="16"/>
  <c r="C13" i="29"/>
  <c r="F74" i="31"/>
  <c r="J72" i="31"/>
  <c r="AA10" i="4"/>
  <c r="X9" i="4"/>
  <c r="AV20" i="12"/>
  <c r="H78" i="32"/>
  <c r="H80" i="32" s="1"/>
  <c r="F80" i="32"/>
  <c r="AF13" i="8"/>
  <c r="AF14" i="8" s="1"/>
  <c r="H26" i="18"/>
  <c r="I26" i="18" s="1"/>
  <c r="D26" i="18"/>
  <c r="F26" i="18" s="1"/>
  <c r="G26" i="18" s="1"/>
  <c r="BA12" i="61"/>
  <c r="AP12" i="3"/>
  <c r="B12" i="3"/>
  <c r="C26" i="42"/>
  <c r="G9" i="3"/>
  <c r="AE75" i="31"/>
  <c r="AI74" i="31" s="1"/>
  <c r="V68" i="30"/>
  <c r="T68" i="30"/>
  <c r="Y8" i="1"/>
  <c r="X7" i="1" s="1"/>
  <c r="AG70" i="30"/>
  <c r="F57" i="26"/>
  <c r="T48" i="26"/>
  <c r="V48" i="26"/>
  <c r="AG10" i="5"/>
  <c r="F12" i="5"/>
  <c r="AV17" i="61"/>
  <c r="AM20" i="68" s="1"/>
  <c r="C21" i="37"/>
  <c r="AP17" i="8"/>
  <c r="B17" i="8"/>
  <c r="AV12" i="4"/>
  <c r="F94" i="34"/>
  <c r="H94" i="34" s="1"/>
  <c r="F89" i="34"/>
  <c r="J87" i="34"/>
  <c r="AA25" i="24"/>
  <c r="AG25" i="24" s="1"/>
  <c r="Y24" i="24"/>
  <c r="X25" i="24" s="1"/>
  <c r="F54" i="27"/>
  <c r="J52" i="27"/>
  <c r="H60" i="28"/>
  <c r="X60" i="30"/>
  <c r="H57" i="27"/>
  <c r="AG80" i="32"/>
  <c r="D27" i="53"/>
  <c r="F27" i="53" s="1"/>
  <c r="G27" i="53" s="1"/>
  <c r="H27" i="53"/>
  <c r="I27" i="53" s="1"/>
  <c r="Y31" i="61"/>
  <c r="B28" i="19"/>
  <c r="C10" i="26"/>
  <c r="AJ15" i="26" s="1"/>
  <c r="AL15" i="26" s="1"/>
  <c r="B28" i="53"/>
  <c r="AP28" i="19"/>
  <c r="AP28" i="53"/>
  <c r="H13" i="5"/>
  <c r="I13" i="5" s="1"/>
  <c r="D13" i="5"/>
  <c r="F13" i="5" s="1"/>
  <c r="G13" i="5" s="1"/>
  <c r="AE90" i="34"/>
  <c r="AI89" i="34" s="1"/>
  <c r="AG68" i="29"/>
  <c r="AR39" i="28"/>
  <c r="H28" i="20"/>
  <c r="I28" i="20" s="1"/>
  <c r="I29" i="20" s="1"/>
  <c r="I39" i="20" s="1"/>
  <c r="D28" i="20"/>
  <c r="S7" i="20"/>
  <c r="AW16" i="61"/>
  <c r="AN19" i="68" s="1"/>
  <c r="AP16" i="7"/>
  <c r="C22" i="38"/>
  <c r="B16" i="7"/>
  <c r="AO24" i="61"/>
  <c r="AF27" i="68" s="1"/>
  <c r="B24" i="15"/>
  <c r="AP24" i="15"/>
  <c r="C14" i="30"/>
  <c r="R69" i="30" s="1"/>
  <c r="AA28" i="21"/>
  <c r="AG28" i="21" s="1"/>
  <c r="Y27" i="21"/>
  <c r="X28" i="21" s="1"/>
  <c r="AE88" i="59"/>
  <c r="AI88" i="59"/>
  <c r="H10" i="2"/>
  <c r="I10" i="2" s="1"/>
  <c r="D10" i="2"/>
  <c r="V62" i="28"/>
  <c r="T62" i="28"/>
  <c r="T58" i="28"/>
  <c r="V58" i="28"/>
  <c r="H21" i="13"/>
  <c r="I21" i="13" s="1"/>
  <c r="D21" i="13"/>
  <c r="F21" i="13" s="1"/>
  <c r="G21" i="13" s="1"/>
  <c r="H59" i="29"/>
  <c r="H60" i="29" s="1"/>
  <c r="J60" i="29" s="1"/>
  <c r="F60" i="29"/>
  <c r="J59" i="29" s="1"/>
  <c r="AF9" i="4"/>
  <c r="AE69" i="29"/>
  <c r="AG69" i="29" s="1"/>
  <c r="R68" i="29"/>
  <c r="AE73" i="29"/>
  <c r="D69" i="29"/>
  <c r="J80" i="33"/>
  <c r="J79" i="33"/>
  <c r="AV24" i="16"/>
  <c r="F78" i="31"/>
  <c r="AG78" i="31"/>
  <c r="H18" i="10"/>
  <c r="I18" i="10" s="1"/>
  <c r="D18" i="10"/>
  <c r="F18" i="10" s="1"/>
  <c r="G18" i="10" s="1"/>
  <c r="Y9" i="2"/>
  <c r="H20" i="12"/>
  <c r="I20" i="12" s="1"/>
  <c r="D20" i="12"/>
  <c r="F20" i="12" s="1"/>
  <c r="G20" i="12" s="1"/>
  <c r="AE64" i="28"/>
  <c r="AG64" i="28" s="1"/>
  <c r="AE68" i="28"/>
  <c r="D64" i="28"/>
  <c r="F64" i="28" s="1"/>
  <c r="H64" i="28" s="1"/>
  <c r="R63" i="28"/>
  <c r="R59" i="28"/>
  <c r="AV11" i="3"/>
  <c r="AA7" i="1"/>
  <c r="X6" i="1"/>
  <c r="AG75" i="31"/>
  <c r="AI85" i="34"/>
  <c r="V52" i="26"/>
  <c r="T52" i="26"/>
  <c r="AA27" i="22"/>
  <c r="AG27" i="22" s="1"/>
  <c r="Y26" i="22"/>
  <c r="AA15" i="9"/>
  <c r="H12" i="4"/>
  <c r="I12" i="4" s="1"/>
  <c r="D12" i="4"/>
  <c r="F12" i="4" s="1"/>
  <c r="G12" i="4" s="1"/>
  <c r="AG93" i="34"/>
  <c r="Y10" i="3"/>
  <c r="T57" i="27"/>
  <c r="V57" i="27"/>
  <c r="V53" i="27"/>
  <c r="T53" i="27"/>
  <c r="G10" i="4"/>
  <c r="V83" i="33"/>
  <c r="V85" i="33" s="1"/>
  <c r="T83" i="33"/>
  <c r="J69" i="31"/>
  <c r="V74" i="32"/>
  <c r="V75" i="32" s="1"/>
  <c r="T74" i="32"/>
  <c r="T75" i="32" s="1"/>
  <c r="X74" i="32" s="1"/>
  <c r="Y13" i="6"/>
  <c r="X12" i="6" s="1"/>
  <c r="AE80" i="32"/>
  <c r="AI79" i="32" s="1"/>
  <c r="AE59" i="27"/>
  <c r="AG59" i="27" s="1"/>
  <c r="AE63" i="27"/>
  <c r="D59" i="27"/>
  <c r="F59" i="27" s="1"/>
  <c r="H59" i="27" s="1"/>
  <c r="R58" i="27"/>
  <c r="R54" i="27"/>
  <c r="D63" i="27"/>
  <c r="F63" i="27" s="1"/>
  <c r="H63" i="27" s="1"/>
  <c r="R62" i="27"/>
  <c r="D72" i="27"/>
  <c r="AY14" i="61"/>
  <c r="C24" i="40"/>
  <c r="B14" i="5"/>
  <c r="AP14" i="5"/>
  <c r="Y11" i="4"/>
  <c r="EX138" i="61" l="1"/>
  <c r="GI138" i="61" s="1"/>
  <c r="O17" i="64" s="1"/>
  <c r="AO18" i="68"/>
  <c r="CY108" i="61"/>
  <c r="AQ16" i="68"/>
  <c r="BE103" i="61"/>
  <c r="CX109" i="61"/>
  <c r="AP17" i="68"/>
  <c r="DA106" i="61"/>
  <c r="AS14" i="68"/>
  <c r="CZ107" i="61"/>
  <c r="AR15" i="68"/>
  <c r="DB105" i="61"/>
  <c r="AT13" i="68"/>
  <c r="AJ8" i="26"/>
  <c r="DG104" i="61"/>
  <c r="DF104" i="61"/>
  <c r="BZ103" i="61"/>
  <c r="BV103" i="61"/>
  <c r="BR103" i="61"/>
  <c r="BN103" i="61"/>
  <c r="BJ103" i="61"/>
  <c r="BF103" i="61"/>
  <c r="CB103" i="61"/>
  <c r="BX103" i="61"/>
  <c r="BT103" i="61"/>
  <c r="BP103" i="61"/>
  <c r="BL103" i="61"/>
  <c r="BH103" i="61"/>
  <c r="BO103" i="61"/>
  <c r="CC103" i="61"/>
  <c r="BU103" i="61"/>
  <c r="BM103" i="61"/>
  <c r="CA103" i="61"/>
  <c r="BK103" i="61"/>
  <c r="BS103" i="61"/>
  <c r="BY103" i="61"/>
  <c r="BQ103" i="61"/>
  <c r="BI103" i="61"/>
  <c r="BW103" i="61"/>
  <c r="BG103" i="61"/>
  <c r="X21" i="26"/>
  <c r="V50" i="26"/>
  <c r="T49" i="26"/>
  <c r="L65" i="31"/>
  <c r="N65" i="31" s="1"/>
  <c r="AQ65" i="31" s="1"/>
  <c r="AB16" i="31"/>
  <c r="AD16" i="31" s="1"/>
  <c r="AB5" i="31"/>
  <c r="AD5" i="31" s="1"/>
  <c r="AB10" i="31"/>
  <c r="AD10" i="31" s="1"/>
  <c r="X7" i="32"/>
  <c r="L7" i="32" s="1"/>
  <c r="AP60" i="32" s="1"/>
  <c r="AK59" i="31"/>
  <c r="AM59" i="31" s="1"/>
  <c r="AS59" i="31" s="1"/>
  <c r="AB4" i="31"/>
  <c r="AD4" i="31" s="1"/>
  <c r="X7" i="31" s="1"/>
  <c r="AB9" i="31"/>
  <c r="AD9" i="31" s="1"/>
  <c r="AB15" i="31"/>
  <c r="AD15" i="31" s="1"/>
  <c r="X6" i="32"/>
  <c r="L6" i="32" s="1"/>
  <c r="AP59" i="32" s="1"/>
  <c r="V28" i="26"/>
  <c r="Z27" i="26" s="1"/>
  <c r="Z28" i="26" s="1"/>
  <c r="T22" i="26"/>
  <c r="V22" i="26" s="1"/>
  <c r="V23" i="26" s="1"/>
  <c r="Z22" i="26" s="1"/>
  <c r="Z13" i="26"/>
  <c r="Z15" i="26" s="1"/>
  <c r="AH5" i="26"/>
  <c r="AJ5" i="26" s="1"/>
  <c r="AL5" i="26" s="1"/>
  <c r="AH9" i="26"/>
  <c r="AJ9" i="26" s="1"/>
  <c r="AE125" i="40"/>
  <c r="AI124" i="40" s="1"/>
  <c r="AI125" i="40" s="1"/>
  <c r="Z16" i="26"/>
  <c r="J112" i="38"/>
  <c r="Z5" i="26"/>
  <c r="AL4" i="26"/>
  <c r="AJ16" i="26"/>
  <c r="AN15" i="26" s="1"/>
  <c r="D264" i="66"/>
  <c r="D67" i="26"/>
  <c r="F67" i="26" s="1"/>
  <c r="H67" i="26" s="1"/>
  <c r="AL16" i="26"/>
  <c r="GH128" i="61"/>
  <c r="N7" i="64" s="1"/>
  <c r="AG130" i="41"/>
  <c r="AG115" i="38"/>
  <c r="AG95" i="34"/>
  <c r="B331" i="66"/>
  <c r="J79" i="32"/>
  <c r="AG105" i="36"/>
  <c r="Z59" i="31"/>
  <c r="AB59" i="31" s="1"/>
  <c r="K6" i="64"/>
  <c r="A252" i="66"/>
  <c r="GC128" i="61"/>
  <c r="GD128" i="61" s="1"/>
  <c r="ES127" i="61"/>
  <c r="H6" i="64" s="1"/>
  <c r="EY127" i="61"/>
  <c r="ER128" i="61"/>
  <c r="ER124" i="61"/>
  <c r="ET127" i="61"/>
  <c r="EL130" i="61"/>
  <c r="FX130" i="61"/>
  <c r="EN130" i="61"/>
  <c r="FZ130" i="61"/>
  <c r="EB130" i="61"/>
  <c r="FN130" i="61"/>
  <c r="EG130" i="61"/>
  <c r="FS130" i="61"/>
  <c r="EM130" i="61"/>
  <c r="FY130" i="61"/>
  <c r="DW130" i="61"/>
  <c r="FI130" i="61"/>
  <c r="ED130" i="61"/>
  <c r="FP130" i="61"/>
  <c r="DV130" i="61"/>
  <c r="FH130" i="61"/>
  <c r="EF130" i="61"/>
  <c r="FR130" i="61"/>
  <c r="DT130" i="61"/>
  <c r="FF130" i="61"/>
  <c r="EC130" i="61"/>
  <c r="FO130" i="61"/>
  <c r="EI130" i="61"/>
  <c r="FU130" i="61"/>
  <c r="DS130" i="61"/>
  <c r="FE130" i="61"/>
  <c r="GB130" i="61"/>
  <c r="EH130" i="61"/>
  <c r="FT130" i="61"/>
  <c r="DX130" i="61"/>
  <c r="FJ130" i="61"/>
  <c r="EO130" i="61"/>
  <c r="GA130" i="61"/>
  <c r="DY130" i="61"/>
  <c r="FK130" i="61"/>
  <c r="EE130" i="61"/>
  <c r="FQ130" i="61"/>
  <c r="DR129" i="61"/>
  <c r="EZ129" i="61" s="1"/>
  <c r="FD129" i="61"/>
  <c r="GE129" i="61" s="1"/>
  <c r="L8" i="64" s="1"/>
  <c r="DZ130" i="61"/>
  <c r="FL130" i="61"/>
  <c r="EJ130" i="61"/>
  <c r="FV130" i="61"/>
  <c r="EK130" i="61"/>
  <c r="FW130" i="61"/>
  <c r="DU130" i="61"/>
  <c r="FG130" i="61"/>
  <c r="EA130" i="61"/>
  <c r="FM130" i="61"/>
  <c r="D341" i="65"/>
  <c r="A341" i="65" s="1"/>
  <c r="D293" i="66"/>
  <c r="B293" i="66" s="1"/>
  <c r="EU130" i="61"/>
  <c r="EV130" i="61" s="1"/>
  <c r="DK102" i="61"/>
  <c r="I341" i="66"/>
  <c r="DO103" i="61"/>
  <c r="DS103" i="61"/>
  <c r="DW103" i="61"/>
  <c r="EA103" i="61"/>
  <c r="EE103" i="61"/>
  <c r="EI103" i="61"/>
  <c r="EP131" i="61" s="1"/>
  <c r="DM103" i="61"/>
  <c r="DQ103" i="61"/>
  <c r="DU103" i="61"/>
  <c r="DY103" i="61"/>
  <c r="EC103" i="61"/>
  <c r="EG103" i="61"/>
  <c r="DL103" i="61"/>
  <c r="DT103" i="61"/>
  <c r="EB103" i="61"/>
  <c r="DP103" i="61"/>
  <c r="DX103" i="61"/>
  <c r="EF103" i="61"/>
  <c r="DR103" i="61"/>
  <c r="EH103" i="61"/>
  <c r="DV103" i="61"/>
  <c r="DZ103" i="61"/>
  <c r="DN103" i="61"/>
  <c r="ED103" i="61"/>
  <c r="DD105" i="61"/>
  <c r="X50" i="27"/>
  <c r="AE130" i="41"/>
  <c r="AI129" i="41" s="1"/>
  <c r="AI130" i="41" s="1"/>
  <c r="AE105" i="36"/>
  <c r="AI104" i="36" s="1"/>
  <c r="D253" i="66"/>
  <c r="A253" i="66" s="1"/>
  <c r="D297" i="65"/>
  <c r="A297" i="65" s="1"/>
  <c r="J297" i="66"/>
  <c r="B297" i="65" s="1"/>
  <c r="I297" i="66"/>
  <c r="D332" i="66"/>
  <c r="A332" i="66" s="1"/>
  <c r="D286" i="66"/>
  <c r="L310" i="66"/>
  <c r="B274" i="66"/>
  <c r="A274" i="66"/>
  <c r="J309" i="66"/>
  <c r="B309" i="65" s="1"/>
  <c r="D309" i="65"/>
  <c r="I309" i="66"/>
  <c r="A264" i="66"/>
  <c r="B264" i="66"/>
  <c r="A285" i="66"/>
  <c r="B285" i="66"/>
  <c r="B296" i="66"/>
  <c r="A296" i="66"/>
  <c r="D261" i="65"/>
  <c r="A261" i="65" s="1"/>
  <c r="I261" i="66"/>
  <c r="J261" i="66"/>
  <c r="B261" i="65" s="1"/>
  <c r="L342" i="66"/>
  <c r="I342" i="66" s="1"/>
  <c r="D275" i="66"/>
  <c r="L298" i="66"/>
  <c r="L322" i="66"/>
  <c r="D297" i="66"/>
  <c r="J321" i="66"/>
  <c r="B321" i="65" s="1"/>
  <c r="I321" i="66"/>
  <c r="D321" i="65"/>
  <c r="AI135" i="42"/>
  <c r="AI150" i="42"/>
  <c r="AE115" i="38"/>
  <c r="AI114" i="38" s="1"/>
  <c r="D77" i="28"/>
  <c r="F77" i="28" s="1"/>
  <c r="R72" i="28"/>
  <c r="X100" i="37"/>
  <c r="AI110" i="38"/>
  <c r="AG120" i="39"/>
  <c r="AI145" i="42"/>
  <c r="D327" i="65"/>
  <c r="A327" i="65" s="1"/>
  <c r="J327" i="66"/>
  <c r="B327" i="65" s="1"/>
  <c r="I327" i="66"/>
  <c r="I271" i="66"/>
  <c r="D271" i="65"/>
  <c r="A271" i="65" s="1"/>
  <c r="J271" i="66"/>
  <c r="B271" i="65" s="1"/>
  <c r="X110" i="39"/>
  <c r="J369" i="66"/>
  <c r="B369" i="65" s="1"/>
  <c r="I369" i="66"/>
  <c r="D369" i="65"/>
  <c r="A369" i="65" s="1"/>
  <c r="B305" i="66"/>
  <c r="A305" i="66"/>
  <c r="D306" i="66"/>
  <c r="L328" i="66"/>
  <c r="D267" i="66"/>
  <c r="L286" i="66"/>
  <c r="B344" i="66"/>
  <c r="A344" i="66"/>
  <c r="I285" i="66"/>
  <c r="D285" i="65"/>
  <c r="A285" i="65" s="1"/>
  <c r="J285" i="66"/>
  <c r="B285" i="65" s="1"/>
  <c r="D345" i="66"/>
  <c r="L370" i="66"/>
  <c r="AE120" i="39"/>
  <c r="AI119" i="39" s="1"/>
  <c r="A266" i="66"/>
  <c r="B266" i="66"/>
  <c r="CV111" i="61"/>
  <c r="D280" i="66"/>
  <c r="L294" i="66"/>
  <c r="D451" i="66"/>
  <c r="L474" i="66"/>
  <c r="D489" i="66"/>
  <c r="L514" i="66"/>
  <c r="CS114" i="61"/>
  <c r="L354" i="66"/>
  <c r="D394" i="66"/>
  <c r="L414" i="66"/>
  <c r="R99" i="59"/>
  <c r="D111" i="59"/>
  <c r="F111" i="59" s="1"/>
  <c r="R103" i="35"/>
  <c r="T103" i="35" s="1"/>
  <c r="D104" i="35"/>
  <c r="F104" i="35" s="1"/>
  <c r="H104" i="35" s="1"/>
  <c r="H117" i="38"/>
  <c r="A279" i="66"/>
  <c r="B279" i="66"/>
  <c r="T107" i="36"/>
  <c r="V107" i="36"/>
  <c r="H107" i="35"/>
  <c r="D253" i="65"/>
  <c r="A253" i="65" s="1"/>
  <c r="I253" i="66"/>
  <c r="J253" i="66"/>
  <c r="B253" i="65" s="1"/>
  <c r="B412" i="66"/>
  <c r="A412" i="66"/>
  <c r="T118" i="39"/>
  <c r="V118" i="39"/>
  <c r="V108" i="37"/>
  <c r="T108" i="37"/>
  <c r="F117" i="37"/>
  <c r="H109" i="38"/>
  <c r="H110" i="38" s="1"/>
  <c r="J110" i="38" s="1"/>
  <c r="F110" i="38"/>
  <c r="J109" i="38" s="1"/>
  <c r="B488" i="66"/>
  <c r="A488" i="66"/>
  <c r="J124" i="41"/>
  <c r="N124" i="41" s="1"/>
  <c r="AQ124" i="41" s="1"/>
  <c r="J125" i="41"/>
  <c r="N125" i="41" s="1"/>
  <c r="AQ125" i="41" s="1"/>
  <c r="AI140" i="42"/>
  <c r="F144" i="41"/>
  <c r="H144" i="41" s="1"/>
  <c r="J142" i="41"/>
  <c r="F134" i="41"/>
  <c r="H134" i="41" s="1"/>
  <c r="J132" i="41"/>
  <c r="AE135" i="41"/>
  <c r="AI134" i="41" s="1"/>
  <c r="AG133" i="41"/>
  <c r="AG135" i="41" s="1"/>
  <c r="B317" i="66"/>
  <c r="A317" i="66"/>
  <c r="D353" i="65"/>
  <c r="A353" i="65" s="1"/>
  <c r="J353" i="66"/>
  <c r="B353" i="65" s="1"/>
  <c r="I353" i="66"/>
  <c r="H102" i="33"/>
  <c r="F124" i="40"/>
  <c r="H124" i="40" s="1"/>
  <c r="J122" i="40"/>
  <c r="B260" i="66"/>
  <c r="A260" i="66"/>
  <c r="H119" i="40"/>
  <c r="H120" i="40" s="1"/>
  <c r="J120" i="40" s="1"/>
  <c r="F120" i="40"/>
  <c r="J119" i="40" s="1"/>
  <c r="X90" i="36"/>
  <c r="D413" i="65"/>
  <c r="A413" i="65" s="1"/>
  <c r="J413" i="66"/>
  <c r="B413" i="65" s="1"/>
  <c r="I413" i="66"/>
  <c r="R114" i="38"/>
  <c r="AE119" i="38"/>
  <c r="AG119" i="38" s="1"/>
  <c r="R118" i="38"/>
  <c r="D119" i="38"/>
  <c r="AE123" i="38"/>
  <c r="R109" i="37"/>
  <c r="D118" i="37"/>
  <c r="F118" i="37" s="1"/>
  <c r="H118" i="37" s="1"/>
  <c r="R113" i="37"/>
  <c r="D114" i="37"/>
  <c r="F114" i="37" s="1"/>
  <c r="H114" i="37" s="1"/>
  <c r="AE118" i="37"/>
  <c r="AE114" i="37"/>
  <c r="AG114" i="37" s="1"/>
  <c r="CR115" i="61"/>
  <c r="D356" i="66"/>
  <c r="D124" i="39"/>
  <c r="AE124" i="39"/>
  <c r="AG124" i="39" s="1"/>
  <c r="AE128" i="39"/>
  <c r="R123" i="39"/>
  <c r="R84" i="32"/>
  <c r="T84" i="32" s="1"/>
  <c r="R97" i="32"/>
  <c r="D98" i="32"/>
  <c r="F98" i="32" s="1"/>
  <c r="H98" i="32" s="1"/>
  <c r="D102" i="32"/>
  <c r="F102" i="32" s="1"/>
  <c r="R87" i="31"/>
  <c r="D97" i="31"/>
  <c r="F97" i="31" s="1"/>
  <c r="D413" i="66"/>
  <c r="L434" i="66"/>
  <c r="X115" i="40"/>
  <c r="V99" i="36"/>
  <c r="V100" i="36" s="1"/>
  <c r="T99" i="36"/>
  <c r="T100" i="36" s="1"/>
  <c r="X99" i="36" s="1"/>
  <c r="V102" i="35"/>
  <c r="T102" i="35"/>
  <c r="B241" i="66"/>
  <c r="A241" i="66"/>
  <c r="V114" i="39"/>
  <c r="V115" i="39" s="1"/>
  <c r="T114" i="39"/>
  <c r="T115" i="39" s="1"/>
  <c r="X114" i="39" s="1"/>
  <c r="AG109" i="37"/>
  <c r="AG110" i="37" s="1"/>
  <c r="AE110" i="37"/>
  <c r="AI109" i="37" s="1"/>
  <c r="V112" i="37"/>
  <c r="T112" i="37"/>
  <c r="F105" i="36"/>
  <c r="J104" i="36" s="1"/>
  <c r="D493" i="65"/>
  <c r="A493" i="65" s="1"/>
  <c r="J493" i="66"/>
  <c r="B493" i="65" s="1"/>
  <c r="I493" i="66"/>
  <c r="H113" i="38"/>
  <c r="H115" i="38" s="1"/>
  <c r="J115" i="38" s="1"/>
  <c r="F115" i="38"/>
  <c r="J114" i="38" s="1"/>
  <c r="V143" i="41"/>
  <c r="T143" i="41"/>
  <c r="V138" i="41"/>
  <c r="T138" i="41"/>
  <c r="F149" i="41"/>
  <c r="H149" i="41" s="1"/>
  <c r="J147" i="41"/>
  <c r="AE140" i="41"/>
  <c r="AI139" i="41" s="1"/>
  <c r="AG138" i="41"/>
  <c r="AG140" i="41" s="1"/>
  <c r="V123" i="40"/>
  <c r="T123" i="40"/>
  <c r="J129" i="42"/>
  <c r="N129" i="42" s="1"/>
  <c r="AQ129" i="42" s="1"/>
  <c r="J130" i="42"/>
  <c r="N130" i="42" s="1"/>
  <c r="AQ130" i="42" s="1"/>
  <c r="V113" i="38"/>
  <c r="T113" i="38"/>
  <c r="B355" i="66"/>
  <c r="A355" i="66"/>
  <c r="B393" i="66"/>
  <c r="A393" i="66"/>
  <c r="D144" i="40"/>
  <c r="AE138" i="40"/>
  <c r="D149" i="40"/>
  <c r="AE144" i="40"/>
  <c r="AG144" i="40" s="1"/>
  <c r="R143" i="40"/>
  <c r="AE143" i="40"/>
  <c r="AE129" i="40"/>
  <c r="AG129" i="40" s="1"/>
  <c r="R128" i="40"/>
  <c r="D129" i="40"/>
  <c r="AE148" i="40"/>
  <c r="D139" i="40"/>
  <c r="AE149" i="40"/>
  <c r="AG149" i="40" s="1"/>
  <c r="AE133" i="40"/>
  <c r="D134" i="40"/>
  <c r="AE134" i="40"/>
  <c r="AG134" i="40" s="1"/>
  <c r="R138" i="40"/>
  <c r="AE139" i="40"/>
  <c r="AG139" i="40" s="1"/>
  <c r="R148" i="40"/>
  <c r="R133" i="40"/>
  <c r="CU112" i="61"/>
  <c r="L314" i="66"/>
  <c r="D470" i="66"/>
  <c r="L494" i="66"/>
  <c r="R99" i="35"/>
  <c r="D108" i="35"/>
  <c r="F108" i="35" s="1"/>
  <c r="H108" i="35" s="1"/>
  <c r="R107" i="35"/>
  <c r="D112" i="35"/>
  <c r="F112" i="35" s="1"/>
  <c r="CT113" i="61"/>
  <c r="D318" i="66"/>
  <c r="L334" i="66"/>
  <c r="H99" i="36"/>
  <c r="H100" i="36" s="1"/>
  <c r="J100" i="36" s="1"/>
  <c r="F100" i="36"/>
  <c r="J99" i="36" s="1"/>
  <c r="AE104" i="35"/>
  <c r="AG104" i="35" s="1"/>
  <c r="J140" i="42"/>
  <c r="N140" i="42" s="1"/>
  <c r="AQ140" i="42" s="1"/>
  <c r="J139" i="42"/>
  <c r="N139" i="42" s="1"/>
  <c r="AQ139" i="42" s="1"/>
  <c r="H112" i="36"/>
  <c r="D473" i="65"/>
  <c r="A473" i="65" s="1"/>
  <c r="I473" i="66"/>
  <c r="J473" i="66"/>
  <c r="B473" i="65" s="1"/>
  <c r="H103" i="35"/>
  <c r="F119" i="39"/>
  <c r="J117" i="39"/>
  <c r="H97" i="32"/>
  <c r="J107" i="37"/>
  <c r="F109" i="37"/>
  <c r="F113" i="37"/>
  <c r="J112" i="37"/>
  <c r="X105" i="38"/>
  <c r="J144" i="42"/>
  <c r="N144" i="42" s="1"/>
  <c r="AQ144" i="42" s="1"/>
  <c r="J145" i="42"/>
  <c r="N145" i="42" s="1"/>
  <c r="AQ145" i="42" s="1"/>
  <c r="H105" i="36"/>
  <c r="J105" i="36" s="1"/>
  <c r="B469" i="66"/>
  <c r="A469" i="66"/>
  <c r="J127" i="41"/>
  <c r="F129" i="41"/>
  <c r="H129" i="41" s="1"/>
  <c r="AE150" i="41"/>
  <c r="AI149" i="41" s="1"/>
  <c r="AG148" i="41"/>
  <c r="AG150" i="41" s="1"/>
  <c r="V133" i="41"/>
  <c r="T133" i="41"/>
  <c r="D453" i="65"/>
  <c r="A453" i="65" s="1"/>
  <c r="J453" i="66"/>
  <c r="B453" i="65" s="1"/>
  <c r="I453" i="66"/>
  <c r="D393" i="65"/>
  <c r="A393" i="65" s="1"/>
  <c r="J393" i="66"/>
  <c r="B393" i="65" s="1"/>
  <c r="I393" i="66"/>
  <c r="D432" i="66"/>
  <c r="L454" i="66"/>
  <c r="R89" i="34"/>
  <c r="D103" i="34"/>
  <c r="F103" i="34" s="1"/>
  <c r="R102" i="34"/>
  <c r="D107" i="34"/>
  <c r="F107" i="34" s="1"/>
  <c r="CW110" i="61"/>
  <c r="D261" i="66"/>
  <c r="L274" i="66"/>
  <c r="X13" i="27"/>
  <c r="D375" i="66"/>
  <c r="L394" i="66"/>
  <c r="R104" i="36"/>
  <c r="D113" i="36"/>
  <c r="R112" i="36"/>
  <c r="D117" i="36"/>
  <c r="D109" i="36"/>
  <c r="AE109" i="36"/>
  <c r="AE113" i="36"/>
  <c r="R108" i="36"/>
  <c r="D293" i="65"/>
  <c r="I293" i="66"/>
  <c r="J293" i="66"/>
  <c r="B293" i="65" s="1"/>
  <c r="A450" i="66"/>
  <c r="B450" i="66"/>
  <c r="T89" i="35"/>
  <c r="T90" i="35" s="1"/>
  <c r="X89" i="35" s="1"/>
  <c r="V89" i="35"/>
  <c r="V90" i="35" s="1"/>
  <c r="D433" i="65"/>
  <c r="A433" i="65" s="1"/>
  <c r="J433" i="66"/>
  <c r="B433" i="65" s="1"/>
  <c r="I433" i="66"/>
  <c r="AG123" i="39"/>
  <c r="AG125" i="39" s="1"/>
  <c r="V87" i="32"/>
  <c r="T87" i="32"/>
  <c r="AG113" i="37"/>
  <c r="AG115" i="37" s="1"/>
  <c r="V104" i="37"/>
  <c r="V105" i="37" s="1"/>
  <c r="T104" i="37"/>
  <c r="T105" i="37" s="1"/>
  <c r="X104" i="37" s="1"/>
  <c r="D513" i="65"/>
  <c r="A513" i="65" s="1"/>
  <c r="J513" i="66"/>
  <c r="B513" i="65" s="1"/>
  <c r="I513" i="66"/>
  <c r="F139" i="41"/>
  <c r="H139" i="41" s="1"/>
  <c r="J137" i="41"/>
  <c r="V128" i="41"/>
  <c r="T128" i="41"/>
  <c r="AG143" i="41"/>
  <c r="AG145" i="41" s="1"/>
  <c r="AE145" i="41"/>
  <c r="AI144" i="41" s="1"/>
  <c r="V148" i="41"/>
  <c r="T148" i="41"/>
  <c r="D333" i="65"/>
  <c r="I333" i="66"/>
  <c r="J333" i="66"/>
  <c r="B333" i="65" s="1"/>
  <c r="B431" i="66"/>
  <c r="A431" i="66"/>
  <c r="T97" i="33"/>
  <c r="V97" i="33"/>
  <c r="AG128" i="40"/>
  <c r="D273" i="65"/>
  <c r="A273" i="65" s="1"/>
  <c r="J273" i="66"/>
  <c r="B273" i="65" s="1"/>
  <c r="I273" i="66"/>
  <c r="J149" i="42"/>
  <c r="N149" i="42" s="1"/>
  <c r="AQ149" i="42" s="1"/>
  <c r="J150" i="42"/>
  <c r="N150" i="42" s="1"/>
  <c r="AQ150" i="42" s="1"/>
  <c r="J135" i="42"/>
  <c r="N135" i="42" s="1"/>
  <c r="AQ135" i="42" s="1"/>
  <c r="J134" i="42"/>
  <c r="N134" i="42" s="1"/>
  <c r="AQ134" i="42" s="1"/>
  <c r="AG118" i="38"/>
  <c r="AG120" i="38" s="1"/>
  <c r="T109" i="38"/>
  <c r="T110" i="38" s="1"/>
  <c r="X109" i="38" s="1"/>
  <c r="V109" i="38"/>
  <c r="V110" i="38" s="1"/>
  <c r="B374" i="66"/>
  <c r="A374" i="66"/>
  <c r="V77" i="59"/>
  <c r="V78" i="59" s="1"/>
  <c r="X78" i="59" s="1"/>
  <c r="AT17" i="59"/>
  <c r="AR5" i="59"/>
  <c r="AR6" i="59" s="1"/>
  <c r="AT6" i="59" s="1"/>
  <c r="AX6" i="59" s="1"/>
  <c r="AP6" i="59"/>
  <c r="AT5" i="59" s="1"/>
  <c r="AX5" i="59" s="1"/>
  <c r="Z54" i="59"/>
  <c r="AB54" i="59" s="1"/>
  <c r="L54" i="59"/>
  <c r="N54" i="59" s="1"/>
  <c r="AS54" i="59" s="1"/>
  <c r="L60" i="59"/>
  <c r="N60" i="59" s="1"/>
  <c r="AS60" i="59" s="1"/>
  <c r="AM48" i="59"/>
  <c r="AO48" i="59" s="1"/>
  <c r="AU48" i="59" s="1"/>
  <c r="Z48" i="59"/>
  <c r="AB48" i="59" s="1"/>
  <c r="AT11" i="59"/>
  <c r="AR69" i="35"/>
  <c r="AT69" i="35" s="1"/>
  <c r="D12" i="35" s="1"/>
  <c r="AK74" i="35" s="1"/>
  <c r="AM74" i="35" s="1"/>
  <c r="AS74" i="35" s="1"/>
  <c r="CL121" i="61"/>
  <c r="A292" i="65"/>
  <c r="A266" i="65"/>
  <c r="A318" i="65"/>
  <c r="CN119" i="61"/>
  <c r="CQ116" i="61"/>
  <c r="CM120" i="61"/>
  <c r="CK122" i="61"/>
  <c r="CP117" i="61"/>
  <c r="AA23" i="59"/>
  <c r="AA24" i="59" s="1"/>
  <c r="AE23" i="59" s="1"/>
  <c r="AC23" i="59"/>
  <c r="AC24" i="59" s="1"/>
  <c r="A279" i="65"/>
  <c r="CO118" i="61"/>
  <c r="A305" i="65"/>
  <c r="BA4" i="59" a="1"/>
  <c r="P4" i="59"/>
  <c r="T2" i="27"/>
  <c r="V8" i="27"/>
  <c r="J15" i="27"/>
  <c r="J22" i="27"/>
  <c r="J77" i="31"/>
  <c r="AR74" i="37"/>
  <c r="AT74" i="37" s="1"/>
  <c r="D13" i="37" s="1"/>
  <c r="AK79" i="37" s="1"/>
  <c r="AM79" i="37" s="1"/>
  <c r="AS79" i="37" s="1"/>
  <c r="AT79" i="37" s="1"/>
  <c r="J80" i="32"/>
  <c r="AR75" i="37"/>
  <c r="AT75" i="37" s="1"/>
  <c r="E13" i="37" s="1"/>
  <c r="AK80" i="37" s="1"/>
  <c r="AM80" i="37" s="1"/>
  <c r="AS80" i="37" s="1"/>
  <c r="AT80" i="37" s="1"/>
  <c r="T72" i="29"/>
  <c r="Z60" i="31"/>
  <c r="AB60" i="31" s="1"/>
  <c r="AR60" i="31" s="1"/>
  <c r="L64" i="31"/>
  <c r="N64" i="31" s="1"/>
  <c r="AQ64" i="31" s="1"/>
  <c r="AI55" i="27"/>
  <c r="T85" i="33"/>
  <c r="X84" i="33" s="1"/>
  <c r="X85" i="33" s="1"/>
  <c r="AE95" i="34"/>
  <c r="AI94" i="34" s="1"/>
  <c r="X14" i="8"/>
  <c r="V93" i="34"/>
  <c r="X24" i="25"/>
  <c r="AA23" i="25"/>
  <c r="AG23" i="25" s="1"/>
  <c r="Y22" i="25"/>
  <c r="X23" i="25" s="1"/>
  <c r="T50" i="26"/>
  <c r="X49" i="26" s="1"/>
  <c r="X50" i="26" s="1"/>
  <c r="Y11" i="3"/>
  <c r="AA11" i="3" s="1"/>
  <c r="AG11" i="3" s="1"/>
  <c r="AG80" i="31"/>
  <c r="R93" i="33"/>
  <c r="T93" i="33" s="1"/>
  <c r="AE98" i="33"/>
  <c r="AG98" i="33" s="1"/>
  <c r="AI60" i="28"/>
  <c r="AM60" i="28" s="1"/>
  <c r="AS60" i="28" s="1"/>
  <c r="AG90" i="33"/>
  <c r="D94" i="33"/>
  <c r="F94" i="33" s="1"/>
  <c r="H94" i="33" s="1"/>
  <c r="AI85" i="33"/>
  <c r="X80" i="33"/>
  <c r="AI100" i="36"/>
  <c r="X70" i="31"/>
  <c r="H69" i="30"/>
  <c r="H70" i="30" s="1"/>
  <c r="J70" i="30" s="1"/>
  <c r="F70" i="30"/>
  <c r="J69" i="30" s="1"/>
  <c r="D68" i="27"/>
  <c r="F68" i="27" s="1"/>
  <c r="R67" i="27"/>
  <c r="T93" i="59"/>
  <c r="V93" i="59"/>
  <c r="AG99" i="35"/>
  <c r="AG100" i="35" s="1"/>
  <c r="AE100" i="35"/>
  <c r="AI99" i="35" s="1"/>
  <c r="V69" i="30"/>
  <c r="V70" i="30" s="1"/>
  <c r="T69" i="30"/>
  <c r="T70" i="30" s="1"/>
  <c r="X69" i="30" s="1"/>
  <c r="T67" i="28"/>
  <c r="V67" i="28"/>
  <c r="V98" i="35"/>
  <c r="T98" i="35"/>
  <c r="T82" i="31"/>
  <c r="V82" i="31"/>
  <c r="V79" i="32"/>
  <c r="V80" i="32" s="1"/>
  <c r="T79" i="32"/>
  <c r="T80" i="32" s="1"/>
  <c r="X79" i="32" s="1"/>
  <c r="H54" i="27"/>
  <c r="H55" i="27" s="1"/>
  <c r="J55" i="27" s="1"/>
  <c r="F55" i="27"/>
  <c r="J54" i="27" s="1"/>
  <c r="H89" i="34"/>
  <c r="H90" i="34" s="1"/>
  <c r="J90" i="34" s="1"/>
  <c r="F90" i="34"/>
  <c r="J89" i="34" s="1"/>
  <c r="R77" i="29"/>
  <c r="D82" i="29"/>
  <c r="F82" i="29" s="1"/>
  <c r="R89" i="59"/>
  <c r="D100" i="59"/>
  <c r="F100" i="59" s="1"/>
  <c r="H100" i="59" s="1"/>
  <c r="H99" i="59"/>
  <c r="AR70" i="35"/>
  <c r="AT70" i="35" s="1"/>
  <c r="E12" i="35" s="1"/>
  <c r="AK75" i="35" s="1"/>
  <c r="AM75" i="35" s="1"/>
  <c r="AS75" i="35" s="1"/>
  <c r="H68" i="28"/>
  <c r="F99" i="35"/>
  <c r="J97" i="35"/>
  <c r="H87" i="31"/>
  <c r="H82" i="30"/>
  <c r="R82" i="30"/>
  <c r="D83" i="30"/>
  <c r="F83" i="30" s="1"/>
  <c r="H83" i="30" s="1"/>
  <c r="D87" i="30"/>
  <c r="F87" i="30" s="1"/>
  <c r="D99" i="34"/>
  <c r="AE99" i="34"/>
  <c r="AE103" i="34"/>
  <c r="R98" i="34"/>
  <c r="H84" i="33"/>
  <c r="H85" i="33" s="1"/>
  <c r="J85" i="33" s="1"/>
  <c r="F85" i="33"/>
  <c r="J84" i="33" s="1"/>
  <c r="R79" i="31"/>
  <c r="D88" i="31"/>
  <c r="F88" i="31" s="1"/>
  <c r="H88" i="31" s="1"/>
  <c r="Z70" i="36"/>
  <c r="AB70" i="36" s="1"/>
  <c r="AR69" i="36" s="1"/>
  <c r="AT69" i="36" s="1"/>
  <c r="D12" i="36" s="1"/>
  <c r="AK74" i="36" s="1"/>
  <c r="AM74" i="36" s="1"/>
  <c r="AS74" i="36" s="1"/>
  <c r="L75" i="36"/>
  <c r="N75" i="36" s="1"/>
  <c r="AQ75" i="36" s="1"/>
  <c r="L84" i="37"/>
  <c r="N84" i="37" s="1"/>
  <c r="AQ84" i="37" s="1"/>
  <c r="AG108" i="35"/>
  <c r="AG103" i="35"/>
  <c r="T77" i="30"/>
  <c r="V77" i="30"/>
  <c r="AR59" i="32"/>
  <c r="AT59" i="32" s="1"/>
  <c r="D10" i="32" s="1"/>
  <c r="AE80" i="31"/>
  <c r="AI79" i="31" s="1"/>
  <c r="AB40" i="26"/>
  <c r="AR40" i="26" s="1"/>
  <c r="AT40" i="26" s="1"/>
  <c r="E6" i="26" s="1"/>
  <c r="AE90" i="33"/>
  <c r="AI89" i="33" s="1"/>
  <c r="N44" i="26"/>
  <c r="AQ44" i="26" s="1"/>
  <c r="AK70" i="36"/>
  <c r="AM70" i="36" s="1"/>
  <c r="AS70" i="36" s="1"/>
  <c r="AR64" i="33"/>
  <c r="AT64" i="33" s="1"/>
  <c r="D11" i="33" s="1"/>
  <c r="AR65" i="33"/>
  <c r="AT65" i="33" s="1"/>
  <c r="E11" i="33" s="1"/>
  <c r="AK70" i="33" s="1"/>
  <c r="AM70" i="33" s="1"/>
  <c r="AS70" i="33" s="1"/>
  <c r="AR65" i="34"/>
  <c r="AT65" i="34" s="1"/>
  <c r="AR64" i="34"/>
  <c r="AT64" i="34" s="1"/>
  <c r="AR60" i="32"/>
  <c r="AT60" i="32" s="1"/>
  <c r="E10" i="32" s="1"/>
  <c r="AI75" i="31"/>
  <c r="AE75" i="30"/>
  <c r="AI74" i="30" s="1"/>
  <c r="X65" i="31"/>
  <c r="AI70" i="30"/>
  <c r="AG75" i="30"/>
  <c r="X75" i="32"/>
  <c r="X72" i="59"/>
  <c r="Y9" i="1"/>
  <c r="AA9" i="1" s="1"/>
  <c r="AG9" i="1" s="1"/>
  <c r="X60" i="29"/>
  <c r="X55" i="28"/>
  <c r="N45" i="26"/>
  <c r="AQ45" i="26" s="1"/>
  <c r="X45" i="26"/>
  <c r="AA11" i="4"/>
  <c r="AG11" i="4" s="1"/>
  <c r="F72" i="27"/>
  <c r="V58" i="27"/>
  <c r="T58" i="27"/>
  <c r="AG7" i="1"/>
  <c r="V59" i="28"/>
  <c r="V60" i="28" s="1"/>
  <c r="T59" i="28"/>
  <c r="T60" i="28" s="1"/>
  <c r="X59" i="28" s="1"/>
  <c r="AA9" i="2"/>
  <c r="AG73" i="29"/>
  <c r="AE79" i="30"/>
  <c r="AG79" i="30" s="1"/>
  <c r="R78" i="30"/>
  <c r="AE83" i="30"/>
  <c r="R74" i="30"/>
  <c r="D79" i="30"/>
  <c r="F79" i="30" s="1"/>
  <c r="H79" i="30" s="1"/>
  <c r="H16" i="7"/>
  <c r="I16" i="7" s="1"/>
  <c r="D16" i="7"/>
  <c r="F16" i="7" s="1"/>
  <c r="G16" i="7" s="1"/>
  <c r="AE59" i="26"/>
  <c r="AG59" i="26" s="1"/>
  <c r="AE63" i="26"/>
  <c r="R58" i="26"/>
  <c r="R54" i="26"/>
  <c r="D59" i="26"/>
  <c r="D63" i="26"/>
  <c r="F63" i="26" s="1"/>
  <c r="H63" i="26" s="1"/>
  <c r="R62" i="26"/>
  <c r="J95" i="34"/>
  <c r="N95" i="34" s="1"/>
  <c r="AQ95" i="34" s="1"/>
  <c r="J94" i="34"/>
  <c r="N94" i="34" s="1"/>
  <c r="AQ94" i="34" s="1"/>
  <c r="AA8" i="1"/>
  <c r="AG8" i="1" s="1"/>
  <c r="AV12" i="3"/>
  <c r="AG10" i="4"/>
  <c r="R64" i="29"/>
  <c r="R73" i="29"/>
  <c r="AE74" i="29"/>
  <c r="AG74" i="29" s="1"/>
  <c r="D74" i="29"/>
  <c r="AE78" i="29"/>
  <c r="D78" i="29"/>
  <c r="Y10" i="2"/>
  <c r="F84" i="32"/>
  <c r="J82" i="32"/>
  <c r="F54" i="26"/>
  <c r="J52" i="26"/>
  <c r="J57" i="27"/>
  <c r="AE85" i="32"/>
  <c r="AI84" i="32" s="1"/>
  <c r="J60" i="28"/>
  <c r="J59" i="28"/>
  <c r="F78" i="30"/>
  <c r="V64" i="30"/>
  <c r="V65" i="30" s="1"/>
  <c r="T64" i="30"/>
  <c r="T65" i="30" s="1"/>
  <c r="X64" i="30" s="1"/>
  <c r="G28" i="21"/>
  <c r="G29" i="21" s="1"/>
  <c r="I38" i="21" s="1"/>
  <c r="F29" i="21"/>
  <c r="I36" i="21" s="1"/>
  <c r="AE69" i="28"/>
  <c r="AG69" i="28" s="1"/>
  <c r="AE73" i="28"/>
  <c r="D69" i="28"/>
  <c r="R68" i="28"/>
  <c r="H20" i="11"/>
  <c r="I20" i="11" s="1"/>
  <c r="D20" i="11"/>
  <c r="F20" i="11" s="1"/>
  <c r="G20" i="11" s="1"/>
  <c r="F89" i="33"/>
  <c r="J87" i="33"/>
  <c r="AV15" i="6"/>
  <c r="V74" i="31"/>
  <c r="V75" i="31" s="1"/>
  <c r="T74" i="31"/>
  <c r="T75" i="31" s="1"/>
  <c r="X74" i="31" s="1"/>
  <c r="H64" i="29"/>
  <c r="H65" i="29" s="1"/>
  <c r="J65" i="29" s="1"/>
  <c r="F65" i="29"/>
  <c r="J64" i="29" s="1"/>
  <c r="AF15" i="10"/>
  <c r="H13" i="4"/>
  <c r="I13" i="4" s="1"/>
  <c r="D13" i="4"/>
  <c r="F13" i="4" s="1"/>
  <c r="AE55" i="26"/>
  <c r="AI54" i="26" s="1"/>
  <c r="AE64" i="27"/>
  <c r="AG64" i="27" s="1"/>
  <c r="AE68" i="27"/>
  <c r="R63" i="27"/>
  <c r="D64" i="27"/>
  <c r="F64" i="27" s="1"/>
  <c r="H64" i="27" s="1"/>
  <c r="R59" i="27"/>
  <c r="AA25" i="23"/>
  <c r="AG25" i="23" s="1"/>
  <c r="Y24" i="23"/>
  <c r="X25" i="23" s="1"/>
  <c r="AT20" i="61"/>
  <c r="AK23" i="68" s="1"/>
  <c r="B20" i="10"/>
  <c r="C19" i="34"/>
  <c r="R103" i="34" s="1"/>
  <c r="AP20" i="10"/>
  <c r="R88" i="32"/>
  <c r="AE89" i="32"/>
  <c r="AG89" i="32" s="1"/>
  <c r="AE93" i="32"/>
  <c r="D89" i="32"/>
  <c r="Y14" i="6"/>
  <c r="X13" i="6" s="1"/>
  <c r="BB12" i="61"/>
  <c r="C27" i="42"/>
  <c r="AP12" i="2"/>
  <c r="B12" i="2"/>
  <c r="AG95" i="59"/>
  <c r="AG96" i="59" s="1"/>
  <c r="AK95" i="59" s="1"/>
  <c r="R94" i="59"/>
  <c r="AG100" i="59"/>
  <c r="D95" i="59"/>
  <c r="V83" i="59"/>
  <c r="V84" i="59" s="1"/>
  <c r="T83" i="59"/>
  <c r="T84" i="59" s="1"/>
  <c r="X83" i="59" s="1"/>
  <c r="AV18" i="9"/>
  <c r="AV14" i="5"/>
  <c r="AG63" i="27"/>
  <c r="AY15" i="61"/>
  <c r="AP18" i="68" s="1"/>
  <c r="B15" i="5"/>
  <c r="AP15" i="5"/>
  <c r="C24" i="39"/>
  <c r="T62" i="27"/>
  <c r="V62" i="27"/>
  <c r="AA13" i="6"/>
  <c r="AG13" i="6" s="1"/>
  <c r="AA26" i="22"/>
  <c r="AG26" i="22" s="1"/>
  <c r="Y25" i="22"/>
  <c r="X26" i="22" s="1"/>
  <c r="T63" i="28"/>
  <c r="V63" i="28"/>
  <c r="V68" i="29"/>
  <c r="T68" i="29"/>
  <c r="AV24" i="15"/>
  <c r="F28" i="20"/>
  <c r="D29" i="20"/>
  <c r="I35" i="20" s="1"/>
  <c r="AG70" i="29"/>
  <c r="AV28" i="53"/>
  <c r="Y28" i="53"/>
  <c r="Y27" i="53" s="1"/>
  <c r="BG8" i="53"/>
  <c r="H28" i="19"/>
  <c r="I28" i="19" s="1"/>
  <c r="I29" i="19" s="1"/>
  <c r="I39" i="19" s="1"/>
  <c r="D28" i="19"/>
  <c r="S7" i="19"/>
  <c r="AI80" i="32"/>
  <c r="AV18" i="61"/>
  <c r="AM21" i="68" s="1"/>
  <c r="C21" i="36"/>
  <c r="B18" i="8"/>
  <c r="AP18" i="8"/>
  <c r="H57" i="26"/>
  <c r="BA13" i="61"/>
  <c r="C26" i="41"/>
  <c r="AP13" i="3"/>
  <c r="B13" i="3"/>
  <c r="X10" i="4"/>
  <c r="AV25" i="16"/>
  <c r="H72" i="28"/>
  <c r="BC11" i="61"/>
  <c r="B11" i="1"/>
  <c r="C28" i="43"/>
  <c r="AP11" i="1"/>
  <c r="AG88" i="32"/>
  <c r="F62" i="26"/>
  <c r="AG58" i="26"/>
  <c r="AI90" i="34"/>
  <c r="AG15" i="8"/>
  <c r="J62" i="28"/>
  <c r="F74" i="30"/>
  <c r="J72" i="30"/>
  <c r="AV26" i="17"/>
  <c r="AS21" i="61"/>
  <c r="AJ24" i="68" s="1"/>
  <c r="C18" i="33"/>
  <c r="B21" i="11"/>
  <c r="AP21" i="11"/>
  <c r="AZ14" i="61"/>
  <c r="C25" i="40"/>
  <c r="AP14" i="4"/>
  <c r="B14" i="4"/>
  <c r="AG9" i="3"/>
  <c r="C11" i="26"/>
  <c r="AH10" i="26" s="1"/>
  <c r="AP28" i="18"/>
  <c r="T32" i="61"/>
  <c r="B28" i="18"/>
  <c r="H21" i="12"/>
  <c r="I21" i="12" s="1"/>
  <c r="D21" i="12"/>
  <c r="F21" i="12" s="1"/>
  <c r="G21" i="12" s="1"/>
  <c r="AV19" i="10"/>
  <c r="H22" i="13"/>
  <c r="I22" i="13" s="1"/>
  <c r="D22" i="13"/>
  <c r="F22" i="13" s="1"/>
  <c r="G22" i="13" s="1"/>
  <c r="AV11" i="2"/>
  <c r="AE84" i="31"/>
  <c r="AG84" i="31" s="1"/>
  <c r="AE88" i="31"/>
  <c r="D84" i="31"/>
  <c r="R83" i="31"/>
  <c r="AP24" i="61"/>
  <c r="AG27" i="68" s="1"/>
  <c r="AP24" i="14"/>
  <c r="B24" i="14"/>
  <c r="C15" i="30"/>
  <c r="AE94" i="59"/>
  <c r="AI94" i="59"/>
  <c r="AU19" i="61"/>
  <c r="AL22" i="68" s="1"/>
  <c r="AP19" i="9"/>
  <c r="C20" i="35"/>
  <c r="B19" i="9"/>
  <c r="AF14" i="7"/>
  <c r="AA10" i="3"/>
  <c r="AG10" i="3" s="1"/>
  <c r="AA27" i="20"/>
  <c r="AG27" i="20" s="1"/>
  <c r="Y26" i="20"/>
  <c r="X27" i="20" s="1"/>
  <c r="V72" i="28"/>
  <c r="T72" i="28"/>
  <c r="H78" i="31"/>
  <c r="H80" i="31" s="1"/>
  <c r="F80" i="31"/>
  <c r="F10" i="2"/>
  <c r="AA27" i="21"/>
  <c r="AG27" i="21" s="1"/>
  <c r="Y26" i="21"/>
  <c r="X27" i="21" s="1"/>
  <c r="H24" i="15"/>
  <c r="I24" i="15" s="1"/>
  <c r="D24" i="15"/>
  <c r="F24" i="15" s="1"/>
  <c r="G24" i="15" s="1"/>
  <c r="AV16" i="7"/>
  <c r="AE70" i="29"/>
  <c r="AI69" i="29" s="1"/>
  <c r="AV28" i="19"/>
  <c r="Y28" i="19"/>
  <c r="Y27" i="19" s="1"/>
  <c r="BG7" i="19"/>
  <c r="H60" i="27"/>
  <c r="Y12" i="4"/>
  <c r="H17" i="8"/>
  <c r="I17" i="8" s="1"/>
  <c r="D17" i="8"/>
  <c r="F17" i="8" s="1"/>
  <c r="G17" i="8" s="1"/>
  <c r="AF10" i="5"/>
  <c r="AF11" i="5" s="1"/>
  <c r="AF12" i="5" s="1"/>
  <c r="H74" i="31"/>
  <c r="H75" i="31" s="1"/>
  <c r="J75" i="31" s="1"/>
  <c r="F75" i="31"/>
  <c r="J74" i="31" s="1"/>
  <c r="H25" i="16"/>
  <c r="I25" i="16" s="1"/>
  <c r="D25" i="16"/>
  <c r="F25" i="16" s="1"/>
  <c r="G25" i="16" s="1"/>
  <c r="H10" i="1"/>
  <c r="I10" i="1" s="1"/>
  <c r="D10" i="1"/>
  <c r="T53" i="26"/>
  <c r="V53" i="26"/>
  <c r="H77" i="29"/>
  <c r="Y13" i="5"/>
  <c r="AE60" i="27"/>
  <c r="AI59" i="27" s="1"/>
  <c r="V73" i="30"/>
  <c r="T73" i="30"/>
  <c r="H26" i="17"/>
  <c r="I26" i="17" s="1"/>
  <c r="D26" i="17"/>
  <c r="F26" i="17" s="1"/>
  <c r="G26" i="17" s="1"/>
  <c r="AV20" i="11"/>
  <c r="AG93" i="33"/>
  <c r="AG95" i="33" s="1"/>
  <c r="AE95" i="33"/>
  <c r="AI94" i="33" s="1"/>
  <c r="H15" i="6"/>
  <c r="I15" i="6" s="1"/>
  <c r="D15" i="6"/>
  <c r="F15" i="6" s="1"/>
  <c r="G15" i="6" s="1"/>
  <c r="H83" i="59"/>
  <c r="H84" i="59" s="1"/>
  <c r="J84" i="59" s="1"/>
  <c r="F84" i="59"/>
  <c r="J83" i="59" s="1"/>
  <c r="AF8" i="2"/>
  <c r="V78" i="31"/>
  <c r="T78" i="31"/>
  <c r="AV13" i="4"/>
  <c r="X9" i="3"/>
  <c r="H49" i="26"/>
  <c r="H50" i="26" s="1"/>
  <c r="J50" i="26" s="1"/>
  <c r="F50" i="26"/>
  <c r="J49" i="26" s="1"/>
  <c r="AV27" i="18"/>
  <c r="AV21" i="12"/>
  <c r="X26" i="23"/>
  <c r="F65" i="28"/>
  <c r="AV22" i="13"/>
  <c r="AG65" i="28"/>
  <c r="H11" i="2"/>
  <c r="I11" i="2" s="1"/>
  <c r="D11" i="2"/>
  <c r="F11" i="2" s="1"/>
  <c r="G11" i="2" s="1"/>
  <c r="J87" i="59"/>
  <c r="H23" i="14"/>
  <c r="I23" i="14" s="1"/>
  <c r="D23" i="14"/>
  <c r="F23" i="14" s="1"/>
  <c r="G23" i="14" s="1"/>
  <c r="T88" i="59"/>
  <c r="V88" i="59"/>
  <c r="H14" i="5"/>
  <c r="I14" i="5" s="1"/>
  <c r="D14" i="5"/>
  <c r="F14" i="5" s="1"/>
  <c r="G14" i="5" s="1"/>
  <c r="V54" i="27"/>
  <c r="V55" i="27" s="1"/>
  <c r="T54" i="27"/>
  <c r="T55" i="27" s="1"/>
  <c r="X54" i="27" s="1"/>
  <c r="AG15" i="9"/>
  <c r="X27" i="22"/>
  <c r="AG68" i="28"/>
  <c r="F69" i="29"/>
  <c r="J67" i="29"/>
  <c r="AO25" i="61"/>
  <c r="AF28" i="68" s="1"/>
  <c r="C14" i="29"/>
  <c r="R69" i="29" s="1"/>
  <c r="AP25" i="15"/>
  <c r="B25" i="15"/>
  <c r="AW17" i="61"/>
  <c r="AN20" i="68" s="1"/>
  <c r="B17" i="7"/>
  <c r="AP17" i="7"/>
  <c r="C22" i="37"/>
  <c r="D28" i="53"/>
  <c r="H28" i="53"/>
  <c r="I28" i="53" s="1"/>
  <c r="I29" i="53" s="1"/>
  <c r="S17" i="53" s="1"/>
  <c r="S8" i="53"/>
  <c r="F60" i="27"/>
  <c r="AA24" i="24"/>
  <c r="AG24" i="24" s="1"/>
  <c r="Y23" i="24"/>
  <c r="AV17" i="8"/>
  <c r="G12" i="5"/>
  <c r="H12" i="3"/>
  <c r="I12" i="3" s="1"/>
  <c r="D12" i="3"/>
  <c r="F12" i="3" s="1"/>
  <c r="AN26" i="61"/>
  <c r="AE29" i="68" s="1"/>
  <c r="B26" i="16"/>
  <c r="C13" i="28"/>
  <c r="AP26" i="16"/>
  <c r="AG12" i="6"/>
  <c r="AV10" i="1"/>
  <c r="T83" i="32"/>
  <c r="V83" i="32"/>
  <c r="Y15" i="7"/>
  <c r="X28" i="20"/>
  <c r="AA28" i="20"/>
  <c r="AG28" i="20" s="1"/>
  <c r="V57" i="26"/>
  <c r="T57" i="26"/>
  <c r="AG85" i="32"/>
  <c r="AG60" i="27"/>
  <c r="AG78" i="30"/>
  <c r="AM27" i="61"/>
  <c r="C12" i="27"/>
  <c r="AH3" i="27" s="1"/>
  <c r="B27" i="17"/>
  <c r="AP27" i="17"/>
  <c r="V88" i="33"/>
  <c r="T88" i="33"/>
  <c r="AX16" i="61"/>
  <c r="AP16" i="6"/>
  <c r="B16" i="6"/>
  <c r="C23" i="38"/>
  <c r="X8" i="2"/>
  <c r="AG83" i="31"/>
  <c r="AI50" i="26"/>
  <c r="H62" i="27"/>
  <c r="AG55" i="26"/>
  <c r="H27" i="18"/>
  <c r="I27" i="18" s="1"/>
  <c r="D27" i="18"/>
  <c r="F27" i="18" s="1"/>
  <c r="G27" i="18" s="1"/>
  <c r="AR22" i="61"/>
  <c r="B22" i="12"/>
  <c r="C17" i="32"/>
  <c r="AE98" i="32" s="1"/>
  <c r="AP22" i="12"/>
  <c r="H65" i="28"/>
  <c r="H19" i="10"/>
  <c r="I19" i="10" s="1"/>
  <c r="D19" i="10"/>
  <c r="F19" i="10" s="1"/>
  <c r="G19" i="10" s="1"/>
  <c r="AQ23" i="61"/>
  <c r="C16" i="59"/>
  <c r="B23" i="13"/>
  <c r="AP23" i="13"/>
  <c r="C16" i="31"/>
  <c r="AE65" i="28"/>
  <c r="AI64" i="28" s="1"/>
  <c r="H88" i="59"/>
  <c r="H90" i="59" s="1"/>
  <c r="F90" i="59"/>
  <c r="AV23" i="14"/>
  <c r="AE89" i="59"/>
  <c r="AI89" i="59"/>
  <c r="AI90" i="59" s="1"/>
  <c r="AK90" i="59" s="1"/>
  <c r="H18" i="9"/>
  <c r="I18" i="9" s="1"/>
  <c r="D18" i="9"/>
  <c r="F18" i="9" s="1"/>
  <c r="G18" i="9" s="1"/>
  <c r="D294" i="66" l="1"/>
  <c r="AH26" i="68"/>
  <c r="CY109" i="61"/>
  <c r="AQ17" i="68"/>
  <c r="CZ108" i="61"/>
  <c r="AR16" i="68"/>
  <c r="DB106" i="61"/>
  <c r="AT14" i="68"/>
  <c r="EX139" i="61"/>
  <c r="GI139" i="61" s="1"/>
  <c r="O18" i="64" s="1"/>
  <c r="AO19" i="68"/>
  <c r="L301" i="66"/>
  <c r="AI25" i="68"/>
  <c r="DA107" i="61"/>
  <c r="AS15" i="68"/>
  <c r="BZ104" i="61"/>
  <c r="BV104" i="61"/>
  <c r="BR104" i="61"/>
  <c r="BN104" i="61"/>
  <c r="BJ104" i="61"/>
  <c r="BF104" i="61"/>
  <c r="CB104" i="61"/>
  <c r="BX104" i="61"/>
  <c r="BT104" i="61"/>
  <c r="BP104" i="61"/>
  <c r="BL104" i="61"/>
  <c r="BH104" i="61"/>
  <c r="BW104" i="61"/>
  <c r="CC104" i="61"/>
  <c r="BU104" i="61"/>
  <c r="BM104" i="61"/>
  <c r="CA104" i="61"/>
  <c r="BS104" i="61"/>
  <c r="BK104" i="61"/>
  <c r="BY104" i="61"/>
  <c r="BQ104" i="61"/>
  <c r="BI104" i="61"/>
  <c r="BO104" i="61"/>
  <c r="BG104" i="61"/>
  <c r="BE104" i="61"/>
  <c r="DG105" i="61"/>
  <c r="DF105" i="61"/>
  <c r="AI105" i="36"/>
  <c r="AN3" i="26"/>
  <c r="L7" i="31"/>
  <c r="AP60" i="31" s="1"/>
  <c r="AT60" i="31" s="1"/>
  <c r="E10" i="31" s="1"/>
  <c r="X22" i="26"/>
  <c r="X23" i="26" s="1"/>
  <c r="AL9" i="26"/>
  <c r="X6" i="31"/>
  <c r="L6" i="31" s="1"/>
  <c r="AP59" i="31" s="1"/>
  <c r="AB28" i="31"/>
  <c r="AD28" i="31" s="1"/>
  <c r="AB23" i="31"/>
  <c r="AD23" i="31" s="1"/>
  <c r="AJ6" i="26"/>
  <c r="AB27" i="32"/>
  <c r="AD27" i="32" s="1"/>
  <c r="AB22" i="32"/>
  <c r="AD22" i="32" s="1"/>
  <c r="AL6" i="26"/>
  <c r="L70" i="32"/>
  <c r="N70" i="32" s="1"/>
  <c r="AQ70" i="32" s="1"/>
  <c r="AB28" i="32"/>
  <c r="AD28" i="32" s="1"/>
  <c r="AB23" i="32"/>
  <c r="AD23" i="32" s="1"/>
  <c r="X25" i="32" s="1"/>
  <c r="AE80" i="30"/>
  <c r="AI79" i="30" s="1"/>
  <c r="AI95" i="34"/>
  <c r="AR59" i="31"/>
  <c r="AT59" i="31" s="1"/>
  <c r="D10" i="31" s="1"/>
  <c r="AN16" i="26"/>
  <c r="Z23" i="26"/>
  <c r="AL10" i="26"/>
  <c r="AL11" i="26" s="1"/>
  <c r="AJ10" i="26"/>
  <c r="AJ11" i="26" s="1"/>
  <c r="AN10" i="26" s="1"/>
  <c r="AB5" i="26"/>
  <c r="AD5" i="26" s="1"/>
  <c r="AB16" i="26"/>
  <c r="AD16" i="26" s="1"/>
  <c r="V84" i="32"/>
  <c r="J102" i="35"/>
  <c r="AI115" i="38"/>
  <c r="B332" i="66"/>
  <c r="GH129" i="61"/>
  <c r="N8" i="64" s="1"/>
  <c r="A293" i="66"/>
  <c r="V103" i="35"/>
  <c r="AG130" i="40"/>
  <c r="AE125" i="39"/>
  <c r="AI124" i="39" s="1"/>
  <c r="AG105" i="35"/>
  <c r="AE120" i="38"/>
  <c r="AI119" i="38" s="1"/>
  <c r="X10" i="3"/>
  <c r="AE115" i="37"/>
  <c r="AI114" i="37" s="1"/>
  <c r="J80" i="31"/>
  <c r="AE105" i="35"/>
  <c r="AI104" i="35" s="1"/>
  <c r="L85" i="37"/>
  <c r="N85" i="37" s="1"/>
  <c r="AQ85" i="37" s="1"/>
  <c r="EY128" i="61"/>
  <c r="K7" i="64"/>
  <c r="GC129" i="61"/>
  <c r="GD129" i="61" s="1"/>
  <c r="ER129" i="61"/>
  <c r="ET128" i="61"/>
  <c r="ES128" i="61"/>
  <c r="H7" i="64" s="1"/>
  <c r="D342" i="65"/>
  <c r="A342" i="65" s="1"/>
  <c r="EK131" i="61"/>
  <c r="FW131" i="61"/>
  <c r="EO131" i="61"/>
  <c r="GA131" i="61"/>
  <c r="DW131" i="61"/>
  <c r="FI131" i="61"/>
  <c r="EN131" i="61"/>
  <c r="FZ131" i="61"/>
  <c r="DX131" i="61"/>
  <c r="FJ131" i="61"/>
  <c r="EH131" i="61"/>
  <c r="FT131" i="61"/>
  <c r="DU131" i="61"/>
  <c r="FG131" i="61"/>
  <c r="DY131" i="61"/>
  <c r="FK131" i="61"/>
  <c r="EI131" i="61"/>
  <c r="FU131" i="61"/>
  <c r="EJ131" i="61"/>
  <c r="FV131" i="61"/>
  <c r="DT131" i="61"/>
  <c r="FF131" i="61"/>
  <c r="ED131" i="61"/>
  <c r="FP131" i="61"/>
  <c r="EG131" i="61"/>
  <c r="FS131" i="61"/>
  <c r="EM131" i="61"/>
  <c r="FY131" i="61"/>
  <c r="EA131" i="61"/>
  <c r="FM131" i="61"/>
  <c r="EF131" i="61"/>
  <c r="FR131" i="61"/>
  <c r="GB131" i="61"/>
  <c r="DZ131" i="61"/>
  <c r="FL131" i="61"/>
  <c r="DR130" i="61"/>
  <c r="EZ130" i="61" s="1"/>
  <c r="FD130" i="61"/>
  <c r="GE130" i="61" s="1"/>
  <c r="L9" i="64" s="1"/>
  <c r="EC131" i="61"/>
  <c r="FO131" i="61"/>
  <c r="EE131" i="61"/>
  <c r="FQ131" i="61"/>
  <c r="DS131" i="61"/>
  <c r="FE131" i="61"/>
  <c r="EB131" i="61"/>
  <c r="FN131" i="61"/>
  <c r="EL131" i="61"/>
  <c r="FX131" i="61"/>
  <c r="DV131" i="61"/>
  <c r="FH131" i="61"/>
  <c r="B253" i="66"/>
  <c r="J342" i="66"/>
  <c r="B342" i="65" s="1"/>
  <c r="DN104" i="61"/>
  <c r="DR104" i="61"/>
  <c r="DV104" i="61"/>
  <c r="DZ104" i="61"/>
  <c r="ED104" i="61"/>
  <c r="EH104" i="61"/>
  <c r="DL104" i="61"/>
  <c r="DP104" i="61"/>
  <c r="DT104" i="61"/>
  <c r="DX104" i="61"/>
  <c r="EB104" i="61"/>
  <c r="EF104" i="61"/>
  <c r="DS104" i="61"/>
  <c r="EA104" i="61"/>
  <c r="EI104" i="61"/>
  <c r="EP132" i="61" s="1"/>
  <c r="DO104" i="61"/>
  <c r="DW104" i="61"/>
  <c r="EE104" i="61"/>
  <c r="DY104" i="61"/>
  <c r="DM104" i="61"/>
  <c r="EC104" i="61"/>
  <c r="DQ104" i="61"/>
  <c r="EG104" i="61"/>
  <c r="DU104" i="61"/>
  <c r="EU131" i="61"/>
  <c r="EV131" i="61" s="1"/>
  <c r="DK103" i="61"/>
  <c r="DD106" i="61"/>
  <c r="AE130" i="40"/>
  <c r="AI129" i="40" s="1"/>
  <c r="AI130" i="40" s="1"/>
  <c r="J79" i="31"/>
  <c r="L323" i="66"/>
  <c r="D298" i="66"/>
  <c r="I298" i="66"/>
  <c r="J298" i="66"/>
  <c r="B298" i="65" s="1"/>
  <c r="D298" i="65"/>
  <c r="A298" i="65" s="1"/>
  <c r="D333" i="66"/>
  <c r="B333" i="66" s="1"/>
  <c r="D287" i="66"/>
  <c r="L311" i="66"/>
  <c r="B275" i="66"/>
  <c r="A275" i="66"/>
  <c r="D310" i="65"/>
  <c r="A310" i="65" s="1"/>
  <c r="I310" i="66"/>
  <c r="J310" i="66"/>
  <c r="B310" i="65" s="1"/>
  <c r="L287" i="66"/>
  <c r="D265" i="66"/>
  <c r="A297" i="66"/>
  <c r="B297" i="66"/>
  <c r="A286" i="66"/>
  <c r="B286" i="66"/>
  <c r="L343" i="66"/>
  <c r="J343" i="66" s="1"/>
  <c r="B343" i="65" s="1"/>
  <c r="D276" i="66"/>
  <c r="L299" i="66"/>
  <c r="D322" i="65"/>
  <c r="I322" i="66"/>
  <c r="J322" i="66"/>
  <c r="B322" i="65" s="1"/>
  <c r="V93" i="33"/>
  <c r="CX110" i="61"/>
  <c r="AI90" i="33"/>
  <c r="L79" i="35"/>
  <c r="N79" i="35" s="1"/>
  <c r="AQ79" i="35" s="1"/>
  <c r="AK64" i="31"/>
  <c r="AM64" i="31" s="1"/>
  <c r="AS64" i="31" s="1"/>
  <c r="Z74" i="35"/>
  <c r="AB74" i="35" s="1"/>
  <c r="X105" i="37"/>
  <c r="AI150" i="41"/>
  <c r="AG80" i="30"/>
  <c r="Z79" i="37"/>
  <c r="AB79" i="37" s="1"/>
  <c r="Z80" i="37"/>
  <c r="AB80" i="37" s="1"/>
  <c r="AI120" i="39"/>
  <c r="AI115" i="37"/>
  <c r="AI125" i="39"/>
  <c r="L79" i="36"/>
  <c r="N79" i="36" s="1"/>
  <c r="AQ79" i="36" s="1"/>
  <c r="AI120" i="38"/>
  <c r="B294" i="66"/>
  <c r="A294" i="66"/>
  <c r="D307" i="66"/>
  <c r="L329" i="66"/>
  <c r="B306" i="66"/>
  <c r="A306" i="66"/>
  <c r="D346" i="66"/>
  <c r="L371" i="66"/>
  <c r="J370" i="66"/>
  <c r="B370" i="65" s="1"/>
  <c r="I370" i="66"/>
  <c r="D370" i="65"/>
  <c r="A370" i="65" s="1"/>
  <c r="D286" i="65"/>
  <c r="A286" i="65" s="1"/>
  <c r="I286" i="66"/>
  <c r="J286" i="66"/>
  <c r="B286" i="65" s="1"/>
  <c r="X100" i="36"/>
  <c r="B345" i="66"/>
  <c r="A345" i="66"/>
  <c r="A267" i="66"/>
  <c r="B267" i="66"/>
  <c r="D301" i="65"/>
  <c r="A301" i="65" s="1"/>
  <c r="I301" i="66"/>
  <c r="J301" i="66"/>
  <c r="B301" i="65" s="1"/>
  <c r="D328" i="65"/>
  <c r="A328" i="65" s="1"/>
  <c r="J328" i="66"/>
  <c r="B328" i="65" s="1"/>
  <c r="I328" i="66"/>
  <c r="X110" i="38"/>
  <c r="R114" i="37"/>
  <c r="AE123" i="37"/>
  <c r="R118" i="37"/>
  <c r="D119" i="37"/>
  <c r="F119" i="37" s="1"/>
  <c r="H119" i="37" s="1"/>
  <c r="AE119" i="37"/>
  <c r="AG119" i="37" s="1"/>
  <c r="D395" i="66"/>
  <c r="L415" i="66"/>
  <c r="R109" i="36"/>
  <c r="D118" i="36"/>
  <c r="F118" i="36" s="1"/>
  <c r="H118" i="36" s="1"/>
  <c r="AE114" i="36"/>
  <c r="AG114" i="36" s="1"/>
  <c r="D114" i="36"/>
  <c r="F114" i="36" s="1"/>
  <c r="H114" i="36" s="1"/>
  <c r="AE118" i="36"/>
  <c r="R113" i="36"/>
  <c r="CS115" i="61"/>
  <c r="D357" i="66"/>
  <c r="D104" i="34"/>
  <c r="F104" i="34" s="1"/>
  <c r="H104" i="34" s="1"/>
  <c r="AE104" i="34"/>
  <c r="AG104" i="34" s="1"/>
  <c r="AG113" i="36"/>
  <c r="T112" i="36"/>
  <c r="V112" i="36"/>
  <c r="A375" i="66"/>
  <c r="B375" i="66"/>
  <c r="B261" i="66"/>
  <c r="A261" i="66"/>
  <c r="H103" i="34"/>
  <c r="J130" i="41"/>
  <c r="N130" i="41" s="1"/>
  <c r="AQ130" i="41" s="1"/>
  <c r="J129" i="41"/>
  <c r="N129" i="41" s="1"/>
  <c r="AQ129" i="41" s="1"/>
  <c r="H109" i="37"/>
  <c r="H110" i="37" s="1"/>
  <c r="J110" i="37" s="1"/>
  <c r="F110" i="37"/>
  <c r="J109" i="37" s="1"/>
  <c r="D334" i="65"/>
  <c r="J334" i="66"/>
  <c r="B334" i="65" s="1"/>
  <c r="I334" i="66"/>
  <c r="V107" i="35"/>
  <c r="T107" i="35"/>
  <c r="B470" i="66"/>
  <c r="A470" i="66"/>
  <c r="T133" i="40"/>
  <c r="V133" i="40"/>
  <c r="F139" i="40"/>
  <c r="H139" i="40" s="1"/>
  <c r="J137" i="40"/>
  <c r="F149" i="40"/>
  <c r="H149" i="40" s="1"/>
  <c r="J147" i="40"/>
  <c r="J149" i="41"/>
  <c r="N149" i="41" s="1"/>
  <c r="AQ149" i="41" s="1"/>
  <c r="J150" i="41"/>
  <c r="N150" i="41" s="1"/>
  <c r="AQ150" i="41" s="1"/>
  <c r="AI110" i="37"/>
  <c r="B413" i="66"/>
  <c r="A413" i="66"/>
  <c r="AG128" i="39"/>
  <c r="B356" i="66"/>
  <c r="A356" i="66"/>
  <c r="AG123" i="38"/>
  <c r="V114" i="38"/>
  <c r="V115" i="38" s="1"/>
  <c r="T114" i="38"/>
  <c r="T115" i="38" s="1"/>
  <c r="X114" i="38" s="1"/>
  <c r="J124" i="40"/>
  <c r="N124" i="40" s="1"/>
  <c r="AQ124" i="40" s="1"/>
  <c r="J125" i="40"/>
  <c r="N125" i="40" s="1"/>
  <c r="AQ125" i="40" s="1"/>
  <c r="H111" i="59"/>
  <c r="D354" i="65"/>
  <c r="A354" i="65" s="1"/>
  <c r="I354" i="66"/>
  <c r="J354" i="66"/>
  <c r="B354" i="65" s="1"/>
  <c r="B489" i="66"/>
  <c r="A489" i="66"/>
  <c r="B280" i="66"/>
  <c r="A280" i="66"/>
  <c r="R95" i="59"/>
  <c r="T95" i="59" s="1"/>
  <c r="R111" i="59"/>
  <c r="D112" i="59"/>
  <c r="F112" i="59" s="1"/>
  <c r="H112" i="59" s="1"/>
  <c r="D117" i="59"/>
  <c r="F117" i="59" s="1"/>
  <c r="CW111" i="61"/>
  <c r="D281" i="66"/>
  <c r="L295" i="66"/>
  <c r="R84" i="31"/>
  <c r="V84" i="31" s="1"/>
  <c r="D98" i="31"/>
  <c r="F98" i="31" s="1"/>
  <c r="H98" i="31" s="1"/>
  <c r="D102" i="31"/>
  <c r="F102" i="31" s="1"/>
  <c r="R97" i="31"/>
  <c r="D414" i="66"/>
  <c r="L435" i="66"/>
  <c r="AE128" i="38"/>
  <c r="R123" i="38"/>
  <c r="AE124" i="38"/>
  <c r="AG124" i="38" s="1"/>
  <c r="D124" i="38"/>
  <c r="T20" i="27"/>
  <c r="T14" i="27"/>
  <c r="V14" i="27" s="1"/>
  <c r="CV112" i="61"/>
  <c r="L315" i="66"/>
  <c r="D452" i="66"/>
  <c r="L475" i="66"/>
  <c r="R104" i="35"/>
  <c r="D113" i="35"/>
  <c r="R112" i="35"/>
  <c r="D117" i="35"/>
  <c r="AE109" i="35"/>
  <c r="AE113" i="35"/>
  <c r="R108" i="35"/>
  <c r="D109" i="35"/>
  <c r="D433" i="66"/>
  <c r="L455" i="66"/>
  <c r="CU113" i="61"/>
  <c r="D319" i="66"/>
  <c r="L335" i="66"/>
  <c r="J140" i="41"/>
  <c r="N140" i="41" s="1"/>
  <c r="AQ140" i="41" s="1"/>
  <c r="J139" i="41"/>
  <c r="N139" i="41" s="1"/>
  <c r="AQ139" i="41" s="1"/>
  <c r="AG109" i="36"/>
  <c r="AG110" i="36" s="1"/>
  <c r="AE110" i="36"/>
  <c r="AI109" i="36" s="1"/>
  <c r="F113" i="36"/>
  <c r="V89" i="34"/>
  <c r="V90" i="34" s="1"/>
  <c r="T89" i="34"/>
  <c r="T90" i="34" s="1"/>
  <c r="X89" i="34" s="1"/>
  <c r="H119" i="39"/>
  <c r="H120" i="39" s="1"/>
  <c r="J120" i="39" s="1"/>
  <c r="F120" i="39"/>
  <c r="J119" i="39" s="1"/>
  <c r="B318" i="66"/>
  <c r="A318" i="66"/>
  <c r="D314" i="65"/>
  <c r="A314" i="65" s="1"/>
  <c r="I314" i="66"/>
  <c r="J314" i="66"/>
  <c r="B314" i="65" s="1"/>
  <c r="T148" i="40"/>
  <c r="V148" i="40"/>
  <c r="J132" i="40"/>
  <c r="F134" i="40"/>
  <c r="H134" i="40" s="1"/>
  <c r="AE150" i="40"/>
  <c r="AI149" i="40" s="1"/>
  <c r="AG148" i="40"/>
  <c r="AG150" i="40" s="1"/>
  <c r="AE145" i="40"/>
  <c r="AI144" i="40" s="1"/>
  <c r="AG143" i="40"/>
  <c r="AG145" i="40" s="1"/>
  <c r="AE140" i="40"/>
  <c r="AI139" i="40" s="1"/>
  <c r="AG138" i="40"/>
  <c r="AG140" i="40" s="1"/>
  <c r="H97" i="31"/>
  <c r="T97" i="32"/>
  <c r="V97" i="32"/>
  <c r="V113" i="37"/>
  <c r="T113" i="37"/>
  <c r="F119" i="38"/>
  <c r="J117" i="38"/>
  <c r="J135" i="41"/>
  <c r="N135" i="41" s="1"/>
  <c r="AQ135" i="41" s="1"/>
  <c r="J134" i="41"/>
  <c r="N134" i="41" s="1"/>
  <c r="AQ134" i="41" s="1"/>
  <c r="F120" i="37"/>
  <c r="H117" i="37"/>
  <c r="H120" i="37" s="1"/>
  <c r="V99" i="59"/>
  <c r="T99" i="59"/>
  <c r="D474" i="65"/>
  <c r="A474" i="65" s="1"/>
  <c r="I474" i="66"/>
  <c r="J474" i="66"/>
  <c r="B474" i="65" s="1"/>
  <c r="D490" i="66"/>
  <c r="L515" i="66"/>
  <c r="R87" i="30"/>
  <c r="D97" i="30"/>
  <c r="F97" i="30" s="1"/>
  <c r="R89" i="33"/>
  <c r="D103" i="33"/>
  <c r="F103" i="33" s="1"/>
  <c r="R102" i="33"/>
  <c r="D107" i="33"/>
  <c r="F107" i="33" s="1"/>
  <c r="D108" i="34"/>
  <c r="F108" i="34" s="1"/>
  <c r="H108" i="34" s="1"/>
  <c r="R99" i="34"/>
  <c r="R107" i="34"/>
  <c r="D112" i="34"/>
  <c r="F112" i="34" s="1"/>
  <c r="AI145" i="41"/>
  <c r="J107" i="36"/>
  <c r="F109" i="36"/>
  <c r="T104" i="36"/>
  <c r="T105" i="36" s="1"/>
  <c r="X104" i="36" s="1"/>
  <c r="V104" i="36"/>
  <c r="V105" i="36" s="1"/>
  <c r="H107" i="34"/>
  <c r="D454" i="65"/>
  <c r="A454" i="65" s="1"/>
  <c r="J454" i="66"/>
  <c r="B454" i="65" s="1"/>
  <c r="I454" i="66"/>
  <c r="F105" i="35"/>
  <c r="T99" i="35"/>
  <c r="T100" i="35" s="1"/>
  <c r="X99" i="35" s="1"/>
  <c r="V99" i="35"/>
  <c r="V100" i="35" s="1"/>
  <c r="AE135" i="40"/>
  <c r="AI134" i="40" s="1"/>
  <c r="AG133" i="40"/>
  <c r="AG135" i="40" s="1"/>
  <c r="F129" i="40"/>
  <c r="H129" i="40" s="1"/>
  <c r="J127" i="40"/>
  <c r="T143" i="40"/>
  <c r="V143" i="40"/>
  <c r="F144" i="40"/>
  <c r="H144" i="40" s="1"/>
  <c r="J142" i="40"/>
  <c r="AI140" i="41"/>
  <c r="X115" i="39"/>
  <c r="T87" i="31"/>
  <c r="V87" i="31"/>
  <c r="F124" i="39"/>
  <c r="H124" i="39" s="1"/>
  <c r="J122" i="39"/>
  <c r="T118" i="38"/>
  <c r="V118" i="38"/>
  <c r="D414" i="65"/>
  <c r="A414" i="65" s="1"/>
  <c r="I414" i="66"/>
  <c r="J414" i="66"/>
  <c r="B414" i="65" s="1"/>
  <c r="B451" i="66"/>
  <c r="A451" i="66"/>
  <c r="D471" i="66"/>
  <c r="L495" i="66"/>
  <c r="CT114" i="61"/>
  <c r="D338" i="66"/>
  <c r="L355" i="66"/>
  <c r="CR116" i="61"/>
  <c r="D376" i="66"/>
  <c r="L395" i="66"/>
  <c r="AE133" i="39"/>
  <c r="D139" i="39"/>
  <c r="AE139" i="39"/>
  <c r="AG139" i="39" s="1"/>
  <c r="AE148" i="39"/>
  <c r="AE144" i="39"/>
  <c r="AG144" i="39" s="1"/>
  <c r="R133" i="39"/>
  <c r="D144" i="39"/>
  <c r="AE129" i="39"/>
  <c r="AG129" i="39" s="1"/>
  <c r="R138" i="39"/>
  <c r="D129" i="39"/>
  <c r="AE149" i="39"/>
  <c r="AG149" i="39" s="1"/>
  <c r="R128" i="39"/>
  <c r="AE134" i="39"/>
  <c r="AG134" i="39" s="1"/>
  <c r="R143" i="39"/>
  <c r="D134" i="39"/>
  <c r="R148" i="39"/>
  <c r="AE143" i="39"/>
  <c r="AE138" i="39"/>
  <c r="D149" i="39"/>
  <c r="AE108" i="34"/>
  <c r="AG108" i="34" s="1"/>
  <c r="H99" i="35"/>
  <c r="H100" i="35" s="1"/>
  <c r="J100" i="35" s="1"/>
  <c r="F100" i="35"/>
  <c r="J99" i="35" s="1"/>
  <c r="X90" i="35"/>
  <c r="V108" i="36"/>
  <c r="T108" i="36"/>
  <c r="F117" i="36"/>
  <c r="D394" i="65"/>
  <c r="A394" i="65" s="1"/>
  <c r="J394" i="66"/>
  <c r="B394" i="65" s="1"/>
  <c r="I394" i="66"/>
  <c r="D274" i="65"/>
  <c r="A274" i="65" s="1"/>
  <c r="I274" i="66"/>
  <c r="J274" i="66"/>
  <c r="B274" i="65" s="1"/>
  <c r="V102" i="34"/>
  <c r="T102" i="34"/>
  <c r="B432" i="66"/>
  <c r="A432" i="66"/>
  <c r="H113" i="37"/>
  <c r="H115" i="37" s="1"/>
  <c r="J115" i="37" s="1"/>
  <c r="F115" i="37"/>
  <c r="J114" i="37" s="1"/>
  <c r="H105" i="35"/>
  <c r="H112" i="35"/>
  <c r="D494" i="65"/>
  <c r="A494" i="65" s="1"/>
  <c r="I494" i="66"/>
  <c r="J494" i="66"/>
  <c r="B494" i="65" s="1"/>
  <c r="T138" i="40"/>
  <c r="V138" i="40"/>
  <c r="V128" i="40"/>
  <c r="T128" i="40"/>
  <c r="D434" i="65"/>
  <c r="A434" i="65" s="1"/>
  <c r="I434" i="66"/>
  <c r="J434" i="66"/>
  <c r="B434" i="65" s="1"/>
  <c r="H102" i="32"/>
  <c r="T123" i="39"/>
  <c r="V123" i="39"/>
  <c r="AG118" i="37"/>
  <c r="AG120" i="37" s="1"/>
  <c r="V109" i="37"/>
  <c r="V110" i="37" s="1"/>
  <c r="T109" i="37"/>
  <c r="T110" i="37" s="1"/>
  <c r="X109" i="37" s="1"/>
  <c r="AI135" i="41"/>
  <c r="J145" i="41"/>
  <c r="N145" i="41" s="1"/>
  <c r="AQ145" i="41" s="1"/>
  <c r="J144" i="41"/>
  <c r="N144" i="41" s="1"/>
  <c r="AQ144" i="41" s="1"/>
  <c r="B394" i="66"/>
  <c r="A394" i="66"/>
  <c r="D514" i="65"/>
  <c r="A514" i="65" s="1"/>
  <c r="J514" i="66"/>
  <c r="B514" i="65" s="1"/>
  <c r="I514" i="66"/>
  <c r="D294" i="65"/>
  <c r="I294" i="66"/>
  <c r="J294" i="66"/>
  <c r="B294" i="65" s="1"/>
  <c r="AR65" i="59"/>
  <c r="AR41" i="59"/>
  <c r="AV41" i="59" s="1"/>
  <c r="CP118" i="61"/>
  <c r="CN120" i="61"/>
  <c r="CO119" i="61"/>
  <c r="AE24" i="59"/>
  <c r="CL122" i="61"/>
  <c r="BA8" i="59"/>
  <c r="BD5" i="59"/>
  <c r="BF8" i="59"/>
  <c r="BE5" i="59"/>
  <c r="BG7" i="59"/>
  <c r="BB4" i="59"/>
  <c r="BD6" i="59"/>
  <c r="BF7" i="59"/>
  <c r="BE4" i="59"/>
  <c r="BG6" i="59"/>
  <c r="BA6" i="59"/>
  <c r="BC8" i="59"/>
  <c r="BF6" i="59"/>
  <c r="BH8" i="59"/>
  <c r="BG5" i="59"/>
  <c r="BA7" i="59"/>
  <c r="BD4" i="59"/>
  <c r="BF5" i="59"/>
  <c r="BH7" i="59"/>
  <c r="BG4" i="59"/>
  <c r="BB7" i="59"/>
  <c r="BA4" i="59"/>
  <c r="BC6" i="59"/>
  <c r="BF4" i="59"/>
  <c r="BH6" i="59"/>
  <c r="BB8" i="59"/>
  <c r="BA5" i="59"/>
  <c r="BC7" i="59"/>
  <c r="BE8" i="59"/>
  <c r="BH5" i="59"/>
  <c r="BB5" i="59"/>
  <c r="BD7" i="59"/>
  <c r="BC4" i="59"/>
  <c r="BE7" i="59"/>
  <c r="BH4" i="59"/>
  <c r="BB6" i="59"/>
  <c r="BD8" i="59"/>
  <c r="BC5" i="59"/>
  <c r="BE6" i="59"/>
  <c r="BG8" i="59"/>
  <c r="A293" i="65"/>
  <c r="A267" i="65"/>
  <c r="CM121" i="61"/>
  <c r="A280" i="65"/>
  <c r="A319" i="65"/>
  <c r="A332" i="65"/>
  <c r="CQ117" i="61"/>
  <c r="A306" i="65"/>
  <c r="F65" i="27"/>
  <c r="D77" i="27"/>
  <c r="F77" i="27" s="1"/>
  <c r="V26" i="27"/>
  <c r="V9" i="27"/>
  <c r="X9" i="27" s="1"/>
  <c r="T3" i="27"/>
  <c r="N15" i="27"/>
  <c r="N17" i="27" s="1"/>
  <c r="P14" i="27"/>
  <c r="L15" i="27"/>
  <c r="L17" i="27" s="1"/>
  <c r="X8" i="27"/>
  <c r="L22" i="27"/>
  <c r="L23" i="27" s="1"/>
  <c r="J23" i="27"/>
  <c r="N22" i="27" s="1"/>
  <c r="X2" i="27"/>
  <c r="V2" i="27"/>
  <c r="AJ3" i="27"/>
  <c r="AI60" i="27"/>
  <c r="AM60" i="27" s="1"/>
  <c r="AS60" i="27" s="1"/>
  <c r="V85" i="32"/>
  <c r="Y10" i="1"/>
  <c r="AI80" i="31"/>
  <c r="AI75" i="30"/>
  <c r="T85" i="32"/>
  <c r="X84" i="32" s="1"/>
  <c r="J62" i="27"/>
  <c r="AI85" i="32"/>
  <c r="AE60" i="26"/>
  <c r="AI59" i="26" s="1"/>
  <c r="H65" i="27"/>
  <c r="AA22" i="25"/>
  <c r="AG22" i="25" s="1"/>
  <c r="Y21" i="25"/>
  <c r="AE85" i="31"/>
  <c r="AI84" i="31" s="1"/>
  <c r="AR39" i="26"/>
  <c r="AT39" i="26" s="1"/>
  <c r="D6" i="26" s="1"/>
  <c r="AG85" i="31"/>
  <c r="J92" i="33"/>
  <c r="J94" i="33" s="1"/>
  <c r="N94" i="33" s="1"/>
  <c r="AQ94" i="33" s="1"/>
  <c r="Z74" i="36"/>
  <c r="AB74" i="36" s="1"/>
  <c r="Z75" i="35"/>
  <c r="AB75" i="35" s="1"/>
  <c r="L80" i="35"/>
  <c r="N80" i="35" s="1"/>
  <c r="AQ80" i="35" s="1"/>
  <c r="AG90" i="32"/>
  <c r="AE90" i="32"/>
  <c r="AI89" i="32" s="1"/>
  <c r="AG65" i="27"/>
  <c r="Y11" i="2"/>
  <c r="X10" i="2" s="1"/>
  <c r="X80" i="32"/>
  <c r="X70" i="30"/>
  <c r="D83" i="29"/>
  <c r="F83" i="29" s="1"/>
  <c r="H83" i="29" s="1"/>
  <c r="R82" i="29"/>
  <c r="D87" i="29"/>
  <c r="F87" i="29" s="1"/>
  <c r="D99" i="33"/>
  <c r="AE99" i="33"/>
  <c r="R98" i="33"/>
  <c r="AE103" i="33"/>
  <c r="D94" i="32"/>
  <c r="F94" i="32" s="1"/>
  <c r="H94" i="32" s="1"/>
  <c r="AE94" i="32"/>
  <c r="AG94" i="32" s="1"/>
  <c r="D73" i="27"/>
  <c r="F73" i="27" s="1"/>
  <c r="H73" i="27" s="1"/>
  <c r="H84" i="32"/>
  <c r="H85" i="32" s="1"/>
  <c r="J85" i="32" s="1"/>
  <c r="F85" i="32"/>
  <c r="J84" i="32" s="1"/>
  <c r="AG99" i="34"/>
  <c r="AG100" i="34" s="1"/>
  <c r="AE100" i="34"/>
  <c r="AI99" i="34" s="1"/>
  <c r="T103" i="34"/>
  <c r="V103" i="34"/>
  <c r="H87" i="30"/>
  <c r="H82" i="29"/>
  <c r="AI100" i="35"/>
  <c r="T84" i="31"/>
  <c r="R93" i="32"/>
  <c r="T93" i="32" s="1"/>
  <c r="H89" i="33"/>
  <c r="H90" i="33" s="1"/>
  <c r="J90" i="33" s="1"/>
  <c r="F90" i="33"/>
  <c r="J89" i="33" s="1"/>
  <c r="F99" i="34"/>
  <c r="J97" i="34"/>
  <c r="AR70" i="36"/>
  <c r="AT70" i="36" s="1"/>
  <c r="E12" i="36" s="1"/>
  <c r="AK75" i="36" s="1"/>
  <c r="AM75" i="36" s="1"/>
  <c r="AS75" i="36" s="1"/>
  <c r="T77" i="29"/>
  <c r="V77" i="29"/>
  <c r="V67" i="27"/>
  <c r="T67" i="27"/>
  <c r="R67" i="26"/>
  <c r="D68" i="26"/>
  <c r="F68" i="26" s="1"/>
  <c r="Z50" i="26"/>
  <c r="AB50" i="26" s="1"/>
  <c r="L55" i="26"/>
  <c r="R72" i="27"/>
  <c r="T72" i="27" s="1"/>
  <c r="H54" i="26"/>
  <c r="H55" i="26" s="1"/>
  <c r="J55" i="26" s="1"/>
  <c r="F55" i="26"/>
  <c r="J54" i="26" s="1"/>
  <c r="D72" i="26"/>
  <c r="F72" i="26" s="1"/>
  <c r="Z70" i="33"/>
  <c r="AB70" i="33" s="1"/>
  <c r="L75" i="33"/>
  <c r="N75" i="33" s="1"/>
  <c r="AQ75" i="33" s="1"/>
  <c r="L70" i="31"/>
  <c r="N70" i="31" s="1"/>
  <c r="AQ70" i="31" s="1"/>
  <c r="T79" i="31"/>
  <c r="T80" i="31" s="1"/>
  <c r="X79" i="31" s="1"/>
  <c r="V79" i="31"/>
  <c r="V80" i="31" s="1"/>
  <c r="T98" i="34"/>
  <c r="V98" i="34"/>
  <c r="V82" i="30"/>
  <c r="T82" i="30"/>
  <c r="V89" i="59"/>
  <c r="V90" i="59" s="1"/>
  <c r="T89" i="59"/>
  <c r="T90" i="59" s="1"/>
  <c r="X89" i="59" s="1"/>
  <c r="V69" i="29"/>
  <c r="V70" i="29" s="1"/>
  <c r="T69" i="29"/>
  <c r="T70" i="29" s="1"/>
  <c r="X69" i="29" s="1"/>
  <c r="H68" i="27"/>
  <c r="D82" i="28"/>
  <c r="F82" i="28" s="1"/>
  <c r="R77" i="28"/>
  <c r="H69" i="29"/>
  <c r="H70" i="29" s="1"/>
  <c r="J70" i="29" s="1"/>
  <c r="F70" i="29"/>
  <c r="J69" i="29" s="1"/>
  <c r="R79" i="30"/>
  <c r="D88" i="30"/>
  <c r="F88" i="30" s="1"/>
  <c r="H88" i="30" s="1"/>
  <c r="Z69" i="33"/>
  <c r="AB69" i="33" s="1"/>
  <c r="L74" i="33"/>
  <c r="N74" i="33" s="1"/>
  <c r="AQ74" i="33" s="1"/>
  <c r="AK64" i="32"/>
  <c r="AM64" i="32" s="1"/>
  <c r="AS64" i="32" s="1"/>
  <c r="L69" i="32"/>
  <c r="N69" i="32" s="1"/>
  <c r="AQ69" i="32" s="1"/>
  <c r="AG103" i="34"/>
  <c r="AG105" i="34" s="1"/>
  <c r="Z64" i="32"/>
  <c r="AB64" i="32" s="1"/>
  <c r="Y13" i="4"/>
  <c r="X12" i="4" s="1"/>
  <c r="AK69" i="33"/>
  <c r="AM69" i="33" s="1"/>
  <c r="AS69" i="33" s="1"/>
  <c r="X8" i="1"/>
  <c r="AI55" i="26"/>
  <c r="J77" i="30"/>
  <c r="AE65" i="27"/>
  <c r="AI64" i="27" s="1"/>
  <c r="X75" i="31"/>
  <c r="Z65" i="32"/>
  <c r="AB65" i="32" s="1"/>
  <c r="AK65" i="32"/>
  <c r="AM65" i="32" s="1"/>
  <c r="AS65" i="32" s="1"/>
  <c r="L50" i="26"/>
  <c r="N50" i="26" s="1"/>
  <c r="AQ50" i="26" s="1"/>
  <c r="AK45" i="26"/>
  <c r="AM45" i="26" s="1"/>
  <c r="AS45" i="26" s="1"/>
  <c r="Z45" i="26"/>
  <c r="AB45" i="26" s="1"/>
  <c r="AG70" i="28"/>
  <c r="AE70" i="28"/>
  <c r="AI69" i="28" s="1"/>
  <c r="AG60" i="26"/>
  <c r="X60" i="28"/>
  <c r="AI95" i="33"/>
  <c r="X84" i="59"/>
  <c r="X55" i="27"/>
  <c r="AE69" i="27"/>
  <c r="AG69" i="27" s="1"/>
  <c r="AE73" i="27"/>
  <c r="D69" i="27"/>
  <c r="R68" i="27"/>
  <c r="AA23" i="24"/>
  <c r="AG23" i="24" s="1"/>
  <c r="Y22" i="24"/>
  <c r="X23" i="24" s="1"/>
  <c r="H23" i="13"/>
  <c r="I23" i="13" s="1"/>
  <c r="D23" i="13"/>
  <c r="F23" i="13" s="1"/>
  <c r="G23" i="13" s="1"/>
  <c r="AA27" i="19"/>
  <c r="AG27" i="19" s="1"/>
  <c r="Y26" i="19"/>
  <c r="X27" i="19" s="1"/>
  <c r="H16" i="6"/>
  <c r="I16" i="6" s="1"/>
  <c r="D16" i="6"/>
  <c r="F16" i="6" s="1"/>
  <c r="G16" i="6" s="1"/>
  <c r="AV27" i="17"/>
  <c r="AV26" i="16"/>
  <c r="X24" i="24"/>
  <c r="F28" i="53"/>
  <c r="D29" i="53"/>
  <c r="S13" i="53" s="1"/>
  <c r="AV17" i="7"/>
  <c r="H25" i="15"/>
  <c r="I25" i="15" s="1"/>
  <c r="D25" i="15"/>
  <c r="F25" i="15" s="1"/>
  <c r="G25" i="15" s="1"/>
  <c r="J89" i="59"/>
  <c r="J90" i="59"/>
  <c r="AA13" i="5"/>
  <c r="X12" i="5"/>
  <c r="AA12" i="4"/>
  <c r="AG12" i="4" s="1"/>
  <c r="AA26" i="20"/>
  <c r="AG26" i="20" s="1"/>
  <c r="Y25" i="20"/>
  <c r="X26" i="20" s="1"/>
  <c r="H19" i="9"/>
  <c r="I19" i="9" s="1"/>
  <c r="D19" i="9"/>
  <c r="F19" i="9" s="1"/>
  <c r="G19" i="9" s="1"/>
  <c r="AE84" i="30"/>
  <c r="AG84" i="30" s="1"/>
  <c r="AE88" i="30"/>
  <c r="R83" i="30"/>
  <c r="D84" i="30"/>
  <c r="V83" i="31"/>
  <c r="T83" i="31"/>
  <c r="T85" i="31" s="1"/>
  <c r="X84" i="31" s="1"/>
  <c r="H28" i="18"/>
  <c r="I28" i="18" s="1"/>
  <c r="I29" i="18" s="1"/>
  <c r="I39" i="18" s="1"/>
  <c r="D28" i="18"/>
  <c r="S7" i="18"/>
  <c r="AZ15" i="61"/>
  <c r="AQ18" i="68" s="1"/>
  <c r="AP15" i="4"/>
  <c r="C25" i="39"/>
  <c r="B15" i="4"/>
  <c r="AV11" i="1"/>
  <c r="H13" i="3"/>
  <c r="I13" i="3" s="1"/>
  <c r="D13" i="3"/>
  <c r="F13" i="3" s="1"/>
  <c r="G13" i="3" s="1"/>
  <c r="AV18" i="8"/>
  <c r="X28" i="53"/>
  <c r="AA28" i="53"/>
  <c r="AG28" i="53" s="1"/>
  <c r="AI70" i="29"/>
  <c r="AY16" i="61"/>
  <c r="AP19" i="68" s="1"/>
  <c r="C24" i="38"/>
  <c r="AP16" i="5"/>
  <c r="B16" i="5"/>
  <c r="V94" i="59"/>
  <c r="T94" i="59"/>
  <c r="BB13" i="61"/>
  <c r="C27" i="41"/>
  <c r="AP13" i="2"/>
  <c r="B13" i="2"/>
  <c r="T88" i="32"/>
  <c r="V88" i="32"/>
  <c r="V59" i="27"/>
  <c r="V60" i="27" s="1"/>
  <c r="T59" i="27"/>
  <c r="T60" i="27" s="1"/>
  <c r="X59" i="27" s="1"/>
  <c r="G13" i="4"/>
  <c r="X65" i="30"/>
  <c r="J60" i="27"/>
  <c r="J59" i="27"/>
  <c r="AA10" i="2"/>
  <c r="AG10" i="2" s="1"/>
  <c r="AF10" i="4"/>
  <c r="AF11" i="4" s="1"/>
  <c r="F59" i="26"/>
  <c r="J57" i="26"/>
  <c r="V78" i="30"/>
  <c r="T78" i="30"/>
  <c r="AG75" i="29"/>
  <c r="X9" i="2"/>
  <c r="AF7" i="1"/>
  <c r="AF8" i="1" s="1"/>
  <c r="AF9" i="1" s="1"/>
  <c r="AE89" i="31"/>
  <c r="AG89" i="31" s="1"/>
  <c r="AE93" i="31"/>
  <c r="R88" i="31"/>
  <c r="D89" i="31"/>
  <c r="AA15" i="7"/>
  <c r="X14" i="7"/>
  <c r="AG101" i="59"/>
  <c r="AG102" i="59" s="1"/>
  <c r="AK101" i="59" s="1"/>
  <c r="R100" i="59"/>
  <c r="AG106" i="59"/>
  <c r="D101" i="59"/>
  <c r="H22" i="12"/>
  <c r="I22" i="12" s="1"/>
  <c r="D22" i="12"/>
  <c r="F22" i="12" s="1"/>
  <c r="G22" i="12" s="1"/>
  <c r="AV16" i="6"/>
  <c r="H27" i="17"/>
  <c r="I27" i="17" s="1"/>
  <c r="D27" i="17"/>
  <c r="F27" i="17" s="1"/>
  <c r="G27" i="17" s="1"/>
  <c r="AA10" i="1"/>
  <c r="AF12" i="6"/>
  <c r="AF13" i="6" s="1"/>
  <c r="AE74" i="28"/>
  <c r="AG74" i="28" s="1"/>
  <c r="AE78" i="28"/>
  <c r="R73" i="28"/>
  <c r="D74" i="28"/>
  <c r="R64" i="28"/>
  <c r="D78" i="28"/>
  <c r="G12" i="3"/>
  <c r="D17" i="7"/>
  <c r="F17" i="7" s="1"/>
  <c r="G17" i="7" s="1"/>
  <c r="H17" i="7"/>
  <c r="I17" i="7" s="1"/>
  <c r="AV25" i="15"/>
  <c r="AI65" i="28"/>
  <c r="F10" i="1"/>
  <c r="H24" i="14"/>
  <c r="I24" i="14" s="1"/>
  <c r="D24" i="14"/>
  <c r="F24" i="14" s="1"/>
  <c r="G24" i="14" s="1"/>
  <c r="F84" i="31"/>
  <c r="J82" i="31"/>
  <c r="H14" i="4"/>
  <c r="I14" i="4" s="1"/>
  <c r="D14" i="4"/>
  <c r="F14" i="4" s="1"/>
  <c r="G14" i="4" s="1"/>
  <c r="AS22" i="61"/>
  <c r="AJ25" i="68" s="1"/>
  <c r="AP22" i="11"/>
  <c r="C18" i="32"/>
  <c r="B22" i="11"/>
  <c r="J65" i="28"/>
  <c r="J64" i="28"/>
  <c r="AA27" i="53"/>
  <c r="AG27" i="53" s="1"/>
  <c r="Y26" i="53"/>
  <c r="X27" i="53" s="1"/>
  <c r="AV13" i="3"/>
  <c r="H18" i="8"/>
  <c r="I18" i="8" s="1"/>
  <c r="D18" i="8"/>
  <c r="F18" i="8" s="1"/>
  <c r="G18" i="8" s="1"/>
  <c r="F28" i="19"/>
  <c r="D29" i="19"/>
  <c r="I35" i="19" s="1"/>
  <c r="H77" i="28"/>
  <c r="AI95" i="59"/>
  <c r="AI96" i="59" s="1"/>
  <c r="AK96" i="59" s="1"/>
  <c r="AE95" i="59"/>
  <c r="H12" i="2"/>
  <c r="I12" i="2" s="1"/>
  <c r="D12" i="2"/>
  <c r="F12" i="2" s="1"/>
  <c r="G12" i="2" s="1"/>
  <c r="AA14" i="6"/>
  <c r="AG14" i="6" s="1"/>
  <c r="AG98" i="32"/>
  <c r="AG93" i="32"/>
  <c r="H20" i="10"/>
  <c r="I20" i="10" s="1"/>
  <c r="D20" i="10"/>
  <c r="F20" i="10" s="1"/>
  <c r="G20" i="10" s="1"/>
  <c r="AA24" i="23"/>
  <c r="AG24" i="23" s="1"/>
  <c r="Y23" i="23"/>
  <c r="X24" i="23" s="1"/>
  <c r="T68" i="28"/>
  <c r="V68" i="28"/>
  <c r="F78" i="29"/>
  <c r="V73" i="29"/>
  <c r="T73" i="29"/>
  <c r="Y12" i="3"/>
  <c r="V54" i="26"/>
  <c r="V55" i="26" s="1"/>
  <c r="T54" i="26"/>
  <c r="T55" i="26" s="1"/>
  <c r="X54" i="26" s="1"/>
  <c r="AE75" i="29"/>
  <c r="AI74" i="29" s="1"/>
  <c r="X11" i="4"/>
  <c r="AX17" i="61"/>
  <c r="C23" i="37"/>
  <c r="B17" i="6"/>
  <c r="AP17" i="6"/>
  <c r="H26" i="16"/>
  <c r="I26" i="16" s="1"/>
  <c r="D26" i="16"/>
  <c r="F26" i="16" s="1"/>
  <c r="G26" i="16" s="1"/>
  <c r="AW18" i="61"/>
  <c r="AN21" i="68" s="1"/>
  <c r="AP18" i="7"/>
  <c r="C22" i="36"/>
  <c r="B18" i="7"/>
  <c r="AE79" i="29"/>
  <c r="AG79" i="29" s="1"/>
  <c r="R78" i="29"/>
  <c r="AE83" i="29"/>
  <c r="R74" i="29"/>
  <c r="D79" i="29"/>
  <c r="F79" i="29" s="1"/>
  <c r="H79" i="29" s="1"/>
  <c r="AF15" i="9"/>
  <c r="AA26" i="21"/>
  <c r="AG26" i="21" s="1"/>
  <c r="Y25" i="21"/>
  <c r="G10" i="2"/>
  <c r="AV19" i="9"/>
  <c r="AV24" i="14"/>
  <c r="AG88" i="31"/>
  <c r="AV28" i="18"/>
  <c r="Y28" i="18"/>
  <c r="BG7" i="18"/>
  <c r="AV14" i="4"/>
  <c r="AV21" i="11"/>
  <c r="H62" i="26"/>
  <c r="H11" i="1"/>
  <c r="I11" i="1" s="1"/>
  <c r="D11" i="1"/>
  <c r="F11" i="1" s="1"/>
  <c r="G11" i="1" s="1"/>
  <c r="G28" i="20"/>
  <c r="G29" i="20" s="1"/>
  <c r="I38" i="20" s="1"/>
  <c r="F29" i="20"/>
  <c r="I36" i="20" s="1"/>
  <c r="AA25" i="22"/>
  <c r="AG25" i="22" s="1"/>
  <c r="Y24" i="22"/>
  <c r="X25" i="22" s="1"/>
  <c r="AV15" i="5"/>
  <c r="Y14" i="5"/>
  <c r="F95" i="59"/>
  <c r="J93" i="59"/>
  <c r="AV12" i="2"/>
  <c r="AT21" i="61"/>
  <c r="AK24" i="68" s="1"/>
  <c r="C19" i="33"/>
  <c r="R103" i="33" s="1"/>
  <c r="B21" i="10"/>
  <c r="AP21" i="10"/>
  <c r="V63" i="27"/>
  <c r="T63" i="27"/>
  <c r="Y15" i="6"/>
  <c r="F69" i="28"/>
  <c r="J67" i="28"/>
  <c r="H78" i="30"/>
  <c r="H80" i="30" s="1"/>
  <c r="F80" i="30"/>
  <c r="AG78" i="29"/>
  <c r="T64" i="29"/>
  <c r="T65" i="29" s="1"/>
  <c r="X64" i="29" s="1"/>
  <c r="V64" i="29"/>
  <c r="V65" i="29" s="1"/>
  <c r="V62" i="26"/>
  <c r="T62" i="26"/>
  <c r="T58" i="26"/>
  <c r="V58" i="26"/>
  <c r="V74" i="30"/>
  <c r="V75" i="30" s="1"/>
  <c r="T74" i="30"/>
  <c r="T75" i="30" s="1"/>
  <c r="X74" i="30" s="1"/>
  <c r="H72" i="27"/>
  <c r="X9" i="1"/>
  <c r="AQ24" i="61"/>
  <c r="AH27" i="68" s="1"/>
  <c r="AP24" i="13"/>
  <c r="C16" i="30"/>
  <c r="B24" i="13"/>
  <c r="AR23" i="61"/>
  <c r="C17" i="31"/>
  <c r="R93" i="31" s="1"/>
  <c r="B23" i="12"/>
  <c r="C17" i="59"/>
  <c r="R106" i="59" s="1"/>
  <c r="AP23" i="12"/>
  <c r="AV23" i="13"/>
  <c r="AV22" i="12"/>
  <c r="C12" i="26"/>
  <c r="R72" i="26" s="1"/>
  <c r="AP28" i="17"/>
  <c r="B28" i="17"/>
  <c r="U32" i="61"/>
  <c r="AN27" i="61"/>
  <c r="AE30" i="68" s="1"/>
  <c r="AP27" i="16"/>
  <c r="B27" i="16"/>
  <c r="C13" i="27"/>
  <c r="AH8" i="27" s="1"/>
  <c r="AO26" i="61"/>
  <c r="AF29" i="68" s="1"/>
  <c r="C14" i="28"/>
  <c r="R69" i="28" s="1"/>
  <c r="B26" i="15"/>
  <c r="AP26" i="15"/>
  <c r="X28" i="19"/>
  <c r="AA28" i="19"/>
  <c r="AG28" i="19" s="1"/>
  <c r="AU20" i="61"/>
  <c r="AL23" i="68" s="1"/>
  <c r="AP20" i="9"/>
  <c r="B20" i="9"/>
  <c r="C20" i="34"/>
  <c r="AP25" i="61"/>
  <c r="AG28" i="68" s="1"/>
  <c r="B25" i="14"/>
  <c r="C15" i="29"/>
  <c r="AP25" i="14"/>
  <c r="AE64" i="26"/>
  <c r="AG64" i="26" s="1"/>
  <c r="R63" i="26"/>
  <c r="AE68" i="26"/>
  <c r="R59" i="26"/>
  <c r="D64" i="26"/>
  <c r="AF9" i="3"/>
  <c r="AF10" i="3" s="1"/>
  <c r="AF11" i="3" s="1"/>
  <c r="H21" i="11"/>
  <c r="I21" i="11" s="1"/>
  <c r="D21" i="11"/>
  <c r="F21" i="11" s="1"/>
  <c r="G21" i="11" s="1"/>
  <c r="H74" i="30"/>
  <c r="H75" i="30" s="1"/>
  <c r="J75" i="30" s="1"/>
  <c r="F75" i="30"/>
  <c r="J74" i="30" s="1"/>
  <c r="AF15" i="8"/>
  <c r="BC12" i="61"/>
  <c r="C28" i="42"/>
  <c r="B12" i="1"/>
  <c r="AP12" i="1"/>
  <c r="BA14" i="61"/>
  <c r="B14" i="3"/>
  <c r="C26" i="40"/>
  <c r="AP14" i="3"/>
  <c r="AV19" i="61"/>
  <c r="AM22" i="68" s="1"/>
  <c r="B19" i="8"/>
  <c r="C21" i="35"/>
  <c r="AP19" i="8"/>
  <c r="H15" i="5"/>
  <c r="I15" i="5" s="1"/>
  <c r="D15" i="5"/>
  <c r="F15" i="5" s="1"/>
  <c r="G15" i="5" s="1"/>
  <c r="AI100" i="59"/>
  <c r="AE100" i="59"/>
  <c r="F89" i="32"/>
  <c r="J87" i="32"/>
  <c r="AV20" i="10"/>
  <c r="AG68" i="27"/>
  <c r="AG73" i="28"/>
  <c r="F74" i="29"/>
  <c r="J72" i="29"/>
  <c r="AG63" i="26"/>
  <c r="AG83" i="30"/>
  <c r="AG9" i="2"/>
  <c r="CZ109" i="61" l="1"/>
  <c r="AR17" i="68"/>
  <c r="DB107" i="61"/>
  <c r="AT15" i="68"/>
  <c r="D295" i="66"/>
  <c r="AI26" i="68"/>
  <c r="DA108" i="61"/>
  <c r="AS16" i="68"/>
  <c r="AN6" i="26"/>
  <c r="EX140" i="61"/>
  <c r="GI140" i="61" s="1"/>
  <c r="O19" i="64" s="1"/>
  <c r="AO20" i="68"/>
  <c r="AN5" i="26"/>
  <c r="BZ105" i="61"/>
  <c r="BV105" i="61"/>
  <c r="BR105" i="61"/>
  <c r="BN105" i="61"/>
  <c r="BJ105" i="61"/>
  <c r="BF105" i="61"/>
  <c r="CB105" i="61"/>
  <c r="BX105" i="61"/>
  <c r="BT105" i="61"/>
  <c r="BP105" i="61"/>
  <c r="BL105" i="61"/>
  <c r="BH105" i="61"/>
  <c r="CC105" i="61"/>
  <c r="BU105" i="61"/>
  <c r="BM105" i="61"/>
  <c r="BS105" i="61"/>
  <c r="CA105" i="61"/>
  <c r="BK105" i="61"/>
  <c r="BY105" i="61"/>
  <c r="BQ105" i="61"/>
  <c r="BI105" i="61"/>
  <c r="BW105" i="61"/>
  <c r="BO105" i="61"/>
  <c r="BG105" i="61"/>
  <c r="BE105" i="61"/>
  <c r="DG106" i="61"/>
  <c r="DF106" i="61"/>
  <c r="Z65" i="31"/>
  <c r="AB65" i="31" s="1"/>
  <c r="AK65" i="31"/>
  <c r="AM65" i="31" s="1"/>
  <c r="AS65" i="31" s="1"/>
  <c r="L69" i="31"/>
  <c r="N69" i="31" s="1"/>
  <c r="AQ69" i="31" s="1"/>
  <c r="AB27" i="31"/>
  <c r="AD27" i="31" s="1"/>
  <c r="AB22" i="31"/>
  <c r="AD22" i="31" s="1"/>
  <c r="X24" i="31" s="1"/>
  <c r="L9" i="32"/>
  <c r="AP65" i="32" s="1"/>
  <c r="Z64" i="31"/>
  <c r="AB64" i="31" s="1"/>
  <c r="X24" i="32"/>
  <c r="L8" i="32" s="1"/>
  <c r="AP64" i="32" s="1"/>
  <c r="AI105" i="35"/>
  <c r="J105" i="35"/>
  <c r="AI80" i="30"/>
  <c r="J104" i="35"/>
  <c r="AN11" i="26"/>
  <c r="AK44" i="26"/>
  <c r="AM44" i="26" s="1"/>
  <c r="AS44" i="26" s="1"/>
  <c r="AB15" i="26"/>
  <c r="AD15" i="26" s="1"/>
  <c r="AB4" i="26"/>
  <c r="AD4" i="26" s="1"/>
  <c r="X6" i="26" s="1"/>
  <c r="GH130" i="61"/>
  <c r="N9" i="64" s="1"/>
  <c r="K8" i="64"/>
  <c r="EY129" i="61"/>
  <c r="GC130" i="61"/>
  <c r="GD130" i="61" s="1"/>
  <c r="ER130" i="61"/>
  <c r="ET129" i="61"/>
  <c r="ES129" i="61"/>
  <c r="H8" i="64" s="1"/>
  <c r="DR131" i="61"/>
  <c r="EZ131" i="61" s="1"/>
  <c r="FD131" i="61"/>
  <c r="GE131" i="61" s="1"/>
  <c r="L10" i="64" s="1"/>
  <c r="DX132" i="61"/>
  <c r="FJ132" i="61"/>
  <c r="EL132" i="61"/>
  <c r="FX132" i="61"/>
  <c r="EH132" i="61"/>
  <c r="FT132" i="61"/>
  <c r="EI132" i="61"/>
  <c r="FU132" i="61"/>
  <c r="DS132" i="61"/>
  <c r="FE132" i="61"/>
  <c r="EC132" i="61"/>
  <c r="FO132" i="61"/>
  <c r="EJ132" i="61"/>
  <c r="FV132" i="61"/>
  <c r="ED132" i="61"/>
  <c r="FP132" i="61"/>
  <c r="DZ132" i="61"/>
  <c r="FL132" i="61"/>
  <c r="EE132" i="61"/>
  <c r="FQ132" i="61"/>
  <c r="EO132" i="61"/>
  <c r="GA132" i="61"/>
  <c r="DY132" i="61"/>
  <c r="FK132" i="61"/>
  <c r="EB132" i="61"/>
  <c r="FN132" i="61"/>
  <c r="DT132" i="61"/>
  <c r="FF132" i="61"/>
  <c r="DV132" i="61"/>
  <c r="FH132" i="61"/>
  <c r="EA132" i="61"/>
  <c r="FM132" i="61"/>
  <c r="EK132" i="61"/>
  <c r="FW132" i="61"/>
  <c r="DU132" i="61"/>
  <c r="FG132" i="61"/>
  <c r="EN132" i="61"/>
  <c r="FZ132" i="61"/>
  <c r="EF132" i="61"/>
  <c r="FR132" i="61"/>
  <c r="GB132" i="61"/>
  <c r="EM132" i="61"/>
  <c r="FY132" i="61"/>
  <c r="DW132" i="61"/>
  <c r="FI132" i="61"/>
  <c r="EG132" i="61"/>
  <c r="FS132" i="61"/>
  <c r="J117" i="37"/>
  <c r="J119" i="37" s="1"/>
  <c r="J102" i="34"/>
  <c r="AR65" i="31"/>
  <c r="DM105" i="61"/>
  <c r="DQ105" i="61"/>
  <c r="DU105" i="61"/>
  <c r="DY105" i="61"/>
  <c r="EC105" i="61"/>
  <c r="EG105" i="61"/>
  <c r="DO105" i="61"/>
  <c r="DS105" i="61"/>
  <c r="DW105" i="61"/>
  <c r="EA105" i="61"/>
  <c r="EE105" i="61"/>
  <c r="EI105" i="61"/>
  <c r="EP133" i="61" s="1"/>
  <c r="DR105" i="61"/>
  <c r="DZ105" i="61"/>
  <c r="EH105" i="61"/>
  <c r="DN105" i="61"/>
  <c r="DV105" i="61"/>
  <c r="ED105" i="61"/>
  <c r="DP105" i="61"/>
  <c r="EF105" i="61"/>
  <c r="DT105" i="61"/>
  <c r="DX105" i="61"/>
  <c r="DL105" i="61"/>
  <c r="EB105" i="61"/>
  <c r="EU132" i="61"/>
  <c r="EV132" i="61" s="1"/>
  <c r="DK104" i="61"/>
  <c r="CY110" i="61"/>
  <c r="AR80" i="37"/>
  <c r="DD107" i="61"/>
  <c r="D343" i="65"/>
  <c r="A343" i="65" s="1"/>
  <c r="AR79" i="37"/>
  <c r="V95" i="59"/>
  <c r="A333" i="66"/>
  <c r="CX111" i="61"/>
  <c r="AE120" i="37"/>
  <c r="AI119" i="37" s="1"/>
  <c r="AE105" i="34"/>
  <c r="AI104" i="34" s="1"/>
  <c r="J112" i="36"/>
  <c r="AR64" i="31"/>
  <c r="I343" i="66"/>
  <c r="D311" i="65"/>
  <c r="A311" i="65" s="1"/>
  <c r="J311" i="66"/>
  <c r="B311" i="65" s="1"/>
  <c r="I311" i="66"/>
  <c r="L344" i="66"/>
  <c r="D344" i="65" s="1"/>
  <c r="A344" i="65" s="1"/>
  <c r="D277" i="66"/>
  <c r="L300" i="66"/>
  <c r="B265" i="66"/>
  <c r="A265" i="66"/>
  <c r="B287" i="66"/>
  <c r="A287" i="66"/>
  <c r="J299" i="66"/>
  <c r="B299" i="65" s="1"/>
  <c r="I299" i="66"/>
  <c r="D299" i="65"/>
  <c r="A299" i="65" s="1"/>
  <c r="D287" i="65"/>
  <c r="A287" i="65" s="1"/>
  <c r="I287" i="66"/>
  <c r="J287" i="66"/>
  <c r="B287" i="65" s="1"/>
  <c r="B298" i="66"/>
  <c r="A298" i="66"/>
  <c r="D334" i="66"/>
  <c r="B334" i="66" s="1"/>
  <c r="D288" i="66"/>
  <c r="L312" i="66"/>
  <c r="L324" i="66"/>
  <c r="D299" i="66"/>
  <c r="B276" i="66"/>
  <c r="A276" i="66"/>
  <c r="D323" i="65"/>
  <c r="I323" i="66"/>
  <c r="J323" i="66"/>
  <c r="B323" i="65" s="1"/>
  <c r="AI145" i="40"/>
  <c r="L54" i="26"/>
  <c r="AI135" i="40"/>
  <c r="AI140" i="40"/>
  <c r="AI150" i="40"/>
  <c r="I371" i="66"/>
  <c r="J371" i="66"/>
  <c r="B371" i="65" s="1"/>
  <c r="D371" i="65"/>
  <c r="A371" i="65" s="1"/>
  <c r="D329" i="65"/>
  <c r="A329" i="65" s="1"/>
  <c r="J329" i="66"/>
  <c r="B329" i="65" s="1"/>
  <c r="I329" i="66"/>
  <c r="D347" i="66"/>
  <c r="L372" i="66"/>
  <c r="B346" i="66"/>
  <c r="A346" i="66"/>
  <c r="B307" i="66"/>
  <c r="A307" i="66"/>
  <c r="B295" i="66"/>
  <c r="A295" i="66"/>
  <c r="D308" i="66"/>
  <c r="L330" i="66"/>
  <c r="X10" i="27"/>
  <c r="X100" i="35"/>
  <c r="D113" i="34"/>
  <c r="R104" i="34"/>
  <c r="D117" i="34"/>
  <c r="R112" i="34"/>
  <c r="R108" i="34"/>
  <c r="AE113" i="34"/>
  <c r="D109" i="34"/>
  <c r="AE109" i="34"/>
  <c r="R84" i="30"/>
  <c r="V84" i="30" s="1"/>
  <c r="D98" i="30"/>
  <c r="F98" i="30" s="1"/>
  <c r="H98" i="30" s="1"/>
  <c r="R97" i="30"/>
  <c r="D102" i="30"/>
  <c r="F102" i="30" s="1"/>
  <c r="R89" i="32"/>
  <c r="R102" i="32"/>
  <c r="D103" i="32"/>
  <c r="F103" i="32" s="1"/>
  <c r="D107" i="32"/>
  <c r="F107" i="32" s="1"/>
  <c r="H99" i="34"/>
  <c r="H100" i="34" s="1"/>
  <c r="J100" i="34" s="1"/>
  <c r="F100" i="34"/>
  <c r="AE108" i="33"/>
  <c r="AH4" i="27"/>
  <c r="AJ4" i="27" s="1"/>
  <c r="AL4" i="27" s="1"/>
  <c r="H117" i="36"/>
  <c r="AE145" i="39"/>
  <c r="AI144" i="39" s="1"/>
  <c r="AG143" i="39"/>
  <c r="AG145" i="39" s="1"/>
  <c r="V138" i="39"/>
  <c r="T138" i="39"/>
  <c r="AE135" i="39"/>
  <c r="AI134" i="39" s="1"/>
  <c r="AG133" i="39"/>
  <c r="AG135" i="39" s="1"/>
  <c r="D355" i="65"/>
  <c r="A355" i="65" s="1"/>
  <c r="I355" i="66"/>
  <c r="J355" i="66"/>
  <c r="B355" i="65" s="1"/>
  <c r="A471" i="66"/>
  <c r="B471" i="66"/>
  <c r="J124" i="39"/>
  <c r="N124" i="39" s="1"/>
  <c r="AQ124" i="39" s="1"/>
  <c r="J125" i="39"/>
  <c r="N125" i="39" s="1"/>
  <c r="AQ125" i="39" s="1"/>
  <c r="J145" i="40"/>
  <c r="N145" i="40" s="1"/>
  <c r="AQ145" i="40" s="1"/>
  <c r="J144" i="40"/>
  <c r="N144" i="40" s="1"/>
  <c r="AQ144" i="40" s="1"/>
  <c r="J130" i="40"/>
  <c r="N130" i="40" s="1"/>
  <c r="AQ130" i="40" s="1"/>
  <c r="J129" i="40"/>
  <c r="N129" i="40" s="1"/>
  <c r="AQ129" i="40" s="1"/>
  <c r="T107" i="34"/>
  <c r="V107" i="34"/>
  <c r="V102" i="33"/>
  <c r="T102" i="33"/>
  <c r="V87" i="30"/>
  <c r="T87" i="30"/>
  <c r="H119" i="38"/>
  <c r="H120" i="38" s="1"/>
  <c r="J120" i="38" s="1"/>
  <c r="F120" i="38"/>
  <c r="J119" i="38" s="1"/>
  <c r="B319" i="66"/>
  <c r="A319" i="66"/>
  <c r="F109" i="35"/>
  <c r="J107" i="35"/>
  <c r="F117" i="35"/>
  <c r="D475" i="65"/>
  <c r="A475" i="65" s="1"/>
  <c r="J475" i="66"/>
  <c r="B475" i="65" s="1"/>
  <c r="I475" i="66"/>
  <c r="B414" i="66"/>
  <c r="A414" i="66"/>
  <c r="H117" i="59"/>
  <c r="AE130" i="39"/>
  <c r="AI129" i="39" s="1"/>
  <c r="J149" i="40"/>
  <c r="N149" i="40" s="1"/>
  <c r="AQ149" i="40" s="1"/>
  <c r="J150" i="40"/>
  <c r="N150" i="40" s="1"/>
  <c r="AQ150" i="40" s="1"/>
  <c r="AE115" i="36"/>
  <c r="AI114" i="36" s="1"/>
  <c r="AG118" i="36"/>
  <c r="V109" i="36"/>
  <c r="V110" i="36" s="1"/>
  <c r="T109" i="36"/>
  <c r="T110" i="36" s="1"/>
  <c r="X109" i="36" s="1"/>
  <c r="R109" i="35"/>
  <c r="D118" i="35"/>
  <c r="F118" i="35" s="1"/>
  <c r="H118" i="35" s="1"/>
  <c r="D114" i="35"/>
  <c r="F114" i="35" s="1"/>
  <c r="H114" i="35" s="1"/>
  <c r="R113" i="35"/>
  <c r="AE118" i="35"/>
  <c r="AE114" i="35"/>
  <c r="AG114" i="35" s="1"/>
  <c r="R87" i="29"/>
  <c r="D97" i="29"/>
  <c r="F97" i="29" s="1"/>
  <c r="D472" i="66"/>
  <c r="L496" i="66"/>
  <c r="D491" i="66"/>
  <c r="L516" i="66"/>
  <c r="R99" i="33"/>
  <c r="D108" i="33"/>
  <c r="F108" i="33" s="1"/>
  <c r="H108" i="33" s="1"/>
  <c r="R107" i="33"/>
  <c r="D112" i="33"/>
  <c r="F112" i="33" s="1"/>
  <c r="CV113" i="61"/>
  <c r="D320" i="66"/>
  <c r="L336" i="66"/>
  <c r="AE104" i="33"/>
  <c r="AG104" i="33" s="1"/>
  <c r="AI120" i="37"/>
  <c r="V148" i="39"/>
  <c r="T148" i="39"/>
  <c r="T128" i="39"/>
  <c r="V128" i="39"/>
  <c r="AE150" i="39"/>
  <c r="AI149" i="39" s="1"/>
  <c r="AG148" i="39"/>
  <c r="AG150" i="39" s="1"/>
  <c r="D395" i="65"/>
  <c r="A395" i="65" s="1"/>
  <c r="J395" i="66"/>
  <c r="B395" i="65" s="1"/>
  <c r="I395" i="66"/>
  <c r="B338" i="66"/>
  <c r="A338" i="66"/>
  <c r="H109" i="36"/>
  <c r="H110" i="36" s="1"/>
  <c r="J110" i="36" s="1"/>
  <c r="F110" i="36"/>
  <c r="J109" i="36" s="1"/>
  <c r="T99" i="34"/>
  <c r="V99" i="34"/>
  <c r="H103" i="33"/>
  <c r="D515" i="65"/>
  <c r="A515" i="65" s="1"/>
  <c r="J515" i="66"/>
  <c r="B515" i="65" s="1"/>
  <c r="I515" i="66"/>
  <c r="J135" i="40"/>
  <c r="N135" i="40" s="1"/>
  <c r="AQ135" i="40" s="1"/>
  <c r="J134" i="40"/>
  <c r="N134" i="40" s="1"/>
  <c r="AQ134" i="40" s="1"/>
  <c r="H113" i="36"/>
  <c r="H115" i="36" s="1"/>
  <c r="J115" i="36" s="1"/>
  <c r="F115" i="36"/>
  <c r="T108" i="35"/>
  <c r="V108" i="35"/>
  <c r="V112" i="35"/>
  <c r="T112" i="35"/>
  <c r="B452" i="66"/>
  <c r="A452" i="66"/>
  <c r="X14" i="27"/>
  <c r="V123" i="38"/>
  <c r="T123" i="38"/>
  <c r="T97" i="31"/>
  <c r="V97" i="31"/>
  <c r="D295" i="65"/>
  <c r="J295" i="66"/>
  <c r="B295" i="65" s="1"/>
  <c r="I295" i="66"/>
  <c r="X115" i="38"/>
  <c r="F105" i="34"/>
  <c r="B357" i="66"/>
  <c r="A357" i="66"/>
  <c r="D415" i="65"/>
  <c r="A415" i="65" s="1"/>
  <c r="J415" i="66"/>
  <c r="B415" i="65" s="1"/>
  <c r="I415" i="66"/>
  <c r="V118" i="37"/>
  <c r="T118" i="37"/>
  <c r="D415" i="66"/>
  <c r="L436" i="66"/>
  <c r="D434" i="66"/>
  <c r="L456" i="66"/>
  <c r="CS116" i="61"/>
  <c r="D377" i="66"/>
  <c r="L396" i="66"/>
  <c r="AE128" i="37"/>
  <c r="D124" i="37"/>
  <c r="R123" i="37"/>
  <c r="AE124" i="37"/>
  <c r="AG124" i="37" s="1"/>
  <c r="D396" i="66"/>
  <c r="L416" i="66"/>
  <c r="D144" i="38"/>
  <c r="AE129" i="38"/>
  <c r="AG129" i="38" s="1"/>
  <c r="AE148" i="38"/>
  <c r="R133" i="38"/>
  <c r="AE144" i="38"/>
  <c r="AG144" i="38" s="1"/>
  <c r="AE133" i="38"/>
  <c r="D149" i="38"/>
  <c r="D129" i="38"/>
  <c r="D134" i="38"/>
  <c r="R128" i="38"/>
  <c r="AE149" i="38"/>
  <c r="AG149" i="38" s="1"/>
  <c r="AE138" i="38"/>
  <c r="AE139" i="38"/>
  <c r="AG139" i="38" s="1"/>
  <c r="R143" i="38"/>
  <c r="AE134" i="38"/>
  <c r="AG134" i="38" s="1"/>
  <c r="D139" i="38"/>
  <c r="AE143" i="38"/>
  <c r="R148" i="38"/>
  <c r="R138" i="38"/>
  <c r="V100" i="34"/>
  <c r="D104" i="33"/>
  <c r="J102" i="33" s="1"/>
  <c r="J147" i="39"/>
  <c r="F149" i="39"/>
  <c r="H149" i="39" s="1"/>
  <c r="J132" i="39"/>
  <c r="F134" i="39"/>
  <c r="H134" i="39" s="1"/>
  <c r="F144" i="39"/>
  <c r="H144" i="39" s="1"/>
  <c r="J142" i="39"/>
  <c r="B376" i="66"/>
  <c r="A376" i="66"/>
  <c r="V89" i="33"/>
  <c r="V90" i="33" s="1"/>
  <c r="T89" i="33"/>
  <c r="T90" i="33" s="1"/>
  <c r="X89" i="33" s="1"/>
  <c r="B490" i="66"/>
  <c r="A490" i="66"/>
  <c r="X90" i="34"/>
  <c r="D455" i="65"/>
  <c r="A455" i="65" s="1"/>
  <c r="J455" i="66"/>
  <c r="B455" i="65" s="1"/>
  <c r="I455" i="66"/>
  <c r="AG113" i="35"/>
  <c r="F113" i="35"/>
  <c r="D315" i="65"/>
  <c r="A315" i="65" s="1"/>
  <c r="J315" i="66"/>
  <c r="B315" i="65" s="1"/>
  <c r="I315" i="66"/>
  <c r="V20" i="27"/>
  <c r="X20" i="27"/>
  <c r="AG128" i="38"/>
  <c r="H102" i="31"/>
  <c r="B281" i="66"/>
  <c r="A281" i="66"/>
  <c r="T111" i="59"/>
  <c r="V111" i="59"/>
  <c r="AG125" i="38"/>
  <c r="J140" i="40"/>
  <c r="N140" i="40" s="1"/>
  <c r="AQ140" i="40" s="1"/>
  <c r="J139" i="40"/>
  <c r="N139" i="40" s="1"/>
  <c r="AQ139" i="40" s="1"/>
  <c r="H105" i="34"/>
  <c r="J105" i="34" s="1"/>
  <c r="B395" i="66"/>
  <c r="A395" i="66"/>
  <c r="AG123" i="37"/>
  <c r="AG125" i="37" s="1"/>
  <c r="CU114" i="61"/>
  <c r="D339" i="66"/>
  <c r="L356" i="66"/>
  <c r="D453" i="66"/>
  <c r="L476" i="66"/>
  <c r="CT115" i="61"/>
  <c r="D358" i="66"/>
  <c r="R114" i="36"/>
  <c r="R118" i="36"/>
  <c r="D119" i="36"/>
  <c r="AE123" i="36"/>
  <c r="AE119" i="36"/>
  <c r="AG119" i="36" s="1"/>
  <c r="CW112" i="61"/>
  <c r="L316" i="66"/>
  <c r="T100" i="34"/>
  <c r="X99" i="34" s="1"/>
  <c r="X110" i="37"/>
  <c r="AG138" i="39"/>
  <c r="AG140" i="39" s="1"/>
  <c r="AE140" i="39"/>
  <c r="AI139" i="39" s="1"/>
  <c r="T143" i="39"/>
  <c r="V143" i="39"/>
  <c r="F129" i="39"/>
  <c r="H129" i="39" s="1"/>
  <c r="J127" i="39"/>
  <c r="V133" i="39"/>
  <c r="T133" i="39"/>
  <c r="J137" i="39"/>
  <c r="F139" i="39"/>
  <c r="H139" i="39" s="1"/>
  <c r="D495" i="65"/>
  <c r="A495" i="65" s="1"/>
  <c r="I495" i="66"/>
  <c r="J495" i="66"/>
  <c r="B495" i="65" s="1"/>
  <c r="X105" i="36"/>
  <c r="H112" i="34"/>
  <c r="H107" i="33"/>
  <c r="H97" i="30"/>
  <c r="AI110" i="36"/>
  <c r="D335" i="65"/>
  <c r="J335" i="66"/>
  <c r="B335" i="65" s="1"/>
  <c r="I335" i="66"/>
  <c r="B433" i="66"/>
  <c r="A433" i="66"/>
  <c r="AG109" i="35"/>
  <c r="AG110" i="35" s="1"/>
  <c r="AE110" i="35"/>
  <c r="AI109" i="35" s="1"/>
  <c r="T104" i="35"/>
  <c r="T105" i="35" s="1"/>
  <c r="X104" i="35" s="1"/>
  <c r="V104" i="35"/>
  <c r="V105" i="35" s="1"/>
  <c r="F124" i="38"/>
  <c r="H124" i="38" s="1"/>
  <c r="J122" i="38"/>
  <c r="D435" i="65"/>
  <c r="A435" i="65" s="1"/>
  <c r="J435" i="66"/>
  <c r="B435" i="65" s="1"/>
  <c r="I435" i="66"/>
  <c r="AE125" i="38"/>
  <c r="AI124" i="38" s="1"/>
  <c r="AG130" i="39"/>
  <c r="AG115" i="36"/>
  <c r="V113" i="36"/>
  <c r="T113" i="36"/>
  <c r="V114" i="37"/>
  <c r="V115" i="37" s="1"/>
  <c r="T114" i="37"/>
  <c r="T115" i="37" s="1"/>
  <c r="X114" i="37" s="1"/>
  <c r="AV40" i="59"/>
  <c r="B24" i="58" s="1" a="1"/>
  <c r="D6" i="59"/>
  <c r="J92" i="32"/>
  <c r="J95" i="33"/>
  <c r="N95" i="33" s="1"/>
  <c r="AQ95" i="33" s="1"/>
  <c r="CR117" i="61"/>
  <c r="J64" i="27"/>
  <c r="AI60" i="26"/>
  <c r="AM60" i="26" s="1"/>
  <c r="AS60" i="26" s="1"/>
  <c r="CQ118" i="61"/>
  <c r="CP119" i="61"/>
  <c r="A333" i="65"/>
  <c r="A320" i="65"/>
  <c r="CO120" i="61"/>
  <c r="A281" i="65"/>
  <c r="A307" i="65"/>
  <c r="A294" i="65"/>
  <c r="CN121" i="61"/>
  <c r="CM122" i="61"/>
  <c r="V10" i="27"/>
  <c r="Z9" i="27" s="1"/>
  <c r="Z10" i="27" s="1"/>
  <c r="P15" i="27"/>
  <c r="P16" i="27" s="1"/>
  <c r="N18" i="27" s="1"/>
  <c r="L4" i="27" s="1"/>
  <c r="AP34" i="27" s="1"/>
  <c r="AT34" i="27" s="1"/>
  <c r="D5" i="27" s="1"/>
  <c r="AJ14" i="27"/>
  <c r="T21" i="27"/>
  <c r="T15" i="27"/>
  <c r="V27" i="27"/>
  <c r="X27" i="27" s="1"/>
  <c r="X3" i="27"/>
  <c r="V3" i="27"/>
  <c r="X26" i="27"/>
  <c r="AL3" i="27"/>
  <c r="N23" i="27"/>
  <c r="AJ8" i="27"/>
  <c r="AL8" i="27"/>
  <c r="V72" i="27"/>
  <c r="L49" i="26"/>
  <c r="N49" i="26" s="1"/>
  <c r="AQ49" i="26" s="1"/>
  <c r="Z49" i="26"/>
  <c r="AB49" i="26" s="1"/>
  <c r="AR49" i="26" s="1"/>
  <c r="AG95" i="32"/>
  <c r="Z44" i="26"/>
  <c r="AB44" i="26" s="1"/>
  <c r="AR44" i="26" s="1"/>
  <c r="AE95" i="32"/>
  <c r="AI94" i="32" s="1"/>
  <c r="AI90" i="32"/>
  <c r="J65" i="27"/>
  <c r="X85" i="32"/>
  <c r="AA13" i="4"/>
  <c r="AG13" i="4" s="1"/>
  <c r="X22" i="25"/>
  <c r="AA21" i="25"/>
  <c r="AG21" i="25" s="1"/>
  <c r="Y20" i="25"/>
  <c r="AA11" i="2"/>
  <c r="AG11" i="2" s="1"/>
  <c r="Y12" i="2"/>
  <c r="X11" i="2" s="1"/>
  <c r="AE85" i="30"/>
  <c r="AI84" i="30" s="1"/>
  <c r="V96" i="59"/>
  <c r="N55" i="26"/>
  <c r="AQ55" i="26" s="1"/>
  <c r="AG85" i="30"/>
  <c r="AI85" i="31"/>
  <c r="J79" i="30"/>
  <c r="J80" i="30"/>
  <c r="V93" i="32"/>
  <c r="Z75" i="36"/>
  <c r="AB75" i="36" s="1"/>
  <c r="L80" i="36"/>
  <c r="N80" i="36" s="1"/>
  <c r="AQ80" i="36" s="1"/>
  <c r="AR75" i="35"/>
  <c r="AT75" i="35" s="1"/>
  <c r="AR74" i="35"/>
  <c r="AT74" i="35" s="1"/>
  <c r="N54" i="26"/>
  <c r="AQ54" i="26" s="1"/>
  <c r="T96" i="59"/>
  <c r="X95" i="59" s="1"/>
  <c r="V85" i="31"/>
  <c r="X85" i="31" s="1"/>
  <c r="AG70" i="27"/>
  <c r="Y14" i="4"/>
  <c r="X13" i="4" s="1"/>
  <c r="AE70" i="27"/>
  <c r="AI69" i="27" s="1"/>
  <c r="Y15" i="5"/>
  <c r="AA15" i="5" s="1"/>
  <c r="AG15" i="5" s="1"/>
  <c r="AG90" i="31"/>
  <c r="AI65" i="27"/>
  <c r="D73" i="26"/>
  <c r="F73" i="26" s="1"/>
  <c r="H73" i="26" s="1"/>
  <c r="D77" i="26"/>
  <c r="F77" i="26" s="1"/>
  <c r="AI100" i="34"/>
  <c r="X80" i="31"/>
  <c r="X70" i="29"/>
  <c r="X90" i="59"/>
  <c r="D82" i="27"/>
  <c r="F82" i="27" s="1"/>
  <c r="R77" i="27"/>
  <c r="H95" i="59"/>
  <c r="H96" i="59" s="1"/>
  <c r="J96" i="59" s="1"/>
  <c r="F96" i="59"/>
  <c r="J95" i="59" s="1"/>
  <c r="D107" i="59"/>
  <c r="F107" i="59" s="1"/>
  <c r="H107" i="59" s="1"/>
  <c r="AG112" i="59"/>
  <c r="AE112" i="59" s="1"/>
  <c r="AE98" i="31"/>
  <c r="AG98" i="31" s="1"/>
  <c r="AI105" i="34"/>
  <c r="J104" i="34"/>
  <c r="AG103" i="33"/>
  <c r="AG105" i="33" s="1"/>
  <c r="V98" i="33"/>
  <c r="T98" i="33"/>
  <c r="D83" i="28"/>
  <c r="F83" i="28" s="1"/>
  <c r="H83" i="28" s="1"/>
  <c r="R82" i="28"/>
  <c r="D87" i="28"/>
  <c r="F87" i="28" s="1"/>
  <c r="T84" i="30"/>
  <c r="AG107" i="59"/>
  <c r="AE107" i="59" s="1"/>
  <c r="AE94" i="31"/>
  <c r="AG94" i="31" s="1"/>
  <c r="AR70" i="33"/>
  <c r="AT70" i="33" s="1"/>
  <c r="AR69" i="33"/>
  <c r="AT69" i="33" s="1"/>
  <c r="D12" i="33" s="1"/>
  <c r="AK74" i="33" s="1"/>
  <c r="AM74" i="33" s="1"/>
  <c r="AS74" i="33" s="1"/>
  <c r="V79" i="30"/>
  <c r="V80" i="30" s="1"/>
  <c r="T79" i="30"/>
  <c r="T80" i="30" s="1"/>
  <c r="X79" i="30" s="1"/>
  <c r="V77" i="28"/>
  <c r="T77" i="28"/>
  <c r="AG99" i="33"/>
  <c r="AG100" i="33" s="1"/>
  <c r="AE100" i="33"/>
  <c r="AI99" i="33" s="1"/>
  <c r="H87" i="29"/>
  <c r="H89" i="32"/>
  <c r="H90" i="32" s="1"/>
  <c r="J90" i="32" s="1"/>
  <c r="F90" i="32"/>
  <c r="J89" i="32" s="1"/>
  <c r="R79" i="29"/>
  <c r="D88" i="29"/>
  <c r="F88" i="29" s="1"/>
  <c r="H88" i="29" s="1"/>
  <c r="H69" i="28"/>
  <c r="H70" i="28" s="1"/>
  <c r="J70" i="28" s="1"/>
  <c r="F70" i="28"/>
  <c r="J69" i="28" s="1"/>
  <c r="AE103" i="32"/>
  <c r="D99" i="32"/>
  <c r="R98" i="32"/>
  <c r="AE99" i="32"/>
  <c r="H84" i="31"/>
  <c r="H85" i="31" s="1"/>
  <c r="J85" i="31" s="1"/>
  <c r="F85" i="31"/>
  <c r="J84" i="31" s="1"/>
  <c r="D94" i="31"/>
  <c r="F94" i="31" s="1"/>
  <c r="H94" i="31" s="1"/>
  <c r="AR65" i="32"/>
  <c r="AT65" i="32" s="1"/>
  <c r="E11" i="32" s="1"/>
  <c r="L79" i="33"/>
  <c r="N79" i="33" s="1"/>
  <c r="AQ79" i="33" s="1"/>
  <c r="H82" i="28"/>
  <c r="H68" i="26"/>
  <c r="J99" i="34"/>
  <c r="V82" i="29"/>
  <c r="T82" i="29"/>
  <c r="V69" i="28"/>
  <c r="V70" i="28" s="1"/>
  <c r="T69" i="28"/>
  <c r="T70" i="28" s="1"/>
  <c r="X69" i="28" s="1"/>
  <c r="T67" i="26"/>
  <c r="V67" i="26"/>
  <c r="AG108" i="33"/>
  <c r="T103" i="33"/>
  <c r="V103" i="33"/>
  <c r="F99" i="33"/>
  <c r="J97" i="33"/>
  <c r="AI70" i="28"/>
  <c r="AG80" i="29"/>
  <c r="AE80" i="29"/>
  <c r="AI79" i="29" s="1"/>
  <c r="AE90" i="31"/>
  <c r="AI89" i="31" s="1"/>
  <c r="Y13" i="3"/>
  <c r="AA13" i="3" s="1"/>
  <c r="AG13" i="3" s="1"/>
  <c r="AG75" i="28"/>
  <c r="AE75" i="28"/>
  <c r="AI74" i="28" s="1"/>
  <c r="AR64" i="32"/>
  <c r="AT64" i="32" s="1"/>
  <c r="D11" i="32" s="1"/>
  <c r="AP15" i="32" s="1"/>
  <c r="AR15" i="32" s="1"/>
  <c r="L10" i="32" s="1"/>
  <c r="AP69" i="32" s="1"/>
  <c r="X55" i="26"/>
  <c r="AE65" i="26"/>
  <c r="AI64" i="26" s="1"/>
  <c r="X65" i="29"/>
  <c r="X75" i="30"/>
  <c r="AF9" i="2"/>
  <c r="AF10" i="2" s="1"/>
  <c r="AV20" i="61"/>
  <c r="AM23" i="68" s="1"/>
  <c r="AP20" i="8"/>
  <c r="C21" i="34"/>
  <c r="B20" i="8"/>
  <c r="H14" i="3"/>
  <c r="I14" i="3" s="1"/>
  <c r="D14" i="3"/>
  <c r="F14" i="3" s="1"/>
  <c r="G14" i="3" s="1"/>
  <c r="H12" i="1"/>
  <c r="I12" i="1" s="1"/>
  <c r="D12" i="1"/>
  <c r="F12" i="1" s="1"/>
  <c r="G12" i="1" s="1"/>
  <c r="V72" i="26"/>
  <c r="T72" i="26"/>
  <c r="T63" i="26"/>
  <c r="V63" i="26"/>
  <c r="AP26" i="61"/>
  <c r="AG29" i="68" s="1"/>
  <c r="B26" i="14"/>
  <c r="C15" i="28"/>
  <c r="AP26" i="14"/>
  <c r="AV20" i="9"/>
  <c r="H26" i="15"/>
  <c r="I26" i="15" s="1"/>
  <c r="D26" i="15"/>
  <c r="F26" i="15" s="1"/>
  <c r="G26" i="15" s="1"/>
  <c r="AE74" i="27"/>
  <c r="AG74" i="27" s="1"/>
  <c r="AE78" i="27"/>
  <c r="R73" i="27"/>
  <c r="R64" i="27"/>
  <c r="D74" i="27"/>
  <c r="D78" i="27"/>
  <c r="AV23" i="12"/>
  <c r="AR24" i="61"/>
  <c r="AI27" i="68" s="1"/>
  <c r="B24" i="12"/>
  <c r="C17" i="30"/>
  <c r="D94" i="30" s="1"/>
  <c r="AP24" i="12"/>
  <c r="AV24" i="13"/>
  <c r="H21" i="10"/>
  <c r="I21" i="10" s="1"/>
  <c r="D21" i="10"/>
  <c r="F21" i="10" s="1"/>
  <c r="G21" i="10" s="1"/>
  <c r="AA14" i="5"/>
  <c r="AG14" i="5" s="1"/>
  <c r="AA25" i="21"/>
  <c r="AG25" i="21" s="1"/>
  <c r="Y24" i="21"/>
  <c r="V78" i="29"/>
  <c r="T78" i="29"/>
  <c r="H17" i="6"/>
  <c r="I17" i="6" s="1"/>
  <c r="D17" i="6"/>
  <c r="F17" i="6" s="1"/>
  <c r="G17" i="6" s="1"/>
  <c r="AF14" i="6"/>
  <c r="AS23" i="61"/>
  <c r="AJ26" i="68" s="1"/>
  <c r="C18" i="59"/>
  <c r="C18" i="31"/>
  <c r="AP23" i="11"/>
  <c r="B23" i="11"/>
  <c r="G10" i="1"/>
  <c r="F74" i="28"/>
  <c r="J72" i="28"/>
  <c r="AI101" i="59"/>
  <c r="AI102" i="59" s="1"/>
  <c r="AK102" i="59" s="1"/>
  <c r="AE101" i="59"/>
  <c r="AG93" i="31"/>
  <c r="BB14" i="61"/>
  <c r="C27" i="40"/>
  <c r="AP14" i="2"/>
  <c r="B14" i="2"/>
  <c r="AV15" i="4"/>
  <c r="G28" i="53"/>
  <c r="G29" i="53" s="1"/>
  <c r="S16" i="53" s="1"/>
  <c r="F29" i="53"/>
  <c r="S14" i="53" s="1"/>
  <c r="F69" i="27"/>
  <c r="J67" i="27"/>
  <c r="H74" i="29"/>
  <c r="H75" i="29" s="1"/>
  <c r="J75" i="29" s="1"/>
  <c r="F75" i="29"/>
  <c r="J74" i="29" s="1"/>
  <c r="AV19" i="8"/>
  <c r="BA15" i="61"/>
  <c r="C26" i="39"/>
  <c r="AP15" i="3"/>
  <c r="B15" i="3"/>
  <c r="F64" i="26"/>
  <c r="J62" i="26"/>
  <c r="AV25" i="14"/>
  <c r="AU21" i="61"/>
  <c r="AL24" i="68" s="1"/>
  <c r="C20" i="33"/>
  <c r="B21" i="9"/>
  <c r="AP21" i="9"/>
  <c r="AE79" i="28"/>
  <c r="AG79" i="28" s="1"/>
  <c r="AE83" i="28"/>
  <c r="D79" i="28"/>
  <c r="F79" i="28" s="1"/>
  <c r="H79" i="28" s="1"/>
  <c r="R78" i="28"/>
  <c r="R74" i="28"/>
  <c r="H27" i="16"/>
  <c r="I27" i="16" s="1"/>
  <c r="D27" i="16"/>
  <c r="F27" i="16" s="1"/>
  <c r="G27" i="16" s="1"/>
  <c r="H28" i="17"/>
  <c r="I28" i="17" s="1"/>
  <c r="I29" i="17" s="1"/>
  <c r="I39" i="17" s="1"/>
  <c r="D28" i="17"/>
  <c r="S7" i="17"/>
  <c r="AQ25" i="61"/>
  <c r="AH28" i="68" s="1"/>
  <c r="AP25" i="13"/>
  <c r="C16" i="29"/>
  <c r="B25" i="13"/>
  <c r="AA15" i="6"/>
  <c r="J94" i="32"/>
  <c r="N94" i="32" s="1"/>
  <c r="AQ94" i="32" s="1"/>
  <c r="J95" i="32"/>
  <c r="N95" i="32" s="1"/>
  <c r="AQ95" i="32" s="1"/>
  <c r="AA24" i="22"/>
  <c r="AG24" i="22" s="1"/>
  <c r="Y23" i="22"/>
  <c r="X24" i="22" s="1"/>
  <c r="AV18" i="7"/>
  <c r="X14" i="6"/>
  <c r="G28" i="19"/>
  <c r="G29" i="19" s="1"/>
  <c r="I38" i="19" s="1"/>
  <c r="F29" i="19"/>
  <c r="I36" i="19" s="1"/>
  <c r="H22" i="11"/>
  <c r="I22" i="11" s="1"/>
  <c r="D22" i="11"/>
  <c r="F22" i="11" s="1"/>
  <c r="G22" i="11" s="1"/>
  <c r="T73" i="28"/>
  <c r="V73" i="28"/>
  <c r="AG10" i="1"/>
  <c r="F89" i="31"/>
  <c r="J87" i="31"/>
  <c r="X60" i="27"/>
  <c r="H13" i="2"/>
  <c r="I13" i="2" s="1"/>
  <c r="D13" i="2"/>
  <c r="F13" i="2" s="1"/>
  <c r="G13" i="2" s="1"/>
  <c r="AY17" i="61"/>
  <c r="AP17" i="5"/>
  <c r="C24" i="37"/>
  <c r="B17" i="5"/>
  <c r="AZ16" i="61"/>
  <c r="B16" i="4"/>
  <c r="AP16" i="4"/>
  <c r="C25" i="38"/>
  <c r="F84" i="30"/>
  <c r="J82" i="30"/>
  <c r="AG73" i="27"/>
  <c r="AG65" i="26"/>
  <c r="AV14" i="3"/>
  <c r="BC13" i="61"/>
  <c r="C28" i="41"/>
  <c r="AP13" i="1"/>
  <c r="B13" i="1"/>
  <c r="V59" i="26"/>
  <c r="V60" i="26" s="1"/>
  <c r="T59" i="26"/>
  <c r="T60" i="26" s="1"/>
  <c r="X59" i="26" s="1"/>
  <c r="AE84" i="29"/>
  <c r="AG84" i="29" s="1"/>
  <c r="R83" i="29"/>
  <c r="D84" i="29"/>
  <c r="AE88" i="29"/>
  <c r="AO27" i="61"/>
  <c r="AF30" i="68" s="1"/>
  <c r="B27" i="15"/>
  <c r="AP27" i="15"/>
  <c r="C14" i="27"/>
  <c r="T22" i="27" s="1"/>
  <c r="AV27" i="16"/>
  <c r="AV28" i="17"/>
  <c r="Y28" i="17"/>
  <c r="Y27" i="17" s="1"/>
  <c r="BG7" i="17"/>
  <c r="H23" i="12"/>
  <c r="I23" i="12" s="1"/>
  <c r="D23" i="12"/>
  <c r="F23" i="12" s="1"/>
  <c r="G23" i="12" s="1"/>
  <c r="H24" i="13"/>
  <c r="I24" i="13" s="1"/>
  <c r="D24" i="13"/>
  <c r="F24" i="13" s="1"/>
  <c r="G24" i="13" s="1"/>
  <c r="AT22" i="61"/>
  <c r="AK25" i="68" s="1"/>
  <c r="B22" i="10"/>
  <c r="C19" i="32"/>
  <c r="AP22" i="10"/>
  <c r="AA28" i="18"/>
  <c r="AG28" i="18" s="1"/>
  <c r="Y27" i="18"/>
  <c r="X28" i="18" s="1"/>
  <c r="X26" i="21"/>
  <c r="T74" i="29"/>
  <c r="T75" i="29" s="1"/>
  <c r="X74" i="29" s="1"/>
  <c r="V74" i="29"/>
  <c r="V75" i="29" s="1"/>
  <c r="AW19" i="61"/>
  <c r="AN22" i="68" s="1"/>
  <c r="AP19" i="7"/>
  <c r="B19" i="7"/>
  <c r="C22" i="35"/>
  <c r="AX18" i="61"/>
  <c r="AP18" i="6"/>
  <c r="C23" i="36"/>
  <c r="B18" i="6"/>
  <c r="J77" i="29"/>
  <c r="AA23" i="23"/>
  <c r="AG23" i="23" s="1"/>
  <c r="Y22" i="23"/>
  <c r="AA26" i="53"/>
  <c r="AG26" i="53" s="1"/>
  <c r="Y25" i="53"/>
  <c r="X26" i="53" s="1"/>
  <c r="F78" i="28"/>
  <c r="AG78" i="28"/>
  <c r="F101" i="59"/>
  <c r="J99" i="59"/>
  <c r="V106" i="59"/>
  <c r="T106" i="59"/>
  <c r="AI106" i="59"/>
  <c r="AE106" i="59"/>
  <c r="AI75" i="29"/>
  <c r="H59" i="26"/>
  <c r="H60" i="26" s="1"/>
  <c r="J60" i="26" s="1"/>
  <c r="F60" i="26"/>
  <c r="J59" i="26" s="1"/>
  <c r="AV13" i="2"/>
  <c r="H16" i="5"/>
  <c r="I16" i="5" s="1"/>
  <c r="D16" i="5"/>
  <c r="F16" i="5" s="1"/>
  <c r="G16" i="5" s="1"/>
  <c r="H15" i="4"/>
  <c r="I15" i="4" s="1"/>
  <c r="D15" i="4"/>
  <c r="F15" i="4" s="1"/>
  <c r="G15" i="4" s="1"/>
  <c r="V83" i="30"/>
  <c r="V85" i="30" s="1"/>
  <c r="T83" i="30"/>
  <c r="AA25" i="20"/>
  <c r="AG25" i="20" s="1"/>
  <c r="Y24" i="20"/>
  <c r="X25" i="20" s="1"/>
  <c r="AG13" i="5"/>
  <c r="AA26" i="19"/>
  <c r="AG26" i="19" s="1"/>
  <c r="Y25" i="19"/>
  <c r="X26" i="19" s="1"/>
  <c r="AA22" i="24"/>
  <c r="AG22" i="24" s="1"/>
  <c r="Y21" i="24"/>
  <c r="X22" i="24" s="1"/>
  <c r="H19" i="8"/>
  <c r="I19" i="8" s="1"/>
  <c r="D19" i="8"/>
  <c r="F19" i="8" s="1"/>
  <c r="G19" i="8" s="1"/>
  <c r="AV12" i="1"/>
  <c r="AG68" i="26"/>
  <c r="H25" i="14"/>
  <c r="I25" i="14" s="1"/>
  <c r="D25" i="14"/>
  <c r="F25" i="14" s="1"/>
  <c r="G25" i="14" s="1"/>
  <c r="H20" i="9"/>
  <c r="I20" i="9" s="1"/>
  <c r="D20" i="9"/>
  <c r="F20" i="9" s="1"/>
  <c r="G20" i="9" s="1"/>
  <c r="AV26" i="15"/>
  <c r="V32" i="61"/>
  <c r="C13" i="26"/>
  <c r="B28" i="16"/>
  <c r="AP28" i="16"/>
  <c r="AE69" i="26"/>
  <c r="AG69" i="26" s="1"/>
  <c r="AE73" i="26"/>
  <c r="R68" i="26"/>
  <c r="D69" i="26"/>
  <c r="AE89" i="30"/>
  <c r="AG89" i="30" s="1"/>
  <c r="AE93" i="30"/>
  <c r="AE94" i="30"/>
  <c r="AG94" i="30" s="1"/>
  <c r="R88" i="30"/>
  <c r="D89" i="30"/>
  <c r="H77" i="27"/>
  <c r="AV21" i="10"/>
  <c r="AA12" i="2"/>
  <c r="AG12" i="2" s="1"/>
  <c r="AG83" i="29"/>
  <c r="H18" i="7"/>
  <c r="I18" i="7" s="1"/>
  <c r="D18" i="7"/>
  <c r="F18" i="7" s="1"/>
  <c r="G18" i="7" s="1"/>
  <c r="AV17" i="6"/>
  <c r="H72" i="26"/>
  <c r="X12" i="3"/>
  <c r="AA12" i="3"/>
  <c r="AG12" i="3" s="1"/>
  <c r="X11" i="3"/>
  <c r="H78" i="29"/>
  <c r="H80" i="29" s="1"/>
  <c r="F80" i="29"/>
  <c r="AV22" i="11"/>
  <c r="V64" i="28"/>
  <c r="V65" i="28" s="1"/>
  <c r="T64" i="28"/>
  <c r="T65" i="28" s="1"/>
  <c r="X64" i="28" s="1"/>
  <c r="V100" i="59"/>
  <c r="T100" i="59"/>
  <c r="AG15" i="7"/>
  <c r="V93" i="31"/>
  <c r="T93" i="31"/>
  <c r="V88" i="31"/>
  <c r="T88" i="31"/>
  <c r="AV16" i="5"/>
  <c r="Y11" i="1"/>
  <c r="F28" i="18"/>
  <c r="D29" i="18"/>
  <c r="I35" i="18" s="1"/>
  <c r="AG88" i="30"/>
  <c r="AF12" i="4"/>
  <c r="AF13" i="4" s="1"/>
  <c r="X13" i="5"/>
  <c r="V68" i="27"/>
  <c r="T68" i="27"/>
  <c r="DB108" i="61" l="1"/>
  <c r="AT16" i="68"/>
  <c r="EX141" i="61"/>
  <c r="GI141" i="61" s="1"/>
  <c r="O20" i="64" s="1"/>
  <c r="AO21" i="68"/>
  <c r="CY111" i="61"/>
  <c r="AQ19" i="68"/>
  <c r="CX112" i="61"/>
  <c r="AP20" i="68"/>
  <c r="CZ110" i="61"/>
  <c r="AR18" i="68"/>
  <c r="DA109" i="61"/>
  <c r="AS17" i="68"/>
  <c r="DF107" i="61"/>
  <c r="DG107" i="61"/>
  <c r="BZ106" i="61"/>
  <c r="BV106" i="61"/>
  <c r="BR106" i="61"/>
  <c r="BN106" i="61"/>
  <c r="BJ106" i="61"/>
  <c r="BF106" i="61"/>
  <c r="CB106" i="61"/>
  <c r="BX106" i="61"/>
  <c r="BT106" i="61"/>
  <c r="BP106" i="61"/>
  <c r="BL106" i="61"/>
  <c r="BH106" i="61"/>
  <c r="BG106" i="61"/>
  <c r="CC106" i="61"/>
  <c r="BU106" i="61"/>
  <c r="BM106" i="61"/>
  <c r="CA106" i="61"/>
  <c r="BK106" i="61"/>
  <c r="BS106" i="61"/>
  <c r="BY106" i="61"/>
  <c r="BQ106" i="61"/>
  <c r="BI106" i="61"/>
  <c r="BW106" i="61"/>
  <c r="BO106" i="61"/>
  <c r="BE106" i="61"/>
  <c r="L8" i="31"/>
  <c r="AP64" i="31" s="1"/>
  <c r="AT64" i="31" s="1"/>
  <c r="X25" i="31"/>
  <c r="L9" i="31" s="1"/>
  <c r="AP65" i="31" s="1"/>
  <c r="AT65" i="31" s="1"/>
  <c r="AK70" i="32"/>
  <c r="AM70" i="32" s="1"/>
  <c r="AS70" i="32" s="1"/>
  <c r="AP16" i="32"/>
  <c r="AR16" i="32" s="1"/>
  <c r="L11" i="32" s="1"/>
  <c r="AP70" i="32" s="1"/>
  <c r="AG108" i="59"/>
  <c r="AK107" i="59" s="1"/>
  <c r="AE105" i="33"/>
  <c r="AI104" i="33" s="1"/>
  <c r="J114" i="36"/>
  <c r="AR45" i="26"/>
  <c r="J92" i="31"/>
  <c r="F104" i="33"/>
  <c r="H104" i="33" s="1"/>
  <c r="J112" i="35"/>
  <c r="L44" i="27"/>
  <c r="N44" i="27" s="1"/>
  <c r="AQ44" i="27" s="1"/>
  <c r="Z39" i="27"/>
  <c r="AB39" i="27" s="1"/>
  <c r="AK39" i="27"/>
  <c r="AM39" i="27" s="1"/>
  <c r="AS39" i="27" s="1"/>
  <c r="AI95" i="32"/>
  <c r="AP64" i="27"/>
  <c r="X7" i="26"/>
  <c r="AI107" i="59"/>
  <c r="J120" i="37"/>
  <c r="Y13" i="2"/>
  <c r="X12" i="2" s="1"/>
  <c r="AF11" i="2"/>
  <c r="AI112" i="59"/>
  <c r="AG85" i="29"/>
  <c r="AE85" i="29"/>
  <c r="AI84" i="29" s="1"/>
  <c r="Y14" i="3"/>
  <c r="GH131" i="61"/>
  <c r="N10" i="64" s="1"/>
  <c r="ES130" i="61"/>
  <c r="H9" i="64" s="1"/>
  <c r="AE125" i="37"/>
  <c r="AI124" i="37" s="1"/>
  <c r="AI130" i="39"/>
  <c r="AG115" i="35"/>
  <c r="J105" i="59"/>
  <c r="J108" i="59" s="1"/>
  <c r="N108" i="59" s="1"/>
  <c r="AS108" i="59" s="1"/>
  <c r="AE115" i="35"/>
  <c r="AI114" i="35" s="1"/>
  <c r="K9" i="64"/>
  <c r="GC131" i="61"/>
  <c r="GD131" i="61" s="1"/>
  <c r="ET130" i="61"/>
  <c r="EY130" i="61"/>
  <c r="ER131" i="61"/>
  <c r="EE133" i="61"/>
  <c r="FQ133" i="61"/>
  <c r="EK133" i="61"/>
  <c r="FW133" i="61"/>
  <c r="EG133" i="61"/>
  <c r="FS133" i="61"/>
  <c r="EH133" i="61"/>
  <c r="FT133" i="61"/>
  <c r="EB133" i="61"/>
  <c r="FN133" i="61"/>
  <c r="EA133" i="61"/>
  <c r="FM133" i="61"/>
  <c r="EC133" i="61"/>
  <c r="FO133" i="61"/>
  <c r="DY133" i="61"/>
  <c r="FK133" i="61"/>
  <c r="ED133" i="61"/>
  <c r="FP133" i="61"/>
  <c r="EN133" i="61"/>
  <c r="FZ133" i="61"/>
  <c r="DX133" i="61"/>
  <c r="FJ133" i="61"/>
  <c r="EI133" i="61"/>
  <c r="FU133" i="61"/>
  <c r="EM133" i="61"/>
  <c r="FY133" i="61"/>
  <c r="DU133" i="61"/>
  <c r="FG133" i="61"/>
  <c r="GB133" i="61"/>
  <c r="DZ133" i="61"/>
  <c r="FL133" i="61"/>
  <c r="EJ133" i="61"/>
  <c r="FV133" i="61"/>
  <c r="DT133" i="61"/>
  <c r="FF133" i="61"/>
  <c r="DR132" i="61"/>
  <c r="EZ132" i="61" s="1"/>
  <c r="FD132" i="61"/>
  <c r="GE132" i="61" s="1"/>
  <c r="L11" i="64" s="1"/>
  <c r="DS133" i="61"/>
  <c r="FE133" i="61"/>
  <c r="DW133" i="61"/>
  <c r="FI133" i="61"/>
  <c r="EO133" i="61"/>
  <c r="GA133" i="61"/>
  <c r="EL133" i="61"/>
  <c r="FX133" i="61"/>
  <c r="DV133" i="61"/>
  <c r="FH133" i="61"/>
  <c r="EF133" i="61"/>
  <c r="FR133" i="61"/>
  <c r="AE130" i="38"/>
  <c r="AI129" i="38" s="1"/>
  <c r="EU133" i="61"/>
  <c r="EV133" i="61" s="1"/>
  <c r="DK105" i="61"/>
  <c r="DL106" i="61"/>
  <c r="DP106" i="61"/>
  <c r="DT106" i="61"/>
  <c r="DX106" i="61"/>
  <c r="EB106" i="61"/>
  <c r="EF106" i="61"/>
  <c r="DN106" i="61"/>
  <c r="DR106" i="61"/>
  <c r="DV106" i="61"/>
  <c r="DZ106" i="61"/>
  <c r="ED106" i="61"/>
  <c r="EH106" i="61"/>
  <c r="DQ106" i="61"/>
  <c r="DY106" i="61"/>
  <c r="EG106" i="61"/>
  <c r="DM106" i="61"/>
  <c r="DU106" i="61"/>
  <c r="EC106" i="61"/>
  <c r="DW106" i="61"/>
  <c r="EA106" i="61"/>
  <c r="DO106" i="61"/>
  <c r="EE106" i="61"/>
  <c r="DS106" i="61"/>
  <c r="EI106" i="61"/>
  <c r="EP134" i="61" s="1"/>
  <c r="DD108" i="61"/>
  <c r="A334" i="66"/>
  <c r="I344" i="66"/>
  <c r="AI85" i="30"/>
  <c r="AE95" i="31"/>
  <c r="AI94" i="31" s="1"/>
  <c r="AI115" i="36"/>
  <c r="J344" i="66"/>
  <c r="B344" i="65" s="1"/>
  <c r="B288" i="66"/>
  <c r="A288" i="66"/>
  <c r="L325" i="66"/>
  <c r="D300" i="66"/>
  <c r="A299" i="66"/>
  <c r="B299" i="66"/>
  <c r="J324" i="66"/>
  <c r="B324" i="65" s="1"/>
  <c r="I324" i="66"/>
  <c r="D324" i="65"/>
  <c r="A324" i="65" s="1"/>
  <c r="D300" i="65"/>
  <c r="A300" i="65" s="1"/>
  <c r="I300" i="66"/>
  <c r="J300" i="66"/>
  <c r="B300" i="65" s="1"/>
  <c r="D289" i="66"/>
  <c r="L313" i="66"/>
  <c r="I312" i="66"/>
  <c r="D312" i="65"/>
  <c r="A312" i="65" s="1"/>
  <c r="J312" i="66"/>
  <c r="B312" i="65" s="1"/>
  <c r="B277" i="66"/>
  <c r="A277" i="66"/>
  <c r="AG130" i="38"/>
  <c r="X105" i="35"/>
  <c r="Z74" i="33"/>
  <c r="AB74" i="33" s="1"/>
  <c r="AI140" i="39"/>
  <c r="AI150" i="39"/>
  <c r="AI135" i="39"/>
  <c r="AI145" i="39"/>
  <c r="AI125" i="37"/>
  <c r="D348" i="66"/>
  <c r="L373" i="66"/>
  <c r="A308" i="66"/>
  <c r="B308" i="66"/>
  <c r="A347" i="66"/>
  <c r="B347" i="66"/>
  <c r="D322" i="66"/>
  <c r="L345" i="66"/>
  <c r="D309" i="66"/>
  <c r="L331" i="66"/>
  <c r="L359" i="66"/>
  <c r="D335" i="66"/>
  <c r="I330" i="66"/>
  <c r="D330" i="65"/>
  <c r="A330" i="65" s="1"/>
  <c r="J330" i="66"/>
  <c r="B330" i="65" s="1"/>
  <c r="J372" i="66"/>
  <c r="B372" i="65" s="1"/>
  <c r="I372" i="66"/>
  <c r="D372" i="65"/>
  <c r="A372" i="65" s="1"/>
  <c r="AE124" i="36"/>
  <c r="AG124" i="36" s="1"/>
  <c r="R123" i="36"/>
  <c r="AE128" i="36"/>
  <c r="D124" i="36"/>
  <c r="R99" i="32"/>
  <c r="R107" i="32"/>
  <c r="D108" i="32"/>
  <c r="F108" i="32" s="1"/>
  <c r="H108" i="32" s="1"/>
  <c r="D112" i="32"/>
  <c r="F112" i="32" s="1"/>
  <c r="D454" i="66"/>
  <c r="L477" i="66"/>
  <c r="CT116" i="61"/>
  <c r="D378" i="66"/>
  <c r="L397" i="66"/>
  <c r="R101" i="59"/>
  <c r="R117" i="59"/>
  <c r="D118" i="59"/>
  <c r="F118" i="59" s="1"/>
  <c r="D123" i="59"/>
  <c r="F123" i="59" s="1"/>
  <c r="D435" i="66"/>
  <c r="L457" i="66"/>
  <c r="D473" i="66"/>
  <c r="L497" i="66"/>
  <c r="CU115" i="61"/>
  <c r="D359" i="66"/>
  <c r="L377" i="66"/>
  <c r="R103" i="32"/>
  <c r="V103" i="32" s="1"/>
  <c r="J130" i="39"/>
  <c r="N130" i="39" s="1"/>
  <c r="AQ130" i="39" s="1"/>
  <c r="J129" i="39"/>
  <c r="N129" i="39" s="1"/>
  <c r="AQ129" i="39" s="1"/>
  <c r="V118" i="36"/>
  <c r="T118" i="36"/>
  <c r="B339" i="66"/>
  <c r="A339" i="66"/>
  <c r="AI125" i="38"/>
  <c r="X90" i="33"/>
  <c r="J150" i="39"/>
  <c r="N150" i="39" s="1"/>
  <c r="AQ150" i="39" s="1"/>
  <c r="J149" i="39"/>
  <c r="N149" i="39" s="1"/>
  <c r="AQ149" i="39" s="1"/>
  <c r="X100" i="34"/>
  <c r="AE145" i="38"/>
  <c r="AI144" i="38" s="1"/>
  <c r="AG143" i="38"/>
  <c r="AG145" i="38" s="1"/>
  <c r="F134" i="38"/>
  <c r="H134" i="38" s="1"/>
  <c r="J132" i="38"/>
  <c r="J142" i="38"/>
  <c r="F144" i="38"/>
  <c r="H144" i="38" s="1"/>
  <c r="T123" i="37"/>
  <c r="V123" i="37"/>
  <c r="B377" i="66"/>
  <c r="A377" i="66"/>
  <c r="D436" i="65"/>
  <c r="A436" i="65" s="1"/>
  <c r="J436" i="66"/>
  <c r="B436" i="65" s="1"/>
  <c r="I436" i="66"/>
  <c r="F105" i="33"/>
  <c r="J104" i="33" s="1"/>
  <c r="H112" i="33"/>
  <c r="D516" i="65"/>
  <c r="A516" i="65" s="1"/>
  <c r="I516" i="66"/>
  <c r="J516" i="66"/>
  <c r="B516" i="65" s="1"/>
  <c r="H97" i="29"/>
  <c r="V113" i="35"/>
  <c r="T113" i="35"/>
  <c r="H109" i="35"/>
  <c r="H110" i="35" s="1"/>
  <c r="J110" i="35" s="1"/>
  <c r="F110" i="35"/>
  <c r="J109" i="35" s="1"/>
  <c r="V89" i="32"/>
  <c r="V90" i="32" s="1"/>
  <c r="T89" i="32"/>
  <c r="T90" i="32" s="1"/>
  <c r="X89" i="32" s="1"/>
  <c r="V108" i="34"/>
  <c r="T108" i="34"/>
  <c r="F113" i="34"/>
  <c r="CR118" i="61"/>
  <c r="D416" i="66"/>
  <c r="L437" i="66"/>
  <c r="D104" i="32"/>
  <c r="F104" i="32" s="1"/>
  <c r="H104" i="32" s="1"/>
  <c r="J139" i="39"/>
  <c r="N139" i="39" s="1"/>
  <c r="AQ139" i="39" s="1"/>
  <c r="J140" i="39"/>
  <c r="N140" i="39" s="1"/>
  <c r="AQ140" i="39" s="1"/>
  <c r="T114" i="36"/>
  <c r="T115" i="36" s="1"/>
  <c r="X114" i="36" s="1"/>
  <c r="V114" i="36"/>
  <c r="V115" i="36" s="1"/>
  <c r="D476" i="65"/>
  <c r="A476" i="65" s="1"/>
  <c r="I476" i="66"/>
  <c r="J476" i="66"/>
  <c r="B476" i="65" s="1"/>
  <c r="F139" i="38"/>
  <c r="H139" i="38" s="1"/>
  <c r="J137" i="38"/>
  <c r="AE140" i="38"/>
  <c r="AI139" i="38" s="1"/>
  <c r="AG138" i="38"/>
  <c r="AG140" i="38" s="1"/>
  <c r="F129" i="38"/>
  <c r="H129" i="38" s="1"/>
  <c r="J127" i="38"/>
  <c r="T133" i="38"/>
  <c r="V133" i="38"/>
  <c r="D416" i="65"/>
  <c r="A416" i="65" s="1"/>
  <c r="J416" i="66"/>
  <c r="B416" i="65" s="1"/>
  <c r="I416" i="66"/>
  <c r="F124" i="37"/>
  <c r="H124" i="37" s="1"/>
  <c r="J122" i="37"/>
  <c r="B415" i="66"/>
  <c r="A415" i="66"/>
  <c r="H105" i="33"/>
  <c r="J105" i="33" s="1"/>
  <c r="D336" i="65"/>
  <c r="J336" i="66"/>
  <c r="B336" i="65" s="1"/>
  <c r="I336" i="66"/>
  <c r="V107" i="33"/>
  <c r="T107" i="33"/>
  <c r="A491" i="66"/>
  <c r="B491" i="66"/>
  <c r="T87" i="29"/>
  <c r="V87" i="29"/>
  <c r="X110" i="36"/>
  <c r="H107" i="32"/>
  <c r="H102" i="30"/>
  <c r="AG109" i="34"/>
  <c r="AG110" i="34" s="1"/>
  <c r="AE110" i="34"/>
  <c r="AI109" i="34" s="1"/>
  <c r="T112" i="34"/>
  <c r="V112" i="34"/>
  <c r="CW113" i="61"/>
  <c r="D321" i="66"/>
  <c r="L337" i="66"/>
  <c r="CV114" i="61"/>
  <c r="D340" i="66"/>
  <c r="L357" i="66"/>
  <c r="CS117" i="61"/>
  <c r="D397" i="66"/>
  <c r="L417" i="66"/>
  <c r="D492" i="66"/>
  <c r="L517" i="66"/>
  <c r="AE144" i="37"/>
  <c r="AG144" i="37" s="1"/>
  <c r="AE149" i="37"/>
  <c r="AG149" i="37" s="1"/>
  <c r="AE143" i="37"/>
  <c r="AE148" i="37"/>
  <c r="R143" i="37"/>
  <c r="R133" i="37"/>
  <c r="AE129" i="37"/>
  <c r="AG129" i="37" s="1"/>
  <c r="R138" i="37"/>
  <c r="AE133" i="37"/>
  <c r="D139" i="37"/>
  <c r="AE138" i="37"/>
  <c r="D134" i="37"/>
  <c r="D144" i="37"/>
  <c r="AE139" i="37"/>
  <c r="AG139" i="37" s="1"/>
  <c r="D149" i="37"/>
  <c r="D129" i="37"/>
  <c r="AE134" i="37"/>
  <c r="AG134" i="37" s="1"/>
  <c r="R148" i="37"/>
  <c r="R128" i="37"/>
  <c r="R84" i="29"/>
  <c r="V84" i="29" s="1"/>
  <c r="D98" i="29"/>
  <c r="F98" i="29" s="1"/>
  <c r="H98" i="29" s="1"/>
  <c r="R97" i="29"/>
  <c r="D102" i="29"/>
  <c r="F102" i="29" s="1"/>
  <c r="R87" i="28"/>
  <c r="D97" i="28"/>
  <c r="F97" i="28" s="1"/>
  <c r="D118" i="34"/>
  <c r="F118" i="34" s="1"/>
  <c r="H118" i="34" s="1"/>
  <c r="R109" i="34"/>
  <c r="R113" i="34"/>
  <c r="AE114" i="34"/>
  <c r="AG114" i="34" s="1"/>
  <c r="AE118" i="34"/>
  <c r="D114" i="34"/>
  <c r="F114" i="34" s="1"/>
  <c r="H114" i="34" s="1"/>
  <c r="AE108" i="32"/>
  <c r="AG108" i="32" s="1"/>
  <c r="J125" i="38"/>
  <c r="N125" i="38" s="1"/>
  <c r="AQ125" i="38" s="1"/>
  <c r="J124" i="38"/>
  <c r="N124" i="38" s="1"/>
  <c r="AQ124" i="38" s="1"/>
  <c r="AI110" i="35"/>
  <c r="D316" i="65"/>
  <c r="A316" i="65" s="1"/>
  <c r="J316" i="66"/>
  <c r="B316" i="65" s="1"/>
  <c r="I316" i="66"/>
  <c r="AG123" i="36"/>
  <c r="AG125" i="36" s="1"/>
  <c r="A453" i="66"/>
  <c r="B453" i="66"/>
  <c r="H113" i="35"/>
  <c r="H115" i="35" s="1"/>
  <c r="J115" i="35" s="1"/>
  <c r="F115" i="35"/>
  <c r="J114" i="35" s="1"/>
  <c r="J134" i="39"/>
  <c r="N134" i="39" s="1"/>
  <c r="AQ134" i="39" s="1"/>
  <c r="J135" i="39"/>
  <c r="N135" i="39" s="1"/>
  <c r="AQ135" i="39" s="1"/>
  <c r="T138" i="38"/>
  <c r="V138" i="38"/>
  <c r="F149" i="38"/>
  <c r="H149" i="38" s="1"/>
  <c r="J147" i="38"/>
  <c r="AG148" i="38"/>
  <c r="AG150" i="38" s="1"/>
  <c r="AE150" i="38"/>
  <c r="AI149" i="38" s="1"/>
  <c r="B396" i="66"/>
  <c r="A396" i="66"/>
  <c r="AG128" i="37"/>
  <c r="D456" i="65"/>
  <c r="A456" i="65" s="1"/>
  <c r="J456" i="66"/>
  <c r="B456" i="65" s="1"/>
  <c r="I456" i="66"/>
  <c r="A320" i="66"/>
  <c r="B320" i="66"/>
  <c r="D496" i="65"/>
  <c r="A496" i="65" s="1"/>
  <c r="I496" i="66"/>
  <c r="J496" i="66"/>
  <c r="B496" i="65" s="1"/>
  <c r="AG120" i="36"/>
  <c r="H117" i="35"/>
  <c r="H103" i="32"/>
  <c r="V97" i="30"/>
  <c r="T97" i="30"/>
  <c r="F109" i="34"/>
  <c r="J107" i="34"/>
  <c r="F117" i="34"/>
  <c r="R114" i="35"/>
  <c r="AE119" i="35"/>
  <c r="AG119" i="35" s="1"/>
  <c r="AE123" i="35"/>
  <c r="R118" i="35"/>
  <c r="D119" i="35"/>
  <c r="V22" i="27"/>
  <c r="X22" i="27"/>
  <c r="R104" i="33"/>
  <c r="D113" i="33"/>
  <c r="D117" i="33"/>
  <c r="R112" i="33"/>
  <c r="AE113" i="33"/>
  <c r="AE109" i="33"/>
  <c r="D109" i="33"/>
  <c r="R108" i="33"/>
  <c r="R89" i="31"/>
  <c r="D103" i="31"/>
  <c r="F103" i="31" s="1"/>
  <c r="R102" i="31"/>
  <c r="D107" i="31"/>
  <c r="F107" i="31" s="1"/>
  <c r="H99" i="33"/>
  <c r="H100" i="33" s="1"/>
  <c r="J100" i="33" s="1"/>
  <c r="F100" i="33"/>
  <c r="J99" i="33" s="1"/>
  <c r="AE104" i="32"/>
  <c r="AG104" i="32" s="1"/>
  <c r="X115" i="37"/>
  <c r="F119" i="36"/>
  <c r="J117" i="36"/>
  <c r="B358" i="66"/>
  <c r="A358" i="66"/>
  <c r="D356" i="65"/>
  <c r="A356" i="65" s="1"/>
  <c r="J356" i="66"/>
  <c r="B356" i="65" s="1"/>
  <c r="I356" i="66"/>
  <c r="J145" i="39"/>
  <c r="N145" i="39" s="1"/>
  <c r="AQ145" i="39" s="1"/>
  <c r="J144" i="39"/>
  <c r="N144" i="39" s="1"/>
  <c r="AQ144" i="39" s="1"/>
  <c r="V148" i="38"/>
  <c r="T148" i="38"/>
  <c r="T143" i="38"/>
  <c r="V143" i="38"/>
  <c r="V128" i="38"/>
  <c r="T128" i="38"/>
  <c r="AE135" i="38"/>
  <c r="AI134" i="38" s="1"/>
  <c r="AG133" i="38"/>
  <c r="AG135" i="38" s="1"/>
  <c r="D396" i="65"/>
  <c r="A396" i="65" s="1"/>
  <c r="J396" i="66"/>
  <c r="B396" i="65" s="1"/>
  <c r="I396" i="66"/>
  <c r="B434" i="66"/>
  <c r="A434" i="66"/>
  <c r="V99" i="33"/>
  <c r="V100" i="33" s="1"/>
  <c r="T99" i="33"/>
  <c r="T100" i="33" s="1"/>
  <c r="X99" i="33" s="1"/>
  <c r="B472" i="66"/>
  <c r="A472" i="66"/>
  <c r="AG118" i="35"/>
  <c r="T109" i="35"/>
  <c r="T110" i="35" s="1"/>
  <c r="X109" i="35" s="1"/>
  <c r="V109" i="35"/>
  <c r="V110" i="35" s="1"/>
  <c r="AE120" i="36"/>
  <c r="AI119" i="36" s="1"/>
  <c r="T102" i="32"/>
  <c r="V102" i="32"/>
  <c r="AG113" i="34"/>
  <c r="V104" i="34"/>
  <c r="V105" i="34" s="1"/>
  <c r="T104" i="34"/>
  <c r="T105" i="34" s="1"/>
  <c r="X104" i="34" s="1"/>
  <c r="AR50" i="26"/>
  <c r="L59" i="59"/>
  <c r="N59" i="59" s="1"/>
  <c r="AS59" i="59" s="1"/>
  <c r="AM47" i="59"/>
  <c r="AO47" i="59" s="1"/>
  <c r="AU47" i="59" s="1"/>
  <c r="Z47" i="59"/>
  <c r="AB47" i="59" s="1"/>
  <c r="Z53" i="59"/>
  <c r="AB53" i="59" s="1"/>
  <c r="L53" i="59"/>
  <c r="N53" i="59" s="1"/>
  <c r="AS53" i="59" s="1"/>
  <c r="L28" i="58"/>
  <c r="D24" i="58"/>
  <c r="B25" i="58"/>
  <c r="L27" i="58"/>
  <c r="L25" i="58"/>
  <c r="J26" i="58"/>
  <c r="C24" i="58"/>
  <c r="M27" i="58"/>
  <c r="F28" i="58"/>
  <c r="E26" i="58"/>
  <c r="K24" i="58"/>
  <c r="I28" i="58"/>
  <c r="M28" i="58"/>
  <c r="E27" i="58"/>
  <c r="I27" i="58"/>
  <c r="J24" i="58"/>
  <c r="H24" i="58"/>
  <c r="F26" i="58"/>
  <c r="G27" i="58"/>
  <c r="M24" i="58"/>
  <c r="B28" i="58"/>
  <c r="G26" i="58"/>
  <c r="K25" i="58"/>
  <c r="D25" i="58"/>
  <c r="J28" i="58"/>
  <c r="H26" i="58"/>
  <c r="F27" i="58"/>
  <c r="J27" i="58"/>
  <c r="F24" i="58"/>
  <c r="C27" i="58"/>
  <c r="F25" i="58"/>
  <c r="H25" i="58"/>
  <c r="L24" i="58"/>
  <c r="E24" i="58"/>
  <c r="C25" i="58"/>
  <c r="G24" i="58"/>
  <c r="K28" i="58"/>
  <c r="M25" i="58"/>
  <c r="H27" i="58"/>
  <c r="E28" i="58"/>
  <c r="K27" i="58"/>
  <c r="C28" i="58"/>
  <c r="M26" i="58"/>
  <c r="K26" i="58"/>
  <c r="G28" i="58"/>
  <c r="E25" i="58"/>
  <c r="C26" i="58"/>
  <c r="B26" i="58"/>
  <c r="I26" i="58"/>
  <c r="J25" i="58"/>
  <c r="I24" i="58"/>
  <c r="D26" i="58"/>
  <c r="I25" i="58"/>
  <c r="G25" i="58"/>
  <c r="B24" i="58"/>
  <c r="D28" i="58"/>
  <c r="H28" i="58"/>
  <c r="B27" i="58"/>
  <c r="L26" i="58"/>
  <c r="D27" i="58"/>
  <c r="X28" i="27"/>
  <c r="CP120" i="61"/>
  <c r="CQ119" i="61"/>
  <c r="CO121" i="61"/>
  <c r="A347" i="65"/>
  <c r="A308" i="65"/>
  <c r="A321" i="65"/>
  <c r="CN122" i="61"/>
  <c r="A334" i="65"/>
  <c r="A295" i="65"/>
  <c r="X96" i="59"/>
  <c r="V28" i="27"/>
  <c r="Z27" i="27" s="1"/>
  <c r="R69" i="27"/>
  <c r="T69" i="27" s="1"/>
  <c r="T70" i="27" s="1"/>
  <c r="X69" i="27" s="1"/>
  <c r="AH9" i="27"/>
  <c r="AH5" i="27"/>
  <c r="AJ15" i="27"/>
  <c r="AL15" i="27" s="1"/>
  <c r="T4" i="27"/>
  <c r="V15" i="27"/>
  <c r="Z13" i="27"/>
  <c r="V21" i="27"/>
  <c r="X21" i="27"/>
  <c r="N19" i="27"/>
  <c r="L5" i="27" s="1"/>
  <c r="AP35" i="27" s="1"/>
  <c r="AT35" i="27" s="1"/>
  <c r="E5" i="27" s="1"/>
  <c r="AL14" i="27"/>
  <c r="AI90" i="31"/>
  <c r="R93" i="30"/>
  <c r="V93" i="30" s="1"/>
  <c r="AA14" i="4"/>
  <c r="AG14" i="4" s="1"/>
  <c r="AF14" i="4" s="1"/>
  <c r="AE98" i="30"/>
  <c r="AG98" i="30" s="1"/>
  <c r="AE80" i="28"/>
  <c r="AI79" i="28" s="1"/>
  <c r="Y15" i="4"/>
  <c r="AA20" i="25"/>
  <c r="AG20" i="25" s="1"/>
  <c r="Y19" i="25"/>
  <c r="X20" i="25" s="1"/>
  <c r="X21" i="25"/>
  <c r="T85" i="30"/>
  <c r="X84" i="30" s="1"/>
  <c r="X85" i="30" s="1"/>
  <c r="AG95" i="31"/>
  <c r="AI95" i="31" s="1"/>
  <c r="AI75" i="28"/>
  <c r="AI70" i="27"/>
  <c r="X14" i="5"/>
  <c r="AR74" i="36"/>
  <c r="AT74" i="36" s="1"/>
  <c r="D13" i="36" s="1"/>
  <c r="AR75" i="36"/>
  <c r="AT75" i="36" s="1"/>
  <c r="E13" i="36" s="1"/>
  <c r="AI108" i="59"/>
  <c r="AK108" i="59" s="1"/>
  <c r="AG80" i="28"/>
  <c r="AE75" i="27"/>
  <c r="AI74" i="27" s="1"/>
  <c r="AG75" i="27"/>
  <c r="X70" i="28"/>
  <c r="AE90" i="30"/>
  <c r="AI89" i="30" s="1"/>
  <c r="X80" i="30"/>
  <c r="D83" i="27"/>
  <c r="F83" i="27" s="1"/>
  <c r="H83" i="27" s="1"/>
  <c r="D87" i="27"/>
  <c r="F87" i="27" s="1"/>
  <c r="R82" i="27"/>
  <c r="H84" i="30"/>
  <c r="H85" i="30" s="1"/>
  <c r="J85" i="30" s="1"/>
  <c r="F85" i="30"/>
  <c r="J84" i="30" s="1"/>
  <c r="H69" i="27"/>
  <c r="H70" i="27" s="1"/>
  <c r="J70" i="27" s="1"/>
  <c r="F70" i="27"/>
  <c r="J69" i="27" s="1"/>
  <c r="AE99" i="31"/>
  <c r="D99" i="31"/>
  <c r="AE103" i="31"/>
  <c r="R98" i="31"/>
  <c r="Z70" i="32"/>
  <c r="AB70" i="32" s="1"/>
  <c r="L75" i="32"/>
  <c r="N75" i="32" s="1"/>
  <c r="AQ75" i="32" s="1"/>
  <c r="AG103" i="32"/>
  <c r="T79" i="29"/>
  <c r="T80" i="29" s="1"/>
  <c r="X79" i="29" s="1"/>
  <c r="V79" i="29"/>
  <c r="V80" i="29" s="1"/>
  <c r="H87" i="28"/>
  <c r="H82" i="27"/>
  <c r="AG113" i="59"/>
  <c r="R112" i="59"/>
  <c r="AG118" i="59"/>
  <c r="D113" i="59"/>
  <c r="Z69" i="32"/>
  <c r="AB69" i="32" s="1"/>
  <c r="L74" i="32"/>
  <c r="N74" i="32" s="1"/>
  <c r="AQ74" i="32" s="1"/>
  <c r="V82" i="28"/>
  <c r="T82" i="28"/>
  <c r="R77" i="26"/>
  <c r="D82" i="26"/>
  <c r="F82" i="26" s="1"/>
  <c r="H101" i="59"/>
  <c r="H102" i="59" s="1"/>
  <c r="J102" i="59" s="1"/>
  <c r="F102" i="59"/>
  <c r="J101" i="59" s="1"/>
  <c r="AG99" i="32"/>
  <c r="AG100" i="32" s="1"/>
  <c r="AE100" i="32"/>
  <c r="AI99" i="32" s="1"/>
  <c r="AI100" i="33"/>
  <c r="AI105" i="33"/>
  <c r="H89" i="31"/>
  <c r="H90" i="31" s="1"/>
  <c r="J90" i="31" s="1"/>
  <c r="F90" i="31"/>
  <c r="J89" i="31" s="1"/>
  <c r="D88" i="28"/>
  <c r="F88" i="28" s="1"/>
  <c r="H88" i="28" s="1"/>
  <c r="R79" i="28"/>
  <c r="AI80" i="29"/>
  <c r="T98" i="32"/>
  <c r="V98" i="32"/>
  <c r="F99" i="32"/>
  <c r="J97" i="32"/>
  <c r="T77" i="27"/>
  <c r="V77" i="27"/>
  <c r="J77" i="28"/>
  <c r="AI65" i="26"/>
  <c r="AK69" i="32"/>
  <c r="AM69" i="32" s="1"/>
  <c r="AS69" i="32" s="1"/>
  <c r="AG90" i="30"/>
  <c r="AG70" i="26"/>
  <c r="X75" i="29"/>
  <c r="X65" i="28"/>
  <c r="AE70" i="26"/>
  <c r="AI69" i="26" s="1"/>
  <c r="AI85" i="29"/>
  <c r="AA11" i="1"/>
  <c r="X10" i="1"/>
  <c r="AF15" i="7"/>
  <c r="AF12" i="2"/>
  <c r="F94" i="30"/>
  <c r="H94" i="30" s="1"/>
  <c r="J92" i="30"/>
  <c r="F89" i="30"/>
  <c r="J87" i="30"/>
  <c r="AG93" i="30"/>
  <c r="AG95" i="30" s="1"/>
  <c r="AE95" i="30"/>
  <c r="AI94" i="30" s="1"/>
  <c r="AE74" i="26"/>
  <c r="AG74" i="26" s="1"/>
  <c r="AE78" i="26"/>
  <c r="R73" i="26"/>
  <c r="R64" i="26"/>
  <c r="D74" i="26"/>
  <c r="D78" i="26"/>
  <c r="Y12" i="1"/>
  <c r="AA25" i="19"/>
  <c r="AG25" i="19" s="1"/>
  <c r="Y24" i="19"/>
  <c r="X25" i="19" s="1"/>
  <c r="AA27" i="17"/>
  <c r="AG27" i="17" s="1"/>
  <c r="Y26" i="17"/>
  <c r="AF13" i="5"/>
  <c r="AF14" i="5" s="1"/>
  <c r="AF15" i="5" s="1"/>
  <c r="H18" i="6"/>
  <c r="I18" i="6" s="1"/>
  <c r="D18" i="6"/>
  <c r="F18" i="6" s="1"/>
  <c r="G18" i="6" s="1"/>
  <c r="AW20" i="61"/>
  <c r="AN23" i="68" s="1"/>
  <c r="AP20" i="7"/>
  <c r="B20" i="7"/>
  <c r="C22" i="34"/>
  <c r="AT23" i="61"/>
  <c r="AK26" i="68" s="1"/>
  <c r="AP23" i="10"/>
  <c r="B23" i="10"/>
  <c r="C19" i="31"/>
  <c r="D104" i="31" s="1"/>
  <c r="C19" i="59"/>
  <c r="X28" i="17"/>
  <c r="AA28" i="17"/>
  <c r="AG28" i="17" s="1"/>
  <c r="AV27" i="15"/>
  <c r="AG88" i="29"/>
  <c r="D13" i="1"/>
  <c r="F13" i="1" s="1"/>
  <c r="H13" i="1"/>
  <c r="I13" i="1" s="1"/>
  <c r="AA14" i="3"/>
  <c r="AG14" i="3" s="1"/>
  <c r="AZ17" i="61"/>
  <c r="C25" i="37"/>
  <c r="AP17" i="4"/>
  <c r="B17" i="4"/>
  <c r="AF10" i="1"/>
  <c r="AE89" i="29"/>
  <c r="AG89" i="29" s="1"/>
  <c r="R88" i="29"/>
  <c r="AE93" i="29"/>
  <c r="D89" i="29"/>
  <c r="F28" i="17"/>
  <c r="D29" i="17"/>
  <c r="I35" i="17" s="1"/>
  <c r="V74" i="28"/>
  <c r="V75" i="28" s="1"/>
  <c r="T74" i="28"/>
  <c r="T75" i="28" s="1"/>
  <c r="X74" i="28" s="1"/>
  <c r="H21" i="9"/>
  <c r="I21" i="9" s="1"/>
  <c r="D21" i="9"/>
  <c r="F21" i="9" s="1"/>
  <c r="G21" i="9" s="1"/>
  <c r="BA16" i="61"/>
  <c r="B16" i="3"/>
  <c r="C26" i="38"/>
  <c r="AP16" i="3"/>
  <c r="AA24" i="21"/>
  <c r="AG24" i="21" s="1"/>
  <c r="Y23" i="21"/>
  <c r="X24" i="21" s="1"/>
  <c r="AV24" i="12"/>
  <c r="F78" i="27"/>
  <c r="AG78" i="27"/>
  <c r="AV26" i="14"/>
  <c r="AV21" i="61"/>
  <c r="AM24" i="68" s="1"/>
  <c r="AP21" i="8"/>
  <c r="B21" i="8"/>
  <c r="C21" i="33"/>
  <c r="F69" i="26"/>
  <c r="J67" i="26"/>
  <c r="AA24" i="20"/>
  <c r="AG24" i="20" s="1"/>
  <c r="Y23" i="20"/>
  <c r="X24" i="20" s="1"/>
  <c r="H78" i="28"/>
  <c r="H80" i="28" s="1"/>
  <c r="F80" i="28"/>
  <c r="AA22" i="23"/>
  <c r="AG22" i="23" s="1"/>
  <c r="Y21" i="23"/>
  <c r="X22" i="23" s="1"/>
  <c r="AV22" i="10"/>
  <c r="H27" i="15"/>
  <c r="I27" i="15" s="1"/>
  <c r="D27" i="15"/>
  <c r="F27" i="15" s="1"/>
  <c r="G27" i="15" s="1"/>
  <c r="F84" i="29"/>
  <c r="J82" i="29"/>
  <c r="H77" i="26"/>
  <c r="AV13" i="1"/>
  <c r="AV17" i="5"/>
  <c r="AG15" i="6"/>
  <c r="AV25" i="13"/>
  <c r="T78" i="28"/>
  <c r="V78" i="28"/>
  <c r="H15" i="3"/>
  <c r="I15" i="3" s="1"/>
  <c r="D15" i="3"/>
  <c r="F15" i="3" s="1"/>
  <c r="G15" i="3" s="1"/>
  <c r="BB15" i="61"/>
  <c r="AP15" i="2"/>
  <c r="Y14" i="2" s="1"/>
  <c r="C27" i="39"/>
  <c r="B15" i="2"/>
  <c r="H23" i="11"/>
  <c r="I23" i="11" s="1"/>
  <c r="D23" i="11"/>
  <c r="F23" i="11" s="1"/>
  <c r="G23" i="11" s="1"/>
  <c r="AS24" i="61"/>
  <c r="AJ27" i="68" s="1"/>
  <c r="AP24" i="11"/>
  <c r="C18" i="30"/>
  <c r="B24" i="11"/>
  <c r="F74" i="27"/>
  <c r="J72" i="27"/>
  <c r="AE84" i="28"/>
  <c r="AG84" i="28" s="1"/>
  <c r="AE88" i="28"/>
  <c r="D84" i="28"/>
  <c r="R83" i="28"/>
  <c r="H20" i="8"/>
  <c r="I20" i="8" s="1"/>
  <c r="D20" i="8"/>
  <c r="F20" i="8" s="1"/>
  <c r="G20" i="8" s="1"/>
  <c r="X13" i="3"/>
  <c r="G28" i="18"/>
  <c r="G29" i="18" s="1"/>
  <c r="I38" i="18" s="1"/>
  <c r="F29" i="18"/>
  <c r="I36" i="18" s="1"/>
  <c r="V88" i="30"/>
  <c r="T88" i="30"/>
  <c r="T68" i="26"/>
  <c r="V68" i="26"/>
  <c r="AV28" i="16"/>
  <c r="Y28" i="16"/>
  <c r="Y27" i="16" s="1"/>
  <c r="BG7" i="16"/>
  <c r="AA25" i="53"/>
  <c r="AG25" i="53" s="1"/>
  <c r="Y24" i="53"/>
  <c r="X23" i="23"/>
  <c r="J79" i="29"/>
  <c r="J80" i="29"/>
  <c r="AV18" i="6"/>
  <c r="H19" i="7"/>
  <c r="I19" i="7" s="1"/>
  <c r="D19" i="7"/>
  <c r="F19" i="7" s="1"/>
  <c r="G19" i="7" s="1"/>
  <c r="B28" i="15"/>
  <c r="W32" i="61"/>
  <c r="C14" i="26"/>
  <c r="R69" i="26" s="1"/>
  <c r="AP28" i="15"/>
  <c r="V83" i="29"/>
  <c r="T83" i="29"/>
  <c r="AV16" i="4"/>
  <c r="AY18" i="61"/>
  <c r="B18" i="5"/>
  <c r="AP18" i="5"/>
  <c r="C24" i="36"/>
  <c r="AQ26" i="61"/>
  <c r="AH29" i="68" s="1"/>
  <c r="B26" i="13"/>
  <c r="C16" i="28"/>
  <c r="AP26" i="13"/>
  <c r="AU22" i="61"/>
  <c r="AL25" i="68" s="1"/>
  <c r="B22" i="9"/>
  <c r="AP22" i="9"/>
  <c r="C20" i="32"/>
  <c r="AV15" i="3"/>
  <c r="H14" i="2"/>
  <c r="I14" i="2" s="1"/>
  <c r="D14" i="2"/>
  <c r="F14" i="2" s="1"/>
  <c r="G14" i="2" s="1"/>
  <c r="J107" i="59"/>
  <c r="N107" i="59" s="1"/>
  <c r="AS107" i="59" s="1"/>
  <c r="AV23" i="11"/>
  <c r="X25" i="21"/>
  <c r="H24" i="12"/>
  <c r="I24" i="12" s="1"/>
  <c r="D24" i="12"/>
  <c r="F24" i="12" s="1"/>
  <c r="G24" i="12" s="1"/>
  <c r="V64" i="27"/>
  <c r="V65" i="27" s="1"/>
  <c r="T64" i="27"/>
  <c r="T65" i="27" s="1"/>
  <c r="X64" i="27" s="1"/>
  <c r="H26" i="14"/>
  <c r="I26" i="14" s="1"/>
  <c r="D26" i="14"/>
  <c r="F26" i="14" s="1"/>
  <c r="G26" i="14" s="1"/>
  <c r="AF12" i="3"/>
  <c r="AF13" i="3" s="1"/>
  <c r="AG73" i="26"/>
  <c r="H28" i="16"/>
  <c r="I28" i="16" s="1"/>
  <c r="I29" i="16" s="1"/>
  <c r="I39" i="16" s="1"/>
  <c r="D28" i="16"/>
  <c r="S7" i="16"/>
  <c r="AA21" i="24"/>
  <c r="AG21" i="24" s="1"/>
  <c r="Y20" i="24"/>
  <c r="AA13" i="2"/>
  <c r="AG13" i="2" s="1"/>
  <c r="J95" i="31"/>
  <c r="N95" i="31" s="1"/>
  <c r="AQ95" i="31" s="1"/>
  <c r="J94" i="31"/>
  <c r="N94" i="31" s="1"/>
  <c r="AQ94" i="31" s="1"/>
  <c r="AX19" i="61"/>
  <c r="C23" i="35"/>
  <c r="B19" i="6"/>
  <c r="AP19" i="6"/>
  <c r="AV19" i="7"/>
  <c r="AA27" i="18"/>
  <c r="AG27" i="18" s="1"/>
  <c r="Y26" i="18"/>
  <c r="X27" i="18" s="1"/>
  <c r="H22" i="10"/>
  <c r="I22" i="10" s="1"/>
  <c r="D22" i="10"/>
  <c r="F22" i="10" s="1"/>
  <c r="G22" i="10" s="1"/>
  <c r="AE79" i="27"/>
  <c r="AG79" i="27" s="1"/>
  <c r="AE83" i="27"/>
  <c r="R78" i="27"/>
  <c r="D79" i="27"/>
  <c r="F79" i="27" s="1"/>
  <c r="H79" i="27" s="1"/>
  <c r="R74" i="27"/>
  <c r="X60" i="26"/>
  <c r="BC14" i="61"/>
  <c r="C28" i="40"/>
  <c r="B14" i="1"/>
  <c r="AP14" i="1"/>
  <c r="H16" i="4"/>
  <c r="I16" i="4" s="1"/>
  <c r="D16" i="4"/>
  <c r="F16" i="4" s="1"/>
  <c r="G16" i="4" s="1"/>
  <c r="H17" i="5"/>
  <c r="I17" i="5" s="1"/>
  <c r="D17" i="5"/>
  <c r="F17" i="5" s="1"/>
  <c r="G17" i="5" s="1"/>
  <c r="AA23" i="22"/>
  <c r="AG23" i="22" s="1"/>
  <c r="Y22" i="22"/>
  <c r="H25" i="13"/>
  <c r="I25" i="13" s="1"/>
  <c r="D25" i="13"/>
  <c r="F25" i="13" s="1"/>
  <c r="G25" i="13" s="1"/>
  <c r="AG83" i="28"/>
  <c r="AV21" i="9"/>
  <c r="H64" i="26"/>
  <c r="H65" i="26" s="1"/>
  <c r="J65" i="26" s="1"/>
  <c r="F65" i="26"/>
  <c r="J64" i="26" s="1"/>
  <c r="AV14" i="2"/>
  <c r="H74" i="28"/>
  <c r="H75" i="28" s="1"/>
  <c r="J75" i="28" s="1"/>
  <c r="F75" i="28"/>
  <c r="J74" i="28" s="1"/>
  <c r="AR25" i="61"/>
  <c r="AI28" i="68" s="1"/>
  <c r="C17" i="29"/>
  <c r="AE94" i="29" s="1"/>
  <c r="AG94" i="29" s="1"/>
  <c r="AP25" i="12"/>
  <c r="B25" i="12"/>
  <c r="V73" i="27"/>
  <c r="T73" i="27"/>
  <c r="AP27" i="61"/>
  <c r="AG30" i="68" s="1"/>
  <c r="B27" i="14"/>
  <c r="C15" i="27"/>
  <c r="AP27" i="14"/>
  <c r="AV20" i="8"/>
  <c r="EX142" i="61" l="1"/>
  <c r="GI142" i="61" s="1"/>
  <c r="O21" i="64" s="1"/>
  <c r="AO22" i="68"/>
  <c r="DB109" i="61"/>
  <c r="AT17" i="68"/>
  <c r="DA110" i="61"/>
  <c r="AS18" i="68"/>
  <c r="CZ111" i="61"/>
  <c r="AR19" i="68"/>
  <c r="CX113" i="61"/>
  <c r="AP21" i="68"/>
  <c r="CY112" i="61"/>
  <c r="AQ20" i="68"/>
  <c r="DG108" i="61"/>
  <c r="DF108" i="61"/>
  <c r="BZ107" i="61"/>
  <c r="BV107" i="61"/>
  <c r="BR107" i="61"/>
  <c r="BN107" i="61"/>
  <c r="BJ107" i="61"/>
  <c r="BF107" i="61"/>
  <c r="CB107" i="61"/>
  <c r="BX107" i="61"/>
  <c r="BT107" i="61"/>
  <c r="BP107" i="61"/>
  <c r="BL107" i="61"/>
  <c r="BH107" i="61"/>
  <c r="BO107" i="61"/>
  <c r="CC107" i="61"/>
  <c r="BU107" i="61"/>
  <c r="BM107" i="61"/>
  <c r="CA107" i="61"/>
  <c r="BS107" i="61"/>
  <c r="BK107" i="61"/>
  <c r="BY107" i="61"/>
  <c r="BQ107" i="61"/>
  <c r="BI107" i="61"/>
  <c r="BW107" i="61"/>
  <c r="BG107" i="61"/>
  <c r="BE107" i="61"/>
  <c r="V23" i="27"/>
  <c r="Z22" i="27" s="1"/>
  <c r="X23" i="27"/>
  <c r="Z40" i="27"/>
  <c r="AB40" i="27" s="1"/>
  <c r="AR40" i="27" s="1"/>
  <c r="L45" i="27"/>
  <c r="N45" i="27" s="1"/>
  <c r="AQ45" i="27" s="1"/>
  <c r="AK40" i="27"/>
  <c r="AM40" i="27" s="1"/>
  <c r="AS40" i="27" s="1"/>
  <c r="AI130" i="38"/>
  <c r="AI115" i="35"/>
  <c r="AL16" i="27"/>
  <c r="AP65" i="27"/>
  <c r="Y15" i="3"/>
  <c r="X14" i="3" s="1"/>
  <c r="GH132" i="61"/>
  <c r="N11" i="64" s="1"/>
  <c r="EY131" i="61"/>
  <c r="AG105" i="32"/>
  <c r="AE105" i="32"/>
  <c r="AI104" i="32" s="1"/>
  <c r="K10" i="64"/>
  <c r="T103" i="32"/>
  <c r="GC132" i="61"/>
  <c r="GD132" i="61" s="1"/>
  <c r="ER132" i="61"/>
  <c r="ET131" i="61"/>
  <c r="ES131" i="61"/>
  <c r="H10" i="64" s="1"/>
  <c r="DV134" i="61"/>
  <c r="FH134" i="61"/>
  <c r="EJ134" i="61"/>
  <c r="FV134" i="61"/>
  <c r="EF134" i="61"/>
  <c r="FR134" i="61"/>
  <c r="EG134" i="61"/>
  <c r="FS134" i="61"/>
  <c r="EM134" i="61"/>
  <c r="FY134" i="61"/>
  <c r="DW134" i="61"/>
  <c r="FI134" i="61"/>
  <c r="GB134" i="61"/>
  <c r="EH134" i="61"/>
  <c r="FT134" i="61"/>
  <c r="EB134" i="61"/>
  <c r="FN134" i="61"/>
  <c r="DX134" i="61"/>
  <c r="FJ134" i="61"/>
  <c r="EC134" i="61"/>
  <c r="FO134" i="61"/>
  <c r="EI134" i="61"/>
  <c r="FU134" i="61"/>
  <c r="DS134" i="61"/>
  <c r="FE134" i="61"/>
  <c r="DZ134" i="61"/>
  <c r="FL134" i="61"/>
  <c r="DT134" i="61"/>
  <c r="FF134" i="61"/>
  <c r="EO134" i="61"/>
  <c r="GA134" i="61"/>
  <c r="DY134" i="61"/>
  <c r="FK134" i="61"/>
  <c r="EE134" i="61"/>
  <c r="FQ134" i="61"/>
  <c r="DR133" i="61"/>
  <c r="EZ133" i="61" s="1"/>
  <c r="FD133" i="61"/>
  <c r="GE133" i="61" s="1"/>
  <c r="L12" i="64" s="1"/>
  <c r="EL134" i="61"/>
  <c r="FX134" i="61"/>
  <c r="ED134" i="61"/>
  <c r="FP134" i="61"/>
  <c r="EN134" i="61"/>
  <c r="FZ134" i="61"/>
  <c r="EK134" i="61"/>
  <c r="FW134" i="61"/>
  <c r="DU134" i="61"/>
  <c r="FG134" i="61"/>
  <c r="EA134" i="61"/>
  <c r="FM134" i="61"/>
  <c r="DO107" i="61"/>
  <c r="DS107" i="61"/>
  <c r="DW107" i="61"/>
  <c r="EA107" i="61"/>
  <c r="EE107" i="61"/>
  <c r="EI107" i="61"/>
  <c r="EP135" i="61" s="1"/>
  <c r="DM107" i="61"/>
  <c r="DQ107" i="61"/>
  <c r="DU107" i="61"/>
  <c r="DY107" i="61"/>
  <c r="EC107" i="61"/>
  <c r="EG107" i="61"/>
  <c r="DP107" i="61"/>
  <c r="DX107" i="61"/>
  <c r="EF107" i="61"/>
  <c r="DL107" i="61"/>
  <c r="DT107" i="61"/>
  <c r="EB107" i="61"/>
  <c r="DN107" i="61"/>
  <c r="ED107" i="61"/>
  <c r="DR107" i="61"/>
  <c r="EH107" i="61"/>
  <c r="DV107" i="61"/>
  <c r="DZ107" i="61"/>
  <c r="EU134" i="61"/>
  <c r="EV134" i="61" s="1"/>
  <c r="DK106" i="61"/>
  <c r="AE115" i="34"/>
  <c r="AI114" i="34" s="1"/>
  <c r="T84" i="29"/>
  <c r="DD109" i="61"/>
  <c r="V69" i="27"/>
  <c r="V70" i="27" s="1"/>
  <c r="X14" i="4"/>
  <c r="T93" i="30"/>
  <c r="J102" i="32"/>
  <c r="AE125" i="36"/>
  <c r="AI124" i="36" s="1"/>
  <c r="AI125" i="36" s="1"/>
  <c r="A300" i="66"/>
  <c r="B300" i="66"/>
  <c r="D325" i="65"/>
  <c r="A325" i="65" s="1"/>
  <c r="I325" i="66"/>
  <c r="J325" i="66"/>
  <c r="B325" i="65" s="1"/>
  <c r="D313" i="65"/>
  <c r="A313" i="65" s="1"/>
  <c r="J313" i="66"/>
  <c r="B313" i="65" s="1"/>
  <c r="I313" i="66"/>
  <c r="L326" i="66"/>
  <c r="D301" i="66"/>
  <c r="B289" i="66"/>
  <c r="A289" i="66"/>
  <c r="AI135" i="38"/>
  <c r="Z28" i="27"/>
  <c r="AG115" i="34"/>
  <c r="AE130" i="37"/>
  <c r="AI129" i="37" s="1"/>
  <c r="AA15" i="4"/>
  <c r="AG15" i="4" s="1"/>
  <c r="AI90" i="30"/>
  <c r="AE120" i="35"/>
  <c r="AI119" i="35" s="1"/>
  <c r="AG120" i="35"/>
  <c r="Z23" i="27"/>
  <c r="X110" i="35"/>
  <c r="B335" i="66"/>
  <c r="A335" i="66"/>
  <c r="D345" i="65"/>
  <c r="A345" i="65" s="1"/>
  <c r="J345" i="66"/>
  <c r="B345" i="65" s="1"/>
  <c r="I345" i="66"/>
  <c r="I359" i="66"/>
  <c r="D359" i="65"/>
  <c r="A359" i="65" s="1"/>
  <c r="J359" i="66"/>
  <c r="B359" i="65" s="1"/>
  <c r="A322" i="66"/>
  <c r="B322" i="66"/>
  <c r="D349" i="66"/>
  <c r="L374" i="66"/>
  <c r="D323" i="66"/>
  <c r="L346" i="66"/>
  <c r="L360" i="66"/>
  <c r="D336" i="66"/>
  <c r="D331" i="65"/>
  <c r="A331" i="65" s="1"/>
  <c r="J331" i="66"/>
  <c r="B331" i="65" s="1"/>
  <c r="I331" i="66"/>
  <c r="D373" i="65"/>
  <c r="A373" i="65" s="1"/>
  <c r="I373" i="66"/>
  <c r="J373" i="66"/>
  <c r="B373" i="65" s="1"/>
  <c r="AI140" i="38"/>
  <c r="B309" i="66"/>
  <c r="A309" i="66"/>
  <c r="B348" i="66"/>
  <c r="A348" i="66"/>
  <c r="X115" i="36"/>
  <c r="X100" i="33"/>
  <c r="AH10" i="27"/>
  <c r="AL10" i="27" s="1"/>
  <c r="R87" i="27"/>
  <c r="D97" i="27"/>
  <c r="F97" i="27" s="1"/>
  <c r="D455" i="66"/>
  <c r="L478" i="66"/>
  <c r="AE128" i="35"/>
  <c r="D124" i="35"/>
  <c r="AE124" i="35"/>
  <c r="AG124" i="35" s="1"/>
  <c r="R123" i="35"/>
  <c r="R89" i="30"/>
  <c r="R102" i="30"/>
  <c r="D103" i="30"/>
  <c r="F103" i="30" s="1"/>
  <c r="D107" i="30"/>
  <c r="F107" i="30" s="1"/>
  <c r="R109" i="33"/>
  <c r="D118" i="33"/>
  <c r="F118" i="33" s="1"/>
  <c r="H118" i="33" s="1"/>
  <c r="AE114" i="33"/>
  <c r="AG114" i="33" s="1"/>
  <c r="R113" i="33"/>
  <c r="D114" i="33"/>
  <c r="F114" i="33" s="1"/>
  <c r="H114" i="33" s="1"/>
  <c r="AE118" i="33"/>
  <c r="R113" i="59"/>
  <c r="D124" i="59"/>
  <c r="F124" i="59" s="1"/>
  <c r="H124" i="59" s="1"/>
  <c r="R123" i="59"/>
  <c r="D129" i="59"/>
  <c r="F129" i="59" s="1"/>
  <c r="CS118" i="61"/>
  <c r="D417" i="66"/>
  <c r="L438" i="66"/>
  <c r="CV115" i="61"/>
  <c r="D360" i="66"/>
  <c r="L378" i="66"/>
  <c r="H99" i="32"/>
  <c r="H100" i="32" s="1"/>
  <c r="J100" i="32" s="1"/>
  <c r="F100" i="32"/>
  <c r="J99" i="32" s="1"/>
  <c r="AE108" i="31"/>
  <c r="AG108" i="31" s="1"/>
  <c r="V102" i="31"/>
  <c r="T102" i="31"/>
  <c r="F109" i="33"/>
  <c r="J107" i="33"/>
  <c r="F117" i="33"/>
  <c r="F105" i="32"/>
  <c r="AI150" i="38"/>
  <c r="AG118" i="34"/>
  <c r="V97" i="29"/>
  <c r="T97" i="29"/>
  <c r="T148" i="37"/>
  <c r="V148" i="37"/>
  <c r="F139" i="37"/>
  <c r="H139" i="37" s="1"/>
  <c r="J137" i="37"/>
  <c r="V133" i="37"/>
  <c r="T133" i="37"/>
  <c r="D417" i="65"/>
  <c r="A417" i="65" s="1"/>
  <c r="J417" i="66"/>
  <c r="B417" i="65" s="1"/>
  <c r="I417" i="66"/>
  <c r="B340" i="66"/>
  <c r="A340" i="66"/>
  <c r="AI110" i="34"/>
  <c r="B416" i="66"/>
  <c r="A416" i="66"/>
  <c r="H113" i="34"/>
  <c r="H115" i="34" s="1"/>
  <c r="F115" i="34"/>
  <c r="X90" i="32"/>
  <c r="J135" i="38"/>
  <c r="N135" i="38" s="1"/>
  <c r="AQ135" i="38" s="1"/>
  <c r="J134" i="38"/>
  <c r="N134" i="38" s="1"/>
  <c r="AQ134" i="38" s="1"/>
  <c r="B435" i="66"/>
  <c r="A435" i="66"/>
  <c r="V101" i="59"/>
  <c r="V102" i="59" s="1"/>
  <c r="T101" i="59"/>
  <c r="T102" i="59" s="1"/>
  <c r="X101" i="59" s="1"/>
  <c r="D477" i="65"/>
  <c r="A477" i="65" s="1"/>
  <c r="J477" i="66"/>
  <c r="B477" i="65" s="1"/>
  <c r="I477" i="66"/>
  <c r="T107" i="32"/>
  <c r="V107" i="32"/>
  <c r="T123" i="36"/>
  <c r="V123" i="36"/>
  <c r="CW114" i="61"/>
  <c r="D341" i="66"/>
  <c r="L358" i="66"/>
  <c r="CT117" i="61"/>
  <c r="D398" i="66"/>
  <c r="L418" i="66"/>
  <c r="D474" i="66"/>
  <c r="L498" i="66"/>
  <c r="D108" i="31"/>
  <c r="F108" i="31" s="1"/>
  <c r="H108" i="31" s="1"/>
  <c r="R99" i="31"/>
  <c r="R107" i="31"/>
  <c r="D112" i="31"/>
  <c r="F112" i="31" s="1"/>
  <c r="R114" i="34"/>
  <c r="R118" i="34"/>
  <c r="D119" i="34"/>
  <c r="AE123" i="34"/>
  <c r="AE119" i="34"/>
  <c r="AG119" i="34" s="1"/>
  <c r="D119" i="59"/>
  <c r="F119" i="59" s="1"/>
  <c r="H119" i="59" s="1"/>
  <c r="R118" i="59"/>
  <c r="V118" i="59" s="1"/>
  <c r="AE104" i="31"/>
  <c r="AG104" i="31" s="1"/>
  <c r="X15" i="27"/>
  <c r="X16" i="27" s="1"/>
  <c r="Z16" i="27" s="1"/>
  <c r="V16" i="27"/>
  <c r="H103" i="31"/>
  <c r="AG109" i="33"/>
  <c r="AG110" i="33" s="1"/>
  <c r="AE110" i="33"/>
  <c r="AI109" i="33" s="1"/>
  <c r="F113" i="33"/>
  <c r="F119" i="35"/>
  <c r="J117" i="35"/>
  <c r="T114" i="35"/>
  <c r="T115" i="35" s="1"/>
  <c r="X114" i="35" s="1"/>
  <c r="V114" i="35"/>
  <c r="V115" i="35" s="1"/>
  <c r="H109" i="34"/>
  <c r="H110" i="34" s="1"/>
  <c r="J110" i="34" s="1"/>
  <c r="F110" i="34"/>
  <c r="J109" i="34" s="1"/>
  <c r="H105" i="32"/>
  <c r="J149" i="38"/>
  <c r="N149" i="38" s="1"/>
  <c r="AQ149" i="38" s="1"/>
  <c r="J150" i="38"/>
  <c r="N150" i="38" s="1"/>
  <c r="AQ150" i="38" s="1"/>
  <c r="H97" i="28"/>
  <c r="J142" i="37"/>
  <c r="F144" i="37"/>
  <c r="H144" i="37" s="1"/>
  <c r="AG133" i="37"/>
  <c r="AG135" i="37" s="1"/>
  <c r="AE135" i="37"/>
  <c r="AI134" i="37" s="1"/>
  <c r="T143" i="37"/>
  <c r="V143" i="37"/>
  <c r="B397" i="66"/>
  <c r="A397" i="66"/>
  <c r="J124" i="37"/>
  <c r="N124" i="37" s="1"/>
  <c r="AQ124" i="37" s="1"/>
  <c r="J125" i="37"/>
  <c r="N125" i="37" s="1"/>
  <c r="AQ125" i="37" s="1"/>
  <c r="J129" i="38"/>
  <c r="N129" i="38" s="1"/>
  <c r="AQ129" i="38" s="1"/>
  <c r="J130" i="38"/>
  <c r="N130" i="38" s="1"/>
  <c r="AQ130" i="38" s="1"/>
  <c r="J139" i="38"/>
  <c r="N139" i="38" s="1"/>
  <c r="AQ139" i="38" s="1"/>
  <c r="J140" i="38"/>
  <c r="N140" i="38" s="1"/>
  <c r="AQ140" i="38" s="1"/>
  <c r="D497" i="65"/>
  <c r="A497" i="65" s="1"/>
  <c r="J497" i="66"/>
  <c r="B497" i="65" s="1"/>
  <c r="I497" i="66"/>
  <c r="H123" i="59"/>
  <c r="D397" i="65"/>
  <c r="A397" i="65" s="1"/>
  <c r="I397" i="66"/>
  <c r="J397" i="66"/>
  <c r="B397" i="65" s="1"/>
  <c r="B454" i="66"/>
  <c r="A454" i="66"/>
  <c r="V99" i="32"/>
  <c r="V100" i="32" s="1"/>
  <c r="T99" i="32"/>
  <c r="T100" i="32" s="1"/>
  <c r="X99" i="32" s="1"/>
  <c r="D493" i="66"/>
  <c r="L518" i="66"/>
  <c r="R104" i="32"/>
  <c r="R112" i="32"/>
  <c r="D113" i="32"/>
  <c r="D117" i="32"/>
  <c r="AE113" i="32"/>
  <c r="R108" i="32"/>
  <c r="D109" i="32"/>
  <c r="AE109" i="32"/>
  <c r="CR119" i="61"/>
  <c r="D436" i="66"/>
  <c r="L458" i="66"/>
  <c r="AG124" i="59"/>
  <c r="AI124" i="59" s="1"/>
  <c r="R103" i="31"/>
  <c r="V103" i="31" s="1"/>
  <c r="X105" i="34"/>
  <c r="H119" i="36"/>
  <c r="H120" i="36" s="1"/>
  <c r="J120" i="36" s="1"/>
  <c r="F120" i="36"/>
  <c r="J119" i="36" s="1"/>
  <c r="T89" i="31"/>
  <c r="T90" i="31" s="1"/>
  <c r="X89" i="31" s="1"/>
  <c r="V89" i="31"/>
  <c r="V90" i="31" s="1"/>
  <c r="AG113" i="33"/>
  <c r="V104" i="33"/>
  <c r="V105" i="33" s="1"/>
  <c r="T104" i="33"/>
  <c r="T105" i="33" s="1"/>
  <c r="X104" i="33" s="1"/>
  <c r="V118" i="35"/>
  <c r="T118" i="35"/>
  <c r="AI120" i="36"/>
  <c r="AG130" i="37"/>
  <c r="AI130" i="37" s="1"/>
  <c r="T113" i="34"/>
  <c r="V113" i="34"/>
  <c r="V87" i="28"/>
  <c r="T87" i="28"/>
  <c r="F129" i="37"/>
  <c r="H129" i="37" s="1"/>
  <c r="J127" i="37"/>
  <c r="J132" i="37"/>
  <c r="F134" i="37"/>
  <c r="H134" i="37" s="1"/>
  <c r="T138" i="37"/>
  <c r="V138" i="37"/>
  <c r="AE150" i="37"/>
  <c r="AI149" i="37" s="1"/>
  <c r="AG148" i="37"/>
  <c r="AG150" i="37" s="1"/>
  <c r="D517" i="65"/>
  <c r="A517" i="65" s="1"/>
  <c r="J517" i="66"/>
  <c r="B517" i="65" s="1"/>
  <c r="I517" i="66"/>
  <c r="D337" i="65"/>
  <c r="J337" i="66"/>
  <c r="B337" i="65" s="1"/>
  <c r="I337" i="66"/>
  <c r="AI145" i="38"/>
  <c r="D377" i="65"/>
  <c r="A377" i="65" s="1"/>
  <c r="J377" i="66"/>
  <c r="B377" i="65" s="1"/>
  <c r="I377" i="66"/>
  <c r="B473" i="66"/>
  <c r="A473" i="66"/>
  <c r="H118" i="59"/>
  <c r="B378" i="66"/>
  <c r="A378" i="66"/>
  <c r="H112" i="32"/>
  <c r="F124" i="36"/>
  <c r="H124" i="36" s="1"/>
  <c r="J122" i="36"/>
  <c r="R84" i="28"/>
  <c r="T84" i="28" s="1"/>
  <c r="D98" i="28"/>
  <c r="F98" i="28" s="1"/>
  <c r="H98" i="28" s="1"/>
  <c r="D102" i="28"/>
  <c r="F102" i="28" s="1"/>
  <c r="R97" i="28"/>
  <c r="AE144" i="36"/>
  <c r="AG144" i="36" s="1"/>
  <c r="AE133" i="36"/>
  <c r="R148" i="36"/>
  <c r="R138" i="36"/>
  <c r="D129" i="36"/>
  <c r="AE149" i="36"/>
  <c r="AG149" i="36" s="1"/>
  <c r="AE138" i="36"/>
  <c r="AE129" i="36"/>
  <c r="AG129" i="36" s="1"/>
  <c r="D134" i="36"/>
  <c r="AE148" i="36"/>
  <c r="D139" i="36"/>
  <c r="AE143" i="36"/>
  <c r="R128" i="36"/>
  <c r="D144" i="36"/>
  <c r="AE134" i="36"/>
  <c r="AG134" i="36" s="1"/>
  <c r="D149" i="36"/>
  <c r="R143" i="36"/>
  <c r="R133" i="36"/>
  <c r="AE139" i="36"/>
  <c r="AG139" i="36" s="1"/>
  <c r="CU116" i="61"/>
  <c r="D379" i="66"/>
  <c r="L398" i="66"/>
  <c r="AG119" i="59"/>
  <c r="AG120" i="59" s="1"/>
  <c r="AK119" i="59" s="1"/>
  <c r="H107" i="31"/>
  <c r="V108" i="33"/>
  <c r="T108" i="33"/>
  <c r="T112" i="33"/>
  <c r="V112" i="33"/>
  <c r="AG123" i="35"/>
  <c r="AG125" i="35" s="1"/>
  <c r="H117" i="34"/>
  <c r="V109" i="34"/>
  <c r="V110" i="34" s="1"/>
  <c r="T109" i="34"/>
  <c r="T110" i="34" s="1"/>
  <c r="X109" i="34" s="1"/>
  <c r="H102" i="29"/>
  <c r="T128" i="37"/>
  <c r="V128" i="37"/>
  <c r="F149" i="37"/>
  <c r="H149" i="37" s="1"/>
  <c r="J147" i="37"/>
  <c r="AE140" i="37"/>
  <c r="AI139" i="37" s="1"/>
  <c r="AG138" i="37"/>
  <c r="AG140" i="37" s="1"/>
  <c r="AE145" i="37"/>
  <c r="AI144" i="37" s="1"/>
  <c r="AG143" i="37"/>
  <c r="AG145" i="37" s="1"/>
  <c r="B492" i="66"/>
  <c r="A492" i="66"/>
  <c r="D357" i="65"/>
  <c r="A357" i="65" s="1"/>
  <c r="I357" i="66"/>
  <c r="J357" i="66"/>
  <c r="B357" i="65" s="1"/>
  <c r="B321" i="66"/>
  <c r="A321" i="66"/>
  <c r="D437" i="65"/>
  <c r="A437" i="65" s="1"/>
  <c r="J437" i="66"/>
  <c r="B437" i="65" s="1"/>
  <c r="I437" i="66"/>
  <c r="J112" i="34"/>
  <c r="J144" i="38"/>
  <c r="N144" i="38" s="1"/>
  <c r="AQ144" i="38" s="1"/>
  <c r="J145" i="38"/>
  <c r="N145" i="38" s="1"/>
  <c r="AQ145" i="38" s="1"/>
  <c r="A359" i="66"/>
  <c r="B359" i="66"/>
  <c r="D457" i="65"/>
  <c r="A457" i="65" s="1"/>
  <c r="J457" i="66"/>
  <c r="B457" i="65" s="1"/>
  <c r="I457" i="66"/>
  <c r="T117" i="59"/>
  <c r="V117" i="59"/>
  <c r="AG128" i="36"/>
  <c r="AG130" i="36" s="1"/>
  <c r="AT48" i="59"/>
  <c r="AT47" i="59"/>
  <c r="AT53" i="59"/>
  <c r="AT54" i="59"/>
  <c r="CO122" i="61"/>
  <c r="A309" i="65"/>
  <c r="CQ120" i="61"/>
  <c r="A335" i="65"/>
  <c r="A322" i="65"/>
  <c r="CP121" i="61"/>
  <c r="A348" i="65"/>
  <c r="AJ16" i="27"/>
  <c r="AN15" i="27" s="1"/>
  <c r="AN16" i="27" s="1"/>
  <c r="AL9" i="27"/>
  <c r="AJ9" i="27"/>
  <c r="X4" i="27"/>
  <c r="X5" i="27" s="1"/>
  <c r="V4" i="27"/>
  <c r="V5" i="27" s="1"/>
  <c r="Z4" i="27" s="1"/>
  <c r="Z15" i="27"/>
  <c r="AJ5" i="27"/>
  <c r="AN3" i="27"/>
  <c r="T85" i="29"/>
  <c r="X84" i="29" s="1"/>
  <c r="J79" i="28"/>
  <c r="J80" i="28"/>
  <c r="AI80" i="28"/>
  <c r="AI75" i="27"/>
  <c r="V85" i="29"/>
  <c r="AA19" i="25"/>
  <c r="AG19" i="25" s="1"/>
  <c r="Y18" i="25"/>
  <c r="AG85" i="28"/>
  <c r="L69" i="28"/>
  <c r="N69" i="28" s="1"/>
  <c r="AQ69" i="28" s="1"/>
  <c r="Y13" i="1"/>
  <c r="Z80" i="36"/>
  <c r="AB80" i="36" s="1"/>
  <c r="L85" i="36"/>
  <c r="N85" i="36" s="1"/>
  <c r="AQ85" i="36" s="1"/>
  <c r="AK80" i="36"/>
  <c r="AM80" i="36" s="1"/>
  <c r="AS80" i="36" s="1"/>
  <c r="AT80" i="36" s="1"/>
  <c r="AK79" i="36"/>
  <c r="AM79" i="36" s="1"/>
  <c r="AS79" i="36" s="1"/>
  <c r="AT79" i="36" s="1"/>
  <c r="Z79" i="36"/>
  <c r="AB79" i="36" s="1"/>
  <c r="L84" i="36"/>
  <c r="N84" i="36" s="1"/>
  <c r="AQ84" i="36" s="1"/>
  <c r="X80" i="29"/>
  <c r="X70" i="27"/>
  <c r="AE99" i="30"/>
  <c r="AE103" i="30"/>
  <c r="R98" i="30"/>
  <c r="D99" i="30"/>
  <c r="H84" i="29"/>
  <c r="H85" i="29" s="1"/>
  <c r="J85" i="29" s="1"/>
  <c r="F85" i="29"/>
  <c r="J84" i="29" s="1"/>
  <c r="T69" i="26"/>
  <c r="T70" i="26" s="1"/>
  <c r="X69" i="26" s="1"/>
  <c r="V69" i="26"/>
  <c r="V70" i="26" s="1"/>
  <c r="V112" i="59"/>
  <c r="T112" i="59"/>
  <c r="F99" i="31"/>
  <c r="J97" i="31"/>
  <c r="H87" i="27"/>
  <c r="AR69" i="32"/>
  <c r="AT69" i="32" s="1"/>
  <c r="D12" i="32" s="1"/>
  <c r="AK74" i="32" s="1"/>
  <c r="AM74" i="32" s="1"/>
  <c r="AS74" i="32" s="1"/>
  <c r="AR70" i="32"/>
  <c r="AT70" i="32" s="1"/>
  <c r="E12" i="32" s="1"/>
  <c r="AI113" i="59"/>
  <c r="AI114" i="59" s="1"/>
  <c r="AG114" i="59"/>
  <c r="AK113" i="59" s="1"/>
  <c r="AE113" i="59"/>
  <c r="V98" i="31"/>
  <c r="T98" i="31"/>
  <c r="AG99" i="31"/>
  <c r="AG100" i="31" s="1"/>
  <c r="AE100" i="31"/>
  <c r="AI99" i="31" s="1"/>
  <c r="H69" i="26"/>
  <c r="H70" i="26" s="1"/>
  <c r="J70" i="26" s="1"/>
  <c r="F70" i="26"/>
  <c r="J69" i="26" s="1"/>
  <c r="AE98" i="29"/>
  <c r="AG98" i="29" s="1"/>
  <c r="R93" i="29"/>
  <c r="T93" i="29" s="1"/>
  <c r="AI100" i="32"/>
  <c r="H82" i="26"/>
  <c r="AG103" i="31"/>
  <c r="J102" i="31"/>
  <c r="F104" i="31"/>
  <c r="H104" i="31" s="1"/>
  <c r="D88" i="27"/>
  <c r="F88" i="27" s="1"/>
  <c r="H88" i="27" s="1"/>
  <c r="R79" i="27"/>
  <c r="R82" i="26"/>
  <c r="D83" i="26"/>
  <c r="F83" i="26" s="1"/>
  <c r="H83" i="26" s="1"/>
  <c r="D87" i="26"/>
  <c r="F87" i="26" s="1"/>
  <c r="D94" i="29"/>
  <c r="F94" i="29" s="1"/>
  <c r="H94" i="29" s="1"/>
  <c r="H89" i="30"/>
  <c r="H90" i="30" s="1"/>
  <c r="J90" i="30" s="1"/>
  <c r="F90" i="30"/>
  <c r="J89" i="30" s="1"/>
  <c r="T79" i="28"/>
  <c r="T80" i="28" s="1"/>
  <c r="X79" i="28" s="1"/>
  <c r="V79" i="28"/>
  <c r="V80" i="28" s="1"/>
  <c r="V77" i="26"/>
  <c r="T77" i="26"/>
  <c r="J111" i="59"/>
  <c r="F113" i="59"/>
  <c r="AI118" i="59"/>
  <c r="AE118" i="59"/>
  <c r="T82" i="27"/>
  <c r="V82" i="27"/>
  <c r="AE75" i="26"/>
  <c r="AI74" i="26" s="1"/>
  <c r="AG75" i="26"/>
  <c r="AI95" i="30"/>
  <c r="AI70" i="26"/>
  <c r="AE85" i="28"/>
  <c r="AI84" i="28" s="1"/>
  <c r="AG90" i="29"/>
  <c r="AA13" i="1"/>
  <c r="AG13" i="1" s="1"/>
  <c r="AV27" i="14"/>
  <c r="AE84" i="27"/>
  <c r="AG84" i="27" s="1"/>
  <c r="AE88" i="27"/>
  <c r="D84" i="27"/>
  <c r="R83" i="27"/>
  <c r="AP28" i="14"/>
  <c r="X32" i="61"/>
  <c r="B28" i="14"/>
  <c r="C15" i="26"/>
  <c r="H25" i="12"/>
  <c r="I25" i="12" s="1"/>
  <c r="D25" i="12"/>
  <c r="F25" i="12" s="1"/>
  <c r="G25" i="12" s="1"/>
  <c r="AA27" i="16"/>
  <c r="AG27" i="16" s="1"/>
  <c r="Y26" i="16"/>
  <c r="X27" i="16" s="1"/>
  <c r="AX20" i="61"/>
  <c r="AP20" i="6"/>
  <c r="C23" i="34"/>
  <c r="B20" i="6"/>
  <c r="AV22" i="9"/>
  <c r="AV26" i="13"/>
  <c r="AV18" i="5"/>
  <c r="H28" i="15"/>
  <c r="I28" i="15" s="1"/>
  <c r="I29" i="15" s="1"/>
  <c r="I39" i="15" s="1"/>
  <c r="D28" i="15"/>
  <c r="S7" i="15"/>
  <c r="AG88" i="28"/>
  <c r="H24" i="11"/>
  <c r="I24" i="11" s="1"/>
  <c r="D24" i="11"/>
  <c r="F24" i="11" s="1"/>
  <c r="G24" i="11" s="1"/>
  <c r="AV15" i="2"/>
  <c r="AF15" i="6"/>
  <c r="AA21" i="23"/>
  <c r="AG21" i="23" s="1"/>
  <c r="Y20" i="23"/>
  <c r="X21" i="23" s="1"/>
  <c r="AA23" i="20"/>
  <c r="AG23" i="20" s="1"/>
  <c r="Y22" i="20"/>
  <c r="X23" i="20" s="1"/>
  <c r="AV22" i="61"/>
  <c r="AM25" i="68" s="1"/>
  <c r="B22" i="8"/>
  <c r="C21" i="32"/>
  <c r="AP22" i="8"/>
  <c r="AE80" i="27"/>
  <c r="AI79" i="27" s="1"/>
  <c r="BA17" i="61"/>
  <c r="C26" i="37"/>
  <c r="AP17" i="3"/>
  <c r="B17" i="3"/>
  <c r="H17" i="4"/>
  <c r="I17" i="4" s="1"/>
  <c r="D17" i="4"/>
  <c r="F17" i="4" s="1"/>
  <c r="G17" i="4" s="1"/>
  <c r="AE90" i="29"/>
  <c r="AI89" i="29" s="1"/>
  <c r="AV20" i="7"/>
  <c r="AA26" i="17"/>
  <c r="AG26" i="17" s="1"/>
  <c r="Y25" i="17"/>
  <c r="X26" i="17" s="1"/>
  <c r="X12" i="1"/>
  <c r="AA12" i="1"/>
  <c r="AG12" i="1" s="1"/>
  <c r="V64" i="26"/>
  <c r="V65" i="26" s="1"/>
  <c r="T64" i="26"/>
  <c r="T65" i="26" s="1"/>
  <c r="X64" i="26" s="1"/>
  <c r="AA14" i="2"/>
  <c r="AG14" i="2" s="1"/>
  <c r="AA22" i="22"/>
  <c r="AG22" i="22" s="1"/>
  <c r="Y21" i="22"/>
  <c r="X22" i="22" s="1"/>
  <c r="BC15" i="61"/>
  <c r="AP15" i="1"/>
  <c r="B15" i="1"/>
  <c r="C28" i="39"/>
  <c r="V78" i="27"/>
  <c r="T78" i="27"/>
  <c r="AV19" i="6"/>
  <c r="AA20" i="24"/>
  <c r="AG20" i="24" s="1"/>
  <c r="Y19" i="24"/>
  <c r="X20" i="24" s="1"/>
  <c r="F28" i="16"/>
  <c r="D29" i="16"/>
  <c r="I35" i="16" s="1"/>
  <c r="AA15" i="3"/>
  <c r="H22" i="9"/>
  <c r="I22" i="9" s="1"/>
  <c r="D22" i="9"/>
  <c r="F22" i="9" s="1"/>
  <c r="G22" i="9" s="1"/>
  <c r="AE89" i="28"/>
  <c r="AG89" i="28" s="1"/>
  <c r="AE93" i="28"/>
  <c r="R88" i="28"/>
  <c r="D89" i="28"/>
  <c r="H18" i="5"/>
  <c r="I18" i="5" s="1"/>
  <c r="D18" i="5"/>
  <c r="F18" i="5" s="1"/>
  <c r="G18" i="5" s="1"/>
  <c r="AV28" i="15"/>
  <c r="Y28" i="15"/>
  <c r="Y27" i="15" s="1"/>
  <c r="BG7" i="15"/>
  <c r="AA24" i="53"/>
  <c r="AG24" i="53" s="1"/>
  <c r="Y23" i="53"/>
  <c r="X24" i="53" s="1"/>
  <c r="X28" i="16"/>
  <c r="AA28" i="16"/>
  <c r="AG28" i="16" s="1"/>
  <c r="BB16" i="61"/>
  <c r="B16" i="2"/>
  <c r="AP16" i="2"/>
  <c r="C27" i="38"/>
  <c r="AG80" i="27"/>
  <c r="AA23" i="21"/>
  <c r="AG23" i="21" s="1"/>
  <c r="Y22" i="21"/>
  <c r="AV16" i="3"/>
  <c r="F89" i="29"/>
  <c r="J87" i="29"/>
  <c r="V88" i="29"/>
  <c r="T88" i="29"/>
  <c r="AV17" i="4"/>
  <c r="H23" i="10"/>
  <c r="I23" i="10" s="1"/>
  <c r="D23" i="10"/>
  <c r="F23" i="10" s="1"/>
  <c r="G23" i="10" s="1"/>
  <c r="AW21" i="61"/>
  <c r="AN24" i="68" s="1"/>
  <c r="B21" i="7"/>
  <c r="AP21" i="7"/>
  <c r="C22" i="33"/>
  <c r="T73" i="26"/>
  <c r="V73" i="26"/>
  <c r="X11" i="1"/>
  <c r="AV14" i="1"/>
  <c r="AG83" i="27"/>
  <c r="AA26" i="18"/>
  <c r="AG26" i="18" s="1"/>
  <c r="Y25" i="18"/>
  <c r="X26" i="18" s="1"/>
  <c r="D19" i="6"/>
  <c r="F19" i="6" s="1"/>
  <c r="G19" i="6" s="1"/>
  <c r="H19" i="6"/>
  <c r="I19" i="6" s="1"/>
  <c r="AF13" i="2"/>
  <c r="X65" i="27"/>
  <c r="AU23" i="61"/>
  <c r="AL26" i="68" s="1"/>
  <c r="AP23" i="9"/>
  <c r="C20" i="31"/>
  <c r="B23" i="9"/>
  <c r="C20" i="59"/>
  <c r="H26" i="13"/>
  <c r="I26" i="13" s="1"/>
  <c r="D26" i="13"/>
  <c r="F26" i="13" s="1"/>
  <c r="G26" i="13" s="1"/>
  <c r="AY19" i="61"/>
  <c r="AP22" i="68" s="1"/>
  <c r="B19" i="5"/>
  <c r="AP19" i="5"/>
  <c r="C24" i="35"/>
  <c r="AE79" i="26"/>
  <c r="AG79" i="26" s="1"/>
  <c r="AE83" i="26"/>
  <c r="R78" i="26"/>
  <c r="R74" i="26"/>
  <c r="D79" i="26"/>
  <c r="F79" i="26" s="1"/>
  <c r="H79" i="26" s="1"/>
  <c r="T83" i="28"/>
  <c r="V83" i="28"/>
  <c r="V85" i="28" s="1"/>
  <c r="AV24" i="11"/>
  <c r="H15" i="2"/>
  <c r="I15" i="2" s="1"/>
  <c r="D15" i="2"/>
  <c r="F15" i="2" s="1"/>
  <c r="G15" i="2" s="1"/>
  <c r="X75" i="28"/>
  <c r="H21" i="8"/>
  <c r="I21" i="8" s="1"/>
  <c r="D21" i="8"/>
  <c r="F21" i="8" s="1"/>
  <c r="G21" i="8" s="1"/>
  <c r="J77" i="27"/>
  <c r="G28" i="17"/>
  <c r="G29" i="17" s="1"/>
  <c r="I38" i="17" s="1"/>
  <c r="F29" i="17"/>
  <c r="I36" i="17" s="1"/>
  <c r="AE95" i="29"/>
  <c r="AI94" i="29" s="1"/>
  <c r="AG93" i="29"/>
  <c r="AG95" i="29" s="1"/>
  <c r="G13" i="1"/>
  <c r="AV23" i="10"/>
  <c r="X27" i="17"/>
  <c r="F78" i="26"/>
  <c r="AG78" i="26"/>
  <c r="J94" i="30"/>
  <c r="N94" i="30" s="1"/>
  <c r="AQ94" i="30" s="1"/>
  <c r="J95" i="30"/>
  <c r="N95" i="30" s="1"/>
  <c r="AQ95" i="30" s="1"/>
  <c r="AG11" i="1"/>
  <c r="AV25" i="12"/>
  <c r="H27" i="14"/>
  <c r="I27" i="14" s="1"/>
  <c r="D27" i="14"/>
  <c r="F27" i="14" s="1"/>
  <c r="G27" i="14" s="1"/>
  <c r="AR26" i="61"/>
  <c r="AI29" i="68" s="1"/>
  <c r="B26" i="12"/>
  <c r="AP26" i="12"/>
  <c r="C17" i="28"/>
  <c r="D94" i="28" s="1"/>
  <c r="X23" i="22"/>
  <c r="H14" i="1"/>
  <c r="I14" i="1" s="1"/>
  <c r="D14" i="1"/>
  <c r="F14" i="1" s="1"/>
  <c r="G14" i="1" s="1"/>
  <c r="V74" i="27"/>
  <c r="V75" i="27" s="1"/>
  <c r="T74" i="27"/>
  <c r="T75" i="27" s="1"/>
  <c r="X74" i="27" s="1"/>
  <c r="X13" i="2"/>
  <c r="X21" i="24"/>
  <c r="AQ27" i="61"/>
  <c r="AH30" i="68" s="1"/>
  <c r="C16" i="27"/>
  <c r="B27" i="13"/>
  <c r="AP27" i="13"/>
  <c r="X25" i="53"/>
  <c r="F84" i="28"/>
  <c r="J82" i="28"/>
  <c r="H74" i="27"/>
  <c r="H75" i="27" s="1"/>
  <c r="J75" i="27" s="1"/>
  <c r="F75" i="27"/>
  <c r="J74" i="27" s="1"/>
  <c r="AS25" i="61"/>
  <c r="AJ28" i="68" s="1"/>
  <c r="C18" i="29"/>
  <c r="B25" i="11"/>
  <c r="AP25" i="11"/>
  <c r="AV21" i="8"/>
  <c r="H78" i="27"/>
  <c r="H80" i="27" s="1"/>
  <c r="F80" i="27"/>
  <c r="H16" i="3"/>
  <c r="I16" i="3" s="1"/>
  <c r="D16" i="3"/>
  <c r="F16" i="3" s="1"/>
  <c r="G16" i="3" s="1"/>
  <c r="AZ18" i="61"/>
  <c r="AP18" i="4"/>
  <c r="C25" i="36"/>
  <c r="B18" i="4"/>
  <c r="AF14" i="3"/>
  <c r="AT24" i="61"/>
  <c r="AK27" i="68" s="1"/>
  <c r="C19" i="30"/>
  <c r="AP24" i="10"/>
  <c r="B24" i="10"/>
  <c r="H20" i="7"/>
  <c r="I20" i="7" s="1"/>
  <c r="D20" i="7"/>
  <c r="F20" i="7" s="1"/>
  <c r="G20" i="7" s="1"/>
  <c r="AA24" i="19"/>
  <c r="AG24" i="19" s="1"/>
  <c r="Y23" i="19"/>
  <c r="X24" i="19" s="1"/>
  <c r="F74" i="26"/>
  <c r="J72" i="26"/>
  <c r="CY113" i="61" l="1"/>
  <c r="AQ21" i="68"/>
  <c r="DB110" i="61"/>
  <c r="AT18" i="68"/>
  <c r="DA111" i="61"/>
  <c r="AS19" i="68"/>
  <c r="CZ112" i="61"/>
  <c r="AR20" i="68"/>
  <c r="EX143" i="61"/>
  <c r="GI143" i="61" s="1"/>
  <c r="O22" i="64" s="1"/>
  <c r="AO23" i="68"/>
  <c r="AE125" i="35"/>
  <c r="AI124" i="35" s="1"/>
  <c r="T103" i="31"/>
  <c r="BZ108" i="61"/>
  <c r="BV108" i="61"/>
  <c r="BR108" i="61"/>
  <c r="BN108" i="61"/>
  <c r="DT108" i="61" s="1"/>
  <c r="BJ108" i="61"/>
  <c r="BF108" i="61"/>
  <c r="CB108" i="61"/>
  <c r="BX108" i="61"/>
  <c r="ED108" i="61" s="1"/>
  <c r="BT108" i="61"/>
  <c r="BP108" i="61"/>
  <c r="BL108" i="61"/>
  <c r="BH108" i="61"/>
  <c r="DN108" i="61" s="1"/>
  <c r="CC108" i="61"/>
  <c r="BU108" i="61"/>
  <c r="BM108" i="61"/>
  <c r="CA108" i="61"/>
  <c r="EG108" i="61" s="1"/>
  <c r="BS108" i="61"/>
  <c r="BK108" i="61"/>
  <c r="BY108" i="61"/>
  <c r="BQ108" i="61"/>
  <c r="DW108" i="61" s="1"/>
  <c r="BI108" i="61"/>
  <c r="BW108" i="61"/>
  <c r="BO108" i="61"/>
  <c r="BG108" i="61"/>
  <c r="DM108" i="61" s="1"/>
  <c r="BE108" i="61"/>
  <c r="DF109" i="61"/>
  <c r="DG109" i="61"/>
  <c r="V93" i="29"/>
  <c r="AE124" i="59"/>
  <c r="V84" i="28"/>
  <c r="AR39" i="27"/>
  <c r="J117" i="59"/>
  <c r="T118" i="59"/>
  <c r="J104" i="32"/>
  <c r="AI105" i="32"/>
  <c r="J105" i="32"/>
  <c r="CX114" i="61"/>
  <c r="GH133" i="61"/>
  <c r="N12" i="64" s="1"/>
  <c r="AE130" i="36"/>
  <c r="AI129" i="36" s="1"/>
  <c r="AG115" i="33"/>
  <c r="AG105" i="31"/>
  <c r="AJ10" i="27"/>
  <c r="L79" i="32"/>
  <c r="N79" i="32" s="1"/>
  <c r="AQ79" i="32" s="1"/>
  <c r="AT79" i="32" s="1"/>
  <c r="D14" i="32" s="1"/>
  <c r="J112" i="33"/>
  <c r="AI115" i="34"/>
  <c r="K11" i="64"/>
  <c r="X85" i="29"/>
  <c r="GC133" i="61"/>
  <c r="GD133" i="61" s="1"/>
  <c r="EY132" i="61"/>
  <c r="ER133" i="61"/>
  <c r="ET132" i="61"/>
  <c r="ES132" i="61"/>
  <c r="H11" i="64" s="1"/>
  <c r="EG135" i="61"/>
  <c r="FS135" i="61"/>
  <c r="EK135" i="61"/>
  <c r="FW135" i="61"/>
  <c r="DS135" i="61"/>
  <c r="FE135" i="61"/>
  <c r="EN135" i="61"/>
  <c r="FZ135" i="61"/>
  <c r="DX135" i="61"/>
  <c r="FJ135" i="61"/>
  <c r="EH135" i="61"/>
  <c r="FT135" i="61"/>
  <c r="EC135" i="61"/>
  <c r="FO135" i="61"/>
  <c r="DU135" i="61"/>
  <c r="FG135" i="61"/>
  <c r="EM135" i="61"/>
  <c r="FY135" i="61"/>
  <c r="EJ135" i="61"/>
  <c r="FV135" i="61"/>
  <c r="DT135" i="61"/>
  <c r="FF135" i="61"/>
  <c r="ED135" i="61"/>
  <c r="FP135" i="61"/>
  <c r="DR134" i="61"/>
  <c r="EZ134" i="61" s="1"/>
  <c r="FD134" i="61"/>
  <c r="GE134" i="61" s="1"/>
  <c r="L13" i="64" s="1"/>
  <c r="EO135" i="61"/>
  <c r="GA135" i="61"/>
  <c r="EI135" i="61"/>
  <c r="FU135" i="61"/>
  <c r="EE135" i="61"/>
  <c r="FQ135" i="61"/>
  <c r="EF135" i="61"/>
  <c r="FR135" i="61"/>
  <c r="GB135" i="61"/>
  <c r="DZ135" i="61"/>
  <c r="FL135" i="61"/>
  <c r="DY135" i="61"/>
  <c r="FK135" i="61"/>
  <c r="EA135" i="61"/>
  <c r="FM135" i="61"/>
  <c r="DW135" i="61"/>
  <c r="FI135" i="61"/>
  <c r="EB135" i="61"/>
  <c r="FN135" i="61"/>
  <c r="EL135" i="61"/>
  <c r="FX135" i="61"/>
  <c r="DV135" i="61"/>
  <c r="FH135" i="61"/>
  <c r="AI120" i="35"/>
  <c r="DR108" i="61"/>
  <c r="DV108" i="61"/>
  <c r="DZ108" i="61"/>
  <c r="DL108" i="61"/>
  <c r="DP108" i="61"/>
  <c r="DX108" i="61"/>
  <c r="EB108" i="61"/>
  <c r="EF108" i="61"/>
  <c r="DO108" i="61"/>
  <c r="EI108" i="61"/>
  <c r="EP136" i="61" s="1"/>
  <c r="DS108" i="61"/>
  <c r="EA108" i="61"/>
  <c r="DU108" i="61"/>
  <c r="EH108" i="61"/>
  <c r="DY108" i="61"/>
  <c r="EC108" i="61"/>
  <c r="DQ108" i="61"/>
  <c r="EE108" i="61"/>
  <c r="EU135" i="61"/>
  <c r="EV135" i="61" s="1"/>
  <c r="DK107" i="61"/>
  <c r="AI85" i="28"/>
  <c r="AE105" i="31"/>
  <c r="AI104" i="31" s="1"/>
  <c r="AI119" i="59"/>
  <c r="AI120" i="59" s="1"/>
  <c r="AK120" i="59" s="1"/>
  <c r="AE119" i="59"/>
  <c r="DD110" i="61"/>
  <c r="X90" i="31"/>
  <c r="X115" i="35"/>
  <c r="AI150" i="37"/>
  <c r="AE115" i="33"/>
  <c r="AI114" i="33" s="1"/>
  <c r="A301" i="66"/>
  <c r="B301" i="66"/>
  <c r="J326" i="66"/>
  <c r="B326" i="65" s="1"/>
  <c r="I326" i="66"/>
  <c r="D326" i="65"/>
  <c r="A326" i="65" s="1"/>
  <c r="AI130" i="36"/>
  <c r="AI140" i="37"/>
  <c r="AI110" i="33"/>
  <c r="X102" i="59"/>
  <c r="L361" i="66"/>
  <c r="D337" i="66"/>
  <c r="I360" i="66"/>
  <c r="D360" i="65"/>
  <c r="A360" i="65" s="1"/>
  <c r="J360" i="66"/>
  <c r="B360" i="65" s="1"/>
  <c r="B349" i="66"/>
  <c r="A349" i="66"/>
  <c r="D350" i="66"/>
  <c r="L375" i="66"/>
  <c r="AI145" i="37"/>
  <c r="I346" i="66"/>
  <c r="J346" i="66"/>
  <c r="B346" i="65" s="1"/>
  <c r="D346" i="65"/>
  <c r="A346" i="65" s="1"/>
  <c r="B323" i="66"/>
  <c r="A323" i="66"/>
  <c r="B336" i="66"/>
  <c r="A336" i="66"/>
  <c r="J374" i="66"/>
  <c r="B374" i="65" s="1"/>
  <c r="I374" i="66"/>
  <c r="D374" i="65"/>
  <c r="A374" i="65" s="1"/>
  <c r="CS119" i="61"/>
  <c r="D437" i="66"/>
  <c r="L459" i="66"/>
  <c r="R89" i="29"/>
  <c r="D103" i="29"/>
  <c r="F103" i="29" s="1"/>
  <c r="R102" i="29"/>
  <c r="D107" i="29"/>
  <c r="F107" i="29" s="1"/>
  <c r="CR120" i="61"/>
  <c r="D456" i="66"/>
  <c r="L479" i="66"/>
  <c r="R84" i="27"/>
  <c r="T84" i="27" s="1"/>
  <c r="D98" i="27"/>
  <c r="F98" i="27" s="1"/>
  <c r="H98" i="27" s="1"/>
  <c r="R97" i="27"/>
  <c r="D102" i="27"/>
  <c r="F102" i="27" s="1"/>
  <c r="D475" i="66"/>
  <c r="L499" i="66"/>
  <c r="R119" i="59"/>
  <c r="D130" i="59"/>
  <c r="R129" i="59"/>
  <c r="D135" i="59"/>
  <c r="D125" i="59"/>
  <c r="AG130" i="59"/>
  <c r="AG125" i="59"/>
  <c r="R124" i="59"/>
  <c r="CT118" i="61"/>
  <c r="D418" i="66"/>
  <c r="L439" i="66"/>
  <c r="CW115" i="61"/>
  <c r="D361" i="66"/>
  <c r="L379" i="66"/>
  <c r="H99" i="31"/>
  <c r="H100" i="31" s="1"/>
  <c r="J100" i="31" s="1"/>
  <c r="F100" i="31"/>
  <c r="J99" i="31" s="1"/>
  <c r="X110" i="34"/>
  <c r="AI125" i="35"/>
  <c r="A379" i="66"/>
  <c r="B379" i="66"/>
  <c r="T143" i="36"/>
  <c r="V143" i="36"/>
  <c r="V128" i="36"/>
  <c r="T128" i="36"/>
  <c r="F134" i="36"/>
  <c r="H134" i="36" s="1"/>
  <c r="J132" i="36"/>
  <c r="J127" i="36"/>
  <c r="F129" i="36"/>
  <c r="H129" i="36" s="1"/>
  <c r="F120" i="59"/>
  <c r="D458" i="65"/>
  <c r="A458" i="65" s="1"/>
  <c r="I458" i="66"/>
  <c r="J458" i="66"/>
  <c r="B458" i="65" s="1"/>
  <c r="F109" i="32"/>
  <c r="J107" i="32"/>
  <c r="F113" i="32"/>
  <c r="B493" i="66"/>
  <c r="A493" i="66"/>
  <c r="AI135" i="37"/>
  <c r="T118" i="34"/>
  <c r="V118" i="34"/>
  <c r="V99" i="31"/>
  <c r="V100" i="31" s="1"/>
  <c r="T99" i="31"/>
  <c r="T100" i="31" s="1"/>
  <c r="X99" i="31" s="1"/>
  <c r="D418" i="65"/>
  <c r="A418" i="65" s="1"/>
  <c r="I418" i="66"/>
  <c r="J418" i="66"/>
  <c r="B418" i="65" s="1"/>
  <c r="B341" i="66"/>
  <c r="A341" i="66"/>
  <c r="AE120" i="34"/>
  <c r="AI119" i="34" s="1"/>
  <c r="H117" i="33"/>
  <c r="D438" i="65"/>
  <c r="A438" i="65" s="1"/>
  <c r="J438" i="66"/>
  <c r="B438" i="65" s="1"/>
  <c r="I438" i="66"/>
  <c r="T123" i="59"/>
  <c r="V123" i="59"/>
  <c r="V109" i="33"/>
  <c r="V110" i="33" s="1"/>
  <c r="T109" i="33"/>
  <c r="T110" i="33" s="1"/>
  <c r="X109" i="33" s="1"/>
  <c r="V89" i="30"/>
  <c r="V90" i="30" s="1"/>
  <c r="T89" i="30"/>
  <c r="T90" i="30" s="1"/>
  <c r="X89" i="30" s="1"/>
  <c r="AG128" i="35"/>
  <c r="T87" i="27"/>
  <c r="V87" i="27"/>
  <c r="D494" i="66"/>
  <c r="L519" i="66"/>
  <c r="CV116" i="61"/>
  <c r="D380" i="66"/>
  <c r="L399" i="66"/>
  <c r="R109" i="32"/>
  <c r="D118" i="32"/>
  <c r="F118" i="32" s="1"/>
  <c r="H118" i="32" s="1"/>
  <c r="R113" i="32"/>
  <c r="D114" i="32"/>
  <c r="F114" i="32" s="1"/>
  <c r="H114" i="32" s="1"/>
  <c r="AE114" i="32"/>
  <c r="AG114" i="32" s="1"/>
  <c r="AE118" i="32"/>
  <c r="R87" i="26"/>
  <c r="D97" i="26"/>
  <c r="F97" i="26" s="1"/>
  <c r="J114" i="34"/>
  <c r="J115" i="34"/>
  <c r="J149" i="37"/>
  <c r="N149" i="37" s="1"/>
  <c r="AQ149" i="37" s="1"/>
  <c r="J150" i="37"/>
  <c r="N150" i="37" s="1"/>
  <c r="AQ150" i="37" s="1"/>
  <c r="F149" i="36"/>
  <c r="H149" i="36" s="1"/>
  <c r="J147" i="36"/>
  <c r="AG143" i="36"/>
  <c r="AG145" i="36" s="1"/>
  <c r="AE145" i="36"/>
  <c r="AI144" i="36" s="1"/>
  <c r="T138" i="36"/>
  <c r="V138" i="36"/>
  <c r="V97" i="28"/>
  <c r="T97" i="28"/>
  <c r="J124" i="36"/>
  <c r="N124" i="36" s="1"/>
  <c r="AQ124" i="36" s="1"/>
  <c r="J125" i="36"/>
  <c r="N125" i="36" s="1"/>
  <c r="AQ125" i="36" s="1"/>
  <c r="H120" i="59"/>
  <c r="B436" i="66"/>
  <c r="A436" i="66"/>
  <c r="T108" i="32"/>
  <c r="V108" i="32"/>
  <c r="T112" i="32"/>
  <c r="V112" i="32"/>
  <c r="H119" i="35"/>
  <c r="H120" i="35" s="1"/>
  <c r="J120" i="35" s="1"/>
  <c r="F120" i="35"/>
  <c r="J119" i="35" s="1"/>
  <c r="V114" i="34"/>
  <c r="V115" i="34" s="1"/>
  <c r="T114" i="34"/>
  <c r="T115" i="34" s="1"/>
  <c r="X114" i="34" s="1"/>
  <c r="B398" i="66"/>
  <c r="A398" i="66"/>
  <c r="J140" i="37"/>
  <c r="N140" i="37" s="1"/>
  <c r="AQ140" i="37" s="1"/>
  <c r="J139" i="37"/>
  <c r="N139" i="37" s="1"/>
  <c r="AQ139" i="37" s="1"/>
  <c r="D378" i="65"/>
  <c r="A378" i="65" s="1"/>
  <c r="I378" i="66"/>
  <c r="J378" i="66"/>
  <c r="B378" i="65" s="1"/>
  <c r="B417" i="66"/>
  <c r="A417" i="66"/>
  <c r="V113" i="33"/>
  <c r="T113" i="33"/>
  <c r="H107" i="30"/>
  <c r="V123" i="35"/>
  <c r="T123" i="35"/>
  <c r="D478" i="65"/>
  <c r="A478" i="65" s="1"/>
  <c r="I478" i="66"/>
  <c r="J478" i="66"/>
  <c r="B478" i="65" s="1"/>
  <c r="R99" i="30"/>
  <c r="R107" i="30"/>
  <c r="D108" i="30"/>
  <c r="F108" i="30" s="1"/>
  <c r="H108" i="30" s="1"/>
  <c r="D112" i="30"/>
  <c r="F112" i="30" s="1"/>
  <c r="R148" i="35"/>
  <c r="AE133" i="35"/>
  <c r="AE139" i="35"/>
  <c r="AG139" i="35" s="1"/>
  <c r="R128" i="35"/>
  <c r="D144" i="35"/>
  <c r="AE134" i="35"/>
  <c r="AG134" i="35" s="1"/>
  <c r="AE138" i="35"/>
  <c r="AE144" i="35"/>
  <c r="AG144" i="35" s="1"/>
  <c r="R133" i="35"/>
  <c r="D149" i="35"/>
  <c r="R138" i="35"/>
  <c r="AE143" i="35"/>
  <c r="AE149" i="35"/>
  <c r="AG149" i="35" s="1"/>
  <c r="D134" i="35"/>
  <c r="D139" i="35"/>
  <c r="AE129" i="35"/>
  <c r="AG129" i="35" s="1"/>
  <c r="AE148" i="35"/>
  <c r="D129" i="35"/>
  <c r="R143" i="35"/>
  <c r="D113" i="31"/>
  <c r="R104" i="31"/>
  <c r="D117" i="31"/>
  <c r="R112" i="31"/>
  <c r="AE113" i="31"/>
  <c r="D109" i="31"/>
  <c r="AE109" i="31"/>
  <c r="R108" i="31"/>
  <c r="R114" i="33"/>
  <c r="AE119" i="33"/>
  <c r="AG119" i="33" s="1"/>
  <c r="R118" i="33"/>
  <c r="D119" i="33"/>
  <c r="AE123" i="33"/>
  <c r="D124" i="34"/>
  <c r="AE128" i="34"/>
  <c r="AE124" i="34"/>
  <c r="AG124" i="34" s="1"/>
  <c r="R123" i="34"/>
  <c r="H113" i="59"/>
  <c r="H114" i="59" s="1"/>
  <c r="J114" i="59" s="1"/>
  <c r="F114" i="59"/>
  <c r="J113" i="59" s="1"/>
  <c r="AE108" i="30"/>
  <c r="AG108" i="30" s="1"/>
  <c r="R103" i="30"/>
  <c r="V103" i="30" s="1"/>
  <c r="D104" i="30"/>
  <c r="F104" i="30" s="1"/>
  <c r="H104" i="30" s="1"/>
  <c r="X100" i="32"/>
  <c r="F139" i="36"/>
  <c r="H139" i="36" s="1"/>
  <c r="J137" i="36"/>
  <c r="AE140" i="36"/>
  <c r="AI139" i="36" s="1"/>
  <c r="AG138" i="36"/>
  <c r="AG140" i="36" s="1"/>
  <c r="V148" i="36"/>
  <c r="T148" i="36"/>
  <c r="H102" i="28"/>
  <c r="J135" i="37"/>
  <c r="N135" i="37" s="1"/>
  <c r="AQ135" i="37" s="1"/>
  <c r="J134" i="37"/>
  <c r="N134" i="37" s="1"/>
  <c r="AQ134" i="37" s="1"/>
  <c r="AG113" i="32"/>
  <c r="V104" i="32"/>
  <c r="V105" i="32" s="1"/>
  <c r="T104" i="32"/>
  <c r="T105" i="32" s="1"/>
  <c r="X104" i="32" s="1"/>
  <c r="J145" i="37"/>
  <c r="N145" i="37" s="1"/>
  <c r="AQ145" i="37" s="1"/>
  <c r="J144" i="37"/>
  <c r="N144" i="37" s="1"/>
  <c r="AQ144" i="37" s="1"/>
  <c r="F105" i="31"/>
  <c r="J104" i="31" s="1"/>
  <c r="AG123" i="34"/>
  <c r="H112" i="31"/>
  <c r="D498" i="65"/>
  <c r="A498" i="65" s="1"/>
  <c r="J498" i="66"/>
  <c r="B498" i="65" s="1"/>
  <c r="I498" i="66"/>
  <c r="H109" i="33"/>
  <c r="H110" i="33" s="1"/>
  <c r="J110" i="33" s="1"/>
  <c r="F110" i="33"/>
  <c r="J109" i="33" s="1"/>
  <c r="B360" i="66"/>
  <c r="A360" i="66"/>
  <c r="V113" i="59"/>
  <c r="V114" i="59" s="1"/>
  <c r="T113" i="59"/>
  <c r="T114" i="59" s="1"/>
  <c r="X113" i="59" s="1"/>
  <c r="H103" i="30"/>
  <c r="A455" i="66"/>
  <c r="B455" i="66"/>
  <c r="CU117" i="61"/>
  <c r="D399" i="66"/>
  <c r="L419" i="66"/>
  <c r="AE104" i="30"/>
  <c r="AG104" i="30" s="1"/>
  <c r="D398" i="65"/>
  <c r="A398" i="65" s="1"/>
  <c r="J398" i="66"/>
  <c r="B398" i="65" s="1"/>
  <c r="I398" i="66"/>
  <c r="V133" i="36"/>
  <c r="T133" i="36"/>
  <c r="F144" i="36"/>
  <c r="H144" i="36" s="1"/>
  <c r="J142" i="36"/>
  <c r="AG148" i="36"/>
  <c r="AG150" i="36" s="1"/>
  <c r="AE150" i="36"/>
  <c r="AI149" i="36" s="1"/>
  <c r="AE135" i="36"/>
  <c r="AI134" i="36" s="1"/>
  <c r="AG133" i="36"/>
  <c r="AG135" i="36" s="1"/>
  <c r="J129" i="37"/>
  <c r="N129" i="37" s="1"/>
  <c r="AQ129" i="37" s="1"/>
  <c r="J130" i="37"/>
  <c r="N130" i="37" s="1"/>
  <c r="AQ130" i="37" s="1"/>
  <c r="X105" i="33"/>
  <c r="AG109" i="32"/>
  <c r="AG110" i="32" s="1"/>
  <c r="AE110" i="32"/>
  <c r="AI109" i="32" s="1"/>
  <c r="F117" i="32"/>
  <c r="D518" i="65"/>
  <c r="A518" i="65" s="1"/>
  <c r="I518" i="66"/>
  <c r="J518" i="66"/>
  <c r="B518" i="65" s="1"/>
  <c r="H113" i="33"/>
  <c r="H115" i="33" s="1"/>
  <c r="F115" i="33"/>
  <c r="H105" i="31"/>
  <c r="J105" i="31" s="1"/>
  <c r="F119" i="34"/>
  <c r="J117" i="34"/>
  <c r="V107" i="31"/>
  <c r="T107" i="31"/>
  <c r="B474" i="66"/>
  <c r="A474" i="66"/>
  <c r="D358" i="65"/>
  <c r="A358" i="65" s="1"/>
  <c r="J358" i="66"/>
  <c r="B358" i="65" s="1"/>
  <c r="I358" i="66"/>
  <c r="AG120" i="34"/>
  <c r="AI120" i="34" s="1"/>
  <c r="H129" i="59"/>
  <c r="AG118" i="33"/>
  <c r="T102" i="30"/>
  <c r="V102" i="30"/>
  <c r="F124" i="35"/>
  <c r="H124" i="35" s="1"/>
  <c r="J122" i="35"/>
  <c r="H97" i="27"/>
  <c r="AL11" i="27"/>
  <c r="T85" i="28"/>
  <c r="X84" i="28" s="1"/>
  <c r="X85" i="28" s="1"/>
  <c r="CP122" i="61"/>
  <c r="A336" i="65"/>
  <c r="A323" i="65"/>
  <c r="A349" i="65"/>
  <c r="CQ121" i="61"/>
  <c r="Z5" i="27"/>
  <c r="AL5" i="27"/>
  <c r="AL6" i="27" s="1"/>
  <c r="AN6" i="27" s="1"/>
  <c r="AJ6" i="27"/>
  <c r="AN5" i="27" s="1"/>
  <c r="AJ11" i="27"/>
  <c r="AN10" i="27" s="1"/>
  <c r="Y14" i="1"/>
  <c r="X13" i="1" s="1"/>
  <c r="Z70" i="29"/>
  <c r="AB70" i="29" s="1"/>
  <c r="Z69" i="29"/>
  <c r="AB69" i="29" s="1"/>
  <c r="X19" i="25"/>
  <c r="AA18" i="25"/>
  <c r="AG18" i="25" s="1"/>
  <c r="Y17" i="25"/>
  <c r="L70" i="28"/>
  <c r="N70" i="28" s="1"/>
  <c r="AQ70" i="28" s="1"/>
  <c r="AI75" i="26"/>
  <c r="J77" i="26"/>
  <c r="J92" i="29"/>
  <c r="J94" i="29" s="1"/>
  <c r="N94" i="29" s="1"/>
  <c r="AQ94" i="29" s="1"/>
  <c r="AK75" i="32"/>
  <c r="AM75" i="32" s="1"/>
  <c r="AS75" i="32" s="1"/>
  <c r="L80" i="32"/>
  <c r="N80" i="32" s="1"/>
  <c r="AQ80" i="32" s="1"/>
  <c r="Z75" i="32"/>
  <c r="AB75" i="32" s="1"/>
  <c r="Z74" i="32"/>
  <c r="AB74" i="32" s="1"/>
  <c r="AR80" i="36"/>
  <c r="AR79" i="36"/>
  <c r="AI80" i="27"/>
  <c r="X80" i="28"/>
  <c r="X70" i="26"/>
  <c r="H84" i="28"/>
  <c r="H85" i="28" s="1"/>
  <c r="J85" i="28" s="1"/>
  <c r="F85" i="28"/>
  <c r="J84" i="28" s="1"/>
  <c r="AE98" i="28"/>
  <c r="AG98" i="28" s="1"/>
  <c r="T79" i="27"/>
  <c r="T80" i="27" s="1"/>
  <c r="X79" i="27" s="1"/>
  <c r="V79" i="27"/>
  <c r="V80" i="27" s="1"/>
  <c r="AI100" i="31"/>
  <c r="AG99" i="30"/>
  <c r="AG100" i="30" s="1"/>
  <c r="AE100" i="30"/>
  <c r="AI99" i="30" s="1"/>
  <c r="V84" i="27"/>
  <c r="H89" i="29"/>
  <c r="H90" i="29" s="1"/>
  <c r="J90" i="29" s="1"/>
  <c r="F90" i="29"/>
  <c r="J89" i="29" s="1"/>
  <c r="R79" i="26"/>
  <c r="D88" i="26"/>
  <c r="F88" i="26" s="1"/>
  <c r="H88" i="26" s="1"/>
  <c r="Z69" i="30"/>
  <c r="AB69" i="30" s="1"/>
  <c r="H87" i="26"/>
  <c r="R93" i="28"/>
  <c r="T93" i="28" s="1"/>
  <c r="AE94" i="28"/>
  <c r="AG94" i="28" s="1"/>
  <c r="AK84" i="32"/>
  <c r="AM84" i="32" s="1"/>
  <c r="AS84" i="32" s="1"/>
  <c r="Z84" i="32"/>
  <c r="AB84" i="32" s="1"/>
  <c r="L89" i="32"/>
  <c r="N89" i="32" s="1"/>
  <c r="AQ89" i="32" s="1"/>
  <c r="AI105" i="31"/>
  <c r="AK114" i="59"/>
  <c r="F99" i="30"/>
  <c r="J97" i="30"/>
  <c r="D99" i="29"/>
  <c r="AE99" i="29"/>
  <c r="R98" i="29"/>
  <c r="AE103" i="29"/>
  <c r="V82" i="26"/>
  <c r="T82" i="26"/>
  <c r="V98" i="30"/>
  <c r="T98" i="30"/>
  <c r="AG103" i="30"/>
  <c r="AE85" i="27"/>
  <c r="AI84" i="27" s="1"/>
  <c r="AI90" i="29"/>
  <c r="AG85" i="27"/>
  <c r="X65" i="26"/>
  <c r="AE80" i="26"/>
  <c r="AI79" i="26" s="1"/>
  <c r="AG80" i="26"/>
  <c r="X75" i="27"/>
  <c r="H74" i="26"/>
  <c r="H75" i="26" s="1"/>
  <c r="J75" i="26" s="1"/>
  <c r="F75" i="26"/>
  <c r="J74" i="26" s="1"/>
  <c r="AZ19" i="61"/>
  <c r="AP19" i="4"/>
  <c r="C25" i="35"/>
  <c r="B19" i="4"/>
  <c r="AS26" i="61"/>
  <c r="AJ29" i="68" s="1"/>
  <c r="C18" i="28"/>
  <c r="B26" i="11"/>
  <c r="AP26" i="11"/>
  <c r="AE89" i="27"/>
  <c r="AG89" i="27" s="1"/>
  <c r="AE93" i="27"/>
  <c r="D89" i="27"/>
  <c r="R88" i="27"/>
  <c r="AV24" i="10"/>
  <c r="H18" i="4"/>
  <c r="I18" i="4" s="1"/>
  <c r="D18" i="4"/>
  <c r="F18" i="4" s="1"/>
  <c r="G18" i="4" s="1"/>
  <c r="AV25" i="11"/>
  <c r="AP28" i="13"/>
  <c r="B28" i="13"/>
  <c r="Y32" i="61"/>
  <c r="C16" i="26"/>
  <c r="AV26" i="12"/>
  <c r="V74" i="26"/>
  <c r="V75" i="26" s="1"/>
  <c r="T74" i="26"/>
  <c r="T75" i="26" s="1"/>
  <c r="X74" i="26" s="1"/>
  <c r="H19" i="5"/>
  <c r="I19" i="5" s="1"/>
  <c r="D19" i="5"/>
  <c r="F19" i="5" s="1"/>
  <c r="G19" i="5" s="1"/>
  <c r="AV23" i="9"/>
  <c r="AA25" i="18"/>
  <c r="AG25" i="18" s="1"/>
  <c r="Y24" i="18"/>
  <c r="AW22" i="61"/>
  <c r="AN25" i="68" s="1"/>
  <c r="C22" i="32"/>
  <c r="AP22" i="7"/>
  <c r="B22" i="7"/>
  <c r="AA27" i="15"/>
  <c r="AG27" i="15" s="1"/>
  <c r="Y26" i="15"/>
  <c r="X27" i="15" s="1"/>
  <c r="H16" i="2"/>
  <c r="I16" i="2" s="1"/>
  <c r="D16" i="2"/>
  <c r="F16" i="2" s="1"/>
  <c r="G16" i="2" s="1"/>
  <c r="AA23" i="53"/>
  <c r="AG23" i="53" s="1"/>
  <c r="Y22" i="53"/>
  <c r="X23" i="53" s="1"/>
  <c r="X28" i="15"/>
  <c r="AA28" i="15"/>
  <c r="AG28" i="15" s="1"/>
  <c r="F94" i="28"/>
  <c r="H94" i="28" s="1"/>
  <c r="J92" i="28"/>
  <c r="F89" i="28"/>
  <c r="J87" i="28"/>
  <c r="AG93" i="28"/>
  <c r="BC16" i="61"/>
  <c r="B16" i="1"/>
  <c r="AP16" i="1"/>
  <c r="C28" i="38"/>
  <c r="AA25" i="17"/>
  <c r="AG25" i="17" s="1"/>
  <c r="Y24" i="17"/>
  <c r="X25" i="17" s="1"/>
  <c r="BA18" i="61"/>
  <c r="B18" i="3"/>
  <c r="C26" i="36"/>
  <c r="AP18" i="3"/>
  <c r="AV23" i="61"/>
  <c r="AM26" i="68" s="1"/>
  <c r="B23" i="8"/>
  <c r="AP23" i="8"/>
  <c r="C21" i="31"/>
  <c r="C21" i="59"/>
  <c r="AA20" i="23"/>
  <c r="AG20" i="23" s="1"/>
  <c r="Y19" i="23"/>
  <c r="X20" i="23" s="1"/>
  <c r="F28" i="15"/>
  <c r="D29" i="15"/>
  <c r="I35" i="15" s="1"/>
  <c r="AV20" i="6"/>
  <c r="AA26" i="16"/>
  <c r="AG26" i="16" s="1"/>
  <c r="Y25" i="16"/>
  <c r="X26" i="16" s="1"/>
  <c r="AE84" i="26"/>
  <c r="AG84" i="26" s="1"/>
  <c r="R83" i="26"/>
  <c r="AE88" i="26"/>
  <c r="D84" i="26"/>
  <c r="AA23" i="19"/>
  <c r="AG23" i="19" s="1"/>
  <c r="Y22" i="19"/>
  <c r="X23" i="19" s="1"/>
  <c r="H25" i="11"/>
  <c r="I25" i="11" s="1"/>
  <c r="D25" i="11"/>
  <c r="F25" i="11" s="1"/>
  <c r="G25" i="11" s="1"/>
  <c r="AV27" i="13"/>
  <c r="H26" i="12"/>
  <c r="I26" i="12" s="1"/>
  <c r="D26" i="12"/>
  <c r="F26" i="12" s="1"/>
  <c r="G26" i="12" s="1"/>
  <c r="AF15" i="4"/>
  <c r="AI95" i="29"/>
  <c r="V78" i="26"/>
  <c r="T78" i="26"/>
  <c r="AY20" i="61"/>
  <c r="C24" i="34"/>
  <c r="AP20" i="5"/>
  <c r="B20" i="5"/>
  <c r="AU24" i="61"/>
  <c r="AL27" i="68" s="1"/>
  <c r="C20" i="30"/>
  <c r="AP24" i="9"/>
  <c r="B24" i="9"/>
  <c r="AA22" i="21"/>
  <c r="AG22" i="21" s="1"/>
  <c r="Y21" i="21"/>
  <c r="X22" i="21" s="1"/>
  <c r="BB17" i="61"/>
  <c r="AP17" i="2"/>
  <c r="C27" i="37"/>
  <c r="B17" i="2"/>
  <c r="AG15" i="3"/>
  <c r="G28" i="16"/>
  <c r="G29" i="16" s="1"/>
  <c r="I38" i="16" s="1"/>
  <c r="F29" i="16"/>
  <c r="I36" i="16" s="1"/>
  <c r="H17" i="3"/>
  <c r="I17" i="3" s="1"/>
  <c r="D17" i="3"/>
  <c r="F17" i="3" s="1"/>
  <c r="G17" i="3" s="1"/>
  <c r="AV22" i="8"/>
  <c r="AX21" i="61"/>
  <c r="AP21" i="6"/>
  <c r="B21" i="6"/>
  <c r="C23" i="33"/>
  <c r="H28" i="14"/>
  <c r="I28" i="14" s="1"/>
  <c r="I29" i="14" s="1"/>
  <c r="I39" i="14" s="1"/>
  <c r="D28" i="14"/>
  <c r="S7" i="14"/>
  <c r="V83" i="27"/>
  <c r="T83" i="27"/>
  <c r="AT25" i="61"/>
  <c r="AK28" i="68" s="1"/>
  <c r="B25" i="10"/>
  <c r="AP25" i="10"/>
  <c r="C19" i="29"/>
  <c r="AE104" i="29" s="1"/>
  <c r="AG104" i="29" s="1"/>
  <c r="AV18" i="4"/>
  <c r="H27" i="13"/>
  <c r="I27" i="13" s="1"/>
  <c r="D27" i="13"/>
  <c r="F27" i="13" s="1"/>
  <c r="G27" i="13" s="1"/>
  <c r="AR27" i="61"/>
  <c r="AI30" i="68" s="1"/>
  <c r="B27" i="12"/>
  <c r="C17" i="27"/>
  <c r="AE94" i="27" s="1"/>
  <c r="AG94" i="27" s="1"/>
  <c r="AP27" i="12"/>
  <c r="J80" i="27"/>
  <c r="J79" i="27"/>
  <c r="AG83" i="26"/>
  <c r="H23" i="9"/>
  <c r="I23" i="9" s="1"/>
  <c r="D23" i="9"/>
  <c r="F23" i="9" s="1"/>
  <c r="G23" i="9" s="1"/>
  <c r="AV21" i="7"/>
  <c r="T88" i="28"/>
  <c r="V88" i="28"/>
  <c r="AA19" i="24"/>
  <c r="AG19" i="24" s="1"/>
  <c r="Y18" i="24"/>
  <c r="X19" i="24" s="1"/>
  <c r="H15" i="1"/>
  <c r="I15" i="1" s="1"/>
  <c r="D15" i="1"/>
  <c r="F15" i="1" s="1"/>
  <c r="G15" i="1" s="1"/>
  <c r="AA21" i="22"/>
  <c r="AG21" i="22" s="1"/>
  <c r="Y20" i="22"/>
  <c r="X21" i="22" s="1"/>
  <c r="AF14" i="2"/>
  <c r="AV17" i="3"/>
  <c r="AG90" i="28"/>
  <c r="H20" i="6"/>
  <c r="I20" i="6" s="1"/>
  <c r="D20" i="6"/>
  <c r="F20" i="6" s="1"/>
  <c r="G20" i="6" s="1"/>
  <c r="F84" i="27"/>
  <c r="J82" i="27"/>
  <c r="H24" i="10"/>
  <c r="I24" i="10" s="1"/>
  <c r="D24" i="10"/>
  <c r="F24" i="10" s="1"/>
  <c r="G24" i="10" s="1"/>
  <c r="AF11" i="1"/>
  <c r="AF12" i="1" s="1"/>
  <c r="AF13" i="1" s="1"/>
  <c r="H78" i="26"/>
  <c r="H80" i="26" s="1"/>
  <c r="F80" i="26"/>
  <c r="AV19" i="5"/>
  <c r="D21" i="7"/>
  <c r="F21" i="7" s="1"/>
  <c r="G21" i="7" s="1"/>
  <c r="H21" i="7"/>
  <c r="I21" i="7" s="1"/>
  <c r="X23" i="21"/>
  <c r="AV16" i="2"/>
  <c r="AV15" i="1"/>
  <c r="H22" i="8"/>
  <c r="I22" i="8" s="1"/>
  <c r="D22" i="8"/>
  <c r="F22" i="8" s="1"/>
  <c r="G22" i="8" s="1"/>
  <c r="AA22" i="20"/>
  <c r="AG22" i="20" s="1"/>
  <c r="Y21" i="20"/>
  <c r="X22" i="20" s="1"/>
  <c r="Y15" i="2"/>
  <c r="AE90" i="28"/>
  <c r="AI89" i="28" s="1"/>
  <c r="AV28" i="14"/>
  <c r="Y28" i="14"/>
  <c r="BG7" i="14"/>
  <c r="AG88" i="27"/>
  <c r="DA112" i="61" l="1"/>
  <c r="AS20" i="68"/>
  <c r="CY114" i="61"/>
  <c r="AQ22" i="68"/>
  <c r="CZ113" i="61"/>
  <c r="AR21" i="68"/>
  <c r="EX144" i="61"/>
  <c r="GI144" i="61" s="1"/>
  <c r="O23" i="64" s="1"/>
  <c r="AO24" i="68"/>
  <c r="CX115" i="61"/>
  <c r="AP23" i="68"/>
  <c r="DB111" i="61"/>
  <c r="AT19" i="68"/>
  <c r="J114" i="33"/>
  <c r="J120" i="59"/>
  <c r="J119" i="59"/>
  <c r="J115" i="33"/>
  <c r="AI115" i="33"/>
  <c r="CA109" i="61"/>
  <c r="BZ109" i="61"/>
  <c r="BV109" i="61"/>
  <c r="BR109" i="61"/>
  <c r="BN109" i="61"/>
  <c r="BJ109" i="61"/>
  <c r="BF109" i="61"/>
  <c r="CC109" i="61"/>
  <c r="BX109" i="61"/>
  <c r="BT109" i="61"/>
  <c r="BP109" i="61"/>
  <c r="BL109" i="61"/>
  <c r="BH109" i="61"/>
  <c r="BG109" i="61"/>
  <c r="BU109" i="61"/>
  <c r="BM109" i="61"/>
  <c r="CB109" i="61"/>
  <c r="BK109" i="61"/>
  <c r="BS109" i="61"/>
  <c r="BY109" i="61"/>
  <c r="BQ109" i="61"/>
  <c r="BI109" i="61"/>
  <c r="BW109" i="61"/>
  <c r="BO109" i="61"/>
  <c r="BE109" i="61"/>
  <c r="DG110" i="61"/>
  <c r="DF110" i="61"/>
  <c r="J95" i="29"/>
  <c r="N95" i="29" s="1"/>
  <c r="AQ95" i="29" s="1"/>
  <c r="J80" i="26"/>
  <c r="X18" i="25"/>
  <c r="Y16" i="25"/>
  <c r="GH134" i="61"/>
  <c r="N13" i="64" s="1"/>
  <c r="AG120" i="33"/>
  <c r="AG125" i="34"/>
  <c r="AG115" i="32"/>
  <c r="Y15" i="1"/>
  <c r="AA14" i="1"/>
  <c r="AG14" i="1" s="1"/>
  <c r="AG105" i="30"/>
  <c r="AE95" i="28"/>
  <c r="AI94" i="28" s="1"/>
  <c r="T103" i="30"/>
  <c r="V85" i="27"/>
  <c r="K12" i="64"/>
  <c r="GC134" i="61"/>
  <c r="GD134" i="61" s="1"/>
  <c r="ES133" i="61"/>
  <c r="H12" i="64" s="1"/>
  <c r="EY133" i="61"/>
  <c r="ER134" i="61"/>
  <c r="ET133" i="61"/>
  <c r="EL136" i="61"/>
  <c r="FX136" i="61"/>
  <c r="EF136" i="61"/>
  <c r="FR136" i="61"/>
  <c r="EH136" i="61"/>
  <c r="FT136" i="61"/>
  <c r="EK136" i="61"/>
  <c r="FW136" i="61"/>
  <c r="EI136" i="61"/>
  <c r="FU136" i="61"/>
  <c r="DS136" i="61"/>
  <c r="FE136" i="61"/>
  <c r="DU136" i="61"/>
  <c r="FG136" i="61"/>
  <c r="DR135" i="61"/>
  <c r="EZ135" i="61" s="1"/>
  <c r="FD135" i="61"/>
  <c r="GE135" i="61" s="1"/>
  <c r="L14" i="64" s="1"/>
  <c r="DX136" i="61"/>
  <c r="FJ136" i="61"/>
  <c r="EO136" i="61"/>
  <c r="GA136" i="61"/>
  <c r="DZ136" i="61"/>
  <c r="FL136" i="61"/>
  <c r="ED136" i="61"/>
  <c r="FP136" i="61"/>
  <c r="EE136" i="61"/>
  <c r="FQ136" i="61"/>
  <c r="EG136" i="61"/>
  <c r="FS136" i="61"/>
  <c r="EJ136" i="61"/>
  <c r="FV136" i="61"/>
  <c r="EB136" i="61"/>
  <c r="FN136" i="61"/>
  <c r="DV136" i="61"/>
  <c r="FH136" i="61"/>
  <c r="EA136" i="61"/>
  <c r="FM136" i="61"/>
  <c r="EC136" i="61"/>
  <c r="FO136" i="61"/>
  <c r="DT136" i="61"/>
  <c r="FF136" i="61"/>
  <c r="EN136" i="61"/>
  <c r="FZ136" i="61"/>
  <c r="GB136" i="61"/>
  <c r="EM136" i="61"/>
  <c r="FY136" i="61"/>
  <c r="DW136" i="61"/>
  <c r="FI136" i="61"/>
  <c r="DY136" i="61"/>
  <c r="FK136" i="61"/>
  <c r="AE120" i="33"/>
  <c r="AI119" i="33" s="1"/>
  <c r="AE115" i="32"/>
  <c r="AI114" i="32" s="1"/>
  <c r="AI115" i="32" s="1"/>
  <c r="EU136" i="61"/>
  <c r="EV136" i="61" s="1"/>
  <c r="DK108" i="61"/>
  <c r="DO109" i="61"/>
  <c r="DS109" i="61"/>
  <c r="DP109" i="61"/>
  <c r="DU109" i="61"/>
  <c r="DY109" i="61"/>
  <c r="EC109" i="61"/>
  <c r="EG109" i="61"/>
  <c r="DM109" i="61"/>
  <c r="DR109" i="61"/>
  <c r="DW109" i="61"/>
  <c r="EA109" i="61"/>
  <c r="EE109" i="61"/>
  <c r="EI109" i="61"/>
  <c r="EP137" i="61" s="1"/>
  <c r="DT109" i="61"/>
  <c r="EB109" i="61"/>
  <c r="DL109" i="61"/>
  <c r="DV109" i="61"/>
  <c r="ED109" i="61"/>
  <c r="DN109" i="61"/>
  <c r="DX109" i="61"/>
  <c r="EF109" i="61"/>
  <c r="DQ109" i="61"/>
  <c r="DZ109" i="61"/>
  <c r="EH109" i="61"/>
  <c r="AE125" i="34"/>
  <c r="AI124" i="34" s="1"/>
  <c r="DD111" i="61"/>
  <c r="AE105" i="30"/>
  <c r="AI104" i="30" s="1"/>
  <c r="J102" i="30"/>
  <c r="J79" i="26"/>
  <c r="AI135" i="36"/>
  <c r="X115" i="34"/>
  <c r="AI150" i="36"/>
  <c r="AI145" i="36"/>
  <c r="AG95" i="28"/>
  <c r="AI95" i="28" s="1"/>
  <c r="X105" i="32"/>
  <c r="D351" i="66"/>
  <c r="L376" i="66"/>
  <c r="A350" i="66"/>
  <c r="B350" i="66"/>
  <c r="B337" i="66"/>
  <c r="A337" i="66"/>
  <c r="AI110" i="32"/>
  <c r="D375" i="65"/>
  <c r="A375" i="65" s="1"/>
  <c r="J375" i="66"/>
  <c r="B375" i="65" s="1"/>
  <c r="I375" i="66"/>
  <c r="D361" i="65"/>
  <c r="A361" i="65" s="1"/>
  <c r="J361" i="66"/>
  <c r="B361" i="65" s="1"/>
  <c r="I361" i="66"/>
  <c r="X114" i="59"/>
  <c r="D124" i="33"/>
  <c r="AE128" i="33"/>
  <c r="AE124" i="33"/>
  <c r="AG124" i="33" s="1"/>
  <c r="R123" i="33"/>
  <c r="R125" i="59"/>
  <c r="D136" i="59"/>
  <c r="F136" i="59" s="1"/>
  <c r="H136" i="59" s="1"/>
  <c r="AG131" i="59"/>
  <c r="AG132" i="59" s="1"/>
  <c r="AK131" i="59" s="1"/>
  <c r="AG136" i="59"/>
  <c r="D131" i="59"/>
  <c r="F131" i="59" s="1"/>
  <c r="H131" i="59" s="1"/>
  <c r="R130" i="59"/>
  <c r="CU118" i="61"/>
  <c r="D419" i="66"/>
  <c r="L440" i="66"/>
  <c r="R103" i="29"/>
  <c r="H119" i="34"/>
  <c r="H120" i="34" s="1"/>
  <c r="J120" i="34" s="1"/>
  <c r="F120" i="34"/>
  <c r="J119" i="34" s="1"/>
  <c r="B399" i="66"/>
  <c r="A399" i="66"/>
  <c r="AI140" i="36"/>
  <c r="F124" i="34"/>
  <c r="H124" i="34" s="1"/>
  <c r="J122" i="34"/>
  <c r="F109" i="31"/>
  <c r="J107" i="31"/>
  <c r="T104" i="31"/>
  <c r="T105" i="31" s="1"/>
  <c r="X104" i="31" s="1"/>
  <c r="V104" i="31"/>
  <c r="V105" i="31" s="1"/>
  <c r="AE150" i="35"/>
  <c r="AI149" i="35" s="1"/>
  <c r="AG148" i="35"/>
  <c r="AG150" i="35" s="1"/>
  <c r="V133" i="35"/>
  <c r="T133" i="35"/>
  <c r="J142" i="35"/>
  <c r="F144" i="35"/>
  <c r="H144" i="35" s="1"/>
  <c r="T148" i="35"/>
  <c r="V148" i="35"/>
  <c r="T99" i="30"/>
  <c r="V99" i="30"/>
  <c r="V100" i="30" s="1"/>
  <c r="X100" i="31"/>
  <c r="V109" i="32"/>
  <c r="V110" i="32" s="1"/>
  <c r="T109" i="32"/>
  <c r="T110" i="32" s="1"/>
  <c r="X109" i="32" s="1"/>
  <c r="D519" i="65"/>
  <c r="A519" i="65" s="1"/>
  <c r="J519" i="66"/>
  <c r="B519" i="65" s="1"/>
  <c r="I519" i="66"/>
  <c r="X90" i="30"/>
  <c r="J112" i="32"/>
  <c r="J129" i="36"/>
  <c r="N129" i="36" s="1"/>
  <c r="AQ129" i="36" s="1"/>
  <c r="J130" i="36"/>
  <c r="N130" i="36" s="1"/>
  <c r="AQ130" i="36" s="1"/>
  <c r="D439" i="65"/>
  <c r="A439" i="65" s="1"/>
  <c r="J439" i="66"/>
  <c r="B439" i="65" s="1"/>
  <c r="I439" i="66"/>
  <c r="AE125" i="59"/>
  <c r="AI125" i="59"/>
  <c r="AI126" i="59" s="1"/>
  <c r="AG126" i="59"/>
  <c r="AK125" i="59" s="1"/>
  <c r="T129" i="59"/>
  <c r="V129" i="59"/>
  <c r="B475" i="66"/>
  <c r="A475" i="66"/>
  <c r="H107" i="29"/>
  <c r="D459" i="65"/>
  <c r="A459" i="65" s="1"/>
  <c r="J459" i="66"/>
  <c r="B459" i="65" s="1"/>
  <c r="I459" i="66"/>
  <c r="D495" i="66"/>
  <c r="L520" i="66"/>
  <c r="R104" i="30"/>
  <c r="R112" i="30"/>
  <c r="D113" i="30"/>
  <c r="D117" i="30"/>
  <c r="R108" i="30"/>
  <c r="D109" i="30"/>
  <c r="AE109" i="30"/>
  <c r="AE113" i="30"/>
  <c r="R133" i="34"/>
  <c r="AE148" i="34"/>
  <c r="AE129" i="34"/>
  <c r="AG129" i="34" s="1"/>
  <c r="D139" i="34"/>
  <c r="R128" i="34"/>
  <c r="R138" i="34"/>
  <c r="AE133" i="34"/>
  <c r="R143" i="34"/>
  <c r="D149" i="34"/>
  <c r="D134" i="34"/>
  <c r="AE134" i="34"/>
  <c r="AG134" i="34" s="1"/>
  <c r="D144" i="34"/>
  <c r="AE138" i="34"/>
  <c r="D129" i="34"/>
  <c r="AE149" i="34"/>
  <c r="AG149" i="34" s="1"/>
  <c r="AE139" i="34"/>
  <c r="AG139" i="34" s="1"/>
  <c r="AE144" i="34"/>
  <c r="AG144" i="34" s="1"/>
  <c r="AE143" i="34"/>
  <c r="R148" i="34"/>
  <c r="R109" i="31"/>
  <c r="D118" i="31"/>
  <c r="F118" i="31" s="1"/>
  <c r="H118" i="31" s="1"/>
  <c r="D114" i="31"/>
  <c r="F114" i="31" s="1"/>
  <c r="H114" i="31" s="1"/>
  <c r="R113" i="31"/>
  <c r="AE114" i="31"/>
  <c r="AG114" i="31" s="1"/>
  <c r="AE118" i="31"/>
  <c r="R114" i="32"/>
  <c r="AE123" i="32"/>
  <c r="R118" i="32"/>
  <c r="D119" i="32"/>
  <c r="AE119" i="32"/>
  <c r="AG119" i="32" s="1"/>
  <c r="R89" i="28"/>
  <c r="D103" i="28"/>
  <c r="F103" i="28" s="1"/>
  <c r="D107" i="28"/>
  <c r="F107" i="28" s="1"/>
  <c r="R102" i="28"/>
  <c r="F105" i="30"/>
  <c r="J104" i="30" s="1"/>
  <c r="T123" i="34"/>
  <c r="V123" i="34"/>
  <c r="AG123" i="33"/>
  <c r="AG125" i="33" s="1"/>
  <c r="V114" i="33"/>
  <c r="V115" i="33" s="1"/>
  <c r="T114" i="33"/>
  <c r="T115" i="33" s="1"/>
  <c r="X114" i="33" s="1"/>
  <c r="AG113" i="31"/>
  <c r="F113" i="31"/>
  <c r="AE145" i="35"/>
  <c r="AI144" i="35" s="1"/>
  <c r="AG143" i="35"/>
  <c r="AG145" i="35" s="1"/>
  <c r="V128" i="35"/>
  <c r="T128" i="35"/>
  <c r="H112" i="30"/>
  <c r="J150" i="36"/>
  <c r="N150" i="36" s="1"/>
  <c r="AQ150" i="36" s="1"/>
  <c r="J149" i="36"/>
  <c r="N149" i="36" s="1"/>
  <c r="AQ149" i="36" s="1"/>
  <c r="H97" i="26"/>
  <c r="D399" i="65"/>
  <c r="A399" i="65" s="1"/>
  <c r="J399" i="66"/>
  <c r="B399" i="65" s="1"/>
  <c r="I399" i="66"/>
  <c r="B494" i="66"/>
  <c r="A494" i="66"/>
  <c r="AG130" i="35"/>
  <c r="H113" i="32"/>
  <c r="H115" i="32" s="1"/>
  <c r="F115" i="32"/>
  <c r="J134" i="36"/>
  <c r="N134" i="36" s="1"/>
  <c r="AQ134" i="36" s="1"/>
  <c r="J135" i="36"/>
  <c r="N135" i="36" s="1"/>
  <c r="AQ135" i="36" s="1"/>
  <c r="D379" i="65"/>
  <c r="A379" i="65" s="1"/>
  <c r="J379" i="66"/>
  <c r="B379" i="65" s="1"/>
  <c r="I379" i="66"/>
  <c r="A418" i="66"/>
  <c r="B418" i="66"/>
  <c r="AI130" i="59"/>
  <c r="AE130" i="59"/>
  <c r="F130" i="59"/>
  <c r="H102" i="27"/>
  <c r="D479" i="65"/>
  <c r="A479" i="65" s="1"/>
  <c r="I479" i="66"/>
  <c r="J479" i="66"/>
  <c r="B479" i="65" s="1"/>
  <c r="V102" i="29"/>
  <c r="T102" i="29"/>
  <c r="A437" i="66"/>
  <c r="B437" i="66"/>
  <c r="CS120" i="61"/>
  <c r="D457" i="66"/>
  <c r="L480" i="66"/>
  <c r="CT119" i="61"/>
  <c r="D438" i="66"/>
  <c r="L460" i="66"/>
  <c r="CV117" i="61"/>
  <c r="D400" i="66"/>
  <c r="L420" i="66"/>
  <c r="R84" i="26"/>
  <c r="T84" i="26" s="1"/>
  <c r="D98" i="26"/>
  <c r="F98" i="26" s="1"/>
  <c r="H98" i="26" s="1"/>
  <c r="R97" i="26"/>
  <c r="D102" i="26"/>
  <c r="F102" i="26" s="1"/>
  <c r="CR121" i="61"/>
  <c r="D476" i="66"/>
  <c r="L500" i="66"/>
  <c r="T100" i="30"/>
  <c r="X99" i="30" s="1"/>
  <c r="D104" i="29"/>
  <c r="F104" i="29" s="1"/>
  <c r="H104" i="29" s="1"/>
  <c r="H99" i="30"/>
  <c r="H100" i="30" s="1"/>
  <c r="J100" i="30" s="1"/>
  <c r="F100" i="30"/>
  <c r="J99" i="30" s="1"/>
  <c r="J124" i="35"/>
  <c r="N124" i="35" s="1"/>
  <c r="AQ124" i="35" s="1"/>
  <c r="J125" i="35"/>
  <c r="N125" i="35" s="1"/>
  <c r="AQ125" i="35" s="1"/>
  <c r="J144" i="36"/>
  <c r="N144" i="36" s="1"/>
  <c r="AQ144" i="36" s="1"/>
  <c r="J145" i="36"/>
  <c r="N145" i="36" s="1"/>
  <c r="AQ145" i="36" s="1"/>
  <c r="H105" i="30"/>
  <c r="J105" i="30" s="1"/>
  <c r="J139" i="36"/>
  <c r="N139" i="36" s="1"/>
  <c r="AQ139" i="36" s="1"/>
  <c r="J140" i="36"/>
  <c r="N140" i="36" s="1"/>
  <c r="AQ140" i="36" s="1"/>
  <c r="F119" i="33"/>
  <c r="J117" i="33"/>
  <c r="T108" i="31"/>
  <c r="V108" i="31"/>
  <c r="T112" i="31"/>
  <c r="V112" i="31"/>
  <c r="V143" i="35"/>
  <c r="T143" i="35"/>
  <c r="F139" i="35"/>
  <c r="H139" i="35" s="1"/>
  <c r="J137" i="35"/>
  <c r="T138" i="35"/>
  <c r="V138" i="35"/>
  <c r="AE140" i="35"/>
  <c r="AI139" i="35" s="1"/>
  <c r="AG138" i="35"/>
  <c r="AG140" i="35" s="1"/>
  <c r="V87" i="26"/>
  <c r="T87" i="26"/>
  <c r="T113" i="32"/>
  <c r="V113" i="32"/>
  <c r="B380" i="66"/>
  <c r="A380" i="66"/>
  <c r="AE130" i="35"/>
  <c r="AI129" i="35" s="1"/>
  <c r="X110" i="33"/>
  <c r="B361" i="66"/>
  <c r="A361" i="66"/>
  <c r="F125" i="59"/>
  <c r="J123" i="59"/>
  <c r="T119" i="59"/>
  <c r="T120" i="59" s="1"/>
  <c r="X119" i="59" s="1"/>
  <c r="V119" i="59"/>
  <c r="V120" i="59" s="1"/>
  <c r="T97" i="27"/>
  <c r="V97" i="27"/>
  <c r="B456" i="66"/>
  <c r="A456" i="66"/>
  <c r="H103" i="29"/>
  <c r="R99" i="29"/>
  <c r="D108" i="29"/>
  <c r="F108" i="29" s="1"/>
  <c r="H108" i="29" s="1"/>
  <c r="R107" i="29"/>
  <c r="D112" i="29"/>
  <c r="F112" i="29" s="1"/>
  <c r="CW116" i="61"/>
  <c r="D381" i="66"/>
  <c r="L400" i="66"/>
  <c r="AE108" i="29"/>
  <c r="AG108" i="29" s="1"/>
  <c r="AI120" i="33"/>
  <c r="H117" i="32"/>
  <c r="D419" i="65"/>
  <c r="A419" i="65" s="1"/>
  <c r="J419" i="66"/>
  <c r="B419" i="65" s="1"/>
  <c r="I419" i="66"/>
  <c r="AI125" i="34"/>
  <c r="AG128" i="34"/>
  <c r="T118" i="33"/>
  <c r="V118" i="33"/>
  <c r="AG109" i="31"/>
  <c r="AG110" i="31" s="1"/>
  <c r="AE110" i="31"/>
  <c r="AI109" i="31" s="1"/>
  <c r="F117" i="31"/>
  <c r="F129" i="35"/>
  <c r="H129" i="35" s="1"/>
  <c r="J127" i="35"/>
  <c r="F134" i="35"/>
  <c r="H134" i="35" s="1"/>
  <c r="J132" i="35"/>
  <c r="F149" i="35"/>
  <c r="H149" i="35" s="1"/>
  <c r="J147" i="35"/>
  <c r="AG133" i="35"/>
  <c r="AG135" i="35" s="1"/>
  <c r="AE135" i="35"/>
  <c r="AI134" i="35" s="1"/>
  <c r="V107" i="30"/>
  <c r="T107" i="30"/>
  <c r="AG118" i="32"/>
  <c r="AG120" i="32" s="1"/>
  <c r="H109" i="32"/>
  <c r="H110" i="32" s="1"/>
  <c r="J110" i="32" s="1"/>
  <c r="F110" i="32"/>
  <c r="J109" i="32" s="1"/>
  <c r="T124" i="59"/>
  <c r="V124" i="59"/>
  <c r="F135" i="59"/>
  <c r="D499" i="65"/>
  <c r="A499" i="65" s="1"/>
  <c r="J499" i="66"/>
  <c r="B499" i="65" s="1"/>
  <c r="I499" i="66"/>
  <c r="T89" i="29"/>
  <c r="T90" i="29" s="1"/>
  <c r="X89" i="29" s="1"/>
  <c r="V89" i="29"/>
  <c r="V90" i="29" s="1"/>
  <c r="AN11" i="27"/>
  <c r="CQ122" i="61"/>
  <c r="A350" i="65"/>
  <c r="A337" i="65"/>
  <c r="AR69" i="29"/>
  <c r="AR70" i="29"/>
  <c r="X17" i="25"/>
  <c r="AA17" i="25"/>
  <c r="X16" i="25"/>
  <c r="V93" i="28"/>
  <c r="AR74" i="32"/>
  <c r="AT74" i="32" s="1"/>
  <c r="D13" i="32" s="1"/>
  <c r="AR75" i="32"/>
  <c r="AT75" i="32" s="1"/>
  <c r="E13" i="32" s="1"/>
  <c r="T85" i="27"/>
  <c r="X84" i="27" s="1"/>
  <c r="X85" i="27" s="1"/>
  <c r="AI105" i="30"/>
  <c r="X80" i="27"/>
  <c r="R93" i="27"/>
  <c r="V93" i="27" s="1"/>
  <c r="AE98" i="27"/>
  <c r="AG98" i="27" s="1"/>
  <c r="J97" i="29"/>
  <c r="F99" i="29"/>
  <c r="D94" i="27"/>
  <c r="F94" i="27" s="1"/>
  <c r="H94" i="27" s="1"/>
  <c r="Z70" i="30"/>
  <c r="AB70" i="30" s="1"/>
  <c r="AR69" i="30" s="1"/>
  <c r="Z70" i="28"/>
  <c r="AB70" i="28" s="1"/>
  <c r="T103" i="29"/>
  <c r="V103" i="29"/>
  <c r="V79" i="26"/>
  <c r="V80" i="26" s="1"/>
  <c r="T79" i="26"/>
  <c r="T80" i="26" s="1"/>
  <c r="X79" i="26" s="1"/>
  <c r="H84" i="27"/>
  <c r="H85" i="27" s="1"/>
  <c r="J85" i="27" s="1"/>
  <c r="F85" i="27"/>
  <c r="J84" i="27" s="1"/>
  <c r="H89" i="28"/>
  <c r="H90" i="28" s="1"/>
  <c r="J90" i="28" s="1"/>
  <c r="F90" i="28"/>
  <c r="J89" i="28" s="1"/>
  <c r="Z69" i="28"/>
  <c r="AB69" i="28" s="1"/>
  <c r="AE105" i="29"/>
  <c r="AI104" i="29" s="1"/>
  <c r="AG103" i="29"/>
  <c r="AG105" i="29" s="1"/>
  <c r="AG99" i="29"/>
  <c r="AG100" i="29" s="1"/>
  <c r="AE100" i="29"/>
  <c r="AI99" i="29" s="1"/>
  <c r="AI100" i="30"/>
  <c r="R98" i="28"/>
  <c r="AE99" i="28"/>
  <c r="AE103" i="28"/>
  <c r="D99" i="28"/>
  <c r="V98" i="29"/>
  <c r="T98" i="29"/>
  <c r="AI85" i="27"/>
  <c r="AG90" i="27"/>
  <c r="AE85" i="26"/>
  <c r="AI84" i="26" s="1"/>
  <c r="AG85" i="26"/>
  <c r="AE90" i="27"/>
  <c r="AI89" i="27" s="1"/>
  <c r="X75" i="26"/>
  <c r="AI80" i="26"/>
  <c r="AI90" i="28"/>
  <c r="AA28" i="14"/>
  <c r="AG28" i="14" s="1"/>
  <c r="AT26" i="61"/>
  <c r="AK29" i="68" s="1"/>
  <c r="C19" i="28"/>
  <c r="AE104" i="28" s="1"/>
  <c r="AG104" i="28" s="1"/>
  <c r="AP26" i="10"/>
  <c r="B26" i="10"/>
  <c r="AX22" i="61"/>
  <c r="AP22" i="6"/>
  <c r="B22" i="6"/>
  <c r="C23" i="32"/>
  <c r="AA18" i="24"/>
  <c r="AG18" i="24" s="1"/>
  <c r="Y17" i="24"/>
  <c r="Y16" i="24" s="1"/>
  <c r="H27" i="12"/>
  <c r="I27" i="12" s="1"/>
  <c r="D27" i="12"/>
  <c r="F27" i="12" s="1"/>
  <c r="G27" i="12" s="1"/>
  <c r="AV24" i="9"/>
  <c r="H20" i="5"/>
  <c r="I20" i="5" s="1"/>
  <c r="D20" i="5"/>
  <c r="F20" i="5" s="1"/>
  <c r="G20" i="5" s="1"/>
  <c r="AA22" i="19"/>
  <c r="AG22" i="19" s="1"/>
  <c r="Y21" i="19"/>
  <c r="X22" i="19" s="1"/>
  <c r="AG88" i="26"/>
  <c r="G28" i="15"/>
  <c r="G29" i="15" s="1"/>
  <c r="I38" i="15" s="1"/>
  <c r="F29" i="15"/>
  <c r="I36" i="15" s="1"/>
  <c r="AV24" i="61"/>
  <c r="AM27" i="68" s="1"/>
  <c r="B24" i="8"/>
  <c r="AP24" i="8"/>
  <c r="C21" i="30"/>
  <c r="H18" i="3"/>
  <c r="I18" i="3" s="1"/>
  <c r="D18" i="3"/>
  <c r="F18" i="3" s="1"/>
  <c r="G18" i="3" s="1"/>
  <c r="H16" i="1"/>
  <c r="I16" i="1" s="1"/>
  <c r="D16" i="1"/>
  <c r="F16" i="1" s="1"/>
  <c r="G16" i="1" s="1"/>
  <c r="AA24" i="18"/>
  <c r="AG24" i="18" s="1"/>
  <c r="Y23" i="18"/>
  <c r="X24" i="18" s="1"/>
  <c r="AV28" i="13"/>
  <c r="Y28" i="13"/>
  <c r="BG7" i="13"/>
  <c r="F89" i="27"/>
  <c r="J87" i="27"/>
  <c r="AZ20" i="61"/>
  <c r="AP20" i="4"/>
  <c r="C25" i="34"/>
  <c r="B20" i="4"/>
  <c r="AA15" i="2"/>
  <c r="X14" i="2"/>
  <c r="AF14" i="1"/>
  <c r="AP28" i="12"/>
  <c r="B28" i="12"/>
  <c r="C17" i="26"/>
  <c r="AE94" i="26" s="1"/>
  <c r="AG94" i="26" s="1"/>
  <c r="T33" i="61"/>
  <c r="AV25" i="10"/>
  <c r="D21" i="6"/>
  <c r="F21" i="6" s="1"/>
  <c r="G21" i="6" s="1"/>
  <c r="H21" i="6"/>
  <c r="I21" i="6" s="1"/>
  <c r="AV17" i="2"/>
  <c r="AV20" i="5"/>
  <c r="V83" i="26"/>
  <c r="T83" i="26"/>
  <c r="T85" i="26" s="1"/>
  <c r="X84" i="26" s="1"/>
  <c r="BA19" i="61"/>
  <c r="AP19" i="3"/>
  <c r="C26" i="35"/>
  <c r="B19" i="3"/>
  <c r="BC17" i="61"/>
  <c r="AP17" i="1"/>
  <c r="B17" i="1"/>
  <c r="C28" i="37"/>
  <c r="AA22" i="53"/>
  <c r="AG22" i="53" s="1"/>
  <c r="Y21" i="53"/>
  <c r="X22" i="53" s="1"/>
  <c r="AW23" i="61"/>
  <c r="AN26" i="68" s="1"/>
  <c r="B23" i="7"/>
  <c r="AP23" i="7"/>
  <c r="C22" i="59"/>
  <c r="C22" i="31"/>
  <c r="AE89" i="26"/>
  <c r="AG89" i="26" s="1"/>
  <c r="AE93" i="26"/>
  <c r="R88" i="26"/>
  <c r="D89" i="26"/>
  <c r="AS27" i="61"/>
  <c r="AJ30" i="68" s="1"/>
  <c r="B27" i="11"/>
  <c r="AP27" i="11"/>
  <c r="C18" i="27"/>
  <c r="H19" i="4"/>
  <c r="I19" i="4" s="1"/>
  <c r="D19" i="4"/>
  <c r="F19" i="4" s="1"/>
  <c r="G19" i="4" s="1"/>
  <c r="Y27" i="14"/>
  <c r="X28" i="14" s="1"/>
  <c r="AA21" i="20"/>
  <c r="AG21" i="20" s="1"/>
  <c r="Y20" i="20"/>
  <c r="AA15" i="1"/>
  <c r="X14" i="1"/>
  <c r="AV27" i="12"/>
  <c r="H25" i="10"/>
  <c r="I25" i="10" s="1"/>
  <c r="D25" i="10"/>
  <c r="F25" i="10" s="1"/>
  <c r="G25" i="10" s="1"/>
  <c r="AV21" i="6"/>
  <c r="AF15" i="3"/>
  <c r="BB18" i="61"/>
  <c r="AP18" i="2"/>
  <c r="C27" i="36"/>
  <c r="B18" i="2"/>
  <c r="AU25" i="61"/>
  <c r="AL28" i="68" s="1"/>
  <c r="B25" i="9"/>
  <c r="AP25" i="9"/>
  <c r="C20" i="29"/>
  <c r="AA19" i="23"/>
  <c r="AG19" i="23" s="1"/>
  <c r="Y18" i="23"/>
  <c r="X19" i="23" s="1"/>
  <c r="AV23" i="8"/>
  <c r="AV18" i="3"/>
  <c r="AA24" i="17"/>
  <c r="AG24" i="17" s="1"/>
  <c r="Y23" i="17"/>
  <c r="X24" i="17" s="1"/>
  <c r="AA26" i="15"/>
  <c r="AG26" i="15" s="1"/>
  <c r="Y25" i="15"/>
  <c r="H22" i="7"/>
  <c r="I22" i="7" s="1"/>
  <c r="D22" i="7"/>
  <c r="F22" i="7" s="1"/>
  <c r="G22" i="7" s="1"/>
  <c r="X25" i="18"/>
  <c r="AV26" i="11"/>
  <c r="AA20" i="22"/>
  <c r="AG20" i="22" s="1"/>
  <c r="Y19" i="22"/>
  <c r="X20" i="22" s="1"/>
  <c r="F28" i="14"/>
  <c r="D29" i="14"/>
  <c r="I35" i="14" s="1"/>
  <c r="H17" i="2"/>
  <c r="I17" i="2" s="1"/>
  <c r="D17" i="2"/>
  <c r="F17" i="2" s="1"/>
  <c r="G17" i="2" s="1"/>
  <c r="AA21" i="21"/>
  <c r="AG21" i="21" s="1"/>
  <c r="Y20" i="21"/>
  <c r="H24" i="9"/>
  <c r="I24" i="9" s="1"/>
  <c r="D24" i="9"/>
  <c r="F24" i="9" s="1"/>
  <c r="G24" i="9" s="1"/>
  <c r="AY21" i="61"/>
  <c r="C24" i="33"/>
  <c r="B21" i="5"/>
  <c r="AP21" i="5"/>
  <c r="F84" i="26"/>
  <c r="J82" i="26"/>
  <c r="AA25" i="16"/>
  <c r="AG25" i="16" s="1"/>
  <c r="Y24" i="16"/>
  <c r="X25" i="16" s="1"/>
  <c r="H23" i="8"/>
  <c r="I23" i="8" s="1"/>
  <c r="D23" i="8"/>
  <c r="F23" i="8" s="1"/>
  <c r="G23" i="8" s="1"/>
  <c r="AV16" i="1"/>
  <c r="J95" i="28"/>
  <c r="N95" i="28" s="1"/>
  <c r="AQ95" i="28" s="1"/>
  <c r="J94" i="28"/>
  <c r="N94" i="28" s="1"/>
  <c r="AQ94" i="28" s="1"/>
  <c r="AV22" i="7"/>
  <c r="H28" i="13"/>
  <c r="I28" i="13" s="1"/>
  <c r="I29" i="13" s="1"/>
  <c r="I39" i="13" s="1"/>
  <c r="D28" i="13"/>
  <c r="S7" i="13"/>
  <c r="V88" i="27"/>
  <c r="T88" i="27"/>
  <c r="AG93" i="27"/>
  <c r="AG95" i="27" s="1"/>
  <c r="AE95" i="27"/>
  <c r="AI94" i="27" s="1"/>
  <c r="H26" i="11"/>
  <c r="I26" i="11" s="1"/>
  <c r="D26" i="11"/>
  <c r="F26" i="11" s="1"/>
  <c r="G26" i="11" s="1"/>
  <c r="AV19" i="4"/>
  <c r="DA113" i="61" l="1"/>
  <c r="AS21" i="68"/>
  <c r="EX145" i="61"/>
  <c r="GI145" i="61" s="1"/>
  <c r="O24" i="64" s="1"/>
  <c r="AO25" i="68"/>
  <c r="CY115" i="61"/>
  <c r="AQ23" i="68"/>
  <c r="CX116" i="61"/>
  <c r="AP24" i="68"/>
  <c r="DB112" i="61"/>
  <c r="AT20" i="68"/>
  <c r="CZ114" i="61"/>
  <c r="AR22" i="68"/>
  <c r="CC110" i="61"/>
  <c r="BY110" i="61"/>
  <c r="BU110" i="61"/>
  <c r="BQ110" i="61"/>
  <c r="CA110" i="61"/>
  <c r="BW110" i="61"/>
  <c r="BS110" i="61"/>
  <c r="BO110" i="61"/>
  <c r="DU110" i="61" s="1"/>
  <c r="BK110" i="61"/>
  <c r="BG110" i="61"/>
  <c r="CB110" i="61"/>
  <c r="BT110" i="61"/>
  <c r="DZ110" i="61" s="1"/>
  <c r="BM110" i="61"/>
  <c r="BH110" i="61"/>
  <c r="BX110" i="61"/>
  <c r="BP110" i="61"/>
  <c r="DV110" i="61" s="1"/>
  <c r="BJ110" i="61"/>
  <c r="BR110" i="61"/>
  <c r="BF110" i="61"/>
  <c r="BN110" i="61"/>
  <c r="DT110" i="61" s="1"/>
  <c r="BZ110" i="61"/>
  <c r="BL110" i="61"/>
  <c r="BV110" i="61"/>
  <c r="BI110" i="61"/>
  <c r="DO110" i="61" s="1"/>
  <c r="BE110" i="61"/>
  <c r="DG111" i="61"/>
  <c r="DF111" i="61"/>
  <c r="J102" i="29"/>
  <c r="V84" i="26"/>
  <c r="AA16" i="24"/>
  <c r="X15" i="24"/>
  <c r="AA16" i="25"/>
  <c r="X15" i="25"/>
  <c r="GH135" i="61"/>
  <c r="N14" i="64" s="1"/>
  <c r="AE130" i="34"/>
  <c r="AI129" i="34" s="1"/>
  <c r="AG130" i="34"/>
  <c r="J129" i="59"/>
  <c r="EY134" i="61"/>
  <c r="K13" i="64"/>
  <c r="GC135" i="61"/>
  <c r="GD135" i="61" s="1"/>
  <c r="ER135" i="61"/>
  <c r="ET134" i="61"/>
  <c r="ES134" i="61"/>
  <c r="H13" i="64" s="1"/>
  <c r="EM137" i="61"/>
  <c r="FY137" i="61"/>
  <c r="EC137" i="61"/>
  <c r="FO137" i="61"/>
  <c r="GB137" i="61"/>
  <c r="DY137" i="61"/>
  <c r="FK137" i="61"/>
  <c r="EF137" i="61"/>
  <c r="FR137" i="61"/>
  <c r="DV137" i="61"/>
  <c r="FH137" i="61"/>
  <c r="EO137" i="61"/>
  <c r="GA137" i="61"/>
  <c r="EE137" i="61"/>
  <c r="FQ137" i="61"/>
  <c r="DS137" i="61"/>
  <c r="FE137" i="61"/>
  <c r="EL137" i="61"/>
  <c r="FX137" i="61"/>
  <c r="DT137" i="61"/>
  <c r="FF137" i="61"/>
  <c r="EB137" i="61"/>
  <c r="FN137" i="61"/>
  <c r="EG137" i="61"/>
  <c r="FS137" i="61"/>
  <c r="DU137" i="61"/>
  <c r="FG137" i="61"/>
  <c r="EI137" i="61"/>
  <c r="FU137" i="61"/>
  <c r="EH137" i="61"/>
  <c r="FT137" i="61"/>
  <c r="EN137" i="61"/>
  <c r="FZ137" i="61"/>
  <c r="DW137" i="61"/>
  <c r="FI137" i="61"/>
  <c r="DR136" i="61"/>
  <c r="EZ136" i="61" s="1"/>
  <c r="FD136" i="61"/>
  <c r="GE136" i="61" s="1"/>
  <c r="L15" i="64" s="1"/>
  <c r="DX137" i="61"/>
  <c r="FJ137" i="61"/>
  <c r="EK137" i="61"/>
  <c r="FW137" i="61"/>
  <c r="EA137" i="61"/>
  <c r="FM137" i="61"/>
  <c r="ED137" i="61"/>
  <c r="FP137" i="61"/>
  <c r="EJ137" i="61"/>
  <c r="FV137" i="61"/>
  <c r="DZ137" i="61"/>
  <c r="FL137" i="61"/>
  <c r="DL110" i="61"/>
  <c r="DP110" i="61"/>
  <c r="DX110" i="61"/>
  <c r="EB110" i="61"/>
  <c r="EF110" i="61"/>
  <c r="DN110" i="61"/>
  <c r="DR110" i="61"/>
  <c r="ED110" i="61"/>
  <c r="EH110" i="61"/>
  <c r="DS110" i="61"/>
  <c r="EA110" i="61"/>
  <c r="EI110" i="61"/>
  <c r="EP138" i="61" s="1"/>
  <c r="DM110" i="61"/>
  <c r="EC110" i="61"/>
  <c r="DW110" i="61"/>
  <c r="EE110" i="61"/>
  <c r="DQ110" i="61"/>
  <c r="DY110" i="61"/>
  <c r="EG110" i="61"/>
  <c r="EU137" i="61"/>
  <c r="EV137" i="61" s="1"/>
  <c r="DK109" i="61"/>
  <c r="DD112" i="61"/>
  <c r="X100" i="30"/>
  <c r="AE120" i="32"/>
  <c r="AI119" i="32" s="1"/>
  <c r="AI120" i="32" s="1"/>
  <c r="AE125" i="33"/>
  <c r="AI124" i="33" s="1"/>
  <c r="AI125" i="33" s="1"/>
  <c r="AG115" i="31"/>
  <c r="R93" i="26"/>
  <c r="V93" i="26" s="1"/>
  <c r="AI140" i="35"/>
  <c r="X115" i="33"/>
  <c r="X110" i="32"/>
  <c r="AK126" i="59"/>
  <c r="D376" i="65"/>
  <c r="A376" i="65" s="1"/>
  <c r="J376" i="66"/>
  <c r="B376" i="65" s="1"/>
  <c r="I376" i="66"/>
  <c r="X120" i="59"/>
  <c r="B351" i="66"/>
  <c r="A351" i="66"/>
  <c r="AE134" i="33"/>
  <c r="AG134" i="33" s="1"/>
  <c r="R148" i="33"/>
  <c r="AE139" i="33"/>
  <c r="AG139" i="33" s="1"/>
  <c r="AE149" i="33"/>
  <c r="AG149" i="33" s="1"/>
  <c r="D144" i="33"/>
  <c r="AE138" i="33"/>
  <c r="AE144" i="33"/>
  <c r="AG144" i="33" s="1"/>
  <c r="AE133" i="33"/>
  <c r="R143" i="33"/>
  <c r="D129" i="33"/>
  <c r="D134" i="33"/>
  <c r="AE148" i="33"/>
  <c r="R128" i="33"/>
  <c r="R133" i="33"/>
  <c r="D139" i="33"/>
  <c r="D149" i="33"/>
  <c r="AE143" i="33"/>
  <c r="AE129" i="33"/>
  <c r="AG129" i="33" s="1"/>
  <c r="R138" i="33"/>
  <c r="CT120" i="61"/>
  <c r="D458" i="66"/>
  <c r="L481" i="66"/>
  <c r="X90" i="29"/>
  <c r="AI110" i="31"/>
  <c r="H112" i="29"/>
  <c r="F105" i="29"/>
  <c r="J104" i="29" s="1"/>
  <c r="H119" i="33"/>
  <c r="H120" i="33" s="1"/>
  <c r="J120" i="33" s="1"/>
  <c r="F120" i="33"/>
  <c r="J119" i="33" s="1"/>
  <c r="H102" i="26"/>
  <c r="D420" i="65"/>
  <c r="A420" i="65" s="1"/>
  <c r="J420" i="66"/>
  <c r="B420" i="65" s="1"/>
  <c r="I420" i="66"/>
  <c r="B438" i="66"/>
  <c r="A438" i="66"/>
  <c r="AI130" i="35"/>
  <c r="J112" i="31"/>
  <c r="V89" i="28"/>
  <c r="V90" i="28" s="1"/>
  <c r="T89" i="28"/>
  <c r="T90" i="28" s="1"/>
  <c r="X89" i="28" s="1"/>
  <c r="AG123" i="32"/>
  <c r="T113" i="31"/>
  <c r="V113" i="31"/>
  <c r="T148" i="34"/>
  <c r="V148" i="34"/>
  <c r="AG133" i="34"/>
  <c r="AG135" i="34" s="1"/>
  <c r="AE135" i="34"/>
  <c r="AI134" i="34" s="1"/>
  <c r="AG109" i="30"/>
  <c r="AG110" i="30" s="1"/>
  <c r="AE110" i="30"/>
  <c r="AI109" i="30" s="1"/>
  <c r="F113" i="30"/>
  <c r="B495" i="66"/>
  <c r="A495" i="66"/>
  <c r="AI150" i="35"/>
  <c r="T130" i="59"/>
  <c r="V130" i="59"/>
  <c r="AG128" i="33"/>
  <c r="R104" i="29"/>
  <c r="D113" i="29"/>
  <c r="R112" i="29"/>
  <c r="D117" i="29"/>
  <c r="D109" i="29"/>
  <c r="AE109" i="29"/>
  <c r="AE113" i="29"/>
  <c r="R108" i="29"/>
  <c r="CR122" i="61"/>
  <c r="D496" i="66"/>
  <c r="L521" i="66"/>
  <c r="R114" i="31"/>
  <c r="AE119" i="31"/>
  <c r="AG119" i="31" s="1"/>
  <c r="R118" i="31"/>
  <c r="AE123" i="31"/>
  <c r="D119" i="31"/>
  <c r="CV118" i="61"/>
  <c r="D420" i="66"/>
  <c r="L441" i="66"/>
  <c r="R99" i="28"/>
  <c r="D108" i="28"/>
  <c r="F108" i="28" s="1"/>
  <c r="H108" i="28" s="1"/>
  <c r="D112" i="28"/>
  <c r="F112" i="28" s="1"/>
  <c r="R107" i="28"/>
  <c r="AE108" i="28"/>
  <c r="AG108" i="28" s="1"/>
  <c r="J135" i="35"/>
  <c r="N135" i="35" s="1"/>
  <c r="AQ135" i="35" s="1"/>
  <c r="J134" i="35"/>
  <c r="N134" i="35" s="1"/>
  <c r="AQ134" i="35" s="1"/>
  <c r="D400" i="65"/>
  <c r="A400" i="65" s="1"/>
  <c r="J400" i="66"/>
  <c r="B400" i="65" s="1"/>
  <c r="I400" i="66"/>
  <c r="V107" i="29"/>
  <c r="T107" i="29"/>
  <c r="H105" i="29"/>
  <c r="J105" i="29" s="1"/>
  <c r="D500" i="65"/>
  <c r="A500" i="65" s="1"/>
  <c r="I500" i="66"/>
  <c r="J500" i="66"/>
  <c r="B500" i="65" s="1"/>
  <c r="V97" i="26"/>
  <c r="T97" i="26"/>
  <c r="B400" i="66"/>
  <c r="A400" i="66"/>
  <c r="H130" i="59"/>
  <c r="H132" i="59" s="1"/>
  <c r="J132" i="59" s="1"/>
  <c r="F132" i="59"/>
  <c r="J131" i="59" s="1"/>
  <c r="H113" i="31"/>
  <c r="H115" i="31" s="1"/>
  <c r="F115" i="31"/>
  <c r="T102" i="28"/>
  <c r="V102" i="28"/>
  <c r="V114" i="32"/>
  <c r="V115" i="32" s="1"/>
  <c r="T114" i="32"/>
  <c r="T115" i="32" s="1"/>
  <c r="X114" i="32" s="1"/>
  <c r="AG143" i="34"/>
  <c r="AG145" i="34" s="1"/>
  <c r="AE145" i="34"/>
  <c r="AI144" i="34" s="1"/>
  <c r="F129" i="34"/>
  <c r="H129" i="34" s="1"/>
  <c r="J127" i="34"/>
  <c r="F134" i="34"/>
  <c r="H134" i="34" s="1"/>
  <c r="J132" i="34"/>
  <c r="V138" i="34"/>
  <c r="T138" i="34"/>
  <c r="AE150" i="34"/>
  <c r="AI149" i="34" s="1"/>
  <c r="AG148" i="34"/>
  <c r="AG150" i="34" s="1"/>
  <c r="F109" i="30"/>
  <c r="J107" i="30"/>
  <c r="V112" i="30"/>
  <c r="T112" i="30"/>
  <c r="J115" i="32"/>
  <c r="J114" i="32"/>
  <c r="J144" i="35"/>
  <c r="N144" i="35" s="1"/>
  <c r="AQ144" i="35" s="1"/>
  <c r="J145" i="35"/>
  <c r="N145" i="35" s="1"/>
  <c r="AQ145" i="35" s="1"/>
  <c r="H109" i="31"/>
  <c r="H110" i="31" s="1"/>
  <c r="J110" i="31" s="1"/>
  <c r="F110" i="31"/>
  <c r="J109" i="31" s="1"/>
  <c r="D440" i="65"/>
  <c r="A440" i="65" s="1"/>
  <c r="J440" i="66"/>
  <c r="B440" i="65" s="1"/>
  <c r="I440" i="66"/>
  <c r="T125" i="59"/>
  <c r="T126" i="59" s="1"/>
  <c r="X125" i="59" s="1"/>
  <c r="V125" i="59"/>
  <c r="V126" i="59" s="1"/>
  <c r="F124" i="33"/>
  <c r="H124" i="33" s="1"/>
  <c r="J122" i="33"/>
  <c r="R89" i="27"/>
  <c r="D103" i="27"/>
  <c r="F103" i="27" s="1"/>
  <c r="R102" i="27"/>
  <c r="D107" i="27"/>
  <c r="F107" i="27" s="1"/>
  <c r="R131" i="59"/>
  <c r="R136" i="59"/>
  <c r="AG137" i="59"/>
  <c r="AG142" i="59"/>
  <c r="D137" i="59"/>
  <c r="CU119" i="61"/>
  <c r="D439" i="66"/>
  <c r="L461" i="66"/>
  <c r="CW117" i="61"/>
  <c r="D401" i="66"/>
  <c r="L421" i="66"/>
  <c r="CS121" i="61"/>
  <c r="D477" i="66"/>
  <c r="L501" i="66"/>
  <c r="D104" i="28"/>
  <c r="J102" i="28" s="1"/>
  <c r="AI135" i="35"/>
  <c r="H117" i="31"/>
  <c r="B381" i="66"/>
  <c r="A381" i="66"/>
  <c r="H125" i="59"/>
  <c r="H126" i="59" s="1"/>
  <c r="J126" i="59" s="1"/>
  <c r="F126" i="59"/>
  <c r="J125" i="59" s="1"/>
  <c r="B476" i="66"/>
  <c r="A476" i="66"/>
  <c r="D480" i="65"/>
  <c r="A480" i="65" s="1"/>
  <c r="I480" i="66"/>
  <c r="J480" i="66"/>
  <c r="B480" i="65" s="1"/>
  <c r="AI145" i="35"/>
  <c r="AE115" i="31"/>
  <c r="AI114" i="31" s="1"/>
  <c r="H107" i="28"/>
  <c r="F119" i="32"/>
  <c r="J117" i="32"/>
  <c r="AG118" i="31"/>
  <c r="AE140" i="34"/>
  <c r="AI139" i="34" s="1"/>
  <c r="AG138" i="34"/>
  <c r="AG140" i="34" s="1"/>
  <c r="F149" i="34"/>
  <c r="H149" i="34" s="1"/>
  <c r="J147" i="34"/>
  <c r="V128" i="34"/>
  <c r="T128" i="34"/>
  <c r="T133" i="34"/>
  <c r="V133" i="34"/>
  <c r="T108" i="30"/>
  <c r="V108" i="30"/>
  <c r="V104" i="30"/>
  <c r="V105" i="30" s="1"/>
  <c r="T104" i="30"/>
  <c r="T105" i="30" s="1"/>
  <c r="X104" i="30" s="1"/>
  <c r="X105" i="31"/>
  <c r="J125" i="34"/>
  <c r="N125" i="34" s="1"/>
  <c r="AQ125" i="34" s="1"/>
  <c r="J124" i="34"/>
  <c r="N124" i="34" s="1"/>
  <c r="AQ124" i="34" s="1"/>
  <c r="B419" i="66"/>
  <c r="A419" i="66"/>
  <c r="AE136" i="59"/>
  <c r="AI136" i="59"/>
  <c r="V123" i="33"/>
  <c r="T123" i="33"/>
  <c r="R109" i="30"/>
  <c r="D118" i="30"/>
  <c r="F118" i="30" s="1"/>
  <c r="H118" i="30" s="1"/>
  <c r="AE114" i="30"/>
  <c r="AG114" i="30" s="1"/>
  <c r="AE118" i="30"/>
  <c r="D114" i="30"/>
  <c r="F114" i="30" s="1"/>
  <c r="H114" i="30" s="1"/>
  <c r="R113" i="30"/>
  <c r="AE124" i="32"/>
  <c r="AG124" i="32" s="1"/>
  <c r="D124" i="32"/>
  <c r="R123" i="32"/>
  <c r="AE128" i="32"/>
  <c r="R103" i="28"/>
  <c r="V103" i="28" s="1"/>
  <c r="H99" i="29"/>
  <c r="H100" i="29" s="1"/>
  <c r="J100" i="29" s="1"/>
  <c r="F100" i="29"/>
  <c r="J99" i="29" s="1"/>
  <c r="H135" i="59"/>
  <c r="J150" i="35"/>
  <c r="N150" i="35" s="1"/>
  <c r="AQ150" i="35" s="1"/>
  <c r="J149" i="35"/>
  <c r="N149" i="35" s="1"/>
  <c r="AQ149" i="35" s="1"/>
  <c r="J129" i="35"/>
  <c r="N129" i="35" s="1"/>
  <c r="AQ129" i="35" s="1"/>
  <c r="J130" i="35"/>
  <c r="N130" i="35" s="1"/>
  <c r="AQ130" i="35" s="1"/>
  <c r="T99" i="29"/>
  <c r="T100" i="29" s="1"/>
  <c r="X99" i="29" s="1"/>
  <c r="V99" i="29"/>
  <c r="V100" i="29" s="1"/>
  <c r="J140" i="35"/>
  <c r="N140" i="35" s="1"/>
  <c r="AQ140" i="35" s="1"/>
  <c r="J139" i="35"/>
  <c r="N139" i="35" s="1"/>
  <c r="AQ139" i="35" s="1"/>
  <c r="D460" i="65"/>
  <c r="A460" i="65" s="1"/>
  <c r="J460" i="66"/>
  <c r="B460" i="65" s="1"/>
  <c r="I460" i="66"/>
  <c r="B457" i="66"/>
  <c r="A457" i="66"/>
  <c r="H103" i="28"/>
  <c r="T118" i="32"/>
  <c r="V118" i="32"/>
  <c r="T109" i="31"/>
  <c r="T110" i="31" s="1"/>
  <c r="X109" i="31" s="1"/>
  <c r="V109" i="31"/>
  <c r="V110" i="31" s="1"/>
  <c r="F144" i="34"/>
  <c r="H144" i="34" s="1"/>
  <c r="J142" i="34"/>
  <c r="T143" i="34"/>
  <c r="V143" i="34"/>
  <c r="F139" i="34"/>
  <c r="H139" i="34" s="1"/>
  <c r="J137" i="34"/>
  <c r="AG113" i="30"/>
  <c r="F117" i="30"/>
  <c r="D520" i="65"/>
  <c r="A520" i="65" s="1"/>
  <c r="I520" i="66"/>
  <c r="J520" i="66"/>
  <c r="B520" i="65" s="1"/>
  <c r="AI131" i="59"/>
  <c r="AI132" i="59" s="1"/>
  <c r="AK132" i="59" s="1"/>
  <c r="AE131" i="59"/>
  <c r="A351" i="65"/>
  <c r="AG17" i="25"/>
  <c r="AD1" i="25"/>
  <c r="AE1" i="25" s="1"/>
  <c r="T93" i="27"/>
  <c r="J92" i="27"/>
  <c r="J95" i="27" s="1"/>
  <c r="N95" i="27" s="1"/>
  <c r="AQ95" i="27" s="1"/>
  <c r="AR70" i="30"/>
  <c r="AK80" i="32"/>
  <c r="AM80" i="32" s="1"/>
  <c r="AS80" i="32" s="1"/>
  <c r="AT80" i="32" s="1"/>
  <c r="E14" i="32" s="1"/>
  <c r="Z80" i="32"/>
  <c r="AB80" i="32" s="1"/>
  <c r="L85" i="32"/>
  <c r="N85" i="32" s="1"/>
  <c r="AQ85" i="32" s="1"/>
  <c r="AK79" i="32"/>
  <c r="AM79" i="32" s="1"/>
  <c r="AS79" i="32" s="1"/>
  <c r="Z79" i="32"/>
  <c r="AB79" i="32" s="1"/>
  <c r="L84" i="32"/>
  <c r="N84" i="32" s="1"/>
  <c r="AQ84" i="32" s="1"/>
  <c r="V85" i="26"/>
  <c r="X85" i="26" s="1"/>
  <c r="AI90" i="27"/>
  <c r="AE98" i="26"/>
  <c r="AG98" i="26" s="1"/>
  <c r="D94" i="26"/>
  <c r="F94" i="26" s="1"/>
  <c r="H94" i="26" s="1"/>
  <c r="AI100" i="29"/>
  <c r="X80" i="26"/>
  <c r="H84" i="26"/>
  <c r="H85" i="26" s="1"/>
  <c r="J85" i="26" s="1"/>
  <c r="F85" i="26"/>
  <c r="J84" i="26" s="1"/>
  <c r="T98" i="28"/>
  <c r="V98" i="28"/>
  <c r="AE103" i="27"/>
  <c r="R98" i="27"/>
  <c r="AE99" i="27"/>
  <c r="D99" i="27"/>
  <c r="AG99" i="28"/>
  <c r="AG100" i="28" s="1"/>
  <c r="AE100" i="28"/>
  <c r="AI99" i="28" s="1"/>
  <c r="AI105" i="29"/>
  <c r="AR69" i="28"/>
  <c r="AR70" i="28"/>
  <c r="H89" i="27"/>
  <c r="H90" i="27" s="1"/>
  <c r="J90" i="27" s="1"/>
  <c r="F90" i="27"/>
  <c r="F99" i="28"/>
  <c r="J97" i="28"/>
  <c r="AE105" i="28"/>
  <c r="AI104" i="28" s="1"/>
  <c r="AG103" i="28"/>
  <c r="AG105" i="28" s="1"/>
  <c r="AI85" i="26"/>
  <c r="AI95" i="27"/>
  <c r="F89" i="26"/>
  <c r="J87" i="26"/>
  <c r="AG93" i="26"/>
  <c r="AG95" i="26" s="1"/>
  <c r="AE95" i="26"/>
  <c r="AI94" i="26" s="1"/>
  <c r="AA21" i="53"/>
  <c r="AG21" i="53" s="1"/>
  <c r="Y20" i="53"/>
  <c r="X21" i="53" s="1"/>
  <c r="AV17" i="1"/>
  <c r="H19" i="3"/>
  <c r="I19" i="3" s="1"/>
  <c r="D19" i="3"/>
  <c r="F19" i="3" s="1"/>
  <c r="G19" i="3" s="1"/>
  <c r="AZ21" i="61"/>
  <c r="C25" i="33"/>
  <c r="AP21" i="4"/>
  <c r="B21" i="4"/>
  <c r="AV25" i="61"/>
  <c r="AM28" i="68" s="1"/>
  <c r="B25" i="8"/>
  <c r="C21" i="29"/>
  <c r="AP25" i="8"/>
  <c r="AT27" i="61"/>
  <c r="AK30" i="68" s="1"/>
  <c r="C19" i="27"/>
  <c r="R103" i="27" s="1"/>
  <c r="B27" i="10"/>
  <c r="AP27" i="10"/>
  <c r="H18" i="2"/>
  <c r="I18" i="2" s="1"/>
  <c r="D18" i="2"/>
  <c r="F18" i="2" s="1"/>
  <c r="G18" i="2" s="1"/>
  <c r="AA20" i="21"/>
  <c r="AG20" i="21" s="1"/>
  <c r="Y19" i="21"/>
  <c r="X20" i="21" s="1"/>
  <c r="AA25" i="15"/>
  <c r="AG25" i="15" s="1"/>
  <c r="Y24" i="15"/>
  <c r="H25" i="9"/>
  <c r="I25" i="9" s="1"/>
  <c r="D25" i="9"/>
  <c r="F25" i="9" s="1"/>
  <c r="G25" i="9" s="1"/>
  <c r="AA20" i="20"/>
  <c r="AG20" i="20" s="1"/>
  <c r="Y19" i="20"/>
  <c r="X20" i="20" s="1"/>
  <c r="AV27" i="11"/>
  <c r="AV23" i="7"/>
  <c r="BC18" i="61"/>
  <c r="AP18" i="1"/>
  <c r="B18" i="1"/>
  <c r="C28" i="36"/>
  <c r="H28" i="12"/>
  <c r="I28" i="12" s="1"/>
  <c r="I29" i="12" s="1"/>
  <c r="I39" i="12" s="1"/>
  <c r="D28" i="12"/>
  <c r="S7" i="12"/>
  <c r="H20" i="4"/>
  <c r="I20" i="4" s="1"/>
  <c r="D20" i="4"/>
  <c r="F20" i="4" s="1"/>
  <c r="G20" i="4" s="1"/>
  <c r="AA28" i="13"/>
  <c r="AG28" i="13" s="1"/>
  <c r="Y27" i="13"/>
  <c r="X28" i="13" s="1"/>
  <c r="AA23" i="18"/>
  <c r="AG23" i="18" s="1"/>
  <c r="Y22" i="18"/>
  <c r="X23" i="18" s="1"/>
  <c r="AE90" i="26"/>
  <c r="AI89" i="26" s="1"/>
  <c r="X17" i="24"/>
  <c r="AA17" i="24"/>
  <c r="X16" i="24"/>
  <c r="H22" i="6"/>
  <c r="I22" i="6" s="1"/>
  <c r="D22" i="6"/>
  <c r="F22" i="6" s="1"/>
  <c r="G22" i="6" s="1"/>
  <c r="H26" i="10"/>
  <c r="I26" i="10" s="1"/>
  <c r="D26" i="10"/>
  <c r="F26" i="10" s="1"/>
  <c r="G26" i="10" s="1"/>
  <c r="AA18" i="23"/>
  <c r="AG18" i="23" s="1"/>
  <c r="Y17" i="23"/>
  <c r="Y16" i="23" s="1"/>
  <c r="AA27" i="14"/>
  <c r="AG27" i="14" s="1"/>
  <c r="Y26" i="14"/>
  <c r="AY22" i="61"/>
  <c r="AP25" i="68" s="1"/>
  <c r="AP22" i="5"/>
  <c r="B22" i="5"/>
  <c r="C24" i="32"/>
  <c r="G28" i="14"/>
  <c r="G29" i="14" s="1"/>
  <c r="I38" i="14" s="1"/>
  <c r="F29" i="14"/>
  <c r="I36" i="14" s="1"/>
  <c r="AA23" i="17"/>
  <c r="AG23" i="17" s="1"/>
  <c r="Y22" i="17"/>
  <c r="AU26" i="61"/>
  <c r="AL29" i="68" s="1"/>
  <c r="C20" i="28"/>
  <c r="AP26" i="9"/>
  <c r="B26" i="9"/>
  <c r="AV18" i="2"/>
  <c r="H27" i="11"/>
  <c r="I27" i="11" s="1"/>
  <c r="D27" i="11"/>
  <c r="F27" i="11" s="1"/>
  <c r="G27" i="11" s="1"/>
  <c r="V88" i="26"/>
  <c r="T88" i="26"/>
  <c r="D23" i="7"/>
  <c r="F23" i="7" s="1"/>
  <c r="G23" i="7" s="1"/>
  <c r="H23" i="7"/>
  <c r="I23" i="7" s="1"/>
  <c r="AV19" i="3"/>
  <c r="AV28" i="12"/>
  <c r="Y28" i="12"/>
  <c r="BG7" i="12"/>
  <c r="J89" i="27"/>
  <c r="AV24" i="8"/>
  <c r="AG90" i="26"/>
  <c r="AV22" i="6"/>
  <c r="AV26" i="10"/>
  <c r="F28" i="13"/>
  <c r="D29" i="13"/>
  <c r="I35" i="13" s="1"/>
  <c r="H21" i="5"/>
  <c r="I21" i="5" s="1"/>
  <c r="D21" i="5"/>
  <c r="F21" i="5" s="1"/>
  <c r="G21" i="5" s="1"/>
  <c r="AA19" i="22"/>
  <c r="AG19" i="22" s="1"/>
  <c r="Y18" i="22"/>
  <c r="AV25" i="9"/>
  <c r="AA24" i="16"/>
  <c r="AG24" i="16" s="1"/>
  <c r="Y23" i="16"/>
  <c r="AV21" i="5"/>
  <c r="X21" i="21"/>
  <c r="X26" i="15"/>
  <c r="BB19" i="61"/>
  <c r="C27" i="35"/>
  <c r="B19" i="2"/>
  <c r="AP19" i="2"/>
  <c r="AG15" i="1"/>
  <c r="X21" i="20"/>
  <c r="U33" i="61"/>
  <c r="AP28" i="11"/>
  <c r="C18" i="26"/>
  <c r="B28" i="11"/>
  <c r="AW24" i="61"/>
  <c r="AN27" i="68" s="1"/>
  <c r="C22" i="30"/>
  <c r="AP24" i="7"/>
  <c r="B24" i="7"/>
  <c r="H17" i="1"/>
  <c r="I17" i="1" s="1"/>
  <c r="D17" i="1"/>
  <c r="F17" i="1" s="1"/>
  <c r="G17" i="1" s="1"/>
  <c r="BA20" i="61"/>
  <c r="B20" i="3"/>
  <c r="C26" i="34"/>
  <c r="AP20" i="3"/>
  <c r="AG15" i="2"/>
  <c r="AV20" i="4"/>
  <c r="H24" i="8"/>
  <c r="I24" i="8" s="1"/>
  <c r="D24" i="8"/>
  <c r="F24" i="8" s="1"/>
  <c r="G24" i="8" s="1"/>
  <c r="AA21" i="19"/>
  <c r="AG21" i="19" s="1"/>
  <c r="Y20" i="19"/>
  <c r="X21" i="19" s="1"/>
  <c r="X18" i="24"/>
  <c r="AX23" i="61"/>
  <c r="B23" i="6"/>
  <c r="C23" i="59"/>
  <c r="C23" i="31"/>
  <c r="AP23" i="6"/>
  <c r="DB113" i="61" l="1"/>
  <c r="AT21" i="68"/>
  <c r="CY116" i="61"/>
  <c r="AQ24" i="68"/>
  <c r="EX146" i="61"/>
  <c r="GI146" i="61" s="1"/>
  <c r="O25" i="64" s="1"/>
  <c r="AO26" i="68"/>
  <c r="CZ115" i="61"/>
  <c r="AR23" i="68"/>
  <c r="DA114" i="61"/>
  <c r="AS22" i="68"/>
  <c r="AI115" i="31"/>
  <c r="DG112" i="61"/>
  <c r="DF112" i="61"/>
  <c r="CC111" i="61"/>
  <c r="BY111" i="61"/>
  <c r="BU111" i="61"/>
  <c r="BQ111" i="61"/>
  <c r="BM111" i="61"/>
  <c r="BI111" i="61"/>
  <c r="CA111" i="61"/>
  <c r="BW111" i="61"/>
  <c r="BS111" i="61"/>
  <c r="BO111" i="61"/>
  <c r="BK111" i="61"/>
  <c r="BG111" i="61"/>
  <c r="CB111" i="61"/>
  <c r="BT111" i="61"/>
  <c r="BL111" i="61"/>
  <c r="BX111" i="61"/>
  <c r="BP111" i="61"/>
  <c r="BH111" i="61"/>
  <c r="BZ111" i="61"/>
  <c r="BJ111" i="61"/>
  <c r="BF111" i="61"/>
  <c r="BV111" i="61"/>
  <c r="BR111" i="61"/>
  <c r="BN111" i="61"/>
  <c r="BE111" i="61"/>
  <c r="AI130" i="34"/>
  <c r="AA16" i="23"/>
  <c r="X15" i="23"/>
  <c r="AG16" i="24"/>
  <c r="X1" i="24"/>
  <c r="AG16" i="25"/>
  <c r="X1" i="25"/>
  <c r="T103" i="28"/>
  <c r="GH136" i="61"/>
  <c r="N15" i="64" s="1"/>
  <c r="ES135" i="61"/>
  <c r="H14" i="64" s="1"/>
  <c r="AG130" i="33"/>
  <c r="T93" i="26"/>
  <c r="AG120" i="31"/>
  <c r="K14" i="64"/>
  <c r="GC136" i="61"/>
  <c r="GD136" i="61" s="1"/>
  <c r="ET135" i="61"/>
  <c r="EY135" i="61"/>
  <c r="ER136" i="61"/>
  <c r="EL138" i="61"/>
  <c r="FX138" i="61"/>
  <c r="EB138" i="61"/>
  <c r="FN138" i="61"/>
  <c r="DZ138" i="61"/>
  <c r="FL138" i="61"/>
  <c r="EG138" i="61"/>
  <c r="FS138" i="61"/>
  <c r="EM138" i="61"/>
  <c r="FY138" i="61"/>
  <c r="DW138" i="61"/>
  <c r="FI138" i="61"/>
  <c r="EN138" i="61"/>
  <c r="FZ138" i="61"/>
  <c r="ED138" i="61"/>
  <c r="FP138" i="61"/>
  <c r="DT138" i="61"/>
  <c r="FF138" i="61"/>
  <c r="EC138" i="61"/>
  <c r="FO138" i="61"/>
  <c r="EI138" i="61"/>
  <c r="FU138" i="61"/>
  <c r="DS138" i="61"/>
  <c r="FE138" i="61"/>
  <c r="EF138" i="61"/>
  <c r="FR138" i="61"/>
  <c r="DV138" i="61"/>
  <c r="FH138" i="61"/>
  <c r="GB138" i="61"/>
  <c r="EO138" i="61"/>
  <c r="GA138" i="61"/>
  <c r="DY138" i="61"/>
  <c r="FK138" i="61"/>
  <c r="EE138" i="61"/>
  <c r="FQ138" i="61"/>
  <c r="DR137" i="61"/>
  <c r="EZ137" i="61" s="1"/>
  <c r="FD137" i="61"/>
  <c r="GE137" i="61" s="1"/>
  <c r="L16" i="64" s="1"/>
  <c r="DX138" i="61"/>
  <c r="FJ138" i="61"/>
  <c r="EJ138" i="61"/>
  <c r="FV138" i="61"/>
  <c r="EH138" i="61"/>
  <c r="FT138" i="61"/>
  <c r="EK138" i="61"/>
  <c r="FW138" i="61"/>
  <c r="DU138" i="61"/>
  <c r="FG138" i="61"/>
  <c r="EA138" i="61"/>
  <c r="FM138" i="61"/>
  <c r="DO111" i="61"/>
  <c r="DS111" i="61"/>
  <c r="DW111" i="61"/>
  <c r="EA111" i="61"/>
  <c r="EE111" i="61"/>
  <c r="EI111" i="61"/>
  <c r="EP139" i="61" s="1"/>
  <c r="DM111" i="61"/>
  <c r="DQ111" i="61"/>
  <c r="DU111" i="61"/>
  <c r="DY111" i="61"/>
  <c r="EC111" i="61"/>
  <c r="EG111" i="61"/>
  <c r="DR111" i="61"/>
  <c r="EH111" i="61"/>
  <c r="DL111" i="61"/>
  <c r="DT111" i="61"/>
  <c r="EB111" i="61"/>
  <c r="ED111" i="61"/>
  <c r="DN111" i="61"/>
  <c r="DV111" i="61"/>
  <c r="DP111" i="61"/>
  <c r="DX111" i="61"/>
  <c r="EF111" i="61"/>
  <c r="DZ111" i="61"/>
  <c r="EU138" i="61"/>
  <c r="EV138" i="61" s="1"/>
  <c r="DK110" i="61"/>
  <c r="CX117" i="61"/>
  <c r="J94" i="27"/>
  <c r="N94" i="27" s="1"/>
  <c r="AQ94" i="27" s="1"/>
  <c r="DD113" i="61"/>
  <c r="J92" i="26"/>
  <c r="J95" i="26" s="1"/>
  <c r="N95" i="26" s="1"/>
  <c r="AQ95" i="26" s="1"/>
  <c r="F104" i="28"/>
  <c r="H104" i="28" s="1"/>
  <c r="AE130" i="33"/>
  <c r="AI129" i="33" s="1"/>
  <c r="AI130" i="33" s="1"/>
  <c r="AG115" i="30"/>
  <c r="AI135" i="34"/>
  <c r="AE115" i="30"/>
  <c r="AI114" i="30" s="1"/>
  <c r="AI145" i="34"/>
  <c r="AI110" i="30"/>
  <c r="X105" i="30"/>
  <c r="X90" i="28"/>
  <c r="X100" i="29"/>
  <c r="X110" i="31"/>
  <c r="X115" i="32"/>
  <c r="D139" i="32"/>
  <c r="R133" i="32"/>
  <c r="D129" i="32"/>
  <c r="AE148" i="32"/>
  <c r="R143" i="32"/>
  <c r="AE139" i="32"/>
  <c r="AG139" i="32" s="1"/>
  <c r="D134" i="32"/>
  <c r="D149" i="32"/>
  <c r="AE133" i="32"/>
  <c r="R138" i="32"/>
  <c r="AE143" i="32"/>
  <c r="D144" i="32"/>
  <c r="R148" i="32"/>
  <c r="AE144" i="32"/>
  <c r="AG144" i="32" s="1"/>
  <c r="AE129" i="32"/>
  <c r="AG129" i="32" s="1"/>
  <c r="AE149" i="32"/>
  <c r="AG149" i="32" s="1"/>
  <c r="R128" i="32"/>
  <c r="AE134" i="32"/>
  <c r="AG134" i="32" s="1"/>
  <c r="AE138" i="32"/>
  <c r="CW118" i="61"/>
  <c r="D421" i="66"/>
  <c r="L442" i="66"/>
  <c r="R89" i="26"/>
  <c r="D103" i="26"/>
  <c r="F103" i="26" s="1"/>
  <c r="R102" i="26"/>
  <c r="D107" i="26"/>
  <c r="F107" i="26" s="1"/>
  <c r="H99" i="28"/>
  <c r="H100" i="28" s="1"/>
  <c r="J100" i="28" s="1"/>
  <c r="F100" i="28"/>
  <c r="J99" i="28" s="1"/>
  <c r="J140" i="34"/>
  <c r="N140" i="34" s="1"/>
  <c r="AQ140" i="34" s="1"/>
  <c r="J139" i="34"/>
  <c r="N139" i="34" s="1"/>
  <c r="AQ139" i="34" s="1"/>
  <c r="J145" i="34"/>
  <c r="N145" i="34" s="1"/>
  <c r="AQ145" i="34" s="1"/>
  <c r="J144" i="34"/>
  <c r="N144" i="34" s="1"/>
  <c r="AQ144" i="34" s="1"/>
  <c r="J150" i="34"/>
  <c r="N150" i="34" s="1"/>
  <c r="AQ150" i="34" s="1"/>
  <c r="J149" i="34"/>
  <c r="N149" i="34" s="1"/>
  <c r="AQ149" i="34" s="1"/>
  <c r="AE120" i="31"/>
  <c r="AI119" i="31" s="1"/>
  <c r="D461" i="65"/>
  <c r="A461" i="65" s="1"/>
  <c r="J461" i="66"/>
  <c r="B461" i="65" s="1"/>
  <c r="I461" i="66"/>
  <c r="AI142" i="59"/>
  <c r="AE142" i="59"/>
  <c r="H107" i="27"/>
  <c r="J124" i="33"/>
  <c r="N124" i="33" s="1"/>
  <c r="AQ124" i="33" s="1"/>
  <c r="J125" i="33"/>
  <c r="N125" i="33" s="1"/>
  <c r="AQ125" i="33" s="1"/>
  <c r="AI150" i="34"/>
  <c r="J134" i="34"/>
  <c r="N134" i="34" s="1"/>
  <c r="AQ134" i="34" s="1"/>
  <c r="J135" i="34"/>
  <c r="N135" i="34" s="1"/>
  <c r="AQ135" i="34" s="1"/>
  <c r="V99" i="28"/>
  <c r="V100" i="28" s="1"/>
  <c r="T99" i="28"/>
  <c r="T100" i="28" s="1"/>
  <c r="X99" i="28" s="1"/>
  <c r="F119" i="31"/>
  <c r="J117" i="31"/>
  <c r="V114" i="31"/>
  <c r="V115" i="31" s="1"/>
  <c r="T114" i="31"/>
  <c r="T115" i="31" s="1"/>
  <c r="X114" i="31" s="1"/>
  <c r="V108" i="29"/>
  <c r="T108" i="29"/>
  <c r="F117" i="29"/>
  <c r="AG125" i="32"/>
  <c r="D481" i="65"/>
  <c r="A481" i="65" s="1"/>
  <c r="I481" i="66"/>
  <c r="J481" i="66"/>
  <c r="B481" i="65" s="1"/>
  <c r="V133" i="33"/>
  <c r="T133" i="33"/>
  <c r="F129" i="33"/>
  <c r="H129" i="33" s="1"/>
  <c r="J127" i="33"/>
  <c r="AG138" i="33"/>
  <c r="AG140" i="33" s="1"/>
  <c r="AE140" i="33"/>
  <c r="AI139" i="33" s="1"/>
  <c r="V148" i="33"/>
  <c r="T148" i="33"/>
  <c r="R114" i="30"/>
  <c r="D119" i="30"/>
  <c r="F119" i="30" s="1"/>
  <c r="H119" i="30" s="1"/>
  <c r="AE123" i="30"/>
  <c r="R118" i="30"/>
  <c r="AE119" i="30"/>
  <c r="AG119" i="30" s="1"/>
  <c r="R104" i="28"/>
  <c r="D113" i="28"/>
  <c r="D117" i="28"/>
  <c r="R112" i="28"/>
  <c r="D109" i="28"/>
  <c r="AE109" i="28"/>
  <c r="AE113" i="28"/>
  <c r="R108" i="28"/>
  <c r="R109" i="29"/>
  <c r="D118" i="29"/>
  <c r="F118" i="29" s="1"/>
  <c r="H118" i="29" s="1"/>
  <c r="R113" i="29"/>
  <c r="AE114" i="29"/>
  <c r="AG114" i="29" s="1"/>
  <c r="D114" i="29"/>
  <c r="F114" i="29" s="1"/>
  <c r="H114" i="29" s="1"/>
  <c r="AE118" i="29"/>
  <c r="D104" i="27"/>
  <c r="F104" i="27" s="1"/>
  <c r="H104" i="27" s="1"/>
  <c r="H117" i="30"/>
  <c r="AG128" i="32"/>
  <c r="V113" i="30"/>
  <c r="T113" i="30"/>
  <c r="D421" i="65"/>
  <c r="A421" i="65" s="1"/>
  <c r="J421" i="66"/>
  <c r="B421" i="65" s="1"/>
  <c r="I421" i="66"/>
  <c r="B439" i="66"/>
  <c r="A439" i="66"/>
  <c r="AE137" i="59"/>
  <c r="AI137" i="59"/>
  <c r="AI138" i="59" s="1"/>
  <c r="T102" i="27"/>
  <c r="V102" i="27"/>
  <c r="V107" i="28"/>
  <c r="T107" i="28"/>
  <c r="D441" i="65"/>
  <c r="A441" i="65" s="1"/>
  <c r="J441" i="66"/>
  <c r="B441" i="65" s="1"/>
  <c r="I441" i="66"/>
  <c r="AG123" i="31"/>
  <c r="D521" i="65"/>
  <c r="A521" i="65" s="1"/>
  <c r="J521" i="66"/>
  <c r="B521" i="65" s="1"/>
  <c r="I521" i="66"/>
  <c r="AG113" i="29"/>
  <c r="V112" i="29"/>
  <c r="T112" i="29"/>
  <c r="AE125" i="32"/>
  <c r="AI124" i="32" s="1"/>
  <c r="J115" i="31"/>
  <c r="J114" i="31"/>
  <c r="B458" i="66"/>
  <c r="A458" i="66"/>
  <c r="AG143" i="33"/>
  <c r="AG145" i="33" s="1"/>
  <c r="AE145" i="33"/>
  <c r="AI144" i="33" s="1"/>
  <c r="T128" i="33"/>
  <c r="V128" i="33"/>
  <c r="T143" i="33"/>
  <c r="V143" i="33"/>
  <c r="F144" i="33"/>
  <c r="H144" i="33" s="1"/>
  <c r="J142" i="33"/>
  <c r="AE128" i="31"/>
  <c r="R123" i="31"/>
  <c r="AE124" i="31"/>
  <c r="AG124" i="31" s="1"/>
  <c r="D124" i="31"/>
  <c r="AG148" i="59"/>
  <c r="D143" i="59"/>
  <c r="R142" i="59"/>
  <c r="AG143" i="59"/>
  <c r="AG144" i="59" s="1"/>
  <c r="AK143" i="59" s="1"/>
  <c r="CV119" i="61"/>
  <c r="D440" i="66"/>
  <c r="L462" i="66"/>
  <c r="CT121" i="61"/>
  <c r="D478" i="66"/>
  <c r="L502" i="66"/>
  <c r="D108" i="27"/>
  <c r="F108" i="27" s="1"/>
  <c r="H108" i="27" s="1"/>
  <c r="R99" i="27"/>
  <c r="D112" i="27"/>
  <c r="F112" i="27" s="1"/>
  <c r="R107" i="27"/>
  <c r="AE108" i="27"/>
  <c r="AG108" i="27" s="1"/>
  <c r="F105" i="28"/>
  <c r="J104" i="28" s="1"/>
  <c r="T123" i="32"/>
  <c r="V123" i="32"/>
  <c r="V109" i="30"/>
  <c r="V110" i="30" s="1"/>
  <c r="T109" i="30"/>
  <c r="T110" i="30" s="1"/>
  <c r="X109" i="30" s="1"/>
  <c r="AG138" i="59"/>
  <c r="AK137" i="59" s="1"/>
  <c r="AI140" i="34"/>
  <c r="D501" i="65"/>
  <c r="A501" i="65" s="1"/>
  <c r="J501" i="66"/>
  <c r="B501" i="65" s="1"/>
  <c r="I501" i="66"/>
  <c r="B401" i="66"/>
  <c r="A401" i="66"/>
  <c r="T136" i="59"/>
  <c r="V136" i="59"/>
  <c r="H103" i="27"/>
  <c r="X126" i="59"/>
  <c r="J130" i="34"/>
  <c r="N130" i="34" s="1"/>
  <c r="AQ130" i="34" s="1"/>
  <c r="J129" i="34"/>
  <c r="N129" i="34" s="1"/>
  <c r="AQ129" i="34" s="1"/>
  <c r="H112" i="28"/>
  <c r="B420" i="66"/>
  <c r="A420" i="66"/>
  <c r="V118" i="31"/>
  <c r="T118" i="31"/>
  <c r="B496" i="66"/>
  <c r="A496" i="66"/>
  <c r="AG109" i="29"/>
  <c r="AG110" i="29" s="1"/>
  <c r="AE110" i="29"/>
  <c r="AI109" i="29" s="1"/>
  <c r="F113" i="29"/>
  <c r="J112" i="29"/>
  <c r="J112" i="30"/>
  <c r="F149" i="33"/>
  <c r="H149" i="33" s="1"/>
  <c r="J147" i="33"/>
  <c r="AE150" i="33"/>
  <c r="AI149" i="33" s="1"/>
  <c r="AG148" i="33"/>
  <c r="AG150" i="33" s="1"/>
  <c r="AG133" i="33"/>
  <c r="AG135" i="33" s="1"/>
  <c r="AE135" i="33"/>
  <c r="AI134" i="33" s="1"/>
  <c r="CS122" i="61"/>
  <c r="D497" i="66"/>
  <c r="L522" i="66"/>
  <c r="CU120" i="61"/>
  <c r="D459" i="66"/>
  <c r="L482" i="66"/>
  <c r="AE104" i="27"/>
  <c r="AG104" i="27" s="1"/>
  <c r="H105" i="28"/>
  <c r="J105" i="28" s="1"/>
  <c r="F124" i="32"/>
  <c r="H124" i="32" s="1"/>
  <c r="J122" i="32"/>
  <c r="AG118" i="30"/>
  <c r="AE120" i="30"/>
  <c r="AI119" i="30" s="1"/>
  <c r="H119" i="32"/>
  <c r="H120" i="32" s="1"/>
  <c r="J120" i="32" s="1"/>
  <c r="F120" i="32"/>
  <c r="J119" i="32" s="1"/>
  <c r="B477" i="66"/>
  <c r="A477" i="66"/>
  <c r="F137" i="59"/>
  <c r="J135" i="59"/>
  <c r="V131" i="59"/>
  <c r="V132" i="59" s="1"/>
  <c r="T131" i="59"/>
  <c r="T132" i="59" s="1"/>
  <c r="X131" i="59" s="1"/>
  <c r="V89" i="27"/>
  <c r="V90" i="27" s="1"/>
  <c r="T89" i="27"/>
  <c r="T90" i="27" s="1"/>
  <c r="X89" i="27" s="1"/>
  <c r="H109" i="30"/>
  <c r="H110" i="30" s="1"/>
  <c r="J110" i="30" s="1"/>
  <c r="F110" i="30"/>
  <c r="J109" i="30" s="1"/>
  <c r="J107" i="29"/>
  <c r="F109" i="29"/>
  <c r="T104" i="29"/>
  <c r="T105" i="29" s="1"/>
  <c r="X104" i="29" s="1"/>
  <c r="V104" i="29"/>
  <c r="V105" i="29" s="1"/>
  <c r="H113" i="30"/>
  <c r="H115" i="30" s="1"/>
  <c r="F115" i="30"/>
  <c r="V138" i="33"/>
  <c r="T138" i="33"/>
  <c r="F139" i="33"/>
  <c r="H139" i="33" s="1"/>
  <c r="J137" i="33"/>
  <c r="J132" i="33"/>
  <c r="F134" i="33"/>
  <c r="H134" i="33" s="1"/>
  <c r="AW1" i="25"/>
  <c r="AH1" i="25"/>
  <c r="AD26" i="25"/>
  <c r="AB26" i="25" s="1"/>
  <c r="AD21" i="25"/>
  <c r="AB21" i="25" s="1"/>
  <c r="AD17" i="25"/>
  <c r="AB17" i="25" s="1"/>
  <c r="AD24" i="25"/>
  <c r="AB24" i="25" s="1"/>
  <c r="AD27" i="25"/>
  <c r="AB27" i="25" s="1"/>
  <c r="AD18" i="25"/>
  <c r="AB18" i="25" s="1"/>
  <c r="AD25" i="25"/>
  <c r="AB25" i="25" s="1"/>
  <c r="AD19" i="25"/>
  <c r="AB19" i="25" s="1"/>
  <c r="AD22" i="25"/>
  <c r="AB22" i="25" s="1"/>
  <c r="AD20" i="25"/>
  <c r="AB20" i="25" s="1"/>
  <c r="AD23" i="25"/>
  <c r="AB23" i="25" s="1"/>
  <c r="AD28" i="25"/>
  <c r="AB28" i="25" s="1"/>
  <c r="AR79" i="32"/>
  <c r="AR80" i="32"/>
  <c r="L90" i="32"/>
  <c r="N90" i="32" s="1"/>
  <c r="AQ90" i="32" s="1"/>
  <c r="AK85" i="32"/>
  <c r="AM85" i="32" s="1"/>
  <c r="AS85" i="32" s="1"/>
  <c r="Z85" i="32"/>
  <c r="AB85" i="32" s="1"/>
  <c r="AI90" i="26"/>
  <c r="AI105" i="28"/>
  <c r="H89" i="26"/>
  <c r="H90" i="26" s="1"/>
  <c r="J90" i="26" s="1"/>
  <c r="F90" i="26"/>
  <c r="J89" i="26" s="1"/>
  <c r="AI100" i="28"/>
  <c r="F99" i="27"/>
  <c r="J97" i="27"/>
  <c r="T98" i="27"/>
  <c r="V98" i="27"/>
  <c r="AE99" i="26"/>
  <c r="AE103" i="26"/>
  <c r="R98" i="26"/>
  <c r="D99" i="26"/>
  <c r="AG103" i="27"/>
  <c r="Z69" i="27"/>
  <c r="AB69" i="27" s="1"/>
  <c r="AG99" i="27"/>
  <c r="AG100" i="27" s="1"/>
  <c r="AE100" i="27"/>
  <c r="AI99" i="27" s="1"/>
  <c r="V103" i="27"/>
  <c r="T103" i="27"/>
  <c r="AX24" i="61"/>
  <c r="AP24" i="6"/>
  <c r="C23" i="30"/>
  <c r="B24" i="6"/>
  <c r="BA21" i="61"/>
  <c r="AP21" i="3"/>
  <c r="B21" i="3"/>
  <c r="C26" i="33"/>
  <c r="AV20" i="3"/>
  <c r="AW25" i="61"/>
  <c r="AN28" i="68" s="1"/>
  <c r="B25" i="7"/>
  <c r="C22" i="29"/>
  <c r="AP25" i="7"/>
  <c r="AV28" i="11"/>
  <c r="Y28" i="11"/>
  <c r="Y27" i="11" s="1"/>
  <c r="BG7" i="11"/>
  <c r="AF15" i="1"/>
  <c r="AA18" i="22"/>
  <c r="AG18" i="22" s="1"/>
  <c r="Y17" i="22"/>
  <c r="AU27" i="61"/>
  <c r="AL30" i="68" s="1"/>
  <c r="B27" i="9"/>
  <c r="AP27" i="9"/>
  <c r="C20" i="27"/>
  <c r="AA22" i="17"/>
  <c r="AG22" i="17" s="1"/>
  <c r="Y21" i="17"/>
  <c r="X22" i="17" s="1"/>
  <c r="AV22" i="5"/>
  <c r="X17" i="23"/>
  <c r="AA17" i="23"/>
  <c r="X16" i="23"/>
  <c r="H18" i="1"/>
  <c r="I18" i="1" s="1"/>
  <c r="D18" i="1"/>
  <c r="F18" i="1" s="1"/>
  <c r="G18" i="1" s="1"/>
  <c r="H25" i="8"/>
  <c r="I25" i="8" s="1"/>
  <c r="D25" i="8"/>
  <c r="F25" i="8" s="1"/>
  <c r="G25" i="8" s="1"/>
  <c r="AV21" i="4"/>
  <c r="AF15" i="2"/>
  <c r="H24" i="7"/>
  <c r="I24" i="7" s="1"/>
  <c r="D24" i="7"/>
  <c r="F24" i="7" s="1"/>
  <c r="G24" i="7" s="1"/>
  <c r="BB20" i="61"/>
  <c r="B20" i="2"/>
  <c r="AP20" i="2"/>
  <c r="C27" i="34"/>
  <c r="AA23" i="16"/>
  <c r="AG23" i="16" s="1"/>
  <c r="Y22" i="16"/>
  <c r="X23" i="16" s="1"/>
  <c r="H26" i="9"/>
  <c r="I26" i="9" s="1"/>
  <c r="D26" i="9"/>
  <c r="F26" i="9" s="1"/>
  <c r="G26" i="9" s="1"/>
  <c r="AY23" i="61"/>
  <c r="AP26" i="68" s="1"/>
  <c r="C24" i="31"/>
  <c r="B23" i="5"/>
  <c r="C24" i="59"/>
  <c r="AP23" i="5"/>
  <c r="AA26" i="14"/>
  <c r="AG26" i="14" s="1"/>
  <c r="Y25" i="14"/>
  <c r="X26" i="14" s="1"/>
  <c r="AD1" i="24"/>
  <c r="AG17" i="24"/>
  <c r="F28" i="12"/>
  <c r="D29" i="12"/>
  <c r="I35" i="12" s="1"/>
  <c r="AV18" i="1"/>
  <c r="AA24" i="15"/>
  <c r="AG24" i="15" s="1"/>
  <c r="Y23" i="15"/>
  <c r="X24" i="15" s="1"/>
  <c r="AA19" i="21"/>
  <c r="AG19" i="21" s="1"/>
  <c r="Y18" i="21"/>
  <c r="C19" i="26"/>
  <c r="AP28" i="10"/>
  <c r="V33" i="61"/>
  <c r="B28" i="10"/>
  <c r="AV26" i="61"/>
  <c r="AM29" i="68" s="1"/>
  <c r="B26" i="8"/>
  <c r="C21" i="28"/>
  <c r="AP26" i="8"/>
  <c r="D23" i="6"/>
  <c r="F23" i="6" s="1"/>
  <c r="G23" i="6" s="1"/>
  <c r="H23" i="6"/>
  <c r="I23" i="6" s="1"/>
  <c r="AA20" i="19"/>
  <c r="AG20" i="19" s="1"/>
  <c r="Y19" i="19"/>
  <c r="X20" i="19" s="1"/>
  <c r="H20" i="3"/>
  <c r="I20" i="3" s="1"/>
  <c r="D20" i="3"/>
  <c r="F20" i="3" s="1"/>
  <c r="G20" i="3" s="1"/>
  <c r="AV24" i="7"/>
  <c r="H28" i="11"/>
  <c r="I28" i="11" s="1"/>
  <c r="I29" i="11" s="1"/>
  <c r="I39" i="11" s="1"/>
  <c r="D28" i="11"/>
  <c r="S7" i="11"/>
  <c r="AV19" i="2"/>
  <c r="X19" i="22"/>
  <c r="AA28" i="12"/>
  <c r="AG28" i="12" s="1"/>
  <c r="Y27" i="12"/>
  <c r="AV26" i="9"/>
  <c r="X23" i="17"/>
  <c r="X18" i="23"/>
  <c r="BC19" i="61"/>
  <c r="AP19" i="1"/>
  <c r="C28" i="35"/>
  <c r="B19" i="1"/>
  <c r="AV27" i="10"/>
  <c r="AV25" i="8"/>
  <c r="AZ22" i="61"/>
  <c r="B22" i="4"/>
  <c r="AP22" i="4"/>
  <c r="C25" i="32"/>
  <c r="AA20" i="53"/>
  <c r="AG20" i="53" s="1"/>
  <c r="Y19" i="53"/>
  <c r="X20" i="53" s="1"/>
  <c r="AI95" i="26"/>
  <c r="AV23" i="6"/>
  <c r="H19" i="2"/>
  <c r="I19" i="2" s="1"/>
  <c r="D19" i="2"/>
  <c r="F19" i="2" s="1"/>
  <c r="G19" i="2" s="1"/>
  <c r="X24" i="16"/>
  <c r="G28" i="13"/>
  <c r="G29" i="13" s="1"/>
  <c r="I38" i="13" s="1"/>
  <c r="F29" i="13"/>
  <c r="I36" i="13" s="1"/>
  <c r="H22" i="5"/>
  <c r="I22" i="5" s="1"/>
  <c r="D22" i="5"/>
  <c r="F22" i="5" s="1"/>
  <c r="G22" i="5" s="1"/>
  <c r="X27" i="14"/>
  <c r="AA22" i="18"/>
  <c r="AG22" i="18" s="1"/>
  <c r="Y21" i="18"/>
  <c r="AA27" i="13"/>
  <c r="AG27" i="13" s="1"/>
  <c r="Y26" i="13"/>
  <c r="X27" i="13" s="1"/>
  <c r="AA19" i="20"/>
  <c r="AG19" i="20" s="1"/>
  <c r="Y18" i="20"/>
  <c r="X25" i="15"/>
  <c r="H27" i="10"/>
  <c r="I27" i="10" s="1"/>
  <c r="D27" i="10"/>
  <c r="F27" i="10" s="1"/>
  <c r="G27" i="10" s="1"/>
  <c r="H21" i="4"/>
  <c r="I21" i="4" s="1"/>
  <c r="D21" i="4"/>
  <c r="F21" i="4" s="1"/>
  <c r="G21" i="4" s="1"/>
  <c r="DB114" i="61" l="1"/>
  <c r="AT22" i="68"/>
  <c r="DA115" i="61"/>
  <c r="AS23" i="68"/>
  <c r="CY117" i="61"/>
  <c r="AQ25" i="68"/>
  <c r="CZ116" i="61"/>
  <c r="AR24" i="68"/>
  <c r="EX147" i="61"/>
  <c r="GI147" i="61" s="1"/>
  <c r="O26" i="64" s="1"/>
  <c r="AO27" i="68"/>
  <c r="DG113" i="61"/>
  <c r="DF113" i="61"/>
  <c r="CC112" i="61"/>
  <c r="BY112" i="61"/>
  <c r="BU112" i="61"/>
  <c r="BQ112" i="61"/>
  <c r="BM112" i="61"/>
  <c r="BI112" i="61"/>
  <c r="CA112" i="61"/>
  <c r="BW112" i="61"/>
  <c r="BS112" i="61"/>
  <c r="BO112" i="61"/>
  <c r="BK112" i="61"/>
  <c r="BG112" i="61"/>
  <c r="CB112" i="61"/>
  <c r="BT112" i="61"/>
  <c r="BL112" i="61"/>
  <c r="BX112" i="61"/>
  <c r="BP112" i="61"/>
  <c r="BH112" i="61"/>
  <c r="BF112" i="61"/>
  <c r="BR112" i="61"/>
  <c r="BN112" i="61"/>
  <c r="BZ112" i="61"/>
  <c r="BJ112" i="61"/>
  <c r="BV112" i="61"/>
  <c r="BE112" i="61"/>
  <c r="J94" i="26"/>
  <c r="N94" i="26" s="1"/>
  <c r="AQ94" i="26" s="1"/>
  <c r="AF16" i="24"/>
  <c r="AI1" i="24"/>
  <c r="AF16" i="25"/>
  <c r="AF17" i="25" s="1"/>
  <c r="AF18" i="25" s="1"/>
  <c r="AF19" i="25" s="1"/>
  <c r="AF20" i="25" s="1"/>
  <c r="AF21" i="25" s="1"/>
  <c r="AF22" i="25" s="1"/>
  <c r="AF23" i="25" s="1"/>
  <c r="AF24" i="25" s="1"/>
  <c r="AF25" i="25" s="1"/>
  <c r="AF26" i="25" s="1"/>
  <c r="AF27" i="25" s="1"/>
  <c r="AF28" i="25" s="1"/>
  <c r="AI1" i="25"/>
  <c r="X18" i="22"/>
  <c r="Y16" i="22"/>
  <c r="X17" i="22" s="1"/>
  <c r="Y1" i="24"/>
  <c r="Y1" i="25"/>
  <c r="AB10" i="25" s="1"/>
  <c r="AG16" i="23"/>
  <c r="X1" i="23"/>
  <c r="GH137" i="61"/>
  <c r="N16" i="64" s="1"/>
  <c r="AI120" i="31"/>
  <c r="J102" i="27"/>
  <c r="AE105" i="27"/>
  <c r="AI104" i="27" s="1"/>
  <c r="K15" i="64"/>
  <c r="GC137" i="61"/>
  <c r="GD137" i="61" s="1"/>
  <c r="ET136" i="61"/>
  <c r="EY136" i="61"/>
  <c r="ER137" i="61"/>
  <c r="ES136" i="61"/>
  <c r="H15" i="64" s="1"/>
  <c r="DW139" i="61"/>
  <c r="FI139" i="61"/>
  <c r="EI139" i="61"/>
  <c r="FU139" i="61"/>
  <c r="DY139" i="61"/>
  <c r="FK139" i="61"/>
  <c r="EB139" i="61"/>
  <c r="FN139" i="61"/>
  <c r="EL139" i="61"/>
  <c r="FX139" i="61"/>
  <c r="DV139" i="61"/>
  <c r="FH139" i="61"/>
  <c r="EG139" i="61"/>
  <c r="FS139" i="61"/>
  <c r="EC139" i="61"/>
  <c r="FO139" i="61"/>
  <c r="EA139" i="61"/>
  <c r="FM139" i="61"/>
  <c r="EN139" i="61"/>
  <c r="FZ139" i="61"/>
  <c r="DX139" i="61"/>
  <c r="FJ139" i="61"/>
  <c r="EH139" i="61"/>
  <c r="FT139" i="61"/>
  <c r="EM139" i="61"/>
  <c r="FY139" i="61"/>
  <c r="DU139" i="61"/>
  <c r="FG139" i="61"/>
  <c r="DS139" i="61"/>
  <c r="FE139" i="61"/>
  <c r="EJ139" i="61"/>
  <c r="FV139" i="61"/>
  <c r="DT139" i="61"/>
  <c r="FF139" i="61"/>
  <c r="ED139" i="61"/>
  <c r="FP139" i="61"/>
  <c r="DR138" i="61"/>
  <c r="EZ138" i="61" s="1"/>
  <c r="FD138" i="61"/>
  <c r="GE138" i="61" s="1"/>
  <c r="L17" i="64" s="1"/>
  <c r="EE139" i="61"/>
  <c r="FQ139" i="61"/>
  <c r="EK139" i="61"/>
  <c r="FW139" i="61"/>
  <c r="EO139" i="61"/>
  <c r="GA139" i="61"/>
  <c r="EF139" i="61"/>
  <c r="FR139" i="61"/>
  <c r="GB139" i="61"/>
  <c r="DZ139" i="61"/>
  <c r="FL139" i="61"/>
  <c r="DN112" i="61"/>
  <c r="DR112" i="61"/>
  <c r="DV112" i="61"/>
  <c r="DZ112" i="61"/>
  <c r="ED112" i="61"/>
  <c r="EH112" i="61"/>
  <c r="DL112" i="61"/>
  <c r="DP112" i="61"/>
  <c r="DT112" i="61"/>
  <c r="DX112" i="61"/>
  <c r="EB112" i="61"/>
  <c r="EF112" i="61"/>
  <c r="DQ112" i="61"/>
  <c r="DY112" i="61"/>
  <c r="EG112" i="61"/>
  <c r="DS112" i="61"/>
  <c r="EA112" i="61"/>
  <c r="EI112" i="61"/>
  <c r="EP140" i="61" s="1"/>
  <c r="DM112" i="61"/>
  <c r="DU112" i="61"/>
  <c r="EC112" i="61"/>
  <c r="DO112" i="61"/>
  <c r="DW112" i="61"/>
  <c r="EE112" i="61"/>
  <c r="EU139" i="61"/>
  <c r="EV139" i="61" s="1"/>
  <c r="DK111" i="61"/>
  <c r="DD114" i="61"/>
  <c r="AI115" i="30"/>
  <c r="CX118" i="61"/>
  <c r="AG130" i="32"/>
  <c r="H120" i="30"/>
  <c r="AG115" i="29"/>
  <c r="AE130" i="32"/>
  <c r="AI129" i="32" s="1"/>
  <c r="AG120" i="30"/>
  <c r="AE115" i="29"/>
  <c r="AI114" i="29" s="1"/>
  <c r="AG105" i="27"/>
  <c r="X132" i="59"/>
  <c r="AI135" i="33"/>
  <c r="X90" i="27"/>
  <c r="AI145" i="33"/>
  <c r="X110" i="30"/>
  <c r="CU121" i="61"/>
  <c r="D479" i="66"/>
  <c r="L503" i="66"/>
  <c r="R99" i="26"/>
  <c r="R107" i="26"/>
  <c r="D108" i="26"/>
  <c r="F108" i="26" s="1"/>
  <c r="H108" i="26" s="1"/>
  <c r="D112" i="26"/>
  <c r="F112" i="26" s="1"/>
  <c r="R114" i="29"/>
  <c r="R118" i="29"/>
  <c r="D119" i="29"/>
  <c r="F119" i="29" s="1"/>
  <c r="H119" i="29" s="1"/>
  <c r="AE119" i="29"/>
  <c r="AG119" i="29" s="1"/>
  <c r="AE123" i="29"/>
  <c r="CW119" i="61"/>
  <c r="D441" i="66"/>
  <c r="L463" i="66"/>
  <c r="AE104" i="26"/>
  <c r="AG104" i="26" s="1"/>
  <c r="H137" i="59"/>
  <c r="H138" i="59" s="1"/>
  <c r="F138" i="59"/>
  <c r="J137" i="59" s="1"/>
  <c r="J124" i="32"/>
  <c r="N124" i="32" s="1"/>
  <c r="AQ124" i="32" s="1"/>
  <c r="J125" i="32"/>
  <c r="N125" i="32" s="1"/>
  <c r="AQ125" i="32" s="1"/>
  <c r="D522" i="65"/>
  <c r="A522" i="65" s="1"/>
  <c r="I522" i="66"/>
  <c r="J522" i="66"/>
  <c r="B522" i="65" s="1"/>
  <c r="F105" i="27"/>
  <c r="J104" i="27" s="1"/>
  <c r="D462" i="65"/>
  <c r="A462" i="65" s="1"/>
  <c r="I462" i="66"/>
  <c r="J462" i="66"/>
  <c r="B462" i="65" s="1"/>
  <c r="T142" i="59"/>
  <c r="V142" i="59"/>
  <c r="AE125" i="31"/>
  <c r="AI124" i="31" s="1"/>
  <c r="V113" i="29"/>
  <c r="T113" i="29"/>
  <c r="AG113" i="28"/>
  <c r="F117" i="28"/>
  <c r="V118" i="30"/>
  <c r="T118" i="30"/>
  <c r="J129" i="33"/>
  <c r="N129" i="33" s="1"/>
  <c r="AQ129" i="33" s="1"/>
  <c r="J130" i="33"/>
  <c r="N130" i="33" s="1"/>
  <c r="AQ130" i="33" s="1"/>
  <c r="AI125" i="32"/>
  <c r="H119" i="31"/>
  <c r="H120" i="31" s="1"/>
  <c r="J120" i="31" s="1"/>
  <c r="F120" i="31"/>
  <c r="J117" i="30"/>
  <c r="H103" i="26"/>
  <c r="J142" i="32"/>
  <c r="F144" i="32"/>
  <c r="H144" i="32" s="1"/>
  <c r="J147" i="32"/>
  <c r="F149" i="32"/>
  <c r="H149" i="32" s="1"/>
  <c r="AG148" i="32"/>
  <c r="AG150" i="32" s="1"/>
  <c r="AE150" i="32"/>
  <c r="AI149" i="32" s="1"/>
  <c r="D149" i="59"/>
  <c r="R148" i="59"/>
  <c r="D173" i="59"/>
  <c r="AG161" i="59"/>
  <c r="R166" i="59"/>
  <c r="AG149" i="59"/>
  <c r="AG150" i="59" s="1"/>
  <c r="AK149" i="59" s="1"/>
  <c r="D155" i="59"/>
  <c r="AG167" i="59"/>
  <c r="AG155" i="59"/>
  <c r="D161" i="59"/>
  <c r="AG154" i="59"/>
  <c r="D167" i="59"/>
  <c r="R160" i="59"/>
  <c r="AG173" i="59"/>
  <c r="AG160" i="59"/>
  <c r="R154" i="59"/>
  <c r="AG172" i="59"/>
  <c r="R172" i="59"/>
  <c r="AG166" i="59"/>
  <c r="CT122" i="61"/>
  <c r="D498" i="66"/>
  <c r="L523" i="66"/>
  <c r="D104" i="26"/>
  <c r="F104" i="26" s="1"/>
  <c r="H104" i="26" s="1"/>
  <c r="H99" i="27"/>
  <c r="H100" i="27" s="1"/>
  <c r="F100" i="27"/>
  <c r="J99" i="27" s="1"/>
  <c r="H109" i="29"/>
  <c r="H110" i="29" s="1"/>
  <c r="J110" i="29" s="1"/>
  <c r="F110" i="29"/>
  <c r="J109" i="29" s="1"/>
  <c r="D482" i="65"/>
  <c r="A482" i="65" s="1"/>
  <c r="J482" i="66"/>
  <c r="B482" i="65" s="1"/>
  <c r="I482" i="66"/>
  <c r="B497" i="66"/>
  <c r="A497" i="66"/>
  <c r="AI150" i="33"/>
  <c r="H113" i="29"/>
  <c r="H115" i="29" s="1"/>
  <c r="J115" i="29" s="1"/>
  <c r="F115" i="29"/>
  <c r="J114" i="29" s="1"/>
  <c r="H105" i="27"/>
  <c r="V107" i="27"/>
  <c r="T107" i="27"/>
  <c r="D502" i="65"/>
  <c r="A502" i="65" s="1"/>
  <c r="J502" i="66"/>
  <c r="B502" i="65" s="1"/>
  <c r="I502" i="66"/>
  <c r="B440" i="66"/>
  <c r="A440" i="66"/>
  <c r="F143" i="59"/>
  <c r="H143" i="59" s="1"/>
  <c r="J141" i="59"/>
  <c r="V123" i="31"/>
  <c r="T123" i="31"/>
  <c r="AG125" i="31"/>
  <c r="F120" i="30"/>
  <c r="AG118" i="29"/>
  <c r="AG120" i="29" s="1"/>
  <c r="AG109" i="28"/>
  <c r="AG110" i="28" s="1"/>
  <c r="AE110" i="28"/>
  <c r="AI109" i="28" s="1"/>
  <c r="F113" i="28"/>
  <c r="AG123" i="30"/>
  <c r="T89" i="26"/>
  <c r="T90" i="26" s="1"/>
  <c r="X89" i="26" s="1"/>
  <c r="V89" i="26"/>
  <c r="V90" i="26" s="1"/>
  <c r="AE140" i="32"/>
  <c r="AI139" i="32" s="1"/>
  <c r="AG138" i="32"/>
  <c r="AG140" i="32" s="1"/>
  <c r="AG143" i="32"/>
  <c r="AG145" i="32" s="1"/>
  <c r="AE145" i="32"/>
  <c r="AI144" i="32" s="1"/>
  <c r="F134" i="32"/>
  <c r="H134" i="32" s="1"/>
  <c r="J132" i="32"/>
  <c r="F129" i="32"/>
  <c r="H129" i="32" s="1"/>
  <c r="J127" i="32"/>
  <c r="D118" i="28"/>
  <c r="F118" i="28" s="1"/>
  <c r="H118" i="28" s="1"/>
  <c r="R109" i="28"/>
  <c r="AE118" i="28"/>
  <c r="D114" i="28"/>
  <c r="F114" i="28" s="1"/>
  <c r="H114" i="28" s="1"/>
  <c r="R113" i="28"/>
  <c r="AE114" i="28"/>
  <c r="AG114" i="28" s="1"/>
  <c r="R104" i="27"/>
  <c r="D113" i="27"/>
  <c r="R112" i="27"/>
  <c r="D117" i="27"/>
  <c r="AE113" i="27"/>
  <c r="D109" i="27"/>
  <c r="AE109" i="27"/>
  <c r="R108" i="27"/>
  <c r="CV120" i="61"/>
  <c r="L483" i="66"/>
  <c r="R123" i="30"/>
  <c r="AE124" i="30"/>
  <c r="AG124" i="30" s="1"/>
  <c r="D124" i="30"/>
  <c r="AE128" i="30"/>
  <c r="R103" i="26"/>
  <c r="V103" i="26" s="1"/>
  <c r="J135" i="33"/>
  <c r="N135" i="33" s="1"/>
  <c r="AQ135" i="33" s="1"/>
  <c r="J134" i="33"/>
  <c r="N134" i="33" s="1"/>
  <c r="AQ134" i="33" s="1"/>
  <c r="B459" i="66"/>
  <c r="A459" i="66"/>
  <c r="H112" i="27"/>
  <c r="B478" i="66"/>
  <c r="A478" i="66"/>
  <c r="AI148" i="59"/>
  <c r="AE148" i="59"/>
  <c r="AG128" i="31"/>
  <c r="AK138" i="59"/>
  <c r="X100" i="28"/>
  <c r="T109" i="29"/>
  <c r="T110" i="29" s="1"/>
  <c r="X109" i="29" s="1"/>
  <c r="V109" i="29"/>
  <c r="V110" i="29" s="1"/>
  <c r="F109" i="28"/>
  <c r="J107" i="28"/>
  <c r="V104" i="28"/>
  <c r="V105" i="28" s="1"/>
  <c r="T104" i="28"/>
  <c r="T105" i="28" s="1"/>
  <c r="X104" i="28" s="1"/>
  <c r="H117" i="29"/>
  <c r="X115" i="31"/>
  <c r="H107" i="26"/>
  <c r="D442" i="65"/>
  <c r="A442" i="65" s="1"/>
  <c r="J442" i="66"/>
  <c r="B442" i="65" s="1"/>
  <c r="I442" i="66"/>
  <c r="T138" i="32"/>
  <c r="V138" i="32"/>
  <c r="T133" i="32"/>
  <c r="V133" i="32"/>
  <c r="AE139" i="31"/>
  <c r="AG139" i="31" s="1"/>
  <c r="AE143" i="31"/>
  <c r="AE148" i="31"/>
  <c r="AE133" i="31"/>
  <c r="R148" i="31"/>
  <c r="AE144" i="31"/>
  <c r="AG144" i="31" s="1"/>
  <c r="D139" i="31"/>
  <c r="AE134" i="31"/>
  <c r="AG134" i="31" s="1"/>
  <c r="D149" i="31"/>
  <c r="R128" i="31"/>
  <c r="AE129" i="31"/>
  <c r="AG129" i="31" s="1"/>
  <c r="AE149" i="31"/>
  <c r="AG149" i="31" s="1"/>
  <c r="R143" i="31"/>
  <c r="AE138" i="31"/>
  <c r="D134" i="31"/>
  <c r="D144" i="31"/>
  <c r="D129" i="31"/>
  <c r="R133" i="31"/>
  <c r="R138" i="31"/>
  <c r="AE108" i="26"/>
  <c r="AG108" i="26" s="1"/>
  <c r="J139" i="33"/>
  <c r="N139" i="33" s="1"/>
  <c r="AQ139" i="33" s="1"/>
  <c r="J140" i="33"/>
  <c r="N140" i="33" s="1"/>
  <c r="AQ140" i="33" s="1"/>
  <c r="X105" i="29"/>
  <c r="J138" i="59"/>
  <c r="AI120" i="30"/>
  <c r="J150" i="33"/>
  <c r="N150" i="33" s="1"/>
  <c r="AQ150" i="33" s="1"/>
  <c r="J149" i="33"/>
  <c r="N149" i="33" s="1"/>
  <c r="AQ149" i="33" s="1"/>
  <c r="J115" i="30"/>
  <c r="J114" i="30"/>
  <c r="AI110" i="29"/>
  <c r="V99" i="27"/>
  <c r="V100" i="27" s="1"/>
  <c r="T99" i="27"/>
  <c r="T100" i="27" s="1"/>
  <c r="X99" i="27" s="1"/>
  <c r="AE143" i="59"/>
  <c r="AI143" i="59"/>
  <c r="AI144" i="59" s="1"/>
  <c r="AK144" i="59" s="1"/>
  <c r="F124" i="31"/>
  <c r="H124" i="31" s="1"/>
  <c r="J122" i="31"/>
  <c r="J145" i="33"/>
  <c r="N145" i="33" s="1"/>
  <c r="AQ145" i="33" s="1"/>
  <c r="J144" i="33"/>
  <c r="N144" i="33" s="1"/>
  <c r="AQ144" i="33" s="1"/>
  <c r="T108" i="28"/>
  <c r="V108" i="28"/>
  <c r="V112" i="28"/>
  <c r="T112" i="28"/>
  <c r="V114" i="30"/>
  <c r="V115" i="30" s="1"/>
  <c r="T114" i="30"/>
  <c r="T115" i="30" s="1"/>
  <c r="X114" i="30" s="1"/>
  <c r="AI140" i="33"/>
  <c r="J119" i="31"/>
  <c r="V102" i="26"/>
  <c r="T102" i="26"/>
  <c r="B421" i="66"/>
  <c r="A421" i="66"/>
  <c r="T128" i="32"/>
  <c r="V128" i="32"/>
  <c r="V148" i="32"/>
  <c r="T148" i="32"/>
  <c r="AE135" i="32"/>
  <c r="AI134" i="32" s="1"/>
  <c r="AG133" i="32"/>
  <c r="AG135" i="32" s="1"/>
  <c r="V143" i="32"/>
  <c r="T143" i="32"/>
  <c r="J137" i="32"/>
  <c r="F139" i="32"/>
  <c r="H139" i="32" s="1"/>
  <c r="AI20" i="25"/>
  <c r="AJ20" i="25"/>
  <c r="AI18" i="25"/>
  <c r="AJ18" i="25"/>
  <c r="AI21" i="25"/>
  <c r="AJ21" i="25"/>
  <c r="AH28" i="25"/>
  <c r="AI22" i="25"/>
  <c r="AJ22" i="25"/>
  <c r="AI27" i="25"/>
  <c r="AJ27" i="25"/>
  <c r="AI26" i="25"/>
  <c r="AJ26" i="25"/>
  <c r="AI28" i="25"/>
  <c r="AJ28" i="25"/>
  <c r="AI19" i="25"/>
  <c r="AJ19" i="25"/>
  <c r="AI24" i="25"/>
  <c r="AJ24" i="25"/>
  <c r="AI23" i="25"/>
  <c r="AJ23" i="25"/>
  <c r="AI25" i="25"/>
  <c r="AJ25" i="25"/>
  <c r="AI17" i="25"/>
  <c r="AJ17" i="25"/>
  <c r="AH6" i="25"/>
  <c r="AH7" i="25"/>
  <c r="AH4" i="25"/>
  <c r="AH8" i="25"/>
  <c r="AH5" i="25"/>
  <c r="AH27" i="25"/>
  <c r="AH26" i="25"/>
  <c r="AH25" i="25"/>
  <c r="AH24" i="25"/>
  <c r="AR85" i="32"/>
  <c r="AT85" i="32" s="1"/>
  <c r="E15" i="32" s="1"/>
  <c r="AR84" i="32"/>
  <c r="AT84" i="32" s="1"/>
  <c r="D15" i="32" s="1"/>
  <c r="L84" i="30"/>
  <c r="N84" i="30" s="1"/>
  <c r="AQ84" i="30" s="1"/>
  <c r="Z69" i="26"/>
  <c r="AB69" i="26" s="1"/>
  <c r="V98" i="26"/>
  <c r="T98" i="26"/>
  <c r="AG103" i="26"/>
  <c r="AG105" i="26" s="1"/>
  <c r="AE105" i="26"/>
  <c r="AI104" i="26" s="1"/>
  <c r="J105" i="27"/>
  <c r="J97" i="26"/>
  <c r="F99" i="26"/>
  <c r="AG99" i="26"/>
  <c r="AG100" i="26" s="1"/>
  <c r="AE100" i="26"/>
  <c r="AI99" i="26" s="1"/>
  <c r="J100" i="27"/>
  <c r="Z70" i="26"/>
  <c r="AB70" i="26" s="1"/>
  <c r="AI100" i="27"/>
  <c r="AA21" i="18"/>
  <c r="AG21" i="18" s="1"/>
  <c r="Y20" i="18"/>
  <c r="X22" i="18"/>
  <c r="AA27" i="11"/>
  <c r="AG27" i="11" s="1"/>
  <c r="Y26" i="11"/>
  <c r="X27" i="11" s="1"/>
  <c r="AV22" i="4"/>
  <c r="H28" i="10"/>
  <c r="I28" i="10" s="1"/>
  <c r="I29" i="10" s="1"/>
  <c r="I39" i="10" s="1"/>
  <c r="D28" i="10"/>
  <c r="S7" i="10"/>
  <c r="AA23" i="15"/>
  <c r="AG23" i="15" s="1"/>
  <c r="Y22" i="15"/>
  <c r="X23" i="15" s="1"/>
  <c r="G28" i="12"/>
  <c r="G29" i="12" s="1"/>
  <c r="I38" i="12" s="1"/>
  <c r="F29" i="12"/>
  <c r="I36" i="12" s="1"/>
  <c r="AV20" i="2"/>
  <c r="AD1" i="23"/>
  <c r="AG17" i="23"/>
  <c r="H27" i="9"/>
  <c r="I27" i="9" s="1"/>
  <c r="D27" i="9"/>
  <c r="F27" i="9" s="1"/>
  <c r="G27" i="9" s="1"/>
  <c r="AA17" i="22"/>
  <c r="H25" i="7"/>
  <c r="I25" i="7" s="1"/>
  <c r="D25" i="7"/>
  <c r="F25" i="7" s="1"/>
  <c r="G25" i="7" s="1"/>
  <c r="AV21" i="3"/>
  <c r="AV24" i="6"/>
  <c r="H22" i="4"/>
  <c r="I22" i="4" s="1"/>
  <c r="D22" i="4"/>
  <c r="F22" i="4" s="1"/>
  <c r="G22" i="4" s="1"/>
  <c r="AV19" i="1"/>
  <c r="AA27" i="12"/>
  <c r="AG27" i="12" s="1"/>
  <c r="Y26" i="12"/>
  <c r="X27" i="12" s="1"/>
  <c r="H26" i="8"/>
  <c r="I26" i="8" s="1"/>
  <c r="D26" i="8"/>
  <c r="F26" i="8" s="1"/>
  <c r="G26" i="8" s="1"/>
  <c r="AA18" i="21"/>
  <c r="AG18" i="21" s="1"/>
  <c r="Y17" i="21"/>
  <c r="AF17" i="24"/>
  <c r="AF18" i="24" s="1"/>
  <c r="AF19" i="24" s="1"/>
  <c r="AF20" i="24" s="1"/>
  <c r="AF21" i="24" s="1"/>
  <c r="AF22" i="24" s="1"/>
  <c r="AF23" i="24" s="1"/>
  <c r="AF24" i="24" s="1"/>
  <c r="AF25" i="24" s="1"/>
  <c r="AF26" i="24" s="1"/>
  <c r="AF27" i="24" s="1"/>
  <c r="AF28" i="24" s="1"/>
  <c r="AW1" i="24"/>
  <c r="AH1" i="24"/>
  <c r="H23" i="5"/>
  <c r="I23" i="5" s="1"/>
  <c r="D23" i="5"/>
  <c r="F23" i="5" s="1"/>
  <c r="G23" i="5" s="1"/>
  <c r="H20" i="2"/>
  <c r="I20" i="2" s="1"/>
  <c r="D20" i="2"/>
  <c r="F20" i="2" s="1"/>
  <c r="G20" i="2" s="1"/>
  <c r="W33" i="61"/>
  <c r="B28" i="9"/>
  <c r="C20" i="26"/>
  <c r="AP28" i="9"/>
  <c r="AW26" i="61"/>
  <c r="AN29" i="68" s="1"/>
  <c r="B26" i="7"/>
  <c r="AP26" i="7"/>
  <c r="C22" i="28"/>
  <c r="BA22" i="61"/>
  <c r="B22" i="3"/>
  <c r="C26" i="32"/>
  <c r="AP22" i="3"/>
  <c r="AX25" i="61"/>
  <c r="AP25" i="6"/>
  <c r="C23" i="29"/>
  <c r="B25" i="6"/>
  <c r="AA26" i="13"/>
  <c r="AG26" i="13" s="1"/>
  <c r="Y25" i="13"/>
  <c r="X26" i="13" s="1"/>
  <c r="AZ23" i="61"/>
  <c r="AQ26" i="68" s="1"/>
  <c r="B23" i="4"/>
  <c r="AP23" i="4"/>
  <c r="C25" i="59"/>
  <c r="C25" i="31"/>
  <c r="BC20" i="61"/>
  <c r="AP20" i="1"/>
  <c r="C28" i="34"/>
  <c r="B20" i="1"/>
  <c r="AV27" i="61"/>
  <c r="AM30" i="68" s="1"/>
  <c r="AP27" i="8"/>
  <c r="C21" i="27"/>
  <c r="B27" i="8"/>
  <c r="AV28" i="10"/>
  <c r="Y28" i="10"/>
  <c r="BG7" i="10"/>
  <c r="AE1" i="24"/>
  <c r="AA25" i="14"/>
  <c r="AG25" i="14" s="1"/>
  <c r="Y24" i="14"/>
  <c r="AA22" i="16"/>
  <c r="AG22" i="16" s="1"/>
  <c r="Y21" i="16"/>
  <c r="X22" i="16" s="1"/>
  <c r="BB21" i="61"/>
  <c r="C27" i="33"/>
  <c r="B21" i="2"/>
  <c r="AP21" i="2"/>
  <c r="AA21" i="17"/>
  <c r="AG21" i="17" s="1"/>
  <c r="Y20" i="17"/>
  <c r="X21" i="17" s="1"/>
  <c r="X28" i="11"/>
  <c r="AA28" i="11"/>
  <c r="AG28" i="11" s="1"/>
  <c r="AV25" i="7"/>
  <c r="H24" i="6"/>
  <c r="I24" i="6" s="1"/>
  <c r="D24" i="6"/>
  <c r="F24" i="6" s="1"/>
  <c r="G24" i="6" s="1"/>
  <c r="AA18" i="20"/>
  <c r="AG18" i="20" s="1"/>
  <c r="Y17" i="20"/>
  <c r="X19" i="20"/>
  <c r="AA19" i="53"/>
  <c r="AG19" i="53" s="1"/>
  <c r="Y18" i="53"/>
  <c r="X19" i="53" s="1"/>
  <c r="H19" i="1"/>
  <c r="I19" i="1" s="1"/>
  <c r="D19" i="1"/>
  <c r="F19" i="1" s="1"/>
  <c r="G19" i="1" s="1"/>
  <c r="X28" i="12"/>
  <c r="F28" i="11"/>
  <c r="D29" i="11"/>
  <c r="I35" i="11" s="1"/>
  <c r="AA19" i="19"/>
  <c r="AG19" i="19" s="1"/>
  <c r="Y18" i="19"/>
  <c r="AV26" i="8"/>
  <c r="X19" i="21"/>
  <c r="AV23" i="5"/>
  <c r="AY24" i="61"/>
  <c r="C24" i="30"/>
  <c r="AP24" i="5"/>
  <c r="B24" i="5"/>
  <c r="AV27" i="9"/>
  <c r="H21" i="3"/>
  <c r="I21" i="3" s="1"/>
  <c r="D21" i="3"/>
  <c r="F21" i="3" s="1"/>
  <c r="G21" i="3" s="1"/>
  <c r="EX148" i="61" l="1"/>
  <c r="GI148" i="61" s="1"/>
  <c r="O27" i="64" s="1"/>
  <c r="AO28" i="68"/>
  <c r="CZ117" i="61"/>
  <c r="AR25" i="68"/>
  <c r="DA116" i="61"/>
  <c r="AS24" i="68"/>
  <c r="DB115" i="61"/>
  <c r="AT23" i="68"/>
  <c r="CX119" i="61"/>
  <c r="AP27" i="68"/>
  <c r="DG114" i="61"/>
  <c r="DF114" i="61"/>
  <c r="CC113" i="61"/>
  <c r="BY113" i="61"/>
  <c r="BU113" i="61"/>
  <c r="BQ113" i="61"/>
  <c r="BM113" i="61"/>
  <c r="BI113" i="61"/>
  <c r="CA113" i="61"/>
  <c r="BW113" i="61"/>
  <c r="BS113" i="61"/>
  <c r="BO113" i="61"/>
  <c r="BK113" i="61"/>
  <c r="BG113" i="61"/>
  <c r="CB113" i="61"/>
  <c r="BT113" i="61"/>
  <c r="BL113" i="61"/>
  <c r="BX113" i="61"/>
  <c r="BP113" i="61"/>
  <c r="BH113" i="61"/>
  <c r="BZ113" i="61"/>
  <c r="BJ113" i="61"/>
  <c r="BV113" i="61"/>
  <c r="BF113" i="61"/>
  <c r="BR113" i="61"/>
  <c r="BN113" i="61"/>
  <c r="BE113" i="61"/>
  <c r="T103" i="26"/>
  <c r="X16" i="22"/>
  <c r="AB9" i="25"/>
  <c r="AH9" i="25" s="1"/>
  <c r="AB14" i="25"/>
  <c r="AJ14" i="25" s="1"/>
  <c r="AB12" i="25"/>
  <c r="AI12" i="25" s="1"/>
  <c r="AF16" i="23"/>
  <c r="AI1" i="23"/>
  <c r="AB11" i="25"/>
  <c r="AI11" i="25" s="1"/>
  <c r="AD16" i="25"/>
  <c r="X18" i="21"/>
  <c r="Y16" i="21"/>
  <c r="AB13" i="25"/>
  <c r="AB17" i="24"/>
  <c r="AJ17" i="24" s="1"/>
  <c r="AD16" i="24"/>
  <c r="AB16" i="24" s="1"/>
  <c r="AB15" i="25"/>
  <c r="AD12" i="24"/>
  <c r="AB12" i="24" s="1"/>
  <c r="AD7" i="24"/>
  <c r="AB7" i="24" s="1"/>
  <c r="AD9" i="24"/>
  <c r="AB9" i="24" s="1"/>
  <c r="AD10" i="24"/>
  <c r="AB10" i="24" s="1"/>
  <c r="AD14" i="24"/>
  <c r="AB14" i="24" s="1"/>
  <c r="AJ14" i="24" s="1"/>
  <c r="AD5" i="24"/>
  <c r="AB5" i="24" s="1"/>
  <c r="AD13" i="24"/>
  <c r="AB13" i="24" s="1"/>
  <c r="AI13" i="24" s="1"/>
  <c r="AD8" i="24"/>
  <c r="AB8" i="24" s="1"/>
  <c r="AD6" i="24"/>
  <c r="AB6" i="24" s="1"/>
  <c r="AD11" i="24"/>
  <c r="AB11" i="24" s="1"/>
  <c r="AD15" i="24"/>
  <c r="AB15" i="24" s="1"/>
  <c r="AI15" i="24" s="1"/>
  <c r="AD4" i="24"/>
  <c r="AB4" i="24" s="1"/>
  <c r="Y1" i="23"/>
  <c r="AA16" i="22"/>
  <c r="X15" i="22"/>
  <c r="X18" i="20"/>
  <c r="Y16" i="20"/>
  <c r="X17" i="20" s="1"/>
  <c r="AI10" i="25"/>
  <c r="AJ10" i="25"/>
  <c r="AB16" i="25"/>
  <c r="AD8" i="25"/>
  <c r="AB8" i="25" s="1"/>
  <c r="AD10" i="25"/>
  <c r="AD11" i="25"/>
  <c r="AD7" i="25"/>
  <c r="AB7" i="25" s="1"/>
  <c r="AD5" i="25"/>
  <c r="AB5" i="25" s="1"/>
  <c r="AD15" i="25"/>
  <c r="AD9" i="25"/>
  <c r="AD13" i="25"/>
  <c r="AD6" i="25"/>
  <c r="AB6" i="25" s="1"/>
  <c r="AD4" i="25"/>
  <c r="AB4" i="25" s="1"/>
  <c r="AD12" i="25"/>
  <c r="AD14" i="25"/>
  <c r="GH138" i="61"/>
  <c r="N17" i="64" s="1"/>
  <c r="CY118" i="61"/>
  <c r="J102" i="26"/>
  <c r="AE120" i="29"/>
  <c r="AI119" i="29" s="1"/>
  <c r="AI105" i="27"/>
  <c r="H120" i="29"/>
  <c r="F120" i="29"/>
  <c r="J117" i="29"/>
  <c r="K16" i="64"/>
  <c r="GC138" i="61"/>
  <c r="GD138" i="61" s="1"/>
  <c r="ET137" i="61"/>
  <c r="EY137" i="61"/>
  <c r="ES137" i="61"/>
  <c r="H16" i="64" s="1"/>
  <c r="AI125" i="31"/>
  <c r="ER138" i="61"/>
  <c r="EJ140" i="61"/>
  <c r="FV140" i="61"/>
  <c r="EH140" i="61"/>
  <c r="FT140" i="61"/>
  <c r="EF140" i="61"/>
  <c r="FR140" i="61"/>
  <c r="EE140" i="61"/>
  <c r="FQ140" i="61"/>
  <c r="EO140" i="61"/>
  <c r="GA140" i="61"/>
  <c r="DY140" i="61"/>
  <c r="FK140" i="61"/>
  <c r="EL140" i="61"/>
  <c r="FX140" i="61"/>
  <c r="EB140" i="61"/>
  <c r="FN140" i="61"/>
  <c r="DZ140" i="61"/>
  <c r="FL140" i="61"/>
  <c r="DX140" i="61"/>
  <c r="FJ140" i="61"/>
  <c r="EA140" i="61"/>
  <c r="FM140" i="61"/>
  <c r="EK140" i="61"/>
  <c r="FW140" i="61"/>
  <c r="DU140" i="61"/>
  <c r="FG140" i="61"/>
  <c r="ED140" i="61"/>
  <c r="FP140" i="61"/>
  <c r="DT140" i="61"/>
  <c r="FF140" i="61"/>
  <c r="EM140" i="61"/>
  <c r="FY140" i="61"/>
  <c r="DW140" i="61"/>
  <c r="FI140" i="61"/>
  <c r="EG140" i="61"/>
  <c r="FS140" i="61"/>
  <c r="DR139" i="61"/>
  <c r="EZ139" i="61" s="1"/>
  <c r="FD139" i="61"/>
  <c r="GE139" i="61" s="1"/>
  <c r="L18" i="64" s="1"/>
  <c r="DV140" i="61"/>
  <c r="FH140" i="61"/>
  <c r="GB140" i="61"/>
  <c r="EN140" i="61"/>
  <c r="FZ140" i="61"/>
  <c r="EI140" i="61"/>
  <c r="FU140" i="61"/>
  <c r="DS140" i="61"/>
  <c r="FE140" i="61"/>
  <c r="EC140" i="61"/>
  <c r="FO140" i="61"/>
  <c r="EU140" i="61"/>
  <c r="EV140" i="61" s="1"/>
  <c r="DK112" i="61"/>
  <c r="DM113" i="61"/>
  <c r="DQ113" i="61"/>
  <c r="DU113" i="61"/>
  <c r="DY113" i="61"/>
  <c r="EC113" i="61"/>
  <c r="EG113" i="61"/>
  <c r="DO113" i="61"/>
  <c r="DS113" i="61"/>
  <c r="DW113" i="61"/>
  <c r="EA113" i="61"/>
  <c r="EE113" i="61"/>
  <c r="EI113" i="61"/>
  <c r="EP141" i="61" s="1"/>
  <c r="DP113" i="61"/>
  <c r="EF113" i="61"/>
  <c r="DR113" i="61"/>
  <c r="DZ113" i="61"/>
  <c r="EH113" i="61"/>
  <c r="DT113" i="61"/>
  <c r="DL113" i="61"/>
  <c r="EB113" i="61"/>
  <c r="DN113" i="61"/>
  <c r="DV113" i="61"/>
  <c r="ED113" i="61"/>
  <c r="DX113" i="61"/>
  <c r="DD115" i="61"/>
  <c r="AI130" i="32"/>
  <c r="AI115" i="29"/>
  <c r="AI140" i="32"/>
  <c r="X110" i="29"/>
  <c r="AI135" i="32"/>
  <c r="X90" i="26"/>
  <c r="X100" i="27"/>
  <c r="AK89" i="32"/>
  <c r="AM89" i="32" s="1"/>
  <c r="AS89" i="32" s="1"/>
  <c r="Z89" i="32"/>
  <c r="AB89" i="32" s="1"/>
  <c r="L99" i="32"/>
  <c r="N99" i="32" s="1"/>
  <c r="AQ99" i="32" s="1"/>
  <c r="X115" i="30"/>
  <c r="V138" i="31"/>
  <c r="T138" i="31"/>
  <c r="F134" i="31"/>
  <c r="H134" i="31" s="1"/>
  <c r="J132" i="31"/>
  <c r="J137" i="31"/>
  <c r="F139" i="31"/>
  <c r="H139" i="31" s="1"/>
  <c r="AG148" i="31"/>
  <c r="AG150" i="31" s="1"/>
  <c r="AE150" i="31"/>
  <c r="AI149" i="31" s="1"/>
  <c r="H109" i="28"/>
  <c r="H110" i="28" s="1"/>
  <c r="J110" i="28" s="1"/>
  <c r="F110" i="28"/>
  <c r="F124" i="30"/>
  <c r="H124" i="30" s="1"/>
  <c r="J122" i="30"/>
  <c r="AG113" i="27"/>
  <c r="V104" i="27"/>
  <c r="V105" i="27" s="1"/>
  <c r="T104" i="27"/>
  <c r="T105" i="27" s="1"/>
  <c r="X104" i="27" s="1"/>
  <c r="AG118" i="28"/>
  <c r="AI145" i="32"/>
  <c r="AG125" i="30"/>
  <c r="AI110" i="28"/>
  <c r="B498" i="66"/>
  <c r="A498" i="66"/>
  <c r="AI172" i="59"/>
  <c r="AI174" i="59" s="1"/>
  <c r="AE172" i="59"/>
  <c r="AG174" i="59"/>
  <c r="AK173" i="59" s="1"/>
  <c r="T160" i="59"/>
  <c r="V160" i="59"/>
  <c r="AE155" i="59"/>
  <c r="AI155" i="59"/>
  <c r="T166" i="59"/>
  <c r="V166" i="59"/>
  <c r="F149" i="59"/>
  <c r="H149" i="59" s="1"/>
  <c r="J147" i="59"/>
  <c r="AI150" i="32"/>
  <c r="J145" i="32"/>
  <c r="N145" i="32" s="1"/>
  <c r="AQ145" i="32" s="1"/>
  <c r="J144" i="32"/>
  <c r="N144" i="32" s="1"/>
  <c r="AQ144" i="32" s="1"/>
  <c r="AE115" i="28"/>
  <c r="AI114" i="28" s="1"/>
  <c r="AG123" i="29"/>
  <c r="T114" i="29"/>
  <c r="T115" i="29" s="1"/>
  <c r="X114" i="29" s="1"/>
  <c r="V114" i="29"/>
  <c r="V115" i="29" s="1"/>
  <c r="T99" i="26"/>
  <c r="T100" i="26" s="1"/>
  <c r="X99" i="26" s="1"/>
  <c r="V99" i="26"/>
  <c r="V100" i="26" s="1"/>
  <c r="CU122" i="61"/>
  <c r="D499" i="66"/>
  <c r="L524" i="66"/>
  <c r="CW120" i="61"/>
  <c r="D461" i="66"/>
  <c r="L484" i="66"/>
  <c r="CV121" i="61"/>
  <c r="D480" i="66"/>
  <c r="L504" i="66"/>
  <c r="AK90" i="32"/>
  <c r="AM90" i="32" s="1"/>
  <c r="AS90" i="32" s="1"/>
  <c r="Z90" i="32"/>
  <c r="AB90" i="32" s="1"/>
  <c r="L100" i="32"/>
  <c r="N100" i="32" s="1"/>
  <c r="AQ100" i="32" s="1"/>
  <c r="J125" i="31"/>
  <c r="N125" i="31" s="1"/>
  <c r="AQ125" i="31" s="1"/>
  <c r="J124" i="31"/>
  <c r="N124" i="31" s="1"/>
  <c r="AQ124" i="31" s="1"/>
  <c r="T133" i="31"/>
  <c r="V133" i="31"/>
  <c r="AG138" i="31"/>
  <c r="AG140" i="31" s="1"/>
  <c r="AE140" i="31"/>
  <c r="AI139" i="31" s="1"/>
  <c r="T128" i="31"/>
  <c r="V128" i="31"/>
  <c r="AG143" i="31"/>
  <c r="AG145" i="31" s="1"/>
  <c r="AE145" i="31"/>
  <c r="AI144" i="31" s="1"/>
  <c r="V108" i="27"/>
  <c r="T108" i="27"/>
  <c r="F117" i="27"/>
  <c r="T109" i="28"/>
  <c r="T110" i="28" s="1"/>
  <c r="X109" i="28" s="1"/>
  <c r="V109" i="28"/>
  <c r="V110" i="28" s="1"/>
  <c r="J134" i="32"/>
  <c r="N134" i="32" s="1"/>
  <c r="AQ134" i="32" s="1"/>
  <c r="J135" i="32"/>
  <c r="N135" i="32" s="1"/>
  <c r="AQ135" i="32" s="1"/>
  <c r="J112" i="28"/>
  <c r="J143" i="59"/>
  <c r="N143" i="59" s="1"/>
  <c r="AS143" i="59" s="1"/>
  <c r="J144" i="59"/>
  <c r="N144" i="59" s="1"/>
  <c r="AS144" i="59" s="1"/>
  <c r="T154" i="59"/>
  <c r="V154" i="59"/>
  <c r="F167" i="59"/>
  <c r="H167" i="59" s="1"/>
  <c r="J165" i="59"/>
  <c r="AI167" i="59"/>
  <c r="AE167" i="59"/>
  <c r="AE161" i="59"/>
  <c r="AI161" i="59"/>
  <c r="F105" i="26"/>
  <c r="D463" i="65"/>
  <c r="A463" i="65" s="1"/>
  <c r="J463" i="66"/>
  <c r="B463" i="65" s="1"/>
  <c r="I463" i="66"/>
  <c r="H112" i="26"/>
  <c r="D503" i="65"/>
  <c r="A503" i="65" s="1"/>
  <c r="J503" i="66"/>
  <c r="B503" i="65" s="1"/>
  <c r="I503" i="66"/>
  <c r="R114" i="28"/>
  <c r="R118" i="28"/>
  <c r="AE119" i="28"/>
  <c r="AG119" i="28" s="1"/>
  <c r="D119" i="28"/>
  <c r="F119" i="28" s="1"/>
  <c r="H119" i="28" s="1"/>
  <c r="AE123" i="28"/>
  <c r="J139" i="32"/>
  <c r="N139" i="32" s="1"/>
  <c r="AQ139" i="32" s="1"/>
  <c r="J140" i="32"/>
  <c r="N140" i="32" s="1"/>
  <c r="AQ140" i="32" s="1"/>
  <c r="F129" i="31"/>
  <c r="H129" i="31" s="1"/>
  <c r="J127" i="31"/>
  <c r="V143" i="31"/>
  <c r="T143" i="31"/>
  <c r="J147" i="31"/>
  <c r="F149" i="31"/>
  <c r="H149" i="31" s="1"/>
  <c r="V148" i="31"/>
  <c r="T148" i="31"/>
  <c r="X105" i="28"/>
  <c r="AE130" i="31"/>
  <c r="AI129" i="31" s="1"/>
  <c r="V123" i="30"/>
  <c r="T123" i="30"/>
  <c r="AG109" i="27"/>
  <c r="AG110" i="27" s="1"/>
  <c r="AE110" i="27"/>
  <c r="AI109" i="27" s="1"/>
  <c r="T112" i="27"/>
  <c r="V112" i="27"/>
  <c r="T113" i="28"/>
  <c r="V113" i="28"/>
  <c r="J119" i="29"/>
  <c r="J120" i="29"/>
  <c r="H113" i="28"/>
  <c r="H115" i="28" s="1"/>
  <c r="F115" i="28"/>
  <c r="AI120" i="29"/>
  <c r="AE166" i="59"/>
  <c r="AG168" i="59"/>
  <c r="AK167" i="59" s="1"/>
  <c r="AI166" i="59"/>
  <c r="AI168" i="59" s="1"/>
  <c r="AG162" i="59"/>
  <c r="AK161" i="59" s="1"/>
  <c r="AI160" i="59"/>
  <c r="AI162" i="59" s="1"/>
  <c r="AE160" i="59"/>
  <c r="AG156" i="59"/>
  <c r="AK155" i="59" s="1"/>
  <c r="AI154" i="59"/>
  <c r="AI156" i="59" s="1"/>
  <c r="AE154" i="59"/>
  <c r="F155" i="59"/>
  <c r="H155" i="59" s="1"/>
  <c r="J153" i="59"/>
  <c r="F173" i="59"/>
  <c r="H173" i="59" s="1"/>
  <c r="J171" i="59"/>
  <c r="J150" i="32"/>
  <c r="N150" i="32" s="1"/>
  <c r="AQ150" i="32" s="1"/>
  <c r="J149" i="32"/>
  <c r="N149" i="32" s="1"/>
  <c r="AQ149" i="32" s="1"/>
  <c r="H105" i="26"/>
  <c r="J105" i="26" s="1"/>
  <c r="H117" i="28"/>
  <c r="B441" i="66"/>
  <c r="A441" i="66"/>
  <c r="B479" i="66"/>
  <c r="A479" i="66"/>
  <c r="D144" i="30"/>
  <c r="D149" i="30"/>
  <c r="AE143" i="30"/>
  <c r="D139" i="30"/>
  <c r="AE138" i="30"/>
  <c r="AE129" i="30"/>
  <c r="AG129" i="30" s="1"/>
  <c r="AE149" i="30"/>
  <c r="AG149" i="30" s="1"/>
  <c r="AE134" i="30"/>
  <c r="AG134" i="30" s="1"/>
  <c r="D129" i="30"/>
  <c r="R128" i="30"/>
  <c r="AE144" i="30"/>
  <c r="AG144" i="30" s="1"/>
  <c r="AE133" i="30"/>
  <c r="R148" i="30"/>
  <c r="R138" i="30"/>
  <c r="D134" i="30"/>
  <c r="R133" i="30"/>
  <c r="AE148" i="30"/>
  <c r="R143" i="30"/>
  <c r="AE139" i="30"/>
  <c r="AG139" i="30" s="1"/>
  <c r="D118" i="27"/>
  <c r="F118" i="27" s="1"/>
  <c r="H118" i="27" s="1"/>
  <c r="R109" i="27"/>
  <c r="AE114" i="27"/>
  <c r="AG114" i="27" s="1"/>
  <c r="D114" i="27"/>
  <c r="F114" i="27" s="1"/>
  <c r="H114" i="27" s="1"/>
  <c r="AE118" i="27"/>
  <c r="R113" i="27"/>
  <c r="R123" i="29"/>
  <c r="AE128" i="29"/>
  <c r="D124" i="29"/>
  <c r="AE124" i="29"/>
  <c r="AG124" i="29" s="1"/>
  <c r="R104" i="26"/>
  <c r="D113" i="26"/>
  <c r="R112" i="26"/>
  <c r="D117" i="26"/>
  <c r="R108" i="26"/>
  <c r="AE113" i="26"/>
  <c r="AE109" i="26"/>
  <c r="D109" i="26"/>
  <c r="H99" i="26"/>
  <c r="H100" i="26" s="1"/>
  <c r="J100" i="26" s="1"/>
  <c r="F100" i="26"/>
  <c r="J99" i="26" s="1"/>
  <c r="J142" i="31"/>
  <c r="F144" i="31"/>
  <c r="H144" i="31" s="1"/>
  <c r="AG133" i="31"/>
  <c r="AG135" i="31" s="1"/>
  <c r="AE135" i="31"/>
  <c r="AI134" i="31" s="1"/>
  <c r="J109" i="28"/>
  <c r="AG130" i="31"/>
  <c r="AG128" i="30"/>
  <c r="D483" i="65"/>
  <c r="A483" i="65" s="1"/>
  <c r="J483" i="66"/>
  <c r="B483" i="65" s="1"/>
  <c r="I483" i="66"/>
  <c r="J107" i="27"/>
  <c r="F109" i="27"/>
  <c r="F113" i="27"/>
  <c r="J129" i="32"/>
  <c r="N129" i="32" s="1"/>
  <c r="AQ129" i="32" s="1"/>
  <c r="J130" i="32"/>
  <c r="N130" i="32" s="1"/>
  <c r="AQ130" i="32" s="1"/>
  <c r="AE125" i="30"/>
  <c r="AI124" i="30" s="1"/>
  <c r="D523" i="65"/>
  <c r="A523" i="65" s="1"/>
  <c r="J523" i="66"/>
  <c r="B523" i="65" s="1"/>
  <c r="I523" i="66"/>
  <c r="V172" i="59"/>
  <c r="T172" i="59"/>
  <c r="AI173" i="59"/>
  <c r="AE173" i="59"/>
  <c r="F161" i="59"/>
  <c r="H161" i="59" s="1"/>
  <c r="J159" i="59"/>
  <c r="AI149" i="59"/>
  <c r="AI150" i="59" s="1"/>
  <c r="AK150" i="59" s="1"/>
  <c r="AE149" i="59"/>
  <c r="V148" i="59"/>
  <c r="T148" i="59"/>
  <c r="J120" i="30"/>
  <c r="J119" i="30"/>
  <c r="AG115" i="28"/>
  <c r="T118" i="29"/>
  <c r="V118" i="29"/>
  <c r="V107" i="26"/>
  <c r="T107" i="26"/>
  <c r="AR48" i="59"/>
  <c r="AV48" i="59" s="1"/>
  <c r="E7" i="59" s="1"/>
  <c r="AM54" i="59" s="1"/>
  <c r="AO54" i="59" s="1"/>
  <c r="AU54" i="59" s="1"/>
  <c r="AR47" i="59"/>
  <c r="AV47" i="59" s="1"/>
  <c r="AL24" i="25"/>
  <c r="AK24" i="25"/>
  <c r="AQ24" i="25" s="1"/>
  <c r="AL5" i="25"/>
  <c r="AK5" i="25"/>
  <c r="AL6" i="25"/>
  <c r="AK6" i="25"/>
  <c r="AL28" i="25"/>
  <c r="AK28" i="25"/>
  <c r="AQ28" i="25" s="1"/>
  <c r="AK25" i="25"/>
  <c r="AQ25" i="25" s="1"/>
  <c r="AL25" i="25"/>
  <c r="AL8" i="25"/>
  <c r="AK8" i="25"/>
  <c r="AK26" i="25"/>
  <c r="AQ26" i="25" s="1"/>
  <c r="AL26" i="25"/>
  <c r="AL4" i="25"/>
  <c r="AK4" i="25"/>
  <c r="AK27" i="25"/>
  <c r="AQ27" i="25" s="1"/>
  <c r="AL27" i="25"/>
  <c r="AL7" i="25"/>
  <c r="AK7" i="25"/>
  <c r="AI105" i="26"/>
  <c r="J104" i="26"/>
  <c r="AI100" i="26"/>
  <c r="AR70" i="26"/>
  <c r="AR69" i="26"/>
  <c r="AB22" i="24"/>
  <c r="AJ22" i="24" s="1"/>
  <c r="AB18" i="24"/>
  <c r="AJ18" i="24" s="1"/>
  <c r="AB20" i="24"/>
  <c r="AJ20" i="24" s="1"/>
  <c r="AB23" i="24"/>
  <c r="AI23" i="24" s="1"/>
  <c r="AB19" i="24"/>
  <c r="AI19" i="24" s="1"/>
  <c r="AV24" i="5"/>
  <c r="H21" i="2"/>
  <c r="I21" i="2" s="1"/>
  <c r="D21" i="2"/>
  <c r="F21" i="2" s="1"/>
  <c r="G21" i="2" s="1"/>
  <c r="AA18" i="53"/>
  <c r="AG18" i="53" s="1"/>
  <c r="Y17" i="53"/>
  <c r="AD21" i="24"/>
  <c r="AD28" i="24"/>
  <c r="AB28" i="24" s="1"/>
  <c r="AD20" i="24"/>
  <c r="AD22" i="24"/>
  <c r="AD26" i="24"/>
  <c r="AB26" i="24" s="1"/>
  <c r="AD17" i="24"/>
  <c r="AD25" i="24"/>
  <c r="AB25" i="24" s="1"/>
  <c r="AD24" i="24"/>
  <c r="AB24" i="24" s="1"/>
  <c r="AH24" i="24" s="1"/>
  <c r="AD23" i="24"/>
  <c r="AD19" i="24"/>
  <c r="AD27" i="24"/>
  <c r="AB27" i="24" s="1"/>
  <c r="AD18" i="24"/>
  <c r="AB21" i="24"/>
  <c r="AA28" i="10"/>
  <c r="AG28" i="10" s="1"/>
  <c r="Y27" i="10"/>
  <c r="X28" i="10" s="1"/>
  <c r="H27" i="8"/>
  <c r="I27" i="8" s="1"/>
  <c r="D27" i="8"/>
  <c r="F27" i="8" s="1"/>
  <c r="G27" i="8" s="1"/>
  <c r="H23" i="4"/>
  <c r="I23" i="4" s="1"/>
  <c r="D23" i="4"/>
  <c r="F23" i="4" s="1"/>
  <c r="G23" i="4" s="1"/>
  <c r="AV22" i="3"/>
  <c r="AW27" i="61"/>
  <c r="AN30" i="68" s="1"/>
  <c r="B27" i="7"/>
  <c r="C22" i="27"/>
  <c r="AP27" i="7"/>
  <c r="AV28" i="9"/>
  <c r="Y28" i="9"/>
  <c r="BG7" i="9"/>
  <c r="AA20" i="18"/>
  <c r="AG20" i="18" s="1"/>
  <c r="Y19" i="18"/>
  <c r="AY25" i="61"/>
  <c r="AP28" i="68" s="1"/>
  <c r="B25" i="5"/>
  <c r="AP25" i="5"/>
  <c r="C24" i="29"/>
  <c r="AA24" i="14"/>
  <c r="AG24" i="14" s="1"/>
  <c r="Y23" i="14"/>
  <c r="AV20" i="1"/>
  <c r="AZ24" i="61"/>
  <c r="B24" i="4"/>
  <c r="C25" i="30"/>
  <c r="AP24" i="4"/>
  <c r="AA25" i="13"/>
  <c r="AG25" i="13" s="1"/>
  <c r="Y24" i="13"/>
  <c r="X25" i="13" s="1"/>
  <c r="AV25" i="6"/>
  <c r="AD1" i="22"/>
  <c r="AG17" i="22"/>
  <c r="AA18" i="19"/>
  <c r="AG18" i="19" s="1"/>
  <c r="Y17" i="19"/>
  <c r="BB22" i="61"/>
  <c r="AP22" i="2"/>
  <c r="C27" i="32"/>
  <c r="B22" i="2"/>
  <c r="H24" i="5"/>
  <c r="I24" i="5" s="1"/>
  <c r="D24" i="5"/>
  <c r="F24" i="5" s="1"/>
  <c r="G24" i="5" s="1"/>
  <c r="X19" i="19"/>
  <c r="G28" i="11"/>
  <c r="G29" i="11" s="1"/>
  <c r="I38" i="11" s="1"/>
  <c r="F29" i="11"/>
  <c r="I36" i="11" s="1"/>
  <c r="AV21" i="2"/>
  <c r="AA21" i="16"/>
  <c r="AG21" i="16" s="1"/>
  <c r="Y20" i="16"/>
  <c r="X21" i="16" s="1"/>
  <c r="AV27" i="8"/>
  <c r="BC21" i="61"/>
  <c r="B21" i="1"/>
  <c r="AP21" i="1"/>
  <c r="C28" i="33"/>
  <c r="AX26" i="61"/>
  <c r="C23" i="28"/>
  <c r="AP26" i="6"/>
  <c r="B26" i="6"/>
  <c r="H22" i="3"/>
  <c r="I22" i="3" s="1"/>
  <c r="D22" i="3"/>
  <c r="F22" i="3" s="1"/>
  <c r="G22" i="3" s="1"/>
  <c r="AV26" i="7"/>
  <c r="H28" i="9"/>
  <c r="I28" i="9" s="1"/>
  <c r="I29" i="9" s="1"/>
  <c r="I39" i="9" s="1"/>
  <c r="D28" i="9"/>
  <c r="S7" i="9"/>
  <c r="AH5" i="24"/>
  <c r="AH4" i="24"/>
  <c r="AH7" i="24"/>
  <c r="AH6" i="24"/>
  <c r="AH8" i="24"/>
  <c r="AH28" i="24"/>
  <c r="AH27" i="24"/>
  <c r="AH26" i="24"/>
  <c r="AH25" i="24"/>
  <c r="X17" i="21"/>
  <c r="AA17" i="21"/>
  <c r="X16" i="21"/>
  <c r="AA26" i="12"/>
  <c r="AG26" i="12" s="1"/>
  <c r="Y25" i="12"/>
  <c r="X26" i="12" s="1"/>
  <c r="AF17" i="23"/>
  <c r="AF18" i="23" s="1"/>
  <c r="AF19" i="23" s="1"/>
  <c r="AF20" i="23" s="1"/>
  <c r="AF21" i="23" s="1"/>
  <c r="AF22" i="23" s="1"/>
  <c r="AF23" i="23" s="1"/>
  <c r="AF24" i="23" s="1"/>
  <c r="AF25" i="23" s="1"/>
  <c r="AF26" i="23" s="1"/>
  <c r="AF27" i="23" s="1"/>
  <c r="AF28" i="23" s="1"/>
  <c r="AH1" i="23"/>
  <c r="AW1" i="23"/>
  <c r="X21" i="18"/>
  <c r="AA17" i="20"/>
  <c r="AA20" i="17"/>
  <c r="AG20" i="17" s="1"/>
  <c r="Y19" i="17"/>
  <c r="X25" i="14"/>
  <c r="C21" i="26"/>
  <c r="AP28" i="8"/>
  <c r="X33" i="61"/>
  <c r="B28" i="8"/>
  <c r="H20" i="1"/>
  <c r="I20" i="1" s="1"/>
  <c r="D20" i="1"/>
  <c r="F20" i="1" s="1"/>
  <c r="G20" i="1" s="1"/>
  <c r="AV23" i="4"/>
  <c r="H25" i="6"/>
  <c r="I25" i="6" s="1"/>
  <c r="D25" i="6"/>
  <c r="F25" i="6" s="1"/>
  <c r="G25" i="6" s="1"/>
  <c r="BA23" i="61"/>
  <c r="AP23" i="3"/>
  <c r="B23" i="3"/>
  <c r="C26" i="31"/>
  <c r="C26" i="59"/>
  <c r="H26" i="7"/>
  <c r="I26" i="7" s="1"/>
  <c r="D26" i="7"/>
  <c r="F26" i="7" s="1"/>
  <c r="G26" i="7" s="1"/>
  <c r="AE1" i="23"/>
  <c r="AA22" i="15"/>
  <c r="AG22" i="15" s="1"/>
  <c r="Y21" i="15"/>
  <c r="F28" i="10"/>
  <c r="D29" i="10"/>
  <c r="I35" i="10" s="1"/>
  <c r="AA26" i="11"/>
  <c r="AG26" i="11" s="1"/>
  <c r="Y25" i="11"/>
  <c r="X26" i="11" s="1"/>
  <c r="CZ118" i="61" l="1"/>
  <c r="AR26" i="68"/>
  <c r="EX149" i="61"/>
  <c r="GI149" i="61" s="1"/>
  <c r="O28" i="64" s="1"/>
  <c r="AO29" i="68"/>
  <c r="DB116" i="61"/>
  <c r="AT24" i="68"/>
  <c r="CY119" i="61"/>
  <c r="AQ27" i="68"/>
  <c r="DA117" i="61"/>
  <c r="AS25" i="68"/>
  <c r="CC114" i="61"/>
  <c r="BY114" i="61"/>
  <c r="BU114" i="61"/>
  <c r="BQ114" i="61"/>
  <c r="BM114" i="61"/>
  <c r="BI114" i="61"/>
  <c r="CA114" i="61"/>
  <c r="BW114" i="61"/>
  <c r="EC114" i="61" s="1"/>
  <c r="BS114" i="61"/>
  <c r="BO114" i="61"/>
  <c r="BK114" i="61"/>
  <c r="BG114" i="61"/>
  <c r="DM114" i="61" s="1"/>
  <c r="CB114" i="61"/>
  <c r="BT114" i="61"/>
  <c r="BL114" i="61"/>
  <c r="BX114" i="61"/>
  <c r="ED114" i="61" s="1"/>
  <c r="BP114" i="61"/>
  <c r="BH114" i="61"/>
  <c r="BV114" i="61"/>
  <c r="BR114" i="61"/>
  <c r="DX114" i="61" s="1"/>
  <c r="BN114" i="61"/>
  <c r="BZ114" i="61"/>
  <c r="BJ114" i="61"/>
  <c r="BF114" i="61"/>
  <c r="BE114" i="61"/>
  <c r="DG115" i="61"/>
  <c r="DF115" i="61"/>
  <c r="AI14" i="25"/>
  <c r="AI17" i="24"/>
  <c r="X16" i="20"/>
  <c r="AR90" i="32"/>
  <c r="AT90" i="32" s="1"/>
  <c r="E16" i="32" s="1"/>
  <c r="AI130" i="31"/>
  <c r="AJ9" i="25"/>
  <c r="AJ11" i="24"/>
  <c r="AI11" i="24"/>
  <c r="AJ12" i="24"/>
  <c r="AI12" i="24"/>
  <c r="AI9" i="24"/>
  <c r="AJ9" i="24"/>
  <c r="AJ12" i="25"/>
  <c r="AI9" i="25"/>
  <c r="AH10" i="25"/>
  <c r="AH11" i="25" s="1"/>
  <c r="AK9" i="25"/>
  <c r="AL9" i="25"/>
  <c r="AJ15" i="24"/>
  <c r="AJ13" i="24"/>
  <c r="AJ11" i="25"/>
  <c r="AI14" i="24"/>
  <c r="AJ7" i="25"/>
  <c r="AI7" i="25"/>
  <c r="AQ7" i="25" s="1"/>
  <c r="AJ16" i="25"/>
  <c r="AI16" i="25"/>
  <c r="AD10" i="23"/>
  <c r="AB10" i="23" s="1"/>
  <c r="AI10" i="23" s="1"/>
  <c r="AD7" i="23"/>
  <c r="AB7" i="23" s="1"/>
  <c r="AD15" i="23"/>
  <c r="AB15" i="23" s="1"/>
  <c r="AJ15" i="23" s="1"/>
  <c r="AD11" i="23"/>
  <c r="AB11" i="23" s="1"/>
  <c r="AD12" i="23"/>
  <c r="AB12" i="23" s="1"/>
  <c r="AD6" i="23"/>
  <c r="AB6" i="23" s="1"/>
  <c r="AD4" i="23"/>
  <c r="AB4" i="23" s="1"/>
  <c r="AD14" i="23"/>
  <c r="AB14" i="23" s="1"/>
  <c r="AD13" i="23"/>
  <c r="AB13" i="23" s="1"/>
  <c r="AI13" i="23" s="1"/>
  <c r="AD8" i="23"/>
  <c r="AB8" i="23" s="1"/>
  <c r="AD9" i="23"/>
  <c r="AB9" i="23" s="1"/>
  <c r="AD5" i="23"/>
  <c r="AB5" i="23" s="1"/>
  <c r="AJ6" i="24"/>
  <c r="AI6" i="24"/>
  <c r="AI15" i="25"/>
  <c r="AJ15" i="25"/>
  <c r="AI13" i="25"/>
  <c r="AJ13" i="25"/>
  <c r="AA16" i="21"/>
  <c r="X15" i="21"/>
  <c r="AB17" i="23"/>
  <c r="AJ17" i="23" s="1"/>
  <c r="AD16" i="23"/>
  <c r="AB16" i="23" s="1"/>
  <c r="X18" i="19"/>
  <c r="Y16" i="19"/>
  <c r="AI16" i="24"/>
  <c r="AJ16" i="24"/>
  <c r="AJ4" i="24"/>
  <c r="AI4" i="24"/>
  <c r="AJ8" i="24"/>
  <c r="AI8" i="24"/>
  <c r="AI10" i="24"/>
  <c r="AJ10" i="24"/>
  <c r="X18" i="53"/>
  <c r="Y16" i="53"/>
  <c r="AJ4" i="25"/>
  <c r="AI4" i="25"/>
  <c r="AQ4" i="25" s="1"/>
  <c r="AG16" i="22"/>
  <c r="X1" i="22"/>
  <c r="AJ6" i="25"/>
  <c r="AI6" i="25"/>
  <c r="AQ6" i="25" s="1"/>
  <c r="AI5" i="25"/>
  <c r="AQ5" i="25" s="1"/>
  <c r="AJ5" i="25"/>
  <c r="AJ8" i="25"/>
  <c r="AI8" i="25"/>
  <c r="AQ8" i="25" s="1"/>
  <c r="AA16" i="20"/>
  <c r="X15" i="20"/>
  <c r="AJ5" i="24"/>
  <c r="AI5" i="24"/>
  <c r="AJ7" i="24"/>
  <c r="AI7" i="24"/>
  <c r="GH139" i="61"/>
  <c r="N18" i="64" s="1"/>
  <c r="ES138" i="61"/>
  <c r="H17" i="64" s="1"/>
  <c r="AI115" i="28"/>
  <c r="K17" i="64"/>
  <c r="GC139" i="61"/>
  <c r="GD139" i="61" s="1"/>
  <c r="ET138" i="61"/>
  <c r="EY138" i="61"/>
  <c r="ER139" i="61"/>
  <c r="EC141" i="61"/>
  <c r="FO141" i="61"/>
  <c r="EA141" i="61"/>
  <c r="FM141" i="61"/>
  <c r="EM141" i="61"/>
  <c r="FY141" i="61"/>
  <c r="EH141" i="61"/>
  <c r="FT141" i="61"/>
  <c r="EB141" i="61"/>
  <c r="FN141" i="61"/>
  <c r="DU141" i="61"/>
  <c r="FG141" i="61"/>
  <c r="EO141" i="61"/>
  <c r="GA141" i="61"/>
  <c r="DW141" i="61"/>
  <c r="FI141" i="61"/>
  <c r="ED141" i="61"/>
  <c r="FP141" i="61"/>
  <c r="EN141" i="61"/>
  <c r="FZ141" i="61"/>
  <c r="DX141" i="61"/>
  <c r="FJ141" i="61"/>
  <c r="EE141" i="61"/>
  <c r="FQ141" i="61"/>
  <c r="EI141" i="61"/>
  <c r="FU141" i="61"/>
  <c r="EG141" i="61"/>
  <c r="FS141" i="61"/>
  <c r="GB141" i="61"/>
  <c r="DZ141" i="61"/>
  <c r="FL141" i="61"/>
  <c r="EJ141" i="61"/>
  <c r="FV141" i="61"/>
  <c r="DT141" i="61"/>
  <c r="FF141" i="61"/>
  <c r="EK141" i="61"/>
  <c r="FW141" i="61"/>
  <c r="DS141" i="61"/>
  <c r="FE141" i="61"/>
  <c r="DY141" i="61"/>
  <c r="FK141" i="61"/>
  <c r="EL141" i="61"/>
  <c r="FX141" i="61"/>
  <c r="DV141" i="61"/>
  <c r="FH141" i="61"/>
  <c r="EF141" i="61"/>
  <c r="FR141" i="61"/>
  <c r="DR140" i="61"/>
  <c r="EZ140" i="61" s="1"/>
  <c r="FD140" i="61"/>
  <c r="GE140" i="61" s="1"/>
  <c r="L19" i="64" s="1"/>
  <c r="DL114" i="61"/>
  <c r="DP114" i="61"/>
  <c r="DT114" i="61"/>
  <c r="EB114" i="61"/>
  <c r="EF114" i="61"/>
  <c r="DN114" i="61"/>
  <c r="DR114" i="61"/>
  <c r="DV114" i="61"/>
  <c r="DZ114" i="61"/>
  <c r="EH114" i="61"/>
  <c r="DW114" i="61"/>
  <c r="DQ114" i="61"/>
  <c r="DY114" i="61"/>
  <c r="EG114" i="61"/>
  <c r="EA114" i="61"/>
  <c r="DS114" i="61"/>
  <c r="EI114" i="61"/>
  <c r="EP142" i="61" s="1"/>
  <c r="DU114" i="61"/>
  <c r="DO114" i="61"/>
  <c r="EE114" i="61"/>
  <c r="EU141" i="61"/>
  <c r="EV141" i="61" s="1"/>
  <c r="DK113" i="61"/>
  <c r="DD116" i="61"/>
  <c r="CX120" i="61"/>
  <c r="H120" i="28"/>
  <c r="F120" i="28"/>
  <c r="AM27" i="25"/>
  <c r="AW27" i="25" s="1"/>
  <c r="J112" i="27"/>
  <c r="AK156" i="59"/>
  <c r="X110" i="28"/>
  <c r="AI150" i="31"/>
  <c r="AE130" i="30"/>
  <c r="AI129" i="30" s="1"/>
  <c r="AK174" i="59"/>
  <c r="X105" i="27"/>
  <c r="R109" i="26"/>
  <c r="D118" i="26"/>
  <c r="F118" i="26" s="1"/>
  <c r="H118" i="26" s="1"/>
  <c r="AE118" i="26"/>
  <c r="R113" i="26"/>
  <c r="AE114" i="26"/>
  <c r="AG114" i="26" s="1"/>
  <c r="D114" i="26"/>
  <c r="F114" i="26" s="1"/>
  <c r="H114" i="26" s="1"/>
  <c r="R138" i="29"/>
  <c r="D139" i="29"/>
  <c r="AE129" i="29"/>
  <c r="AG129" i="29" s="1"/>
  <c r="D144" i="29"/>
  <c r="D129" i="29"/>
  <c r="R143" i="29"/>
  <c r="AE149" i="29"/>
  <c r="AG149" i="29" s="1"/>
  <c r="AE134" i="29"/>
  <c r="AG134" i="29" s="1"/>
  <c r="AE138" i="29"/>
  <c r="R148" i="29"/>
  <c r="AE133" i="29"/>
  <c r="AE139" i="29"/>
  <c r="AG139" i="29" s="1"/>
  <c r="AE144" i="29"/>
  <c r="AG144" i="29" s="1"/>
  <c r="R133" i="29"/>
  <c r="D149" i="29"/>
  <c r="D134" i="29"/>
  <c r="AE143" i="29"/>
  <c r="R128" i="29"/>
  <c r="AE148" i="29"/>
  <c r="CV122" i="61"/>
  <c r="D500" i="66"/>
  <c r="L525" i="66"/>
  <c r="AM28" i="25"/>
  <c r="AW28" i="25" s="1"/>
  <c r="J162" i="59"/>
  <c r="N162" i="59" s="1"/>
  <c r="AS162" i="59" s="1"/>
  <c r="J161" i="59"/>
  <c r="N161" i="59" s="1"/>
  <c r="AS161" i="59" s="1"/>
  <c r="H113" i="27"/>
  <c r="H115" i="27" s="1"/>
  <c r="F115" i="27"/>
  <c r="AG130" i="30"/>
  <c r="J144" i="31"/>
  <c r="N144" i="31" s="1"/>
  <c r="AQ144" i="31" s="1"/>
  <c r="J145" i="31"/>
  <c r="N145" i="31" s="1"/>
  <c r="AQ145" i="31" s="1"/>
  <c r="AG113" i="26"/>
  <c r="F113" i="26"/>
  <c r="AG128" i="29"/>
  <c r="J132" i="30"/>
  <c r="F134" i="30"/>
  <c r="H134" i="30" s="1"/>
  <c r="AE145" i="30"/>
  <c r="AI144" i="30" s="1"/>
  <c r="AG143" i="30"/>
  <c r="AG145" i="30" s="1"/>
  <c r="J156" i="59"/>
  <c r="N156" i="59" s="1"/>
  <c r="AS156" i="59" s="1"/>
  <c r="J155" i="59"/>
  <c r="N155" i="59" s="1"/>
  <c r="AS155" i="59" s="1"/>
  <c r="AK168" i="59"/>
  <c r="J130" i="31"/>
  <c r="N130" i="31" s="1"/>
  <c r="AQ130" i="31" s="1"/>
  <c r="J129" i="31"/>
  <c r="N129" i="31" s="1"/>
  <c r="AQ129" i="31" s="1"/>
  <c r="X100" i="26"/>
  <c r="J117" i="28"/>
  <c r="J114" i="28"/>
  <c r="J115" i="28"/>
  <c r="B480" i="66"/>
  <c r="A480" i="66"/>
  <c r="AE125" i="29"/>
  <c r="AI124" i="29" s="1"/>
  <c r="AG120" i="28"/>
  <c r="AG115" i="27"/>
  <c r="J135" i="31"/>
  <c r="N135" i="31" s="1"/>
  <c r="AQ135" i="31" s="1"/>
  <c r="J134" i="31"/>
  <c r="N134" i="31" s="1"/>
  <c r="AQ134" i="31" s="1"/>
  <c r="AR89" i="32"/>
  <c r="AT89" i="32" s="1"/>
  <c r="D16" i="32" s="1"/>
  <c r="D124" i="28"/>
  <c r="AE128" i="28"/>
  <c r="R123" i="28"/>
  <c r="AE124" i="28"/>
  <c r="AG124" i="28" s="1"/>
  <c r="H109" i="27"/>
  <c r="H110" i="27" s="1"/>
  <c r="J110" i="27" s="1"/>
  <c r="F110" i="27"/>
  <c r="J109" i="27" s="1"/>
  <c r="V108" i="26"/>
  <c r="T108" i="26"/>
  <c r="V104" i="26"/>
  <c r="V105" i="26" s="1"/>
  <c r="T104" i="26"/>
  <c r="T105" i="26" s="1"/>
  <c r="X104" i="26" s="1"/>
  <c r="V123" i="29"/>
  <c r="T123" i="29"/>
  <c r="T143" i="30"/>
  <c r="V143" i="30"/>
  <c r="T138" i="30"/>
  <c r="V138" i="30"/>
  <c r="V128" i="30"/>
  <c r="T128" i="30"/>
  <c r="J147" i="30"/>
  <c r="F149" i="30"/>
  <c r="H149" i="30" s="1"/>
  <c r="J150" i="31"/>
  <c r="N150" i="31" s="1"/>
  <c r="AQ150" i="31" s="1"/>
  <c r="J149" i="31"/>
  <c r="N149" i="31" s="1"/>
  <c r="AQ149" i="31" s="1"/>
  <c r="D524" i="65"/>
  <c r="A524" i="65" s="1"/>
  <c r="I524" i="66"/>
  <c r="J524" i="66"/>
  <c r="B524" i="65" s="1"/>
  <c r="AG125" i="29"/>
  <c r="AI125" i="30"/>
  <c r="AE120" i="28"/>
  <c r="AI119" i="28" s="1"/>
  <c r="AE115" i="27"/>
  <c r="AI114" i="27" s="1"/>
  <c r="CW121" i="61"/>
  <c r="D481" i="66"/>
  <c r="L505" i="66"/>
  <c r="R114" i="27"/>
  <c r="AE123" i="27"/>
  <c r="D119" i="27"/>
  <c r="F119" i="27" s="1"/>
  <c r="H119" i="27" s="1"/>
  <c r="AE119" i="27"/>
  <c r="AG119" i="27" s="1"/>
  <c r="R118" i="27"/>
  <c r="AI135" i="31"/>
  <c r="J107" i="26"/>
  <c r="F109" i="26"/>
  <c r="F117" i="26"/>
  <c r="T113" i="27"/>
  <c r="V113" i="27"/>
  <c r="V109" i="27"/>
  <c r="V110" i="27" s="1"/>
  <c r="T109" i="27"/>
  <c r="T110" i="27" s="1"/>
  <c r="X109" i="27" s="1"/>
  <c r="AG148" i="30"/>
  <c r="AG150" i="30" s="1"/>
  <c r="AE150" i="30"/>
  <c r="AI149" i="30" s="1"/>
  <c r="V148" i="30"/>
  <c r="T148" i="30"/>
  <c r="F129" i="30"/>
  <c r="H129" i="30" s="1"/>
  <c r="J127" i="30"/>
  <c r="AE140" i="30"/>
  <c r="AI139" i="30" s="1"/>
  <c r="AG138" i="30"/>
  <c r="AG140" i="30" s="1"/>
  <c r="F144" i="30"/>
  <c r="H144" i="30" s="1"/>
  <c r="J142" i="30"/>
  <c r="J174" i="59"/>
  <c r="N174" i="59" s="1"/>
  <c r="AS174" i="59" s="1"/>
  <c r="J173" i="59"/>
  <c r="N173" i="59" s="1"/>
  <c r="AS173" i="59" s="1"/>
  <c r="AK162" i="59"/>
  <c r="AI110" i="27"/>
  <c r="T118" i="28"/>
  <c r="V118" i="28"/>
  <c r="J167" i="59"/>
  <c r="N167" i="59" s="1"/>
  <c r="AS167" i="59" s="1"/>
  <c r="J168" i="59"/>
  <c r="N168" i="59" s="1"/>
  <c r="AS168" i="59" s="1"/>
  <c r="H117" i="27"/>
  <c r="AI145" i="31"/>
  <c r="AI140" i="31"/>
  <c r="D484" i="65"/>
  <c r="A484" i="65" s="1"/>
  <c r="I484" i="66"/>
  <c r="J484" i="66"/>
  <c r="B484" i="65" s="1"/>
  <c r="B499" i="66"/>
  <c r="A499" i="66"/>
  <c r="X115" i="29"/>
  <c r="J150" i="59"/>
  <c r="N150" i="59" s="1"/>
  <c r="AS150" i="59" s="1"/>
  <c r="J149" i="59"/>
  <c r="N149" i="59" s="1"/>
  <c r="AS149" i="59" s="1"/>
  <c r="J124" i="30"/>
  <c r="N124" i="30" s="1"/>
  <c r="AQ124" i="30" s="1"/>
  <c r="J125" i="30"/>
  <c r="N125" i="30" s="1"/>
  <c r="AQ125" i="30" s="1"/>
  <c r="AG109" i="26"/>
  <c r="AG110" i="26" s="1"/>
  <c r="AE110" i="26"/>
  <c r="AI109" i="26" s="1"/>
  <c r="T112" i="26"/>
  <c r="V112" i="26"/>
  <c r="F124" i="29"/>
  <c r="H124" i="29" s="1"/>
  <c r="J122" i="29"/>
  <c r="AG118" i="27"/>
  <c r="V133" i="30"/>
  <c r="T133" i="30"/>
  <c r="AE135" i="30"/>
  <c r="AI134" i="30" s="1"/>
  <c r="AG133" i="30"/>
  <c r="AG135" i="30" s="1"/>
  <c r="F139" i="30"/>
  <c r="H139" i="30" s="1"/>
  <c r="J137" i="30"/>
  <c r="AG123" i="28"/>
  <c r="V114" i="28"/>
  <c r="V115" i="28" s="1"/>
  <c r="T114" i="28"/>
  <c r="T115" i="28" s="1"/>
  <c r="X114" i="28" s="1"/>
  <c r="D504" i="65"/>
  <c r="A504" i="65" s="1"/>
  <c r="I504" i="66"/>
  <c r="J504" i="66"/>
  <c r="B504" i="65" s="1"/>
  <c r="B461" i="66"/>
  <c r="A461" i="66"/>
  <c r="J139" i="31"/>
  <c r="N139" i="31" s="1"/>
  <c r="AQ139" i="31" s="1"/>
  <c r="J140" i="31"/>
  <c r="N140" i="31" s="1"/>
  <c r="AQ140" i="31" s="1"/>
  <c r="AV46" i="59"/>
  <c r="B30" i="58" s="1" a="1"/>
  <c r="D7" i="59"/>
  <c r="AM53" i="59" s="1"/>
  <c r="AO53" i="59" s="1"/>
  <c r="AU53" i="59" s="1"/>
  <c r="AM26" i="25"/>
  <c r="AR26" i="25" s="1"/>
  <c r="AT26" i="25" s="1"/>
  <c r="AU26" i="25" s="1"/>
  <c r="AM25" i="25"/>
  <c r="AW25" i="25" s="1"/>
  <c r="AM24" i="25"/>
  <c r="AR24" i="25" s="1"/>
  <c r="AT24" i="25" s="1"/>
  <c r="AU24" i="25" s="1"/>
  <c r="AI18" i="24"/>
  <c r="AI20" i="24"/>
  <c r="AI22" i="24"/>
  <c r="AB19" i="23"/>
  <c r="AJ19" i="23" s="1"/>
  <c r="AJ23" i="24"/>
  <c r="AB22" i="23"/>
  <c r="AJ22" i="23" s="1"/>
  <c r="AB20" i="23"/>
  <c r="AJ20" i="23" s="1"/>
  <c r="AJ19" i="24"/>
  <c r="AI27" i="24"/>
  <c r="AJ27" i="24"/>
  <c r="G28" i="10"/>
  <c r="G29" i="10" s="1"/>
  <c r="I38" i="10" s="1"/>
  <c r="F29" i="10"/>
  <c r="I36" i="10" s="1"/>
  <c r="AD22" i="23"/>
  <c r="AD23" i="23"/>
  <c r="AD18" i="23"/>
  <c r="AD28" i="23"/>
  <c r="AB28" i="23" s="1"/>
  <c r="AD24" i="23"/>
  <c r="AB24" i="23" s="1"/>
  <c r="AH24" i="23" s="1"/>
  <c r="AD17" i="23"/>
  <c r="AD27" i="23"/>
  <c r="AB27" i="23" s="1"/>
  <c r="AD25" i="23"/>
  <c r="AB25" i="23" s="1"/>
  <c r="AD19" i="23"/>
  <c r="AD20" i="23"/>
  <c r="AD21" i="23"/>
  <c r="AD26" i="23"/>
  <c r="AB26" i="23" s="1"/>
  <c r="AB21" i="23"/>
  <c r="AB23" i="23"/>
  <c r="AB18" i="23"/>
  <c r="AV23" i="3"/>
  <c r="AV28" i="8"/>
  <c r="Y28" i="8"/>
  <c r="Y27" i="8" s="1"/>
  <c r="BG7" i="8"/>
  <c r="AK26" i="24"/>
  <c r="AL26" i="24"/>
  <c r="AL7" i="24"/>
  <c r="AK7" i="24"/>
  <c r="AV26" i="6"/>
  <c r="AA20" i="16"/>
  <c r="AG20" i="16" s="1"/>
  <c r="Y19" i="16"/>
  <c r="X20" i="16" s="1"/>
  <c r="H22" i="2"/>
  <c r="I22" i="2" s="1"/>
  <c r="D22" i="2"/>
  <c r="F22" i="2" s="1"/>
  <c r="G22" i="2" s="1"/>
  <c r="AV24" i="4"/>
  <c r="AY26" i="61"/>
  <c r="AP26" i="5"/>
  <c r="B26" i="5"/>
  <c r="C24" i="28"/>
  <c r="AA28" i="9"/>
  <c r="AG28" i="9" s="1"/>
  <c r="Y27" i="9"/>
  <c r="AV27" i="7"/>
  <c r="AJ24" i="24"/>
  <c r="AI24" i="24"/>
  <c r="BA24" i="61"/>
  <c r="AP24" i="3"/>
  <c r="B24" i="3"/>
  <c r="C26" i="30"/>
  <c r="AA19" i="17"/>
  <c r="AG19" i="17" s="1"/>
  <c r="Y18" i="17"/>
  <c r="AK27" i="24"/>
  <c r="AL27" i="24"/>
  <c r="AK8" i="24"/>
  <c r="AL8" i="24"/>
  <c r="AL4" i="24"/>
  <c r="AK4" i="24"/>
  <c r="F28" i="9"/>
  <c r="D29" i="9"/>
  <c r="I35" i="9" s="1"/>
  <c r="AV21" i="1"/>
  <c r="AW1" i="22"/>
  <c r="AH1" i="22"/>
  <c r="AA23" i="14"/>
  <c r="AG23" i="14" s="1"/>
  <c r="Y22" i="14"/>
  <c r="X23" i="14" s="1"/>
  <c r="AA19" i="18"/>
  <c r="AG19" i="18" s="1"/>
  <c r="Y18" i="18"/>
  <c r="X19" i="18" s="1"/>
  <c r="AI21" i="24"/>
  <c r="AJ21" i="24"/>
  <c r="AI25" i="24"/>
  <c r="AJ25" i="24"/>
  <c r="AA25" i="11"/>
  <c r="AG25" i="11" s="1"/>
  <c r="Y24" i="11"/>
  <c r="H28" i="8"/>
  <c r="I28" i="8" s="1"/>
  <c r="I29" i="8" s="1"/>
  <c r="I39" i="8" s="1"/>
  <c r="D28" i="8"/>
  <c r="S7" i="8"/>
  <c r="AA25" i="12"/>
  <c r="AG25" i="12" s="1"/>
  <c r="Y24" i="12"/>
  <c r="X25" i="12" s="1"/>
  <c r="AD1" i="21"/>
  <c r="AG17" i="21"/>
  <c r="AK24" i="24"/>
  <c r="AL24" i="24"/>
  <c r="AK28" i="24"/>
  <c r="AL28" i="24"/>
  <c r="AH9" i="24"/>
  <c r="AL5" i="24"/>
  <c r="AK5" i="24"/>
  <c r="AQ5" i="24" s="1"/>
  <c r="AX27" i="61"/>
  <c r="B27" i="6"/>
  <c r="C23" i="27"/>
  <c r="AP27" i="6"/>
  <c r="H21" i="1"/>
  <c r="I21" i="1" s="1"/>
  <c r="D21" i="1"/>
  <c r="F21" i="1" s="1"/>
  <c r="G21" i="1" s="1"/>
  <c r="AV22" i="2"/>
  <c r="X17" i="19"/>
  <c r="AA17" i="19"/>
  <c r="X16" i="19"/>
  <c r="AE1" i="22"/>
  <c r="AA24" i="13"/>
  <c r="AG24" i="13" s="1"/>
  <c r="Y23" i="13"/>
  <c r="X24" i="13" s="1"/>
  <c r="H24" i="4"/>
  <c r="I24" i="4" s="1"/>
  <c r="D24" i="4"/>
  <c r="F24" i="4" s="1"/>
  <c r="G24" i="4" s="1"/>
  <c r="AV25" i="5"/>
  <c r="D27" i="7"/>
  <c r="F27" i="7" s="1"/>
  <c r="G27" i="7" s="1"/>
  <c r="H27" i="7"/>
  <c r="I27" i="7" s="1"/>
  <c r="AA27" i="10"/>
  <c r="AG27" i="10" s="1"/>
  <c r="Y26" i="10"/>
  <c r="AI26" i="24"/>
  <c r="AJ26" i="24"/>
  <c r="AJ28" i="24"/>
  <c r="AI28" i="24"/>
  <c r="X17" i="53"/>
  <c r="AA17" i="53"/>
  <c r="X16" i="53"/>
  <c r="AA21" i="15"/>
  <c r="AG21" i="15" s="1"/>
  <c r="Y20" i="15"/>
  <c r="X22" i="15"/>
  <c r="H23" i="3"/>
  <c r="I23" i="3" s="1"/>
  <c r="D23" i="3"/>
  <c r="F23" i="3" s="1"/>
  <c r="G23" i="3" s="1"/>
  <c r="X20" i="17"/>
  <c r="AD1" i="20"/>
  <c r="AG17" i="20"/>
  <c r="AH4" i="23"/>
  <c r="AH6" i="23"/>
  <c r="AH7" i="23"/>
  <c r="AH5" i="23"/>
  <c r="AH8" i="23"/>
  <c r="AH28" i="23"/>
  <c r="AH27" i="23"/>
  <c r="AH26" i="23"/>
  <c r="AH25" i="23"/>
  <c r="AL25" i="24"/>
  <c r="AK25" i="24"/>
  <c r="AL6" i="24"/>
  <c r="AK6" i="24"/>
  <c r="H26" i="6"/>
  <c r="I26" i="6" s="1"/>
  <c r="D26" i="6"/>
  <c r="F26" i="6" s="1"/>
  <c r="G26" i="6" s="1"/>
  <c r="BC22" i="61"/>
  <c r="B22" i="1"/>
  <c r="AP22" i="1"/>
  <c r="C28" i="32"/>
  <c r="BB23" i="61"/>
  <c r="B23" i="2"/>
  <c r="C27" i="59"/>
  <c r="AP23" i="2"/>
  <c r="C27" i="31"/>
  <c r="AZ25" i="61"/>
  <c r="B25" i="4"/>
  <c r="AP25" i="4"/>
  <c r="C25" i="29"/>
  <c r="X24" i="14"/>
  <c r="H25" i="5"/>
  <c r="I25" i="5" s="1"/>
  <c r="D25" i="5"/>
  <c r="F25" i="5" s="1"/>
  <c r="G25" i="5" s="1"/>
  <c r="X20" i="18"/>
  <c r="AP28" i="7"/>
  <c r="B28" i="7"/>
  <c r="Y33" i="61"/>
  <c r="C22" i="26"/>
  <c r="EX150" i="61" l="1"/>
  <c r="GH151" i="61" s="1"/>
  <c r="N30" i="64" s="1"/>
  <c r="AO30" i="68"/>
  <c r="CY120" i="61"/>
  <c r="AQ28" i="68"/>
  <c r="CZ119" i="61"/>
  <c r="AR27" i="68"/>
  <c r="DA118" i="61"/>
  <c r="AS26" i="68"/>
  <c r="DB117" i="61"/>
  <c r="AT25" i="68"/>
  <c r="CX121" i="61"/>
  <c r="AP29" i="68"/>
  <c r="AQ4" i="24"/>
  <c r="CC115" i="61"/>
  <c r="BY115" i="61"/>
  <c r="BU115" i="61"/>
  <c r="BQ115" i="61"/>
  <c r="DW115" i="61" s="1"/>
  <c r="BM115" i="61"/>
  <c r="BI115" i="61"/>
  <c r="CA115" i="61"/>
  <c r="BW115" i="61"/>
  <c r="EC115" i="61" s="1"/>
  <c r="BS115" i="61"/>
  <c r="BO115" i="61"/>
  <c r="BK115" i="61"/>
  <c r="BG115" i="61"/>
  <c r="DM115" i="61" s="1"/>
  <c r="CB115" i="61"/>
  <c r="BT115" i="61"/>
  <c r="BL115" i="61"/>
  <c r="BX115" i="61"/>
  <c r="ED115" i="61" s="1"/>
  <c r="BP115" i="61"/>
  <c r="BH115" i="61"/>
  <c r="BZ115" i="61"/>
  <c r="BJ115" i="61"/>
  <c r="BF115" i="61"/>
  <c r="BV115" i="61"/>
  <c r="BR115" i="61"/>
  <c r="BN115" i="61"/>
  <c r="DT115" i="61" s="1"/>
  <c r="BE115" i="61"/>
  <c r="DG116" i="61"/>
  <c r="DF116" i="61"/>
  <c r="Z100" i="32"/>
  <c r="AB100" i="32" s="1"/>
  <c r="AK95" i="32"/>
  <c r="AM95" i="32" s="1"/>
  <c r="AS95" i="32" s="1"/>
  <c r="AT95" i="32" s="1"/>
  <c r="E17" i="32" s="1"/>
  <c r="AK100" i="32" s="1"/>
  <c r="AM100" i="32" s="1"/>
  <c r="AS100" i="32" s="1"/>
  <c r="AQ6" i="24"/>
  <c r="AM6" i="24" s="1"/>
  <c r="AI125" i="29"/>
  <c r="J115" i="27"/>
  <c r="AQ8" i="24"/>
  <c r="AM8" i="24" s="1"/>
  <c r="J114" i="27"/>
  <c r="AI17" i="23"/>
  <c r="AE125" i="28"/>
  <c r="AI124" i="28" s="1"/>
  <c r="AI14" i="23"/>
  <c r="AJ14" i="23"/>
  <c r="AI11" i="23"/>
  <c r="AJ11" i="23"/>
  <c r="AI9" i="23"/>
  <c r="AJ9" i="23"/>
  <c r="AH9" i="23"/>
  <c r="AH10" i="23" s="1"/>
  <c r="AH11" i="23" s="1"/>
  <c r="AK11" i="23" s="1"/>
  <c r="AQ11" i="23" s="1"/>
  <c r="AJ13" i="23"/>
  <c r="AM7" i="25"/>
  <c r="AW7" i="25" s="1"/>
  <c r="AQ7" i="24"/>
  <c r="AM7" i="24" s="1"/>
  <c r="AR7" i="24" s="1"/>
  <c r="AT7" i="24" s="1"/>
  <c r="AU7" i="24" s="1"/>
  <c r="AQ9" i="25"/>
  <c r="AM9" i="25" s="1"/>
  <c r="AR9" i="25" s="1"/>
  <c r="AT9" i="25" s="1"/>
  <c r="AU9" i="25" s="1"/>
  <c r="AJ10" i="23"/>
  <c r="AL10" i="25"/>
  <c r="AK10" i="25"/>
  <c r="AQ10" i="25" s="1"/>
  <c r="AM4" i="25"/>
  <c r="AR4" i="25" s="1"/>
  <c r="AH12" i="25"/>
  <c r="AK11" i="25"/>
  <c r="AQ11" i="25" s="1"/>
  <c r="AL11" i="25"/>
  <c r="AI15" i="23"/>
  <c r="AM8" i="25"/>
  <c r="AR8" i="25" s="1"/>
  <c r="AT8" i="25" s="1"/>
  <c r="AU8" i="25" s="1"/>
  <c r="AM6" i="25"/>
  <c r="AW6" i="25" s="1"/>
  <c r="AF16" i="22"/>
  <c r="AF17" i="22" s="1"/>
  <c r="AF18" i="22" s="1"/>
  <c r="AF19" i="22" s="1"/>
  <c r="AF20" i="22" s="1"/>
  <c r="AF21" i="22" s="1"/>
  <c r="AF22" i="22" s="1"/>
  <c r="AF23" i="22" s="1"/>
  <c r="AF24" i="22" s="1"/>
  <c r="AF25" i="22" s="1"/>
  <c r="AF26" i="22" s="1"/>
  <c r="AF27" i="22" s="1"/>
  <c r="AF28" i="22" s="1"/>
  <c r="AI1" i="22"/>
  <c r="AM5" i="25"/>
  <c r="AW5" i="25" s="1"/>
  <c r="AG16" i="21"/>
  <c r="X1" i="21"/>
  <c r="AI4" i="23"/>
  <c r="AJ4" i="23"/>
  <c r="AG16" i="20"/>
  <c r="X1" i="20"/>
  <c r="Y1" i="22"/>
  <c r="AB11" i="22" s="1"/>
  <c r="AA16" i="53"/>
  <c r="X15" i="53"/>
  <c r="AJ8" i="23"/>
  <c r="AI8" i="23"/>
  <c r="AJ6" i="23"/>
  <c r="AI6" i="23"/>
  <c r="AI7" i="23"/>
  <c r="AJ7" i="23"/>
  <c r="AB19" i="22"/>
  <c r="AJ19" i="22" s="1"/>
  <c r="AJ16" i="23"/>
  <c r="AI16" i="23"/>
  <c r="AA16" i="19"/>
  <c r="X15" i="19"/>
  <c r="AI5" i="23"/>
  <c r="AJ5" i="23"/>
  <c r="AJ12" i="23"/>
  <c r="AI12" i="23"/>
  <c r="GD151" i="61"/>
  <c r="K30" i="64" s="1"/>
  <c r="GI150" i="61"/>
  <c r="O29" i="64" s="1"/>
  <c r="GH140" i="61"/>
  <c r="N19" i="64" s="1"/>
  <c r="AG120" i="27"/>
  <c r="L105" i="32"/>
  <c r="N105" i="32" s="1"/>
  <c r="AQ105" i="32" s="1"/>
  <c r="ES151" i="61"/>
  <c r="ES153" i="61"/>
  <c r="K18" i="64"/>
  <c r="GC140" i="61"/>
  <c r="GD140" i="61" s="1"/>
  <c r="ET139" i="61"/>
  <c r="EY139" i="61"/>
  <c r="ES139" i="61"/>
  <c r="H18" i="64" s="1"/>
  <c r="DR141" i="61"/>
  <c r="EZ141" i="61" s="1"/>
  <c r="FD141" i="61"/>
  <c r="GE141" i="61" s="1"/>
  <c r="L20" i="64" s="1"/>
  <c r="EJ142" i="61"/>
  <c r="FV142" i="61"/>
  <c r="DZ142" i="61"/>
  <c r="FL142" i="61"/>
  <c r="EF142" i="61"/>
  <c r="FR142" i="61"/>
  <c r="EK142" i="61"/>
  <c r="FW142" i="61"/>
  <c r="DU142" i="61"/>
  <c r="FG142" i="61"/>
  <c r="EA142" i="61"/>
  <c r="FM142" i="61"/>
  <c r="EB142" i="61"/>
  <c r="FN142" i="61"/>
  <c r="EH142" i="61"/>
  <c r="FT142" i="61"/>
  <c r="DX142" i="61"/>
  <c r="FJ142" i="61"/>
  <c r="EG142" i="61"/>
  <c r="FS142" i="61"/>
  <c r="EM142" i="61"/>
  <c r="FY142" i="61"/>
  <c r="DW142" i="61"/>
  <c r="FI142" i="61"/>
  <c r="ER140" i="61"/>
  <c r="EL142" i="61"/>
  <c r="FX142" i="61"/>
  <c r="DT142" i="61"/>
  <c r="FF142" i="61"/>
  <c r="ED142" i="61"/>
  <c r="FP142" i="61"/>
  <c r="EC142" i="61"/>
  <c r="FO142" i="61"/>
  <c r="EI142" i="61"/>
  <c r="FU142" i="61"/>
  <c r="DS142" i="61"/>
  <c r="FE142" i="61"/>
  <c r="DV142" i="61"/>
  <c r="FH142" i="61"/>
  <c r="GB142" i="61"/>
  <c r="EN142" i="61"/>
  <c r="FZ142" i="61"/>
  <c r="EO142" i="61"/>
  <c r="GA142" i="61"/>
  <c r="DY142" i="61"/>
  <c r="FK142" i="61"/>
  <c r="EE142" i="61"/>
  <c r="FQ142" i="61"/>
  <c r="DO115" i="61"/>
  <c r="DS115" i="61"/>
  <c r="EA115" i="61"/>
  <c r="EE115" i="61"/>
  <c r="EI115" i="61"/>
  <c r="EP143" i="61" s="1"/>
  <c r="DQ115" i="61"/>
  <c r="DU115" i="61"/>
  <c r="DY115" i="61"/>
  <c r="EG115" i="61"/>
  <c r="DV115" i="61"/>
  <c r="DP115" i="61"/>
  <c r="DX115" i="61"/>
  <c r="EF115" i="61"/>
  <c r="DR115" i="61"/>
  <c r="EH115" i="61"/>
  <c r="DZ115" i="61"/>
  <c r="DL115" i="61"/>
  <c r="EB115" i="61"/>
  <c r="DN115" i="61"/>
  <c r="EU142" i="61"/>
  <c r="EV142" i="61" s="1"/>
  <c r="DK114" i="61"/>
  <c r="AI130" i="30"/>
  <c r="J112" i="26"/>
  <c r="AI150" i="30"/>
  <c r="DD117" i="61"/>
  <c r="AK94" i="32"/>
  <c r="AM94" i="32" s="1"/>
  <c r="AS94" i="32" s="1"/>
  <c r="AT94" i="32" s="1"/>
  <c r="D17" i="32" s="1"/>
  <c r="AK99" i="32" s="1"/>
  <c r="AM99" i="32" s="1"/>
  <c r="AS99" i="32" s="1"/>
  <c r="Z99" i="32"/>
  <c r="AB99" i="32" s="1"/>
  <c r="L104" i="32"/>
  <c r="N104" i="32" s="1"/>
  <c r="AQ104" i="32" s="1"/>
  <c r="AR28" i="25"/>
  <c r="AT28" i="25" s="1"/>
  <c r="AU28" i="25" s="1"/>
  <c r="AR27" i="25"/>
  <c r="AT27" i="25" s="1"/>
  <c r="AU27" i="25" s="1"/>
  <c r="AG130" i="29"/>
  <c r="AE115" i="26"/>
  <c r="AI114" i="26" s="1"/>
  <c r="AG125" i="28"/>
  <c r="AI125" i="28" s="1"/>
  <c r="H120" i="27"/>
  <c r="F120" i="27"/>
  <c r="AI135" i="30"/>
  <c r="X110" i="27"/>
  <c r="X115" i="28"/>
  <c r="AI110" i="26"/>
  <c r="AI140" i="30"/>
  <c r="V118" i="27"/>
  <c r="T118" i="27"/>
  <c r="V114" i="27"/>
  <c r="V115" i="27" s="1"/>
  <c r="T114" i="27"/>
  <c r="T115" i="27" s="1"/>
  <c r="X114" i="27" s="1"/>
  <c r="X105" i="26"/>
  <c r="AI115" i="27"/>
  <c r="J120" i="28"/>
  <c r="J119" i="28"/>
  <c r="J132" i="29"/>
  <c r="F134" i="29"/>
  <c r="H134" i="29" s="1"/>
  <c r="J142" i="29"/>
  <c r="F144" i="29"/>
  <c r="H144" i="29" s="1"/>
  <c r="R114" i="26"/>
  <c r="D119" i="26"/>
  <c r="AE123" i="26"/>
  <c r="R118" i="26"/>
  <c r="AE119" i="26"/>
  <c r="AG119" i="26" s="1"/>
  <c r="CW122" i="61"/>
  <c r="D501" i="66"/>
  <c r="L526" i="66"/>
  <c r="H117" i="26"/>
  <c r="T123" i="28"/>
  <c r="V123" i="28"/>
  <c r="AI120" i="28"/>
  <c r="J135" i="30"/>
  <c r="N135" i="30" s="1"/>
  <c r="AQ135" i="30" s="1"/>
  <c r="J134" i="30"/>
  <c r="N134" i="30" s="1"/>
  <c r="AQ134" i="30" s="1"/>
  <c r="H113" i="26"/>
  <c r="H115" i="26" s="1"/>
  <c r="F115" i="26"/>
  <c r="AE150" i="29"/>
  <c r="AI149" i="29" s="1"/>
  <c r="AG148" i="29"/>
  <c r="AG150" i="29" s="1"/>
  <c r="F149" i="29"/>
  <c r="H149" i="29" s="1"/>
  <c r="J147" i="29"/>
  <c r="AE135" i="29"/>
  <c r="AI134" i="29" s="1"/>
  <c r="AG133" i="29"/>
  <c r="AG135" i="29" s="1"/>
  <c r="T109" i="26"/>
  <c r="T110" i="26" s="1"/>
  <c r="X109" i="26" s="1"/>
  <c r="V109" i="26"/>
  <c r="V110" i="26" s="1"/>
  <c r="AE120" i="27"/>
  <c r="AI119" i="27" s="1"/>
  <c r="AI120" i="27" s="1"/>
  <c r="J144" i="30"/>
  <c r="N144" i="30" s="1"/>
  <c r="AQ144" i="30" s="1"/>
  <c r="J145" i="30"/>
  <c r="N145" i="30" s="1"/>
  <c r="AQ145" i="30" s="1"/>
  <c r="J129" i="30"/>
  <c r="N129" i="30" s="1"/>
  <c r="AQ129" i="30" s="1"/>
  <c r="J130" i="30"/>
  <c r="N130" i="30" s="1"/>
  <c r="AQ130" i="30" s="1"/>
  <c r="H109" i="26"/>
  <c r="H110" i="26" s="1"/>
  <c r="J110" i="26" s="1"/>
  <c r="F110" i="26"/>
  <c r="J109" i="26" s="1"/>
  <c r="D505" i="65"/>
  <c r="A505" i="65" s="1"/>
  <c r="J505" i="66"/>
  <c r="B505" i="65" s="1"/>
  <c r="I505" i="66"/>
  <c r="J117" i="27"/>
  <c r="J149" i="30"/>
  <c r="N149" i="30" s="1"/>
  <c r="AQ149" i="30" s="1"/>
  <c r="J150" i="30"/>
  <c r="N150" i="30" s="1"/>
  <c r="AQ150" i="30" s="1"/>
  <c r="AG128" i="28"/>
  <c r="AI145" i="30"/>
  <c r="AE130" i="29"/>
  <c r="AI129" i="29" s="1"/>
  <c r="AG115" i="26"/>
  <c r="D525" i="65"/>
  <c r="A525" i="65" s="1"/>
  <c r="J525" i="66"/>
  <c r="B525" i="65" s="1"/>
  <c r="I525" i="66"/>
  <c r="V128" i="29"/>
  <c r="T128" i="29"/>
  <c r="V133" i="29"/>
  <c r="T133" i="29"/>
  <c r="V148" i="29"/>
  <c r="T148" i="29"/>
  <c r="V143" i="29"/>
  <c r="T143" i="29"/>
  <c r="J137" i="29"/>
  <c r="F139" i="29"/>
  <c r="H139" i="29" s="1"/>
  <c r="V113" i="26"/>
  <c r="T113" i="26"/>
  <c r="AE128" i="27"/>
  <c r="D124" i="27"/>
  <c r="AE124" i="27"/>
  <c r="AG124" i="27" s="1"/>
  <c r="R123" i="27"/>
  <c r="R148" i="28"/>
  <c r="AE138" i="28"/>
  <c r="AE143" i="28"/>
  <c r="D139" i="28"/>
  <c r="R128" i="28"/>
  <c r="R133" i="28"/>
  <c r="AE129" i="28"/>
  <c r="AG129" i="28" s="1"/>
  <c r="R138" i="28"/>
  <c r="R143" i="28"/>
  <c r="AE144" i="28"/>
  <c r="AG144" i="28" s="1"/>
  <c r="AE148" i="28"/>
  <c r="AE134" i="28"/>
  <c r="AG134" i="28" s="1"/>
  <c r="D144" i="28"/>
  <c r="AE139" i="28"/>
  <c r="AG139" i="28" s="1"/>
  <c r="AE149" i="28"/>
  <c r="AG149" i="28" s="1"/>
  <c r="AE133" i="28"/>
  <c r="D149" i="28"/>
  <c r="D129" i="28"/>
  <c r="D134" i="28"/>
  <c r="J140" i="30"/>
  <c r="N140" i="30" s="1"/>
  <c r="AQ140" i="30" s="1"/>
  <c r="J139" i="30"/>
  <c r="N139" i="30" s="1"/>
  <c r="AQ139" i="30" s="1"/>
  <c r="J125" i="29"/>
  <c r="N125" i="29" s="1"/>
  <c r="AQ125" i="29" s="1"/>
  <c r="J124" i="29"/>
  <c r="N124" i="29" s="1"/>
  <c r="AQ124" i="29" s="1"/>
  <c r="AG123" i="27"/>
  <c r="B481" i="66"/>
  <c r="A481" i="66"/>
  <c r="F124" i="28"/>
  <c r="H124" i="28" s="1"/>
  <c r="J122" i="28"/>
  <c r="B500" i="66"/>
  <c r="A500" i="66"/>
  <c r="AE145" i="29"/>
  <c r="AI144" i="29" s="1"/>
  <c r="AG143" i="29"/>
  <c r="AG145" i="29" s="1"/>
  <c r="AG138" i="29"/>
  <c r="AG140" i="29" s="1"/>
  <c r="AE140" i="29"/>
  <c r="AI139" i="29" s="1"/>
  <c r="J127" i="29"/>
  <c r="F129" i="29"/>
  <c r="H129" i="29" s="1"/>
  <c r="V138" i="29"/>
  <c r="T138" i="29"/>
  <c r="AG118" i="26"/>
  <c r="AG120" i="26" s="1"/>
  <c r="G34" i="58"/>
  <c r="E32" i="58"/>
  <c r="K32" i="58"/>
  <c r="L31" i="58"/>
  <c r="I30" i="58"/>
  <c r="M32" i="58"/>
  <c r="H32" i="58"/>
  <c r="C32" i="58"/>
  <c r="J31" i="58"/>
  <c r="E31" i="58"/>
  <c r="C33" i="58"/>
  <c r="I33" i="58"/>
  <c r="J33" i="58"/>
  <c r="D30" i="58"/>
  <c r="J30" i="58"/>
  <c r="K31" i="58"/>
  <c r="H34" i="58"/>
  <c r="C30" i="58"/>
  <c r="I34" i="58"/>
  <c r="L32" i="58"/>
  <c r="I31" i="58"/>
  <c r="D31" i="58"/>
  <c r="K30" i="58"/>
  <c r="F30" i="58"/>
  <c r="L34" i="58"/>
  <c r="G30" i="58"/>
  <c r="M30" i="58"/>
  <c r="B31" i="58"/>
  <c r="G32" i="58"/>
  <c r="J34" i="58"/>
  <c r="B34" i="58"/>
  <c r="D33" i="58"/>
  <c r="F32" i="58"/>
  <c r="E33" i="58"/>
  <c r="K33" i="58"/>
  <c r="E30" i="58"/>
  <c r="K34" i="58"/>
  <c r="F34" i="58"/>
  <c r="M33" i="58"/>
  <c r="D32" i="58"/>
  <c r="J32" i="58"/>
  <c r="H30" i="58"/>
  <c r="D34" i="58"/>
  <c r="C31" i="58"/>
  <c r="F33" i="58"/>
  <c r="H33" i="58"/>
  <c r="F31" i="58"/>
  <c r="C34" i="58"/>
  <c r="M34" i="58"/>
  <c r="M31" i="58"/>
  <c r="E34" i="58"/>
  <c r="L33" i="58"/>
  <c r="G33" i="58"/>
  <c r="B33" i="58"/>
  <c r="I32" i="58"/>
  <c r="L30" i="58"/>
  <c r="B30" i="58"/>
  <c r="G31" i="58"/>
  <c r="H31" i="58"/>
  <c r="B32" i="58"/>
  <c r="AW26" i="25"/>
  <c r="AR25" i="25"/>
  <c r="AT25" i="25" s="1"/>
  <c r="AU25" i="25" s="1"/>
  <c r="AW24" i="25"/>
  <c r="AQ26" i="24"/>
  <c r="AM26" i="24" s="1"/>
  <c r="AR26" i="24" s="1"/>
  <c r="AT26" i="24" s="1"/>
  <c r="AU26" i="24" s="1"/>
  <c r="L84" i="26"/>
  <c r="N84" i="26" s="1"/>
  <c r="AQ84" i="26" s="1"/>
  <c r="AI22" i="23"/>
  <c r="AI20" i="23"/>
  <c r="AI19" i="23"/>
  <c r="AQ28" i="24"/>
  <c r="AM28" i="24" s="1"/>
  <c r="AW28" i="24" s="1"/>
  <c r="AB22" i="22"/>
  <c r="AJ22" i="22" s="1"/>
  <c r="AB20" i="22"/>
  <c r="AJ20" i="22" s="1"/>
  <c r="AB21" i="22"/>
  <c r="AI21" i="22" s="1"/>
  <c r="AB23" i="22"/>
  <c r="AJ23" i="22" s="1"/>
  <c r="H23" i="2"/>
  <c r="I23" i="2" s="1"/>
  <c r="D23" i="2"/>
  <c r="F23" i="2" s="1"/>
  <c r="G23" i="2" s="1"/>
  <c r="H25" i="4"/>
  <c r="I25" i="4" s="1"/>
  <c r="D25" i="4"/>
  <c r="F25" i="4" s="1"/>
  <c r="G25" i="4" s="1"/>
  <c r="AV22" i="1"/>
  <c r="AL27" i="23"/>
  <c r="AK27" i="23"/>
  <c r="AK6" i="23"/>
  <c r="AL6" i="23"/>
  <c r="AE1" i="20"/>
  <c r="AA20" i="15"/>
  <c r="AG20" i="15" s="1"/>
  <c r="Y19" i="15"/>
  <c r="X20" i="15" s="1"/>
  <c r="AA26" i="10"/>
  <c r="AG26" i="10" s="1"/>
  <c r="Y25" i="10"/>
  <c r="X26" i="10" s="1"/>
  <c r="T34" i="61"/>
  <c r="B28" i="6"/>
  <c r="AP28" i="6"/>
  <c r="C23" i="26"/>
  <c r="AL9" i="24"/>
  <c r="AK9" i="24"/>
  <c r="AQ9" i="24" s="1"/>
  <c r="AH10" i="24"/>
  <c r="AA24" i="11"/>
  <c r="AG24" i="11" s="1"/>
  <c r="Y23" i="11"/>
  <c r="AQ25" i="24"/>
  <c r="AM25" i="24" s="1"/>
  <c r="AH4" i="22"/>
  <c r="AH5" i="22"/>
  <c r="AH7" i="22"/>
  <c r="AH6" i="22"/>
  <c r="AH8" i="22"/>
  <c r="AH28" i="22"/>
  <c r="AH27" i="22"/>
  <c r="AH26" i="22"/>
  <c r="AH25" i="22"/>
  <c r="AA18" i="17"/>
  <c r="AG18" i="17" s="1"/>
  <c r="Y17" i="17"/>
  <c r="AA27" i="9"/>
  <c r="AG27" i="9" s="1"/>
  <c r="Y26" i="9"/>
  <c r="X27" i="9" s="1"/>
  <c r="AA27" i="8"/>
  <c r="AG27" i="8" s="1"/>
  <c r="Y26" i="8"/>
  <c r="X27" i="8" s="1"/>
  <c r="AJ18" i="23"/>
  <c r="AI18" i="23"/>
  <c r="AJ27" i="23"/>
  <c r="AI27" i="23"/>
  <c r="BB24" i="61"/>
  <c r="C27" i="30"/>
  <c r="AP24" i="2"/>
  <c r="B24" i="2"/>
  <c r="H28" i="7"/>
  <c r="I28" i="7" s="1"/>
  <c r="I29" i="7" s="1"/>
  <c r="I39" i="7" s="1"/>
  <c r="D28" i="7"/>
  <c r="S7" i="7"/>
  <c r="AZ26" i="61"/>
  <c r="B26" i="4"/>
  <c r="C25" i="28"/>
  <c r="AP26" i="4"/>
  <c r="AV23" i="2"/>
  <c r="H22" i="1"/>
  <c r="I22" i="1" s="1"/>
  <c r="D22" i="1"/>
  <c r="F22" i="1" s="1"/>
  <c r="G22" i="1" s="1"/>
  <c r="AL24" i="23"/>
  <c r="AK24" i="23"/>
  <c r="AL28" i="23"/>
  <c r="AK28" i="23"/>
  <c r="AL8" i="23"/>
  <c r="AK8" i="23"/>
  <c r="AK4" i="23"/>
  <c r="AL4" i="23"/>
  <c r="AD20" i="22"/>
  <c r="AD22" i="22"/>
  <c r="AD18" i="22"/>
  <c r="AD21" i="22"/>
  <c r="AD17" i="22"/>
  <c r="AD24" i="22"/>
  <c r="AB24" i="22" s="1"/>
  <c r="AH24" i="22" s="1"/>
  <c r="AD19" i="22"/>
  <c r="AD26" i="22"/>
  <c r="AB26" i="22" s="1"/>
  <c r="AD25" i="22"/>
  <c r="AB25" i="22" s="1"/>
  <c r="AD23" i="22"/>
  <c r="AD28" i="22"/>
  <c r="AB28" i="22" s="1"/>
  <c r="AD27" i="22"/>
  <c r="AB27" i="22" s="1"/>
  <c r="AB18" i="22"/>
  <c r="AB17" i="22"/>
  <c r="AV27" i="6"/>
  <c r="AW1" i="21"/>
  <c r="AH1" i="21"/>
  <c r="G28" i="9"/>
  <c r="G29" i="9" s="1"/>
  <c r="I38" i="9" s="1"/>
  <c r="F29" i="9"/>
  <c r="I36" i="9" s="1"/>
  <c r="H24" i="3"/>
  <c r="I24" i="3" s="1"/>
  <c r="D24" i="3"/>
  <c r="F24" i="3" s="1"/>
  <c r="G24" i="3" s="1"/>
  <c r="AQ24" i="24"/>
  <c r="AM24" i="24" s="1"/>
  <c r="H26" i="5"/>
  <c r="I26" i="5" s="1"/>
  <c r="D26" i="5"/>
  <c r="F26" i="5" s="1"/>
  <c r="G26" i="5" s="1"/>
  <c r="AA19" i="16"/>
  <c r="AG19" i="16" s="1"/>
  <c r="Y18" i="16"/>
  <c r="X19" i="16" s="1"/>
  <c r="AJ23" i="23"/>
  <c r="AI23" i="23"/>
  <c r="AV25" i="4"/>
  <c r="AV28" i="7"/>
  <c r="Y28" i="7"/>
  <c r="BG7" i="7"/>
  <c r="BC23" i="61"/>
  <c r="C28" i="31"/>
  <c r="C28" i="59"/>
  <c r="AP23" i="1"/>
  <c r="B23" i="1"/>
  <c r="AL25" i="23"/>
  <c r="AK25" i="23"/>
  <c r="AL5" i="23"/>
  <c r="AK5" i="23"/>
  <c r="X21" i="15"/>
  <c r="AD1" i="53"/>
  <c r="AG17" i="53"/>
  <c r="X27" i="10"/>
  <c r="AA23" i="13"/>
  <c r="AG23" i="13" s="1"/>
  <c r="Y22" i="13"/>
  <c r="X23" i="13" s="1"/>
  <c r="AM5" i="24"/>
  <c r="AE1" i="21"/>
  <c r="X25" i="11"/>
  <c r="AA22" i="14"/>
  <c r="AG22" i="14" s="1"/>
  <c r="Y21" i="14"/>
  <c r="X22" i="14" s="1"/>
  <c r="AM4" i="24"/>
  <c r="X19" i="17"/>
  <c r="AV24" i="3"/>
  <c r="X28" i="9"/>
  <c r="AV26" i="5"/>
  <c r="X28" i="8"/>
  <c r="AA28" i="8"/>
  <c r="AG28" i="8" s="1"/>
  <c r="AJ21" i="23"/>
  <c r="AI21" i="23"/>
  <c r="AJ24" i="23"/>
  <c r="AI24" i="23"/>
  <c r="AQ27" i="24"/>
  <c r="AM27" i="24" s="1"/>
  <c r="AL26" i="23"/>
  <c r="AK26" i="23"/>
  <c r="AL7" i="23"/>
  <c r="AK7" i="23"/>
  <c r="AH1" i="20"/>
  <c r="AW1" i="20"/>
  <c r="AD1" i="19"/>
  <c r="AG17" i="19"/>
  <c r="D27" i="6"/>
  <c r="F27" i="6" s="1"/>
  <c r="G27" i="6" s="1"/>
  <c r="H27" i="6"/>
  <c r="I27" i="6" s="1"/>
  <c r="AA24" i="12"/>
  <c r="AG24" i="12" s="1"/>
  <c r="Y23" i="12"/>
  <c r="X24" i="12" s="1"/>
  <c r="F28" i="8"/>
  <c r="D29" i="8"/>
  <c r="I35" i="8" s="1"/>
  <c r="AA18" i="18"/>
  <c r="AG18" i="18" s="1"/>
  <c r="Y17" i="18"/>
  <c r="Y16" i="18" s="1"/>
  <c r="BA25" i="61"/>
  <c r="B25" i="3"/>
  <c r="C26" i="29"/>
  <c r="AP25" i="3"/>
  <c r="AY27" i="61"/>
  <c r="B27" i="5"/>
  <c r="C24" i="27"/>
  <c r="AP27" i="5"/>
  <c r="AJ26" i="23"/>
  <c r="AI26" i="23"/>
  <c r="AJ25" i="23"/>
  <c r="AI25" i="23"/>
  <c r="AJ28" i="23"/>
  <c r="AI28" i="23"/>
  <c r="DA119" i="61" l="1"/>
  <c r="AS27" i="68"/>
  <c r="CY121" i="61"/>
  <c r="AQ29" i="68"/>
  <c r="CX122" i="61"/>
  <c r="AP30" i="68"/>
  <c r="CZ120" i="61"/>
  <c r="AR28" i="68"/>
  <c r="DB118" i="61"/>
  <c r="AT26" i="68"/>
  <c r="AR100" i="32"/>
  <c r="AT100" i="32" s="1"/>
  <c r="E18" i="32" s="1"/>
  <c r="DG117" i="61"/>
  <c r="DF117" i="61"/>
  <c r="CC116" i="61"/>
  <c r="EI116" i="61" s="1"/>
  <c r="EP144" i="61" s="1"/>
  <c r="BY116" i="61"/>
  <c r="BU116" i="61"/>
  <c r="EA116" i="61" s="1"/>
  <c r="BQ116" i="61"/>
  <c r="BM116" i="61"/>
  <c r="DS116" i="61" s="1"/>
  <c r="BI116" i="61"/>
  <c r="CA116" i="61"/>
  <c r="BW116" i="61"/>
  <c r="BS116" i="61"/>
  <c r="DY116" i="61" s="1"/>
  <c r="BO116" i="61"/>
  <c r="BK116" i="61"/>
  <c r="DQ116" i="61" s="1"/>
  <c r="BG116" i="61"/>
  <c r="CB116" i="61"/>
  <c r="EH116" i="61" s="1"/>
  <c r="BT116" i="61"/>
  <c r="BL116" i="61"/>
  <c r="DR116" i="61" s="1"/>
  <c r="BX116" i="61"/>
  <c r="BP116" i="61"/>
  <c r="DV116" i="61" s="1"/>
  <c r="BH116" i="61"/>
  <c r="BF116" i="61"/>
  <c r="DL116" i="61" s="1"/>
  <c r="BR116" i="61"/>
  <c r="BN116" i="61"/>
  <c r="DT116" i="61" s="1"/>
  <c r="BZ116" i="61"/>
  <c r="BJ116" i="61"/>
  <c r="DP116" i="61" s="1"/>
  <c r="BV116" i="61"/>
  <c r="BE116" i="61"/>
  <c r="DK116" i="61" s="1"/>
  <c r="AI19" i="22"/>
  <c r="AL10" i="23"/>
  <c r="AL11" i="23"/>
  <c r="AM11" i="23" s="1"/>
  <c r="AW9" i="25"/>
  <c r="J115" i="26"/>
  <c r="AK9" i="23"/>
  <c r="AQ9" i="23" s="1"/>
  <c r="AE120" i="26"/>
  <c r="AI119" i="26" s="1"/>
  <c r="AL9" i="23"/>
  <c r="AH12" i="23"/>
  <c r="AK12" i="23" s="1"/>
  <c r="AQ12" i="23" s="1"/>
  <c r="AW4" i="25"/>
  <c r="AK10" i="23"/>
  <c r="AQ10" i="23" s="1"/>
  <c r="AQ4" i="23"/>
  <c r="AM4" i="23" s="1"/>
  <c r="AR5" i="25"/>
  <c r="AT5" i="25" s="1"/>
  <c r="AU5" i="25" s="1"/>
  <c r="AR7" i="25"/>
  <c r="AT7" i="25" s="1"/>
  <c r="AU7" i="25" s="1"/>
  <c r="AR6" i="25"/>
  <c r="AT6" i="25" s="1"/>
  <c r="AU6" i="25" s="1"/>
  <c r="AQ8" i="23"/>
  <c r="AM8" i="23" s="1"/>
  <c r="AQ6" i="23"/>
  <c r="AM6" i="23" s="1"/>
  <c r="AW6" i="23" s="1"/>
  <c r="AW8" i="25"/>
  <c r="AM10" i="25"/>
  <c r="AD16" i="22"/>
  <c r="AM11" i="25"/>
  <c r="AK12" i="25"/>
  <c r="AQ12" i="25" s="1"/>
  <c r="AL12" i="25"/>
  <c r="AH13" i="25"/>
  <c r="AQ5" i="23"/>
  <c r="AM5" i="23" s="1"/>
  <c r="AR5" i="23" s="1"/>
  <c r="AT5" i="23" s="1"/>
  <c r="AU5" i="23" s="1"/>
  <c r="AQ7" i="23"/>
  <c r="AM7" i="23" s="1"/>
  <c r="AB16" i="22"/>
  <c r="AI16" i="22" s="1"/>
  <c r="AF16" i="20"/>
  <c r="AF17" i="20" s="1"/>
  <c r="AF18" i="20" s="1"/>
  <c r="AF19" i="20" s="1"/>
  <c r="AF20" i="20" s="1"/>
  <c r="AF21" i="20" s="1"/>
  <c r="AF22" i="20" s="1"/>
  <c r="AF23" i="20" s="1"/>
  <c r="AF24" i="20" s="1"/>
  <c r="AF25" i="20" s="1"/>
  <c r="AF26" i="20" s="1"/>
  <c r="AF27" i="20" s="1"/>
  <c r="AF28" i="20" s="1"/>
  <c r="AI1" i="20"/>
  <c r="AF16" i="21"/>
  <c r="AF17" i="21" s="1"/>
  <c r="AF18" i="21" s="1"/>
  <c r="AF19" i="21" s="1"/>
  <c r="AF20" i="21" s="1"/>
  <c r="AF21" i="21" s="1"/>
  <c r="AF22" i="21" s="1"/>
  <c r="AF23" i="21" s="1"/>
  <c r="AF24" i="21" s="1"/>
  <c r="AF25" i="21" s="1"/>
  <c r="AF26" i="21" s="1"/>
  <c r="AF27" i="21" s="1"/>
  <c r="AF28" i="21" s="1"/>
  <c r="AI1" i="21"/>
  <c r="AB12" i="22"/>
  <c r="AI12" i="22" s="1"/>
  <c r="AB13" i="22"/>
  <c r="AI13" i="22" s="1"/>
  <c r="AB9" i="22"/>
  <c r="AH9" i="22" s="1"/>
  <c r="AB10" i="22"/>
  <c r="AJ10" i="22" s="1"/>
  <c r="AB14" i="22"/>
  <c r="AI14" i="22" s="1"/>
  <c r="AB15" i="22"/>
  <c r="AJ15" i="22" s="1"/>
  <c r="AI11" i="22"/>
  <c r="AJ11" i="22"/>
  <c r="AA16" i="18"/>
  <c r="X15" i="18"/>
  <c r="AB19" i="21"/>
  <c r="AJ19" i="21" s="1"/>
  <c r="X18" i="17"/>
  <c r="Y16" i="17"/>
  <c r="AB18" i="20"/>
  <c r="AI18" i="20" s="1"/>
  <c r="AG16" i="19"/>
  <c r="X1" i="19"/>
  <c r="AG16" i="53"/>
  <c r="X1" i="53"/>
  <c r="AD8" i="22"/>
  <c r="AB8" i="22" s="1"/>
  <c r="AD15" i="22"/>
  <c r="AD5" i="22"/>
  <c r="AB5" i="22" s="1"/>
  <c r="AD6" i="22"/>
  <c r="AB6" i="22" s="1"/>
  <c r="AD7" i="22"/>
  <c r="AB7" i="22" s="1"/>
  <c r="AD10" i="22"/>
  <c r="AD11" i="22"/>
  <c r="AD14" i="22"/>
  <c r="AD12" i="22"/>
  <c r="AD13" i="22"/>
  <c r="AD9" i="22"/>
  <c r="AD4" i="22"/>
  <c r="AB4" i="22" s="1"/>
  <c r="Y1" i="20"/>
  <c r="AB9" i="20" s="1"/>
  <c r="Y1" i="21"/>
  <c r="AB9" i="21" s="1"/>
  <c r="H30" i="64"/>
  <c r="GH141" i="61"/>
  <c r="N20" i="64" s="1"/>
  <c r="AR99" i="32"/>
  <c r="AT99" i="32" s="1"/>
  <c r="D18" i="32" s="1"/>
  <c r="L109" i="32" s="1"/>
  <c r="N109" i="32" s="1"/>
  <c r="AQ109" i="32" s="1"/>
  <c r="AG125" i="27"/>
  <c r="GC141" i="61"/>
  <c r="K19" i="64"/>
  <c r="EY140" i="61"/>
  <c r="ER141" i="61"/>
  <c r="DV143" i="61"/>
  <c r="FH143" i="61"/>
  <c r="DS143" i="61"/>
  <c r="FE143" i="61"/>
  <c r="EJ143" i="61"/>
  <c r="FV143" i="61"/>
  <c r="DU143" i="61"/>
  <c r="FG143" i="61"/>
  <c r="EG143" i="61"/>
  <c r="FS143" i="61"/>
  <c r="EE143" i="61"/>
  <c r="FQ143" i="61"/>
  <c r="DT143" i="61"/>
  <c r="FF143" i="61"/>
  <c r="ED143" i="61"/>
  <c r="FP143" i="61"/>
  <c r="AI115" i="26"/>
  <c r="GB143" i="61"/>
  <c r="DR142" i="61"/>
  <c r="EZ142" i="61" s="1"/>
  <c r="FD142" i="61"/>
  <c r="GE142" i="61" s="1"/>
  <c r="L21" i="64" s="1"/>
  <c r="EI143" i="61"/>
  <c r="FU143" i="61"/>
  <c r="EF143" i="61"/>
  <c r="FR143" i="61"/>
  <c r="DZ143" i="61"/>
  <c r="FL143" i="61"/>
  <c r="EM143" i="61"/>
  <c r="FY143" i="61"/>
  <c r="EO143" i="61"/>
  <c r="GA143" i="61"/>
  <c r="EA143" i="61"/>
  <c r="FM143" i="61"/>
  <c r="DY143" i="61"/>
  <c r="FK143" i="61"/>
  <c r="EC143" i="61"/>
  <c r="FO143" i="61"/>
  <c r="EB143" i="61"/>
  <c r="FN143" i="61"/>
  <c r="EL143" i="61"/>
  <c r="FX143" i="61"/>
  <c r="EK143" i="61"/>
  <c r="FW143" i="61"/>
  <c r="DW143" i="61"/>
  <c r="FI143" i="61"/>
  <c r="EN143" i="61"/>
  <c r="FZ143" i="61"/>
  <c r="DX143" i="61"/>
  <c r="FJ143" i="61"/>
  <c r="EH143" i="61"/>
  <c r="FT143" i="61"/>
  <c r="ES140" i="61"/>
  <c r="H19" i="64" s="1"/>
  <c r="ET140" i="61"/>
  <c r="DN116" i="61"/>
  <c r="DZ116" i="61"/>
  <c r="ED116" i="61"/>
  <c r="DX116" i="61"/>
  <c r="EB116" i="61"/>
  <c r="EF116" i="61"/>
  <c r="EC116" i="61"/>
  <c r="DO116" i="61"/>
  <c r="DW116" i="61"/>
  <c r="EE116" i="61"/>
  <c r="EG116" i="61"/>
  <c r="DM116" i="61"/>
  <c r="DU116" i="61"/>
  <c r="EU143" i="61"/>
  <c r="EV143" i="61" s="1"/>
  <c r="DK115" i="61"/>
  <c r="J114" i="26"/>
  <c r="DD118" i="61"/>
  <c r="AI130" i="29"/>
  <c r="AE125" i="27"/>
  <c r="AI124" i="27" s="1"/>
  <c r="AI125" i="27" s="1"/>
  <c r="AK105" i="32"/>
  <c r="AM105" i="32" s="1"/>
  <c r="AS105" i="32" s="1"/>
  <c r="Z105" i="32"/>
  <c r="AB105" i="32" s="1"/>
  <c r="L110" i="32"/>
  <c r="N110" i="32" s="1"/>
  <c r="AQ110" i="32" s="1"/>
  <c r="AI135" i="29"/>
  <c r="AI150" i="29"/>
  <c r="Z80" i="26"/>
  <c r="AB80" i="26" s="1"/>
  <c r="AI120" i="26"/>
  <c r="J127" i="28"/>
  <c r="F129" i="28"/>
  <c r="H129" i="28" s="1"/>
  <c r="T133" i="28"/>
  <c r="V133" i="28"/>
  <c r="AG138" i="28"/>
  <c r="AG140" i="28" s="1"/>
  <c r="AE140" i="28"/>
  <c r="AI139" i="28" s="1"/>
  <c r="AG130" i="28"/>
  <c r="F119" i="26"/>
  <c r="J117" i="26"/>
  <c r="R133" i="27"/>
  <c r="AE148" i="27"/>
  <c r="AE133" i="27"/>
  <c r="D149" i="27"/>
  <c r="AE144" i="27"/>
  <c r="AG144" i="27" s="1"/>
  <c r="AE129" i="27"/>
  <c r="AG129" i="27" s="1"/>
  <c r="AE149" i="27"/>
  <c r="AG149" i="27" s="1"/>
  <c r="R148" i="27"/>
  <c r="D129" i="27"/>
  <c r="D139" i="27"/>
  <c r="AE134" i="27"/>
  <c r="AG134" i="27" s="1"/>
  <c r="R143" i="27"/>
  <c r="R128" i="27"/>
  <c r="D134" i="27"/>
  <c r="D144" i="27"/>
  <c r="AE138" i="27"/>
  <c r="AE143" i="27"/>
  <c r="R138" i="27"/>
  <c r="AE139" i="27"/>
  <c r="AG139" i="27" s="1"/>
  <c r="L85" i="26"/>
  <c r="N85" i="26" s="1"/>
  <c r="AQ85" i="26" s="1"/>
  <c r="AI140" i="29"/>
  <c r="J124" i="28"/>
  <c r="N124" i="28" s="1"/>
  <c r="AQ124" i="28" s="1"/>
  <c r="J125" i="28"/>
  <c r="N125" i="28" s="1"/>
  <c r="AQ125" i="28" s="1"/>
  <c r="F149" i="28"/>
  <c r="H149" i="28" s="1"/>
  <c r="J147" i="28"/>
  <c r="F144" i="28"/>
  <c r="H144" i="28" s="1"/>
  <c r="J142" i="28"/>
  <c r="V143" i="28"/>
  <c r="T143" i="28"/>
  <c r="V128" i="28"/>
  <c r="T128" i="28"/>
  <c r="V148" i="28"/>
  <c r="T148" i="28"/>
  <c r="J122" i="27"/>
  <c r="F124" i="27"/>
  <c r="H124" i="27" s="1"/>
  <c r="T114" i="26"/>
  <c r="T115" i="26" s="1"/>
  <c r="X114" i="26" s="1"/>
  <c r="V114" i="26"/>
  <c r="V115" i="26" s="1"/>
  <c r="J134" i="29"/>
  <c r="N134" i="29" s="1"/>
  <c r="AQ134" i="29" s="1"/>
  <c r="J135" i="29"/>
  <c r="N135" i="29" s="1"/>
  <c r="AQ135" i="29" s="1"/>
  <c r="AI145" i="29"/>
  <c r="AG133" i="28"/>
  <c r="AG135" i="28" s="1"/>
  <c r="AE135" i="28"/>
  <c r="AI134" i="28" s="1"/>
  <c r="V138" i="28"/>
  <c r="T138" i="28"/>
  <c r="J137" i="28"/>
  <c r="F139" i="28"/>
  <c r="H139" i="28" s="1"/>
  <c r="AG128" i="27"/>
  <c r="J139" i="29"/>
  <c r="N139" i="29" s="1"/>
  <c r="AQ139" i="29" s="1"/>
  <c r="J140" i="29"/>
  <c r="N140" i="29" s="1"/>
  <c r="AQ140" i="29" s="1"/>
  <c r="X110" i="26"/>
  <c r="J149" i="29"/>
  <c r="N149" i="29" s="1"/>
  <c r="AQ149" i="29" s="1"/>
  <c r="J150" i="29"/>
  <c r="N150" i="29" s="1"/>
  <c r="AQ150" i="29" s="1"/>
  <c r="D526" i="65"/>
  <c r="A526" i="65" s="1"/>
  <c r="J526" i="66"/>
  <c r="B526" i="65" s="1"/>
  <c r="I526" i="66"/>
  <c r="T118" i="26"/>
  <c r="V118" i="26"/>
  <c r="AE128" i="26"/>
  <c r="D124" i="26"/>
  <c r="R123" i="26"/>
  <c r="AE124" i="26"/>
  <c r="AG124" i="26" s="1"/>
  <c r="J129" i="29"/>
  <c r="N129" i="29" s="1"/>
  <c r="AQ129" i="29" s="1"/>
  <c r="J130" i="29"/>
  <c r="N130" i="29" s="1"/>
  <c r="AQ130" i="29" s="1"/>
  <c r="J132" i="28"/>
  <c r="F134" i="28"/>
  <c r="H134" i="28" s="1"/>
  <c r="AE150" i="28"/>
  <c r="AI149" i="28" s="1"/>
  <c r="AG148" i="28"/>
  <c r="AG150" i="28" s="1"/>
  <c r="AE145" i="28"/>
  <c r="AI144" i="28" s="1"/>
  <c r="AG143" i="28"/>
  <c r="AG145" i="28" s="1"/>
  <c r="T123" i="27"/>
  <c r="V123" i="27"/>
  <c r="AE130" i="28"/>
  <c r="AI129" i="28" s="1"/>
  <c r="J119" i="27"/>
  <c r="J120" i="27"/>
  <c r="B501" i="66"/>
  <c r="A501" i="66"/>
  <c r="AG123" i="26"/>
  <c r="J145" i="29"/>
  <c r="N145" i="29" s="1"/>
  <c r="AQ145" i="29" s="1"/>
  <c r="J144" i="29"/>
  <c r="N144" i="29" s="1"/>
  <c r="AQ144" i="29" s="1"/>
  <c r="X115" i="27"/>
  <c r="AR54" i="59"/>
  <c r="AV54" i="59" s="1"/>
  <c r="E8" i="59" s="1"/>
  <c r="AR53" i="59"/>
  <c r="AV53" i="59" s="1"/>
  <c r="AQ28" i="23"/>
  <c r="AM28" i="23" s="1"/>
  <c r="AW28" i="23" s="1"/>
  <c r="AT4" i="25"/>
  <c r="AI20" i="22"/>
  <c r="AQ25" i="23"/>
  <c r="AM25" i="23" s="1"/>
  <c r="AR25" i="23" s="1"/>
  <c r="AT25" i="23" s="1"/>
  <c r="AU25" i="23" s="1"/>
  <c r="AQ27" i="23"/>
  <c r="AM27" i="23" s="1"/>
  <c r="AW27" i="23" s="1"/>
  <c r="AJ21" i="22"/>
  <c r="AI22" i="22"/>
  <c r="AW26" i="24"/>
  <c r="AW7" i="24"/>
  <c r="AQ26" i="23"/>
  <c r="AM26" i="23" s="1"/>
  <c r="AR26" i="23" s="1"/>
  <c r="AT26" i="23" s="1"/>
  <c r="AU26" i="23" s="1"/>
  <c r="AB17" i="20"/>
  <c r="AI17" i="20" s="1"/>
  <c r="AI23" i="22"/>
  <c r="AR28" i="24"/>
  <c r="AT28" i="24" s="1"/>
  <c r="AU28" i="24" s="1"/>
  <c r="AQ24" i="23"/>
  <c r="AM24" i="23" s="1"/>
  <c r="AB23" i="21"/>
  <c r="AJ23" i="21" s="1"/>
  <c r="AB18" i="21"/>
  <c r="AJ18" i="21" s="1"/>
  <c r="AB17" i="21"/>
  <c r="AI17" i="21" s="1"/>
  <c r="AB21" i="21"/>
  <c r="AJ21" i="21" s="1"/>
  <c r="H27" i="5"/>
  <c r="I27" i="5" s="1"/>
  <c r="D27" i="5"/>
  <c r="F27" i="5" s="1"/>
  <c r="G27" i="5" s="1"/>
  <c r="AR5" i="24"/>
  <c r="AT5" i="24" s="1"/>
  <c r="AU5" i="24" s="1"/>
  <c r="AW5" i="24"/>
  <c r="U34" i="61"/>
  <c r="AP28" i="5"/>
  <c r="C24" i="26"/>
  <c r="B28" i="5"/>
  <c r="H25" i="3"/>
  <c r="I25" i="3" s="1"/>
  <c r="D25" i="3"/>
  <c r="F25" i="3" s="1"/>
  <c r="G25" i="3" s="1"/>
  <c r="AW1" i="19"/>
  <c r="AH1" i="19"/>
  <c r="AR27" i="24"/>
  <c r="AT27" i="24" s="1"/>
  <c r="AU27" i="24" s="1"/>
  <c r="AW27" i="24"/>
  <c r="AA21" i="14"/>
  <c r="AG21" i="14" s="1"/>
  <c r="Y20" i="14"/>
  <c r="AB22" i="21"/>
  <c r="AA22" i="13"/>
  <c r="AG22" i="13" s="1"/>
  <c r="Y21" i="13"/>
  <c r="X22" i="13" s="1"/>
  <c r="AW1" i="53"/>
  <c r="AH1" i="53"/>
  <c r="H23" i="1"/>
  <c r="I23" i="1" s="1"/>
  <c r="D23" i="1"/>
  <c r="F23" i="1" s="1"/>
  <c r="G23" i="1" s="1"/>
  <c r="BC24" i="61"/>
  <c r="AP24" i="1"/>
  <c r="B24" i="1"/>
  <c r="C28" i="30"/>
  <c r="AA18" i="16"/>
  <c r="AG18" i="16" s="1"/>
  <c r="Y17" i="16"/>
  <c r="AI26" i="22"/>
  <c r="AJ26" i="22"/>
  <c r="AR6" i="24"/>
  <c r="AT6" i="24" s="1"/>
  <c r="AU6" i="24" s="1"/>
  <c r="AW6" i="24"/>
  <c r="F28" i="7"/>
  <c r="D29" i="7"/>
  <c r="I35" i="7" s="1"/>
  <c r="AV24" i="2"/>
  <c r="AK25" i="22"/>
  <c r="AL25" i="22"/>
  <c r="AL6" i="22"/>
  <c r="AK6" i="22"/>
  <c r="AA23" i="11"/>
  <c r="AG23" i="11" s="1"/>
  <c r="Y22" i="11"/>
  <c r="X23" i="11" s="1"/>
  <c r="AB21" i="20"/>
  <c r="AB22" i="20"/>
  <c r="AE1" i="53"/>
  <c r="AV23" i="1"/>
  <c r="AR24" i="24"/>
  <c r="AT24" i="24" s="1"/>
  <c r="AU24" i="24" s="1"/>
  <c r="AW24" i="24"/>
  <c r="AH5" i="21"/>
  <c r="AH4" i="21"/>
  <c r="AH6" i="21"/>
  <c r="AH7" i="21"/>
  <c r="AH8" i="21"/>
  <c r="AH28" i="21"/>
  <c r="AH27" i="21"/>
  <c r="AH26" i="21"/>
  <c r="AH25" i="21"/>
  <c r="AJ17" i="22"/>
  <c r="AI17" i="22"/>
  <c r="AI28" i="22"/>
  <c r="AJ28" i="22"/>
  <c r="H26" i="4"/>
  <c r="I26" i="4" s="1"/>
  <c r="D26" i="4"/>
  <c r="F26" i="4" s="1"/>
  <c r="G26" i="4" s="1"/>
  <c r="AL26" i="22"/>
  <c r="AK26" i="22"/>
  <c r="AL7" i="22"/>
  <c r="AK7" i="22"/>
  <c r="AL10" i="24"/>
  <c r="AK10" i="24"/>
  <c r="AQ10" i="24" s="1"/>
  <c r="AH11" i="24"/>
  <c r="AA25" i="10"/>
  <c r="AG25" i="10" s="1"/>
  <c r="Y24" i="10"/>
  <c r="X25" i="10" s="1"/>
  <c r="AD25" i="20"/>
  <c r="AB25" i="20" s="1"/>
  <c r="AD21" i="20"/>
  <c r="AD17" i="20"/>
  <c r="AD27" i="20"/>
  <c r="AB27" i="20" s="1"/>
  <c r="AD19" i="20"/>
  <c r="AD18" i="20"/>
  <c r="AD23" i="20"/>
  <c r="AD26" i="20"/>
  <c r="AB26" i="20" s="1"/>
  <c r="AD28" i="20"/>
  <c r="AB28" i="20" s="1"/>
  <c r="AD24" i="20"/>
  <c r="AB24" i="20" s="1"/>
  <c r="AH24" i="20" s="1"/>
  <c r="AD22" i="20"/>
  <c r="AD20" i="20"/>
  <c r="AB19" i="20"/>
  <c r="X17" i="18"/>
  <c r="AA17" i="18"/>
  <c r="X16" i="18"/>
  <c r="AE1" i="19"/>
  <c r="AV25" i="3"/>
  <c r="AA23" i="12"/>
  <c r="AG23" i="12" s="1"/>
  <c r="Y22" i="12"/>
  <c r="X23" i="12" s="1"/>
  <c r="AR4" i="24"/>
  <c r="AW4" i="24"/>
  <c r="AD25" i="21"/>
  <c r="AB25" i="21" s="1"/>
  <c r="AD23" i="21"/>
  <c r="AD28" i="21"/>
  <c r="AB28" i="21" s="1"/>
  <c r="AD20" i="21"/>
  <c r="AD21" i="21"/>
  <c r="AD27" i="21"/>
  <c r="AB27" i="21" s="1"/>
  <c r="AD18" i="21"/>
  <c r="AD26" i="21"/>
  <c r="AB26" i="21" s="1"/>
  <c r="AD17" i="21"/>
  <c r="AD24" i="21"/>
  <c r="AB24" i="21" s="1"/>
  <c r="AD22" i="21"/>
  <c r="AD19" i="21"/>
  <c r="AB20" i="21"/>
  <c r="AA28" i="7"/>
  <c r="AG28" i="7" s="1"/>
  <c r="AR8" i="24"/>
  <c r="AT8" i="24" s="1"/>
  <c r="AU8" i="24" s="1"/>
  <c r="AW8" i="24"/>
  <c r="AI18" i="22"/>
  <c r="AJ18" i="22"/>
  <c r="AI24" i="22"/>
  <c r="AJ24" i="22"/>
  <c r="AZ27" i="61"/>
  <c r="C25" i="27"/>
  <c r="AP27" i="4"/>
  <c r="B27" i="4"/>
  <c r="BB25" i="61"/>
  <c r="B25" i="2"/>
  <c r="AP25" i="2"/>
  <c r="C27" i="29"/>
  <c r="AA26" i="8"/>
  <c r="AG26" i="8" s="1"/>
  <c r="Y25" i="8"/>
  <c r="AA26" i="9"/>
  <c r="AG26" i="9" s="1"/>
  <c r="Y25" i="9"/>
  <c r="X26" i="9" s="1"/>
  <c r="X17" i="17"/>
  <c r="AA17" i="17"/>
  <c r="X16" i="17"/>
  <c r="AK27" i="22"/>
  <c r="AL27" i="22"/>
  <c r="AL8" i="22"/>
  <c r="AK8" i="22"/>
  <c r="AL5" i="22"/>
  <c r="AK5" i="22"/>
  <c r="X24" i="11"/>
  <c r="AM9" i="24"/>
  <c r="AV28" i="6"/>
  <c r="Y28" i="6"/>
  <c r="BG7" i="6"/>
  <c r="AA19" i="15"/>
  <c r="AG19" i="15" s="1"/>
  <c r="Y18" i="15"/>
  <c r="X19" i="15" s="1"/>
  <c r="AB23" i="20"/>
  <c r="AB20" i="20"/>
  <c r="Y27" i="7"/>
  <c r="AV27" i="5"/>
  <c r="BA26" i="61"/>
  <c r="C26" i="28"/>
  <c r="B26" i="3"/>
  <c r="AP26" i="3"/>
  <c r="G28" i="8"/>
  <c r="G29" i="8" s="1"/>
  <c r="I38" i="8" s="1"/>
  <c r="F29" i="8"/>
  <c r="I36" i="8" s="1"/>
  <c r="X18" i="18"/>
  <c r="AH4" i="20"/>
  <c r="AH6" i="20"/>
  <c r="AH5" i="20"/>
  <c r="AH7" i="20"/>
  <c r="AH8" i="20"/>
  <c r="AH28" i="20"/>
  <c r="AH27" i="20"/>
  <c r="AH26" i="20"/>
  <c r="AH25" i="20"/>
  <c r="AJ27" i="22"/>
  <c r="AI27" i="22"/>
  <c r="AJ25" i="22"/>
  <c r="AI25" i="22"/>
  <c r="AV26" i="4"/>
  <c r="H24" i="2"/>
  <c r="I24" i="2" s="1"/>
  <c r="D24" i="2"/>
  <c r="F24" i="2" s="1"/>
  <c r="G24" i="2" s="1"/>
  <c r="AL24" i="22"/>
  <c r="AK24" i="22"/>
  <c r="AL28" i="22"/>
  <c r="AK28" i="22"/>
  <c r="AL4" i="22"/>
  <c r="AK4" i="22"/>
  <c r="AR25" i="24"/>
  <c r="AT25" i="24" s="1"/>
  <c r="AU25" i="24" s="1"/>
  <c r="AW25" i="24"/>
  <c r="H28" i="6"/>
  <c r="I28" i="6" s="1"/>
  <c r="I29" i="6" s="1"/>
  <c r="I39" i="6" s="1"/>
  <c r="D28" i="6"/>
  <c r="S7" i="6"/>
  <c r="DB119" i="61" l="1"/>
  <c r="DD119" i="61" s="1"/>
  <c r="AT27" i="68"/>
  <c r="CZ121" i="61"/>
  <c r="AR29" i="68"/>
  <c r="DA120" i="61"/>
  <c r="AS28" i="68"/>
  <c r="CY122" i="61"/>
  <c r="AQ30" i="68"/>
  <c r="DF118" i="61"/>
  <c r="DG118" i="61"/>
  <c r="BE118" i="61" s="1"/>
  <c r="DG119" i="61"/>
  <c r="DF119" i="61"/>
  <c r="CC117" i="61"/>
  <c r="BY117" i="61"/>
  <c r="BU117" i="61"/>
  <c r="BQ117" i="61"/>
  <c r="BM117" i="61"/>
  <c r="BI117" i="61"/>
  <c r="CA117" i="61"/>
  <c r="BW117" i="61"/>
  <c r="BS117" i="61"/>
  <c r="BO117" i="61"/>
  <c r="BK117" i="61"/>
  <c r="BG117" i="61"/>
  <c r="CB117" i="61"/>
  <c r="BT117" i="61"/>
  <c r="BL117" i="61"/>
  <c r="BX117" i="61"/>
  <c r="BP117" i="61"/>
  <c r="BH117" i="61"/>
  <c r="BN117" i="61"/>
  <c r="BZ117" i="61"/>
  <c r="BJ117" i="61"/>
  <c r="BV117" i="61"/>
  <c r="BF117" i="61"/>
  <c r="BR117" i="61"/>
  <c r="BE117" i="61"/>
  <c r="AM10" i="23"/>
  <c r="AJ16" i="22"/>
  <c r="AL12" i="23"/>
  <c r="AM12" i="23" s="1"/>
  <c r="AH13" i="23"/>
  <c r="AL13" i="23" s="1"/>
  <c r="AM9" i="23"/>
  <c r="AR9" i="23" s="1"/>
  <c r="AT9" i="23" s="1"/>
  <c r="AU9" i="23" s="1"/>
  <c r="AJ18" i="20"/>
  <c r="AI19" i="21"/>
  <c r="AJ12" i="22"/>
  <c r="AR10" i="25"/>
  <c r="AT10" i="25" s="1"/>
  <c r="AU10" i="25" s="1"/>
  <c r="AW10" i="25"/>
  <c r="AI9" i="22"/>
  <c r="AJ9" i="22"/>
  <c r="AH14" i="25"/>
  <c r="AK13" i="25"/>
  <c r="AQ13" i="25" s="1"/>
  <c r="AL13" i="25"/>
  <c r="AM12" i="25"/>
  <c r="AW11" i="25"/>
  <c r="AR11" i="25"/>
  <c r="AT11" i="25" s="1"/>
  <c r="AU11" i="25" s="1"/>
  <c r="AJ13" i="22"/>
  <c r="AI15" i="22"/>
  <c r="AD16" i="20"/>
  <c r="AF16" i="19"/>
  <c r="AF17" i="19" s="1"/>
  <c r="AF18" i="19" s="1"/>
  <c r="AF19" i="19" s="1"/>
  <c r="AF20" i="19" s="1"/>
  <c r="AF21" i="19" s="1"/>
  <c r="AF22" i="19" s="1"/>
  <c r="AF23" i="19" s="1"/>
  <c r="AF24" i="19" s="1"/>
  <c r="AF25" i="19" s="1"/>
  <c r="AF26" i="19" s="1"/>
  <c r="AF27" i="19" s="1"/>
  <c r="AF28" i="19" s="1"/>
  <c r="AI1" i="19"/>
  <c r="AF16" i="53"/>
  <c r="AF17" i="53" s="1"/>
  <c r="AF18" i="53" s="1"/>
  <c r="AF19" i="53" s="1"/>
  <c r="AF20" i="53" s="1"/>
  <c r="AF21" i="53" s="1"/>
  <c r="AF22" i="53" s="1"/>
  <c r="AF23" i="53" s="1"/>
  <c r="AF24" i="53" s="1"/>
  <c r="AF25" i="53" s="1"/>
  <c r="AF26" i="53" s="1"/>
  <c r="AF27" i="53" s="1"/>
  <c r="AF28" i="53" s="1"/>
  <c r="AI1" i="53"/>
  <c r="AB16" i="20"/>
  <c r="AJ16" i="20" s="1"/>
  <c r="AB16" i="21"/>
  <c r="AI16" i="21" s="1"/>
  <c r="AD16" i="21"/>
  <c r="AK9" i="22"/>
  <c r="AL9" i="22"/>
  <c r="AJ14" i="22"/>
  <c r="AH10" i="22"/>
  <c r="AK10" i="22" s="1"/>
  <c r="AB15" i="21"/>
  <c r="AI15" i="21" s="1"/>
  <c r="AI10" i="22"/>
  <c r="AB10" i="20"/>
  <c r="AJ10" i="20" s="1"/>
  <c r="AB11" i="21"/>
  <c r="AJ11" i="21" s="1"/>
  <c r="AB14" i="21"/>
  <c r="AJ14" i="21" s="1"/>
  <c r="AB12" i="20"/>
  <c r="AI12" i="20" s="1"/>
  <c r="AB11" i="20"/>
  <c r="AI11" i="20" s="1"/>
  <c r="AH9" i="20"/>
  <c r="AL9" i="20" s="1"/>
  <c r="AB13" i="20"/>
  <c r="AI13" i="20" s="1"/>
  <c r="AB10" i="21"/>
  <c r="AJ10" i="21" s="1"/>
  <c r="AB14" i="20"/>
  <c r="AJ14" i="20" s="1"/>
  <c r="AJ9" i="21"/>
  <c r="AI9" i="21"/>
  <c r="AB13" i="21"/>
  <c r="AB15" i="20"/>
  <c r="AD6" i="20"/>
  <c r="AB6" i="20" s="1"/>
  <c r="AD13" i="20"/>
  <c r="AD7" i="20"/>
  <c r="AB7" i="20" s="1"/>
  <c r="AD4" i="20"/>
  <c r="AB4" i="20" s="1"/>
  <c r="AD14" i="20"/>
  <c r="AD8" i="20"/>
  <c r="AB8" i="20" s="1"/>
  <c r="AD12" i="20"/>
  <c r="AD5" i="20"/>
  <c r="AB5" i="20" s="1"/>
  <c r="AD10" i="20"/>
  <c r="AD9" i="20"/>
  <c r="AD15" i="20"/>
  <c r="AD11" i="20"/>
  <c r="Y1" i="53"/>
  <c r="AB10" i="53" s="1"/>
  <c r="X18" i="16"/>
  <c r="Y16" i="16"/>
  <c r="AB12" i="21"/>
  <c r="AD9" i="21"/>
  <c r="AD13" i="21"/>
  <c r="AD10" i="21"/>
  <c r="AD12" i="21"/>
  <c r="AD8" i="21"/>
  <c r="AB8" i="21" s="1"/>
  <c r="AD14" i="21"/>
  <c r="AD6" i="21"/>
  <c r="AB6" i="21" s="1"/>
  <c r="AD15" i="21"/>
  <c r="AD4" i="21"/>
  <c r="AB4" i="21" s="1"/>
  <c r="AD5" i="21"/>
  <c r="AB5" i="21" s="1"/>
  <c r="AD7" i="21"/>
  <c r="AB7" i="21" s="1"/>
  <c r="AD11" i="21"/>
  <c r="AJ7" i="22"/>
  <c r="AI7" i="22"/>
  <c r="AQ7" i="22" s="1"/>
  <c r="AI8" i="22"/>
  <c r="AQ8" i="22" s="1"/>
  <c r="AJ8" i="22"/>
  <c r="AG16" i="18"/>
  <c r="X1" i="18"/>
  <c r="AB18" i="19"/>
  <c r="AI18" i="19" s="1"/>
  <c r="AI9" i="20"/>
  <c r="AJ9" i="20"/>
  <c r="AJ4" i="22"/>
  <c r="AI4" i="22"/>
  <c r="AQ4" i="22" s="1"/>
  <c r="AJ6" i="22"/>
  <c r="AI6" i="22"/>
  <c r="AQ6" i="22" s="1"/>
  <c r="Y1" i="19"/>
  <c r="AB12" i="19" s="1"/>
  <c r="AH9" i="21"/>
  <c r="AL9" i="21" s="1"/>
  <c r="AB20" i="53"/>
  <c r="AJ20" i="53" s="1"/>
  <c r="AJ5" i="22"/>
  <c r="AI5" i="22"/>
  <c r="AQ5" i="22" s="1"/>
  <c r="AA16" i="17"/>
  <c r="X15" i="17"/>
  <c r="GH142" i="61"/>
  <c r="N21" i="64" s="1"/>
  <c r="GD141" i="61"/>
  <c r="K20" i="64" s="1"/>
  <c r="Z104" i="32"/>
  <c r="AB104" i="32" s="1"/>
  <c r="AR104" i="32" s="1"/>
  <c r="AK104" i="32"/>
  <c r="AM104" i="32" s="1"/>
  <c r="AS104" i="32" s="1"/>
  <c r="EY141" i="61"/>
  <c r="GC142" i="61"/>
  <c r="GD142" i="61" s="1"/>
  <c r="AQ25" i="22"/>
  <c r="AM25" i="22" s="1"/>
  <c r="AR25" i="22" s="1"/>
  <c r="AT25" i="22" s="1"/>
  <c r="AU25" i="22" s="1"/>
  <c r="ER142" i="61"/>
  <c r="ET141" i="61"/>
  <c r="ES141" i="61"/>
  <c r="H20" i="64" s="1"/>
  <c r="DW144" i="61"/>
  <c r="FI144" i="61"/>
  <c r="EN144" i="61"/>
  <c r="FZ144" i="61"/>
  <c r="EC144" i="61"/>
  <c r="FO144" i="61"/>
  <c r="DR143" i="61"/>
  <c r="EZ143" i="61" s="1"/>
  <c r="FD143" i="61"/>
  <c r="GE143" i="61" s="1"/>
  <c r="L22" i="64" s="1"/>
  <c r="GB144" i="61"/>
  <c r="EI144" i="61"/>
  <c r="FU144" i="61"/>
  <c r="DZ144" i="61"/>
  <c r="FL144" i="61"/>
  <c r="ED144" i="61"/>
  <c r="FP144" i="61"/>
  <c r="EB144" i="61"/>
  <c r="FN144" i="61"/>
  <c r="EH144" i="61"/>
  <c r="FT144" i="61"/>
  <c r="DX144" i="61"/>
  <c r="FJ144" i="61"/>
  <c r="DV144" i="61"/>
  <c r="FH144" i="61"/>
  <c r="EE144" i="61"/>
  <c r="FQ144" i="61"/>
  <c r="DY144" i="61"/>
  <c r="FK144" i="61"/>
  <c r="EG144" i="61"/>
  <c r="FS144" i="61"/>
  <c r="EK144" i="61"/>
  <c r="FW144" i="61"/>
  <c r="EO144" i="61"/>
  <c r="GA144" i="61"/>
  <c r="EF144" i="61"/>
  <c r="FR144" i="61"/>
  <c r="EJ144" i="61"/>
  <c r="FV144" i="61"/>
  <c r="DS144" i="61"/>
  <c r="FE144" i="61"/>
  <c r="EA144" i="61"/>
  <c r="FM144" i="61"/>
  <c r="DU144" i="61"/>
  <c r="FG144" i="61"/>
  <c r="DT144" i="61"/>
  <c r="FF144" i="61"/>
  <c r="DR144" i="61"/>
  <c r="FD144" i="61"/>
  <c r="EL144" i="61"/>
  <c r="FX144" i="61"/>
  <c r="EM144" i="61"/>
  <c r="FY144" i="61"/>
  <c r="DM117" i="61"/>
  <c r="DQ117" i="61"/>
  <c r="DU117" i="61"/>
  <c r="DY117" i="61"/>
  <c r="EC117" i="61"/>
  <c r="EG117" i="61"/>
  <c r="DO117" i="61"/>
  <c r="DS117" i="61"/>
  <c r="DW117" i="61"/>
  <c r="EA117" i="61"/>
  <c r="EE117" i="61"/>
  <c r="EI117" i="61"/>
  <c r="EP145" i="61" s="1"/>
  <c r="DN117" i="61"/>
  <c r="DV117" i="61"/>
  <c r="ED117" i="61"/>
  <c r="DP117" i="61"/>
  <c r="EF117" i="61"/>
  <c r="DX117" i="61"/>
  <c r="DR117" i="61"/>
  <c r="DZ117" i="61"/>
  <c r="EH117" i="61"/>
  <c r="DL117" i="61"/>
  <c r="DT117" i="61"/>
  <c r="EB117" i="61"/>
  <c r="AR105" i="32"/>
  <c r="AT105" i="32" s="1"/>
  <c r="E19" i="32" s="1"/>
  <c r="AK110" i="32" s="1"/>
  <c r="AM110" i="32" s="1"/>
  <c r="AS110" i="32" s="1"/>
  <c r="EU144" i="61"/>
  <c r="EV144" i="61" s="1"/>
  <c r="AI135" i="28"/>
  <c r="AI140" i="28"/>
  <c r="AE125" i="26"/>
  <c r="AI124" i="26" s="1"/>
  <c r="X115" i="26"/>
  <c r="J135" i="28"/>
  <c r="N135" i="28" s="1"/>
  <c r="AQ135" i="28" s="1"/>
  <c r="J134" i="28"/>
  <c r="N134" i="28" s="1"/>
  <c r="AQ134" i="28" s="1"/>
  <c r="J139" i="28"/>
  <c r="N139" i="28" s="1"/>
  <c r="AQ139" i="28" s="1"/>
  <c r="J140" i="28"/>
  <c r="N140" i="28" s="1"/>
  <c r="AQ140" i="28" s="1"/>
  <c r="J149" i="28"/>
  <c r="N149" i="28" s="1"/>
  <c r="AQ149" i="28" s="1"/>
  <c r="J150" i="28"/>
  <c r="N150" i="28" s="1"/>
  <c r="AQ150" i="28" s="1"/>
  <c r="V138" i="27"/>
  <c r="T138" i="27"/>
  <c r="F134" i="27"/>
  <c r="H134" i="27" s="1"/>
  <c r="J132" i="27"/>
  <c r="F139" i="27"/>
  <c r="H139" i="27" s="1"/>
  <c r="J137" i="27"/>
  <c r="AE150" i="27"/>
  <c r="AI149" i="27" s="1"/>
  <c r="AG148" i="27"/>
  <c r="AG150" i="27" s="1"/>
  <c r="J129" i="28"/>
  <c r="N129" i="28" s="1"/>
  <c r="AQ129" i="28" s="1"/>
  <c r="J130" i="28"/>
  <c r="N130" i="28" s="1"/>
  <c r="AQ130" i="28" s="1"/>
  <c r="D139" i="26"/>
  <c r="AE134" i="26"/>
  <c r="AG134" i="26" s="1"/>
  <c r="R148" i="26"/>
  <c r="D129" i="26"/>
  <c r="AE148" i="26"/>
  <c r="R133" i="26"/>
  <c r="R143" i="26"/>
  <c r="R128" i="26"/>
  <c r="D149" i="26"/>
  <c r="AE143" i="26"/>
  <c r="AE144" i="26"/>
  <c r="AG144" i="26" s="1"/>
  <c r="AE133" i="26"/>
  <c r="D144" i="26"/>
  <c r="AE138" i="26"/>
  <c r="AE149" i="26"/>
  <c r="AG149" i="26" s="1"/>
  <c r="AE129" i="26"/>
  <c r="AG129" i="26" s="1"/>
  <c r="D134" i="26"/>
  <c r="AE139" i="26"/>
  <c r="AG139" i="26" s="1"/>
  <c r="R138" i="26"/>
  <c r="AG125" i="26"/>
  <c r="AI150" i="28"/>
  <c r="T123" i="26"/>
  <c r="V123" i="26"/>
  <c r="AE130" i="27"/>
  <c r="AI129" i="27" s="1"/>
  <c r="AG143" i="27"/>
  <c r="AG145" i="27" s="1"/>
  <c r="AE145" i="27"/>
  <c r="AI144" i="27" s="1"/>
  <c r="V128" i="27"/>
  <c r="T128" i="27"/>
  <c r="F129" i="27"/>
  <c r="H129" i="27" s="1"/>
  <c r="J127" i="27"/>
  <c r="V133" i="27"/>
  <c r="T133" i="27"/>
  <c r="H119" i="26"/>
  <c r="H120" i="26" s="1"/>
  <c r="J120" i="26" s="1"/>
  <c r="F120" i="26"/>
  <c r="J119" i="26" s="1"/>
  <c r="J122" i="26"/>
  <c r="F124" i="26"/>
  <c r="H124" i="26" s="1"/>
  <c r="AG130" i="27"/>
  <c r="J145" i="28"/>
  <c r="N145" i="28" s="1"/>
  <c r="AQ145" i="28" s="1"/>
  <c r="J144" i="28"/>
  <c r="N144" i="28" s="1"/>
  <c r="AQ144" i="28" s="1"/>
  <c r="AG138" i="27"/>
  <c r="AG140" i="27" s="1"/>
  <c r="AE140" i="27"/>
  <c r="AI139" i="27" s="1"/>
  <c r="T143" i="27"/>
  <c r="V143" i="27"/>
  <c r="T148" i="27"/>
  <c r="V148" i="27"/>
  <c r="F149" i="27"/>
  <c r="H149" i="27" s="1"/>
  <c r="J147" i="27"/>
  <c r="Z109" i="32"/>
  <c r="AB109" i="32" s="1"/>
  <c r="L114" i="32"/>
  <c r="N114" i="32" s="1"/>
  <c r="AQ114" i="32" s="1"/>
  <c r="AK109" i="32"/>
  <c r="AM109" i="32" s="1"/>
  <c r="AS109" i="32" s="1"/>
  <c r="AI130" i="28"/>
  <c r="AI145" i="28"/>
  <c r="AG128" i="26"/>
  <c r="J125" i="27"/>
  <c r="N125" i="27" s="1"/>
  <c r="AQ125" i="27" s="1"/>
  <c r="J124" i="27"/>
  <c r="N124" i="27" s="1"/>
  <c r="AQ124" i="27" s="1"/>
  <c r="F144" i="27"/>
  <c r="H144" i="27" s="1"/>
  <c r="J142" i="27"/>
  <c r="AE135" i="27"/>
  <c r="AI134" i="27" s="1"/>
  <c r="AG133" i="27"/>
  <c r="AG135" i="27" s="1"/>
  <c r="AV52" i="59"/>
  <c r="B36" i="58" s="1" a="1"/>
  <c r="D8" i="59"/>
  <c r="AR60" i="59"/>
  <c r="L66" i="59"/>
  <c r="N66" i="59" s="1"/>
  <c r="AS66" i="59" s="1"/>
  <c r="AV11" i="59"/>
  <c r="AX11" i="59" s="1"/>
  <c r="Z60" i="59"/>
  <c r="AB60" i="59" s="1"/>
  <c r="AM60" i="59"/>
  <c r="AO60" i="59" s="1"/>
  <c r="AU60" i="59" s="1"/>
  <c r="AU4" i="25"/>
  <c r="AR6" i="23"/>
  <c r="AT6" i="23" s="1"/>
  <c r="AU6" i="23" s="1"/>
  <c r="AQ27" i="22"/>
  <c r="AM27" i="22" s="1"/>
  <c r="AW27" i="22" s="1"/>
  <c r="AR28" i="23"/>
  <c r="AT28" i="23" s="1"/>
  <c r="AU28" i="23" s="1"/>
  <c r="AJ17" i="20"/>
  <c r="AR27" i="23"/>
  <c r="AT27" i="23" s="1"/>
  <c r="AU27" i="23" s="1"/>
  <c r="AI23" i="21"/>
  <c r="AW24" i="23"/>
  <c r="AR24" i="23"/>
  <c r="AT24" i="23" s="1"/>
  <c r="AU24" i="23" s="1"/>
  <c r="AW26" i="23"/>
  <c r="AW5" i="23"/>
  <c r="AJ17" i="21"/>
  <c r="AI21" i="21"/>
  <c r="AW25" i="23"/>
  <c r="AB23" i="19"/>
  <c r="AJ23" i="19" s="1"/>
  <c r="AB23" i="53"/>
  <c r="AI23" i="53" s="1"/>
  <c r="AB17" i="19"/>
  <c r="AJ17" i="19" s="1"/>
  <c r="AB22" i="19"/>
  <c r="AJ22" i="19" s="1"/>
  <c r="AI18" i="21"/>
  <c r="AB21" i="19"/>
  <c r="AI21" i="19" s="1"/>
  <c r="AB19" i="19"/>
  <c r="AJ19" i="19" s="1"/>
  <c r="AJ26" i="21"/>
  <c r="AI26" i="21"/>
  <c r="AJ28" i="21"/>
  <c r="AI28" i="21"/>
  <c r="AL27" i="20"/>
  <c r="AK27" i="20"/>
  <c r="AK8" i="20"/>
  <c r="AL8" i="20"/>
  <c r="AL6" i="20"/>
  <c r="AK6" i="20"/>
  <c r="BA27" i="61"/>
  <c r="B27" i="3"/>
  <c r="AP27" i="3"/>
  <c r="C26" i="27"/>
  <c r="AA27" i="7"/>
  <c r="AG27" i="7" s="1"/>
  <c r="Y26" i="7"/>
  <c r="X27" i="7" s="1"/>
  <c r="AI23" i="20"/>
  <c r="AJ23" i="20"/>
  <c r="AD1" i="17"/>
  <c r="AG17" i="17"/>
  <c r="BB26" i="61"/>
  <c r="B26" i="2"/>
  <c r="C27" i="28"/>
  <c r="AP26" i="2"/>
  <c r="AQ24" i="22"/>
  <c r="AM24" i="22" s="1"/>
  <c r="AJ24" i="21"/>
  <c r="AI24" i="21"/>
  <c r="AJ27" i="21"/>
  <c r="AI27" i="21"/>
  <c r="AR7" i="23"/>
  <c r="AT7" i="23" s="1"/>
  <c r="AU7" i="23" s="1"/>
  <c r="AW7" i="23"/>
  <c r="AJ24" i="20"/>
  <c r="AI24" i="20"/>
  <c r="AL26" i="21"/>
  <c r="AK26" i="21"/>
  <c r="AL6" i="21"/>
  <c r="AK6" i="21"/>
  <c r="AD17" i="53"/>
  <c r="AD21" i="53"/>
  <c r="AD24" i="53"/>
  <c r="AB24" i="53" s="1"/>
  <c r="AH24" i="53" s="1"/>
  <c r="AD26" i="53"/>
  <c r="AB26" i="53" s="1"/>
  <c r="AD25" i="53"/>
  <c r="AB25" i="53" s="1"/>
  <c r="AD20" i="53"/>
  <c r="AD18" i="53"/>
  <c r="AD27" i="53"/>
  <c r="AB27" i="53" s="1"/>
  <c r="AD22" i="53"/>
  <c r="AD19" i="53"/>
  <c r="AD28" i="53"/>
  <c r="AB28" i="53" s="1"/>
  <c r="AD23" i="53"/>
  <c r="AB21" i="53"/>
  <c r="AB18" i="53"/>
  <c r="AJ22" i="21"/>
  <c r="AI22" i="21"/>
  <c r="H28" i="5"/>
  <c r="I28" i="5" s="1"/>
  <c r="I29" i="5" s="1"/>
  <c r="D28" i="5"/>
  <c r="S7" i="5"/>
  <c r="AK24" i="20"/>
  <c r="AL24" i="20"/>
  <c r="AK28" i="20"/>
  <c r="AL28" i="20"/>
  <c r="AL4" i="20"/>
  <c r="AK4" i="20"/>
  <c r="AV26" i="3"/>
  <c r="AA18" i="15"/>
  <c r="AG18" i="15" s="1"/>
  <c r="Y17" i="15"/>
  <c r="Y16" i="15" s="1"/>
  <c r="AA25" i="8"/>
  <c r="AG25" i="8" s="1"/>
  <c r="Y24" i="8"/>
  <c r="C25" i="26"/>
  <c r="V34" i="61"/>
  <c r="B28" i="4"/>
  <c r="AP28" i="4"/>
  <c r="AJ25" i="21"/>
  <c r="AI25" i="21"/>
  <c r="AD24" i="19"/>
  <c r="AB24" i="19" s="1"/>
  <c r="AH24" i="19" s="1"/>
  <c r="AD22" i="19"/>
  <c r="AD28" i="19"/>
  <c r="AB28" i="19" s="1"/>
  <c r="AD20" i="19"/>
  <c r="AD21" i="19"/>
  <c r="AD19" i="19"/>
  <c r="AD17" i="19"/>
  <c r="AD25" i="19"/>
  <c r="AB25" i="19" s="1"/>
  <c r="AD18" i="19"/>
  <c r="AD26" i="19"/>
  <c r="AB26" i="19" s="1"/>
  <c r="AD27" i="19"/>
  <c r="AB27" i="19" s="1"/>
  <c r="AD23" i="19"/>
  <c r="AB20" i="19"/>
  <c r="AI25" i="20"/>
  <c r="AJ25" i="20"/>
  <c r="AL11" i="24"/>
  <c r="AK11" i="24"/>
  <c r="AQ11" i="24" s="1"/>
  <c r="AH12" i="24"/>
  <c r="AQ28" i="22"/>
  <c r="AM28" i="22" s="1"/>
  <c r="AL27" i="21"/>
  <c r="AK27" i="21"/>
  <c r="AL8" i="21"/>
  <c r="AK8" i="21"/>
  <c r="AL4" i="21"/>
  <c r="AK4" i="21"/>
  <c r="AB19" i="53"/>
  <c r="AB22" i="53"/>
  <c r="AJ22" i="20"/>
  <c r="AI22" i="20"/>
  <c r="H24" i="1"/>
  <c r="I24" i="1" s="1"/>
  <c r="D24" i="1"/>
  <c r="F24" i="1" s="1"/>
  <c r="G24" i="1" s="1"/>
  <c r="AA20" i="14"/>
  <c r="AG20" i="14" s="1"/>
  <c r="Y19" i="14"/>
  <c r="AH4" i="19"/>
  <c r="AH5" i="19"/>
  <c r="AH6" i="19"/>
  <c r="AH8" i="19"/>
  <c r="AH7" i="19"/>
  <c r="AH27" i="19"/>
  <c r="AH28" i="19"/>
  <c r="AH26" i="19"/>
  <c r="AH25" i="19"/>
  <c r="F28" i="6"/>
  <c r="D29" i="6"/>
  <c r="I35" i="6" s="1"/>
  <c r="AL25" i="20"/>
  <c r="AK25" i="20"/>
  <c r="AL7" i="20"/>
  <c r="AK7" i="20"/>
  <c r="H26" i="3"/>
  <c r="I26" i="3" s="1"/>
  <c r="D26" i="3"/>
  <c r="F26" i="3" s="1"/>
  <c r="G26" i="3" s="1"/>
  <c r="AJ28" i="20"/>
  <c r="AI28" i="20"/>
  <c r="AR9" i="24"/>
  <c r="AT9" i="24" s="1"/>
  <c r="AU9" i="24" s="1"/>
  <c r="AW9" i="24"/>
  <c r="AA25" i="9"/>
  <c r="AG25" i="9" s="1"/>
  <c r="Y24" i="9"/>
  <c r="AV25" i="2"/>
  <c r="H27" i="4"/>
  <c r="I27" i="4" s="1"/>
  <c r="D27" i="4"/>
  <c r="F27" i="4" s="1"/>
  <c r="G27" i="4" s="1"/>
  <c r="AR8" i="23"/>
  <c r="AT8" i="23" s="1"/>
  <c r="AU8" i="23" s="1"/>
  <c r="AW8" i="23"/>
  <c r="X28" i="7"/>
  <c r="AA22" i="12"/>
  <c r="AG22" i="12" s="1"/>
  <c r="Y21" i="12"/>
  <c r="X22" i="12" s="1"/>
  <c r="AJ26" i="20"/>
  <c r="AI26" i="20"/>
  <c r="AI27" i="20"/>
  <c r="AJ27" i="20"/>
  <c r="AA24" i="10"/>
  <c r="AG24" i="10" s="1"/>
  <c r="Y23" i="10"/>
  <c r="X24" i="10" s="1"/>
  <c r="AM10" i="24"/>
  <c r="AR4" i="23"/>
  <c r="AW4" i="23"/>
  <c r="AH24" i="21"/>
  <c r="AL28" i="21"/>
  <c r="AK28" i="21"/>
  <c r="AK5" i="21"/>
  <c r="AL5" i="21"/>
  <c r="AI21" i="20"/>
  <c r="AJ21" i="20"/>
  <c r="G28" i="7"/>
  <c r="G29" i="7" s="1"/>
  <c r="I38" i="7" s="1"/>
  <c r="F29" i="7"/>
  <c r="I36" i="7" s="1"/>
  <c r="AQ26" i="22"/>
  <c r="AM26" i="22" s="1"/>
  <c r="AV24" i="1"/>
  <c r="AR10" i="23"/>
  <c r="AT10" i="23" s="1"/>
  <c r="AU10" i="23" s="1"/>
  <c r="AW10" i="23"/>
  <c r="AV28" i="5"/>
  <c r="Y28" i="5"/>
  <c r="BG7" i="5"/>
  <c r="AK26" i="20"/>
  <c r="AL26" i="20"/>
  <c r="AL5" i="20"/>
  <c r="AK5" i="20"/>
  <c r="AJ20" i="20"/>
  <c r="AI20" i="20"/>
  <c r="AA28" i="6"/>
  <c r="AG28" i="6" s="1"/>
  <c r="Y27" i="6"/>
  <c r="X28" i="6" s="1"/>
  <c r="X26" i="8"/>
  <c r="H25" i="2"/>
  <c r="I25" i="2" s="1"/>
  <c r="D25" i="2"/>
  <c r="F25" i="2" s="1"/>
  <c r="G25" i="2" s="1"/>
  <c r="AV27" i="4"/>
  <c r="AJ20" i="21"/>
  <c r="AI20" i="21"/>
  <c r="AT4" i="24"/>
  <c r="AD1" i="18"/>
  <c r="AG17" i="18"/>
  <c r="AI19" i="20"/>
  <c r="AJ19" i="20"/>
  <c r="AL25" i="21"/>
  <c r="AK25" i="21"/>
  <c r="AK7" i="21"/>
  <c r="AL7" i="21"/>
  <c r="AB17" i="53"/>
  <c r="AR11" i="23"/>
  <c r="AT11" i="23" s="1"/>
  <c r="AU11" i="23" s="1"/>
  <c r="AW11" i="23"/>
  <c r="AA22" i="11"/>
  <c r="AG22" i="11" s="1"/>
  <c r="Y21" i="11"/>
  <c r="X17" i="16"/>
  <c r="AA17" i="16"/>
  <c r="X16" i="16"/>
  <c r="BC25" i="61"/>
  <c r="AP25" i="1"/>
  <c r="B25" i="1"/>
  <c r="C28" i="29"/>
  <c r="AH4" i="53"/>
  <c r="AH6" i="53"/>
  <c r="AH5" i="53"/>
  <c r="AH8" i="53"/>
  <c r="AH7" i="53"/>
  <c r="AH28" i="53"/>
  <c r="AH27" i="53"/>
  <c r="AH26" i="53"/>
  <c r="AH25" i="53"/>
  <c r="AA21" i="13"/>
  <c r="AG21" i="13" s="1"/>
  <c r="Y20" i="13"/>
  <c r="X21" i="13" s="1"/>
  <c r="X21" i="14"/>
  <c r="DB120" i="61" l="1"/>
  <c r="DD120" i="61" s="1"/>
  <c r="AT28" i="68"/>
  <c r="DA121" i="61"/>
  <c r="AS29" i="68"/>
  <c r="CZ122" i="61"/>
  <c r="AR30" i="68"/>
  <c r="DG120" i="61"/>
  <c r="DF120" i="61"/>
  <c r="BZ119" i="61"/>
  <c r="BV119" i="61"/>
  <c r="BR119" i="61"/>
  <c r="BN119" i="61"/>
  <c r="BJ119" i="61"/>
  <c r="BF119" i="61"/>
  <c r="CB119" i="61"/>
  <c r="BX119" i="61"/>
  <c r="BT119" i="61"/>
  <c r="BP119" i="61"/>
  <c r="BL119" i="61"/>
  <c r="BH119" i="61"/>
  <c r="CC119" i="61"/>
  <c r="BU119" i="61"/>
  <c r="BM119" i="61"/>
  <c r="BY119" i="61"/>
  <c r="BQ119" i="61"/>
  <c r="BI119" i="61"/>
  <c r="BO119" i="61"/>
  <c r="CA119" i="61"/>
  <c r="BK119" i="61"/>
  <c r="BW119" i="61"/>
  <c r="BG119" i="61"/>
  <c r="BS119" i="61"/>
  <c r="BZ118" i="61"/>
  <c r="BV118" i="61"/>
  <c r="BR118" i="61"/>
  <c r="BN118" i="61"/>
  <c r="BJ118" i="61"/>
  <c r="CB118" i="61"/>
  <c r="BX118" i="61"/>
  <c r="BT118" i="61"/>
  <c r="BP118" i="61"/>
  <c r="BL118" i="61"/>
  <c r="BH118" i="61"/>
  <c r="CC118" i="61"/>
  <c r="BU118" i="61"/>
  <c r="BM118" i="61"/>
  <c r="BY118" i="61"/>
  <c r="BQ118" i="61"/>
  <c r="BI118" i="61"/>
  <c r="BW118" i="61"/>
  <c r="BF118" i="61"/>
  <c r="BS118" i="61"/>
  <c r="BO118" i="61"/>
  <c r="CA118" i="61"/>
  <c r="BK118" i="61"/>
  <c r="BG118" i="61"/>
  <c r="DC118" i="61"/>
  <c r="AH14" i="23"/>
  <c r="AH15" i="23" s="1"/>
  <c r="AK13" i="23"/>
  <c r="AQ13" i="23" s="1"/>
  <c r="AM13" i="23" s="1"/>
  <c r="AJ18" i="19"/>
  <c r="AJ12" i="20"/>
  <c r="AJ16" i="21"/>
  <c r="AK9" i="20"/>
  <c r="AQ9" i="20" s="1"/>
  <c r="AM9" i="20" s="1"/>
  <c r="AW9" i="20" s="1"/>
  <c r="AT104" i="32"/>
  <c r="D19" i="32" s="1"/>
  <c r="AW9" i="23"/>
  <c r="AK9" i="21"/>
  <c r="AQ9" i="21" s="1"/>
  <c r="AM9" i="21" s="1"/>
  <c r="AW9" i="21" s="1"/>
  <c r="AH10" i="21"/>
  <c r="AK10" i="21" s="1"/>
  <c r="AI20" i="53"/>
  <c r="AI14" i="21"/>
  <c r="AJ13" i="20"/>
  <c r="AJ15" i="21"/>
  <c r="AI11" i="21"/>
  <c r="AI16" i="20"/>
  <c r="AQ10" i="22"/>
  <c r="AD16" i="53"/>
  <c r="AQ9" i="22"/>
  <c r="AM9" i="22" s="1"/>
  <c r="AJ11" i="20"/>
  <c r="AI14" i="20"/>
  <c r="AH11" i="22"/>
  <c r="AI10" i="20"/>
  <c r="AR12" i="25"/>
  <c r="AT12" i="25" s="1"/>
  <c r="AU12" i="25" s="1"/>
  <c r="AW12" i="25"/>
  <c r="AM13" i="25"/>
  <c r="AK14" i="25"/>
  <c r="AQ14" i="25" s="1"/>
  <c r="AH15" i="25"/>
  <c r="AL14" i="25"/>
  <c r="AI10" i="21"/>
  <c r="AM8" i="22"/>
  <c r="AR8" i="22" s="1"/>
  <c r="AT8" i="22" s="1"/>
  <c r="AU8" i="22" s="1"/>
  <c r="AB14" i="53"/>
  <c r="AI14" i="53" s="1"/>
  <c r="AH10" i="20"/>
  <c r="AL10" i="22"/>
  <c r="AB16" i="53"/>
  <c r="AB16" i="19"/>
  <c r="AF16" i="18"/>
  <c r="AI1" i="18"/>
  <c r="AD16" i="19"/>
  <c r="AM5" i="22"/>
  <c r="AR5" i="22" s="1"/>
  <c r="AT5" i="22" s="1"/>
  <c r="AU5" i="22" s="1"/>
  <c r="AB9" i="19"/>
  <c r="AH9" i="19" s="1"/>
  <c r="AM6" i="22"/>
  <c r="AR6" i="22" s="1"/>
  <c r="AT6" i="22" s="1"/>
  <c r="AU6" i="22" s="1"/>
  <c r="AM7" i="22"/>
  <c r="AR7" i="22" s="1"/>
  <c r="AT7" i="22" s="1"/>
  <c r="AU7" i="22" s="1"/>
  <c r="AB15" i="53"/>
  <c r="AJ15" i="53" s="1"/>
  <c r="AB11" i="53"/>
  <c r="AI11" i="53" s="1"/>
  <c r="AM4" i="22"/>
  <c r="AR4" i="22" s="1"/>
  <c r="AB13" i="53"/>
  <c r="AJ13" i="53" s="1"/>
  <c r="AB9" i="53"/>
  <c r="AH9" i="53" s="1"/>
  <c r="AJ10" i="53"/>
  <c r="AI10" i="53"/>
  <c r="AI12" i="19"/>
  <c r="AJ12" i="19"/>
  <c r="AA16" i="15"/>
  <c r="X15" i="15"/>
  <c r="AB11" i="19"/>
  <c r="Y1" i="18"/>
  <c r="AB14" i="18" s="1"/>
  <c r="AJ12" i="21"/>
  <c r="AI12" i="21"/>
  <c r="AB12" i="53"/>
  <c r="AJ7" i="20"/>
  <c r="AI7" i="20"/>
  <c r="AQ7" i="20" s="1"/>
  <c r="AB15" i="19"/>
  <c r="AB10" i="19"/>
  <c r="AJ7" i="21"/>
  <c r="AI7" i="21"/>
  <c r="AQ7" i="21" s="1"/>
  <c r="AJ6" i="21"/>
  <c r="AI6" i="21"/>
  <c r="AQ6" i="21" s="1"/>
  <c r="AI8" i="20"/>
  <c r="AQ8" i="20" s="1"/>
  <c r="AJ8" i="20"/>
  <c r="AB13" i="19"/>
  <c r="AI5" i="21"/>
  <c r="AQ5" i="21" s="1"/>
  <c r="AJ5" i="21"/>
  <c r="AD9" i="53"/>
  <c r="AD11" i="53"/>
  <c r="AD7" i="53"/>
  <c r="AB7" i="53" s="1"/>
  <c r="AD5" i="53"/>
  <c r="AB5" i="53" s="1"/>
  <c r="AD14" i="53"/>
  <c r="AD15" i="53"/>
  <c r="AD6" i="53"/>
  <c r="AB6" i="53" s="1"/>
  <c r="AD10" i="53"/>
  <c r="AD13" i="53"/>
  <c r="AD4" i="53"/>
  <c r="AB4" i="53" s="1"/>
  <c r="AD8" i="53"/>
  <c r="AB8" i="53" s="1"/>
  <c r="AD12" i="53"/>
  <c r="AJ6" i="20"/>
  <c r="AI6" i="20"/>
  <c r="AQ6" i="20" s="1"/>
  <c r="AJ13" i="21"/>
  <c r="AI13" i="21"/>
  <c r="AG16" i="17"/>
  <c r="X1" i="17"/>
  <c r="AB14" i="19"/>
  <c r="AD12" i="19"/>
  <c r="AD15" i="19"/>
  <c r="AD13" i="19"/>
  <c r="AD14" i="19"/>
  <c r="AD9" i="19"/>
  <c r="AD4" i="19"/>
  <c r="AB4" i="19" s="1"/>
  <c r="AD6" i="19"/>
  <c r="AB6" i="19" s="1"/>
  <c r="AD11" i="19"/>
  <c r="AD5" i="19"/>
  <c r="AB5" i="19" s="1"/>
  <c r="AD8" i="19"/>
  <c r="AB8" i="19" s="1"/>
  <c r="AD10" i="19"/>
  <c r="AD7" i="19"/>
  <c r="AB7" i="19" s="1"/>
  <c r="AJ4" i="21"/>
  <c r="AI4" i="21"/>
  <c r="AQ4" i="21" s="1"/>
  <c r="AI8" i="21"/>
  <c r="AQ8" i="21" s="1"/>
  <c r="AJ8" i="21"/>
  <c r="AA16" i="16"/>
  <c r="X15" i="16"/>
  <c r="AI5" i="20"/>
  <c r="AQ5" i="20" s="1"/>
  <c r="AJ5" i="20"/>
  <c r="AJ4" i="20"/>
  <c r="AI4" i="20"/>
  <c r="AQ4" i="20" s="1"/>
  <c r="AJ15" i="20"/>
  <c r="AI15" i="20"/>
  <c r="GH144" i="61"/>
  <c r="N23" i="64" s="1"/>
  <c r="GH143" i="61"/>
  <c r="N22" i="64" s="1"/>
  <c r="ER144" i="61"/>
  <c r="ES144" i="61" s="1"/>
  <c r="H23" i="64" s="1"/>
  <c r="L115" i="32"/>
  <c r="N115" i="32" s="1"/>
  <c r="AQ115" i="32" s="1"/>
  <c r="AQ27" i="20"/>
  <c r="AM27" i="20" s="1"/>
  <c r="AR27" i="20" s="1"/>
  <c r="AT27" i="20" s="1"/>
  <c r="AU27" i="20" s="1"/>
  <c r="Z110" i="32"/>
  <c r="AB110" i="32" s="1"/>
  <c r="AR110" i="32" s="1"/>
  <c r="AT110" i="32" s="1"/>
  <c r="E20" i="32" s="1"/>
  <c r="GE144" i="61"/>
  <c r="L23" i="64" s="1"/>
  <c r="K21" i="64"/>
  <c r="GC144" i="61"/>
  <c r="GD144" i="61" s="1"/>
  <c r="EY142" i="61"/>
  <c r="AI125" i="26"/>
  <c r="EZ144" i="61"/>
  <c r="GC143" i="61"/>
  <c r="GD143" i="61" s="1"/>
  <c r="ER143" i="61"/>
  <c r="ES142" i="61"/>
  <c r="H21" i="64" s="1"/>
  <c r="ET142" i="61"/>
  <c r="EI145" i="61"/>
  <c r="FU145" i="61"/>
  <c r="EG145" i="61"/>
  <c r="FS145" i="61"/>
  <c r="DW145" i="61"/>
  <c r="FI145" i="61"/>
  <c r="GB145" i="61"/>
  <c r="DZ145" i="61"/>
  <c r="FL145" i="61"/>
  <c r="EJ145" i="61"/>
  <c r="FV145" i="61"/>
  <c r="DT145" i="61"/>
  <c r="FF145" i="61"/>
  <c r="EA145" i="61"/>
  <c r="FM145" i="61"/>
  <c r="DY145" i="61"/>
  <c r="FK145" i="61"/>
  <c r="EK145" i="61"/>
  <c r="FW145" i="61"/>
  <c r="EL145" i="61"/>
  <c r="FX145" i="61"/>
  <c r="DV145" i="61"/>
  <c r="FH145" i="61"/>
  <c r="EF145" i="61"/>
  <c r="FR145" i="61"/>
  <c r="DS145" i="61"/>
  <c r="FE145" i="61"/>
  <c r="EE145" i="61"/>
  <c r="FQ145" i="61"/>
  <c r="EC145" i="61"/>
  <c r="FO145" i="61"/>
  <c r="EH145" i="61"/>
  <c r="FT145" i="61"/>
  <c r="EB145" i="61"/>
  <c r="FN145" i="61"/>
  <c r="EO145" i="61"/>
  <c r="GA145" i="61"/>
  <c r="EM145" i="61"/>
  <c r="FY145" i="61"/>
  <c r="DU145" i="61"/>
  <c r="FG145" i="61"/>
  <c r="ED145" i="61"/>
  <c r="FP145" i="61"/>
  <c r="EN145" i="61"/>
  <c r="FZ145" i="61"/>
  <c r="DX145" i="61"/>
  <c r="FJ145" i="61"/>
  <c r="EU147" i="61"/>
  <c r="EV147" i="61" s="1"/>
  <c r="DL118" i="61"/>
  <c r="EB118" i="61"/>
  <c r="DM118" i="61"/>
  <c r="DQ118" i="61"/>
  <c r="DU118" i="61"/>
  <c r="DY118" i="61"/>
  <c r="EC118" i="61"/>
  <c r="EG118" i="61"/>
  <c r="DN118" i="61"/>
  <c r="DV118" i="61"/>
  <c r="ED118" i="61"/>
  <c r="DR118" i="61"/>
  <c r="DZ118" i="61"/>
  <c r="EH118" i="61"/>
  <c r="DO118" i="61"/>
  <c r="DS118" i="61"/>
  <c r="DW118" i="61"/>
  <c r="EA118" i="61"/>
  <c r="EE118" i="61"/>
  <c r="EI118" i="61"/>
  <c r="EP146" i="61" s="1"/>
  <c r="DP118" i="61"/>
  <c r="DT118" i="61"/>
  <c r="DX118" i="61"/>
  <c r="EF118" i="61"/>
  <c r="EU145" i="61"/>
  <c r="EV145" i="61" s="1"/>
  <c r="DK117" i="61"/>
  <c r="AI130" i="27"/>
  <c r="AI135" i="27"/>
  <c r="AI145" i="27"/>
  <c r="J144" i="27"/>
  <c r="N144" i="27" s="1"/>
  <c r="AQ144" i="27" s="1"/>
  <c r="J145" i="27"/>
  <c r="N145" i="27" s="1"/>
  <c r="AQ145" i="27" s="1"/>
  <c r="AE130" i="26"/>
  <c r="AI129" i="26" s="1"/>
  <c r="J149" i="27"/>
  <c r="N149" i="27" s="1"/>
  <c r="AQ149" i="27" s="1"/>
  <c r="J150" i="27"/>
  <c r="N150" i="27" s="1"/>
  <c r="AQ150" i="27" s="1"/>
  <c r="V138" i="26"/>
  <c r="T138" i="26"/>
  <c r="T143" i="26"/>
  <c r="V143" i="26"/>
  <c r="V148" i="26"/>
  <c r="T148" i="26"/>
  <c r="J139" i="27"/>
  <c r="N139" i="27" s="1"/>
  <c r="AQ139" i="27" s="1"/>
  <c r="J140" i="27"/>
  <c r="N140" i="27" s="1"/>
  <c r="AQ140" i="27" s="1"/>
  <c r="AG130" i="26"/>
  <c r="J124" i="26"/>
  <c r="N124" i="26" s="1"/>
  <c r="AQ124" i="26" s="1"/>
  <c r="J125" i="26"/>
  <c r="N125" i="26" s="1"/>
  <c r="AQ125" i="26" s="1"/>
  <c r="J129" i="27"/>
  <c r="N129" i="27" s="1"/>
  <c r="AQ129" i="27" s="1"/>
  <c r="J130" i="27"/>
  <c r="N130" i="27" s="1"/>
  <c r="AQ130" i="27" s="1"/>
  <c r="AE140" i="26"/>
  <c r="AI139" i="26" s="1"/>
  <c r="AG138" i="26"/>
  <c r="AG140" i="26" s="1"/>
  <c r="AG143" i="26"/>
  <c r="AG145" i="26" s="1"/>
  <c r="AE145" i="26"/>
  <c r="AI144" i="26" s="1"/>
  <c r="T133" i="26"/>
  <c r="V133" i="26"/>
  <c r="J132" i="26"/>
  <c r="F134" i="26"/>
  <c r="H134" i="26" s="1"/>
  <c r="J142" i="26"/>
  <c r="F144" i="26"/>
  <c r="H144" i="26" s="1"/>
  <c r="J147" i="26"/>
  <c r="F149" i="26"/>
  <c r="H149" i="26" s="1"/>
  <c r="AE150" i="26"/>
  <c r="AI149" i="26" s="1"/>
  <c r="AG148" i="26"/>
  <c r="AG150" i="26" s="1"/>
  <c r="J137" i="26"/>
  <c r="F139" i="26"/>
  <c r="H139" i="26" s="1"/>
  <c r="AI150" i="27"/>
  <c r="J135" i="27"/>
  <c r="N135" i="27" s="1"/>
  <c r="AQ135" i="27" s="1"/>
  <c r="J134" i="27"/>
  <c r="N134" i="27" s="1"/>
  <c r="AQ134" i="27" s="1"/>
  <c r="AR109" i="32"/>
  <c r="AT109" i="32" s="1"/>
  <c r="D20" i="32" s="1"/>
  <c r="Z114" i="32" s="1"/>
  <c r="AB114" i="32" s="1"/>
  <c r="AI140" i="27"/>
  <c r="AE135" i="26"/>
  <c r="AI134" i="26" s="1"/>
  <c r="AG133" i="26"/>
  <c r="AG135" i="26" s="1"/>
  <c r="V128" i="26"/>
  <c r="T128" i="26"/>
  <c r="F129" i="26"/>
  <c r="H129" i="26" s="1"/>
  <c r="J127" i="26"/>
  <c r="AV10" i="59"/>
  <c r="AX10" i="59" s="1"/>
  <c r="AR12" i="59" s="1"/>
  <c r="Z59" i="59"/>
  <c r="AB59" i="59" s="1"/>
  <c r="AM59" i="59"/>
  <c r="AO59" i="59" s="1"/>
  <c r="AU59" i="59" s="1"/>
  <c r="L65" i="59"/>
  <c r="N65" i="59" s="1"/>
  <c r="AS65" i="59" s="1"/>
  <c r="H37" i="58"/>
  <c r="C37" i="58"/>
  <c r="J36" i="58"/>
  <c r="I36" i="58"/>
  <c r="K40" i="58"/>
  <c r="F40" i="58"/>
  <c r="E40" i="58"/>
  <c r="L40" i="58"/>
  <c r="G40" i="58"/>
  <c r="B40" i="58"/>
  <c r="M39" i="58"/>
  <c r="D39" i="58"/>
  <c r="K38" i="58"/>
  <c r="F38" i="58"/>
  <c r="E38" i="58"/>
  <c r="D36" i="58"/>
  <c r="J40" i="58"/>
  <c r="I40" i="58"/>
  <c r="L39" i="58"/>
  <c r="G39" i="58"/>
  <c r="B39" i="58"/>
  <c r="M38" i="58"/>
  <c r="H39" i="58"/>
  <c r="C39" i="58"/>
  <c r="J38" i="58"/>
  <c r="I38" i="58"/>
  <c r="L37" i="58"/>
  <c r="G37" i="58"/>
  <c r="B37" i="58"/>
  <c r="M36" i="58"/>
  <c r="D40" i="58"/>
  <c r="K39" i="58"/>
  <c r="F39" i="58"/>
  <c r="E39" i="58"/>
  <c r="H38" i="58"/>
  <c r="C38" i="58"/>
  <c r="J37" i="58"/>
  <c r="I37" i="58"/>
  <c r="D38" i="58"/>
  <c r="K37" i="58"/>
  <c r="F37" i="58"/>
  <c r="E37" i="58"/>
  <c r="H36" i="58"/>
  <c r="C36" i="58"/>
  <c r="M40" i="58"/>
  <c r="L38" i="58"/>
  <c r="G38" i="58"/>
  <c r="B38" i="58"/>
  <c r="M37" i="58"/>
  <c r="D37" i="58"/>
  <c r="K36" i="58"/>
  <c r="F36" i="58"/>
  <c r="E36" i="58"/>
  <c r="L36" i="58"/>
  <c r="G36" i="58"/>
  <c r="B36" i="58"/>
  <c r="H40" i="58"/>
  <c r="C40" i="58"/>
  <c r="J39" i="58"/>
  <c r="I39" i="58"/>
  <c r="EH119" i="61"/>
  <c r="DR119" i="61"/>
  <c r="DY119" i="61"/>
  <c r="EF119" i="61"/>
  <c r="DP119" i="61"/>
  <c r="EA119" i="61"/>
  <c r="DK119" i="61"/>
  <c r="ED119" i="61"/>
  <c r="DN119" i="61"/>
  <c r="DU119" i="61"/>
  <c r="EB119" i="61"/>
  <c r="DL119" i="61"/>
  <c r="DW119" i="61"/>
  <c r="DZ119" i="61"/>
  <c r="EG119" i="61"/>
  <c r="DQ119" i="61"/>
  <c r="DX119" i="61"/>
  <c r="EI119" i="61"/>
  <c r="EP147" i="61" s="1"/>
  <c r="DS119" i="61"/>
  <c r="DV119" i="61"/>
  <c r="EC119" i="61"/>
  <c r="DM119" i="61"/>
  <c r="DT119" i="61"/>
  <c r="EE119" i="61"/>
  <c r="DO119" i="61"/>
  <c r="AJ21" i="19"/>
  <c r="AI23" i="19"/>
  <c r="AI19" i="19"/>
  <c r="AQ28" i="20"/>
  <c r="AM28" i="20" s="1"/>
  <c r="AR27" i="22"/>
  <c r="AT27" i="22" s="1"/>
  <c r="AU27" i="22" s="1"/>
  <c r="AJ23" i="53"/>
  <c r="AI22" i="19"/>
  <c r="AI17" i="19"/>
  <c r="AW25" i="22"/>
  <c r="AK26" i="53"/>
  <c r="AL26" i="53"/>
  <c r="AA21" i="11"/>
  <c r="AG21" i="11" s="1"/>
  <c r="Y20" i="11"/>
  <c r="X21" i="11" s="1"/>
  <c r="AA20" i="13"/>
  <c r="AG20" i="13" s="1"/>
  <c r="Y19" i="13"/>
  <c r="X20" i="13" s="1"/>
  <c r="AL27" i="53"/>
  <c r="AK27" i="53"/>
  <c r="AL6" i="53"/>
  <c r="AK6" i="53"/>
  <c r="AE1" i="18"/>
  <c r="AA27" i="6"/>
  <c r="AG27" i="6" s="1"/>
  <c r="Y26" i="6"/>
  <c r="X27" i="6" s="1"/>
  <c r="AQ26" i="20"/>
  <c r="AM26" i="20" s="1"/>
  <c r="AL25" i="19"/>
  <c r="AK25" i="19"/>
  <c r="AL8" i="19"/>
  <c r="AK8" i="19"/>
  <c r="AJ24" i="53"/>
  <c r="AI24" i="53"/>
  <c r="AR28" i="22"/>
  <c r="AT28" i="22" s="1"/>
  <c r="AU28" i="22" s="1"/>
  <c r="AW28" i="22"/>
  <c r="AJ24" i="19"/>
  <c r="AI24" i="19"/>
  <c r="F28" i="5"/>
  <c r="D29" i="5"/>
  <c r="AI21" i="53"/>
  <c r="AJ21" i="53"/>
  <c r="AQ27" i="21"/>
  <c r="AM27" i="21" s="1"/>
  <c r="AR24" i="22"/>
  <c r="AT24" i="22" s="1"/>
  <c r="AU24" i="22" s="1"/>
  <c r="AW24" i="22"/>
  <c r="H26" i="2"/>
  <c r="I26" i="2" s="1"/>
  <c r="D26" i="2"/>
  <c r="F26" i="2" s="1"/>
  <c r="G26" i="2" s="1"/>
  <c r="AV27" i="3"/>
  <c r="AK24" i="53"/>
  <c r="AL24" i="53"/>
  <c r="AK7" i="53"/>
  <c r="AL7" i="53"/>
  <c r="AL4" i="53"/>
  <c r="AK4" i="53"/>
  <c r="H25" i="1"/>
  <c r="I25" i="1" s="1"/>
  <c r="D25" i="1"/>
  <c r="F25" i="1" s="1"/>
  <c r="G25" i="1" s="1"/>
  <c r="AD1" i="16"/>
  <c r="AG17" i="16"/>
  <c r="X22" i="11"/>
  <c r="AI28" i="53"/>
  <c r="AJ28" i="53"/>
  <c r="AR26" i="22"/>
  <c r="AT26" i="22" s="1"/>
  <c r="AU26" i="22" s="1"/>
  <c r="AW26" i="22"/>
  <c r="AA24" i="9"/>
  <c r="AG24" i="9" s="1"/>
  <c r="Y23" i="9"/>
  <c r="X24" i="9" s="1"/>
  <c r="AL26" i="19"/>
  <c r="AK26" i="19"/>
  <c r="AK6" i="19"/>
  <c r="AL6" i="19"/>
  <c r="AA19" i="14"/>
  <c r="AG19" i="14" s="1"/>
  <c r="Y18" i="14"/>
  <c r="X19" i="14" s="1"/>
  <c r="AI19" i="53"/>
  <c r="AJ19" i="53"/>
  <c r="AK12" i="24"/>
  <c r="AQ12" i="24" s="1"/>
  <c r="AL12" i="24"/>
  <c r="AH13" i="24"/>
  <c r="AQ25" i="20"/>
  <c r="AM25" i="20" s="1"/>
  <c r="AV28" i="4"/>
  <c r="Y28" i="4"/>
  <c r="BG7" i="4"/>
  <c r="AA24" i="8"/>
  <c r="AG24" i="8" s="1"/>
  <c r="Y23" i="8"/>
  <c r="X24" i="8" s="1"/>
  <c r="X17" i="15"/>
  <c r="AA17" i="15"/>
  <c r="X16" i="15"/>
  <c r="AI25" i="53"/>
  <c r="AJ25" i="53"/>
  <c r="BB27" i="61"/>
  <c r="C27" i="27"/>
  <c r="B27" i="2"/>
  <c r="AP27" i="2"/>
  <c r="H27" i="3"/>
  <c r="I27" i="3" s="1"/>
  <c r="D27" i="3"/>
  <c r="F27" i="3" s="1"/>
  <c r="G27" i="3" s="1"/>
  <c r="AK28" i="53"/>
  <c r="AL28" i="53"/>
  <c r="AL25" i="53"/>
  <c r="AK25" i="53"/>
  <c r="AL8" i="53"/>
  <c r="AK8" i="53"/>
  <c r="AV25" i="1"/>
  <c r="AI17" i="53"/>
  <c r="AJ17" i="53"/>
  <c r="AU4" i="24"/>
  <c r="AT4" i="23"/>
  <c r="AR10" i="24"/>
  <c r="AW10" i="24"/>
  <c r="AA21" i="12"/>
  <c r="AG21" i="12" s="1"/>
  <c r="Y20" i="12"/>
  <c r="X21" i="12" s="1"/>
  <c r="AL28" i="19"/>
  <c r="AK28" i="19"/>
  <c r="AL5" i="19"/>
  <c r="AK5" i="19"/>
  <c r="AM11" i="24"/>
  <c r="AJ20" i="19"/>
  <c r="AI20" i="19"/>
  <c r="AJ27" i="19"/>
  <c r="AI27" i="19"/>
  <c r="AJ28" i="19"/>
  <c r="AI28" i="19"/>
  <c r="AQ25" i="21"/>
  <c r="AM25" i="21" s="1"/>
  <c r="H28" i="4"/>
  <c r="I28" i="4" s="1"/>
  <c r="I29" i="4" s="1"/>
  <c r="D28" i="4"/>
  <c r="S7" i="4"/>
  <c r="AI27" i="53"/>
  <c r="AJ27" i="53"/>
  <c r="AQ24" i="20"/>
  <c r="AM24" i="20" s="1"/>
  <c r="AV26" i="2"/>
  <c r="AH1" i="17"/>
  <c r="AW1" i="17"/>
  <c r="AP28" i="3"/>
  <c r="W34" i="61"/>
  <c r="C26" i="26"/>
  <c r="B28" i="3"/>
  <c r="AQ26" i="21"/>
  <c r="AM26" i="21" s="1"/>
  <c r="AL5" i="53"/>
  <c r="AK5" i="53"/>
  <c r="BC26" i="61"/>
  <c r="B26" i="1"/>
  <c r="C28" i="28"/>
  <c r="AP26" i="1"/>
  <c r="AJ26" i="53"/>
  <c r="AI26" i="53"/>
  <c r="AF17" i="18"/>
  <c r="AF18" i="18" s="1"/>
  <c r="AF19" i="18" s="1"/>
  <c r="AF20" i="18" s="1"/>
  <c r="AF21" i="18" s="1"/>
  <c r="AF22" i="18" s="1"/>
  <c r="AF23" i="18" s="1"/>
  <c r="AF24" i="18" s="1"/>
  <c r="AF25" i="18" s="1"/>
  <c r="AF26" i="18" s="1"/>
  <c r="AF27" i="18" s="1"/>
  <c r="AF28" i="18" s="1"/>
  <c r="AW1" i="18"/>
  <c r="AH1" i="18"/>
  <c r="AA28" i="5"/>
  <c r="AG28" i="5" s="1"/>
  <c r="Y27" i="5"/>
  <c r="X28" i="5" s="1"/>
  <c r="AL24" i="21"/>
  <c r="AK24" i="21"/>
  <c r="AQ24" i="21" s="1"/>
  <c r="AA23" i="10"/>
  <c r="AG23" i="10" s="1"/>
  <c r="Y22" i="10"/>
  <c r="X25" i="9"/>
  <c r="G28" i="6"/>
  <c r="G29" i="6" s="1"/>
  <c r="I38" i="6" s="1"/>
  <c r="F29" i="6"/>
  <c r="I36" i="6" s="1"/>
  <c r="AL24" i="19"/>
  <c r="AK24" i="19"/>
  <c r="AL27" i="19"/>
  <c r="AK27" i="19"/>
  <c r="AL7" i="19"/>
  <c r="AK7" i="19"/>
  <c r="AK4" i="19"/>
  <c r="AL4" i="19"/>
  <c r="X20" i="14"/>
  <c r="AJ22" i="53"/>
  <c r="AI22" i="53"/>
  <c r="AJ25" i="19"/>
  <c r="AI25" i="19"/>
  <c r="AJ26" i="19"/>
  <c r="AI26" i="19"/>
  <c r="X25" i="8"/>
  <c r="X18" i="15"/>
  <c r="AR12" i="23"/>
  <c r="AT12" i="23" s="1"/>
  <c r="AU12" i="23" s="1"/>
  <c r="AW12" i="23"/>
  <c r="AJ18" i="53"/>
  <c r="AI18" i="53"/>
  <c r="AE1" i="17"/>
  <c r="AA26" i="7"/>
  <c r="AG26" i="7" s="1"/>
  <c r="Y25" i="7"/>
  <c r="X26" i="7" s="1"/>
  <c r="AQ28" i="21"/>
  <c r="AM28" i="21" s="1"/>
  <c r="DB121" i="61" l="1"/>
  <c r="DD121" i="61" s="1"/>
  <c r="AT29" i="68"/>
  <c r="DA122" i="61"/>
  <c r="AS30" i="68"/>
  <c r="AK14" i="23"/>
  <c r="AQ14" i="23" s="1"/>
  <c r="AL14" i="23"/>
  <c r="BZ120" i="61"/>
  <c r="BV120" i="61"/>
  <c r="BR120" i="61"/>
  <c r="BN120" i="61"/>
  <c r="BJ120" i="61"/>
  <c r="BF120" i="61"/>
  <c r="CB120" i="61"/>
  <c r="BX120" i="61"/>
  <c r="BT120" i="61"/>
  <c r="BP120" i="61"/>
  <c r="BL120" i="61"/>
  <c r="BH120" i="61"/>
  <c r="CC120" i="61"/>
  <c r="BU120" i="61"/>
  <c r="BM120" i="61"/>
  <c r="BY120" i="61"/>
  <c r="BQ120" i="61"/>
  <c r="BI120" i="61"/>
  <c r="BG120" i="61"/>
  <c r="BS120" i="61"/>
  <c r="BO120" i="61"/>
  <c r="CA120" i="61"/>
  <c r="BK120" i="61"/>
  <c r="BW120" i="61"/>
  <c r="DG121" i="61"/>
  <c r="DF121" i="61"/>
  <c r="AW7" i="22"/>
  <c r="AW8" i="22"/>
  <c r="AL10" i="21"/>
  <c r="AW5" i="22"/>
  <c r="AH11" i="21"/>
  <c r="AK11" i="21" s="1"/>
  <c r="AQ11" i="21" s="1"/>
  <c r="AI9" i="19"/>
  <c r="AI9" i="53"/>
  <c r="AJ14" i="53"/>
  <c r="AQ28" i="19"/>
  <c r="AM28" i="19" s="1"/>
  <c r="AR28" i="19" s="1"/>
  <c r="AT28" i="19" s="1"/>
  <c r="AU28" i="19" s="1"/>
  <c r="AM10" i="22"/>
  <c r="AR10" i="22" s="1"/>
  <c r="AT10" i="22" s="1"/>
  <c r="AU10" i="22" s="1"/>
  <c r="AI13" i="53"/>
  <c r="AQ10" i="21"/>
  <c r="AW6" i="22"/>
  <c r="AR9" i="22"/>
  <c r="AT9" i="22" s="1"/>
  <c r="AU9" i="22" s="1"/>
  <c r="AW9" i="22"/>
  <c r="AJ9" i="19"/>
  <c r="AD16" i="18"/>
  <c r="AJ9" i="53"/>
  <c r="AM14" i="25"/>
  <c r="AR14" i="25" s="1"/>
  <c r="AT14" i="25" s="1"/>
  <c r="AU14" i="25" s="1"/>
  <c r="AL11" i="22"/>
  <c r="AK11" i="22"/>
  <c r="AQ11" i="22" s="1"/>
  <c r="AH12" i="22"/>
  <c r="AM4" i="20"/>
  <c r="AR4" i="20" s="1"/>
  <c r="AJ11" i="53"/>
  <c r="AM7" i="21"/>
  <c r="AR7" i="21" s="1"/>
  <c r="AT7" i="21" s="1"/>
  <c r="AU7" i="21" s="1"/>
  <c r="AR13" i="25"/>
  <c r="AT13" i="25" s="1"/>
  <c r="AU13" i="25" s="1"/>
  <c r="AW13" i="25"/>
  <c r="AL15" i="25"/>
  <c r="AK15" i="25"/>
  <c r="AQ15" i="25" s="1"/>
  <c r="AH16" i="25"/>
  <c r="AM6" i="21"/>
  <c r="AR6" i="21" s="1"/>
  <c r="AT6" i="21" s="1"/>
  <c r="AU6" i="21" s="1"/>
  <c r="AM7" i="20"/>
  <c r="AR7" i="20" s="1"/>
  <c r="AT7" i="20" s="1"/>
  <c r="AU7" i="20" s="1"/>
  <c r="AH11" i="20"/>
  <c r="AL10" i="20"/>
  <c r="AK10" i="20"/>
  <c r="AQ10" i="20" s="1"/>
  <c r="AL9" i="19"/>
  <c r="AK9" i="19"/>
  <c r="AB13" i="18"/>
  <c r="AI13" i="18" s="1"/>
  <c r="AH10" i="19"/>
  <c r="AH11" i="19" s="1"/>
  <c r="AI16" i="19"/>
  <c r="AJ16" i="19"/>
  <c r="AF16" i="17"/>
  <c r="AF17" i="17" s="1"/>
  <c r="AF18" i="17" s="1"/>
  <c r="AF19" i="17" s="1"/>
  <c r="AF20" i="17" s="1"/>
  <c r="AF21" i="17" s="1"/>
  <c r="AF22" i="17" s="1"/>
  <c r="AF23" i="17" s="1"/>
  <c r="AF24" i="17" s="1"/>
  <c r="AF25" i="17" s="1"/>
  <c r="AF26" i="17" s="1"/>
  <c r="AF27" i="17" s="1"/>
  <c r="AF28" i="17" s="1"/>
  <c r="AI1" i="17"/>
  <c r="AJ16" i="53"/>
  <c r="AI16" i="53"/>
  <c r="AM8" i="20"/>
  <c r="AR8" i="20" s="1"/>
  <c r="AT8" i="20" s="1"/>
  <c r="AU8" i="20" s="1"/>
  <c r="AB10" i="18"/>
  <c r="AI10" i="18" s="1"/>
  <c r="AM6" i="20"/>
  <c r="AW6" i="20" s="1"/>
  <c r="AI15" i="53"/>
  <c r="AB11" i="18"/>
  <c r="AJ11" i="18" s="1"/>
  <c r="AW4" i="22"/>
  <c r="AM8" i="21"/>
  <c r="AR8" i="21" s="1"/>
  <c r="AT8" i="21" s="1"/>
  <c r="AU8" i="21" s="1"/>
  <c r="AB12" i="18"/>
  <c r="AJ12" i="18" s="1"/>
  <c r="AL9" i="53"/>
  <c r="AH10" i="53"/>
  <c r="AL10" i="53" s="1"/>
  <c r="AK9" i="53"/>
  <c r="AM5" i="21"/>
  <c r="AR5" i="21" s="1"/>
  <c r="AT5" i="21" s="1"/>
  <c r="AU5" i="21" s="1"/>
  <c r="AB9" i="18"/>
  <c r="AI9" i="18" s="1"/>
  <c r="AM5" i="20"/>
  <c r="AW5" i="20" s="1"/>
  <c r="AM4" i="21"/>
  <c r="AR4" i="21" s="1"/>
  <c r="AB18" i="17"/>
  <c r="AI18" i="17" s="1"/>
  <c r="AJ8" i="19"/>
  <c r="AI8" i="19"/>
  <c r="AQ8" i="19" s="1"/>
  <c r="AJ4" i="19"/>
  <c r="AI4" i="19"/>
  <c r="AQ4" i="19" s="1"/>
  <c r="AJ4" i="53"/>
  <c r="AI4" i="53"/>
  <c r="AQ4" i="53" s="1"/>
  <c r="AJ13" i="19"/>
  <c r="AI13" i="19"/>
  <c r="AJ10" i="19"/>
  <c r="AI10" i="19"/>
  <c r="AB15" i="18"/>
  <c r="AD12" i="18"/>
  <c r="AD15" i="18"/>
  <c r="AD5" i="18"/>
  <c r="AB5" i="18" s="1"/>
  <c r="AD10" i="18"/>
  <c r="AD11" i="18"/>
  <c r="AD13" i="18"/>
  <c r="AD14" i="18"/>
  <c r="AD7" i="18"/>
  <c r="AB7" i="18" s="1"/>
  <c r="AD9" i="18"/>
  <c r="AD6" i="18"/>
  <c r="AB6" i="18" s="1"/>
  <c r="AD8" i="18"/>
  <c r="AB8" i="18" s="1"/>
  <c r="AD4" i="18"/>
  <c r="AB4" i="18" s="1"/>
  <c r="AG16" i="16"/>
  <c r="X1" i="16"/>
  <c r="AI5" i="19"/>
  <c r="AQ5" i="19" s="1"/>
  <c r="AJ5" i="19"/>
  <c r="Y1" i="17"/>
  <c r="AB13" i="17" s="1"/>
  <c r="AJ15" i="19"/>
  <c r="AI15" i="19"/>
  <c r="AI12" i="53"/>
  <c r="AJ12" i="53"/>
  <c r="AI11" i="19"/>
  <c r="AJ11" i="19"/>
  <c r="AI7" i="19"/>
  <c r="AQ7" i="19" s="1"/>
  <c r="AJ7" i="19"/>
  <c r="AJ14" i="19"/>
  <c r="AI14" i="19"/>
  <c r="AJ5" i="53"/>
  <c r="AI5" i="53"/>
  <c r="AQ5" i="53" s="1"/>
  <c r="AI14" i="18"/>
  <c r="AJ14" i="18"/>
  <c r="AJ6" i="19"/>
  <c r="AI6" i="19"/>
  <c r="AQ6" i="19" s="1"/>
  <c r="AJ8" i="53"/>
  <c r="AI8" i="53"/>
  <c r="AQ8" i="53" s="1"/>
  <c r="AJ6" i="53"/>
  <c r="AI6" i="53"/>
  <c r="AQ6" i="53" s="1"/>
  <c r="AJ7" i="53"/>
  <c r="AI7" i="53"/>
  <c r="AQ7" i="53" s="1"/>
  <c r="AG16" i="15"/>
  <c r="X1" i="15"/>
  <c r="AB16" i="18"/>
  <c r="ET144" i="61"/>
  <c r="K23" i="64"/>
  <c r="EY144" i="61"/>
  <c r="K22" i="64"/>
  <c r="EY143" i="61"/>
  <c r="ET143" i="61"/>
  <c r="ES143" i="61"/>
  <c r="H22" i="64" s="1"/>
  <c r="EL147" i="61"/>
  <c r="FX147" i="61"/>
  <c r="EC147" i="61"/>
  <c r="FO147" i="61"/>
  <c r="DX147" i="61"/>
  <c r="FJ147" i="61"/>
  <c r="DS147" i="61"/>
  <c r="FE147" i="61"/>
  <c r="EK147" i="61"/>
  <c r="FW147" i="61"/>
  <c r="EM147" i="61"/>
  <c r="FY147" i="61"/>
  <c r="DW146" i="61"/>
  <c r="FI146" i="61"/>
  <c r="ED146" i="61"/>
  <c r="FP146" i="61"/>
  <c r="EG146" i="61"/>
  <c r="FS146" i="61"/>
  <c r="DU146" i="61"/>
  <c r="FG146" i="61"/>
  <c r="EB146" i="61"/>
  <c r="FN146" i="61"/>
  <c r="EA147" i="61"/>
  <c r="FM147" i="61"/>
  <c r="DZ147" i="61"/>
  <c r="FL147" i="61"/>
  <c r="EN147" i="61"/>
  <c r="FZ147" i="61"/>
  <c r="EI147" i="61"/>
  <c r="FU147" i="61"/>
  <c r="DR147" i="61"/>
  <c r="FD147" i="61"/>
  <c r="EF147" i="61"/>
  <c r="FR147" i="61"/>
  <c r="EM146" i="61"/>
  <c r="FY146" i="61"/>
  <c r="GB146" i="61"/>
  <c r="DZ146" i="61"/>
  <c r="FL146" i="61"/>
  <c r="DY146" i="61"/>
  <c r="FK146" i="61"/>
  <c r="EN146" i="61"/>
  <c r="FZ146" i="61"/>
  <c r="DX146" i="61"/>
  <c r="FJ146" i="61"/>
  <c r="DS146" i="61"/>
  <c r="FE146" i="61"/>
  <c r="DT147" i="61"/>
  <c r="FF147" i="61"/>
  <c r="GB147" i="61"/>
  <c r="EG147" i="61"/>
  <c r="FS147" i="61"/>
  <c r="EB147" i="61"/>
  <c r="FN147" i="61"/>
  <c r="EH147" i="61"/>
  <c r="FT147" i="61"/>
  <c r="DY147" i="61"/>
  <c r="FK147" i="61"/>
  <c r="DR145" i="61"/>
  <c r="EZ145" i="61" s="1"/>
  <c r="FD145" i="61"/>
  <c r="GE145" i="61" s="1"/>
  <c r="L24" i="64" s="1"/>
  <c r="EE146" i="61"/>
  <c r="FQ146" i="61"/>
  <c r="EL146" i="61"/>
  <c r="FX146" i="61"/>
  <c r="DV146" i="61"/>
  <c r="FH146" i="61"/>
  <c r="EK146" i="61"/>
  <c r="FW146" i="61"/>
  <c r="EJ146" i="61"/>
  <c r="FV146" i="61"/>
  <c r="DT146" i="61"/>
  <c r="FF146" i="61"/>
  <c r="DV147" i="61"/>
  <c r="FH147" i="61"/>
  <c r="EJ147" i="61"/>
  <c r="FV147" i="61"/>
  <c r="EE147" i="61"/>
  <c r="FQ147" i="61"/>
  <c r="ED147" i="61"/>
  <c r="FP147" i="61"/>
  <c r="DU147" i="61"/>
  <c r="FG147" i="61"/>
  <c r="DW147" i="61"/>
  <c r="FI147" i="61"/>
  <c r="EO147" i="61"/>
  <c r="GA147" i="61"/>
  <c r="EA146" i="61"/>
  <c r="FM146" i="61"/>
  <c r="EH146" i="61"/>
  <c r="FT146" i="61"/>
  <c r="EO146" i="61"/>
  <c r="GA146" i="61"/>
  <c r="EC146" i="61"/>
  <c r="FO146" i="61"/>
  <c r="EF146" i="61"/>
  <c r="FR146" i="61"/>
  <c r="EI146" i="61"/>
  <c r="FU146" i="61"/>
  <c r="AI130" i="26"/>
  <c r="EU148" i="61"/>
  <c r="EV148" i="61" s="1"/>
  <c r="EU146" i="61"/>
  <c r="EV146" i="61" s="1"/>
  <c r="DK118" i="61"/>
  <c r="AI150" i="26"/>
  <c r="AK114" i="32"/>
  <c r="AM114" i="32" s="1"/>
  <c r="AS114" i="32" s="1"/>
  <c r="L119" i="32"/>
  <c r="N119" i="32" s="1"/>
  <c r="AQ119" i="32" s="1"/>
  <c r="L120" i="32"/>
  <c r="N120" i="32" s="1"/>
  <c r="AQ120" i="32" s="1"/>
  <c r="AK115" i="32"/>
  <c r="AM115" i="32" s="1"/>
  <c r="AS115" i="32" s="1"/>
  <c r="Z115" i="32"/>
  <c r="AB115" i="32" s="1"/>
  <c r="AR115" i="32" s="1"/>
  <c r="AI145" i="26"/>
  <c r="J130" i="26"/>
  <c r="N130" i="26" s="1"/>
  <c r="AQ130" i="26" s="1"/>
  <c r="J129" i="26"/>
  <c r="N129" i="26" s="1"/>
  <c r="AQ129" i="26" s="1"/>
  <c r="AI135" i="26"/>
  <c r="J144" i="26"/>
  <c r="N144" i="26" s="1"/>
  <c r="AQ144" i="26" s="1"/>
  <c r="J145" i="26"/>
  <c r="N145" i="26" s="1"/>
  <c r="AQ145" i="26" s="1"/>
  <c r="AI140" i="26"/>
  <c r="J139" i="26"/>
  <c r="N139" i="26" s="1"/>
  <c r="AQ139" i="26" s="1"/>
  <c r="J140" i="26"/>
  <c r="N140" i="26" s="1"/>
  <c r="AQ140" i="26" s="1"/>
  <c r="J149" i="26"/>
  <c r="N149" i="26" s="1"/>
  <c r="AQ149" i="26" s="1"/>
  <c r="J150" i="26"/>
  <c r="N150" i="26" s="1"/>
  <c r="AQ150" i="26" s="1"/>
  <c r="J134" i="26"/>
  <c r="N134" i="26" s="1"/>
  <c r="AQ134" i="26" s="1"/>
  <c r="J135" i="26"/>
  <c r="N135" i="26" s="1"/>
  <c r="AQ135" i="26" s="1"/>
  <c r="AR9" i="20"/>
  <c r="AT9" i="20" s="1"/>
  <c r="AU9" i="20" s="1"/>
  <c r="AR13" i="59"/>
  <c r="AT60" i="59"/>
  <c r="AV60" i="59" s="1"/>
  <c r="E9" i="59" s="1"/>
  <c r="AT59" i="59"/>
  <c r="EG120" i="61"/>
  <c r="DQ120" i="61"/>
  <c r="DX120" i="61"/>
  <c r="EI120" i="61"/>
  <c r="EP148" i="61" s="1"/>
  <c r="DS120" i="61"/>
  <c r="ED120" i="61"/>
  <c r="DN120" i="61"/>
  <c r="EC120" i="61"/>
  <c r="DM120" i="61"/>
  <c r="DT120" i="61"/>
  <c r="EE120" i="61"/>
  <c r="DO120" i="61"/>
  <c r="DZ120" i="61"/>
  <c r="DY120" i="61"/>
  <c r="EF120" i="61"/>
  <c r="DP120" i="61"/>
  <c r="EA120" i="61"/>
  <c r="DK120" i="61"/>
  <c r="DV120" i="61"/>
  <c r="DU120" i="61"/>
  <c r="EB120" i="61"/>
  <c r="DL120" i="61"/>
  <c r="DW120" i="61"/>
  <c r="EH120" i="61"/>
  <c r="DR120" i="61"/>
  <c r="AQ27" i="53"/>
  <c r="AM27" i="53" s="1"/>
  <c r="AR9" i="21"/>
  <c r="AT9" i="21" s="1"/>
  <c r="AU9" i="21" s="1"/>
  <c r="AQ25" i="19"/>
  <c r="AM25" i="19" s="1"/>
  <c r="AQ26" i="19"/>
  <c r="AM26" i="19" s="1"/>
  <c r="AQ26" i="53"/>
  <c r="AM26" i="53" s="1"/>
  <c r="AB20" i="17"/>
  <c r="AI20" i="17" s="1"/>
  <c r="AM24" i="21"/>
  <c r="AR24" i="21" s="1"/>
  <c r="AT24" i="21" s="1"/>
  <c r="AU24" i="21" s="1"/>
  <c r="AW27" i="20"/>
  <c r="AL15" i="23"/>
  <c r="AK15" i="23"/>
  <c r="AQ15" i="23" s="1"/>
  <c r="AH16" i="23"/>
  <c r="AD25" i="17"/>
  <c r="AB25" i="17" s="1"/>
  <c r="AD27" i="17"/>
  <c r="AB27" i="17" s="1"/>
  <c r="AD28" i="17"/>
  <c r="AB28" i="17" s="1"/>
  <c r="AD17" i="17"/>
  <c r="AD26" i="17"/>
  <c r="AB26" i="17" s="1"/>
  <c r="AD24" i="17"/>
  <c r="AB24" i="17" s="1"/>
  <c r="AH24" i="17" s="1"/>
  <c r="AD19" i="17"/>
  <c r="AD20" i="17"/>
  <c r="AD18" i="17"/>
  <c r="AD21" i="17"/>
  <c r="AD23" i="17"/>
  <c r="AD22" i="17"/>
  <c r="AB22" i="17"/>
  <c r="AB19" i="17"/>
  <c r="AR28" i="21"/>
  <c r="AT28" i="21" s="1"/>
  <c r="AU28" i="21" s="1"/>
  <c r="AW28" i="21"/>
  <c r="AB21" i="17"/>
  <c r="AB17" i="17"/>
  <c r="AA27" i="5"/>
  <c r="AG27" i="5" s="1"/>
  <c r="Y26" i="5"/>
  <c r="X27" i="5" s="1"/>
  <c r="BC27" i="61"/>
  <c r="AT30" i="68" s="1"/>
  <c r="C28" i="27"/>
  <c r="B27" i="1"/>
  <c r="AP27" i="1"/>
  <c r="AR26" i="21"/>
  <c r="AT26" i="21" s="1"/>
  <c r="AU26" i="21" s="1"/>
  <c r="AW26" i="21"/>
  <c r="H28" i="3"/>
  <c r="I28" i="3" s="1"/>
  <c r="I29" i="3" s="1"/>
  <c r="D28" i="3"/>
  <c r="S7" i="3"/>
  <c r="AR25" i="21"/>
  <c r="AT25" i="21" s="1"/>
  <c r="AU25" i="21" s="1"/>
  <c r="AW25" i="21"/>
  <c r="AT10" i="24"/>
  <c r="AV27" i="2"/>
  <c r="AD1" i="15"/>
  <c r="AG17" i="15"/>
  <c r="AM12" i="24"/>
  <c r="AA23" i="9"/>
  <c r="AG23" i="9" s="1"/>
  <c r="Y22" i="9"/>
  <c r="X23" i="9" s="1"/>
  <c r="AH1" i="16"/>
  <c r="AW1" i="16"/>
  <c r="AR13" i="23"/>
  <c r="AT13" i="23" s="1"/>
  <c r="AU13" i="23" s="1"/>
  <c r="AW13" i="23"/>
  <c r="G28" i="5"/>
  <c r="G29" i="5" s="1"/>
  <c r="F29" i="5"/>
  <c r="AQ24" i="53"/>
  <c r="AM24" i="53" s="1"/>
  <c r="AR26" i="20"/>
  <c r="AT26" i="20" s="1"/>
  <c r="AU26" i="20" s="1"/>
  <c r="AW26" i="20"/>
  <c r="AT4" i="22"/>
  <c r="AB19" i="18"/>
  <c r="AB23" i="18"/>
  <c r="AA22" i="10"/>
  <c r="AG22" i="10" s="1"/>
  <c r="Y21" i="10"/>
  <c r="X22" i="10" s="1"/>
  <c r="AV26" i="1"/>
  <c r="H27" i="2"/>
  <c r="I27" i="2" s="1"/>
  <c r="D27" i="2"/>
  <c r="F27" i="2" s="1"/>
  <c r="G27" i="2" s="1"/>
  <c r="AQ25" i="53"/>
  <c r="AM25" i="53" s="1"/>
  <c r="AR25" i="20"/>
  <c r="AT25" i="20" s="1"/>
  <c r="AU25" i="20" s="1"/>
  <c r="AW25" i="20"/>
  <c r="AE1" i="16"/>
  <c r="AB18" i="18"/>
  <c r="AB20" i="18"/>
  <c r="AA25" i="7"/>
  <c r="AG25" i="7" s="1"/>
  <c r="Y24" i="7"/>
  <c r="AB23" i="17"/>
  <c r="F28" i="4"/>
  <c r="D29" i="4"/>
  <c r="AU4" i="23"/>
  <c r="AA23" i="8"/>
  <c r="AG23" i="8" s="1"/>
  <c r="Y22" i="8"/>
  <c r="AA28" i="4"/>
  <c r="AG28" i="4" s="1"/>
  <c r="Y27" i="4"/>
  <c r="X28" i="4" s="1"/>
  <c r="AL13" i="24"/>
  <c r="AK13" i="24"/>
  <c r="AQ13" i="24" s="1"/>
  <c r="AH14" i="24"/>
  <c r="AQ28" i="53"/>
  <c r="AM28" i="53" s="1"/>
  <c r="AR27" i="21"/>
  <c r="AT27" i="21" s="1"/>
  <c r="AU27" i="21" s="1"/>
  <c r="AW27" i="21"/>
  <c r="AA26" i="6"/>
  <c r="AG26" i="6" s="1"/>
  <c r="Y25" i="6"/>
  <c r="AB17" i="18"/>
  <c r="AA20" i="11"/>
  <c r="AG20" i="11" s="1"/>
  <c r="Y19" i="11"/>
  <c r="X20" i="11" s="1"/>
  <c r="X23" i="10"/>
  <c r="AH5" i="18"/>
  <c r="AH4" i="18"/>
  <c r="AH7" i="18"/>
  <c r="AH8" i="18"/>
  <c r="AH6" i="18"/>
  <c r="AH28" i="18"/>
  <c r="AH27" i="18"/>
  <c r="AH26" i="18"/>
  <c r="AH25" i="18"/>
  <c r="AL11" i="21"/>
  <c r="H26" i="1"/>
  <c r="I26" i="1" s="1"/>
  <c r="D26" i="1"/>
  <c r="F26" i="1" s="1"/>
  <c r="G26" i="1" s="1"/>
  <c r="AV28" i="3"/>
  <c r="Y28" i="3"/>
  <c r="BG7" i="3"/>
  <c r="AH4" i="17"/>
  <c r="AH5" i="17"/>
  <c r="AH6" i="17"/>
  <c r="AH7" i="17"/>
  <c r="AH8" i="17"/>
  <c r="AH28" i="17"/>
  <c r="AH27" i="17"/>
  <c r="AH26" i="17"/>
  <c r="AH25" i="17"/>
  <c r="AR24" i="20"/>
  <c r="AT24" i="20" s="1"/>
  <c r="AU24" i="20" s="1"/>
  <c r="AW24" i="20"/>
  <c r="AQ27" i="19"/>
  <c r="AM27" i="19" s="1"/>
  <c r="AR11" i="24"/>
  <c r="AT11" i="24" s="1"/>
  <c r="AU11" i="24" s="1"/>
  <c r="AW11" i="24"/>
  <c r="AR28" i="20"/>
  <c r="AT28" i="20" s="1"/>
  <c r="AU28" i="20" s="1"/>
  <c r="AW28" i="20"/>
  <c r="AA20" i="12"/>
  <c r="AG20" i="12" s="1"/>
  <c r="Y19" i="12"/>
  <c r="X20" i="12" s="1"/>
  <c r="C27" i="26"/>
  <c r="AP28" i="2"/>
  <c r="X34" i="61"/>
  <c r="B28" i="2"/>
  <c r="AA18" i="14"/>
  <c r="AG18" i="14" s="1"/>
  <c r="Y17" i="14"/>
  <c r="Y16" i="14" s="1"/>
  <c r="AQ24" i="19"/>
  <c r="AM24" i="19" s="1"/>
  <c r="AD17" i="18"/>
  <c r="AD28" i="18"/>
  <c r="AB28" i="18" s="1"/>
  <c r="AD27" i="18"/>
  <c r="AB27" i="18" s="1"/>
  <c r="AD21" i="18"/>
  <c r="AD26" i="18"/>
  <c r="AB26" i="18" s="1"/>
  <c r="AD24" i="18"/>
  <c r="AB24" i="18" s="1"/>
  <c r="AD20" i="18"/>
  <c r="AD18" i="18"/>
  <c r="AD19" i="18"/>
  <c r="AD22" i="18"/>
  <c r="AD25" i="18"/>
  <c r="AB25" i="18" s="1"/>
  <c r="AD23" i="18"/>
  <c r="AB22" i="18"/>
  <c r="AB21" i="18"/>
  <c r="AA19" i="13"/>
  <c r="AG19" i="13" s="1"/>
  <c r="Y18" i="13"/>
  <c r="AM14" i="23" l="1"/>
  <c r="AJ9" i="18"/>
  <c r="BZ121" i="61"/>
  <c r="BV121" i="61"/>
  <c r="BR121" i="61"/>
  <c r="BN121" i="61"/>
  <c r="DT121" i="61" s="1"/>
  <c r="BJ121" i="61"/>
  <c r="BF121" i="61"/>
  <c r="CB121" i="61"/>
  <c r="BX121" i="61"/>
  <c r="ED121" i="61" s="1"/>
  <c r="BT121" i="61"/>
  <c r="BP121" i="61"/>
  <c r="BL121" i="61"/>
  <c r="BH121" i="61"/>
  <c r="CC121" i="61"/>
  <c r="BU121" i="61"/>
  <c r="BM121" i="61"/>
  <c r="BY121" i="61"/>
  <c r="EE121" i="61" s="1"/>
  <c r="BQ121" i="61"/>
  <c r="BI121" i="61"/>
  <c r="BO121" i="61"/>
  <c r="CA121" i="61"/>
  <c r="EG121" i="61" s="1"/>
  <c r="BK121" i="61"/>
  <c r="BG121" i="61"/>
  <c r="BW121" i="61"/>
  <c r="BS121" i="61"/>
  <c r="DY121" i="61" s="1"/>
  <c r="AW4" i="21"/>
  <c r="AH12" i="21"/>
  <c r="AL12" i="21" s="1"/>
  <c r="AW7" i="21"/>
  <c r="AM10" i="21"/>
  <c r="AW10" i="21" s="1"/>
  <c r="AQ9" i="53"/>
  <c r="AM9" i="53" s="1"/>
  <c r="AW7" i="20"/>
  <c r="AJ18" i="17"/>
  <c r="AW5" i="21"/>
  <c r="AQ9" i="19"/>
  <c r="AM9" i="19" s="1"/>
  <c r="AK10" i="53"/>
  <c r="AQ10" i="53" s="1"/>
  <c r="AM10" i="53" s="1"/>
  <c r="AR114" i="32"/>
  <c r="AT114" i="32" s="1"/>
  <c r="D21" i="32" s="1"/>
  <c r="AK119" i="32" s="1"/>
  <c r="AM119" i="32" s="1"/>
  <c r="AS119" i="32" s="1"/>
  <c r="AT119" i="32" s="1"/>
  <c r="D22" i="32" s="1"/>
  <c r="AK124" i="32" s="1"/>
  <c r="AM124" i="32" s="1"/>
  <c r="AS124" i="32" s="1"/>
  <c r="AT124" i="32" s="1"/>
  <c r="D23" i="32" s="1"/>
  <c r="AK129" i="32" s="1"/>
  <c r="AM129" i="32" s="1"/>
  <c r="AS129" i="32" s="1"/>
  <c r="AT129" i="32" s="1"/>
  <c r="D24" i="32" s="1"/>
  <c r="AW8" i="21"/>
  <c r="AR6" i="20"/>
  <c r="AT6" i="20" s="1"/>
  <c r="AU6" i="20" s="1"/>
  <c r="AW10" i="22"/>
  <c r="AW4" i="20"/>
  <c r="AR5" i="20"/>
  <c r="AT5" i="20" s="1"/>
  <c r="AU5" i="20" s="1"/>
  <c r="AH11" i="53"/>
  <c r="AL11" i="53" s="1"/>
  <c r="AW6" i="21"/>
  <c r="AH9" i="18"/>
  <c r="AH10" i="18" s="1"/>
  <c r="AK10" i="18" s="1"/>
  <c r="AQ10" i="18" s="1"/>
  <c r="AW8" i="20"/>
  <c r="AJ13" i="18"/>
  <c r="AW14" i="25"/>
  <c r="AJ10" i="18"/>
  <c r="AK12" i="22"/>
  <c r="AQ12" i="22" s="1"/>
  <c r="AH13" i="22"/>
  <c r="AL12" i="22"/>
  <c r="AM11" i="22"/>
  <c r="AM15" i="25"/>
  <c r="AK16" i="25"/>
  <c r="AQ16" i="25" s="1"/>
  <c r="AL16" i="25"/>
  <c r="AH17" i="25"/>
  <c r="AM4" i="53"/>
  <c r="AR4" i="53" s="1"/>
  <c r="AM8" i="19"/>
  <c r="AR8" i="19" s="1"/>
  <c r="AT8" i="19" s="1"/>
  <c r="AU8" i="19" s="1"/>
  <c r="AM10" i="20"/>
  <c r="AR10" i="20" s="1"/>
  <c r="AT10" i="20" s="1"/>
  <c r="AU10" i="20" s="1"/>
  <c r="AI12" i="18"/>
  <c r="AK10" i="19"/>
  <c r="AQ10" i="19" s="1"/>
  <c r="AL10" i="19"/>
  <c r="AL11" i="20"/>
  <c r="AK11" i="20"/>
  <c r="AQ11" i="20" s="1"/>
  <c r="AH12" i="20"/>
  <c r="AB16" i="17"/>
  <c r="AJ16" i="17" s="1"/>
  <c r="AD16" i="17"/>
  <c r="AI11" i="18"/>
  <c r="AF16" i="15"/>
  <c r="AI1" i="15"/>
  <c r="AF16" i="16"/>
  <c r="AF17" i="16" s="1"/>
  <c r="AF18" i="16" s="1"/>
  <c r="AF19" i="16" s="1"/>
  <c r="AF20" i="16" s="1"/>
  <c r="AF21" i="16" s="1"/>
  <c r="AF22" i="16" s="1"/>
  <c r="AF23" i="16" s="1"/>
  <c r="AF24" i="16" s="1"/>
  <c r="AF25" i="16" s="1"/>
  <c r="AF26" i="16" s="1"/>
  <c r="AF27" i="16" s="1"/>
  <c r="AF28" i="16" s="1"/>
  <c r="AI1" i="16"/>
  <c r="AB10" i="17"/>
  <c r="AJ10" i="17" s="1"/>
  <c r="AM4" i="19"/>
  <c r="AR4" i="19" s="1"/>
  <c r="AM5" i="53"/>
  <c r="AR5" i="53" s="1"/>
  <c r="AT5" i="53" s="1"/>
  <c r="AU5" i="53" s="1"/>
  <c r="AM7" i="19"/>
  <c r="AR7" i="19" s="1"/>
  <c r="AT7" i="19" s="1"/>
  <c r="AU7" i="19" s="1"/>
  <c r="AM6" i="19"/>
  <c r="AW6" i="19" s="1"/>
  <c r="AM7" i="53"/>
  <c r="AR7" i="53" s="1"/>
  <c r="AT7" i="53" s="1"/>
  <c r="AU7" i="53" s="1"/>
  <c r="AM8" i="53"/>
  <c r="AR8" i="53" s="1"/>
  <c r="AT8" i="53" s="1"/>
  <c r="AU8" i="53" s="1"/>
  <c r="AM6" i="53"/>
  <c r="AW6" i="53" s="1"/>
  <c r="AM5" i="19"/>
  <c r="AW5" i="19" s="1"/>
  <c r="AK11" i="19"/>
  <c r="AQ11" i="19" s="1"/>
  <c r="AH12" i="19"/>
  <c r="AL11" i="19"/>
  <c r="AJ13" i="17"/>
  <c r="AI13" i="17"/>
  <c r="Y1" i="15"/>
  <c r="AB13" i="15" s="1"/>
  <c r="AB14" i="17"/>
  <c r="Y1" i="16"/>
  <c r="AB13" i="16" s="1"/>
  <c r="AA16" i="14"/>
  <c r="X15" i="14"/>
  <c r="AB12" i="17"/>
  <c r="AD6" i="17"/>
  <c r="AB6" i="17" s="1"/>
  <c r="AD8" i="17"/>
  <c r="AB8" i="17" s="1"/>
  <c r="AD5" i="17"/>
  <c r="AB5" i="17" s="1"/>
  <c r="AD4" i="17"/>
  <c r="AB4" i="17" s="1"/>
  <c r="AD13" i="17"/>
  <c r="AD14" i="17"/>
  <c r="AD12" i="17"/>
  <c r="AD10" i="17"/>
  <c r="AD9" i="17"/>
  <c r="AD15" i="17"/>
  <c r="AD7" i="17"/>
  <c r="AB7" i="17" s="1"/>
  <c r="AD11" i="17"/>
  <c r="AJ4" i="18"/>
  <c r="AI4" i="18"/>
  <c r="AI7" i="18"/>
  <c r="AJ7" i="18"/>
  <c r="AJ15" i="18"/>
  <c r="AI15" i="18"/>
  <c r="AB9" i="17"/>
  <c r="AH9" i="17" s="1"/>
  <c r="AJ8" i="18"/>
  <c r="AI8" i="18"/>
  <c r="AI5" i="18"/>
  <c r="AJ5" i="18"/>
  <c r="AB18" i="16"/>
  <c r="AJ18" i="16" s="1"/>
  <c r="AD16" i="16"/>
  <c r="AI16" i="18"/>
  <c r="AJ16" i="18"/>
  <c r="AB15" i="17"/>
  <c r="AB11" i="17"/>
  <c r="AI6" i="18"/>
  <c r="AJ6" i="18"/>
  <c r="GH147" i="61"/>
  <c r="N26" i="64" s="1"/>
  <c r="GH145" i="61"/>
  <c r="N24" i="64" s="1"/>
  <c r="ER147" i="61"/>
  <c r="ET147" i="61" s="1"/>
  <c r="GE147" i="61"/>
  <c r="L26" i="64" s="1"/>
  <c r="GC147" i="61"/>
  <c r="GD147" i="61" s="1"/>
  <c r="EZ147" i="61"/>
  <c r="GC145" i="61"/>
  <c r="GD145" i="61" s="1"/>
  <c r="ER145" i="61"/>
  <c r="EO148" i="61"/>
  <c r="GA148" i="61"/>
  <c r="EB148" i="61"/>
  <c r="FN148" i="61"/>
  <c r="DW148" i="61"/>
  <c r="FI148" i="61"/>
  <c r="DV148" i="61"/>
  <c r="FH148" i="61"/>
  <c r="EJ148" i="61"/>
  <c r="FV148" i="61"/>
  <c r="GB148" i="61"/>
  <c r="ED148" i="61"/>
  <c r="FP148" i="61"/>
  <c r="EC148" i="61"/>
  <c r="FO148" i="61"/>
  <c r="EM148" i="61"/>
  <c r="FY148" i="61"/>
  <c r="EL148" i="61"/>
  <c r="FX148" i="61"/>
  <c r="DU148" i="61"/>
  <c r="FG148" i="61"/>
  <c r="EE148" i="61"/>
  <c r="FQ148" i="61"/>
  <c r="DR146" i="61"/>
  <c r="EZ146" i="61" s="1"/>
  <c r="FD146" i="61"/>
  <c r="GE146" i="61" s="1"/>
  <c r="L25" i="64" s="1"/>
  <c r="DS148" i="61"/>
  <c r="FE148" i="61"/>
  <c r="DR148" i="61"/>
  <c r="FD148" i="61"/>
  <c r="EF148" i="61"/>
  <c r="FR148" i="61"/>
  <c r="EA148" i="61"/>
  <c r="FM148" i="61"/>
  <c r="EK148" i="61"/>
  <c r="FW148" i="61"/>
  <c r="DX148" i="61"/>
  <c r="FJ148" i="61"/>
  <c r="DY148" i="61"/>
  <c r="FK148" i="61"/>
  <c r="EI148" i="61"/>
  <c r="FU148" i="61"/>
  <c r="EH148" i="61"/>
  <c r="FT148" i="61"/>
  <c r="EG148" i="61"/>
  <c r="FS148" i="61"/>
  <c r="DT148" i="61"/>
  <c r="FF148" i="61"/>
  <c r="DZ148" i="61"/>
  <c r="FL148" i="61"/>
  <c r="EN148" i="61"/>
  <c r="FZ148" i="61"/>
  <c r="AT115" i="32"/>
  <c r="E21" i="32" s="1"/>
  <c r="AK120" i="32" s="1"/>
  <c r="AM120" i="32" s="1"/>
  <c r="AS120" i="32" s="1"/>
  <c r="AT120" i="32" s="1"/>
  <c r="E22" i="32" s="1"/>
  <c r="AK125" i="32" s="1"/>
  <c r="AM125" i="32" s="1"/>
  <c r="AS125" i="32" s="1"/>
  <c r="AT125" i="32" s="1"/>
  <c r="E23" i="32" s="1"/>
  <c r="AK130" i="32" s="1"/>
  <c r="AM130" i="32" s="1"/>
  <c r="AS130" i="32" s="1"/>
  <c r="AT130" i="32" s="1"/>
  <c r="E25" i="32" s="1"/>
  <c r="DB122" i="61"/>
  <c r="DD122" i="61" s="1"/>
  <c r="D460" i="66"/>
  <c r="D27" i="32"/>
  <c r="AR59" i="59"/>
  <c r="AV59" i="59" s="1"/>
  <c r="L72" i="59"/>
  <c r="N72" i="59" s="1"/>
  <c r="AS72" i="59" s="1"/>
  <c r="AM66" i="59"/>
  <c r="AO66" i="59" s="1"/>
  <c r="AU66" i="59" s="1"/>
  <c r="Z66" i="59"/>
  <c r="AB66" i="59" s="1"/>
  <c r="DX121" i="61"/>
  <c r="EI121" i="61"/>
  <c r="EP149" i="61" s="1"/>
  <c r="DS121" i="61"/>
  <c r="DU121" i="61"/>
  <c r="DO121" i="61"/>
  <c r="DZ121" i="61"/>
  <c r="DQ121" i="61"/>
  <c r="EF121" i="61"/>
  <c r="DP121" i="61"/>
  <c r="EA121" i="61"/>
  <c r="DK121" i="61"/>
  <c r="DV121" i="61"/>
  <c r="EC121" i="61"/>
  <c r="DM121" i="61"/>
  <c r="EB121" i="61"/>
  <c r="DL121" i="61"/>
  <c r="DW121" i="61"/>
  <c r="EH121" i="61"/>
  <c r="DR121" i="61"/>
  <c r="AJ20" i="17"/>
  <c r="AW28" i="19"/>
  <c r="AW24" i="21"/>
  <c r="AM11" i="21"/>
  <c r="AR11" i="21" s="1"/>
  <c r="AT11" i="21" s="1"/>
  <c r="AU11" i="21" s="1"/>
  <c r="AM15" i="23"/>
  <c r="AW15" i="23" s="1"/>
  <c r="AB17" i="16"/>
  <c r="AI17" i="16" s="1"/>
  <c r="AB19" i="16"/>
  <c r="AI19" i="16" s="1"/>
  <c r="AB23" i="16"/>
  <c r="AI23" i="16" s="1"/>
  <c r="AM13" i="24"/>
  <c r="AW13" i="24" s="1"/>
  <c r="AJ25" i="18"/>
  <c r="AI25" i="18"/>
  <c r="AI24" i="18"/>
  <c r="AJ24" i="18"/>
  <c r="AH24" i="18"/>
  <c r="AI28" i="18"/>
  <c r="AJ28" i="18"/>
  <c r="AI26" i="18"/>
  <c r="AJ26" i="18"/>
  <c r="AJ21" i="18"/>
  <c r="AI21" i="18"/>
  <c r="X17" i="14"/>
  <c r="AA17" i="14"/>
  <c r="X16" i="14"/>
  <c r="AV28" i="2"/>
  <c r="Y28" i="2"/>
  <c r="Y27" i="2" s="1"/>
  <c r="BG7" i="2"/>
  <c r="AL25" i="17"/>
  <c r="AK25" i="17"/>
  <c r="AK7" i="17"/>
  <c r="AL7" i="17"/>
  <c r="AL26" i="18"/>
  <c r="AK26" i="18"/>
  <c r="AL7" i="18"/>
  <c r="AK7" i="18"/>
  <c r="AJ24" i="17"/>
  <c r="AI24" i="17"/>
  <c r="AJ17" i="18"/>
  <c r="AI17" i="18"/>
  <c r="AJ23" i="17"/>
  <c r="AI23" i="17"/>
  <c r="AB21" i="16"/>
  <c r="AB22" i="16"/>
  <c r="AU4" i="22"/>
  <c r="AR24" i="53"/>
  <c r="AT24" i="53" s="1"/>
  <c r="AU24" i="53" s="1"/>
  <c r="AW24" i="53"/>
  <c r="AR12" i="24"/>
  <c r="AT12" i="24" s="1"/>
  <c r="AU12" i="24" s="1"/>
  <c r="AW12" i="24"/>
  <c r="H27" i="1"/>
  <c r="I27" i="1" s="1"/>
  <c r="D27" i="1"/>
  <c r="F27" i="1" s="1"/>
  <c r="G27" i="1" s="1"/>
  <c r="AJ21" i="17"/>
  <c r="AI21" i="17"/>
  <c r="AJ19" i="17"/>
  <c r="AI19" i="17"/>
  <c r="AL16" i="23"/>
  <c r="AK16" i="23"/>
  <c r="AQ16" i="23" s="1"/>
  <c r="AG31" i="23" s="1"/>
  <c r="AH17" i="23"/>
  <c r="AA18" i="13"/>
  <c r="AG18" i="13" s="1"/>
  <c r="Y17" i="13"/>
  <c r="Y16" i="13" s="1"/>
  <c r="AJ27" i="18"/>
  <c r="AI27" i="18"/>
  <c r="AL26" i="17"/>
  <c r="AK26" i="17"/>
  <c r="AL6" i="17"/>
  <c r="AK6" i="17"/>
  <c r="AK12" i="21"/>
  <c r="AQ12" i="21" s="1"/>
  <c r="AK27" i="18"/>
  <c r="AL27" i="18"/>
  <c r="AL4" i="18"/>
  <c r="AK4" i="18"/>
  <c r="AJ26" i="17"/>
  <c r="AI26" i="17"/>
  <c r="AA25" i="6"/>
  <c r="AG25" i="6" s="1"/>
  <c r="Y24" i="6"/>
  <c r="AR28" i="53"/>
  <c r="AT28" i="53" s="1"/>
  <c r="AU28" i="53" s="1"/>
  <c r="AW28" i="53"/>
  <c r="AA22" i="8"/>
  <c r="AG22" i="8" s="1"/>
  <c r="Y21" i="8"/>
  <c r="X22" i="8" s="1"/>
  <c r="G28" i="4"/>
  <c r="G29" i="4" s="1"/>
  <c r="F29" i="4"/>
  <c r="AR26" i="53"/>
  <c r="AT26" i="53" s="1"/>
  <c r="AU26" i="53" s="1"/>
  <c r="AW26" i="53"/>
  <c r="AR26" i="19"/>
  <c r="AT26" i="19" s="1"/>
  <c r="AU26" i="19" s="1"/>
  <c r="AW26" i="19"/>
  <c r="AA24" i="7"/>
  <c r="AG24" i="7" s="1"/>
  <c r="Y23" i="7"/>
  <c r="AI20" i="18"/>
  <c r="AJ20" i="18"/>
  <c r="AT4" i="21"/>
  <c r="AJ28" i="17"/>
  <c r="AI28" i="17"/>
  <c r="AA22" i="9"/>
  <c r="AG22" i="9" s="1"/>
  <c r="Y21" i="9"/>
  <c r="X22" i="9" s="1"/>
  <c r="AJ25" i="17"/>
  <c r="AI25" i="17"/>
  <c r="AJ22" i="17"/>
  <c r="AI22" i="17"/>
  <c r="AI22" i="18"/>
  <c r="AJ22" i="18"/>
  <c r="AR24" i="19"/>
  <c r="AT24" i="19" s="1"/>
  <c r="AU24" i="19" s="1"/>
  <c r="AW24" i="19"/>
  <c r="X18" i="14"/>
  <c r="H28" i="2"/>
  <c r="I28" i="2" s="1"/>
  <c r="I29" i="2" s="1"/>
  <c r="D28" i="2"/>
  <c r="S7" i="2"/>
  <c r="AR27" i="19"/>
  <c r="AT27" i="19" s="1"/>
  <c r="AU27" i="19" s="1"/>
  <c r="AW27" i="19"/>
  <c r="AL27" i="17"/>
  <c r="AK27" i="17"/>
  <c r="AK5" i="17"/>
  <c r="AL5" i="17"/>
  <c r="AA28" i="3"/>
  <c r="AG28" i="3" s="1"/>
  <c r="AL28" i="18"/>
  <c r="AK28" i="18"/>
  <c r="AL6" i="18"/>
  <c r="AK6" i="18"/>
  <c r="AL5" i="18"/>
  <c r="AK5" i="18"/>
  <c r="AA27" i="4"/>
  <c r="AG27" i="4" s="1"/>
  <c r="Y26" i="4"/>
  <c r="X27" i="4" s="1"/>
  <c r="AR27" i="53"/>
  <c r="AT27" i="53" s="1"/>
  <c r="AU27" i="53" s="1"/>
  <c r="AW27" i="53"/>
  <c r="AI18" i="18"/>
  <c r="AJ18" i="18"/>
  <c r="AD23" i="16"/>
  <c r="AD25" i="16"/>
  <c r="AB25" i="16" s="1"/>
  <c r="AD17" i="16"/>
  <c r="AD26" i="16"/>
  <c r="AB26" i="16" s="1"/>
  <c r="AD28" i="16"/>
  <c r="AB28" i="16" s="1"/>
  <c r="AD24" i="16"/>
  <c r="AB24" i="16" s="1"/>
  <c r="AH24" i="16" s="1"/>
  <c r="AD22" i="16"/>
  <c r="AD18" i="16"/>
  <c r="AD20" i="16"/>
  <c r="AD27" i="16"/>
  <c r="AB27" i="16" s="1"/>
  <c r="AD19" i="16"/>
  <c r="AD21" i="16"/>
  <c r="AB20" i="16"/>
  <c r="AA21" i="10"/>
  <c r="AG21" i="10" s="1"/>
  <c r="Y20" i="10"/>
  <c r="AJ23" i="18"/>
  <c r="AI23" i="18"/>
  <c r="AH4" i="16"/>
  <c r="AH5" i="16"/>
  <c r="AH7" i="16"/>
  <c r="AH8" i="16"/>
  <c r="AH6" i="16"/>
  <c r="AH28" i="16"/>
  <c r="AH27" i="16"/>
  <c r="AH26" i="16"/>
  <c r="AH25" i="16"/>
  <c r="AF17" i="15"/>
  <c r="AF18" i="15" s="1"/>
  <c r="AF19" i="15" s="1"/>
  <c r="AF20" i="15" s="1"/>
  <c r="AF21" i="15" s="1"/>
  <c r="AF22" i="15" s="1"/>
  <c r="AF23" i="15" s="1"/>
  <c r="AF24" i="15" s="1"/>
  <c r="AF25" i="15" s="1"/>
  <c r="AF26" i="15" s="1"/>
  <c r="AF27" i="15" s="1"/>
  <c r="AF28" i="15" s="1"/>
  <c r="AH1" i="15"/>
  <c r="AW1" i="15"/>
  <c r="F28" i="3"/>
  <c r="D29" i="3"/>
  <c r="Y34" i="61"/>
  <c r="AP28" i="1"/>
  <c r="AR31" i="61"/>
  <c r="B28" i="1"/>
  <c r="C28" i="26"/>
  <c r="BE2" i="61" a="1"/>
  <c r="AA26" i="5"/>
  <c r="AG26" i="5" s="1"/>
  <c r="Y25" i="5"/>
  <c r="AR25" i="19"/>
  <c r="AT25" i="19" s="1"/>
  <c r="AU25" i="19" s="1"/>
  <c r="AW25" i="19"/>
  <c r="Y27" i="3"/>
  <c r="X19" i="13"/>
  <c r="AA19" i="12"/>
  <c r="AG19" i="12" s="1"/>
  <c r="Y18" i="12"/>
  <c r="AL24" i="17"/>
  <c r="AK24" i="17"/>
  <c r="AL28" i="17"/>
  <c r="AK28" i="17"/>
  <c r="AL8" i="17"/>
  <c r="AK8" i="17"/>
  <c r="AL4" i="17"/>
  <c r="AK4" i="17"/>
  <c r="AK25" i="18"/>
  <c r="AL25" i="18"/>
  <c r="AL8" i="18"/>
  <c r="AK8" i="18"/>
  <c r="AT4" i="20"/>
  <c r="AA19" i="11"/>
  <c r="AG19" i="11" s="1"/>
  <c r="Y18" i="11"/>
  <c r="X19" i="11" s="1"/>
  <c r="X26" i="6"/>
  <c r="AK14" i="24"/>
  <c r="AQ14" i="24" s="1"/>
  <c r="AL14" i="24"/>
  <c r="AH15" i="24"/>
  <c r="X23" i="8"/>
  <c r="AJ27" i="17"/>
  <c r="AI27" i="17"/>
  <c r="X25" i="7"/>
  <c r="AR25" i="53"/>
  <c r="AT25" i="53" s="1"/>
  <c r="AU25" i="53" s="1"/>
  <c r="AW25" i="53"/>
  <c r="AJ19" i="18"/>
  <c r="AI19" i="18"/>
  <c r="AE1" i="15"/>
  <c r="AU10" i="24"/>
  <c r="AV27" i="1"/>
  <c r="AJ17" i="17"/>
  <c r="AI17" i="17"/>
  <c r="AR14" i="23"/>
  <c r="AW14" i="23"/>
  <c r="EU149" i="61" l="1"/>
  <c r="EV149" i="61" s="1"/>
  <c r="DN121" i="61"/>
  <c r="DG122" i="61"/>
  <c r="DF122" i="61"/>
  <c r="AK11" i="53"/>
  <c r="AQ11" i="53" s="1"/>
  <c r="AH13" i="21"/>
  <c r="AK13" i="21" s="1"/>
  <c r="AQ13" i="21" s="1"/>
  <c r="AR10" i="21"/>
  <c r="AT10" i="21" s="1"/>
  <c r="AU10" i="21" s="1"/>
  <c r="AH11" i="18"/>
  <c r="AH12" i="18" s="1"/>
  <c r="AL9" i="18"/>
  <c r="AL10" i="18"/>
  <c r="AM10" i="18" s="1"/>
  <c r="AR6" i="53"/>
  <c r="AT6" i="53" s="1"/>
  <c r="AU6" i="53" s="1"/>
  <c r="AK9" i="18"/>
  <c r="AQ9" i="18" s="1"/>
  <c r="AR9" i="53"/>
  <c r="AT9" i="53" s="1"/>
  <c r="AU9" i="53" s="1"/>
  <c r="AW9" i="53"/>
  <c r="AR5" i="19"/>
  <c r="AT5" i="19" s="1"/>
  <c r="AU5" i="19" s="1"/>
  <c r="AR9" i="19"/>
  <c r="AT9" i="19" s="1"/>
  <c r="AU9" i="19" s="1"/>
  <c r="AW9" i="19"/>
  <c r="AW8" i="19"/>
  <c r="AH12" i="53"/>
  <c r="AK12" i="53" s="1"/>
  <c r="AQ12" i="53" s="1"/>
  <c r="AQ5" i="18"/>
  <c r="AM5" i="18" s="1"/>
  <c r="AQ4" i="18"/>
  <c r="AM4" i="18" s="1"/>
  <c r="AW5" i="53"/>
  <c r="AW8" i="53"/>
  <c r="AW4" i="19"/>
  <c r="AM12" i="22"/>
  <c r="AW4" i="53"/>
  <c r="AQ8" i="18"/>
  <c r="AM8" i="18" s="1"/>
  <c r="AR8" i="18" s="1"/>
  <c r="AT8" i="18" s="1"/>
  <c r="AU8" i="18" s="1"/>
  <c r="AR6" i="19"/>
  <c r="AT6" i="19" s="1"/>
  <c r="AU6" i="19" s="1"/>
  <c r="AR11" i="22"/>
  <c r="AT11" i="22" s="1"/>
  <c r="AU11" i="22" s="1"/>
  <c r="AW11" i="22"/>
  <c r="AK13" i="22"/>
  <c r="AQ13" i="22" s="1"/>
  <c r="AL13" i="22"/>
  <c r="AH14" i="22"/>
  <c r="AQ6" i="18"/>
  <c r="AM6" i="18" s="1"/>
  <c r="AI18" i="16"/>
  <c r="AW15" i="25"/>
  <c r="AR15" i="25"/>
  <c r="AT15" i="25" s="1"/>
  <c r="AU15" i="25" s="1"/>
  <c r="AW7" i="53"/>
  <c r="AI16" i="17"/>
  <c r="AK17" i="25"/>
  <c r="AQ17" i="25" s="1"/>
  <c r="AL17" i="25"/>
  <c r="AH18" i="25"/>
  <c r="AM16" i="25"/>
  <c r="AG31" i="25"/>
  <c r="AQ7" i="18"/>
  <c r="AM7" i="18" s="1"/>
  <c r="AR7" i="18" s="1"/>
  <c r="AT7" i="18" s="1"/>
  <c r="AU7" i="18" s="1"/>
  <c r="AM10" i="19"/>
  <c r="AR10" i="19" s="1"/>
  <c r="AT10" i="19" s="1"/>
  <c r="AU10" i="19" s="1"/>
  <c r="AM11" i="20"/>
  <c r="AW11" i="20" s="1"/>
  <c r="AW10" i="20"/>
  <c r="AB9" i="15"/>
  <c r="AJ9" i="15" s="1"/>
  <c r="AH13" i="20"/>
  <c r="AK12" i="20"/>
  <c r="AQ12" i="20" s="1"/>
  <c r="AL12" i="20"/>
  <c r="AW7" i="19"/>
  <c r="AB10" i="15"/>
  <c r="AJ10" i="15" s="1"/>
  <c r="AI10" i="17"/>
  <c r="AB11" i="15"/>
  <c r="AI11" i="15" s="1"/>
  <c r="AB10" i="16"/>
  <c r="AJ10" i="16" s="1"/>
  <c r="AB16" i="16"/>
  <c r="AR13" i="24"/>
  <c r="AT13" i="24" s="1"/>
  <c r="AU13" i="24" s="1"/>
  <c r="AB11" i="16"/>
  <c r="AJ11" i="16" s="1"/>
  <c r="AL9" i="17"/>
  <c r="AK9" i="17"/>
  <c r="AH10" i="17"/>
  <c r="AL10" i="17" s="1"/>
  <c r="AB15" i="15"/>
  <c r="AJ15" i="15" s="1"/>
  <c r="AH13" i="19"/>
  <c r="AL12" i="19"/>
  <c r="AK12" i="19"/>
  <c r="AQ12" i="19" s="1"/>
  <c r="AB14" i="15"/>
  <c r="AJ14" i="15" s="1"/>
  <c r="AM11" i="19"/>
  <c r="AJ13" i="16"/>
  <c r="AI13" i="16"/>
  <c r="AI9" i="17"/>
  <c r="AJ9" i="17"/>
  <c r="AJ8" i="17"/>
  <c r="AI8" i="17"/>
  <c r="AQ8" i="17" s="1"/>
  <c r="AG16" i="14"/>
  <c r="X1" i="14"/>
  <c r="AB15" i="16"/>
  <c r="AI14" i="17"/>
  <c r="AJ14" i="17"/>
  <c r="AI6" i="17"/>
  <c r="AQ6" i="17" s="1"/>
  <c r="AJ6" i="17"/>
  <c r="AB14" i="16"/>
  <c r="AI13" i="15"/>
  <c r="AJ13" i="15"/>
  <c r="AB19" i="15"/>
  <c r="AJ19" i="15" s="1"/>
  <c r="AD16" i="15"/>
  <c r="AA16" i="13"/>
  <c r="X15" i="13"/>
  <c r="AI11" i="17"/>
  <c r="AJ11" i="17"/>
  <c r="AI4" i="17"/>
  <c r="AQ4" i="17" s="1"/>
  <c r="AJ4" i="17"/>
  <c r="AJ12" i="17"/>
  <c r="AI12" i="17"/>
  <c r="AB9" i="16"/>
  <c r="AH9" i="16" s="1"/>
  <c r="AB12" i="15"/>
  <c r="AD7" i="15"/>
  <c r="AB7" i="15" s="1"/>
  <c r="AD11" i="15"/>
  <c r="AD13" i="15"/>
  <c r="AD10" i="15"/>
  <c r="AD15" i="15"/>
  <c r="AD6" i="15"/>
  <c r="AB6" i="15" s="1"/>
  <c r="AD5" i="15"/>
  <c r="AB5" i="15" s="1"/>
  <c r="AD12" i="15"/>
  <c r="AD14" i="15"/>
  <c r="AD8" i="15"/>
  <c r="AB8" i="15" s="1"/>
  <c r="AD9" i="15"/>
  <c r="AD4" i="15"/>
  <c r="AB4" i="15" s="1"/>
  <c r="AJ15" i="17"/>
  <c r="AI15" i="17"/>
  <c r="AJ7" i="17"/>
  <c r="AI7" i="17"/>
  <c r="AQ7" i="17" s="1"/>
  <c r="AJ5" i="17"/>
  <c r="AI5" i="17"/>
  <c r="AQ5" i="17" s="1"/>
  <c r="AI11" i="16"/>
  <c r="AB12" i="16"/>
  <c r="AD14" i="16"/>
  <c r="AD8" i="16"/>
  <c r="AB8" i="16" s="1"/>
  <c r="AD6" i="16"/>
  <c r="AB6" i="16" s="1"/>
  <c r="AD12" i="16"/>
  <c r="AD5" i="16"/>
  <c r="AB5" i="16" s="1"/>
  <c r="AD4" i="16"/>
  <c r="AB4" i="16" s="1"/>
  <c r="AD9" i="16"/>
  <c r="AD15" i="16"/>
  <c r="AD13" i="16"/>
  <c r="AD10" i="16"/>
  <c r="AD7" i="16"/>
  <c r="AB7" i="16" s="1"/>
  <c r="AD11" i="16"/>
  <c r="AB16" i="15"/>
  <c r="GH148" i="61"/>
  <c r="N27" i="64" s="1"/>
  <c r="GH146" i="61"/>
  <c r="N25" i="64" s="1"/>
  <c r="ES147" i="61"/>
  <c r="H26" i="64" s="1"/>
  <c r="E24" i="32"/>
  <c r="E26" i="32"/>
  <c r="E28" i="32"/>
  <c r="E27" i="32"/>
  <c r="GE148" i="61"/>
  <c r="L27" i="64" s="1"/>
  <c r="EY147" i="61"/>
  <c r="K24" i="64"/>
  <c r="EY145" i="61"/>
  <c r="K26" i="64"/>
  <c r="GC148" i="61"/>
  <c r="GD148" i="61" s="1"/>
  <c r="EZ148" i="61"/>
  <c r="GC146" i="61"/>
  <c r="GD146" i="61" s="1"/>
  <c r="ER146" i="61"/>
  <c r="ES146" i="61" s="1"/>
  <c r="H25" i="64" s="1"/>
  <c r="ER148" i="61"/>
  <c r="ES148" i="61" s="1"/>
  <c r="H27" i="64" s="1"/>
  <c r="ET145" i="61"/>
  <c r="ES145" i="61"/>
  <c r="H24" i="64" s="1"/>
  <c r="DY149" i="61"/>
  <c r="FK149" i="61"/>
  <c r="EI149" i="61"/>
  <c r="FU149" i="61"/>
  <c r="DR149" i="61"/>
  <c r="FD149" i="61"/>
  <c r="DX149" i="61"/>
  <c r="FJ149" i="61"/>
  <c r="EL149" i="61"/>
  <c r="FX149" i="61"/>
  <c r="EK149" i="61"/>
  <c r="FW149" i="61"/>
  <c r="EO149" i="61"/>
  <c r="GA149" i="61"/>
  <c r="DT149" i="61"/>
  <c r="FF149" i="61"/>
  <c r="EH149" i="61"/>
  <c r="FT149" i="61"/>
  <c r="EN149" i="61"/>
  <c r="FZ149" i="61"/>
  <c r="EA149" i="61"/>
  <c r="FM149" i="61"/>
  <c r="DZ149" i="61"/>
  <c r="FL149" i="61"/>
  <c r="ED149" i="61"/>
  <c r="FP149" i="61"/>
  <c r="EJ149" i="61"/>
  <c r="FV149" i="61"/>
  <c r="DW149" i="61"/>
  <c r="FI149" i="61"/>
  <c r="EG149" i="61"/>
  <c r="FS149" i="61"/>
  <c r="EB149" i="61"/>
  <c r="FN149" i="61"/>
  <c r="GB149" i="61"/>
  <c r="EF149" i="61"/>
  <c r="FR149" i="61"/>
  <c r="DS149" i="61"/>
  <c r="FE149" i="61"/>
  <c r="EC149" i="61"/>
  <c r="FO149" i="61"/>
  <c r="EM149" i="61"/>
  <c r="FY149" i="61"/>
  <c r="DV149" i="61"/>
  <c r="FH149" i="61"/>
  <c r="DU149" i="61"/>
  <c r="FG149" i="61"/>
  <c r="EE149" i="61"/>
  <c r="FQ149" i="61"/>
  <c r="DK122" i="61"/>
  <c r="D28" i="32"/>
  <c r="D25" i="32"/>
  <c r="D26" i="32"/>
  <c r="AK140" i="32"/>
  <c r="AM140" i="32" s="1"/>
  <c r="AS140" i="32" s="1"/>
  <c r="AT140" i="32" s="1"/>
  <c r="AK145" i="32"/>
  <c r="AM145" i="32" s="1"/>
  <c r="AS145" i="32" s="1"/>
  <c r="AT145" i="32" s="1"/>
  <c r="AK135" i="32"/>
  <c r="AM135" i="32" s="1"/>
  <c r="AS135" i="32" s="1"/>
  <c r="AT135" i="32" s="1"/>
  <c r="AK150" i="32"/>
  <c r="AM150" i="32" s="1"/>
  <c r="AS150" i="32" s="1"/>
  <c r="AT150" i="32" s="1"/>
  <c r="B460" i="66"/>
  <c r="A460" i="66"/>
  <c r="AK139" i="32"/>
  <c r="AM139" i="32" s="1"/>
  <c r="AS139" i="32" s="1"/>
  <c r="AT139" i="32" s="1"/>
  <c r="AK149" i="32"/>
  <c r="AM149" i="32" s="1"/>
  <c r="AS149" i="32" s="1"/>
  <c r="AT149" i="32" s="1"/>
  <c r="AK134" i="32"/>
  <c r="AM134" i="32" s="1"/>
  <c r="AS134" i="32" s="1"/>
  <c r="AT134" i="32" s="1"/>
  <c r="AK144" i="32"/>
  <c r="AM144" i="32" s="1"/>
  <c r="AS144" i="32" s="1"/>
  <c r="AT144" i="32" s="1"/>
  <c r="D9" i="59"/>
  <c r="AV58" i="59"/>
  <c r="B42" i="58" s="1" a="1"/>
  <c r="AR15" i="23"/>
  <c r="AT15" i="23" s="1"/>
  <c r="AU15" i="23" s="1"/>
  <c r="AJ19" i="16"/>
  <c r="AQ25" i="17"/>
  <c r="AM25" i="17" s="1"/>
  <c r="AR25" i="17" s="1"/>
  <c r="AT25" i="17" s="1"/>
  <c r="AU25" i="17" s="1"/>
  <c r="AQ26" i="17"/>
  <c r="AM26" i="17" s="1"/>
  <c r="AR26" i="17" s="1"/>
  <c r="AT26" i="17" s="1"/>
  <c r="AU26" i="17" s="1"/>
  <c r="AQ27" i="17"/>
  <c r="AM27" i="17" s="1"/>
  <c r="AJ17" i="16"/>
  <c r="AJ23" i="16"/>
  <c r="AW11" i="21"/>
  <c r="AB23" i="15"/>
  <c r="AJ23" i="15" s="1"/>
  <c r="AJ26" i="16"/>
  <c r="AI26" i="16"/>
  <c r="AI25" i="16"/>
  <c r="AJ25" i="16"/>
  <c r="CC27" i="61"/>
  <c r="BY27" i="61"/>
  <c r="BU27" i="61"/>
  <c r="BQ27" i="61"/>
  <c r="BM27" i="61"/>
  <c r="BI27" i="61"/>
  <c r="BE27" i="61"/>
  <c r="CA26" i="61"/>
  <c r="BW26" i="61"/>
  <c r="BS26" i="61"/>
  <c r="BO26" i="61"/>
  <c r="BK26" i="61"/>
  <c r="BG26" i="61"/>
  <c r="CC25" i="61"/>
  <c r="BY25" i="61"/>
  <c r="BU25" i="61"/>
  <c r="BQ25" i="61"/>
  <c r="BM25" i="61"/>
  <c r="BI25" i="61"/>
  <c r="BE25" i="61"/>
  <c r="CA24" i="61"/>
  <c r="BW24" i="61"/>
  <c r="BS24" i="61"/>
  <c r="BO24" i="61"/>
  <c r="BK24" i="61"/>
  <c r="BG24" i="61"/>
  <c r="CC23" i="61"/>
  <c r="BY23" i="61"/>
  <c r="BU23" i="61"/>
  <c r="BQ23" i="61"/>
  <c r="BM23" i="61"/>
  <c r="BI23" i="61"/>
  <c r="BE23" i="61"/>
  <c r="CA22" i="61"/>
  <c r="BW22" i="61"/>
  <c r="BS22" i="61"/>
  <c r="BO22" i="61"/>
  <c r="BK22" i="61"/>
  <c r="BG22" i="61"/>
  <c r="CC21" i="61"/>
  <c r="BY21" i="61"/>
  <c r="BU21" i="61"/>
  <c r="BQ21" i="61"/>
  <c r="BM21" i="61"/>
  <c r="BI21" i="61"/>
  <c r="BE21" i="61"/>
  <c r="CA20" i="61"/>
  <c r="BW20" i="61"/>
  <c r="BS20" i="61"/>
  <c r="BO20" i="61"/>
  <c r="BK20" i="61"/>
  <c r="BG20" i="61"/>
  <c r="CC19" i="61"/>
  <c r="BY19" i="61"/>
  <c r="BU19" i="61"/>
  <c r="BQ19" i="61"/>
  <c r="BM19" i="61"/>
  <c r="BI19" i="61"/>
  <c r="BE19" i="61"/>
  <c r="CA18" i="61"/>
  <c r="BW18" i="61"/>
  <c r="BS18" i="61"/>
  <c r="BO18" i="61"/>
  <c r="BK18" i="61"/>
  <c r="BG18" i="61"/>
  <c r="CC17" i="61"/>
  <c r="BY17" i="61"/>
  <c r="BU17" i="61"/>
  <c r="BQ17" i="61"/>
  <c r="BM17" i="61"/>
  <c r="BI17" i="61"/>
  <c r="BE17" i="61"/>
  <c r="CA16" i="61"/>
  <c r="BW16" i="61"/>
  <c r="BS16" i="61"/>
  <c r="BO16" i="61"/>
  <c r="BK16" i="61"/>
  <c r="BG16" i="61"/>
  <c r="CC15" i="61"/>
  <c r="BY15" i="61"/>
  <c r="BU15" i="61"/>
  <c r="BQ15" i="61"/>
  <c r="BM15" i="61"/>
  <c r="BI15" i="61"/>
  <c r="BE15" i="61"/>
  <c r="CA14" i="61"/>
  <c r="BW14" i="61"/>
  <c r="BS14" i="61"/>
  <c r="BO14" i="61"/>
  <c r="BK14" i="61"/>
  <c r="BG14" i="61"/>
  <c r="CC13" i="61"/>
  <c r="BY13" i="61"/>
  <c r="BU13" i="61"/>
  <c r="BQ13" i="61"/>
  <c r="BM13" i="61"/>
  <c r="BI13" i="61"/>
  <c r="BE13" i="61"/>
  <c r="CA12" i="61"/>
  <c r="BW12" i="61"/>
  <c r="BS12" i="61"/>
  <c r="BO12" i="61"/>
  <c r="BK12" i="61"/>
  <c r="BG12" i="61"/>
  <c r="CC11" i="61"/>
  <c r="BY11" i="61"/>
  <c r="BU11" i="61"/>
  <c r="BQ11" i="61"/>
  <c r="BM11" i="61"/>
  <c r="BI11" i="61"/>
  <c r="BE11" i="61"/>
  <c r="CA10" i="61"/>
  <c r="BW10" i="61"/>
  <c r="BS10" i="61"/>
  <c r="BO10" i="61"/>
  <c r="BK10" i="61"/>
  <c r="BG10" i="61"/>
  <c r="CC9" i="61"/>
  <c r="BY9" i="61"/>
  <c r="BU9" i="61"/>
  <c r="BQ9" i="61"/>
  <c r="BM9" i="61"/>
  <c r="BI9" i="61"/>
  <c r="BE9" i="61"/>
  <c r="CA8" i="61"/>
  <c r="BW8" i="61"/>
  <c r="BS8" i="61"/>
  <c r="BO8" i="61"/>
  <c r="BK8" i="61"/>
  <c r="BG8" i="61"/>
  <c r="CC7" i="61"/>
  <c r="BY7" i="61"/>
  <c r="BU7" i="61"/>
  <c r="BQ7" i="61"/>
  <c r="BM7" i="61"/>
  <c r="BI7" i="61"/>
  <c r="BE7" i="61"/>
  <c r="CA6" i="61"/>
  <c r="BW6" i="61"/>
  <c r="BS6" i="61"/>
  <c r="BO6" i="61"/>
  <c r="BK6" i="61"/>
  <c r="BG6" i="61"/>
  <c r="CC5" i="61"/>
  <c r="BY5" i="61"/>
  <c r="BU5" i="61"/>
  <c r="BQ5" i="61"/>
  <c r="BM5" i="61"/>
  <c r="BI5" i="61"/>
  <c r="BE5" i="61"/>
  <c r="CA4" i="61"/>
  <c r="BW4" i="61"/>
  <c r="BS4" i="61"/>
  <c r="BO4" i="61"/>
  <c r="BK4" i="61"/>
  <c r="BG4" i="61"/>
  <c r="CC3" i="61"/>
  <c r="Y96" i="61" s="1"/>
  <c r="BY3" i="61"/>
  <c r="BU3" i="61"/>
  <c r="BQ3" i="61"/>
  <c r="BM3" i="61"/>
  <c r="I96" i="61" s="1"/>
  <c r="BI3" i="61"/>
  <c r="E96" i="61" s="1"/>
  <c r="BE3" i="61"/>
  <c r="CA2" i="61"/>
  <c r="BW2" i="61"/>
  <c r="BS2" i="61"/>
  <c r="BO2" i="61"/>
  <c r="BK2" i="61"/>
  <c r="BG2" i="61"/>
  <c r="CB27" i="61"/>
  <c r="BX27" i="61"/>
  <c r="BT27" i="61"/>
  <c r="BP27" i="61"/>
  <c r="BL27" i="61"/>
  <c r="BH27" i="61"/>
  <c r="CD26" i="61"/>
  <c r="BZ26" i="61"/>
  <c r="BV26" i="61"/>
  <c r="BR26" i="61"/>
  <c r="BN26" i="61"/>
  <c r="BJ26" i="61"/>
  <c r="BF26" i="61"/>
  <c r="CB25" i="61"/>
  <c r="BX25" i="61"/>
  <c r="BT25" i="61"/>
  <c r="BP25" i="61"/>
  <c r="BL25" i="61"/>
  <c r="BH25" i="61"/>
  <c r="CD24" i="61"/>
  <c r="BZ24" i="61"/>
  <c r="BV24" i="61"/>
  <c r="BR24" i="61"/>
  <c r="BN24" i="61"/>
  <c r="BJ24" i="61"/>
  <c r="BF24" i="61"/>
  <c r="CB23" i="61"/>
  <c r="BX23" i="61"/>
  <c r="BT23" i="61"/>
  <c r="BP23" i="61"/>
  <c r="BL23" i="61"/>
  <c r="BH23" i="61"/>
  <c r="CD22" i="61"/>
  <c r="BZ22" i="61"/>
  <c r="BV22" i="61"/>
  <c r="BR22" i="61"/>
  <c r="BN22" i="61"/>
  <c r="BJ22" i="61"/>
  <c r="BF22" i="61"/>
  <c r="CB21" i="61"/>
  <c r="BX21" i="61"/>
  <c r="BT21" i="61"/>
  <c r="BP21" i="61"/>
  <c r="BL21" i="61"/>
  <c r="BH21" i="61"/>
  <c r="CD20" i="61"/>
  <c r="BZ20" i="61"/>
  <c r="BV20" i="61"/>
  <c r="BR20" i="61"/>
  <c r="BN20" i="61"/>
  <c r="BJ20" i="61"/>
  <c r="BF20" i="61"/>
  <c r="CB19" i="61"/>
  <c r="BX19" i="61"/>
  <c r="BT19" i="61"/>
  <c r="BP19" i="61"/>
  <c r="BL19" i="61"/>
  <c r="BH19" i="61"/>
  <c r="CD18" i="61"/>
  <c r="BZ18" i="61"/>
  <c r="BV18" i="61"/>
  <c r="BR18" i="61"/>
  <c r="BN18" i="61"/>
  <c r="BJ18" i="61"/>
  <c r="BF18" i="61"/>
  <c r="CB17" i="61"/>
  <c r="BX17" i="61"/>
  <c r="BT17" i="61"/>
  <c r="BP17" i="61"/>
  <c r="BL17" i="61"/>
  <c r="BH17" i="61"/>
  <c r="CD16" i="61"/>
  <c r="BZ16" i="61"/>
  <c r="BV16" i="61"/>
  <c r="BR16" i="61"/>
  <c r="BN16" i="61"/>
  <c r="BJ16" i="61"/>
  <c r="BF16" i="61"/>
  <c r="CB15" i="61"/>
  <c r="BX15" i="61"/>
  <c r="BT15" i="61"/>
  <c r="BP15" i="61"/>
  <c r="BL15" i="61"/>
  <c r="BH15" i="61"/>
  <c r="CD14" i="61"/>
  <c r="BZ14" i="61"/>
  <c r="BV14" i="61"/>
  <c r="BR14" i="61"/>
  <c r="BN14" i="61"/>
  <c r="BJ14" i="61"/>
  <c r="BF14" i="61"/>
  <c r="CB13" i="61"/>
  <c r="BX13" i="61"/>
  <c r="BT13" i="61"/>
  <c r="BP13" i="61"/>
  <c r="BL13" i="61"/>
  <c r="BH13" i="61"/>
  <c r="CD12" i="61"/>
  <c r="BZ12" i="61"/>
  <c r="BV12" i="61"/>
  <c r="BR12" i="61"/>
  <c r="BN12" i="61"/>
  <c r="BJ12" i="61"/>
  <c r="BF12" i="61"/>
  <c r="CB11" i="61"/>
  <c r="BX11" i="61"/>
  <c r="BT11" i="61"/>
  <c r="BP11" i="61"/>
  <c r="BL11" i="61"/>
  <c r="BH11" i="61"/>
  <c r="CD10" i="61"/>
  <c r="BZ10" i="61"/>
  <c r="BV10" i="61"/>
  <c r="BR10" i="61"/>
  <c r="BN10" i="61"/>
  <c r="BJ10" i="61"/>
  <c r="BF10" i="61"/>
  <c r="CB9" i="61"/>
  <c r="BX9" i="61"/>
  <c r="BT9" i="61"/>
  <c r="BP9" i="61"/>
  <c r="BL9" i="61"/>
  <c r="BH9" i="61"/>
  <c r="CD8" i="61"/>
  <c r="BZ8" i="61"/>
  <c r="BV8" i="61"/>
  <c r="BR8" i="61"/>
  <c r="BN8" i="61"/>
  <c r="BJ8" i="61"/>
  <c r="BF8" i="61"/>
  <c r="CB7" i="61"/>
  <c r="BX7" i="61"/>
  <c r="BT7" i="61"/>
  <c r="BP7" i="61"/>
  <c r="BL7" i="61"/>
  <c r="BH7" i="61"/>
  <c r="CD6" i="61"/>
  <c r="BZ6" i="61"/>
  <c r="BV6" i="61"/>
  <c r="BR6" i="61"/>
  <c r="BN6" i="61"/>
  <c r="BJ6" i="61"/>
  <c r="BF6" i="61"/>
  <c r="CB5" i="61"/>
  <c r="BX5" i="61"/>
  <c r="BT5" i="61"/>
  <c r="BP5" i="61"/>
  <c r="BL5" i="61"/>
  <c r="BH5" i="61"/>
  <c r="CD4" i="61"/>
  <c r="BZ4" i="61"/>
  <c r="BV4" i="61"/>
  <c r="BR4" i="61"/>
  <c r="BN4" i="61"/>
  <c r="BJ4" i="61"/>
  <c r="BF4" i="61"/>
  <c r="CB3" i="61"/>
  <c r="X96" i="61" s="1"/>
  <c r="BX3" i="61"/>
  <c r="BT3" i="61"/>
  <c r="BP3" i="61"/>
  <c r="BL3" i="61"/>
  <c r="H96" i="61" s="1"/>
  <c r="BH3" i="61"/>
  <c r="D96" i="61" s="1"/>
  <c r="CD2" i="61"/>
  <c r="BZ2" i="61"/>
  <c r="BV2" i="61"/>
  <c r="BR2" i="61"/>
  <c r="BN2" i="61"/>
  <c r="BJ2" i="61"/>
  <c r="BF2" i="61"/>
  <c r="CA27" i="61"/>
  <c r="BW27" i="61"/>
  <c r="BS27" i="61"/>
  <c r="BO27" i="61"/>
  <c r="BK27" i="61"/>
  <c r="BG27" i="61"/>
  <c r="CC26" i="61"/>
  <c r="BY26" i="61"/>
  <c r="BU26" i="61"/>
  <c r="BQ26" i="61"/>
  <c r="BM26" i="61"/>
  <c r="BI26" i="61"/>
  <c r="BE26" i="61"/>
  <c r="CA25" i="61"/>
  <c r="BW25" i="61"/>
  <c r="BS25" i="61"/>
  <c r="BO25" i="61"/>
  <c r="BK25" i="61"/>
  <c r="BG25" i="61"/>
  <c r="CC24" i="61"/>
  <c r="BY24" i="61"/>
  <c r="BU24" i="61"/>
  <c r="BQ24" i="61"/>
  <c r="BM24" i="61"/>
  <c r="BI24" i="61"/>
  <c r="BE24" i="61"/>
  <c r="CA23" i="61"/>
  <c r="BW23" i="61"/>
  <c r="BS23" i="61"/>
  <c r="BO23" i="61"/>
  <c r="BK23" i="61"/>
  <c r="BG23" i="61"/>
  <c r="CC22" i="61"/>
  <c r="BY22" i="61"/>
  <c r="BU22" i="61"/>
  <c r="BQ22" i="61"/>
  <c r="BM22" i="61"/>
  <c r="BI22" i="61"/>
  <c r="BE22" i="61"/>
  <c r="CA21" i="61"/>
  <c r="BW21" i="61"/>
  <c r="BS21" i="61"/>
  <c r="BO21" i="61"/>
  <c r="BK21" i="61"/>
  <c r="BG21" i="61"/>
  <c r="CC20" i="61"/>
  <c r="BY20" i="61"/>
  <c r="BU20" i="61"/>
  <c r="BQ20" i="61"/>
  <c r="BM20" i="61"/>
  <c r="BI20" i="61"/>
  <c r="BE20" i="61"/>
  <c r="CA19" i="61"/>
  <c r="BW19" i="61"/>
  <c r="BS19" i="61"/>
  <c r="BO19" i="61"/>
  <c r="BK19" i="61"/>
  <c r="BG19" i="61"/>
  <c r="CC18" i="61"/>
  <c r="BY18" i="61"/>
  <c r="BU18" i="61"/>
  <c r="BQ18" i="61"/>
  <c r="BM18" i="61"/>
  <c r="BI18" i="61"/>
  <c r="BE18" i="61"/>
  <c r="CA17" i="61"/>
  <c r="BW17" i="61"/>
  <c r="BS17" i="61"/>
  <c r="BO17" i="61"/>
  <c r="BK17" i="61"/>
  <c r="BG17" i="61"/>
  <c r="CC16" i="61"/>
  <c r="BY16" i="61"/>
  <c r="BU16" i="61"/>
  <c r="BQ16" i="61"/>
  <c r="BM16" i="61"/>
  <c r="BI16" i="61"/>
  <c r="BE16" i="61"/>
  <c r="CA15" i="61"/>
  <c r="BW15" i="61"/>
  <c r="BS15" i="61"/>
  <c r="BO15" i="61"/>
  <c r="BK15" i="61"/>
  <c r="BG15" i="61"/>
  <c r="CC14" i="61"/>
  <c r="BY14" i="61"/>
  <c r="BU14" i="61"/>
  <c r="BQ14" i="61"/>
  <c r="BM14" i="61"/>
  <c r="BI14" i="61"/>
  <c r="BE14" i="61"/>
  <c r="CA13" i="61"/>
  <c r="BW13" i="61"/>
  <c r="BS13" i="61"/>
  <c r="BO13" i="61"/>
  <c r="BK13" i="61"/>
  <c r="BG13" i="61"/>
  <c r="CC12" i="61"/>
  <c r="BY12" i="61"/>
  <c r="BU12" i="61"/>
  <c r="BQ12" i="61"/>
  <c r="BM12" i="61"/>
  <c r="BI12" i="61"/>
  <c r="BE12" i="61"/>
  <c r="CA11" i="61"/>
  <c r="BW11" i="61"/>
  <c r="BS11" i="61"/>
  <c r="BO11" i="61"/>
  <c r="BK11" i="61"/>
  <c r="BG11" i="61"/>
  <c r="CC10" i="61"/>
  <c r="BY10" i="61"/>
  <c r="BU10" i="61"/>
  <c r="BQ10" i="61"/>
  <c r="BM10" i="61"/>
  <c r="BI10" i="61"/>
  <c r="BE10" i="61"/>
  <c r="CA9" i="61"/>
  <c r="BW9" i="61"/>
  <c r="BS9" i="61"/>
  <c r="BO9" i="61"/>
  <c r="BK9" i="61"/>
  <c r="BG9" i="61"/>
  <c r="CC8" i="61"/>
  <c r="BY8" i="61"/>
  <c r="BU8" i="61"/>
  <c r="BQ8" i="61"/>
  <c r="BM8" i="61"/>
  <c r="BI8" i="61"/>
  <c r="BE8" i="61"/>
  <c r="CA7" i="61"/>
  <c r="BW7" i="61"/>
  <c r="BS7" i="61"/>
  <c r="BO7" i="61"/>
  <c r="BK7" i="61"/>
  <c r="BG7" i="61"/>
  <c r="CC6" i="61"/>
  <c r="BY6" i="61"/>
  <c r="BU6" i="61"/>
  <c r="BQ6" i="61"/>
  <c r="BM6" i="61"/>
  <c r="BI6" i="61"/>
  <c r="BE6" i="61"/>
  <c r="CA5" i="61"/>
  <c r="BW5" i="61"/>
  <c r="BS5" i="61"/>
  <c r="BO5" i="61"/>
  <c r="BK5" i="61"/>
  <c r="BG5" i="61"/>
  <c r="CC4" i="61"/>
  <c r="BY4" i="61"/>
  <c r="BU4" i="61"/>
  <c r="BQ4" i="61"/>
  <c r="BM4" i="61"/>
  <c r="BI4" i="61"/>
  <c r="BE4" i="61"/>
  <c r="CA3" i="61"/>
  <c r="W96" i="61" s="1"/>
  <c r="BW3" i="61"/>
  <c r="BS3" i="61"/>
  <c r="BO3" i="61"/>
  <c r="K96" i="61" s="1"/>
  <c r="BK3" i="61"/>
  <c r="G96" i="61" s="1"/>
  <c r="BG3" i="61"/>
  <c r="C96" i="61" s="1"/>
  <c r="CC2" i="61"/>
  <c r="BY2" i="61"/>
  <c r="BU2" i="61"/>
  <c r="BQ2" i="61"/>
  <c r="BM2" i="61"/>
  <c r="BI2" i="61"/>
  <c r="BE2" i="61"/>
  <c r="CD27" i="61"/>
  <c r="BZ27" i="61"/>
  <c r="BV27" i="61"/>
  <c r="BR27" i="61"/>
  <c r="BN27" i="61"/>
  <c r="BJ27" i="61"/>
  <c r="BF27" i="61"/>
  <c r="CB26" i="61"/>
  <c r="BX26" i="61"/>
  <c r="BT26" i="61"/>
  <c r="BP26" i="61"/>
  <c r="BL26" i="61"/>
  <c r="BH26" i="61"/>
  <c r="CD25" i="61"/>
  <c r="BZ25" i="61"/>
  <c r="BV25" i="61"/>
  <c r="BR25" i="61"/>
  <c r="BN25" i="61"/>
  <c r="BJ25" i="61"/>
  <c r="BF25" i="61"/>
  <c r="CB24" i="61"/>
  <c r="BX24" i="61"/>
  <c r="BT24" i="61"/>
  <c r="BP24" i="61"/>
  <c r="BL24" i="61"/>
  <c r="BH24" i="61"/>
  <c r="CD23" i="61"/>
  <c r="BZ23" i="61"/>
  <c r="BV23" i="61"/>
  <c r="BR23" i="61"/>
  <c r="BN23" i="61"/>
  <c r="BJ23" i="61"/>
  <c r="BF23" i="61"/>
  <c r="CB22" i="61"/>
  <c r="BX22" i="61"/>
  <c r="BT22" i="61"/>
  <c r="BP22" i="61"/>
  <c r="BL22" i="61"/>
  <c r="BH22" i="61"/>
  <c r="CD21" i="61"/>
  <c r="BZ21" i="61"/>
  <c r="BV21" i="61"/>
  <c r="BR21" i="61"/>
  <c r="BN21" i="61"/>
  <c r="BJ21" i="61"/>
  <c r="BF21" i="61"/>
  <c r="CB20" i="61"/>
  <c r="BX20" i="61"/>
  <c r="BT20" i="61"/>
  <c r="BP20" i="61"/>
  <c r="BL20" i="61"/>
  <c r="BH20" i="61"/>
  <c r="CD19" i="61"/>
  <c r="BZ19" i="61"/>
  <c r="BV19" i="61"/>
  <c r="BR19" i="61"/>
  <c r="BN19" i="61"/>
  <c r="BJ19" i="61"/>
  <c r="BF19" i="61"/>
  <c r="CB18" i="61"/>
  <c r="BX18" i="61"/>
  <c r="BT18" i="61"/>
  <c r="BP18" i="61"/>
  <c r="BL18" i="61"/>
  <c r="BH18" i="61"/>
  <c r="CD17" i="61"/>
  <c r="BZ17" i="61"/>
  <c r="BV17" i="61"/>
  <c r="BR17" i="61"/>
  <c r="BN17" i="61"/>
  <c r="BJ17" i="61"/>
  <c r="BF17" i="61"/>
  <c r="CB16" i="61"/>
  <c r="BX16" i="61"/>
  <c r="BT16" i="61"/>
  <c r="BP16" i="61"/>
  <c r="BL16" i="61"/>
  <c r="BH16" i="61"/>
  <c r="CD15" i="61"/>
  <c r="BZ15" i="61"/>
  <c r="BV15" i="61"/>
  <c r="BR15" i="61"/>
  <c r="BN15" i="61"/>
  <c r="BJ15" i="61"/>
  <c r="BF15" i="61"/>
  <c r="CB14" i="61"/>
  <c r="BX14" i="61"/>
  <c r="BT14" i="61"/>
  <c r="BP14" i="61"/>
  <c r="BL14" i="61"/>
  <c r="BH14" i="61"/>
  <c r="CD13" i="61"/>
  <c r="BZ13" i="61"/>
  <c r="BV13" i="61"/>
  <c r="BR13" i="61"/>
  <c r="BN13" i="61"/>
  <c r="BJ13" i="61"/>
  <c r="BF13" i="61"/>
  <c r="CB12" i="61"/>
  <c r="BX12" i="61"/>
  <c r="BT12" i="61"/>
  <c r="BP12" i="61"/>
  <c r="BL12" i="61"/>
  <c r="BH12" i="61"/>
  <c r="CD11" i="61"/>
  <c r="BZ11" i="61"/>
  <c r="BV11" i="61"/>
  <c r="BR11" i="61"/>
  <c r="BN11" i="61"/>
  <c r="BJ11" i="61"/>
  <c r="BF11" i="61"/>
  <c r="CB10" i="61"/>
  <c r="BX10" i="61"/>
  <c r="BT10" i="61"/>
  <c r="BP10" i="61"/>
  <c r="BL10" i="61"/>
  <c r="BH10" i="61"/>
  <c r="CD9" i="61"/>
  <c r="BZ9" i="61"/>
  <c r="BV9" i="61"/>
  <c r="BR9" i="61"/>
  <c r="BN9" i="61"/>
  <c r="BJ9" i="61"/>
  <c r="BF9" i="61"/>
  <c r="CB8" i="61"/>
  <c r="BX8" i="61"/>
  <c r="BT8" i="61"/>
  <c r="BP8" i="61"/>
  <c r="BL8" i="61"/>
  <c r="BH8" i="61"/>
  <c r="CD7" i="61"/>
  <c r="BZ7" i="61"/>
  <c r="BV7" i="61"/>
  <c r="BR7" i="61"/>
  <c r="BN7" i="61"/>
  <c r="BJ7" i="61"/>
  <c r="BF7" i="61"/>
  <c r="CB6" i="61"/>
  <c r="BX6" i="61"/>
  <c r="BT6" i="61"/>
  <c r="BP6" i="61"/>
  <c r="BL6" i="61"/>
  <c r="BH6" i="61"/>
  <c r="CD5" i="61"/>
  <c r="BZ5" i="61"/>
  <c r="BV5" i="61"/>
  <c r="BR5" i="61"/>
  <c r="BN5" i="61"/>
  <c r="BJ5" i="61"/>
  <c r="BF5" i="61"/>
  <c r="CB4" i="61"/>
  <c r="BX4" i="61"/>
  <c r="BT4" i="61"/>
  <c r="BP4" i="61"/>
  <c r="BL4" i="61"/>
  <c r="BH4" i="61"/>
  <c r="CD3" i="61"/>
  <c r="Z96" i="61" s="1"/>
  <c r="BZ3" i="61"/>
  <c r="V96" i="61" s="1"/>
  <c r="BV3" i="61"/>
  <c r="BR3" i="61"/>
  <c r="BN3" i="61"/>
  <c r="J96" i="61" s="1"/>
  <c r="BJ3" i="61"/>
  <c r="F96" i="61" s="1"/>
  <c r="BF3" i="61"/>
  <c r="B96" i="61" s="1"/>
  <c r="CB2" i="61"/>
  <c r="BX2" i="61"/>
  <c r="BT2" i="61"/>
  <c r="BP2" i="61"/>
  <c r="BL2" i="61"/>
  <c r="BH2" i="61"/>
  <c r="G28" i="3"/>
  <c r="G29" i="3" s="1"/>
  <c r="F29" i="3"/>
  <c r="AL25" i="16"/>
  <c r="AK25" i="16"/>
  <c r="AK8" i="16"/>
  <c r="AL8" i="16"/>
  <c r="AA23" i="7"/>
  <c r="AG23" i="7" s="1"/>
  <c r="Y22" i="7"/>
  <c r="X23" i="7" s="1"/>
  <c r="AA24" i="6"/>
  <c r="AG24" i="6" s="1"/>
  <c r="Y23" i="6"/>
  <c r="X24" i="6" s="1"/>
  <c r="AM12" i="21"/>
  <c r="X17" i="13"/>
  <c r="AA17" i="13"/>
  <c r="X16" i="13"/>
  <c r="AM16" i="23"/>
  <c r="AR10" i="53"/>
  <c r="AT10" i="53" s="1"/>
  <c r="AU10" i="53" s="1"/>
  <c r="AW10" i="53"/>
  <c r="AQ24" i="17"/>
  <c r="AM24" i="17" s="1"/>
  <c r="AL15" i="24"/>
  <c r="AK15" i="24"/>
  <c r="AQ15" i="24" s="1"/>
  <c r="AH16" i="24"/>
  <c r="AD18" i="15"/>
  <c r="AD23" i="15"/>
  <c r="AD28" i="15"/>
  <c r="AB28" i="15" s="1"/>
  <c r="AD24" i="15"/>
  <c r="AB24" i="15" s="1"/>
  <c r="AH24" i="15" s="1"/>
  <c r="AD17" i="15"/>
  <c r="AD25" i="15"/>
  <c r="AB25" i="15" s="1"/>
  <c r="AD26" i="15"/>
  <c r="AB26" i="15" s="1"/>
  <c r="AD20" i="15"/>
  <c r="AD21" i="15"/>
  <c r="AD22" i="15"/>
  <c r="AD19" i="15"/>
  <c r="AD27" i="15"/>
  <c r="AB27" i="15" s="1"/>
  <c r="AB22" i="15"/>
  <c r="AA18" i="12"/>
  <c r="AG18" i="12" s="1"/>
  <c r="Y17" i="12"/>
  <c r="AA27" i="3"/>
  <c r="AG27" i="3" s="1"/>
  <c r="Y26" i="3"/>
  <c r="X27" i="3" s="1"/>
  <c r="AA25" i="5"/>
  <c r="AG25" i="5" s="1"/>
  <c r="Y24" i="5"/>
  <c r="X25" i="5" s="1"/>
  <c r="AV28" i="1"/>
  <c r="Y28" i="1"/>
  <c r="BG7" i="1"/>
  <c r="AK26" i="16"/>
  <c r="AL26" i="16"/>
  <c r="AL7" i="16"/>
  <c r="AK7" i="16"/>
  <c r="AA20" i="10"/>
  <c r="AG20" i="10" s="1"/>
  <c r="Y19" i="10"/>
  <c r="AJ24" i="16"/>
  <c r="AI24" i="16"/>
  <c r="AI27" i="16"/>
  <c r="AJ27" i="16"/>
  <c r="X28" i="2"/>
  <c r="AA28" i="2"/>
  <c r="AG28" i="2" s="1"/>
  <c r="AD1" i="14"/>
  <c r="AG17" i="14"/>
  <c r="AQ26" i="18"/>
  <c r="AM26" i="18" s="1"/>
  <c r="AQ28" i="18"/>
  <c r="AM28" i="18" s="1"/>
  <c r="AT14" i="23"/>
  <c r="AB21" i="15"/>
  <c r="AM14" i="24"/>
  <c r="V35" i="61"/>
  <c r="AL27" i="16"/>
  <c r="AK27" i="16"/>
  <c r="AL5" i="16"/>
  <c r="AK5" i="16"/>
  <c r="AT4" i="53"/>
  <c r="AJ20" i="16"/>
  <c r="AI20" i="16"/>
  <c r="AJ28" i="16"/>
  <c r="AI28" i="16"/>
  <c r="X28" i="3"/>
  <c r="F28" i="2"/>
  <c r="D29" i="2"/>
  <c r="AU4" i="21"/>
  <c r="X24" i="7"/>
  <c r="X25" i="6"/>
  <c r="AQ27" i="18"/>
  <c r="AM27" i="18" s="1"/>
  <c r="X18" i="13"/>
  <c r="AJ22" i="16"/>
  <c r="AI22" i="16"/>
  <c r="AL24" i="18"/>
  <c r="AK24" i="18"/>
  <c r="AQ24" i="18" s="1"/>
  <c r="AQ25" i="18"/>
  <c r="AM25" i="18" s="1"/>
  <c r="AA18" i="11"/>
  <c r="AG18" i="11" s="1"/>
  <c r="Y17" i="11"/>
  <c r="AB18" i="15"/>
  <c r="AB20" i="15"/>
  <c r="AB17" i="15"/>
  <c r="AU4" i="20"/>
  <c r="X19" i="12"/>
  <c r="X26" i="5"/>
  <c r="H28" i="1"/>
  <c r="I28" i="1" s="1"/>
  <c r="I29" i="1" s="1"/>
  <c r="D28" i="1"/>
  <c r="S7" i="1"/>
  <c r="AH4" i="15"/>
  <c r="AH6" i="15"/>
  <c r="AH5" i="15"/>
  <c r="AH7" i="15"/>
  <c r="AH8" i="15"/>
  <c r="AH28" i="15"/>
  <c r="AH27" i="15"/>
  <c r="AH26" i="15"/>
  <c r="AH25" i="15"/>
  <c r="AK24" i="16"/>
  <c r="AL24" i="16"/>
  <c r="AK28" i="16"/>
  <c r="AL28" i="16"/>
  <c r="AL6" i="16"/>
  <c r="AK6" i="16"/>
  <c r="AL4" i="16"/>
  <c r="AK4" i="16"/>
  <c r="AM11" i="53"/>
  <c r="X21" i="10"/>
  <c r="AA26" i="4"/>
  <c r="AG26" i="4" s="1"/>
  <c r="Y25" i="4"/>
  <c r="X26" i="4" s="1"/>
  <c r="AA21" i="9"/>
  <c r="AG21" i="9" s="1"/>
  <c r="Y20" i="9"/>
  <c r="X21" i="9" s="1"/>
  <c r="AQ28" i="17"/>
  <c r="AM28" i="17" s="1"/>
  <c r="AA21" i="8"/>
  <c r="AG21" i="8" s="1"/>
  <c r="Y20" i="8"/>
  <c r="X21" i="8" s="1"/>
  <c r="AL13" i="21"/>
  <c r="AL17" i="23"/>
  <c r="AK17" i="23"/>
  <c r="AQ17" i="23" s="1"/>
  <c r="AH18" i="23"/>
  <c r="AA27" i="2"/>
  <c r="AG27" i="2" s="1"/>
  <c r="Y26" i="2"/>
  <c r="AI21" i="16"/>
  <c r="AJ21" i="16"/>
  <c r="AT4" i="19"/>
  <c r="AH14" i="21" l="1"/>
  <c r="AL14" i="21" s="1"/>
  <c r="CA122" i="61"/>
  <c r="EG122" i="61" s="1"/>
  <c r="BW122" i="61"/>
  <c r="EC122" i="61" s="1"/>
  <c r="BS122" i="61"/>
  <c r="DY122" i="61" s="1"/>
  <c r="EF150" i="61" s="1"/>
  <c r="BO122" i="61"/>
  <c r="DU122" i="61" s="1"/>
  <c r="BK122" i="61"/>
  <c r="DQ122" i="61" s="1"/>
  <c r="BG122" i="61"/>
  <c r="DM122" i="61" s="1"/>
  <c r="BZ122" i="61"/>
  <c r="EF122" i="61" s="1"/>
  <c r="EM150" i="61" s="1"/>
  <c r="BV122" i="61"/>
  <c r="EB122" i="61" s="1"/>
  <c r="BR122" i="61"/>
  <c r="DX122" i="61" s="1"/>
  <c r="BN122" i="61"/>
  <c r="DT122" i="61" s="1"/>
  <c r="BJ122" i="61"/>
  <c r="DP122" i="61" s="1"/>
  <c r="DW150" i="61" s="1"/>
  <c r="BF122" i="61"/>
  <c r="DL122" i="61" s="1"/>
  <c r="CC122" i="61"/>
  <c r="EI122" i="61" s="1"/>
  <c r="EP150" i="61" s="1"/>
  <c r="BY122" i="61"/>
  <c r="EE122" i="61" s="1"/>
  <c r="BU122" i="61"/>
  <c r="EA122" i="61" s="1"/>
  <c r="EH150" i="61" s="1"/>
  <c r="BQ122" i="61"/>
  <c r="DW122" i="61" s="1"/>
  <c r="BM122" i="61"/>
  <c r="DS122" i="61" s="1"/>
  <c r="BI122" i="61"/>
  <c r="DO122" i="61" s="1"/>
  <c r="CB122" i="61"/>
  <c r="EH122" i="61" s="1"/>
  <c r="EO150" i="61" s="1"/>
  <c r="BX122" i="61"/>
  <c r="ED122" i="61" s="1"/>
  <c r="BT122" i="61"/>
  <c r="DZ122" i="61" s="1"/>
  <c r="BP122" i="61"/>
  <c r="DV122" i="61" s="1"/>
  <c r="BL122" i="61"/>
  <c r="DR122" i="61" s="1"/>
  <c r="DY150" i="61" s="1"/>
  <c r="BH122" i="61"/>
  <c r="DN122" i="61" s="1"/>
  <c r="AK11" i="18"/>
  <c r="AQ11" i="18" s="1"/>
  <c r="AL11" i="18"/>
  <c r="B7" i="68"/>
  <c r="U46" i="68" s="1"/>
  <c r="W46" i="68" s="1"/>
  <c r="B15" i="68"/>
  <c r="U54" i="68" s="1"/>
  <c r="W54" i="68" s="1"/>
  <c r="B23" i="68"/>
  <c r="U62" i="68" s="1"/>
  <c r="W62" i="68" s="1"/>
  <c r="B8" i="68"/>
  <c r="U47" i="68" s="1"/>
  <c r="W47" i="68" s="1"/>
  <c r="B16" i="68"/>
  <c r="U55" i="68" s="1"/>
  <c r="W55" i="68" s="1"/>
  <c r="B24" i="68"/>
  <c r="U63" i="68" s="1"/>
  <c r="W63" i="68" s="1"/>
  <c r="B9" i="68"/>
  <c r="U48" i="68" s="1"/>
  <c r="W48" i="68" s="1"/>
  <c r="B17" i="68"/>
  <c r="U56" i="68" s="1"/>
  <c r="W56" i="68" s="1"/>
  <c r="B25" i="68"/>
  <c r="U64" i="68" s="1"/>
  <c r="W64" i="68" s="1"/>
  <c r="B10" i="68"/>
  <c r="U49" i="68" s="1"/>
  <c r="W49" i="68" s="1"/>
  <c r="B18" i="68"/>
  <c r="U57" i="68" s="1"/>
  <c r="W57" i="68" s="1"/>
  <c r="B26" i="68"/>
  <c r="U65" i="68" s="1"/>
  <c r="W65" i="68" s="1"/>
  <c r="B11" i="68"/>
  <c r="U50" i="68" s="1"/>
  <c r="W50" i="68" s="1"/>
  <c r="B19" i="68"/>
  <c r="U58" i="68" s="1"/>
  <c r="W58" i="68" s="1"/>
  <c r="B27" i="68"/>
  <c r="U66" i="68" s="1"/>
  <c r="W66" i="68" s="1"/>
  <c r="B12" i="68"/>
  <c r="U51" i="68" s="1"/>
  <c r="W51" i="68" s="1"/>
  <c r="B20" i="68"/>
  <c r="U59" i="68" s="1"/>
  <c r="W59" i="68" s="1"/>
  <c r="B28" i="68"/>
  <c r="U67" i="68" s="1"/>
  <c r="W67" i="68" s="1"/>
  <c r="B13" i="68"/>
  <c r="U52" i="68" s="1"/>
  <c r="W52" i="68" s="1"/>
  <c r="B21" i="68"/>
  <c r="U60" i="68" s="1"/>
  <c r="W60" i="68" s="1"/>
  <c r="B29" i="68"/>
  <c r="U68" i="68" s="1"/>
  <c r="W68" i="68" s="1"/>
  <c r="B6" i="68"/>
  <c r="U45" i="68" s="1"/>
  <c r="W45" i="68" s="1"/>
  <c r="B14" i="68"/>
  <c r="U53" i="68" s="1"/>
  <c r="W53" i="68" s="1"/>
  <c r="B22" i="68"/>
  <c r="U61" i="68" s="1"/>
  <c r="W61" i="68" s="1"/>
  <c r="B30" i="68"/>
  <c r="U69" i="68" s="1"/>
  <c r="W69" i="68" s="1"/>
  <c r="AW10" i="19"/>
  <c r="AK10" i="17"/>
  <c r="AQ10" i="17" s="1"/>
  <c r="AM10" i="17" s="1"/>
  <c r="AM9" i="18"/>
  <c r="AR9" i="18" s="1"/>
  <c r="AT9" i="18" s="1"/>
  <c r="AU9" i="18" s="1"/>
  <c r="AH11" i="17"/>
  <c r="AK11" i="17" s="1"/>
  <c r="AQ11" i="17" s="1"/>
  <c r="AL12" i="53"/>
  <c r="AM12" i="53" s="1"/>
  <c r="AI19" i="15"/>
  <c r="AH13" i="53"/>
  <c r="AH14" i="53" s="1"/>
  <c r="R60" i="68"/>
  <c r="S60" i="68" s="1"/>
  <c r="R16" i="68"/>
  <c r="S16" i="68" s="1"/>
  <c r="R8" i="68"/>
  <c r="S8" i="68" s="1"/>
  <c r="R23" i="68"/>
  <c r="S23" i="68" s="1"/>
  <c r="R69" i="68"/>
  <c r="S69" i="68" s="1"/>
  <c r="R77" i="68"/>
  <c r="S77" i="68" s="1"/>
  <c r="R62" i="68"/>
  <c r="S62" i="68" s="1"/>
  <c r="R14" i="68"/>
  <c r="S14" i="68" s="1"/>
  <c r="R6" i="68"/>
  <c r="S6" i="68" s="1"/>
  <c r="R55" i="68"/>
  <c r="S55" i="68" s="1"/>
  <c r="R63" i="68"/>
  <c r="S63" i="68" s="1"/>
  <c r="R71" i="68"/>
  <c r="S71" i="68" s="1"/>
  <c r="R79" i="68"/>
  <c r="S79" i="68" s="1"/>
  <c r="R56" i="68"/>
  <c r="S56" i="68" s="1"/>
  <c r="R28" i="68"/>
  <c r="S28" i="68" s="1"/>
  <c r="R64" i="68"/>
  <c r="S64" i="68" s="1"/>
  <c r="R20" i="68"/>
  <c r="S20" i="68" s="1"/>
  <c r="R12" i="68"/>
  <c r="S12" i="68" s="1"/>
  <c r="R72" i="68"/>
  <c r="S72" i="68" s="1"/>
  <c r="R27" i="68"/>
  <c r="S27" i="68" s="1"/>
  <c r="R57" i="68"/>
  <c r="S57" i="68" s="1"/>
  <c r="R19" i="68"/>
  <c r="S19" i="68" s="1"/>
  <c r="R65" i="68"/>
  <c r="S65" i="68" s="1"/>
  <c r="R73" i="68"/>
  <c r="S73" i="68" s="1"/>
  <c r="R11" i="68"/>
  <c r="S11" i="68" s="1"/>
  <c r="R58" i="68"/>
  <c r="S58" i="68" s="1"/>
  <c r="R26" i="68"/>
  <c r="S26" i="68" s="1"/>
  <c r="R66" i="68"/>
  <c r="S66" i="68" s="1"/>
  <c r="R18" i="68"/>
  <c r="S18" i="68" s="1"/>
  <c r="R10" i="68"/>
  <c r="S10" i="68" s="1"/>
  <c r="R59" i="68"/>
  <c r="S59" i="68" s="1"/>
  <c r="R67" i="68"/>
  <c r="S67" i="68" s="1"/>
  <c r="R75" i="68"/>
  <c r="S75" i="68" s="1"/>
  <c r="AI15" i="15"/>
  <c r="AW12" i="22"/>
  <c r="AR12" i="22"/>
  <c r="AT12" i="22" s="1"/>
  <c r="AU12" i="22" s="1"/>
  <c r="AM13" i="22"/>
  <c r="AI10" i="15"/>
  <c r="AI9" i="15"/>
  <c r="AR11" i="20"/>
  <c r="AT11" i="20" s="1"/>
  <c r="AU11" i="20" s="1"/>
  <c r="AL14" i="22"/>
  <c r="AK14" i="22"/>
  <c r="AQ14" i="22" s="1"/>
  <c r="AH15" i="22"/>
  <c r="AJ11" i="15"/>
  <c r="AM17" i="25"/>
  <c r="AR17" i="25" s="1"/>
  <c r="AT17" i="25" s="1"/>
  <c r="AU17" i="25" s="1"/>
  <c r="AI10" i="16"/>
  <c r="AW16" i="25"/>
  <c r="AR16" i="25"/>
  <c r="AT16" i="25" s="1"/>
  <c r="AU16" i="25" s="1"/>
  <c r="AL18" i="25"/>
  <c r="AH19" i="25"/>
  <c r="AK18" i="25"/>
  <c r="AQ18" i="25" s="1"/>
  <c r="AQ9" i="17"/>
  <c r="AM9" i="17" s="1"/>
  <c r="AR9" i="17" s="1"/>
  <c r="AT9" i="17" s="1"/>
  <c r="AU9" i="17" s="1"/>
  <c r="AI14" i="15"/>
  <c r="AM12" i="20"/>
  <c r="AL13" i="20"/>
  <c r="AH14" i="20"/>
  <c r="AK13" i="20"/>
  <c r="AQ13" i="20" s="1"/>
  <c r="AF16" i="14"/>
  <c r="AI1" i="14"/>
  <c r="AI16" i="16"/>
  <c r="AJ16" i="16"/>
  <c r="AM12" i="19"/>
  <c r="AM6" i="17"/>
  <c r="AW6" i="17" s="1"/>
  <c r="AM7" i="17"/>
  <c r="AW7" i="17" s="1"/>
  <c r="AM8" i="17"/>
  <c r="AW8" i="17" s="1"/>
  <c r="AL13" i="19"/>
  <c r="AK13" i="19"/>
  <c r="AQ13" i="19" s="1"/>
  <c r="AH14" i="19"/>
  <c r="AM5" i="17"/>
  <c r="AW5" i="17" s="1"/>
  <c r="AM4" i="17"/>
  <c r="AR4" i="17" s="1"/>
  <c r="AW11" i="19"/>
  <c r="AR11" i="19"/>
  <c r="AT11" i="19" s="1"/>
  <c r="AU11" i="19" s="1"/>
  <c r="AI12" i="16"/>
  <c r="AJ12" i="16"/>
  <c r="AI7" i="15"/>
  <c r="AJ7" i="15"/>
  <c r="AG16" i="13"/>
  <c r="X1" i="13"/>
  <c r="AI14" i="16"/>
  <c r="AJ14" i="16"/>
  <c r="X18" i="11"/>
  <c r="Y16" i="11"/>
  <c r="AJ16" i="15"/>
  <c r="AI16" i="15"/>
  <c r="AJ7" i="16"/>
  <c r="AI7" i="16"/>
  <c r="AQ7" i="16" s="1"/>
  <c r="AJ6" i="16"/>
  <c r="AI6" i="16"/>
  <c r="AQ6" i="16" s="1"/>
  <c r="AJ4" i="15"/>
  <c r="AI4" i="15"/>
  <c r="AJ12" i="15"/>
  <c r="AI12" i="15"/>
  <c r="X18" i="12"/>
  <c r="Y16" i="12"/>
  <c r="AI4" i="16"/>
  <c r="AQ4" i="16" s="1"/>
  <c r="AJ4" i="16"/>
  <c r="AJ8" i="16"/>
  <c r="AI8" i="16"/>
  <c r="AQ8" i="16" s="1"/>
  <c r="AI5" i="15"/>
  <c r="AJ5" i="15"/>
  <c r="AJ15" i="16"/>
  <c r="AI15" i="16"/>
  <c r="AJ5" i="16"/>
  <c r="AI5" i="16"/>
  <c r="AQ5" i="16" s="1"/>
  <c r="AJ8" i="15"/>
  <c r="AI8" i="15"/>
  <c r="AJ6" i="15"/>
  <c r="AI6" i="15"/>
  <c r="AI9" i="16"/>
  <c r="AJ9" i="16"/>
  <c r="Y1" i="14"/>
  <c r="AB11" i="14" s="1"/>
  <c r="AC88" i="61" a="1"/>
  <c r="AU88" i="61" s="1"/>
  <c r="GH149" i="61"/>
  <c r="N28" i="64" s="1"/>
  <c r="GE149" i="61"/>
  <c r="L28" i="64" s="1"/>
  <c r="K25" i="64"/>
  <c r="K27" i="64"/>
  <c r="GC149" i="61"/>
  <c r="GD149" i="61" s="1"/>
  <c r="EY148" i="61"/>
  <c r="ET148" i="61"/>
  <c r="EZ149" i="61"/>
  <c r="ER149" i="61"/>
  <c r="ET146" i="61"/>
  <c r="EY146" i="61"/>
  <c r="EN150" i="61"/>
  <c r="FZ150" i="61"/>
  <c r="DS150" i="61"/>
  <c r="FE150" i="61"/>
  <c r="EK150" i="61"/>
  <c r="FW150" i="61"/>
  <c r="ED150" i="61"/>
  <c r="FP150" i="61"/>
  <c r="EC150" i="61"/>
  <c r="FO150" i="61"/>
  <c r="EG150" i="61"/>
  <c r="FS150" i="61"/>
  <c r="EI150" i="61"/>
  <c r="FU150" i="61"/>
  <c r="DZ150" i="61"/>
  <c r="FL150" i="61"/>
  <c r="EA150" i="61"/>
  <c r="FM150" i="61"/>
  <c r="DR150" i="61"/>
  <c r="FD150" i="61"/>
  <c r="EE150" i="61"/>
  <c r="FQ150" i="61"/>
  <c r="DV150" i="61"/>
  <c r="FH150" i="61"/>
  <c r="EB150" i="61"/>
  <c r="FN150" i="61"/>
  <c r="GB150" i="61"/>
  <c r="DT150" i="61"/>
  <c r="FF150" i="61"/>
  <c r="ET149" i="61"/>
  <c r="DX150" i="61"/>
  <c r="FJ150" i="61"/>
  <c r="EL150" i="61"/>
  <c r="FX150" i="61"/>
  <c r="DU150" i="61"/>
  <c r="FG150" i="61"/>
  <c r="FI150" i="61"/>
  <c r="EJ150" i="61"/>
  <c r="FV150" i="61"/>
  <c r="M107" i="66"/>
  <c r="E107" i="65" s="1"/>
  <c r="M212" i="66"/>
  <c r="E212" i="65" s="1"/>
  <c r="M317" i="66"/>
  <c r="E317" i="65" s="1"/>
  <c r="AW88" i="61"/>
  <c r="AS88" i="61"/>
  <c r="B88" i="61" a="1"/>
  <c r="Q88" i="61" s="1"/>
  <c r="AJ88" i="61"/>
  <c r="AX88" i="61"/>
  <c r="AF88" i="61"/>
  <c r="O88" i="61"/>
  <c r="E460" i="66"/>
  <c r="M65" i="66"/>
  <c r="E65" i="65" s="1"/>
  <c r="M23" i="66"/>
  <c r="E23" i="65" s="1"/>
  <c r="M44" i="66"/>
  <c r="E44" i="65" s="1"/>
  <c r="M86" i="66"/>
  <c r="E86" i="65" s="1"/>
  <c r="M128" i="66"/>
  <c r="E128" i="65" s="1"/>
  <c r="M170" i="66"/>
  <c r="E170" i="65" s="1"/>
  <c r="M149" i="66"/>
  <c r="E149" i="65" s="1"/>
  <c r="M233" i="66"/>
  <c r="E233" i="65" s="1"/>
  <c r="M275" i="66"/>
  <c r="E275" i="65" s="1"/>
  <c r="M191" i="66"/>
  <c r="E191" i="65" s="1"/>
  <c r="M338" i="66"/>
  <c r="E338" i="65" s="1"/>
  <c r="M254" i="66"/>
  <c r="E254" i="65" s="1"/>
  <c r="M296" i="66"/>
  <c r="E296" i="65" s="1"/>
  <c r="M359" i="66"/>
  <c r="E359" i="65" s="1"/>
  <c r="E2" i="66"/>
  <c r="E22" i="66"/>
  <c r="E3" i="66"/>
  <c r="E4" i="66"/>
  <c r="M24" i="66"/>
  <c r="E24" i="65" s="1"/>
  <c r="M3" i="66"/>
  <c r="E3" i="65" s="1"/>
  <c r="M4" i="66"/>
  <c r="E4" i="65" s="1"/>
  <c r="E23" i="66"/>
  <c r="E42" i="66"/>
  <c r="M45" i="66"/>
  <c r="E45" i="65" s="1"/>
  <c r="M5" i="66"/>
  <c r="E5" i="65" s="1"/>
  <c r="M25" i="66"/>
  <c r="E25" i="65" s="1"/>
  <c r="E43" i="66"/>
  <c r="M26" i="66"/>
  <c r="E26" i="65" s="1"/>
  <c r="M66" i="66"/>
  <c r="E66" i="65" s="1"/>
  <c r="E24" i="66"/>
  <c r="E62" i="66"/>
  <c r="M46" i="66"/>
  <c r="E46" i="65" s="1"/>
  <c r="M6" i="66"/>
  <c r="E6" i="65" s="1"/>
  <c r="E5" i="66"/>
  <c r="E82" i="66"/>
  <c r="M27" i="66"/>
  <c r="E27" i="65" s="1"/>
  <c r="M7" i="66"/>
  <c r="E7" i="65" s="1"/>
  <c r="E6" i="66"/>
  <c r="M87" i="66"/>
  <c r="E87" i="65" s="1"/>
  <c r="M67" i="66"/>
  <c r="E67" i="65" s="1"/>
  <c r="E25" i="66"/>
  <c r="E63" i="66"/>
  <c r="E44" i="66"/>
  <c r="M47" i="66"/>
  <c r="E47" i="65" s="1"/>
  <c r="M28" i="66"/>
  <c r="E28" i="65" s="1"/>
  <c r="E7" i="66"/>
  <c r="E45" i="66"/>
  <c r="M88" i="66"/>
  <c r="E88" i="65" s="1"/>
  <c r="E26" i="66"/>
  <c r="E102" i="66"/>
  <c r="M8" i="66"/>
  <c r="E8" i="65" s="1"/>
  <c r="E64" i="66"/>
  <c r="E83" i="66"/>
  <c r="M48" i="66"/>
  <c r="E48" i="65" s="1"/>
  <c r="M108" i="66"/>
  <c r="E108" i="65" s="1"/>
  <c r="M68" i="66"/>
  <c r="E68" i="65" s="1"/>
  <c r="E103" i="66"/>
  <c r="M129" i="66"/>
  <c r="E129" i="65" s="1"/>
  <c r="M29" i="66"/>
  <c r="E29" i="65" s="1"/>
  <c r="M69" i="66"/>
  <c r="E69" i="65" s="1"/>
  <c r="E65" i="66"/>
  <c r="E46" i="66"/>
  <c r="E122" i="66"/>
  <c r="M9" i="66"/>
  <c r="E9" i="65" s="1"/>
  <c r="E27" i="66"/>
  <c r="M89" i="66"/>
  <c r="E89" i="65" s="1"/>
  <c r="M109" i="66"/>
  <c r="E109" i="65" s="1"/>
  <c r="E84" i="66"/>
  <c r="M49" i="66"/>
  <c r="E49" i="65" s="1"/>
  <c r="E8" i="66"/>
  <c r="M70" i="66"/>
  <c r="E70" i="65" s="1"/>
  <c r="E104" i="66"/>
  <c r="E66" i="66"/>
  <c r="E9" i="66"/>
  <c r="M150" i="66"/>
  <c r="E150" i="65" s="1"/>
  <c r="M110" i="66"/>
  <c r="E110" i="65" s="1"/>
  <c r="E123" i="66"/>
  <c r="M90" i="66"/>
  <c r="E90" i="65" s="1"/>
  <c r="E28" i="66"/>
  <c r="E85" i="66"/>
  <c r="M50" i="66"/>
  <c r="E50" i="65" s="1"/>
  <c r="E142" i="66"/>
  <c r="E47" i="66"/>
  <c r="M130" i="66"/>
  <c r="E130" i="65" s="1"/>
  <c r="M30" i="66"/>
  <c r="E30" i="65" s="1"/>
  <c r="M10" i="66"/>
  <c r="E10" i="65" s="1"/>
  <c r="E162" i="66"/>
  <c r="E105" i="66"/>
  <c r="M111" i="66"/>
  <c r="E111" i="65" s="1"/>
  <c r="M131" i="66"/>
  <c r="E131" i="65" s="1"/>
  <c r="M31" i="66"/>
  <c r="E31" i="65" s="1"/>
  <c r="E67" i="66"/>
  <c r="E10" i="66"/>
  <c r="E143" i="66"/>
  <c r="M171" i="66"/>
  <c r="E171" i="65" s="1"/>
  <c r="M91" i="66"/>
  <c r="E91" i="65" s="1"/>
  <c r="M51" i="66"/>
  <c r="E51" i="65" s="1"/>
  <c r="M11" i="66"/>
  <c r="E11" i="65" s="1"/>
  <c r="M151" i="66"/>
  <c r="E151" i="65" s="1"/>
  <c r="E29" i="66"/>
  <c r="E86" i="66"/>
  <c r="E48" i="66"/>
  <c r="M71" i="66"/>
  <c r="E71" i="65" s="1"/>
  <c r="E124" i="66"/>
  <c r="E163" i="66"/>
  <c r="E144" i="66"/>
  <c r="M192" i="66"/>
  <c r="E192" i="65" s="1"/>
  <c r="M92" i="66"/>
  <c r="E92" i="65" s="1"/>
  <c r="M112" i="66"/>
  <c r="E112" i="65" s="1"/>
  <c r="M72" i="66"/>
  <c r="E72" i="65" s="1"/>
  <c r="E182" i="66"/>
  <c r="M172" i="66"/>
  <c r="E172" i="65" s="1"/>
  <c r="M52" i="66"/>
  <c r="E52" i="65" s="1"/>
  <c r="E49" i="66"/>
  <c r="E87" i="66"/>
  <c r="E106" i="66"/>
  <c r="E30" i="66"/>
  <c r="E68" i="66"/>
  <c r="M132" i="66"/>
  <c r="E132" i="65" s="1"/>
  <c r="M152" i="66"/>
  <c r="E152" i="65" s="1"/>
  <c r="E125" i="66"/>
  <c r="M12" i="66"/>
  <c r="E12" i="65" s="1"/>
  <c r="M32" i="66"/>
  <c r="E32" i="65" s="1"/>
  <c r="E11" i="66"/>
  <c r="E88" i="66"/>
  <c r="E69" i="66"/>
  <c r="E183" i="66"/>
  <c r="M213" i="66"/>
  <c r="E213" i="65" s="1"/>
  <c r="M93" i="66"/>
  <c r="E93" i="65" s="1"/>
  <c r="M133" i="66"/>
  <c r="E133" i="65" s="1"/>
  <c r="E126" i="66"/>
  <c r="E145" i="66"/>
  <c r="E12" i="66"/>
  <c r="E31" i="66"/>
  <c r="M73" i="66"/>
  <c r="E73" i="65" s="1"/>
  <c r="E202" i="66"/>
  <c r="M53" i="66"/>
  <c r="E53" i="65" s="1"/>
  <c r="M13" i="66"/>
  <c r="E13" i="65" s="1"/>
  <c r="M33" i="66"/>
  <c r="E33" i="65" s="1"/>
  <c r="E107" i="66"/>
  <c r="M153" i="66"/>
  <c r="E153" i="65" s="1"/>
  <c r="M173" i="66"/>
  <c r="E173" i="65" s="1"/>
  <c r="M113" i="66"/>
  <c r="E113" i="65" s="1"/>
  <c r="M193" i="66"/>
  <c r="E193" i="65" s="1"/>
  <c r="E50" i="66"/>
  <c r="E164" i="66"/>
  <c r="E146" i="66"/>
  <c r="E70" i="66"/>
  <c r="E222" i="66"/>
  <c r="M154" i="66"/>
  <c r="E154" i="65" s="1"/>
  <c r="M194" i="66"/>
  <c r="E194" i="65" s="1"/>
  <c r="M174" i="66"/>
  <c r="E174" i="65" s="1"/>
  <c r="E203" i="66"/>
  <c r="E89" i="66"/>
  <c r="M114" i="66"/>
  <c r="E114" i="65" s="1"/>
  <c r="M54" i="66"/>
  <c r="E54" i="65" s="1"/>
  <c r="E108" i="66"/>
  <c r="M134" i="66"/>
  <c r="E134" i="65" s="1"/>
  <c r="M74" i="66"/>
  <c r="E74" i="65" s="1"/>
  <c r="M214" i="66"/>
  <c r="E214" i="65" s="1"/>
  <c r="M34" i="66"/>
  <c r="E34" i="65" s="1"/>
  <c r="M94" i="66"/>
  <c r="E94" i="65" s="1"/>
  <c r="M14" i="66"/>
  <c r="E14" i="65" s="1"/>
  <c r="M234" i="66"/>
  <c r="E234" i="65" s="1"/>
  <c r="E32" i="66"/>
  <c r="E51" i="66"/>
  <c r="E184" i="66"/>
  <c r="E165" i="66"/>
  <c r="E127" i="66"/>
  <c r="E13" i="66"/>
  <c r="E14" i="66"/>
  <c r="E71" i="66"/>
  <c r="M175" i="66"/>
  <c r="E175" i="65" s="1"/>
  <c r="M255" i="66"/>
  <c r="E255" i="65" s="1"/>
  <c r="M155" i="66"/>
  <c r="E155" i="65" s="1"/>
  <c r="M235" i="66"/>
  <c r="E235" i="65" s="1"/>
  <c r="M215" i="66"/>
  <c r="E215" i="65" s="1"/>
  <c r="M35" i="66"/>
  <c r="E35" i="65" s="1"/>
  <c r="E242" i="66"/>
  <c r="E223" i="66"/>
  <c r="E52" i="66"/>
  <c r="E185" i="66"/>
  <c r="E166" i="66"/>
  <c r="E147" i="66"/>
  <c r="E204" i="66"/>
  <c r="E33" i="66"/>
  <c r="M15" i="66"/>
  <c r="E15" i="65" s="1"/>
  <c r="M55" i="66"/>
  <c r="E55" i="65" s="1"/>
  <c r="E109" i="66"/>
  <c r="E128" i="66"/>
  <c r="M95" i="66"/>
  <c r="E95" i="65" s="1"/>
  <c r="M75" i="66"/>
  <c r="E75" i="65" s="1"/>
  <c r="M115" i="66"/>
  <c r="E115" i="65" s="1"/>
  <c r="M195" i="66"/>
  <c r="E195" i="65" s="1"/>
  <c r="E90" i="66"/>
  <c r="M135" i="66"/>
  <c r="E135" i="65" s="1"/>
  <c r="M36" i="66"/>
  <c r="E36" i="65" s="1"/>
  <c r="M136" i="66"/>
  <c r="E136" i="65" s="1"/>
  <c r="M96" i="66"/>
  <c r="E96" i="65" s="1"/>
  <c r="E167" i="66"/>
  <c r="E148" i="66"/>
  <c r="M236" i="66"/>
  <c r="E236" i="65" s="1"/>
  <c r="E205" i="66"/>
  <c r="E15" i="66"/>
  <c r="E262" i="66"/>
  <c r="M256" i="66"/>
  <c r="E256" i="65" s="1"/>
  <c r="E34" i="66"/>
  <c r="E186" i="66"/>
  <c r="E91" i="66"/>
  <c r="E110" i="66"/>
  <c r="E72" i="66"/>
  <c r="E224" i="66"/>
  <c r="E129" i="66"/>
  <c r="M116" i="66"/>
  <c r="E116" i="65" s="1"/>
  <c r="M56" i="66"/>
  <c r="E56" i="65" s="1"/>
  <c r="M16" i="66"/>
  <c r="E16" i="65" s="1"/>
  <c r="E53" i="66"/>
  <c r="M176" i="66"/>
  <c r="E176" i="65" s="1"/>
  <c r="M196" i="66"/>
  <c r="E196" i="65" s="1"/>
  <c r="M156" i="66"/>
  <c r="E156" i="65" s="1"/>
  <c r="E243" i="66"/>
  <c r="M216" i="66"/>
  <c r="E216" i="65" s="1"/>
  <c r="M76" i="66"/>
  <c r="E76" i="65" s="1"/>
  <c r="M276" i="66"/>
  <c r="E276" i="65" s="1"/>
  <c r="M37" i="66"/>
  <c r="E37" i="65" s="1"/>
  <c r="M57" i="66"/>
  <c r="E57" i="65" s="1"/>
  <c r="M17" i="66"/>
  <c r="E17" i="65" s="1"/>
  <c r="M77" i="66"/>
  <c r="E77" i="65" s="1"/>
  <c r="E73" i="66"/>
  <c r="E187" i="66"/>
  <c r="E263" i="66"/>
  <c r="E225" i="66"/>
  <c r="E130" i="66"/>
  <c r="E206" i="66"/>
  <c r="E149" i="66"/>
  <c r="E92" i="66"/>
  <c r="E168" i="66"/>
  <c r="M297" i="66"/>
  <c r="E297" i="65" s="1"/>
  <c r="M137" i="66"/>
  <c r="E137" i="65" s="1"/>
  <c r="M217" i="66"/>
  <c r="E217" i="65" s="1"/>
  <c r="E35" i="66"/>
  <c r="M157" i="66"/>
  <c r="E157" i="65" s="1"/>
  <c r="E54" i="66"/>
  <c r="M97" i="66"/>
  <c r="E97" i="65" s="1"/>
  <c r="M117" i="66"/>
  <c r="E117" i="65" s="1"/>
  <c r="M177" i="66"/>
  <c r="E177" i="65" s="1"/>
  <c r="M197" i="66"/>
  <c r="E197" i="65" s="1"/>
  <c r="M257" i="66"/>
  <c r="E257" i="65" s="1"/>
  <c r="M277" i="66"/>
  <c r="E277" i="65" s="1"/>
  <c r="M237" i="66"/>
  <c r="E237" i="65" s="1"/>
  <c r="E111" i="66"/>
  <c r="E244" i="66"/>
  <c r="E282" i="66"/>
  <c r="E16" i="66"/>
  <c r="E112" i="66"/>
  <c r="E226" i="66"/>
  <c r="E17" i="66"/>
  <c r="E207" i="66"/>
  <c r="E302" i="66"/>
  <c r="E150" i="66"/>
  <c r="M18" i="66"/>
  <c r="E18" i="65" s="1"/>
  <c r="E131" i="66"/>
  <c r="M38" i="66"/>
  <c r="E38" i="65" s="1"/>
  <c r="E264" i="66"/>
  <c r="E283" i="66"/>
  <c r="M118" i="66"/>
  <c r="E118" i="65" s="1"/>
  <c r="M238" i="66"/>
  <c r="E238" i="65" s="1"/>
  <c r="M138" i="66"/>
  <c r="E138" i="65" s="1"/>
  <c r="M78" i="66"/>
  <c r="E78" i="65" s="1"/>
  <c r="M58" i="66"/>
  <c r="E58" i="65" s="1"/>
  <c r="E74" i="66"/>
  <c r="M158" i="66"/>
  <c r="E158" i="65" s="1"/>
  <c r="M298" i="66"/>
  <c r="E298" i="65" s="1"/>
  <c r="M198" i="66"/>
  <c r="E198" i="65" s="1"/>
  <c r="M258" i="66"/>
  <c r="E258" i="65" s="1"/>
  <c r="M178" i="66"/>
  <c r="E178" i="65" s="1"/>
  <c r="E188" i="66"/>
  <c r="E245" i="66"/>
  <c r="M218" i="66"/>
  <c r="E218" i="65" s="1"/>
  <c r="E55" i="66"/>
  <c r="M98" i="66"/>
  <c r="E98" i="65" s="1"/>
  <c r="M278" i="66"/>
  <c r="E278" i="65" s="1"/>
  <c r="M318" i="66"/>
  <c r="E318" i="65" s="1"/>
  <c r="E93" i="66"/>
  <c r="E36" i="66"/>
  <c r="E169" i="66"/>
  <c r="M19" i="66"/>
  <c r="E19" i="65" s="1"/>
  <c r="E132" i="66"/>
  <c r="E37" i="66"/>
  <c r="E265" i="66"/>
  <c r="E189" i="66"/>
  <c r="M159" i="66"/>
  <c r="E159" i="65" s="1"/>
  <c r="E94" i="66"/>
  <c r="E246" i="66"/>
  <c r="M299" i="66"/>
  <c r="E299" i="65" s="1"/>
  <c r="E170" i="66"/>
  <c r="E113" i="66"/>
  <c r="M139" i="66"/>
  <c r="E139" i="65" s="1"/>
  <c r="M39" i="66"/>
  <c r="E39" i="65" s="1"/>
  <c r="E303" i="66"/>
  <c r="M279" i="66"/>
  <c r="E279" i="65" s="1"/>
  <c r="E56" i="66"/>
  <c r="E322" i="66"/>
  <c r="M59" i="66"/>
  <c r="E59" i="65" s="1"/>
  <c r="M199" i="66"/>
  <c r="E199" i="65" s="1"/>
  <c r="E284" i="66"/>
  <c r="M79" i="66"/>
  <c r="E79" i="65" s="1"/>
  <c r="M99" i="66"/>
  <c r="E99" i="65" s="1"/>
  <c r="E208" i="66"/>
  <c r="M239" i="66"/>
  <c r="E239" i="65" s="1"/>
  <c r="M259" i="66"/>
  <c r="E259" i="65" s="1"/>
  <c r="M179" i="66"/>
  <c r="E179" i="65" s="1"/>
  <c r="M119" i="66"/>
  <c r="E119" i="65" s="1"/>
  <c r="E151" i="66"/>
  <c r="M319" i="66"/>
  <c r="E319" i="65" s="1"/>
  <c r="M219" i="66"/>
  <c r="E219" i="65" s="1"/>
  <c r="E18" i="66"/>
  <c r="E75" i="66"/>
  <c r="M339" i="66"/>
  <c r="E339" i="65" s="1"/>
  <c r="E227" i="66"/>
  <c r="E95" i="66"/>
  <c r="M240" i="66"/>
  <c r="E240" i="65" s="1"/>
  <c r="M300" i="66"/>
  <c r="E300" i="65" s="1"/>
  <c r="M320" i="66"/>
  <c r="E320" i="65" s="1"/>
  <c r="M140" i="66"/>
  <c r="E140" i="65" s="1"/>
  <c r="E209" i="66"/>
  <c r="M160" i="66"/>
  <c r="E160" i="65" s="1"/>
  <c r="M360" i="66"/>
  <c r="E360" i="65" s="1"/>
  <c r="M120" i="66"/>
  <c r="E120" i="65" s="1"/>
  <c r="M180" i="66"/>
  <c r="E180" i="65" s="1"/>
  <c r="E342" i="66"/>
  <c r="E171" i="66"/>
  <c r="E247" i="66"/>
  <c r="M60" i="66"/>
  <c r="E60" i="65" s="1"/>
  <c r="E190" i="66"/>
  <c r="E285" i="66"/>
  <c r="E19" i="66"/>
  <c r="M80" i="66"/>
  <c r="E80" i="65" s="1"/>
  <c r="M260" i="66"/>
  <c r="E260" i="65" s="1"/>
  <c r="M100" i="66"/>
  <c r="E100" i="65" s="1"/>
  <c r="M200" i="66"/>
  <c r="E200" i="65" s="1"/>
  <c r="M220" i="66"/>
  <c r="E220" i="65" s="1"/>
  <c r="M340" i="66"/>
  <c r="E340" i="65" s="1"/>
  <c r="M280" i="66"/>
  <c r="E280" i="65" s="1"/>
  <c r="E57" i="66"/>
  <c r="E304" i="66"/>
  <c r="E133" i="66"/>
  <c r="E266" i="66"/>
  <c r="M40" i="66"/>
  <c r="E40" i="65" s="1"/>
  <c r="E114" i="66"/>
  <c r="M20" i="66"/>
  <c r="E20" i="65" s="1"/>
  <c r="E228" i="66"/>
  <c r="E323" i="66"/>
  <c r="E152" i="66"/>
  <c r="E76" i="66"/>
  <c r="E38" i="66"/>
  <c r="E324" i="66"/>
  <c r="M41" i="66"/>
  <c r="E41" i="65" s="1"/>
  <c r="M381" i="66"/>
  <c r="E381" i="65" s="1"/>
  <c r="M161" i="66"/>
  <c r="E161" i="65" s="1"/>
  <c r="E39" i="66"/>
  <c r="E248" i="66"/>
  <c r="E191" i="66"/>
  <c r="E362" i="66"/>
  <c r="E77" i="66"/>
  <c r="E286" i="66"/>
  <c r="E134" i="66"/>
  <c r="E58" i="66"/>
  <c r="M281" i="66"/>
  <c r="E281" i="65" s="1"/>
  <c r="M241" i="66"/>
  <c r="E241" i="65" s="1"/>
  <c r="E267" i="66"/>
  <c r="M201" i="66"/>
  <c r="E201" i="65" s="1"/>
  <c r="M101" i="66"/>
  <c r="E101" i="65" s="1"/>
  <c r="E343" i="66"/>
  <c r="M221" i="66"/>
  <c r="E221" i="65" s="1"/>
  <c r="E96" i="66"/>
  <c r="E172" i="66"/>
  <c r="M121" i="66"/>
  <c r="E121" i="65" s="1"/>
  <c r="E210" i="66"/>
  <c r="M21" i="66"/>
  <c r="E21" i="65" s="1"/>
  <c r="E115" i="66"/>
  <c r="M361" i="66"/>
  <c r="E361" i="65" s="1"/>
  <c r="E229" i="66"/>
  <c r="E153" i="66"/>
  <c r="M301" i="66"/>
  <c r="E301" i="65" s="1"/>
  <c r="M141" i="66"/>
  <c r="E141" i="65" s="1"/>
  <c r="M61" i="66"/>
  <c r="E61" i="65" s="1"/>
  <c r="M341" i="66"/>
  <c r="E341" i="65" s="1"/>
  <c r="M321" i="66"/>
  <c r="E321" i="65" s="1"/>
  <c r="E305" i="66"/>
  <c r="M261" i="66"/>
  <c r="E261" i="65" s="1"/>
  <c r="E20" i="66"/>
  <c r="M181" i="66"/>
  <c r="E181" i="65" s="1"/>
  <c r="M81" i="66"/>
  <c r="E81" i="65" s="1"/>
  <c r="M362" i="66"/>
  <c r="E362" i="65" s="1"/>
  <c r="E192" i="66"/>
  <c r="M242" i="66"/>
  <c r="E242" i="65" s="1"/>
  <c r="E211" i="66"/>
  <c r="M342" i="66"/>
  <c r="E342" i="65" s="1"/>
  <c r="M322" i="66"/>
  <c r="E322" i="65" s="1"/>
  <c r="M182" i="66"/>
  <c r="E182" i="65" s="1"/>
  <c r="E59" i="66"/>
  <c r="M202" i="66"/>
  <c r="E202" i="65" s="1"/>
  <c r="M142" i="66"/>
  <c r="E142" i="65" s="1"/>
  <c r="E306" i="66"/>
  <c r="E268" i="66"/>
  <c r="E173" i="66"/>
  <c r="E382" i="66"/>
  <c r="M42" i="66"/>
  <c r="E42" i="65" s="1"/>
  <c r="M122" i="66"/>
  <c r="E122" i="65" s="1"/>
  <c r="M162" i="66"/>
  <c r="E162" i="65" s="1"/>
  <c r="M102" i="66"/>
  <c r="E102" i="65" s="1"/>
  <c r="E344" i="66"/>
  <c r="M382" i="66"/>
  <c r="E382" i="65" s="1"/>
  <c r="E40" i="66"/>
  <c r="E287" i="66"/>
  <c r="E97" i="66"/>
  <c r="M402" i="66"/>
  <c r="E402" i="65" s="1"/>
  <c r="E135" i="66"/>
  <c r="E249" i="66"/>
  <c r="E78" i="66"/>
  <c r="M62" i="66"/>
  <c r="E62" i="65" s="1"/>
  <c r="M282" i="66"/>
  <c r="E282" i="65" s="1"/>
  <c r="E21" i="66"/>
  <c r="M222" i="66"/>
  <c r="E222" i="65" s="1"/>
  <c r="M82" i="66"/>
  <c r="E82" i="65" s="1"/>
  <c r="M302" i="66"/>
  <c r="E302" i="65" s="1"/>
  <c r="E230" i="66"/>
  <c r="E116" i="66"/>
  <c r="E154" i="66"/>
  <c r="E325" i="66"/>
  <c r="E363" i="66"/>
  <c r="M22" i="66"/>
  <c r="E22" i="65" s="1"/>
  <c r="M262" i="66"/>
  <c r="E262" i="65" s="1"/>
  <c r="E174" i="66"/>
  <c r="E193" i="66"/>
  <c r="E231" i="66"/>
  <c r="M223" i="66"/>
  <c r="E223" i="65" s="1"/>
  <c r="M103" i="66"/>
  <c r="E103" i="65" s="1"/>
  <c r="E364" i="66"/>
  <c r="E41" i="66"/>
  <c r="E136" i="66"/>
  <c r="M303" i="66"/>
  <c r="E303" i="65" s="1"/>
  <c r="E60" i="66"/>
  <c r="M83" i="66"/>
  <c r="E83" i="65" s="1"/>
  <c r="E117" i="66"/>
  <c r="M203" i="66"/>
  <c r="E203" i="65" s="1"/>
  <c r="M263" i="66"/>
  <c r="E263" i="65" s="1"/>
  <c r="M383" i="66"/>
  <c r="E383" i="65" s="1"/>
  <c r="M43" i="66"/>
  <c r="E43" i="65" s="1"/>
  <c r="E402" i="66"/>
  <c r="E383" i="66"/>
  <c r="M343" i="66"/>
  <c r="E343" i="65" s="1"/>
  <c r="M363" i="66"/>
  <c r="E363" i="65" s="1"/>
  <c r="E345" i="66"/>
  <c r="E212" i="66"/>
  <c r="E98" i="66"/>
  <c r="E307" i="66"/>
  <c r="M163" i="66"/>
  <c r="E163" i="65" s="1"/>
  <c r="M243" i="66"/>
  <c r="E243" i="65" s="1"/>
  <c r="M423" i="66"/>
  <c r="E423" i="65" s="1"/>
  <c r="M143" i="66"/>
  <c r="E143" i="65" s="1"/>
  <c r="E250" i="66"/>
  <c r="M323" i="66"/>
  <c r="E323" i="65" s="1"/>
  <c r="M403" i="66"/>
  <c r="E403" i="65" s="1"/>
  <c r="E269" i="66"/>
  <c r="M63" i="66"/>
  <c r="E63" i="65" s="1"/>
  <c r="M123" i="66"/>
  <c r="E123" i="65" s="1"/>
  <c r="E288" i="66"/>
  <c r="E155" i="66"/>
  <c r="M183" i="66"/>
  <c r="E183" i="65" s="1"/>
  <c r="E326" i="66"/>
  <c r="E79" i="66"/>
  <c r="M283" i="66"/>
  <c r="E283" i="65" s="1"/>
  <c r="E403" i="66"/>
  <c r="E175" i="66"/>
  <c r="E137" i="66"/>
  <c r="M444" i="66"/>
  <c r="E444" i="65" s="1"/>
  <c r="E251" i="66"/>
  <c r="E308" i="66"/>
  <c r="E422" i="66"/>
  <c r="M204" i="66"/>
  <c r="E204" i="65" s="1"/>
  <c r="M104" i="66"/>
  <c r="E104" i="65" s="1"/>
  <c r="M424" i="66"/>
  <c r="E424" i="65" s="1"/>
  <c r="M164" i="66"/>
  <c r="E164" i="65" s="1"/>
  <c r="E270" i="66"/>
  <c r="M264" i="66"/>
  <c r="E264" i="65" s="1"/>
  <c r="M344" i="66"/>
  <c r="E344" i="65" s="1"/>
  <c r="E80" i="66"/>
  <c r="M244" i="66"/>
  <c r="E244" i="65" s="1"/>
  <c r="E61" i="66"/>
  <c r="M124" i="66"/>
  <c r="E124" i="65" s="1"/>
  <c r="M324" i="66"/>
  <c r="E324" i="65" s="1"/>
  <c r="E327" i="66"/>
  <c r="M384" i="66"/>
  <c r="E384" i="65" s="1"/>
  <c r="M364" i="66"/>
  <c r="E364" i="65" s="1"/>
  <c r="E365" i="66"/>
  <c r="E289" i="66"/>
  <c r="M184" i="66"/>
  <c r="E184" i="65" s="1"/>
  <c r="M64" i="66"/>
  <c r="E64" i="65" s="1"/>
  <c r="E156" i="66"/>
  <c r="E232" i="66"/>
  <c r="E118" i="66"/>
  <c r="M304" i="66"/>
  <c r="E304" i="65" s="1"/>
  <c r="M284" i="66"/>
  <c r="E284" i="65" s="1"/>
  <c r="M144" i="66"/>
  <c r="E144" i="65" s="1"/>
  <c r="E194" i="66"/>
  <c r="M224" i="66"/>
  <c r="E224" i="65" s="1"/>
  <c r="M404" i="66"/>
  <c r="E404" i="65" s="1"/>
  <c r="M84" i="66"/>
  <c r="E84" i="65" s="1"/>
  <c r="E213" i="66"/>
  <c r="E384" i="66"/>
  <c r="E346" i="66"/>
  <c r="E99" i="66"/>
  <c r="E81" i="66"/>
  <c r="M165" i="66"/>
  <c r="E165" i="65" s="1"/>
  <c r="E347" i="66"/>
  <c r="M125" i="66"/>
  <c r="E125" i="65" s="1"/>
  <c r="E176" i="66"/>
  <c r="E100" i="66"/>
  <c r="M245" i="66"/>
  <c r="E245" i="65" s="1"/>
  <c r="M205" i="66"/>
  <c r="E205" i="65" s="1"/>
  <c r="M265" i="66"/>
  <c r="E265" i="65" s="1"/>
  <c r="E119" i="66"/>
  <c r="E138" i="66"/>
  <c r="E252" i="66"/>
  <c r="M385" i="66"/>
  <c r="E385" i="65" s="1"/>
  <c r="M465" i="66"/>
  <c r="E465" i="65" s="1"/>
  <c r="M325" i="66"/>
  <c r="E325" i="65" s="1"/>
  <c r="E404" i="66"/>
  <c r="M405" i="66"/>
  <c r="E405" i="65" s="1"/>
  <c r="M225" i="66"/>
  <c r="E225" i="65" s="1"/>
  <c r="M305" i="66"/>
  <c r="E305" i="65" s="1"/>
  <c r="E385" i="66"/>
  <c r="E214" i="66"/>
  <c r="E309" i="66"/>
  <c r="E157" i="66"/>
  <c r="E423" i="66"/>
  <c r="E328" i="66"/>
  <c r="E290" i="66"/>
  <c r="E233" i="66"/>
  <c r="E195" i="66"/>
  <c r="M365" i="66"/>
  <c r="E365" i="65" s="1"/>
  <c r="M425" i="66"/>
  <c r="E425" i="65" s="1"/>
  <c r="M285" i="66"/>
  <c r="E285" i="65" s="1"/>
  <c r="M185" i="66"/>
  <c r="E185" i="65" s="1"/>
  <c r="M105" i="66"/>
  <c r="E105" i="65" s="1"/>
  <c r="E366" i="66"/>
  <c r="E442" i="66"/>
  <c r="M445" i="66"/>
  <c r="E445" i="65" s="1"/>
  <c r="E271" i="66"/>
  <c r="M145" i="66"/>
  <c r="E145" i="65" s="1"/>
  <c r="M85" i="66"/>
  <c r="E85" i="65" s="1"/>
  <c r="M345" i="66"/>
  <c r="E345" i="65" s="1"/>
  <c r="E139" i="66"/>
  <c r="M466" i="66"/>
  <c r="E466" i="65" s="1"/>
  <c r="M426" i="66"/>
  <c r="E426" i="65" s="1"/>
  <c r="E272" i="66"/>
  <c r="E120" i="66"/>
  <c r="M306" i="66"/>
  <c r="E306" i="65" s="1"/>
  <c r="M186" i="66"/>
  <c r="E186" i="65" s="1"/>
  <c r="E253" i="66"/>
  <c r="M226" i="66"/>
  <c r="E226" i="65" s="1"/>
  <c r="E215" i="66"/>
  <c r="M346" i="66"/>
  <c r="E346" i="65" s="1"/>
  <c r="M106" i="66"/>
  <c r="E106" i="65" s="1"/>
  <c r="E367" i="66"/>
  <c r="E329" i="66"/>
  <c r="M446" i="66"/>
  <c r="E446" i="65" s="1"/>
  <c r="M266" i="66"/>
  <c r="E266" i="65" s="1"/>
  <c r="E101" i="66"/>
  <c r="E424" i="66"/>
  <c r="E291" i="66"/>
  <c r="M366" i="66"/>
  <c r="E366" i="65" s="1"/>
  <c r="M166" i="66"/>
  <c r="E166" i="65" s="1"/>
  <c r="E196" i="66"/>
  <c r="E443" i="66"/>
  <c r="M126" i="66"/>
  <c r="E126" i="65" s="1"/>
  <c r="E348" i="66"/>
  <c r="E158" i="66"/>
  <c r="E462" i="66"/>
  <c r="E405" i="66"/>
  <c r="M246" i="66"/>
  <c r="E246" i="65" s="1"/>
  <c r="E177" i="66"/>
  <c r="E234" i="66"/>
  <c r="E386" i="66"/>
  <c r="M206" i="66"/>
  <c r="E206" i="65" s="1"/>
  <c r="M326" i="66"/>
  <c r="E326" i="65" s="1"/>
  <c r="M386" i="66"/>
  <c r="E386" i="65" s="1"/>
  <c r="M486" i="66"/>
  <c r="E486" i="65" s="1"/>
  <c r="M286" i="66"/>
  <c r="E286" i="65" s="1"/>
  <c r="E310" i="66"/>
  <c r="M146" i="66"/>
  <c r="E146" i="65" s="1"/>
  <c r="M406" i="66"/>
  <c r="E406" i="65" s="1"/>
  <c r="M407" i="66"/>
  <c r="E407" i="65" s="1"/>
  <c r="M147" i="66"/>
  <c r="E147" i="65" s="1"/>
  <c r="E463" i="66"/>
  <c r="M447" i="66"/>
  <c r="E447" i="65" s="1"/>
  <c r="E387" i="66"/>
  <c r="M227" i="66"/>
  <c r="E227" i="65" s="1"/>
  <c r="E425" i="66"/>
  <c r="M187" i="66"/>
  <c r="E187" i="65" s="1"/>
  <c r="E216" i="66"/>
  <c r="E273" i="66"/>
  <c r="E197" i="66"/>
  <c r="M287" i="66"/>
  <c r="E287" i="65" s="1"/>
  <c r="E368" i="66"/>
  <c r="M207" i="66"/>
  <c r="E207" i="65" s="1"/>
  <c r="E178" i="66"/>
  <c r="M167" i="66"/>
  <c r="E167" i="65" s="1"/>
  <c r="E121" i="66"/>
  <c r="M327" i="66"/>
  <c r="E327" i="65" s="1"/>
  <c r="E444" i="66"/>
  <c r="M307" i="66"/>
  <c r="E307" i="65" s="1"/>
  <c r="M247" i="66"/>
  <c r="E247" i="65" s="1"/>
  <c r="M367" i="66"/>
  <c r="E367" i="65" s="1"/>
  <c r="E406" i="66"/>
  <c r="M347" i="66"/>
  <c r="E347" i="65" s="1"/>
  <c r="M127" i="66"/>
  <c r="E127" i="65" s="1"/>
  <c r="E292" i="66"/>
  <c r="E235" i="66"/>
  <c r="E349" i="66"/>
  <c r="E482" i="66"/>
  <c r="E330" i="66"/>
  <c r="E159" i="66"/>
  <c r="E311" i="66"/>
  <c r="M387" i="66"/>
  <c r="E387" i="65" s="1"/>
  <c r="E140" i="66"/>
  <c r="M427" i="66"/>
  <c r="E427" i="65" s="1"/>
  <c r="M507" i="66"/>
  <c r="E507" i="65" s="1"/>
  <c r="M267" i="66"/>
  <c r="E267" i="65" s="1"/>
  <c r="E254" i="66"/>
  <c r="M487" i="66"/>
  <c r="E487" i="65" s="1"/>
  <c r="M467" i="66"/>
  <c r="E467" i="65" s="1"/>
  <c r="M288" i="66"/>
  <c r="E288" i="65" s="1"/>
  <c r="M148" i="66"/>
  <c r="E148" i="65" s="1"/>
  <c r="M248" i="66"/>
  <c r="E248" i="65" s="1"/>
  <c r="E141" i="66"/>
  <c r="E255" i="66"/>
  <c r="E198" i="66"/>
  <c r="E369" i="66"/>
  <c r="M428" i="66"/>
  <c r="E428" i="65" s="1"/>
  <c r="E274" i="66"/>
  <c r="M448" i="66"/>
  <c r="E448" i="65" s="1"/>
  <c r="M328" i="66"/>
  <c r="E328" i="65" s="1"/>
  <c r="M368" i="66"/>
  <c r="E368" i="65" s="1"/>
  <c r="E236" i="66"/>
  <c r="M208" i="66"/>
  <c r="E208" i="65" s="1"/>
  <c r="M168" i="66"/>
  <c r="E168" i="65" s="1"/>
  <c r="M488" i="66"/>
  <c r="E488" i="65" s="1"/>
  <c r="E160" i="66"/>
  <c r="E445" i="66"/>
  <c r="E483" i="66"/>
  <c r="E179" i="66"/>
  <c r="M408" i="66"/>
  <c r="E408" i="65" s="1"/>
  <c r="E217" i="66"/>
  <c r="M348" i="66"/>
  <c r="E348" i="65" s="1"/>
  <c r="M268" i="66"/>
  <c r="E268" i="65" s="1"/>
  <c r="E426" i="66"/>
  <c r="E350" i="66"/>
  <c r="E293" i="66"/>
  <c r="E388" i="66"/>
  <c r="M388" i="66"/>
  <c r="E388" i="65" s="1"/>
  <c r="E331" i="66"/>
  <c r="M508" i="66"/>
  <c r="E508" i="65" s="1"/>
  <c r="M188" i="66"/>
  <c r="E188" i="65" s="1"/>
  <c r="E464" i="66"/>
  <c r="M228" i="66"/>
  <c r="E228" i="65" s="1"/>
  <c r="E407" i="66"/>
  <c r="M308" i="66"/>
  <c r="E308" i="65" s="1"/>
  <c r="E312" i="66"/>
  <c r="M468" i="66"/>
  <c r="E468" i="65" s="1"/>
  <c r="M289" i="66"/>
  <c r="E289" i="65" s="1"/>
  <c r="E370" i="66"/>
  <c r="E313" i="66"/>
  <c r="M309" i="66"/>
  <c r="E309" i="65" s="1"/>
  <c r="M169" i="66"/>
  <c r="E169" i="65" s="1"/>
  <c r="M449" i="66"/>
  <c r="E449" i="65" s="1"/>
  <c r="M229" i="66"/>
  <c r="E229" i="65" s="1"/>
  <c r="E218" i="66"/>
  <c r="E275" i="66"/>
  <c r="M489" i="66"/>
  <c r="E489" i="65" s="1"/>
  <c r="E408" i="66"/>
  <c r="M409" i="66"/>
  <c r="E409" i="65" s="1"/>
  <c r="M329" i="66"/>
  <c r="E329" i="65" s="1"/>
  <c r="M469" i="66"/>
  <c r="E469" i="65" s="1"/>
  <c r="M189" i="66"/>
  <c r="E189" i="65" s="1"/>
  <c r="E484" i="66"/>
  <c r="M209" i="66"/>
  <c r="E209" i="65" s="1"/>
  <c r="M389" i="66"/>
  <c r="E389" i="65" s="1"/>
  <c r="E446" i="66"/>
  <c r="E180" i="66"/>
  <c r="E294" i="66"/>
  <c r="E199" i="66"/>
  <c r="M269" i="66"/>
  <c r="E269" i="65" s="1"/>
  <c r="M429" i="66"/>
  <c r="E429" i="65" s="1"/>
  <c r="M249" i="66"/>
  <c r="E249" i="65" s="1"/>
  <c r="E161" i="66"/>
  <c r="E256" i="66"/>
  <c r="E237" i="66"/>
  <c r="M349" i="66"/>
  <c r="E349" i="65" s="1"/>
  <c r="M509" i="66"/>
  <c r="E509" i="65" s="1"/>
  <c r="E332" i="66"/>
  <c r="M369" i="66"/>
  <c r="E369" i="65" s="1"/>
  <c r="E427" i="66"/>
  <c r="E351" i="66"/>
  <c r="E465" i="66"/>
  <c r="E389" i="66"/>
  <c r="E333" i="66"/>
  <c r="M450" i="66"/>
  <c r="E450" i="65" s="1"/>
  <c r="M190" i="66"/>
  <c r="E190" i="65" s="1"/>
  <c r="E314" i="66"/>
  <c r="M410" i="66"/>
  <c r="E410" i="65" s="1"/>
  <c r="M290" i="66"/>
  <c r="E290" i="65" s="1"/>
  <c r="E200" i="66"/>
  <c r="E390" i="66"/>
  <c r="E485" i="66"/>
  <c r="E295" i="66"/>
  <c r="M210" i="66"/>
  <c r="E210" i="65" s="1"/>
  <c r="M390" i="66"/>
  <c r="E390" i="65" s="1"/>
  <c r="M510" i="66"/>
  <c r="E510" i="65" s="1"/>
  <c r="M330" i="66"/>
  <c r="E330" i="65" s="1"/>
  <c r="M310" i="66"/>
  <c r="E310" i="65" s="1"/>
  <c r="M230" i="66"/>
  <c r="E230" i="65" s="1"/>
  <c r="E257" i="66"/>
  <c r="E428" i="66"/>
  <c r="E181" i="66"/>
  <c r="E219" i="66"/>
  <c r="E276" i="66"/>
  <c r="M430" i="66"/>
  <c r="E430" i="65" s="1"/>
  <c r="M350" i="66"/>
  <c r="E350" i="65" s="1"/>
  <c r="M470" i="66"/>
  <c r="E470" i="65" s="1"/>
  <c r="E371" i="66"/>
  <c r="M270" i="66"/>
  <c r="E270" i="65" s="1"/>
  <c r="E447" i="66"/>
  <c r="M490" i="66"/>
  <c r="E490" i="65" s="1"/>
  <c r="M370" i="66"/>
  <c r="E370" i="65" s="1"/>
  <c r="E466" i="66"/>
  <c r="E352" i="66"/>
  <c r="M250" i="66"/>
  <c r="E250" i="65" s="1"/>
  <c r="E238" i="66"/>
  <c r="E409" i="66"/>
  <c r="E315" i="66"/>
  <c r="E220" i="66"/>
  <c r="E296" i="66"/>
  <c r="E429" i="66"/>
  <c r="M391" i="66"/>
  <c r="E391" i="65" s="1"/>
  <c r="M431" i="66"/>
  <c r="E431" i="65" s="1"/>
  <c r="E391" i="66"/>
  <c r="E467" i="66"/>
  <c r="M231" i="66"/>
  <c r="E231" i="65" s="1"/>
  <c r="E410" i="66"/>
  <c r="M291" i="66"/>
  <c r="E291" i="65" s="1"/>
  <c r="E334" i="66"/>
  <c r="M331" i="66"/>
  <c r="E331" i="65" s="1"/>
  <c r="M251" i="66"/>
  <c r="E251" i="65" s="1"/>
  <c r="E448" i="66"/>
  <c r="M311" i="66"/>
  <c r="E311" i="65" s="1"/>
  <c r="M371" i="66"/>
  <c r="E371" i="65" s="1"/>
  <c r="M511" i="66"/>
  <c r="E511" i="65" s="1"/>
  <c r="M451" i="66"/>
  <c r="E451" i="65" s="1"/>
  <c r="E353" i="66"/>
  <c r="M211" i="66"/>
  <c r="E211" i="65" s="1"/>
  <c r="M411" i="66"/>
  <c r="E411" i="65" s="1"/>
  <c r="M491" i="66"/>
  <c r="E491" i="65" s="1"/>
  <c r="M471" i="66"/>
  <c r="E471" i="65" s="1"/>
  <c r="E201" i="66"/>
  <c r="E239" i="66"/>
  <c r="M271" i="66"/>
  <c r="E271" i="65" s="1"/>
  <c r="M351" i="66"/>
  <c r="E351" i="65" s="1"/>
  <c r="E258" i="66"/>
  <c r="E277" i="66"/>
  <c r="E486" i="66"/>
  <c r="E372" i="66"/>
  <c r="M432" i="66"/>
  <c r="E432" i="65" s="1"/>
  <c r="M372" i="66"/>
  <c r="E372" i="65" s="1"/>
  <c r="E411" i="66"/>
  <c r="E278" i="66"/>
  <c r="M232" i="66"/>
  <c r="E232" i="65" s="1"/>
  <c r="E335" i="66"/>
  <c r="M312" i="66"/>
  <c r="E312" i="65" s="1"/>
  <c r="E221" i="66"/>
  <c r="E259" i="66"/>
  <c r="M252" i="66"/>
  <c r="E252" i="65" s="1"/>
  <c r="M352" i="66"/>
  <c r="E352" i="65" s="1"/>
  <c r="E468" i="66"/>
  <c r="E373" i="66"/>
  <c r="E316" i="66"/>
  <c r="E297" i="66"/>
  <c r="E354" i="66"/>
  <c r="M292" i="66"/>
  <c r="E292" i="65" s="1"/>
  <c r="M332" i="66"/>
  <c r="E332" i="65" s="1"/>
  <c r="E449" i="66"/>
  <c r="M512" i="66"/>
  <c r="E512" i="65" s="1"/>
  <c r="M452" i="66"/>
  <c r="E452" i="65" s="1"/>
  <c r="E487" i="66"/>
  <c r="E430" i="66"/>
  <c r="E240" i="66"/>
  <c r="M492" i="66"/>
  <c r="E492" i="65" s="1"/>
  <c r="M412" i="66"/>
  <c r="E412" i="65" s="1"/>
  <c r="M472" i="66"/>
  <c r="E472" i="65" s="1"/>
  <c r="M392" i="66"/>
  <c r="E392" i="65" s="1"/>
  <c r="M272" i="66"/>
  <c r="E272" i="65" s="1"/>
  <c r="E392" i="66"/>
  <c r="E279" i="66"/>
  <c r="M253" i="66"/>
  <c r="E253" i="65" s="1"/>
  <c r="E412" i="66"/>
  <c r="E488" i="66"/>
  <c r="M373" i="66"/>
  <c r="E373" i="65" s="1"/>
  <c r="M413" i="66"/>
  <c r="E413" i="65" s="1"/>
  <c r="M493" i="66"/>
  <c r="E493" i="65" s="1"/>
  <c r="E393" i="66"/>
  <c r="E450" i="66"/>
  <c r="E317" i="66"/>
  <c r="M353" i="66"/>
  <c r="E353" i="65" s="1"/>
  <c r="E355" i="66"/>
  <c r="M473" i="66"/>
  <c r="E473" i="65" s="1"/>
  <c r="M393" i="66"/>
  <c r="E393" i="65" s="1"/>
  <c r="M293" i="66"/>
  <c r="E293" i="65" s="1"/>
  <c r="E431" i="66"/>
  <c r="M273" i="66"/>
  <c r="E273" i="65" s="1"/>
  <c r="E260" i="66"/>
  <c r="E336" i="66"/>
  <c r="E469" i="66"/>
  <c r="M453" i="66"/>
  <c r="E453" i="65" s="1"/>
  <c r="M313" i="66"/>
  <c r="E313" i="65" s="1"/>
  <c r="M433" i="66"/>
  <c r="E433" i="65" s="1"/>
  <c r="M333" i="66"/>
  <c r="E333" i="65" s="1"/>
  <c r="E298" i="66"/>
  <c r="E241" i="66"/>
  <c r="M513" i="66"/>
  <c r="E513" i="65" s="1"/>
  <c r="E374" i="66"/>
  <c r="E413" i="66"/>
  <c r="E489" i="66"/>
  <c r="E337" i="66"/>
  <c r="M454" i="66"/>
  <c r="E454" i="65" s="1"/>
  <c r="E451" i="66"/>
  <c r="E470" i="66"/>
  <c r="E280" i="66"/>
  <c r="M314" i="66"/>
  <c r="E314" i="65" s="1"/>
  <c r="E299" i="66"/>
  <c r="M414" i="66"/>
  <c r="E414" i="65" s="1"/>
  <c r="E432" i="66"/>
  <c r="M494" i="66"/>
  <c r="E494" i="65" s="1"/>
  <c r="M334" i="66"/>
  <c r="E334" i="65" s="1"/>
  <c r="E356" i="66"/>
  <c r="M474" i="66"/>
  <c r="E474" i="65" s="1"/>
  <c r="M394" i="66"/>
  <c r="E394" i="65" s="1"/>
  <c r="M274" i="66"/>
  <c r="E274" i="65" s="1"/>
  <c r="E394" i="66"/>
  <c r="M514" i="66"/>
  <c r="E514" i="65" s="1"/>
  <c r="M294" i="66"/>
  <c r="E294" i="65" s="1"/>
  <c r="E375" i="66"/>
  <c r="E261" i="66"/>
  <c r="M354" i="66"/>
  <c r="E354" i="65" s="1"/>
  <c r="E318" i="66"/>
  <c r="M434" i="66"/>
  <c r="E434" i="65" s="1"/>
  <c r="M374" i="66"/>
  <c r="E374" i="65" s="1"/>
  <c r="M355" i="66"/>
  <c r="E355" i="65" s="1"/>
  <c r="M475" i="66"/>
  <c r="E475" i="65" s="1"/>
  <c r="E414" i="66"/>
  <c r="E452" i="66"/>
  <c r="M295" i="66"/>
  <c r="E295" i="65" s="1"/>
  <c r="M455" i="66"/>
  <c r="E455" i="65" s="1"/>
  <c r="M315" i="66"/>
  <c r="E315" i="65" s="1"/>
  <c r="E433" i="66"/>
  <c r="E319" i="66"/>
  <c r="M375" i="66"/>
  <c r="E375" i="65" s="1"/>
  <c r="E338" i="66"/>
  <c r="M515" i="66"/>
  <c r="E515" i="65" s="1"/>
  <c r="E357" i="66"/>
  <c r="M415" i="66"/>
  <c r="E415" i="65" s="1"/>
  <c r="E490" i="66"/>
  <c r="E395" i="66"/>
  <c r="M495" i="66"/>
  <c r="E495" i="65" s="1"/>
  <c r="M395" i="66"/>
  <c r="E395" i="65" s="1"/>
  <c r="E300" i="66"/>
  <c r="E471" i="66"/>
  <c r="E376" i="66"/>
  <c r="E281" i="66"/>
  <c r="M335" i="66"/>
  <c r="E335" i="65" s="1"/>
  <c r="M435" i="66"/>
  <c r="E435" i="65" s="1"/>
  <c r="E339" i="66"/>
  <c r="M436" i="66"/>
  <c r="E436" i="65" s="1"/>
  <c r="M516" i="66"/>
  <c r="E516" i="65" s="1"/>
  <c r="M316" i="66"/>
  <c r="E316" i="65" s="1"/>
  <c r="E320" i="66"/>
  <c r="M396" i="66"/>
  <c r="E396" i="65" s="1"/>
  <c r="E472" i="66"/>
  <c r="M336" i="66"/>
  <c r="E336" i="65" s="1"/>
  <c r="E453" i="66"/>
  <c r="E377" i="66"/>
  <c r="M476" i="66"/>
  <c r="E476" i="65" s="1"/>
  <c r="M416" i="66"/>
  <c r="E416" i="65" s="1"/>
  <c r="E491" i="66"/>
  <c r="M376" i="66"/>
  <c r="E376" i="65" s="1"/>
  <c r="E396" i="66"/>
  <c r="M496" i="66"/>
  <c r="E496" i="65" s="1"/>
  <c r="E415" i="66"/>
  <c r="M456" i="66"/>
  <c r="E456" i="65" s="1"/>
  <c r="E301" i="66"/>
  <c r="E358" i="66"/>
  <c r="M356" i="66"/>
  <c r="E356" i="65" s="1"/>
  <c r="E434" i="66"/>
  <c r="E454" i="66"/>
  <c r="M517" i="66"/>
  <c r="E517" i="65" s="1"/>
  <c r="M337" i="66"/>
  <c r="E337" i="65" s="1"/>
  <c r="M377" i="66"/>
  <c r="E377" i="65" s="1"/>
  <c r="E378" i="66"/>
  <c r="E492" i="66"/>
  <c r="M457" i="66"/>
  <c r="E457" i="65" s="1"/>
  <c r="E416" i="66"/>
  <c r="E435" i="66"/>
  <c r="M497" i="66"/>
  <c r="E497" i="65" s="1"/>
  <c r="E473" i="66"/>
  <c r="M417" i="66"/>
  <c r="E417" i="65" s="1"/>
  <c r="E340" i="66"/>
  <c r="E359" i="66"/>
  <c r="M477" i="66"/>
  <c r="E477" i="65" s="1"/>
  <c r="E397" i="66"/>
  <c r="M397" i="66"/>
  <c r="E397" i="65" s="1"/>
  <c r="M357" i="66"/>
  <c r="E357" i="65" s="1"/>
  <c r="E321" i="66"/>
  <c r="M437" i="66"/>
  <c r="E437" i="65" s="1"/>
  <c r="E493" i="66"/>
  <c r="M418" i="66"/>
  <c r="E418" i="65" s="1"/>
  <c r="M438" i="66"/>
  <c r="E438" i="65" s="1"/>
  <c r="E360" i="66"/>
  <c r="M458" i="66"/>
  <c r="E458" i="65" s="1"/>
  <c r="E341" i="66"/>
  <c r="M498" i="66"/>
  <c r="E498" i="65" s="1"/>
  <c r="E379" i="66"/>
  <c r="E398" i="66"/>
  <c r="M378" i="66"/>
  <c r="E378" i="65" s="1"/>
  <c r="E436" i="66"/>
  <c r="E417" i="66"/>
  <c r="M478" i="66"/>
  <c r="E478" i="65" s="1"/>
  <c r="E455" i="66"/>
  <c r="M398" i="66"/>
  <c r="E398" i="65" s="1"/>
  <c r="M518" i="66"/>
  <c r="E518" i="65" s="1"/>
  <c r="E474" i="66"/>
  <c r="M358" i="66"/>
  <c r="E358" i="65" s="1"/>
  <c r="E399" i="66"/>
  <c r="M519" i="66"/>
  <c r="E519" i="65" s="1"/>
  <c r="M459" i="66"/>
  <c r="E459" i="65" s="1"/>
  <c r="E418" i="66"/>
  <c r="E437" i="66"/>
  <c r="E380" i="66"/>
  <c r="E361" i="66"/>
  <c r="M399" i="66"/>
  <c r="E399" i="65" s="1"/>
  <c r="E494" i="66"/>
  <c r="M379" i="66"/>
  <c r="E379" i="65" s="1"/>
  <c r="E456" i="66"/>
  <c r="M439" i="66"/>
  <c r="E439" i="65" s="1"/>
  <c r="E475" i="66"/>
  <c r="M419" i="66"/>
  <c r="E419" i="65" s="1"/>
  <c r="M479" i="66"/>
  <c r="E479" i="65" s="1"/>
  <c r="M499" i="66"/>
  <c r="E499" i="65" s="1"/>
  <c r="E438" i="66"/>
  <c r="M400" i="66"/>
  <c r="E400" i="65" s="1"/>
  <c r="M500" i="66"/>
  <c r="E500" i="65" s="1"/>
  <c r="E476" i="66"/>
  <c r="M460" i="66"/>
  <c r="E460" i="65" s="1"/>
  <c r="M440" i="66"/>
  <c r="E440" i="65" s="1"/>
  <c r="E381" i="66"/>
  <c r="E419" i="66"/>
  <c r="E457" i="66"/>
  <c r="M520" i="66"/>
  <c r="E520" i="65" s="1"/>
  <c r="E495" i="66"/>
  <c r="M420" i="66"/>
  <c r="E420" i="65" s="1"/>
  <c r="E400" i="66"/>
  <c r="M480" i="66"/>
  <c r="E480" i="65" s="1"/>
  <c r="M461" i="66"/>
  <c r="E461" i="65" s="1"/>
  <c r="E477" i="66"/>
  <c r="M481" i="66"/>
  <c r="E481" i="65" s="1"/>
  <c r="M521" i="66"/>
  <c r="E521" i="65" s="1"/>
  <c r="E439" i="66"/>
  <c r="E458" i="66"/>
  <c r="M501" i="66"/>
  <c r="E501" i="65" s="1"/>
  <c r="E420" i="66"/>
  <c r="M421" i="66"/>
  <c r="E421" i="65" s="1"/>
  <c r="M441" i="66"/>
  <c r="E441" i="65" s="1"/>
  <c r="E401" i="66"/>
  <c r="E496" i="66"/>
  <c r="M522" i="66"/>
  <c r="E522" i="65" s="1"/>
  <c r="M462" i="66"/>
  <c r="E462" i="65" s="1"/>
  <c r="E440" i="66"/>
  <c r="E459" i="66"/>
  <c r="M442" i="66"/>
  <c r="E442" i="65" s="1"/>
  <c r="M482" i="66"/>
  <c r="E482" i="65" s="1"/>
  <c r="E421" i="66"/>
  <c r="E497" i="66"/>
  <c r="M502" i="66"/>
  <c r="E502" i="65" s="1"/>
  <c r="E478" i="66"/>
  <c r="M463" i="66"/>
  <c r="E463" i="65" s="1"/>
  <c r="E441" i="66"/>
  <c r="E498" i="66"/>
  <c r="E479" i="66"/>
  <c r="M483" i="66"/>
  <c r="E483" i="65" s="1"/>
  <c r="M503" i="66"/>
  <c r="E503" i="65" s="1"/>
  <c r="M523" i="66"/>
  <c r="E523" i="65" s="1"/>
  <c r="E480" i="66"/>
  <c r="M484" i="66"/>
  <c r="E484" i="65" s="1"/>
  <c r="E461" i="66"/>
  <c r="M524" i="66"/>
  <c r="E524" i="65" s="1"/>
  <c r="E499" i="66"/>
  <c r="M504" i="66"/>
  <c r="E504" i="65" s="1"/>
  <c r="M505" i="66"/>
  <c r="E505" i="65" s="1"/>
  <c r="M525" i="66"/>
  <c r="E525" i="65" s="1"/>
  <c r="E481" i="66"/>
  <c r="E500" i="66"/>
  <c r="M526" i="66"/>
  <c r="E526" i="65" s="1"/>
  <c r="E501" i="66"/>
  <c r="C45" i="58"/>
  <c r="J44" i="58"/>
  <c r="I44" i="58"/>
  <c r="D44" i="58"/>
  <c r="K44" i="58"/>
  <c r="F44" i="58"/>
  <c r="E44" i="58"/>
  <c r="L43" i="58"/>
  <c r="F42" i="58"/>
  <c r="K45" i="58"/>
  <c r="F45" i="58"/>
  <c r="E45" i="58"/>
  <c r="L44" i="58"/>
  <c r="G45" i="58"/>
  <c r="E46" i="58"/>
  <c r="K43" i="58"/>
  <c r="F43" i="58"/>
  <c r="E43" i="58"/>
  <c r="L42" i="58"/>
  <c r="G43" i="58"/>
  <c r="B43" i="58"/>
  <c r="M42" i="58"/>
  <c r="H42" i="58"/>
  <c r="M44" i="58"/>
  <c r="G44" i="58"/>
  <c r="B44" i="58"/>
  <c r="M43" i="58"/>
  <c r="H43" i="58"/>
  <c r="K42" i="58"/>
  <c r="E42" i="58"/>
  <c r="G42" i="58"/>
  <c r="B42" i="58"/>
  <c r="L46" i="58"/>
  <c r="I43" i="58"/>
  <c r="C42" i="58"/>
  <c r="M46" i="58"/>
  <c r="H46" i="58"/>
  <c r="C44" i="58"/>
  <c r="L45" i="58"/>
  <c r="C43" i="58"/>
  <c r="J42" i="58"/>
  <c r="I42" i="58"/>
  <c r="D42" i="58"/>
  <c r="F46" i="58"/>
  <c r="H44" i="58"/>
  <c r="G46" i="58"/>
  <c r="B46" i="58"/>
  <c r="M45" i="58"/>
  <c r="H45" i="58"/>
  <c r="C46" i="58"/>
  <c r="J45" i="58"/>
  <c r="I45" i="58"/>
  <c r="D45" i="58"/>
  <c r="B45" i="58"/>
  <c r="D43" i="58"/>
  <c r="J46" i="58"/>
  <c r="I46" i="58"/>
  <c r="D46" i="58"/>
  <c r="K46" i="58"/>
  <c r="J43" i="58"/>
  <c r="Z65" i="59"/>
  <c r="AB65" i="59" s="1"/>
  <c r="L71" i="59"/>
  <c r="N71" i="59" s="1"/>
  <c r="AS71" i="59" s="1"/>
  <c r="AM65" i="59"/>
  <c r="AO65" i="59" s="1"/>
  <c r="AU65" i="59" s="1"/>
  <c r="A126" i="61"/>
  <c r="AC98" i="61" a="1"/>
  <c r="AW25" i="17"/>
  <c r="AW7" i="18"/>
  <c r="AI23" i="15"/>
  <c r="AW8" i="18"/>
  <c r="AQ25" i="16"/>
  <c r="AM25" i="16" s="1"/>
  <c r="AW26" i="17"/>
  <c r="AM24" i="18"/>
  <c r="AW24" i="18" s="1"/>
  <c r="AJ26" i="15"/>
  <c r="AI26" i="15"/>
  <c r="AU4" i="19"/>
  <c r="AA26" i="2"/>
  <c r="AG26" i="2" s="1"/>
  <c r="Y25" i="2"/>
  <c r="X26" i="2" s="1"/>
  <c r="AM17" i="23"/>
  <c r="AR28" i="17"/>
  <c r="AT28" i="17" s="1"/>
  <c r="AU28" i="17" s="1"/>
  <c r="AW28" i="17"/>
  <c r="AL26" i="15"/>
  <c r="AK26" i="15"/>
  <c r="AL5" i="15"/>
  <c r="AK5" i="15"/>
  <c r="AJ17" i="15"/>
  <c r="AI17" i="15"/>
  <c r="AJ21" i="15"/>
  <c r="AI21" i="15"/>
  <c r="AR28" i="18"/>
  <c r="AT28" i="18" s="1"/>
  <c r="AU28" i="18" s="1"/>
  <c r="AW28" i="18"/>
  <c r="AA19" i="10"/>
  <c r="AG19" i="10" s="1"/>
  <c r="Y18" i="10"/>
  <c r="X19" i="10" s="1"/>
  <c r="AA28" i="1"/>
  <c r="AG28" i="1" s="1"/>
  <c r="Y27" i="1"/>
  <c r="X28" i="1" s="1"/>
  <c r="AJ24" i="15"/>
  <c r="AI24" i="15"/>
  <c r="AK16" i="24"/>
  <c r="AQ16" i="24" s="1"/>
  <c r="AG31" i="24" s="1"/>
  <c r="AL16" i="24"/>
  <c r="AH17" i="24"/>
  <c r="AR16" i="23"/>
  <c r="AW16" i="23"/>
  <c r="AR12" i="21"/>
  <c r="AW12" i="21"/>
  <c r="D126" i="61"/>
  <c r="D97" i="61"/>
  <c r="T126" i="61"/>
  <c r="T97" i="61"/>
  <c r="M126" i="61"/>
  <c r="M97" i="61"/>
  <c r="A132" i="61"/>
  <c r="A103" i="61"/>
  <c r="E12" i="62" s="1"/>
  <c r="CO67" i="61"/>
  <c r="A140" i="61"/>
  <c r="A111" i="61"/>
  <c r="E20" i="62" s="1"/>
  <c r="CO75" i="61"/>
  <c r="A148" i="61"/>
  <c r="A119" i="61"/>
  <c r="E28" i="62" s="1"/>
  <c r="CO83" i="61"/>
  <c r="J126" i="61"/>
  <c r="J97" i="61"/>
  <c r="Z126" i="61"/>
  <c r="Z97" i="61"/>
  <c r="G126" i="61"/>
  <c r="G97" i="61"/>
  <c r="W126" i="61"/>
  <c r="W97" i="61"/>
  <c r="A133" i="61"/>
  <c r="A104" i="61"/>
  <c r="E13" i="62" s="1"/>
  <c r="CO68" i="61"/>
  <c r="A141" i="61"/>
  <c r="A112" i="61"/>
  <c r="E21" i="62" s="1"/>
  <c r="CO76" i="61"/>
  <c r="A149" i="61"/>
  <c r="A120" i="61"/>
  <c r="E29" i="62" s="1"/>
  <c r="CO84" i="61"/>
  <c r="X27" i="2"/>
  <c r="AA20" i="9"/>
  <c r="AG20" i="9" s="1"/>
  <c r="Y19" i="9"/>
  <c r="X20" i="9" s="1"/>
  <c r="AA25" i="4"/>
  <c r="AG25" i="4" s="1"/>
  <c r="Y24" i="4"/>
  <c r="X25" i="4" s="1"/>
  <c r="AL27" i="15"/>
  <c r="AK27" i="15"/>
  <c r="AL8" i="15"/>
  <c r="AK8" i="15"/>
  <c r="AK6" i="15"/>
  <c r="AL6" i="15"/>
  <c r="F28" i="1"/>
  <c r="D29" i="1"/>
  <c r="AJ20" i="15"/>
  <c r="AI20" i="15"/>
  <c r="X17" i="11"/>
  <c r="AA17" i="11"/>
  <c r="X16" i="11"/>
  <c r="AR27" i="18"/>
  <c r="AT27" i="18" s="1"/>
  <c r="AU27" i="18" s="1"/>
  <c r="AW27" i="18"/>
  <c r="AR5" i="18"/>
  <c r="AT5" i="18" s="1"/>
  <c r="AU5" i="18" s="1"/>
  <c r="AW5" i="18"/>
  <c r="AU4" i="53"/>
  <c r="AL9" i="16"/>
  <c r="AK9" i="16"/>
  <c r="AH10" i="16"/>
  <c r="AR14" i="24"/>
  <c r="AW14" i="24"/>
  <c r="AJ27" i="15"/>
  <c r="AI27" i="15"/>
  <c r="AU14" i="23"/>
  <c r="AR26" i="18"/>
  <c r="AT26" i="18" s="1"/>
  <c r="AU26" i="18" s="1"/>
  <c r="AW26" i="18"/>
  <c r="AQ27" i="16"/>
  <c r="AM27" i="16" s="1"/>
  <c r="X17" i="12"/>
  <c r="AA17" i="12"/>
  <c r="X16" i="12"/>
  <c r="AJ28" i="15"/>
  <c r="AI28" i="15"/>
  <c r="AM15" i="24"/>
  <c r="AR24" i="17"/>
  <c r="AT24" i="17" s="1"/>
  <c r="AU24" i="17" s="1"/>
  <c r="AW24" i="17"/>
  <c r="H126" i="61"/>
  <c r="H97" i="61"/>
  <c r="X126" i="61"/>
  <c r="X97" i="61"/>
  <c r="Q126" i="61"/>
  <c r="Q97" i="61"/>
  <c r="A134" i="61"/>
  <c r="A105" i="61"/>
  <c r="E14" i="62" s="1"/>
  <c r="CO69" i="61"/>
  <c r="A142" i="61"/>
  <c r="A113" i="61"/>
  <c r="E22" i="62" s="1"/>
  <c r="CO77" i="61"/>
  <c r="A150" i="61"/>
  <c r="A121" i="61"/>
  <c r="E30" i="62" s="1"/>
  <c r="CO85" i="61"/>
  <c r="N126" i="61"/>
  <c r="N97" i="61"/>
  <c r="K126" i="61"/>
  <c r="K97" i="61"/>
  <c r="A127" i="61"/>
  <c r="A98" i="61"/>
  <c r="E7" i="62" s="1"/>
  <c r="CO62" i="61"/>
  <c r="A135" i="61"/>
  <c r="A106" i="61"/>
  <c r="E15" i="62" s="1"/>
  <c r="CO70" i="61"/>
  <c r="A143" i="61"/>
  <c r="A114" i="61"/>
  <c r="E23" i="62" s="1"/>
  <c r="CO78" i="61"/>
  <c r="A151" i="61"/>
  <c r="A122" i="61"/>
  <c r="E31" i="62" s="1"/>
  <c r="CO86" i="61"/>
  <c r="AH15" i="21"/>
  <c r="AR11" i="53"/>
  <c r="AW11" i="53"/>
  <c r="AL24" i="15"/>
  <c r="AK24" i="15"/>
  <c r="AL28" i="15"/>
  <c r="AK28" i="15"/>
  <c r="AH9" i="15"/>
  <c r="AK4" i="15"/>
  <c r="AL4" i="15"/>
  <c r="AL12" i="18"/>
  <c r="AK12" i="18"/>
  <c r="AQ12" i="18" s="1"/>
  <c r="AH13" i="18"/>
  <c r="AJ18" i="15"/>
  <c r="AI18" i="15"/>
  <c r="AR25" i="18"/>
  <c r="AT25" i="18" s="1"/>
  <c r="AU25" i="18" s="1"/>
  <c r="AW25" i="18"/>
  <c r="AR10" i="18"/>
  <c r="AT10" i="18" s="1"/>
  <c r="AU10" i="18" s="1"/>
  <c r="AW10" i="18"/>
  <c r="AQ28" i="16"/>
  <c r="AM28" i="16" s="1"/>
  <c r="AR27" i="17"/>
  <c r="AT27" i="17" s="1"/>
  <c r="AU27" i="17" s="1"/>
  <c r="AW27" i="17"/>
  <c r="AF17" i="14"/>
  <c r="AF18" i="14" s="1"/>
  <c r="AF19" i="14" s="1"/>
  <c r="AF20" i="14" s="1"/>
  <c r="AF21" i="14" s="1"/>
  <c r="AF22" i="14" s="1"/>
  <c r="AF23" i="14" s="1"/>
  <c r="AF24" i="14" s="1"/>
  <c r="AF25" i="14" s="1"/>
  <c r="AF26" i="14" s="1"/>
  <c r="AF27" i="14" s="1"/>
  <c r="AF28" i="14" s="1"/>
  <c r="AH1" i="14"/>
  <c r="AW1" i="14"/>
  <c r="AQ24" i="16"/>
  <c r="AM24" i="16" s="1"/>
  <c r="X20" i="10"/>
  <c r="AA26" i="3"/>
  <c r="AG26" i="3" s="1"/>
  <c r="Y25" i="3"/>
  <c r="X26" i="3" s="1"/>
  <c r="AD1" i="13"/>
  <c r="AG17" i="13"/>
  <c r="AA23" i="6"/>
  <c r="AG23" i="6" s="1"/>
  <c r="Y22" i="6"/>
  <c r="X23" i="6" s="1"/>
  <c r="AR6" i="18"/>
  <c r="AT6" i="18" s="1"/>
  <c r="AU6" i="18" s="1"/>
  <c r="AW6" i="18"/>
  <c r="L126" i="61"/>
  <c r="L97" i="61"/>
  <c r="E126" i="61"/>
  <c r="E97" i="61"/>
  <c r="U126" i="61"/>
  <c r="U97" i="61"/>
  <c r="A128" i="61"/>
  <c r="A99" i="61"/>
  <c r="E8" i="62" s="1"/>
  <c r="CO63" i="61"/>
  <c r="A136" i="61"/>
  <c r="A107" i="61"/>
  <c r="E16" i="62" s="1"/>
  <c r="CO71" i="61"/>
  <c r="A144" i="61"/>
  <c r="A115" i="61"/>
  <c r="E24" i="62" s="1"/>
  <c r="CO79" i="61"/>
  <c r="B126" i="61"/>
  <c r="B97" i="61"/>
  <c r="R126" i="61"/>
  <c r="R97" i="61"/>
  <c r="O126" i="61"/>
  <c r="O97" i="61"/>
  <c r="A129" i="61"/>
  <c r="A100" i="61"/>
  <c r="E9" i="62" s="1"/>
  <c r="CO64" i="61"/>
  <c r="A137" i="61"/>
  <c r="A108" i="61"/>
  <c r="E17" i="62" s="1"/>
  <c r="CO72" i="61"/>
  <c r="A145" i="61"/>
  <c r="A116" i="61"/>
  <c r="E25" i="62" s="1"/>
  <c r="CO80" i="61"/>
  <c r="AQ26" i="16"/>
  <c r="AM26" i="16" s="1"/>
  <c r="AL18" i="23"/>
  <c r="AK18" i="23"/>
  <c r="AQ18" i="23" s="1"/>
  <c r="AH19" i="23"/>
  <c r="AM13" i="21"/>
  <c r="AA20" i="8"/>
  <c r="AG20" i="8" s="1"/>
  <c r="Y19" i="8"/>
  <c r="X20" i="8" s="1"/>
  <c r="AL25" i="15"/>
  <c r="AK25" i="15"/>
  <c r="AL7" i="15"/>
  <c r="AK7" i="15"/>
  <c r="G28" i="2"/>
  <c r="G29" i="2" s="1"/>
  <c r="F29" i="2"/>
  <c r="AJ25" i="15"/>
  <c r="AI25" i="15"/>
  <c r="AE1" i="14"/>
  <c r="AR4" i="18"/>
  <c r="AW4" i="18"/>
  <c r="AA24" i="5"/>
  <c r="AG24" i="5" s="1"/>
  <c r="Y23" i="5"/>
  <c r="X24" i="5" s="1"/>
  <c r="AJ22" i="15"/>
  <c r="AI22" i="15"/>
  <c r="AA22" i="7"/>
  <c r="AG22" i="7" s="1"/>
  <c r="Y21" i="7"/>
  <c r="X22" i="7" s="1"/>
  <c r="P126" i="61"/>
  <c r="P97" i="61"/>
  <c r="I126" i="61"/>
  <c r="I97" i="61"/>
  <c r="Y126" i="61"/>
  <c r="Y97" i="61"/>
  <c r="A130" i="61"/>
  <c r="A101" i="61"/>
  <c r="E10" i="62" s="1"/>
  <c r="CO65" i="61"/>
  <c r="A138" i="61"/>
  <c r="A109" i="61"/>
  <c r="E18" i="62" s="1"/>
  <c r="CO73" i="61"/>
  <c r="A146" i="61"/>
  <c r="A117" i="61"/>
  <c r="E26" i="62" s="1"/>
  <c r="CO81" i="61"/>
  <c r="F126" i="61"/>
  <c r="F97" i="61"/>
  <c r="V126" i="61"/>
  <c r="V97" i="61"/>
  <c r="C126" i="61"/>
  <c r="C97" i="61"/>
  <c r="S126" i="61"/>
  <c r="S97" i="61"/>
  <c r="A131" i="61"/>
  <c r="A102" i="61"/>
  <c r="E11" i="62" s="1"/>
  <c r="CO66" i="61"/>
  <c r="A139" i="61"/>
  <c r="A110" i="61"/>
  <c r="E19" i="62" s="1"/>
  <c r="CO74" i="61"/>
  <c r="A147" i="61"/>
  <c r="A118" i="61"/>
  <c r="E27" i="62" s="1"/>
  <c r="CO82" i="61"/>
  <c r="AK14" i="21" l="1"/>
  <c r="AQ14" i="21" s="1"/>
  <c r="AW4" i="17"/>
  <c r="FT150" i="61"/>
  <c r="FK150" i="61"/>
  <c r="GA150" i="61"/>
  <c r="FR150" i="61"/>
  <c r="FY150" i="61"/>
  <c r="EU150" i="61"/>
  <c r="EV150" i="61" s="1"/>
  <c r="AM11" i="18"/>
  <c r="AH12" i="17"/>
  <c r="AH13" i="17" s="1"/>
  <c r="AL11" i="17"/>
  <c r="AM11" i="17" s="1"/>
  <c r="AR11" i="17" s="1"/>
  <c r="AT11" i="17" s="1"/>
  <c r="AU11" i="17" s="1"/>
  <c r="AO88" i="61"/>
  <c r="AG88" i="61"/>
  <c r="AE88" i="61"/>
  <c r="AD88" i="61"/>
  <c r="AM88" i="61"/>
  <c r="AY88" i="61"/>
  <c r="AL88" i="61"/>
  <c r="AN88" i="61"/>
  <c r="AT88" i="61"/>
  <c r="AH88" i="61"/>
  <c r="AQ88" i="61"/>
  <c r="AC88" i="61"/>
  <c r="AK88" i="61"/>
  <c r="AI88" i="61"/>
  <c r="AP88" i="61"/>
  <c r="AW9" i="18"/>
  <c r="AL13" i="53"/>
  <c r="AK13" i="53"/>
  <c r="AQ13" i="53" s="1"/>
  <c r="W70" i="68"/>
  <c r="AZ88" i="61"/>
  <c r="R9" i="68"/>
  <c r="S9" i="68" s="1"/>
  <c r="R25" i="68"/>
  <c r="S25" i="68" s="1"/>
  <c r="R5" i="68"/>
  <c r="S5" i="68" s="1"/>
  <c r="R21" i="68"/>
  <c r="S21" i="68" s="1"/>
  <c r="R78" i="68"/>
  <c r="S78" i="68" s="1"/>
  <c r="R22" i="68"/>
  <c r="S22" i="68" s="1"/>
  <c r="R15" i="68"/>
  <c r="S15" i="68" s="1"/>
  <c r="R76" i="68"/>
  <c r="S76" i="68" s="1"/>
  <c r="R24" i="68"/>
  <c r="S24" i="68" s="1"/>
  <c r="A22" i="68"/>
  <c r="A48" i="68" s="1"/>
  <c r="A6" i="68"/>
  <c r="A32" i="68" s="1"/>
  <c r="A21" i="68"/>
  <c r="A47" i="68" s="1"/>
  <c r="A28" i="68"/>
  <c r="A12" i="68"/>
  <c r="A38" i="68" s="1"/>
  <c r="A19" i="68"/>
  <c r="A45" i="68" s="1"/>
  <c r="A26" i="68"/>
  <c r="A52" i="68" s="1"/>
  <c r="A10" i="68"/>
  <c r="A36" i="68" s="1"/>
  <c r="A17" i="68"/>
  <c r="A43" i="68" s="1"/>
  <c r="A24" i="68"/>
  <c r="A50" i="68" s="1"/>
  <c r="A8" i="68"/>
  <c r="A34" i="68" s="1"/>
  <c r="A15" i="68"/>
  <c r="A41" i="68" s="1"/>
  <c r="AR88" i="61"/>
  <c r="AV88" i="61"/>
  <c r="BA88" i="61"/>
  <c r="R17" i="68"/>
  <c r="S17" i="68" s="1"/>
  <c r="R74" i="68"/>
  <c r="S74" i="68" s="1"/>
  <c r="R13" i="68"/>
  <c r="S13" i="68" s="1"/>
  <c r="R29" i="68"/>
  <c r="S29" i="68" s="1"/>
  <c r="R70" i="68"/>
  <c r="S70" i="68" s="1"/>
  <c r="R7" i="68"/>
  <c r="S7" i="68" s="1"/>
  <c r="R61" i="68"/>
  <c r="S61" i="68" s="1"/>
  <c r="R68" i="68"/>
  <c r="S68" i="68" s="1"/>
  <c r="A30" i="68"/>
  <c r="A14" i="68"/>
  <c r="A40" i="68" s="1"/>
  <c r="A29" i="68"/>
  <c r="A13" i="68"/>
  <c r="A39" i="68" s="1"/>
  <c r="A20" i="68"/>
  <c r="A46" i="68" s="1"/>
  <c r="A27" i="68"/>
  <c r="A11" i="68"/>
  <c r="A37" i="68" s="1"/>
  <c r="A18" i="68"/>
  <c r="A44" i="68" s="1"/>
  <c r="A25" i="68"/>
  <c r="A51" i="68" s="1"/>
  <c r="A9" i="68"/>
  <c r="A35" i="68" s="1"/>
  <c r="A16" i="68"/>
  <c r="A42" i="68" s="1"/>
  <c r="A23" i="68"/>
  <c r="A49" i="68" s="1"/>
  <c r="A7" i="68"/>
  <c r="A33" i="68" s="1"/>
  <c r="AR5" i="17"/>
  <c r="AT5" i="17" s="1"/>
  <c r="AU5" i="17" s="1"/>
  <c r="AQ4" i="15"/>
  <c r="AM4" i="15" s="1"/>
  <c r="AR7" i="17"/>
  <c r="AT7" i="17" s="1"/>
  <c r="AU7" i="17" s="1"/>
  <c r="AR8" i="17"/>
  <c r="AT8" i="17" s="1"/>
  <c r="AU8" i="17" s="1"/>
  <c r="AR6" i="17"/>
  <c r="AT6" i="17" s="1"/>
  <c r="AU6" i="17" s="1"/>
  <c r="AQ7" i="15"/>
  <c r="AM7" i="15" s="1"/>
  <c r="AD16" i="14"/>
  <c r="AM4" i="16"/>
  <c r="AR4" i="16" s="1"/>
  <c r="AQ8" i="15"/>
  <c r="AM8" i="15" s="1"/>
  <c r="AQ5" i="15"/>
  <c r="AM5" i="15" s="1"/>
  <c r="AQ6" i="15"/>
  <c r="AM6" i="15" s="1"/>
  <c r="AR6" i="15" s="1"/>
  <c r="AT6" i="15" s="1"/>
  <c r="AU6" i="15" s="1"/>
  <c r="AW13" i="22"/>
  <c r="AR13" i="22"/>
  <c r="AT13" i="22" s="1"/>
  <c r="AU13" i="22" s="1"/>
  <c r="AW17" i="25"/>
  <c r="AL15" i="22"/>
  <c r="AH16" i="22"/>
  <c r="AK15" i="22"/>
  <c r="AQ15" i="22" s="1"/>
  <c r="AM14" i="22"/>
  <c r="AM18" i="25"/>
  <c r="AL19" i="25"/>
  <c r="AH20" i="25"/>
  <c r="AK19" i="25"/>
  <c r="AQ19" i="25" s="1"/>
  <c r="AM13" i="20"/>
  <c r="AR13" i="20" s="1"/>
  <c r="AT13" i="20" s="1"/>
  <c r="AU13" i="20" s="1"/>
  <c r="AW9" i="17"/>
  <c r="AQ9" i="16"/>
  <c r="AM9" i="16" s="1"/>
  <c r="AM7" i="16"/>
  <c r="AR7" i="16" s="1"/>
  <c r="AT7" i="16" s="1"/>
  <c r="AU7" i="16" s="1"/>
  <c r="AB9" i="14"/>
  <c r="AI9" i="14" s="1"/>
  <c r="AM13" i="19"/>
  <c r="AK14" i="20"/>
  <c r="AQ14" i="20" s="1"/>
  <c r="AL14" i="20"/>
  <c r="AH15" i="20"/>
  <c r="AR12" i="20"/>
  <c r="AT12" i="20" s="1"/>
  <c r="AU12" i="20" s="1"/>
  <c r="AW12" i="20"/>
  <c r="AF16" i="13"/>
  <c r="AI1" i="13"/>
  <c r="AB13" i="14"/>
  <c r="AI13" i="14" s="1"/>
  <c r="AB15" i="14"/>
  <c r="AI15" i="14" s="1"/>
  <c r="AB14" i="14"/>
  <c r="AJ14" i="14" s="1"/>
  <c r="AM5" i="16"/>
  <c r="AR5" i="16" s="1"/>
  <c r="AT5" i="16" s="1"/>
  <c r="AU5" i="16" s="1"/>
  <c r="AM8" i="16"/>
  <c r="AR8" i="16" s="1"/>
  <c r="AT8" i="16" s="1"/>
  <c r="AU8" i="16" s="1"/>
  <c r="AM6" i="16"/>
  <c r="AR6" i="16" s="1"/>
  <c r="AT6" i="16" s="1"/>
  <c r="AU6" i="16" s="1"/>
  <c r="AW12" i="19"/>
  <c r="AR12" i="19"/>
  <c r="AT12" i="19" s="1"/>
  <c r="AU12" i="19" s="1"/>
  <c r="AK14" i="19"/>
  <c r="AQ14" i="19" s="1"/>
  <c r="AH15" i="19"/>
  <c r="AL14" i="19"/>
  <c r="AI11" i="14"/>
  <c r="AJ11" i="14"/>
  <c r="AA16" i="12"/>
  <c r="X15" i="12"/>
  <c r="AA16" i="11"/>
  <c r="X15" i="11"/>
  <c r="AB10" i="14"/>
  <c r="AD6" i="14"/>
  <c r="AB6" i="14" s="1"/>
  <c r="AD14" i="14"/>
  <c r="AD10" i="14"/>
  <c r="AD12" i="14"/>
  <c r="AD8" i="14"/>
  <c r="AB8" i="14" s="1"/>
  <c r="AD9" i="14"/>
  <c r="AD4" i="14"/>
  <c r="AB4" i="14" s="1"/>
  <c r="AD5" i="14"/>
  <c r="AB5" i="14" s="1"/>
  <c r="AD15" i="14"/>
  <c r="AD13" i="14"/>
  <c r="AD11" i="14"/>
  <c r="AD7" i="14"/>
  <c r="AB7" i="14" s="1"/>
  <c r="Y1" i="13"/>
  <c r="AB15" i="13" s="1"/>
  <c r="AB12" i="14"/>
  <c r="AB16" i="14"/>
  <c r="GH150" i="61"/>
  <c r="N29" i="64" s="1"/>
  <c r="ES149" i="61"/>
  <c r="H28" i="64" s="1"/>
  <c r="GC150" i="61"/>
  <c r="GD150" i="61" s="1"/>
  <c r="GE150" i="61"/>
  <c r="L29" i="64" s="1"/>
  <c r="EY149" i="61"/>
  <c r="K28" i="64"/>
  <c r="EZ150" i="61"/>
  <c r="ER150" i="61"/>
  <c r="K88" i="61"/>
  <c r="C88" i="61"/>
  <c r="T88" i="61"/>
  <c r="N88" i="61"/>
  <c r="Y88" i="61"/>
  <c r="G88" i="61"/>
  <c r="L88" i="61"/>
  <c r="M88" i="61"/>
  <c r="Z88" i="61"/>
  <c r="B88" i="61"/>
  <c r="R88" i="61"/>
  <c r="I88" i="61"/>
  <c r="D88" i="61"/>
  <c r="H88" i="61"/>
  <c r="V88" i="61"/>
  <c r="W88" i="61"/>
  <c r="P88" i="61"/>
  <c r="F88" i="61"/>
  <c r="X88" i="61"/>
  <c r="J88" i="61"/>
  <c r="S88" i="61"/>
  <c r="U88" i="61"/>
  <c r="E88" i="61"/>
  <c r="AT65" i="59"/>
  <c r="AV65" i="59" s="1"/>
  <c r="AT66" i="59"/>
  <c r="AV66" i="59" s="1"/>
  <c r="E10" i="59" s="1"/>
  <c r="AC103" i="61"/>
  <c r="AC116" i="61"/>
  <c r="AC112" i="61"/>
  <c r="AC108" i="61"/>
  <c r="AC99" i="61"/>
  <c r="AC107" i="61"/>
  <c r="AC117" i="61"/>
  <c r="AC104" i="61"/>
  <c r="AC109" i="61"/>
  <c r="AC118" i="61"/>
  <c r="AC113" i="61"/>
  <c r="AC122" i="61"/>
  <c r="AC121" i="61"/>
  <c r="AC119" i="61"/>
  <c r="AC110" i="61"/>
  <c r="AC105" i="61"/>
  <c r="AC114" i="61"/>
  <c r="AC111" i="61"/>
  <c r="AC98" i="61"/>
  <c r="AC100" i="61"/>
  <c r="AC102" i="61"/>
  <c r="AC120" i="61"/>
  <c r="AC106" i="61"/>
  <c r="AC101" i="61"/>
  <c r="AC115" i="61"/>
  <c r="AQ27" i="15"/>
  <c r="AM27" i="15" s="1"/>
  <c r="AR24" i="18"/>
  <c r="AT24" i="18" s="1"/>
  <c r="AU24" i="18" s="1"/>
  <c r="AM16" i="24"/>
  <c r="AR16" i="24" s="1"/>
  <c r="AT16" i="24" s="1"/>
  <c r="AU16" i="24" s="1"/>
  <c r="CQ81" i="61"/>
  <c r="CR81" i="61" s="1"/>
  <c r="CP81" i="61"/>
  <c r="I150" i="61"/>
  <c r="AJ150" i="61" s="1"/>
  <c r="I149" i="61"/>
  <c r="AJ149" i="61" s="1"/>
  <c r="I148" i="61"/>
  <c r="AJ148" i="61" s="1"/>
  <c r="I147" i="61"/>
  <c r="AJ147" i="61" s="1"/>
  <c r="I146" i="61"/>
  <c r="AJ146" i="61" s="1"/>
  <c r="I145" i="61"/>
  <c r="AJ145" i="61" s="1"/>
  <c r="I144" i="61"/>
  <c r="AJ144" i="61" s="1"/>
  <c r="I142" i="61"/>
  <c r="AJ142" i="61" s="1"/>
  <c r="I137" i="61"/>
  <c r="AJ137" i="61" s="1"/>
  <c r="I143" i="61"/>
  <c r="AJ143" i="61" s="1"/>
  <c r="I139" i="61"/>
  <c r="AJ139" i="61" s="1"/>
  <c r="I136" i="61"/>
  <c r="AJ136" i="61" s="1"/>
  <c r="I151" i="61"/>
  <c r="AJ151" i="61" s="1"/>
  <c r="I138" i="61"/>
  <c r="AJ138" i="61" s="1"/>
  <c r="I134" i="61"/>
  <c r="AJ134" i="61" s="1"/>
  <c r="I130" i="61"/>
  <c r="AJ130" i="61" s="1"/>
  <c r="I133" i="61"/>
  <c r="AJ133" i="61" s="1"/>
  <c r="I129" i="61"/>
  <c r="AJ129" i="61" s="1"/>
  <c r="I132" i="61"/>
  <c r="AJ132" i="61" s="1"/>
  <c r="I128" i="61"/>
  <c r="AJ128" i="61" s="1"/>
  <c r="I141" i="61"/>
  <c r="AJ141" i="61" s="1"/>
  <c r="I140" i="61"/>
  <c r="AJ140" i="61" s="1"/>
  <c r="I127" i="61"/>
  <c r="AJ127" i="61" s="1"/>
  <c r="I135" i="61"/>
  <c r="AJ135" i="61" s="1"/>
  <c r="I131" i="61"/>
  <c r="AJ131" i="61" s="1"/>
  <c r="AB20" i="14"/>
  <c r="AB19" i="14"/>
  <c r="AQ25" i="15"/>
  <c r="AM25" i="15" s="1"/>
  <c r="AA19" i="8"/>
  <c r="AG19" i="8" s="1"/>
  <c r="Y18" i="8"/>
  <c r="X19" i="8" s="1"/>
  <c r="AR13" i="21"/>
  <c r="AT13" i="21" s="1"/>
  <c r="AU13" i="21" s="1"/>
  <c r="AW13" i="21"/>
  <c r="AR26" i="16"/>
  <c r="AT26" i="16" s="1"/>
  <c r="AU26" i="16" s="1"/>
  <c r="AW26" i="16"/>
  <c r="CQ72" i="61"/>
  <c r="CR72" i="61" s="1"/>
  <c r="CP72" i="61"/>
  <c r="CQ79" i="61"/>
  <c r="CR79" i="61" s="1"/>
  <c r="CP79" i="61"/>
  <c r="E150" i="61"/>
  <c r="AF150" i="61" s="1"/>
  <c r="E149" i="61"/>
  <c r="AF149" i="61" s="1"/>
  <c r="E148" i="61"/>
  <c r="AF148" i="61" s="1"/>
  <c r="E147" i="61"/>
  <c r="AF147" i="61" s="1"/>
  <c r="E146" i="61"/>
  <c r="AF146" i="61" s="1"/>
  <c r="E145" i="61"/>
  <c r="AF145" i="61" s="1"/>
  <c r="E144" i="61"/>
  <c r="AF144" i="61" s="1"/>
  <c r="E151" i="61"/>
  <c r="AF151" i="61" s="1"/>
  <c r="E143" i="61"/>
  <c r="AF143" i="61" s="1"/>
  <c r="E139" i="61"/>
  <c r="AF139" i="61" s="1"/>
  <c r="E137" i="61"/>
  <c r="AF137" i="61" s="1"/>
  <c r="E140" i="61"/>
  <c r="AF140" i="61" s="1"/>
  <c r="E136" i="61"/>
  <c r="AF136" i="61" s="1"/>
  <c r="E141" i="61"/>
  <c r="AF141" i="61" s="1"/>
  <c r="E130" i="61"/>
  <c r="AF130" i="61" s="1"/>
  <c r="E135" i="61"/>
  <c r="AF135" i="61" s="1"/>
  <c r="E133" i="61"/>
  <c r="AF133" i="61" s="1"/>
  <c r="E129" i="61"/>
  <c r="AF129" i="61" s="1"/>
  <c r="E142" i="61"/>
  <c r="AF142" i="61" s="1"/>
  <c r="E138" i="61"/>
  <c r="AF138" i="61" s="1"/>
  <c r="E132" i="61"/>
  <c r="AF132" i="61" s="1"/>
  <c r="E128" i="61"/>
  <c r="AF128" i="61" s="1"/>
  <c r="E131" i="61"/>
  <c r="AF131" i="61" s="1"/>
  <c r="E127" i="61"/>
  <c r="AF127" i="61" s="1"/>
  <c r="E134" i="61"/>
  <c r="AF134" i="61" s="1"/>
  <c r="AA25" i="3"/>
  <c r="AG25" i="3" s="1"/>
  <c r="Y24" i="3"/>
  <c r="X25" i="3" s="1"/>
  <c r="AH6" i="14"/>
  <c r="AH5" i="14"/>
  <c r="AH4" i="14"/>
  <c r="AH8" i="14"/>
  <c r="AH7" i="14"/>
  <c r="AH28" i="14"/>
  <c r="AH27" i="14"/>
  <c r="AH26" i="14"/>
  <c r="AH25" i="14"/>
  <c r="AM12" i="18"/>
  <c r="AL9" i="15"/>
  <c r="AK9" i="15"/>
  <c r="AQ9" i="15" s="1"/>
  <c r="AH10" i="15"/>
  <c r="AT11" i="53"/>
  <c r="CQ70" i="61"/>
  <c r="CR70" i="61" s="1"/>
  <c r="CP70" i="61"/>
  <c r="CQ69" i="61"/>
  <c r="CR69" i="61" s="1"/>
  <c r="CP69" i="61"/>
  <c r="Q150" i="61"/>
  <c r="AR150" i="61" s="1"/>
  <c r="Q149" i="61"/>
  <c r="AR149" i="61" s="1"/>
  <c r="Q148" i="61"/>
  <c r="AR148" i="61" s="1"/>
  <c r="Q147" i="61"/>
  <c r="AR147" i="61" s="1"/>
  <c r="Q146" i="61"/>
  <c r="AR146" i="61" s="1"/>
  <c r="Q145" i="61"/>
  <c r="AR145" i="61" s="1"/>
  <c r="Q144" i="61"/>
  <c r="AR144" i="61" s="1"/>
  <c r="Q140" i="61"/>
  <c r="AR140" i="61" s="1"/>
  <c r="Q137" i="61"/>
  <c r="AR137" i="61" s="1"/>
  <c r="Q141" i="61"/>
  <c r="AR141" i="61" s="1"/>
  <c r="Q136" i="61"/>
  <c r="AR136" i="61" s="1"/>
  <c r="Q151" i="61"/>
  <c r="AR151" i="61" s="1"/>
  <c r="Q142" i="61"/>
  <c r="AR142" i="61" s="1"/>
  <c r="Q139" i="61"/>
  <c r="AR139" i="61" s="1"/>
  <c r="Q138" i="61"/>
  <c r="AR138" i="61" s="1"/>
  <c r="Q130" i="61"/>
  <c r="AR130" i="61" s="1"/>
  <c r="Q133" i="61"/>
  <c r="AR133" i="61" s="1"/>
  <c r="Q129" i="61"/>
  <c r="AR129" i="61" s="1"/>
  <c r="Q143" i="61"/>
  <c r="AR143" i="61" s="1"/>
  <c r="Q134" i="61"/>
  <c r="AR134" i="61" s="1"/>
  <c r="Q132" i="61"/>
  <c r="AR132" i="61" s="1"/>
  <c r="Q128" i="61"/>
  <c r="AR128" i="61" s="1"/>
  <c r="Q131" i="61"/>
  <c r="AR131" i="61" s="1"/>
  <c r="Q135" i="61"/>
  <c r="AR135" i="61" s="1"/>
  <c r="Q127" i="61"/>
  <c r="AR127" i="61" s="1"/>
  <c r="H150" i="61"/>
  <c r="AI150" i="61" s="1"/>
  <c r="H149" i="61"/>
  <c r="AI149" i="61" s="1"/>
  <c r="H148" i="61"/>
  <c r="AI148" i="61" s="1"/>
  <c r="H147" i="61"/>
  <c r="AI147" i="61" s="1"/>
  <c r="H146" i="61"/>
  <c r="AI146" i="61" s="1"/>
  <c r="H145" i="61"/>
  <c r="AI145" i="61" s="1"/>
  <c r="H144" i="61"/>
  <c r="AI144" i="61" s="1"/>
  <c r="H143" i="61"/>
  <c r="AI143" i="61" s="1"/>
  <c r="H142" i="61"/>
  <c r="AI142" i="61" s="1"/>
  <c r="H141" i="61"/>
  <c r="AI141" i="61" s="1"/>
  <c r="H138" i="61"/>
  <c r="AI138" i="61" s="1"/>
  <c r="H137" i="61"/>
  <c r="AI137" i="61" s="1"/>
  <c r="H151" i="61"/>
  <c r="AI151" i="61" s="1"/>
  <c r="H140" i="61"/>
  <c r="AI140" i="61" s="1"/>
  <c r="H135" i="61"/>
  <c r="AI135" i="61" s="1"/>
  <c r="H131" i="61"/>
  <c r="AI131" i="61" s="1"/>
  <c r="H127" i="61"/>
  <c r="AI127" i="61" s="1"/>
  <c r="H136" i="61"/>
  <c r="AI136" i="61" s="1"/>
  <c r="H134" i="61"/>
  <c r="AI134" i="61" s="1"/>
  <c r="H130" i="61"/>
  <c r="AI130" i="61" s="1"/>
  <c r="H133" i="61"/>
  <c r="AI133" i="61" s="1"/>
  <c r="H129" i="61"/>
  <c r="AI129" i="61" s="1"/>
  <c r="H132" i="61"/>
  <c r="AI132" i="61" s="1"/>
  <c r="H139" i="61"/>
  <c r="AI139" i="61" s="1"/>
  <c r="H128" i="61"/>
  <c r="AI128" i="61" s="1"/>
  <c r="AR15" i="24"/>
  <c r="AT15" i="24" s="1"/>
  <c r="AU15" i="24" s="1"/>
  <c r="AW15" i="24"/>
  <c r="AT4" i="17"/>
  <c r="AT14" i="24"/>
  <c r="CQ84" i="61"/>
  <c r="CR84" i="61" s="1"/>
  <c r="CP84" i="61"/>
  <c r="G151" i="61"/>
  <c r="AH151" i="61" s="1"/>
  <c r="G141" i="61"/>
  <c r="AH141" i="61" s="1"/>
  <c r="G140" i="61"/>
  <c r="AH140" i="61" s="1"/>
  <c r="G135" i="61"/>
  <c r="AH135" i="61" s="1"/>
  <c r="G149" i="61"/>
  <c r="AH149" i="61" s="1"/>
  <c r="G147" i="61"/>
  <c r="AH147" i="61" s="1"/>
  <c r="G145" i="61"/>
  <c r="AH145" i="61" s="1"/>
  <c r="G142" i="61"/>
  <c r="AH142" i="61" s="1"/>
  <c r="G138" i="61"/>
  <c r="AH138" i="61" s="1"/>
  <c r="G134" i="61"/>
  <c r="AH134" i="61" s="1"/>
  <c r="G143" i="61"/>
  <c r="AH143" i="61" s="1"/>
  <c r="G150" i="61"/>
  <c r="AH150" i="61" s="1"/>
  <c r="G139" i="61"/>
  <c r="AH139" i="61" s="1"/>
  <c r="G132" i="61"/>
  <c r="AH132" i="61" s="1"/>
  <c r="G128" i="61"/>
  <c r="AH128" i="61" s="1"/>
  <c r="G148" i="61"/>
  <c r="AH148" i="61" s="1"/>
  <c r="G131" i="61"/>
  <c r="AH131" i="61" s="1"/>
  <c r="G127" i="61"/>
  <c r="AH127" i="61" s="1"/>
  <c r="G146" i="61"/>
  <c r="AH146" i="61" s="1"/>
  <c r="G136" i="61"/>
  <c r="AH136" i="61" s="1"/>
  <c r="G130" i="61"/>
  <c r="AH130" i="61" s="1"/>
  <c r="G137" i="61"/>
  <c r="AH137" i="61" s="1"/>
  <c r="G144" i="61"/>
  <c r="AH144" i="61" s="1"/>
  <c r="G133" i="61"/>
  <c r="AH133" i="61" s="1"/>
  <c r="G129" i="61"/>
  <c r="AH129" i="61" s="1"/>
  <c r="J151" i="61"/>
  <c r="AK151" i="61" s="1"/>
  <c r="J140" i="61"/>
  <c r="AK140" i="61" s="1"/>
  <c r="J139" i="61"/>
  <c r="AK139" i="61" s="1"/>
  <c r="J149" i="61"/>
  <c r="AK149" i="61" s="1"/>
  <c r="J147" i="61"/>
  <c r="AK147" i="61" s="1"/>
  <c r="J145" i="61"/>
  <c r="AK145" i="61" s="1"/>
  <c r="J143" i="61"/>
  <c r="AK143" i="61" s="1"/>
  <c r="J136" i="61"/>
  <c r="AK136" i="61" s="1"/>
  <c r="J135" i="61"/>
  <c r="AK135" i="61" s="1"/>
  <c r="J150" i="61"/>
  <c r="AK150" i="61" s="1"/>
  <c r="J148" i="61"/>
  <c r="AK148" i="61" s="1"/>
  <c r="J146" i="61"/>
  <c r="AK146" i="61" s="1"/>
  <c r="J144" i="61"/>
  <c r="AK144" i="61" s="1"/>
  <c r="J141" i="61"/>
  <c r="AK141" i="61" s="1"/>
  <c r="J133" i="61"/>
  <c r="AK133" i="61" s="1"/>
  <c r="J129" i="61"/>
  <c r="AK129" i="61" s="1"/>
  <c r="J142" i="61"/>
  <c r="AK142" i="61" s="1"/>
  <c r="J132" i="61"/>
  <c r="AK132" i="61" s="1"/>
  <c r="J128" i="61"/>
  <c r="AK128" i="61" s="1"/>
  <c r="J137" i="61"/>
  <c r="AK137" i="61" s="1"/>
  <c r="J131" i="61"/>
  <c r="AK131" i="61" s="1"/>
  <c r="J127" i="61"/>
  <c r="AK127" i="61" s="1"/>
  <c r="J134" i="61"/>
  <c r="AK134" i="61" s="1"/>
  <c r="J138" i="61"/>
  <c r="AK138" i="61" s="1"/>
  <c r="J130" i="61"/>
  <c r="AK130" i="61" s="1"/>
  <c r="CQ75" i="61"/>
  <c r="CR75" i="61" s="1"/>
  <c r="CP75" i="61"/>
  <c r="AQ24" i="15"/>
  <c r="AM24" i="15" s="1"/>
  <c r="AA27" i="1"/>
  <c r="AG27" i="1" s="1"/>
  <c r="Y26" i="1"/>
  <c r="X27" i="1" s="1"/>
  <c r="AA18" i="10"/>
  <c r="AG18" i="10" s="1"/>
  <c r="Y17" i="10"/>
  <c r="CQ66" i="61"/>
  <c r="CR66" i="61" s="1"/>
  <c r="CP66" i="61"/>
  <c r="S151" i="61"/>
  <c r="AT151" i="61" s="1"/>
  <c r="S142" i="61"/>
  <c r="AT142" i="61" s="1"/>
  <c r="S135" i="61"/>
  <c r="AT135" i="61" s="1"/>
  <c r="S150" i="61"/>
  <c r="AT150" i="61" s="1"/>
  <c r="S148" i="61"/>
  <c r="AT148" i="61" s="1"/>
  <c r="S146" i="61"/>
  <c r="AT146" i="61" s="1"/>
  <c r="S144" i="61"/>
  <c r="AT144" i="61" s="1"/>
  <c r="S143" i="61"/>
  <c r="AT143" i="61" s="1"/>
  <c r="S138" i="61"/>
  <c r="AT138" i="61" s="1"/>
  <c r="S134" i="61"/>
  <c r="AT134" i="61" s="1"/>
  <c r="S140" i="61"/>
  <c r="AT140" i="61" s="1"/>
  <c r="S136" i="61"/>
  <c r="AT136" i="61" s="1"/>
  <c r="S132" i="61"/>
  <c r="AT132" i="61" s="1"/>
  <c r="S128" i="61"/>
  <c r="AT128" i="61" s="1"/>
  <c r="S149" i="61"/>
  <c r="AT149" i="61" s="1"/>
  <c r="S141" i="61"/>
  <c r="AT141" i="61" s="1"/>
  <c r="S137" i="61"/>
  <c r="AT137" i="61" s="1"/>
  <c r="S131" i="61"/>
  <c r="AT131" i="61" s="1"/>
  <c r="S127" i="61"/>
  <c r="AT127" i="61" s="1"/>
  <c r="S147" i="61"/>
  <c r="AT147" i="61" s="1"/>
  <c r="S130" i="61"/>
  <c r="AT130" i="61" s="1"/>
  <c r="S139" i="61"/>
  <c r="AT139" i="61" s="1"/>
  <c r="S133" i="61"/>
  <c r="AT133" i="61" s="1"/>
  <c r="S145" i="61"/>
  <c r="AT145" i="61" s="1"/>
  <c r="S129" i="61"/>
  <c r="AT129" i="61" s="1"/>
  <c r="V151" i="61"/>
  <c r="AW151" i="61" s="1"/>
  <c r="V140" i="61"/>
  <c r="AW140" i="61" s="1"/>
  <c r="V139" i="61"/>
  <c r="AW139" i="61" s="1"/>
  <c r="V150" i="61"/>
  <c r="AW150" i="61" s="1"/>
  <c r="V148" i="61"/>
  <c r="AW148" i="61" s="1"/>
  <c r="V146" i="61"/>
  <c r="AW146" i="61" s="1"/>
  <c r="V144" i="61"/>
  <c r="AW144" i="61" s="1"/>
  <c r="V136" i="61"/>
  <c r="AW136" i="61" s="1"/>
  <c r="V141" i="61"/>
  <c r="AW141" i="61" s="1"/>
  <c r="V135" i="61"/>
  <c r="AW135" i="61" s="1"/>
  <c r="V149" i="61"/>
  <c r="AW149" i="61" s="1"/>
  <c r="V147" i="61"/>
  <c r="AW147" i="61" s="1"/>
  <c r="V145" i="61"/>
  <c r="AW145" i="61" s="1"/>
  <c r="V142" i="61"/>
  <c r="AW142" i="61" s="1"/>
  <c r="V137" i="61"/>
  <c r="AW137" i="61" s="1"/>
  <c r="V133" i="61"/>
  <c r="AW133" i="61" s="1"/>
  <c r="V129" i="61"/>
  <c r="AW129" i="61" s="1"/>
  <c r="V143" i="61"/>
  <c r="AW143" i="61" s="1"/>
  <c r="V138" i="61"/>
  <c r="AW138" i="61" s="1"/>
  <c r="V132" i="61"/>
  <c r="AW132" i="61" s="1"/>
  <c r="V128" i="61"/>
  <c r="AW128" i="61" s="1"/>
  <c r="V131" i="61"/>
  <c r="AW131" i="61" s="1"/>
  <c r="V127" i="61"/>
  <c r="AW127" i="61" s="1"/>
  <c r="V134" i="61"/>
  <c r="AW134" i="61" s="1"/>
  <c r="V130" i="61"/>
  <c r="AW130" i="61" s="1"/>
  <c r="AA23" i="5"/>
  <c r="AG23" i="5" s="1"/>
  <c r="Y22" i="5"/>
  <c r="X23" i="5" s="1"/>
  <c r="AB21" i="14"/>
  <c r="AB22" i="14"/>
  <c r="AL19" i="23"/>
  <c r="AK19" i="23"/>
  <c r="AQ19" i="23" s="1"/>
  <c r="AH20" i="23"/>
  <c r="CQ80" i="61"/>
  <c r="CR80" i="61" s="1"/>
  <c r="CP80" i="61"/>
  <c r="R151" i="61"/>
  <c r="AS151" i="61" s="1"/>
  <c r="R140" i="61"/>
  <c r="AS140" i="61" s="1"/>
  <c r="R139" i="61"/>
  <c r="AS139" i="61" s="1"/>
  <c r="R149" i="61"/>
  <c r="AS149" i="61" s="1"/>
  <c r="R147" i="61"/>
  <c r="AS147" i="61" s="1"/>
  <c r="R145" i="61"/>
  <c r="AS145" i="61" s="1"/>
  <c r="R141" i="61"/>
  <c r="AS141" i="61" s="1"/>
  <c r="R136" i="61"/>
  <c r="AS136" i="61" s="1"/>
  <c r="R142" i="61"/>
  <c r="AS142" i="61" s="1"/>
  <c r="R135" i="61"/>
  <c r="AS135" i="61" s="1"/>
  <c r="R150" i="61"/>
  <c r="AS150" i="61" s="1"/>
  <c r="R148" i="61"/>
  <c r="AS148" i="61" s="1"/>
  <c r="R146" i="61"/>
  <c r="AS146" i="61" s="1"/>
  <c r="R144" i="61"/>
  <c r="AS144" i="61" s="1"/>
  <c r="R143" i="61"/>
  <c r="AS143" i="61" s="1"/>
  <c r="R133" i="61"/>
  <c r="AS133" i="61" s="1"/>
  <c r="R129" i="61"/>
  <c r="AS129" i="61" s="1"/>
  <c r="R134" i="61"/>
  <c r="AS134" i="61" s="1"/>
  <c r="R132" i="61"/>
  <c r="AS132" i="61" s="1"/>
  <c r="R128" i="61"/>
  <c r="AS128" i="61" s="1"/>
  <c r="R137" i="61"/>
  <c r="AS137" i="61" s="1"/>
  <c r="R131" i="61"/>
  <c r="AS131" i="61" s="1"/>
  <c r="R127" i="61"/>
  <c r="AS127" i="61" s="1"/>
  <c r="R130" i="61"/>
  <c r="AS130" i="61" s="1"/>
  <c r="R138" i="61"/>
  <c r="AS138" i="61" s="1"/>
  <c r="AR24" i="16"/>
  <c r="AT24" i="16" s="1"/>
  <c r="AU24" i="16" s="1"/>
  <c r="AW24" i="16"/>
  <c r="AL15" i="21"/>
  <c r="AK15" i="21"/>
  <c r="AQ15" i="21" s="1"/>
  <c r="AH16" i="21"/>
  <c r="AR25" i="16"/>
  <c r="AT25" i="16" s="1"/>
  <c r="AU25" i="16" s="1"/>
  <c r="AW25" i="16"/>
  <c r="CQ78" i="61"/>
  <c r="CR78" i="61" s="1"/>
  <c r="CP78" i="61"/>
  <c r="N151" i="61"/>
  <c r="AO151" i="61" s="1"/>
  <c r="N140" i="61"/>
  <c r="AO140" i="61" s="1"/>
  <c r="N139" i="61"/>
  <c r="AO139" i="61" s="1"/>
  <c r="N150" i="61"/>
  <c r="AO150" i="61" s="1"/>
  <c r="N148" i="61"/>
  <c r="AO148" i="61" s="1"/>
  <c r="N146" i="61"/>
  <c r="AO146" i="61" s="1"/>
  <c r="N144" i="61"/>
  <c r="AO144" i="61" s="1"/>
  <c r="N142" i="61"/>
  <c r="AO142" i="61" s="1"/>
  <c r="N136" i="61"/>
  <c r="AO136" i="61" s="1"/>
  <c r="N143" i="61"/>
  <c r="AO143" i="61" s="1"/>
  <c r="N135" i="61"/>
  <c r="AO135" i="61" s="1"/>
  <c r="N149" i="61"/>
  <c r="AO149" i="61" s="1"/>
  <c r="N147" i="61"/>
  <c r="AO147" i="61" s="1"/>
  <c r="N145" i="61"/>
  <c r="AO145" i="61" s="1"/>
  <c r="N137" i="61"/>
  <c r="AO137" i="61" s="1"/>
  <c r="N134" i="61"/>
  <c r="AO134" i="61" s="1"/>
  <c r="N133" i="61"/>
  <c r="AO133" i="61" s="1"/>
  <c r="N129" i="61"/>
  <c r="AO129" i="61" s="1"/>
  <c r="N138" i="61"/>
  <c r="AO138" i="61" s="1"/>
  <c r="N132" i="61"/>
  <c r="AO132" i="61" s="1"/>
  <c r="N128" i="61"/>
  <c r="AO128" i="61" s="1"/>
  <c r="N141" i="61"/>
  <c r="AO141" i="61" s="1"/>
  <c r="N131" i="61"/>
  <c r="AO131" i="61" s="1"/>
  <c r="N127" i="61"/>
  <c r="AO127" i="61" s="1"/>
  <c r="N130" i="61"/>
  <c r="AO130" i="61" s="1"/>
  <c r="CQ77" i="61"/>
  <c r="CR77" i="61" s="1"/>
  <c r="CP77" i="61"/>
  <c r="AQ28" i="15"/>
  <c r="AM28" i="15" s="1"/>
  <c r="AL10" i="16"/>
  <c r="AK10" i="16"/>
  <c r="AQ10" i="16" s="1"/>
  <c r="AH11" i="16"/>
  <c r="AA19" i="9"/>
  <c r="AG19" i="9" s="1"/>
  <c r="Y18" i="9"/>
  <c r="X19" i="9" s="1"/>
  <c r="CP83" i="61"/>
  <c r="CQ83" i="61"/>
  <c r="CR83" i="61" s="1"/>
  <c r="T150" i="61"/>
  <c r="AU150" i="61" s="1"/>
  <c r="T149" i="61"/>
  <c r="AU149" i="61" s="1"/>
  <c r="T148" i="61"/>
  <c r="AU148" i="61" s="1"/>
  <c r="T147" i="61"/>
  <c r="AU147" i="61" s="1"/>
  <c r="T146" i="61"/>
  <c r="AU146" i="61" s="1"/>
  <c r="T145" i="61"/>
  <c r="AU145" i="61" s="1"/>
  <c r="T144" i="61"/>
  <c r="AU144" i="61" s="1"/>
  <c r="T143" i="61"/>
  <c r="AU143" i="61" s="1"/>
  <c r="T142" i="61"/>
  <c r="AU142" i="61" s="1"/>
  <c r="T141" i="61"/>
  <c r="AU141" i="61" s="1"/>
  <c r="T138" i="61"/>
  <c r="AU138" i="61" s="1"/>
  <c r="T134" i="61"/>
  <c r="AU134" i="61" s="1"/>
  <c r="T151" i="61"/>
  <c r="AU151" i="61" s="1"/>
  <c r="T139" i="61"/>
  <c r="AU139" i="61" s="1"/>
  <c r="T137" i="61"/>
  <c r="AU137" i="61" s="1"/>
  <c r="T131" i="61"/>
  <c r="AU131" i="61" s="1"/>
  <c r="T127" i="61"/>
  <c r="AU127" i="61" s="1"/>
  <c r="T130" i="61"/>
  <c r="AU130" i="61" s="1"/>
  <c r="T135" i="61"/>
  <c r="AU135" i="61" s="1"/>
  <c r="T133" i="61"/>
  <c r="AU133" i="61" s="1"/>
  <c r="T129" i="61"/>
  <c r="AU129" i="61" s="1"/>
  <c r="T136" i="61"/>
  <c r="AU136" i="61" s="1"/>
  <c r="T132" i="61"/>
  <c r="AU132" i="61" s="1"/>
  <c r="T128" i="61"/>
  <c r="AU128" i="61" s="1"/>
  <c r="T140" i="61"/>
  <c r="AU140" i="61" s="1"/>
  <c r="AT16" i="23"/>
  <c r="AL17" i="24"/>
  <c r="AK17" i="24"/>
  <c r="AQ17" i="24" s="1"/>
  <c r="AH18" i="24"/>
  <c r="AR17" i="23"/>
  <c r="AT17" i="23" s="1"/>
  <c r="AU17" i="23" s="1"/>
  <c r="AW17" i="23"/>
  <c r="AQ26" i="15"/>
  <c r="AM26" i="15" s="1"/>
  <c r="CQ74" i="61"/>
  <c r="CR74" i="61" s="1"/>
  <c r="CP74" i="61"/>
  <c r="CQ65" i="61"/>
  <c r="CR65" i="61" s="1"/>
  <c r="CP65" i="61"/>
  <c r="Y150" i="61"/>
  <c r="AZ150" i="61" s="1"/>
  <c r="Y149" i="61"/>
  <c r="AZ149" i="61" s="1"/>
  <c r="Y148" i="61"/>
  <c r="AZ148" i="61" s="1"/>
  <c r="Y147" i="61"/>
  <c r="AZ147" i="61" s="1"/>
  <c r="Y146" i="61"/>
  <c r="AZ146" i="61" s="1"/>
  <c r="Y145" i="61"/>
  <c r="AZ145" i="61" s="1"/>
  <c r="Y144" i="61"/>
  <c r="AZ144" i="61" s="1"/>
  <c r="Y142" i="61"/>
  <c r="AZ142" i="61" s="1"/>
  <c r="Y137" i="61"/>
  <c r="AZ137" i="61" s="1"/>
  <c r="Y143" i="61"/>
  <c r="AZ143" i="61" s="1"/>
  <c r="Y139" i="61"/>
  <c r="AZ139" i="61" s="1"/>
  <c r="Y136" i="61"/>
  <c r="AZ136" i="61" s="1"/>
  <c r="Y151" i="61"/>
  <c r="AZ151" i="61" s="1"/>
  <c r="Y141" i="61"/>
  <c r="AZ141" i="61" s="1"/>
  <c r="Y138" i="61"/>
  <c r="AZ138" i="61" s="1"/>
  <c r="Y130" i="61"/>
  <c r="AZ130" i="61" s="1"/>
  <c r="Y140" i="61"/>
  <c r="AZ140" i="61" s="1"/>
  <c r="Y129" i="61"/>
  <c r="AZ129" i="61" s="1"/>
  <c r="Y134" i="61"/>
  <c r="AZ134" i="61" s="1"/>
  <c r="Y133" i="61"/>
  <c r="AZ133" i="61" s="1"/>
  <c r="Y132" i="61"/>
  <c r="AZ132" i="61" s="1"/>
  <c r="Y128" i="61"/>
  <c r="AZ128" i="61" s="1"/>
  <c r="Y127" i="61"/>
  <c r="AZ127" i="61" s="1"/>
  <c r="Y135" i="61"/>
  <c r="AZ135" i="61" s="1"/>
  <c r="Y131" i="61"/>
  <c r="AZ131" i="61" s="1"/>
  <c r="P150" i="61"/>
  <c r="AQ150" i="61" s="1"/>
  <c r="P149" i="61"/>
  <c r="AQ149" i="61" s="1"/>
  <c r="P148" i="61"/>
  <c r="AQ148" i="61" s="1"/>
  <c r="P147" i="61"/>
  <c r="AQ147" i="61" s="1"/>
  <c r="P146" i="61"/>
  <c r="AQ146" i="61" s="1"/>
  <c r="P145" i="61"/>
  <c r="AQ145" i="61" s="1"/>
  <c r="P144" i="61"/>
  <c r="AQ144" i="61" s="1"/>
  <c r="P143" i="61"/>
  <c r="AQ143" i="61" s="1"/>
  <c r="P142" i="61"/>
  <c r="AQ142" i="61" s="1"/>
  <c r="P141" i="61"/>
  <c r="AQ141" i="61" s="1"/>
  <c r="P139" i="61"/>
  <c r="AQ139" i="61" s="1"/>
  <c r="P138" i="61"/>
  <c r="AQ138" i="61" s="1"/>
  <c r="P140" i="61"/>
  <c r="AQ140" i="61" s="1"/>
  <c r="P137" i="61"/>
  <c r="AQ137" i="61" s="1"/>
  <c r="P135" i="61"/>
  <c r="AQ135" i="61" s="1"/>
  <c r="P131" i="61"/>
  <c r="AQ131" i="61" s="1"/>
  <c r="P127" i="61"/>
  <c r="AQ127" i="61" s="1"/>
  <c r="P136" i="61"/>
  <c r="AQ136" i="61" s="1"/>
  <c r="P130" i="61"/>
  <c r="AQ130" i="61" s="1"/>
  <c r="P133" i="61"/>
  <c r="AQ133" i="61" s="1"/>
  <c r="P129" i="61"/>
  <c r="AQ129" i="61" s="1"/>
  <c r="P134" i="61"/>
  <c r="AQ134" i="61" s="1"/>
  <c r="P132" i="61"/>
  <c r="AQ132" i="61" s="1"/>
  <c r="P128" i="61"/>
  <c r="AQ128" i="61" s="1"/>
  <c r="P151" i="61"/>
  <c r="AQ151" i="61" s="1"/>
  <c r="AA21" i="7"/>
  <c r="AG21" i="7" s="1"/>
  <c r="Y20" i="7"/>
  <c r="X21" i="7" s="1"/>
  <c r="AK14" i="53"/>
  <c r="AQ14" i="53" s="1"/>
  <c r="AL14" i="53"/>
  <c r="AH15" i="53"/>
  <c r="AT4" i="18"/>
  <c r="AB18" i="14"/>
  <c r="AM18" i="23"/>
  <c r="CQ63" i="61"/>
  <c r="CR63" i="61" s="1"/>
  <c r="CP63" i="61"/>
  <c r="U150" i="61"/>
  <c r="AV150" i="61" s="1"/>
  <c r="U149" i="61"/>
  <c r="AV149" i="61" s="1"/>
  <c r="U148" i="61"/>
  <c r="AV148" i="61" s="1"/>
  <c r="U147" i="61"/>
  <c r="AV147" i="61" s="1"/>
  <c r="U146" i="61"/>
  <c r="AV146" i="61" s="1"/>
  <c r="U145" i="61"/>
  <c r="AV145" i="61" s="1"/>
  <c r="U144" i="61"/>
  <c r="AV144" i="61" s="1"/>
  <c r="U151" i="61"/>
  <c r="AV151" i="61" s="1"/>
  <c r="U143" i="61"/>
  <c r="AV143" i="61" s="1"/>
  <c r="U139" i="61"/>
  <c r="AV139" i="61" s="1"/>
  <c r="U137" i="61"/>
  <c r="AV137" i="61" s="1"/>
  <c r="U140" i="61"/>
  <c r="AV140" i="61" s="1"/>
  <c r="U136" i="61"/>
  <c r="AV136" i="61" s="1"/>
  <c r="U141" i="61"/>
  <c r="AV141" i="61" s="1"/>
  <c r="U134" i="61"/>
  <c r="AV134" i="61" s="1"/>
  <c r="U130" i="61"/>
  <c r="AV130" i="61" s="1"/>
  <c r="U135" i="61"/>
  <c r="AV135" i="61" s="1"/>
  <c r="U133" i="61"/>
  <c r="AV133" i="61" s="1"/>
  <c r="U129" i="61"/>
  <c r="AV129" i="61" s="1"/>
  <c r="U138" i="61"/>
  <c r="AV138" i="61" s="1"/>
  <c r="U132" i="61"/>
  <c r="AV132" i="61" s="1"/>
  <c r="U128" i="61"/>
  <c r="AV128" i="61" s="1"/>
  <c r="U131" i="61"/>
  <c r="AV131" i="61" s="1"/>
  <c r="U142" i="61"/>
  <c r="AV142" i="61" s="1"/>
  <c r="U127" i="61"/>
  <c r="AV127" i="61" s="1"/>
  <c r="L150" i="61"/>
  <c r="AM150" i="61" s="1"/>
  <c r="L149" i="61"/>
  <c r="AM149" i="61" s="1"/>
  <c r="L148" i="61"/>
  <c r="AM148" i="61" s="1"/>
  <c r="L147" i="61"/>
  <c r="AM147" i="61" s="1"/>
  <c r="L146" i="61"/>
  <c r="AM146" i="61" s="1"/>
  <c r="L145" i="61"/>
  <c r="AM145" i="61" s="1"/>
  <c r="L144" i="61"/>
  <c r="AM144" i="61" s="1"/>
  <c r="L143" i="61"/>
  <c r="AM143" i="61" s="1"/>
  <c r="L142" i="61"/>
  <c r="AM142" i="61" s="1"/>
  <c r="L141" i="61"/>
  <c r="AM141" i="61" s="1"/>
  <c r="L140" i="61"/>
  <c r="AM140" i="61" s="1"/>
  <c r="L138" i="61"/>
  <c r="AM138" i="61" s="1"/>
  <c r="L151" i="61"/>
  <c r="AM151" i="61" s="1"/>
  <c r="L137" i="61"/>
  <c r="AM137" i="61" s="1"/>
  <c r="L131" i="61"/>
  <c r="AM131" i="61" s="1"/>
  <c r="L127" i="61"/>
  <c r="AM127" i="61" s="1"/>
  <c r="L130" i="61"/>
  <c r="AM130" i="61" s="1"/>
  <c r="L139" i="61"/>
  <c r="AM139" i="61" s="1"/>
  <c r="L135" i="61"/>
  <c r="AM135" i="61" s="1"/>
  <c r="L134" i="61"/>
  <c r="AM134" i="61" s="1"/>
  <c r="L133" i="61"/>
  <c r="AM133" i="61" s="1"/>
  <c r="L129" i="61"/>
  <c r="AM129" i="61" s="1"/>
  <c r="L128" i="61"/>
  <c r="AM128" i="61" s="1"/>
  <c r="L136" i="61"/>
  <c r="AM136" i="61" s="1"/>
  <c r="L132" i="61"/>
  <c r="AM132" i="61" s="1"/>
  <c r="AF17" i="13"/>
  <c r="AF18" i="13" s="1"/>
  <c r="AF19" i="13" s="1"/>
  <c r="AF20" i="13" s="1"/>
  <c r="AF21" i="13" s="1"/>
  <c r="AF22" i="13" s="1"/>
  <c r="AF23" i="13" s="1"/>
  <c r="AF24" i="13" s="1"/>
  <c r="AF25" i="13" s="1"/>
  <c r="AF26" i="13" s="1"/>
  <c r="AF27" i="13" s="1"/>
  <c r="AF28" i="13" s="1"/>
  <c r="AW1" i="13"/>
  <c r="AH1" i="13"/>
  <c r="AR28" i="16"/>
  <c r="AT28" i="16" s="1"/>
  <c r="AU28" i="16" s="1"/>
  <c r="AW28" i="16"/>
  <c r="AM14" i="21"/>
  <c r="CQ86" i="61"/>
  <c r="CR86" i="61" s="1"/>
  <c r="CP86" i="61"/>
  <c r="CQ85" i="61"/>
  <c r="CR85" i="61" s="1"/>
  <c r="CP85" i="61"/>
  <c r="X150" i="61"/>
  <c r="AY150" i="61" s="1"/>
  <c r="X149" i="61"/>
  <c r="AY149" i="61" s="1"/>
  <c r="X148" i="61"/>
  <c r="AY148" i="61" s="1"/>
  <c r="X147" i="61"/>
  <c r="AY147" i="61" s="1"/>
  <c r="X146" i="61"/>
  <c r="AY146" i="61" s="1"/>
  <c r="X145" i="61"/>
  <c r="AY145" i="61" s="1"/>
  <c r="X144" i="61"/>
  <c r="AY144" i="61" s="1"/>
  <c r="X143" i="61"/>
  <c r="AY143" i="61" s="1"/>
  <c r="X142" i="61"/>
  <c r="AY142" i="61" s="1"/>
  <c r="X141" i="61"/>
  <c r="AY141" i="61" s="1"/>
  <c r="X138" i="61"/>
  <c r="AY138" i="61" s="1"/>
  <c r="X134" i="61"/>
  <c r="AY134" i="61" s="1"/>
  <c r="X137" i="61"/>
  <c r="AY137" i="61" s="1"/>
  <c r="X133" i="61"/>
  <c r="AY133" i="61" s="1"/>
  <c r="X135" i="61"/>
  <c r="AY135" i="61" s="1"/>
  <c r="X131" i="61"/>
  <c r="AY131" i="61" s="1"/>
  <c r="X127" i="61"/>
  <c r="AY127" i="61" s="1"/>
  <c r="X139" i="61"/>
  <c r="AY139" i="61" s="1"/>
  <c r="X136" i="61"/>
  <c r="AY136" i="61" s="1"/>
  <c r="X130" i="61"/>
  <c r="AY130" i="61" s="1"/>
  <c r="X151" i="61"/>
  <c r="AY151" i="61" s="1"/>
  <c r="X140" i="61"/>
  <c r="AY140" i="61" s="1"/>
  <c r="X129" i="61"/>
  <c r="AY129" i="61" s="1"/>
  <c r="X132" i="61"/>
  <c r="AY132" i="61" s="1"/>
  <c r="X128" i="61"/>
  <c r="AY128" i="61" s="1"/>
  <c r="AD1" i="12"/>
  <c r="AG17" i="12"/>
  <c r="AR27" i="16"/>
  <c r="AT27" i="16" s="1"/>
  <c r="AU27" i="16" s="1"/>
  <c r="AW27" i="16"/>
  <c r="AA24" i="4"/>
  <c r="AG24" i="4" s="1"/>
  <c r="Y23" i="4"/>
  <c r="CQ68" i="61"/>
  <c r="CR68" i="61" s="1"/>
  <c r="CP68" i="61"/>
  <c r="W151" i="61"/>
  <c r="AX151" i="61" s="1"/>
  <c r="W141" i="61"/>
  <c r="AX141" i="61" s="1"/>
  <c r="W140" i="61"/>
  <c r="AX140" i="61" s="1"/>
  <c r="W135" i="61"/>
  <c r="AX135" i="61" s="1"/>
  <c r="W149" i="61"/>
  <c r="AX149" i="61" s="1"/>
  <c r="W147" i="61"/>
  <c r="AX147" i="61" s="1"/>
  <c r="W145" i="61"/>
  <c r="AX145" i="61" s="1"/>
  <c r="W142" i="61"/>
  <c r="AX142" i="61" s="1"/>
  <c r="W138" i="61"/>
  <c r="AX138" i="61" s="1"/>
  <c r="W134" i="61"/>
  <c r="AX134" i="61" s="1"/>
  <c r="W143" i="61"/>
  <c r="AX143" i="61" s="1"/>
  <c r="W146" i="61"/>
  <c r="AX146" i="61" s="1"/>
  <c r="W132" i="61"/>
  <c r="AX132" i="61" s="1"/>
  <c r="W128" i="61"/>
  <c r="AX128" i="61" s="1"/>
  <c r="W144" i="61"/>
  <c r="AX144" i="61" s="1"/>
  <c r="W131" i="61"/>
  <c r="AX131" i="61" s="1"/>
  <c r="W127" i="61"/>
  <c r="AX127" i="61" s="1"/>
  <c r="W150" i="61"/>
  <c r="AX150" i="61" s="1"/>
  <c r="W139" i="61"/>
  <c r="AX139" i="61" s="1"/>
  <c r="W136" i="61"/>
  <c r="AX136" i="61" s="1"/>
  <c r="W130" i="61"/>
  <c r="AX130" i="61" s="1"/>
  <c r="W133" i="61"/>
  <c r="AX133" i="61" s="1"/>
  <c r="W148" i="61"/>
  <c r="AX148" i="61" s="1"/>
  <c r="W137" i="61"/>
  <c r="AX137" i="61" s="1"/>
  <c r="W129" i="61"/>
  <c r="AX129" i="61" s="1"/>
  <c r="Z151" i="61"/>
  <c r="BA151" i="61" s="1"/>
  <c r="Z140" i="61"/>
  <c r="BA140" i="61" s="1"/>
  <c r="Z139" i="61"/>
  <c r="BA139" i="61" s="1"/>
  <c r="Z149" i="61"/>
  <c r="BA149" i="61" s="1"/>
  <c r="Z147" i="61"/>
  <c r="BA147" i="61" s="1"/>
  <c r="Z145" i="61"/>
  <c r="BA145" i="61" s="1"/>
  <c r="Z143" i="61"/>
  <c r="BA143" i="61" s="1"/>
  <c r="Z136" i="61"/>
  <c r="BA136" i="61" s="1"/>
  <c r="Z135" i="61"/>
  <c r="BA135" i="61" s="1"/>
  <c r="Z150" i="61"/>
  <c r="BA150" i="61" s="1"/>
  <c r="Z148" i="61"/>
  <c r="BA148" i="61" s="1"/>
  <c r="Z146" i="61"/>
  <c r="BA146" i="61" s="1"/>
  <c r="Z144" i="61"/>
  <c r="BA144" i="61" s="1"/>
  <c r="Z141" i="61"/>
  <c r="BA141" i="61" s="1"/>
  <c r="Z129" i="61"/>
  <c r="BA129" i="61" s="1"/>
  <c r="Z134" i="61"/>
  <c r="BA134" i="61" s="1"/>
  <c r="Z133" i="61"/>
  <c r="BA133" i="61" s="1"/>
  <c r="Z132" i="61"/>
  <c r="BA132" i="61" s="1"/>
  <c r="Z128" i="61"/>
  <c r="BA128" i="61" s="1"/>
  <c r="Z142" i="61"/>
  <c r="BA142" i="61" s="1"/>
  <c r="Z137" i="61"/>
  <c r="BA137" i="61" s="1"/>
  <c r="Z131" i="61"/>
  <c r="BA131" i="61" s="1"/>
  <c r="Z127" i="61"/>
  <c r="BA127" i="61" s="1"/>
  <c r="Z138" i="61"/>
  <c r="BA138" i="61" s="1"/>
  <c r="Z130" i="61"/>
  <c r="BA130" i="61" s="1"/>
  <c r="AA25" i="2"/>
  <c r="AG25" i="2" s="1"/>
  <c r="Y24" i="2"/>
  <c r="X25" i="2" s="1"/>
  <c r="CP82" i="61"/>
  <c r="CQ82" i="61"/>
  <c r="CR82" i="61" s="1"/>
  <c r="C151" i="61"/>
  <c r="AD151" i="61" s="1"/>
  <c r="C142" i="61"/>
  <c r="AD142" i="61" s="1"/>
  <c r="C135" i="61"/>
  <c r="AD135" i="61" s="1"/>
  <c r="C150" i="61"/>
  <c r="AD150" i="61" s="1"/>
  <c r="C148" i="61"/>
  <c r="AD148" i="61" s="1"/>
  <c r="C146" i="61"/>
  <c r="AD146" i="61" s="1"/>
  <c r="C144" i="61"/>
  <c r="AD144" i="61" s="1"/>
  <c r="C143" i="61"/>
  <c r="AD143" i="61" s="1"/>
  <c r="C138" i="61"/>
  <c r="AD138" i="61" s="1"/>
  <c r="C134" i="61"/>
  <c r="AD134" i="61" s="1"/>
  <c r="C147" i="61"/>
  <c r="AD147" i="61" s="1"/>
  <c r="C141" i="61"/>
  <c r="AD141" i="61" s="1"/>
  <c r="C136" i="61"/>
  <c r="AD136" i="61" s="1"/>
  <c r="C132" i="61"/>
  <c r="AD132" i="61" s="1"/>
  <c r="C128" i="61"/>
  <c r="AD128" i="61" s="1"/>
  <c r="C145" i="61"/>
  <c r="AD145" i="61" s="1"/>
  <c r="C139" i="61"/>
  <c r="AD139" i="61" s="1"/>
  <c r="C137" i="61"/>
  <c r="AD137" i="61" s="1"/>
  <c r="C131" i="61"/>
  <c r="AD131" i="61" s="1"/>
  <c r="C127" i="61"/>
  <c r="AD127" i="61" s="1"/>
  <c r="C140" i="61"/>
  <c r="AD140" i="61" s="1"/>
  <c r="C130" i="61"/>
  <c r="AD130" i="61" s="1"/>
  <c r="C149" i="61"/>
  <c r="AD149" i="61" s="1"/>
  <c r="C133" i="61"/>
  <c r="AD133" i="61" s="1"/>
  <c r="C129" i="61"/>
  <c r="AD129" i="61" s="1"/>
  <c r="F151" i="61"/>
  <c r="AG151" i="61" s="1"/>
  <c r="F140" i="61"/>
  <c r="AG140" i="61" s="1"/>
  <c r="F139" i="61"/>
  <c r="AG139" i="61" s="1"/>
  <c r="F150" i="61"/>
  <c r="AG150" i="61" s="1"/>
  <c r="F148" i="61"/>
  <c r="AG148" i="61" s="1"/>
  <c r="F146" i="61"/>
  <c r="AG146" i="61" s="1"/>
  <c r="F144" i="61"/>
  <c r="AG144" i="61" s="1"/>
  <c r="F136" i="61"/>
  <c r="AG136" i="61" s="1"/>
  <c r="F141" i="61"/>
  <c r="AG141" i="61" s="1"/>
  <c r="F135" i="61"/>
  <c r="AG135" i="61" s="1"/>
  <c r="F149" i="61"/>
  <c r="AG149" i="61" s="1"/>
  <c r="F147" i="61"/>
  <c r="AG147" i="61" s="1"/>
  <c r="F145" i="61"/>
  <c r="AG145" i="61" s="1"/>
  <c r="F142" i="61"/>
  <c r="AG142" i="61" s="1"/>
  <c r="F143" i="61"/>
  <c r="AG143" i="61" s="1"/>
  <c r="F137" i="61"/>
  <c r="AG137" i="61" s="1"/>
  <c r="F133" i="61"/>
  <c r="AG133" i="61" s="1"/>
  <c r="F129" i="61"/>
  <c r="AG129" i="61" s="1"/>
  <c r="F138" i="61"/>
  <c r="AG138" i="61" s="1"/>
  <c r="F132" i="61"/>
  <c r="AG132" i="61" s="1"/>
  <c r="F128" i="61"/>
  <c r="AG128" i="61" s="1"/>
  <c r="F134" i="61"/>
  <c r="AG134" i="61" s="1"/>
  <c r="F131" i="61"/>
  <c r="AG131" i="61" s="1"/>
  <c r="F127" i="61"/>
  <c r="AG127" i="61" s="1"/>
  <c r="F130" i="61"/>
  <c r="AG130" i="61" s="1"/>
  <c r="CQ73" i="61"/>
  <c r="CR73" i="61" s="1"/>
  <c r="CP73" i="61"/>
  <c r="AD20" i="14"/>
  <c r="AD21" i="14"/>
  <c r="AD26" i="14"/>
  <c r="AB26" i="14" s="1"/>
  <c r="AD17" i="14"/>
  <c r="AD19" i="14"/>
  <c r="AD22" i="14"/>
  <c r="AD25" i="14"/>
  <c r="AB25" i="14" s="1"/>
  <c r="AD23" i="14"/>
  <c r="AD18" i="14"/>
  <c r="AD28" i="14"/>
  <c r="AB28" i="14" s="1"/>
  <c r="AD24" i="14"/>
  <c r="AB24" i="14" s="1"/>
  <c r="AD27" i="14"/>
  <c r="AB27" i="14" s="1"/>
  <c r="AB23" i="14"/>
  <c r="AB17" i="14"/>
  <c r="AR11" i="18"/>
  <c r="AT11" i="18" s="1"/>
  <c r="AU11" i="18" s="1"/>
  <c r="AW11" i="18"/>
  <c r="CP64" i="61"/>
  <c r="CQ64" i="61"/>
  <c r="CR64" i="61" s="1"/>
  <c r="O151" i="61"/>
  <c r="AP151" i="61" s="1"/>
  <c r="O143" i="61"/>
  <c r="AP143" i="61" s="1"/>
  <c r="O135" i="61"/>
  <c r="AP135" i="61" s="1"/>
  <c r="O149" i="61"/>
  <c r="AP149" i="61" s="1"/>
  <c r="O147" i="61"/>
  <c r="AP147" i="61" s="1"/>
  <c r="O145" i="61"/>
  <c r="AP145" i="61" s="1"/>
  <c r="O139" i="61"/>
  <c r="AP139" i="61" s="1"/>
  <c r="O138" i="61"/>
  <c r="AP138" i="61" s="1"/>
  <c r="O134" i="61"/>
  <c r="AP134" i="61" s="1"/>
  <c r="O141" i="61"/>
  <c r="AP141" i="61" s="1"/>
  <c r="O148" i="61"/>
  <c r="AP148" i="61" s="1"/>
  <c r="O142" i="61"/>
  <c r="AP142" i="61" s="1"/>
  <c r="O132" i="61"/>
  <c r="AP132" i="61" s="1"/>
  <c r="O128" i="61"/>
  <c r="AP128" i="61" s="1"/>
  <c r="O146" i="61"/>
  <c r="AP146" i="61" s="1"/>
  <c r="O140" i="61"/>
  <c r="AP140" i="61" s="1"/>
  <c r="O131" i="61"/>
  <c r="AP131" i="61" s="1"/>
  <c r="O127" i="61"/>
  <c r="AP127" i="61" s="1"/>
  <c r="O144" i="61"/>
  <c r="AP144" i="61" s="1"/>
  <c r="O136" i="61"/>
  <c r="AP136" i="61" s="1"/>
  <c r="O130" i="61"/>
  <c r="AP130" i="61" s="1"/>
  <c r="O129" i="61"/>
  <c r="AP129" i="61" s="1"/>
  <c r="O133" i="61"/>
  <c r="AP133" i="61" s="1"/>
  <c r="O137" i="61"/>
  <c r="AP137" i="61" s="1"/>
  <c r="O150" i="61"/>
  <c r="AP150" i="61" s="1"/>
  <c r="B151" i="61"/>
  <c r="AC151" i="61" s="1"/>
  <c r="AB151" i="61" s="1"/>
  <c r="F31" i="62" s="1"/>
  <c r="B140" i="61"/>
  <c r="AC140" i="61" s="1"/>
  <c r="AB140" i="61" s="1"/>
  <c r="B139" i="61"/>
  <c r="AC139" i="61" s="1"/>
  <c r="AB139" i="61" s="1"/>
  <c r="B149" i="61"/>
  <c r="AC149" i="61" s="1"/>
  <c r="AB149" i="61" s="1"/>
  <c r="F29" i="62" s="1"/>
  <c r="B147" i="61"/>
  <c r="AC147" i="61" s="1"/>
  <c r="AB147" i="61" s="1"/>
  <c r="F27" i="62" s="1"/>
  <c r="B145" i="61"/>
  <c r="AC145" i="61" s="1"/>
  <c r="AB145" i="61" s="1"/>
  <c r="B141" i="61"/>
  <c r="AC141" i="61" s="1"/>
  <c r="AB141" i="61" s="1"/>
  <c r="B136" i="61"/>
  <c r="AC136" i="61" s="1"/>
  <c r="AB136" i="61" s="1"/>
  <c r="B142" i="61"/>
  <c r="AC142" i="61" s="1"/>
  <c r="AB142" i="61" s="1"/>
  <c r="B135" i="61"/>
  <c r="AC135" i="61" s="1"/>
  <c r="AB135" i="61" s="1"/>
  <c r="B150" i="61"/>
  <c r="AC150" i="61" s="1"/>
  <c r="AB150" i="61" s="1"/>
  <c r="F30" i="62" s="1"/>
  <c r="B148" i="61"/>
  <c r="AC148" i="61" s="1"/>
  <c r="AB148" i="61" s="1"/>
  <c r="F28" i="62" s="1"/>
  <c r="B146" i="61"/>
  <c r="AC146" i="61" s="1"/>
  <c r="AB146" i="61" s="1"/>
  <c r="B144" i="61"/>
  <c r="AC144" i="61" s="1"/>
  <c r="AB144" i="61" s="1"/>
  <c r="B143" i="61"/>
  <c r="AC143" i="61" s="1"/>
  <c r="AB143" i="61" s="1"/>
  <c r="B133" i="61"/>
  <c r="AC133" i="61" s="1"/>
  <c r="AB133" i="61" s="1"/>
  <c r="B129" i="61"/>
  <c r="AC129" i="61" s="1"/>
  <c r="AB129" i="61" s="1"/>
  <c r="B134" i="61"/>
  <c r="AC134" i="61" s="1"/>
  <c r="AB134" i="61" s="1"/>
  <c r="B132" i="61"/>
  <c r="AC132" i="61" s="1"/>
  <c r="AB132" i="61" s="1"/>
  <c r="B128" i="61"/>
  <c r="AC128" i="61" s="1"/>
  <c r="AB128" i="61" s="1"/>
  <c r="B137" i="61"/>
  <c r="AC137" i="61" s="1"/>
  <c r="AB137" i="61" s="1"/>
  <c r="B131" i="61"/>
  <c r="AC131" i="61" s="1"/>
  <c r="AB131" i="61" s="1"/>
  <c r="B127" i="61"/>
  <c r="AC127" i="61" s="1"/>
  <c r="AB127" i="61" s="1"/>
  <c r="B130" i="61"/>
  <c r="AC130" i="61" s="1"/>
  <c r="AB130" i="61" s="1"/>
  <c r="B138" i="61"/>
  <c r="AC138" i="61" s="1"/>
  <c r="AB138" i="61" s="1"/>
  <c r="CQ71" i="61"/>
  <c r="CR71" i="61" s="1"/>
  <c r="CP71" i="61"/>
  <c r="AA22" i="6"/>
  <c r="AG22" i="6" s="1"/>
  <c r="Y21" i="6"/>
  <c r="X22" i="6" s="1"/>
  <c r="AE1" i="13"/>
  <c r="AK13" i="18"/>
  <c r="AQ13" i="18" s="1"/>
  <c r="AL13" i="18"/>
  <c r="AH14" i="18"/>
  <c r="AR10" i="17"/>
  <c r="AT10" i="17" s="1"/>
  <c r="AU10" i="17" s="1"/>
  <c r="AW10" i="17"/>
  <c r="CQ62" i="61"/>
  <c r="CR62" i="61" s="1"/>
  <c r="CP62" i="61"/>
  <c r="K151" i="61"/>
  <c r="AL151" i="61" s="1"/>
  <c r="K139" i="61"/>
  <c r="AL139" i="61" s="1"/>
  <c r="K135" i="61"/>
  <c r="AL135" i="61" s="1"/>
  <c r="K150" i="61"/>
  <c r="AL150" i="61" s="1"/>
  <c r="K148" i="61"/>
  <c r="AL148" i="61" s="1"/>
  <c r="K146" i="61"/>
  <c r="AL146" i="61" s="1"/>
  <c r="K144" i="61"/>
  <c r="AL144" i="61" s="1"/>
  <c r="K141" i="61"/>
  <c r="AL141" i="61" s="1"/>
  <c r="K140" i="61"/>
  <c r="AL140" i="61" s="1"/>
  <c r="K138" i="61"/>
  <c r="AL138" i="61" s="1"/>
  <c r="K134" i="61"/>
  <c r="AL134" i="61" s="1"/>
  <c r="K142" i="61"/>
  <c r="AL142" i="61" s="1"/>
  <c r="K145" i="61"/>
  <c r="AL145" i="61" s="1"/>
  <c r="K136" i="61"/>
  <c r="AL136" i="61" s="1"/>
  <c r="K132" i="61"/>
  <c r="AL132" i="61" s="1"/>
  <c r="K128" i="61"/>
  <c r="AL128" i="61" s="1"/>
  <c r="K137" i="61"/>
  <c r="AL137" i="61" s="1"/>
  <c r="K131" i="61"/>
  <c r="AL131" i="61" s="1"/>
  <c r="K127" i="61"/>
  <c r="AL127" i="61" s="1"/>
  <c r="K149" i="61"/>
  <c r="AL149" i="61" s="1"/>
  <c r="K130" i="61"/>
  <c r="AL130" i="61" s="1"/>
  <c r="K147" i="61"/>
  <c r="AL147" i="61" s="1"/>
  <c r="K133" i="61"/>
  <c r="AL133" i="61" s="1"/>
  <c r="K129" i="61"/>
  <c r="AL129" i="61" s="1"/>
  <c r="K143" i="61"/>
  <c r="AL143" i="61" s="1"/>
  <c r="AD1" i="11"/>
  <c r="AG17" i="11"/>
  <c r="G28" i="1"/>
  <c r="G29" i="1" s="1"/>
  <c r="F29" i="1"/>
  <c r="CQ76" i="61"/>
  <c r="CR76" i="61" s="1"/>
  <c r="CP76" i="61"/>
  <c r="CP67" i="61"/>
  <c r="CQ67" i="61"/>
  <c r="CR67" i="61" s="1"/>
  <c r="M150" i="61"/>
  <c r="AN150" i="61" s="1"/>
  <c r="M149" i="61"/>
  <c r="AN149" i="61" s="1"/>
  <c r="M148" i="61"/>
  <c r="AN148" i="61" s="1"/>
  <c r="M147" i="61"/>
  <c r="AN147" i="61" s="1"/>
  <c r="M146" i="61"/>
  <c r="AN146" i="61" s="1"/>
  <c r="M145" i="61"/>
  <c r="AN145" i="61" s="1"/>
  <c r="M144" i="61"/>
  <c r="AN144" i="61" s="1"/>
  <c r="M151" i="61"/>
  <c r="AN151" i="61" s="1"/>
  <c r="M141" i="61"/>
  <c r="AN141" i="61" s="1"/>
  <c r="M137" i="61"/>
  <c r="AN137" i="61" s="1"/>
  <c r="M142" i="61"/>
  <c r="AN142" i="61" s="1"/>
  <c r="M136" i="61"/>
  <c r="AN136" i="61" s="1"/>
  <c r="M143" i="61"/>
  <c r="AN143" i="61" s="1"/>
  <c r="M130" i="61"/>
  <c r="AN130" i="61" s="1"/>
  <c r="M139" i="61"/>
  <c r="AN139" i="61" s="1"/>
  <c r="M135" i="61"/>
  <c r="AN135" i="61" s="1"/>
  <c r="M134" i="61"/>
  <c r="AN134" i="61" s="1"/>
  <c r="M133" i="61"/>
  <c r="AN133" i="61" s="1"/>
  <c r="M129" i="61"/>
  <c r="AN129" i="61" s="1"/>
  <c r="M140" i="61"/>
  <c r="AN140" i="61" s="1"/>
  <c r="M138" i="61"/>
  <c r="AN138" i="61" s="1"/>
  <c r="M132" i="61"/>
  <c r="AN132" i="61" s="1"/>
  <c r="M128" i="61"/>
  <c r="AN128" i="61" s="1"/>
  <c r="M131" i="61"/>
  <c r="AN131" i="61" s="1"/>
  <c r="M127" i="61"/>
  <c r="AN127" i="61" s="1"/>
  <c r="D150" i="61"/>
  <c r="AE150" i="61" s="1"/>
  <c r="D149" i="61"/>
  <c r="AE149" i="61" s="1"/>
  <c r="D148" i="61"/>
  <c r="AE148" i="61" s="1"/>
  <c r="D147" i="61"/>
  <c r="AE147" i="61" s="1"/>
  <c r="D146" i="61"/>
  <c r="AE146" i="61" s="1"/>
  <c r="D145" i="61"/>
  <c r="AE145" i="61" s="1"/>
  <c r="D144" i="61"/>
  <c r="AE144" i="61" s="1"/>
  <c r="D143" i="61"/>
  <c r="AE143" i="61" s="1"/>
  <c r="D142" i="61"/>
  <c r="AE142" i="61" s="1"/>
  <c r="D141" i="61"/>
  <c r="AE141" i="61" s="1"/>
  <c r="D138" i="61"/>
  <c r="AE138" i="61" s="1"/>
  <c r="D151" i="61"/>
  <c r="AE151" i="61" s="1"/>
  <c r="D139" i="61"/>
  <c r="AE139" i="61" s="1"/>
  <c r="D137" i="61"/>
  <c r="AE137" i="61" s="1"/>
  <c r="D134" i="61"/>
  <c r="AE134" i="61" s="1"/>
  <c r="D131" i="61"/>
  <c r="AE131" i="61" s="1"/>
  <c r="D127" i="61"/>
  <c r="AE127" i="61" s="1"/>
  <c r="D140" i="61"/>
  <c r="AE140" i="61" s="1"/>
  <c r="D130" i="61"/>
  <c r="AE130" i="61" s="1"/>
  <c r="D135" i="61"/>
  <c r="AE135" i="61" s="1"/>
  <c r="D133" i="61"/>
  <c r="AE133" i="61" s="1"/>
  <c r="D129" i="61"/>
  <c r="AE129" i="61" s="1"/>
  <c r="D132" i="61"/>
  <c r="AE132" i="61" s="1"/>
  <c r="D136" i="61"/>
  <c r="AE136" i="61" s="1"/>
  <c r="D128" i="61"/>
  <c r="AE128" i="61" s="1"/>
  <c r="AT12" i="21"/>
  <c r="AR12" i="53"/>
  <c r="AT12" i="53" s="1"/>
  <c r="AU12" i="53" s="1"/>
  <c r="AW12" i="53"/>
  <c r="AK12" i="17" l="1"/>
  <c r="AQ12" i="17" s="1"/>
  <c r="AL12" i="17"/>
  <c r="AM13" i="53"/>
  <c r="AW6" i="16"/>
  <c r="AW4" i="16"/>
  <c r="AH9" i="14"/>
  <c r="AK9" i="14" s="1"/>
  <c r="AQ9" i="14" s="1"/>
  <c r="AW13" i="20"/>
  <c r="AI14" i="14"/>
  <c r="AM15" i="22"/>
  <c r="AR15" i="22" s="1"/>
  <c r="AT15" i="22" s="1"/>
  <c r="AW7" i="16"/>
  <c r="AL16" i="22"/>
  <c r="AK16" i="22"/>
  <c r="AQ16" i="22" s="1"/>
  <c r="AH17" i="22"/>
  <c r="AR14" i="22"/>
  <c r="AT14" i="22" s="1"/>
  <c r="AU14" i="22" s="1"/>
  <c r="AW14" i="22"/>
  <c r="AW8" i="16"/>
  <c r="AJ9" i="14"/>
  <c r="AR18" i="25"/>
  <c r="AT18" i="25" s="1"/>
  <c r="AU18" i="25" s="1"/>
  <c r="AW18" i="25"/>
  <c r="AJ15" i="14"/>
  <c r="AW5" i="16"/>
  <c r="AM14" i="20"/>
  <c r="AW14" i="20" s="1"/>
  <c r="AM19" i="25"/>
  <c r="AR19" i="25" s="1"/>
  <c r="AT19" i="25" s="1"/>
  <c r="AU19" i="25" s="1"/>
  <c r="AJ13" i="14"/>
  <c r="AH21" i="25"/>
  <c r="AK20" i="25"/>
  <c r="AQ20" i="25" s="1"/>
  <c r="AL20" i="25"/>
  <c r="AH16" i="20"/>
  <c r="AL15" i="20"/>
  <c r="AK15" i="20"/>
  <c r="AQ15" i="20" s="1"/>
  <c r="AR13" i="19"/>
  <c r="AT13" i="19" s="1"/>
  <c r="AU13" i="19" s="1"/>
  <c r="AW13" i="19"/>
  <c r="AM14" i="19"/>
  <c r="AB9" i="13"/>
  <c r="AI9" i="13" s="1"/>
  <c r="AL15" i="19"/>
  <c r="AK15" i="19"/>
  <c r="AQ15" i="19" s="1"/>
  <c r="AH16" i="19"/>
  <c r="AJ15" i="13"/>
  <c r="AI15" i="13"/>
  <c r="X18" i="10"/>
  <c r="Y16" i="10"/>
  <c r="AI12" i="14"/>
  <c r="AJ12" i="14"/>
  <c r="AB11" i="13"/>
  <c r="AJ7" i="14"/>
  <c r="AI7" i="14"/>
  <c r="AJ5" i="14"/>
  <c r="AI5" i="14"/>
  <c r="AJ10" i="14"/>
  <c r="AI10" i="14"/>
  <c r="AB12" i="13"/>
  <c r="AB14" i="13"/>
  <c r="AJ4" i="14"/>
  <c r="AI4" i="14"/>
  <c r="AG16" i="11"/>
  <c r="X1" i="11"/>
  <c r="AB13" i="13"/>
  <c r="AB21" i="13"/>
  <c r="AI21" i="13" s="1"/>
  <c r="AD16" i="13"/>
  <c r="AJ16" i="14"/>
  <c r="AI16" i="14"/>
  <c r="AB10" i="13"/>
  <c r="AD5" i="13"/>
  <c r="AB5" i="13" s="1"/>
  <c r="AD10" i="13"/>
  <c r="AD11" i="13"/>
  <c r="AD4" i="13"/>
  <c r="AB4" i="13" s="1"/>
  <c r="AD6" i="13"/>
  <c r="AB6" i="13" s="1"/>
  <c r="AD7" i="13"/>
  <c r="AB7" i="13" s="1"/>
  <c r="AD14" i="13"/>
  <c r="AD9" i="13"/>
  <c r="AD13" i="13"/>
  <c r="AD12" i="13"/>
  <c r="AD8" i="13"/>
  <c r="AB8" i="13" s="1"/>
  <c r="AD15" i="13"/>
  <c r="AI8" i="14"/>
  <c r="AJ8" i="14"/>
  <c r="AI6" i="14"/>
  <c r="AJ6" i="14"/>
  <c r="AB16" i="13"/>
  <c r="AG16" i="12"/>
  <c r="X1" i="12"/>
  <c r="K29" i="64"/>
  <c r="EY150" i="61"/>
  <c r="ET150" i="61"/>
  <c r="ES150" i="61"/>
  <c r="H29" i="64" s="1"/>
  <c r="F23" i="62"/>
  <c r="F21" i="62"/>
  <c r="F24" i="62"/>
  <c r="F25" i="62"/>
  <c r="F26" i="62"/>
  <c r="F22" i="62"/>
  <c r="AG17" i="59"/>
  <c r="AI17" i="59" s="1"/>
  <c r="AG12" i="59"/>
  <c r="AI12" i="59" s="1"/>
  <c r="AG6" i="59"/>
  <c r="AI6" i="59" s="1"/>
  <c r="AM72" i="59"/>
  <c r="AO72" i="59" s="1"/>
  <c r="AU72" i="59" s="1"/>
  <c r="L78" i="59"/>
  <c r="N78" i="59" s="1"/>
  <c r="AS78" i="59" s="1"/>
  <c r="Z72" i="59"/>
  <c r="AB72" i="59" s="1"/>
  <c r="AV64" i="59"/>
  <c r="B48" i="58" s="1" a="1"/>
  <c r="D10" i="59"/>
  <c r="F10" i="62"/>
  <c r="F8" i="62"/>
  <c r="F13" i="62"/>
  <c r="F16" i="62"/>
  <c r="F7" i="62"/>
  <c r="F12" i="62"/>
  <c r="F19" i="62"/>
  <c r="F11" i="62"/>
  <c r="F14" i="62"/>
  <c r="F15" i="62"/>
  <c r="F20" i="62"/>
  <c r="F18" i="62"/>
  <c r="F17" i="62"/>
  <c r="F9" i="62"/>
  <c r="AW16" i="24"/>
  <c r="AW6" i="15"/>
  <c r="AW11" i="17"/>
  <c r="AW27" i="15"/>
  <c r="AR27" i="15"/>
  <c r="AT27" i="15" s="1"/>
  <c r="AU27" i="15" s="1"/>
  <c r="AB19" i="13"/>
  <c r="AJ19" i="13" s="1"/>
  <c r="AM9" i="15"/>
  <c r="AW9" i="15" s="1"/>
  <c r="AB23" i="13"/>
  <c r="AJ23" i="13" s="1"/>
  <c r="AB18" i="13"/>
  <c r="AI18" i="13" s="1"/>
  <c r="AM10" i="16"/>
  <c r="AR10" i="16" s="1"/>
  <c r="AT10" i="16" s="1"/>
  <c r="AU10" i="16" s="1"/>
  <c r="AM14" i="53"/>
  <c r="AR14" i="53" s="1"/>
  <c r="AT14" i="53" s="1"/>
  <c r="AU14" i="53" s="1"/>
  <c r="AM19" i="23"/>
  <c r="AR19" i="23" s="1"/>
  <c r="AT19" i="23" s="1"/>
  <c r="AU19" i="23" s="1"/>
  <c r="AI24" i="14"/>
  <c r="AJ24" i="14"/>
  <c r="AH24" i="14"/>
  <c r="AJ25" i="14"/>
  <c r="AI25" i="14"/>
  <c r="AI26" i="14"/>
  <c r="AJ26" i="14"/>
  <c r="AJ27" i="14"/>
  <c r="AI27" i="14"/>
  <c r="AT4" i="16"/>
  <c r="AL14" i="18"/>
  <c r="AK14" i="18"/>
  <c r="AQ14" i="18" s="1"/>
  <c r="AH15" i="18"/>
  <c r="AB17" i="13"/>
  <c r="AJ23" i="14"/>
  <c r="AI23" i="14"/>
  <c r="AR5" i="15"/>
  <c r="AT5" i="15" s="1"/>
  <c r="AU5" i="15" s="1"/>
  <c r="AW5" i="15"/>
  <c r="AR8" i="15"/>
  <c r="AT8" i="15" s="1"/>
  <c r="AU8" i="15" s="1"/>
  <c r="AW8" i="15"/>
  <c r="AH1" i="12"/>
  <c r="AW1" i="12"/>
  <c r="AR14" i="21"/>
  <c r="AW14" i="21"/>
  <c r="AR18" i="23"/>
  <c r="AT18" i="23" s="1"/>
  <c r="AU18" i="23" s="1"/>
  <c r="AW18" i="23"/>
  <c r="AL13" i="17"/>
  <c r="AK13" i="17"/>
  <c r="AQ13" i="17" s="1"/>
  <c r="AH14" i="17"/>
  <c r="AM15" i="21"/>
  <c r="AA22" i="5"/>
  <c r="AG22" i="5" s="1"/>
  <c r="Y21" i="5"/>
  <c r="X22" i="5" s="1"/>
  <c r="AR24" i="15"/>
  <c r="AT24" i="15" s="1"/>
  <c r="AU24" i="15" s="1"/>
  <c r="AW24" i="15"/>
  <c r="AL26" i="14"/>
  <c r="AK26" i="14"/>
  <c r="AL4" i="14"/>
  <c r="AK4" i="14"/>
  <c r="AA24" i="3"/>
  <c r="AG24" i="3" s="1"/>
  <c r="Y23" i="3"/>
  <c r="X24" i="3" s="1"/>
  <c r="AJ19" i="14"/>
  <c r="AI19" i="14"/>
  <c r="AI28" i="14"/>
  <c r="AJ28" i="14"/>
  <c r="AA23" i="4"/>
  <c r="AG23" i="4" s="1"/>
  <c r="Y22" i="4"/>
  <c r="X23" i="4" s="1"/>
  <c r="AR9" i="16"/>
  <c r="AT9" i="16" s="1"/>
  <c r="AU9" i="16" s="1"/>
  <c r="AW9" i="16"/>
  <c r="AE1" i="12"/>
  <c r="AL15" i="53"/>
  <c r="AK15" i="53"/>
  <c r="AQ15" i="53" s="1"/>
  <c r="AH16" i="53"/>
  <c r="AR26" i="15"/>
  <c r="AT26" i="15" s="1"/>
  <c r="AU26" i="15" s="1"/>
  <c r="AW26" i="15"/>
  <c r="AM12" i="17"/>
  <c r="AL11" i="16"/>
  <c r="AK11" i="16"/>
  <c r="AQ11" i="16" s="1"/>
  <c r="AH12" i="16"/>
  <c r="AI22" i="14"/>
  <c r="AJ22" i="14"/>
  <c r="AA26" i="1"/>
  <c r="AG26" i="1" s="1"/>
  <c r="Y25" i="1"/>
  <c r="X26" i="1" s="1"/>
  <c r="AK27" i="14"/>
  <c r="AL27" i="14"/>
  <c r="AL5" i="14"/>
  <c r="AK5" i="14"/>
  <c r="AR7" i="15"/>
  <c r="AT7" i="15" s="1"/>
  <c r="AU7" i="15" s="1"/>
  <c r="AW7" i="15"/>
  <c r="AI20" i="14"/>
  <c r="AJ20" i="14"/>
  <c r="AU12" i="21"/>
  <c r="AE1" i="11"/>
  <c r="AR4" i="15"/>
  <c r="AW4" i="15"/>
  <c r="AM13" i="18"/>
  <c r="AD25" i="13"/>
  <c r="AB25" i="13" s="1"/>
  <c r="AD19" i="13"/>
  <c r="AD28" i="13"/>
  <c r="AB28" i="13" s="1"/>
  <c r="AD20" i="13"/>
  <c r="AD18" i="13"/>
  <c r="AD21" i="13"/>
  <c r="AD26" i="13"/>
  <c r="AB26" i="13" s="1"/>
  <c r="AD23" i="13"/>
  <c r="AD22" i="13"/>
  <c r="AD27" i="13"/>
  <c r="AB27" i="13" s="1"/>
  <c r="AD17" i="13"/>
  <c r="AD24" i="13"/>
  <c r="AB24" i="13" s="1"/>
  <c r="AH24" i="13" s="1"/>
  <c r="AB22" i="13"/>
  <c r="AB20" i="13"/>
  <c r="AH4" i="13"/>
  <c r="AH5" i="13"/>
  <c r="AH6" i="13"/>
  <c r="AH7" i="13"/>
  <c r="AH8" i="13"/>
  <c r="AH28" i="13"/>
  <c r="AH27" i="13"/>
  <c r="AH26" i="13"/>
  <c r="AH25" i="13"/>
  <c r="AI18" i="14"/>
  <c r="AJ18" i="14"/>
  <c r="AA20" i="7"/>
  <c r="AG20" i="7" s="1"/>
  <c r="Y19" i="7"/>
  <c r="X20" i="7" s="1"/>
  <c r="AK18" i="24"/>
  <c r="AQ18" i="24" s="1"/>
  <c r="AL18" i="24"/>
  <c r="AH19" i="24"/>
  <c r="AU16" i="23"/>
  <c r="AR28" i="15"/>
  <c r="AT28" i="15" s="1"/>
  <c r="AU28" i="15" s="1"/>
  <c r="AW28" i="15"/>
  <c r="AJ21" i="14"/>
  <c r="AI21" i="14"/>
  <c r="X17" i="10"/>
  <c r="AA17" i="10"/>
  <c r="X16" i="10"/>
  <c r="AU14" i="24"/>
  <c r="AU4" i="17"/>
  <c r="AU11" i="53"/>
  <c r="AR12" i="18"/>
  <c r="AT12" i="18" s="1"/>
  <c r="AU12" i="18" s="1"/>
  <c r="AW12" i="18"/>
  <c r="AL28" i="14"/>
  <c r="AK28" i="14"/>
  <c r="AL7" i="14"/>
  <c r="AK7" i="14"/>
  <c r="AL6" i="14"/>
  <c r="AK6" i="14"/>
  <c r="AA18" i="8"/>
  <c r="AG18" i="8" s="1"/>
  <c r="Y17" i="8"/>
  <c r="AR25" i="15"/>
  <c r="AT25" i="15" s="1"/>
  <c r="AU25" i="15" s="1"/>
  <c r="AW25" i="15"/>
  <c r="AW1" i="11"/>
  <c r="AH1" i="11"/>
  <c r="AA21" i="6"/>
  <c r="AG21" i="6" s="1"/>
  <c r="Y20" i="6"/>
  <c r="AJ17" i="14"/>
  <c r="AI17" i="14"/>
  <c r="AA24" i="2"/>
  <c r="AG24" i="2" s="1"/>
  <c r="Y23" i="2"/>
  <c r="X24" i="4"/>
  <c r="AU4" i="18"/>
  <c r="AM17" i="24"/>
  <c r="AA18" i="9"/>
  <c r="AG18" i="9" s="1"/>
  <c r="Y17" i="9"/>
  <c r="AL16" i="21"/>
  <c r="AK16" i="21"/>
  <c r="AQ16" i="21" s="1"/>
  <c r="AH17" i="21"/>
  <c r="AL20" i="23"/>
  <c r="AK20" i="23"/>
  <c r="AQ20" i="23" s="1"/>
  <c r="AH21" i="23"/>
  <c r="AL10" i="15"/>
  <c r="AK10" i="15"/>
  <c r="AQ10" i="15" s="1"/>
  <c r="AH11" i="15"/>
  <c r="AK25" i="14"/>
  <c r="AL25" i="14"/>
  <c r="AL8" i="14"/>
  <c r="AK8" i="14"/>
  <c r="AR13" i="53"/>
  <c r="AT13" i="53" s="1"/>
  <c r="AU13" i="53" s="1"/>
  <c r="AW13" i="53"/>
  <c r="AH10" i="14" l="1"/>
  <c r="AK10" i="14" s="1"/>
  <c r="AQ10" i="14" s="1"/>
  <c r="AH9" i="13"/>
  <c r="AL9" i="14"/>
  <c r="AQ6" i="14"/>
  <c r="AM6" i="14" s="1"/>
  <c r="AQ7" i="14"/>
  <c r="AJ21" i="13"/>
  <c r="AJ9" i="13"/>
  <c r="AQ4" i="14"/>
  <c r="AM4" i="14" s="1"/>
  <c r="AW15" i="22"/>
  <c r="AR14" i="20"/>
  <c r="AT14" i="20" s="1"/>
  <c r="AU14" i="20" s="1"/>
  <c r="AH18" i="22"/>
  <c r="AK17" i="22"/>
  <c r="AQ17" i="22" s="1"/>
  <c r="AL17" i="22"/>
  <c r="AM16" i="22"/>
  <c r="AG31" i="22"/>
  <c r="AQ5" i="14"/>
  <c r="AM5" i="14" s="1"/>
  <c r="AW19" i="25"/>
  <c r="AM20" i="25"/>
  <c r="AK21" i="25"/>
  <c r="AQ21" i="25" s="1"/>
  <c r="AH22" i="25"/>
  <c r="AL21" i="25"/>
  <c r="AQ8" i="14"/>
  <c r="AM8" i="14" s="1"/>
  <c r="AM15" i="19"/>
  <c r="AM15" i="20"/>
  <c r="AR14" i="19"/>
  <c r="AT14" i="19" s="1"/>
  <c r="AU14" i="19" s="1"/>
  <c r="AW14" i="19"/>
  <c r="AH17" i="20"/>
  <c r="AK16" i="20"/>
  <c r="AQ16" i="20" s="1"/>
  <c r="AL16" i="20"/>
  <c r="AF16" i="11"/>
  <c r="AF17" i="11" s="1"/>
  <c r="AF18" i="11" s="1"/>
  <c r="AF19" i="11" s="1"/>
  <c r="AF20" i="11" s="1"/>
  <c r="AF21" i="11" s="1"/>
  <c r="AF22" i="11" s="1"/>
  <c r="AF23" i="11" s="1"/>
  <c r="AF24" i="11" s="1"/>
  <c r="AF25" i="11" s="1"/>
  <c r="AF26" i="11" s="1"/>
  <c r="AF27" i="11" s="1"/>
  <c r="AF28" i="11" s="1"/>
  <c r="AI1" i="11"/>
  <c r="AF16" i="12"/>
  <c r="AF17" i="12" s="1"/>
  <c r="AF18" i="12" s="1"/>
  <c r="AF19" i="12" s="1"/>
  <c r="AF20" i="12" s="1"/>
  <c r="AF21" i="12" s="1"/>
  <c r="AF22" i="12" s="1"/>
  <c r="AF23" i="12" s="1"/>
  <c r="AF24" i="12" s="1"/>
  <c r="AF25" i="12" s="1"/>
  <c r="AF26" i="12" s="1"/>
  <c r="AF27" i="12" s="1"/>
  <c r="AF28" i="12" s="1"/>
  <c r="AI1" i="12"/>
  <c r="AL16" i="19"/>
  <c r="AK16" i="19"/>
  <c r="AQ16" i="19" s="1"/>
  <c r="AH17" i="19"/>
  <c r="AB18" i="12"/>
  <c r="AJ18" i="12" s="1"/>
  <c r="AJ16" i="13"/>
  <c r="AI16" i="13"/>
  <c r="AI6" i="13"/>
  <c r="AJ6" i="13"/>
  <c r="AJ5" i="13"/>
  <c r="AI5" i="13"/>
  <c r="AJ13" i="13"/>
  <c r="AI13" i="13"/>
  <c r="AJ12" i="13"/>
  <c r="AI12" i="13"/>
  <c r="AA16" i="10"/>
  <c r="X15" i="10"/>
  <c r="AB17" i="11"/>
  <c r="AJ17" i="11" s="1"/>
  <c r="AJ4" i="13"/>
  <c r="AI4" i="13"/>
  <c r="AJ10" i="13"/>
  <c r="AI10" i="13"/>
  <c r="AI11" i="13"/>
  <c r="AJ11" i="13"/>
  <c r="X18" i="9"/>
  <c r="Y16" i="9"/>
  <c r="X18" i="8"/>
  <c r="Y16" i="8"/>
  <c r="Y1" i="12"/>
  <c r="AB11" i="12" s="1"/>
  <c r="AJ8" i="13"/>
  <c r="AI8" i="13"/>
  <c r="AI7" i="13"/>
  <c r="AJ7" i="13"/>
  <c r="Y1" i="11"/>
  <c r="AB14" i="11" s="1"/>
  <c r="AJ14" i="13"/>
  <c r="AI14" i="13"/>
  <c r="AG11" i="59"/>
  <c r="AI11" i="59" s="1"/>
  <c r="AG5" i="59"/>
  <c r="AI5" i="59" s="1"/>
  <c r="AG16" i="59"/>
  <c r="AI16" i="59" s="1"/>
  <c r="G52" i="58"/>
  <c r="K50" i="58"/>
  <c r="G50" i="58"/>
  <c r="K48" i="58"/>
  <c r="C51" i="58"/>
  <c r="G49" i="58"/>
  <c r="C49" i="58"/>
  <c r="J50" i="58"/>
  <c r="B49" i="58"/>
  <c r="J48" i="58"/>
  <c r="E52" i="58"/>
  <c r="E49" i="58"/>
  <c r="H52" i="58"/>
  <c r="D52" i="58"/>
  <c r="H50" i="58"/>
  <c r="J51" i="58"/>
  <c r="F51" i="58"/>
  <c r="J49" i="58"/>
  <c r="B52" i="58"/>
  <c r="F50" i="58"/>
  <c r="B50" i="58"/>
  <c r="F48" i="58"/>
  <c r="I50" i="58"/>
  <c r="M48" i="58"/>
  <c r="I48" i="58"/>
  <c r="L51" i="58"/>
  <c r="L48" i="58"/>
  <c r="C52" i="58"/>
  <c r="K51" i="58"/>
  <c r="C50" i="58"/>
  <c r="B48" i="58"/>
  <c r="I51" i="58"/>
  <c r="E51" i="58"/>
  <c r="I49" i="58"/>
  <c r="M51" i="58"/>
  <c r="E50" i="58"/>
  <c r="M49" i="58"/>
  <c r="E48" i="58"/>
  <c r="D50" i="58"/>
  <c r="H48" i="58"/>
  <c r="D48" i="58"/>
  <c r="G51" i="58"/>
  <c r="G48" i="58"/>
  <c r="J52" i="58"/>
  <c r="B51" i="58"/>
  <c r="L52" i="58"/>
  <c r="D51" i="58"/>
  <c r="L50" i="58"/>
  <c r="D49" i="58"/>
  <c r="H51" i="58"/>
  <c r="L49" i="58"/>
  <c r="H49" i="58"/>
  <c r="K52" i="58"/>
  <c r="K49" i="58"/>
  <c r="C48" i="58"/>
  <c r="F52" i="58"/>
  <c r="F49" i="58"/>
  <c r="M52" i="58"/>
  <c r="I52" i="58"/>
  <c r="M50" i="58"/>
  <c r="L77" i="59"/>
  <c r="N77" i="59" s="1"/>
  <c r="AS77" i="59" s="1"/>
  <c r="Z71" i="59"/>
  <c r="AB71" i="59" s="1"/>
  <c r="AM71" i="59"/>
  <c r="AO71" i="59" s="1"/>
  <c r="AU71" i="59" s="1"/>
  <c r="AR9" i="15"/>
  <c r="AT9" i="15" s="1"/>
  <c r="AU9" i="15" s="1"/>
  <c r="AW10" i="16"/>
  <c r="AW14" i="53"/>
  <c r="AJ18" i="13"/>
  <c r="AI19" i="13"/>
  <c r="AW19" i="23"/>
  <c r="AI23" i="13"/>
  <c r="AB21" i="11"/>
  <c r="AJ21" i="11" s="1"/>
  <c r="AM9" i="14"/>
  <c r="AR9" i="14" s="1"/>
  <c r="AT9" i="14" s="1"/>
  <c r="AU9" i="14" s="1"/>
  <c r="AM15" i="53"/>
  <c r="AW15" i="53" s="1"/>
  <c r="AM13" i="17"/>
  <c r="AR13" i="17" s="1"/>
  <c r="AT13" i="17" s="1"/>
  <c r="AU13" i="17" s="1"/>
  <c r="AM18" i="24"/>
  <c r="AW18" i="24" s="1"/>
  <c r="AB18" i="11"/>
  <c r="AJ18" i="11" s="1"/>
  <c r="AM16" i="21"/>
  <c r="AR16" i="21" s="1"/>
  <c r="AT16" i="21" s="1"/>
  <c r="AU16" i="21" s="1"/>
  <c r="AJ27" i="13"/>
  <c r="AI27" i="13"/>
  <c r="AJ25" i="13"/>
  <c r="AI25" i="13"/>
  <c r="AL9" i="13"/>
  <c r="AK9" i="13"/>
  <c r="AQ9" i="13" s="1"/>
  <c r="AH10" i="13"/>
  <c r="AA23" i="2"/>
  <c r="AG23" i="2" s="1"/>
  <c r="Y22" i="2"/>
  <c r="X23" i="2" s="1"/>
  <c r="AM11" i="16"/>
  <c r="AM10" i="15"/>
  <c r="AM20" i="23"/>
  <c r="AL17" i="21"/>
  <c r="AK17" i="21"/>
  <c r="AQ17" i="21" s="1"/>
  <c r="AH18" i="21"/>
  <c r="AU15" i="22"/>
  <c r="AA19" i="7"/>
  <c r="AG19" i="7" s="1"/>
  <c r="Y18" i="7"/>
  <c r="X19" i="7" s="1"/>
  <c r="AL25" i="13"/>
  <c r="AK25" i="13"/>
  <c r="AK7" i="13"/>
  <c r="AL7" i="13"/>
  <c r="AJ20" i="13"/>
  <c r="AI20" i="13"/>
  <c r="AJ28" i="13"/>
  <c r="AI28" i="13"/>
  <c r="AK12" i="16"/>
  <c r="AQ12" i="16" s="1"/>
  <c r="AL12" i="16"/>
  <c r="AH13" i="16"/>
  <c r="AB17" i="12"/>
  <c r="AB20" i="12"/>
  <c r="AB22" i="12"/>
  <c r="AA21" i="5"/>
  <c r="AG21" i="5" s="1"/>
  <c r="Y20" i="5"/>
  <c r="X21" i="5" s="1"/>
  <c r="AH5" i="12"/>
  <c r="AH4" i="12"/>
  <c r="AH7" i="12"/>
  <c r="AH6" i="12"/>
  <c r="AH8" i="12"/>
  <c r="AH28" i="12"/>
  <c r="AH27" i="12"/>
  <c r="AH26" i="12"/>
  <c r="AH25" i="12"/>
  <c r="AJ17" i="13"/>
  <c r="AI17" i="13"/>
  <c r="AL6" i="13"/>
  <c r="AK6" i="13"/>
  <c r="AT4" i="15"/>
  <c r="AB19" i="12"/>
  <c r="AA22" i="4"/>
  <c r="AG22" i="4" s="1"/>
  <c r="Y21" i="4"/>
  <c r="X22" i="4" s="1"/>
  <c r="AQ28" i="14"/>
  <c r="AM28" i="14" s="1"/>
  <c r="AA23" i="3"/>
  <c r="AG23" i="3" s="1"/>
  <c r="Y22" i="3"/>
  <c r="X23" i="3" s="1"/>
  <c r="AT14" i="21"/>
  <c r="AU4" i="16"/>
  <c r="AL24" i="14"/>
  <c r="AK24" i="14"/>
  <c r="AQ24" i="14" s="1"/>
  <c r="AR17" i="24"/>
  <c r="AT17" i="24" s="1"/>
  <c r="AW17" i="24"/>
  <c r="AM7" i="14"/>
  <c r="AL27" i="13"/>
  <c r="AK27" i="13"/>
  <c r="AK5" i="13"/>
  <c r="AL5" i="13"/>
  <c r="AJ22" i="13"/>
  <c r="AI22" i="13"/>
  <c r="AD24" i="11"/>
  <c r="AB24" i="11" s="1"/>
  <c r="AH24" i="11" s="1"/>
  <c r="AD28" i="11"/>
  <c r="AB28" i="11" s="1"/>
  <c r="AD20" i="11"/>
  <c r="AD21" i="11"/>
  <c r="AD17" i="11"/>
  <c r="AD23" i="11"/>
  <c r="AD27" i="11"/>
  <c r="AB27" i="11" s="1"/>
  <c r="AD18" i="11"/>
  <c r="AD26" i="11"/>
  <c r="AB26" i="11" s="1"/>
  <c r="AD19" i="11"/>
  <c r="AD25" i="11"/>
  <c r="AB25" i="11" s="1"/>
  <c r="AD22" i="11"/>
  <c r="AB22" i="11"/>
  <c r="AB20" i="11"/>
  <c r="AK16" i="53"/>
  <c r="AQ16" i="53" s="1"/>
  <c r="AL16" i="53"/>
  <c r="AH17" i="53"/>
  <c r="AD25" i="12"/>
  <c r="AB25" i="12" s="1"/>
  <c r="AD21" i="12"/>
  <c r="AD24" i="12"/>
  <c r="AB24" i="12" s="1"/>
  <c r="AD17" i="12"/>
  <c r="AD23" i="12"/>
  <c r="AD18" i="12"/>
  <c r="AD26" i="12"/>
  <c r="AB26" i="12" s="1"/>
  <c r="AD22" i="12"/>
  <c r="AD27" i="12"/>
  <c r="AB27" i="12" s="1"/>
  <c r="AD19" i="12"/>
  <c r="AD28" i="12"/>
  <c r="AB28" i="12" s="1"/>
  <c r="AD20" i="12"/>
  <c r="AB21" i="12"/>
  <c r="AG31" i="21"/>
  <c r="AL14" i="17"/>
  <c r="AK14" i="17"/>
  <c r="AQ14" i="17" s="1"/>
  <c r="AH15" i="17"/>
  <c r="AK15" i="18"/>
  <c r="AQ15" i="18" s="1"/>
  <c r="AL15" i="18"/>
  <c r="AH16" i="18"/>
  <c r="AQ26" i="14"/>
  <c r="AM26" i="14" s="1"/>
  <c r="AA20" i="6"/>
  <c r="AG20" i="6" s="1"/>
  <c r="Y19" i="6"/>
  <c r="X20" i="6" s="1"/>
  <c r="AL26" i="13"/>
  <c r="AK26" i="13"/>
  <c r="AJ26" i="13"/>
  <c r="AI26" i="13"/>
  <c r="AL11" i="15"/>
  <c r="AK11" i="15"/>
  <c r="AQ11" i="15" s="1"/>
  <c r="AH12" i="15"/>
  <c r="AL21" i="23"/>
  <c r="AK21" i="23"/>
  <c r="AQ21" i="23" s="1"/>
  <c r="AH22" i="23"/>
  <c r="X17" i="9"/>
  <c r="AA17" i="9"/>
  <c r="X16" i="9"/>
  <c r="X24" i="2"/>
  <c r="X21" i="6"/>
  <c r="AH4" i="11"/>
  <c r="AH5" i="11"/>
  <c r="AH6" i="11"/>
  <c r="AH7" i="11"/>
  <c r="AH8" i="11"/>
  <c r="AH28" i="11"/>
  <c r="AH27" i="11"/>
  <c r="AH26" i="11"/>
  <c r="AH25" i="11"/>
  <c r="X17" i="8"/>
  <c r="AA17" i="8"/>
  <c r="X16" i="8"/>
  <c r="AD1" i="10"/>
  <c r="AG17" i="10"/>
  <c r="AK19" i="24"/>
  <c r="AQ19" i="24" s="1"/>
  <c r="AL19" i="24"/>
  <c r="AH20" i="24"/>
  <c r="AL24" i="13"/>
  <c r="AK24" i="13"/>
  <c r="AL28" i="13"/>
  <c r="AK28" i="13"/>
  <c r="AL8" i="13"/>
  <c r="AK8" i="13"/>
  <c r="AL4" i="13"/>
  <c r="AK4" i="13"/>
  <c r="AJ24" i="13"/>
  <c r="AI24" i="13"/>
  <c r="AR13" i="18"/>
  <c r="AT13" i="18" s="1"/>
  <c r="AW13" i="18"/>
  <c r="AB23" i="11"/>
  <c r="AB19" i="11"/>
  <c r="AA25" i="1"/>
  <c r="AG25" i="1" s="1"/>
  <c r="Y24" i="1"/>
  <c r="X25" i="1" s="1"/>
  <c r="AR12" i="17"/>
  <c r="AW12" i="17"/>
  <c r="AB23" i="12"/>
  <c r="AR15" i="21"/>
  <c r="AT15" i="21" s="1"/>
  <c r="AU15" i="21" s="1"/>
  <c r="AW15" i="21"/>
  <c r="AM14" i="18"/>
  <c r="AQ27" i="14"/>
  <c r="AM27" i="14" s="1"/>
  <c r="AH11" i="14"/>
  <c r="AQ25" i="14"/>
  <c r="AM25" i="14" s="1"/>
  <c r="AL10" i="14" l="1"/>
  <c r="AQ4" i="13"/>
  <c r="AM4" i="13" s="1"/>
  <c r="AQ5" i="13"/>
  <c r="AQ8" i="13"/>
  <c r="AM8" i="13" s="1"/>
  <c r="AR8" i="13" s="1"/>
  <c r="AT8" i="13" s="1"/>
  <c r="AU8" i="13" s="1"/>
  <c r="AQ6" i="13"/>
  <c r="AM6" i="13" s="1"/>
  <c r="AI17" i="11"/>
  <c r="AR16" i="22"/>
  <c r="AT16" i="22" s="1"/>
  <c r="AU16" i="22" s="1"/>
  <c r="AW16" i="22"/>
  <c r="AM17" i="22"/>
  <c r="AL18" i="22"/>
  <c r="AK18" i="22"/>
  <c r="AQ18" i="22" s="1"/>
  <c r="AH19" i="22"/>
  <c r="AQ7" i="13"/>
  <c r="AM7" i="13" s="1"/>
  <c r="AW7" i="13" s="1"/>
  <c r="AM21" i="25"/>
  <c r="AR21" i="25" s="1"/>
  <c r="AT21" i="25" s="1"/>
  <c r="AU21" i="25" s="1"/>
  <c r="AL22" i="25"/>
  <c r="AK22" i="25"/>
  <c r="AQ22" i="25" s="1"/>
  <c r="AH23" i="25"/>
  <c r="AR20" i="25"/>
  <c r="AT20" i="25" s="1"/>
  <c r="AU20" i="25" s="1"/>
  <c r="AW20" i="25"/>
  <c r="AI18" i="12"/>
  <c r="AG31" i="20"/>
  <c r="AM16" i="20"/>
  <c r="AR15" i="20"/>
  <c r="AT15" i="20" s="1"/>
  <c r="AU15" i="20" s="1"/>
  <c r="AW15" i="20"/>
  <c r="AK17" i="20"/>
  <c r="AQ17" i="20" s="1"/>
  <c r="AH18" i="20"/>
  <c r="AL17" i="20"/>
  <c r="AW15" i="19"/>
  <c r="AR15" i="19"/>
  <c r="AT15" i="19" s="1"/>
  <c r="AU15" i="19" s="1"/>
  <c r="AB16" i="12"/>
  <c r="AI16" i="12" s="1"/>
  <c r="AD16" i="11"/>
  <c r="AB16" i="11"/>
  <c r="AJ16" i="11" s="1"/>
  <c r="AD16" i="12"/>
  <c r="AB10" i="11"/>
  <c r="AI10" i="11" s="1"/>
  <c r="AB13" i="12"/>
  <c r="AI13" i="12" s="1"/>
  <c r="AB11" i="11"/>
  <c r="AJ11" i="11" s="1"/>
  <c r="AB12" i="11"/>
  <c r="AJ12" i="11" s="1"/>
  <c r="AB12" i="12"/>
  <c r="AI12" i="12" s="1"/>
  <c r="AB9" i="11"/>
  <c r="AI9" i="11" s="1"/>
  <c r="AB15" i="11"/>
  <c r="AI15" i="11" s="1"/>
  <c r="AB9" i="12"/>
  <c r="AJ9" i="12" s="1"/>
  <c r="AB15" i="12"/>
  <c r="AJ15" i="12" s="1"/>
  <c r="AH9" i="11"/>
  <c r="AL9" i="11" s="1"/>
  <c r="AB10" i="12"/>
  <c r="AJ10" i="12" s="1"/>
  <c r="AH18" i="19"/>
  <c r="AL17" i="19"/>
  <c r="AK17" i="19"/>
  <c r="AQ17" i="19" s="1"/>
  <c r="AG31" i="19"/>
  <c r="AM16" i="19"/>
  <c r="AA16" i="9"/>
  <c r="X15" i="9"/>
  <c r="AB13" i="11"/>
  <c r="AD6" i="11"/>
  <c r="AB6" i="11" s="1"/>
  <c r="AD7" i="11"/>
  <c r="AB7" i="11" s="1"/>
  <c r="AD10" i="11"/>
  <c r="AD5" i="11"/>
  <c r="AB5" i="11" s="1"/>
  <c r="AD12" i="11"/>
  <c r="AD13" i="11"/>
  <c r="AD11" i="11"/>
  <c r="AD15" i="11"/>
  <c r="AD14" i="11"/>
  <c r="AD4" i="11"/>
  <c r="AB4" i="11" s="1"/>
  <c r="AD8" i="11"/>
  <c r="AB8" i="11" s="1"/>
  <c r="AD9" i="11"/>
  <c r="AB14" i="12"/>
  <c r="AD14" i="12"/>
  <c r="AD9" i="12"/>
  <c r="AD12" i="12"/>
  <c r="AD10" i="12"/>
  <c r="AD8" i="12"/>
  <c r="AB8" i="12" s="1"/>
  <c r="AD6" i="12"/>
  <c r="AB6" i="12" s="1"/>
  <c r="AD7" i="12"/>
  <c r="AB7" i="12" s="1"/>
  <c r="AD11" i="12"/>
  <c r="AD15" i="12"/>
  <c r="AD5" i="12"/>
  <c r="AB5" i="12" s="1"/>
  <c r="AD13" i="12"/>
  <c r="AD4" i="12"/>
  <c r="AB4" i="12" s="1"/>
  <c r="AJ14" i="11"/>
  <c r="AI14" i="11"/>
  <c r="AJ11" i="12"/>
  <c r="AI11" i="12"/>
  <c r="AA16" i="8"/>
  <c r="X15" i="8"/>
  <c r="AG16" i="10"/>
  <c r="X1" i="10"/>
  <c r="AC7" i="59"/>
  <c r="AC8" i="59"/>
  <c r="P7" i="59" s="1"/>
  <c r="AR72" i="59" s="1"/>
  <c r="AT72" i="59"/>
  <c r="AT71" i="59"/>
  <c r="AQ24" i="13"/>
  <c r="AM24" i="13" s="1"/>
  <c r="AW24" i="13" s="1"/>
  <c r="AW13" i="17"/>
  <c r="AW16" i="21"/>
  <c r="AR18" i="24"/>
  <c r="AT18" i="24" s="1"/>
  <c r="AU18" i="24" s="1"/>
  <c r="AR15" i="53"/>
  <c r="AT15" i="53" s="1"/>
  <c r="AU15" i="53" s="1"/>
  <c r="AI21" i="11"/>
  <c r="AW9" i="14"/>
  <c r="AM24" i="14"/>
  <c r="AR24" i="14" s="1"/>
  <c r="AT24" i="14" s="1"/>
  <c r="AU24" i="14" s="1"/>
  <c r="AI18" i="11"/>
  <c r="AM5" i="13"/>
  <c r="AW5" i="13" s="1"/>
  <c r="AM11" i="15"/>
  <c r="AR11" i="15" s="1"/>
  <c r="AT11" i="15" s="1"/>
  <c r="AU11" i="15" s="1"/>
  <c r="AM12" i="16"/>
  <c r="AW12" i="16" s="1"/>
  <c r="AM19" i="24"/>
  <c r="AR19" i="24" s="1"/>
  <c r="AT19" i="24" s="1"/>
  <c r="AU19" i="24" s="1"/>
  <c r="AM21" i="23"/>
  <c r="AR21" i="23" s="1"/>
  <c r="AT21" i="23" s="1"/>
  <c r="AU21" i="23" s="1"/>
  <c r="AM9" i="13"/>
  <c r="AR9" i="13" s="1"/>
  <c r="AT9" i="13" s="1"/>
  <c r="AU9" i="13" s="1"/>
  <c r="AM14" i="17"/>
  <c r="AR14" i="17" s="1"/>
  <c r="AT14" i="17" s="1"/>
  <c r="AU14" i="17" s="1"/>
  <c r="AJ26" i="12"/>
  <c r="AI26" i="12"/>
  <c r="AJ24" i="12"/>
  <c r="AI24" i="12"/>
  <c r="AH24" i="12"/>
  <c r="AJ28" i="11"/>
  <c r="AI28" i="11"/>
  <c r="AJ26" i="11"/>
  <c r="AI26" i="11"/>
  <c r="AL11" i="14"/>
  <c r="AK11" i="14"/>
  <c r="AQ11" i="14" s="1"/>
  <c r="AH12" i="14"/>
  <c r="AJ23" i="11"/>
  <c r="AI23" i="11"/>
  <c r="AE1" i="10"/>
  <c r="AM10" i="14"/>
  <c r="AJ24" i="11"/>
  <c r="AI24" i="11"/>
  <c r="AL26" i="11"/>
  <c r="AK26" i="11"/>
  <c r="AL8" i="11"/>
  <c r="AK8" i="11"/>
  <c r="AK6" i="11"/>
  <c r="AL6" i="11"/>
  <c r="AQ26" i="13"/>
  <c r="AM26" i="13" s="1"/>
  <c r="AR26" i="14"/>
  <c r="AT26" i="14" s="1"/>
  <c r="AU26" i="14" s="1"/>
  <c r="AW26" i="14"/>
  <c r="AM15" i="18"/>
  <c r="AI21" i="12"/>
  <c r="AJ21" i="12"/>
  <c r="AI25" i="12"/>
  <c r="AJ25" i="12"/>
  <c r="AR5" i="14"/>
  <c r="AT5" i="14" s="1"/>
  <c r="AU5" i="14" s="1"/>
  <c r="AW5" i="14"/>
  <c r="AJ20" i="11"/>
  <c r="AI20" i="11"/>
  <c r="AJ27" i="11"/>
  <c r="AI27" i="11"/>
  <c r="AR7" i="14"/>
  <c r="AT7" i="14" s="1"/>
  <c r="AU7" i="14" s="1"/>
  <c r="AW7" i="14"/>
  <c r="AU14" i="21"/>
  <c r="AA21" i="4"/>
  <c r="AG21" i="4" s="1"/>
  <c r="Y20" i="4"/>
  <c r="AU4" i="15"/>
  <c r="AL25" i="12"/>
  <c r="AK25" i="12"/>
  <c r="AL6" i="12"/>
  <c r="AK6" i="12"/>
  <c r="AR4" i="14"/>
  <c r="AW4" i="14"/>
  <c r="AJ22" i="12"/>
  <c r="AI22" i="12"/>
  <c r="AQ28" i="13"/>
  <c r="AM28" i="13" s="1"/>
  <c r="AI23" i="12"/>
  <c r="AJ23" i="12"/>
  <c r="AR25" i="14"/>
  <c r="AT25" i="14" s="1"/>
  <c r="AU25" i="14" s="1"/>
  <c r="AW25" i="14"/>
  <c r="AR27" i="14"/>
  <c r="AT27" i="14" s="1"/>
  <c r="AU27" i="14" s="1"/>
  <c r="AW27" i="14"/>
  <c r="AD1" i="8"/>
  <c r="AG17" i="8"/>
  <c r="AL27" i="11"/>
  <c r="AK27" i="11"/>
  <c r="AL5" i="11"/>
  <c r="AK5" i="11"/>
  <c r="AL12" i="15"/>
  <c r="AK12" i="15"/>
  <c r="AQ12" i="15" s="1"/>
  <c r="AH13" i="15"/>
  <c r="AA19" i="6"/>
  <c r="AG19" i="6" s="1"/>
  <c r="Y18" i="6"/>
  <c r="AL17" i="53"/>
  <c r="AK17" i="53"/>
  <c r="AQ17" i="53" s="1"/>
  <c r="AH18" i="53"/>
  <c r="AJ25" i="11"/>
  <c r="AI25" i="11"/>
  <c r="AU17" i="24"/>
  <c r="AA22" i="3"/>
  <c r="AG22" i="3" s="1"/>
  <c r="Y21" i="3"/>
  <c r="AK26" i="12"/>
  <c r="AL26" i="12"/>
  <c r="AL7" i="12"/>
  <c r="AK7" i="12"/>
  <c r="AA20" i="5"/>
  <c r="AG20" i="5" s="1"/>
  <c r="Y19" i="5"/>
  <c r="X20" i="5" s="1"/>
  <c r="AJ20" i="12"/>
  <c r="AI20" i="12"/>
  <c r="AA18" i="7"/>
  <c r="AG18" i="7" s="1"/>
  <c r="Y17" i="7"/>
  <c r="Y16" i="7" s="1"/>
  <c r="AR6" i="14"/>
  <c r="AT6" i="14" s="1"/>
  <c r="AU6" i="14" s="1"/>
  <c r="AW6" i="14"/>
  <c r="AR20" i="23"/>
  <c r="AT20" i="23" s="1"/>
  <c r="AW20" i="23"/>
  <c r="AR11" i="16"/>
  <c r="AW11" i="16"/>
  <c r="AQ25" i="13"/>
  <c r="AM25" i="13" s="1"/>
  <c r="AQ27" i="13"/>
  <c r="AM27" i="13" s="1"/>
  <c r="AA24" i="1"/>
  <c r="AG24" i="1" s="1"/>
  <c r="Y23" i="1"/>
  <c r="X24" i="1" s="1"/>
  <c r="AJ19" i="11"/>
  <c r="AI19" i="11"/>
  <c r="AU13" i="18"/>
  <c r="AW1" i="10"/>
  <c r="AH1" i="10"/>
  <c r="AL24" i="11"/>
  <c r="AK24" i="11"/>
  <c r="AL28" i="11"/>
  <c r="AK28" i="11"/>
  <c r="AK4" i="11"/>
  <c r="AL4" i="11"/>
  <c r="AD1" i="9"/>
  <c r="AG17" i="9"/>
  <c r="AL22" i="23"/>
  <c r="AK22" i="23"/>
  <c r="AQ22" i="23" s="1"/>
  <c r="AH23" i="23"/>
  <c r="AL16" i="18"/>
  <c r="AK16" i="18"/>
  <c r="AQ16" i="18" s="1"/>
  <c r="AH17" i="18"/>
  <c r="AL15" i="17"/>
  <c r="AK15" i="17"/>
  <c r="AQ15" i="17" s="1"/>
  <c r="AH16" i="17"/>
  <c r="AI27" i="12"/>
  <c r="AJ27" i="12"/>
  <c r="AJ22" i="11"/>
  <c r="AI22" i="11"/>
  <c r="AL27" i="12"/>
  <c r="AK27" i="12"/>
  <c r="AL4" i="12"/>
  <c r="AK4" i="12"/>
  <c r="AI17" i="12"/>
  <c r="AJ17" i="12"/>
  <c r="AL18" i="21"/>
  <c r="AK18" i="21"/>
  <c r="AQ18" i="21" s="1"/>
  <c r="AH19" i="21"/>
  <c r="AR14" i="18"/>
  <c r="AT14" i="18" s="1"/>
  <c r="AU14" i="18" s="1"/>
  <c r="AW14" i="18"/>
  <c r="AT12" i="17"/>
  <c r="AK20" i="24"/>
  <c r="AQ20" i="24" s="1"/>
  <c r="AL20" i="24"/>
  <c r="AH21" i="24"/>
  <c r="AL25" i="11"/>
  <c r="AK25" i="11"/>
  <c r="AL7" i="11"/>
  <c r="AK7" i="11"/>
  <c r="AJ28" i="12"/>
  <c r="AI28" i="12"/>
  <c r="AM16" i="53"/>
  <c r="AG31" i="53"/>
  <c r="AR8" i="14"/>
  <c r="AT8" i="14" s="1"/>
  <c r="AU8" i="14" s="1"/>
  <c r="AW8" i="14"/>
  <c r="AR28" i="14"/>
  <c r="AT28" i="14" s="1"/>
  <c r="AU28" i="14" s="1"/>
  <c r="AW28" i="14"/>
  <c r="AI19" i="12"/>
  <c r="AJ19" i="12"/>
  <c r="AK28" i="12"/>
  <c r="AL28" i="12"/>
  <c r="AK8" i="12"/>
  <c r="AL8" i="12"/>
  <c r="AL5" i="12"/>
  <c r="AK5" i="12"/>
  <c r="AL13" i="16"/>
  <c r="AK13" i="16"/>
  <c r="AQ13" i="16" s="1"/>
  <c r="AH14" i="16"/>
  <c r="AM17" i="21"/>
  <c r="AR10" i="15"/>
  <c r="AW10" i="15"/>
  <c r="AA22" i="2"/>
  <c r="AG22" i="2" s="1"/>
  <c r="Y21" i="2"/>
  <c r="AL10" i="13"/>
  <c r="AK10" i="13"/>
  <c r="AQ10" i="13" s="1"/>
  <c r="AH11" i="13"/>
  <c r="AJ9" i="11" l="1"/>
  <c r="AI11" i="11"/>
  <c r="AH9" i="12"/>
  <c r="AK9" i="12" s="1"/>
  <c r="AJ13" i="12"/>
  <c r="AK9" i="11"/>
  <c r="AQ9" i="11" s="1"/>
  <c r="AI12" i="11"/>
  <c r="AW21" i="25"/>
  <c r="AM18" i="22"/>
  <c r="AR17" i="22"/>
  <c r="AT17" i="22" s="1"/>
  <c r="AU17" i="22" s="1"/>
  <c r="AW17" i="22"/>
  <c r="AH20" i="22"/>
  <c r="AK19" i="22"/>
  <c r="AQ19" i="22" s="1"/>
  <c r="AL19" i="22"/>
  <c r="AI10" i="12"/>
  <c r="AJ12" i="12"/>
  <c r="AM22" i="25"/>
  <c r="AI9" i="12"/>
  <c r="AL23" i="25"/>
  <c r="AK23" i="25"/>
  <c r="AQ23" i="25" s="1"/>
  <c r="AR7" i="13"/>
  <c r="AT7" i="13" s="1"/>
  <c r="AU7" i="13" s="1"/>
  <c r="AI16" i="11"/>
  <c r="AJ15" i="11"/>
  <c r="AM17" i="20"/>
  <c r="AW17" i="20" s="1"/>
  <c r="AJ16" i="12"/>
  <c r="AJ10" i="11"/>
  <c r="AI15" i="12"/>
  <c r="AH19" i="20"/>
  <c r="AK18" i="20"/>
  <c r="AQ18" i="20" s="1"/>
  <c r="AL18" i="20"/>
  <c r="AR16" i="20"/>
  <c r="AT16" i="20" s="1"/>
  <c r="AU16" i="20" s="1"/>
  <c r="AW16" i="20"/>
  <c r="AF16" i="10"/>
  <c r="AF17" i="10" s="1"/>
  <c r="AF18" i="10" s="1"/>
  <c r="AF19" i="10" s="1"/>
  <c r="AF20" i="10" s="1"/>
  <c r="AF21" i="10" s="1"/>
  <c r="AF22" i="10" s="1"/>
  <c r="AF23" i="10" s="1"/>
  <c r="AF24" i="10" s="1"/>
  <c r="AF25" i="10" s="1"/>
  <c r="AF26" i="10" s="1"/>
  <c r="AF27" i="10" s="1"/>
  <c r="AF28" i="10" s="1"/>
  <c r="AI1" i="10"/>
  <c r="AH10" i="11"/>
  <c r="AM17" i="19"/>
  <c r="AR16" i="19"/>
  <c r="AT16" i="19" s="1"/>
  <c r="AU16" i="19" s="1"/>
  <c r="AW16" i="19"/>
  <c r="AH19" i="19"/>
  <c r="AL18" i="19"/>
  <c r="AK18" i="19"/>
  <c r="AQ18" i="19" s="1"/>
  <c r="AJ5" i="12"/>
  <c r="AI5" i="12"/>
  <c r="AQ5" i="12" s="1"/>
  <c r="AJ6" i="12"/>
  <c r="AI6" i="12"/>
  <c r="AQ6" i="12" s="1"/>
  <c r="AJ6" i="11"/>
  <c r="AI6" i="11"/>
  <c r="AQ6" i="11" s="1"/>
  <c r="AJ8" i="12"/>
  <c r="AI8" i="12"/>
  <c r="AQ8" i="12" s="1"/>
  <c r="AI5" i="11"/>
  <c r="AQ5" i="11" s="1"/>
  <c r="AJ5" i="11"/>
  <c r="AJ13" i="11"/>
  <c r="AI13" i="11"/>
  <c r="AG16" i="9"/>
  <c r="X1" i="9"/>
  <c r="Y1" i="10"/>
  <c r="AB12" i="10" s="1"/>
  <c r="AJ4" i="12"/>
  <c r="AI4" i="12"/>
  <c r="AQ4" i="12" s="1"/>
  <c r="AJ14" i="12"/>
  <c r="AI14" i="12"/>
  <c r="AJ8" i="11"/>
  <c r="AI8" i="11"/>
  <c r="AQ8" i="11" s="1"/>
  <c r="AA16" i="7"/>
  <c r="X15" i="7"/>
  <c r="AB23" i="10"/>
  <c r="AJ23" i="10" s="1"/>
  <c r="AG16" i="8"/>
  <c r="X1" i="8"/>
  <c r="AJ7" i="12"/>
  <c r="AI7" i="12"/>
  <c r="AQ7" i="12" s="1"/>
  <c r="AJ4" i="11"/>
  <c r="AI4" i="11"/>
  <c r="AQ4" i="11" s="1"/>
  <c r="AI7" i="11"/>
  <c r="AQ7" i="11" s="1"/>
  <c r="AJ7" i="11"/>
  <c r="AV72" i="59"/>
  <c r="E11" i="59" s="1"/>
  <c r="P6" i="59"/>
  <c r="AR71" i="59" s="1"/>
  <c r="AV71" i="59" s="1"/>
  <c r="BA10" i="59" a="1"/>
  <c r="AW8" i="13"/>
  <c r="AR5" i="13"/>
  <c r="AT5" i="13" s="1"/>
  <c r="AU5" i="13" s="1"/>
  <c r="AR24" i="13"/>
  <c r="AT24" i="13" s="1"/>
  <c r="AU24" i="13" s="1"/>
  <c r="AW14" i="17"/>
  <c r="AW21" i="23"/>
  <c r="AW11" i="15"/>
  <c r="AW9" i="13"/>
  <c r="AW24" i="14"/>
  <c r="AR12" i="16"/>
  <c r="AT12" i="16" s="1"/>
  <c r="AU12" i="16" s="1"/>
  <c r="AQ28" i="12"/>
  <c r="AM28" i="12" s="1"/>
  <c r="AW19" i="24"/>
  <c r="AM12" i="15"/>
  <c r="AR12" i="15" s="1"/>
  <c r="AT12" i="15" s="1"/>
  <c r="AU12" i="15" s="1"/>
  <c r="AM20" i="24"/>
  <c r="AR20" i="24" s="1"/>
  <c r="AT20" i="24" s="1"/>
  <c r="AU20" i="24" s="1"/>
  <c r="AB17" i="10"/>
  <c r="AJ17" i="10" s="1"/>
  <c r="AB22" i="10"/>
  <c r="AI22" i="10" s="1"/>
  <c r="AM13" i="16"/>
  <c r="AW13" i="16" s="1"/>
  <c r="AB18" i="10"/>
  <c r="AI18" i="10" s="1"/>
  <c r="AM18" i="21"/>
  <c r="AW18" i="21" s="1"/>
  <c r="AK14" i="16"/>
  <c r="AQ14" i="16" s="1"/>
  <c r="AL14" i="16"/>
  <c r="AH15" i="16"/>
  <c r="AL19" i="21"/>
  <c r="AK19" i="21"/>
  <c r="AQ19" i="21" s="1"/>
  <c r="AH20" i="21"/>
  <c r="AQ27" i="12"/>
  <c r="AM27" i="12" s="1"/>
  <c r="AK17" i="18"/>
  <c r="AQ17" i="18" s="1"/>
  <c r="AL17" i="18"/>
  <c r="AH18" i="18"/>
  <c r="AM22" i="23"/>
  <c r="AR25" i="13"/>
  <c r="AT25" i="13" s="1"/>
  <c r="AU25" i="13" s="1"/>
  <c r="AW25" i="13"/>
  <c r="AT11" i="16"/>
  <c r="AA21" i="3"/>
  <c r="AG21" i="3" s="1"/>
  <c r="Y20" i="3"/>
  <c r="X21" i="3" s="1"/>
  <c r="AL13" i="15"/>
  <c r="AK13" i="15"/>
  <c r="AQ13" i="15" s="1"/>
  <c r="AH14" i="15"/>
  <c r="AA20" i="4"/>
  <c r="AG20" i="4" s="1"/>
  <c r="Y19" i="4"/>
  <c r="X20" i="4" s="1"/>
  <c r="AR26" i="13"/>
  <c r="AT26" i="13" s="1"/>
  <c r="AU26" i="13" s="1"/>
  <c r="AW26" i="13"/>
  <c r="AQ24" i="11"/>
  <c r="AM24" i="11" s="1"/>
  <c r="AB19" i="10"/>
  <c r="AQ26" i="11"/>
  <c r="AM26" i="11" s="1"/>
  <c r="AA21" i="2"/>
  <c r="AG21" i="2" s="1"/>
  <c r="Y20" i="2"/>
  <c r="X21" i="2" s="1"/>
  <c r="AL21" i="24"/>
  <c r="AK21" i="24"/>
  <c r="AQ21" i="24" s="1"/>
  <c r="AH22" i="24"/>
  <c r="AL16" i="17"/>
  <c r="AK16" i="17"/>
  <c r="AQ16" i="17" s="1"/>
  <c r="AH17" i="17"/>
  <c r="AM16" i="18"/>
  <c r="AG31" i="18"/>
  <c r="AH5" i="10"/>
  <c r="AH4" i="10"/>
  <c r="AH6" i="10"/>
  <c r="AH7" i="10"/>
  <c r="AH8" i="10"/>
  <c r="AH28" i="10"/>
  <c r="AH27" i="10"/>
  <c r="AH26" i="10"/>
  <c r="AH25" i="10"/>
  <c r="X17" i="7"/>
  <c r="AA17" i="7"/>
  <c r="X16" i="7"/>
  <c r="AK18" i="53"/>
  <c r="AQ18" i="53" s="1"/>
  <c r="AL18" i="53"/>
  <c r="AH19" i="53"/>
  <c r="AA18" i="6"/>
  <c r="AG18" i="6" s="1"/>
  <c r="Y17" i="6"/>
  <c r="AR15" i="18"/>
  <c r="AT15" i="18" s="1"/>
  <c r="AU15" i="18" s="1"/>
  <c r="AW15" i="18"/>
  <c r="AL12" i="14"/>
  <c r="AK12" i="14"/>
  <c r="AQ12" i="14" s="1"/>
  <c r="AH13" i="14"/>
  <c r="AQ28" i="11"/>
  <c r="AM28" i="11" s="1"/>
  <c r="AQ26" i="12"/>
  <c r="AM26" i="12" s="1"/>
  <c r="AK11" i="13"/>
  <c r="AQ11" i="13" s="1"/>
  <c r="AL11" i="13"/>
  <c r="AH12" i="13"/>
  <c r="AR17" i="21"/>
  <c r="AT17" i="21" s="1"/>
  <c r="AW17" i="21"/>
  <c r="AR16" i="53"/>
  <c r="AT16" i="53" s="1"/>
  <c r="AW16" i="53"/>
  <c r="AM15" i="17"/>
  <c r="AH1" i="9"/>
  <c r="AW1" i="9"/>
  <c r="AU20" i="23"/>
  <c r="AR6" i="13"/>
  <c r="AT6" i="13" s="1"/>
  <c r="AU6" i="13" s="1"/>
  <c r="AW6" i="13"/>
  <c r="X22" i="3"/>
  <c r="AM17" i="53"/>
  <c r="AH1" i="8"/>
  <c r="AW1" i="8"/>
  <c r="X21" i="4"/>
  <c r="AQ25" i="12"/>
  <c r="AM25" i="12" s="1"/>
  <c r="AD17" i="10"/>
  <c r="AD28" i="10"/>
  <c r="AB28" i="10" s="1"/>
  <c r="AD26" i="10"/>
  <c r="AB26" i="10" s="1"/>
  <c r="AD19" i="10"/>
  <c r="AD18" i="10"/>
  <c r="AD21" i="10"/>
  <c r="AD24" i="10"/>
  <c r="AB24" i="10" s="1"/>
  <c r="AD23" i="10"/>
  <c r="AD22" i="10"/>
  <c r="AD20" i="10"/>
  <c r="AD27" i="10"/>
  <c r="AB27" i="10" s="1"/>
  <c r="AD25" i="10"/>
  <c r="AB25" i="10" s="1"/>
  <c r="AB20" i="10"/>
  <c r="AB21" i="10"/>
  <c r="AM11" i="14"/>
  <c r="AT10" i="15"/>
  <c r="AM10" i="13"/>
  <c r="X22" i="2"/>
  <c r="AU12" i="17"/>
  <c r="AL23" i="23"/>
  <c r="AK23" i="23"/>
  <c r="AQ23" i="23" s="1"/>
  <c r="AE1" i="9"/>
  <c r="AA23" i="1"/>
  <c r="AG23" i="1" s="1"/>
  <c r="Y22" i="1"/>
  <c r="X23" i="1" s="1"/>
  <c r="AR27" i="13"/>
  <c r="AT27" i="13" s="1"/>
  <c r="AU27" i="13" s="1"/>
  <c r="AW27" i="13"/>
  <c r="X18" i="7"/>
  <c r="AA19" i="5"/>
  <c r="AG19" i="5" s="1"/>
  <c r="Y18" i="5"/>
  <c r="X19" i="5" s="1"/>
  <c r="AQ25" i="11"/>
  <c r="AM25" i="11" s="1"/>
  <c r="X19" i="6"/>
  <c r="AE1" i="8"/>
  <c r="AR4" i="13"/>
  <c r="AW4" i="13"/>
  <c r="AR28" i="13"/>
  <c r="AT28" i="13" s="1"/>
  <c r="AU28" i="13" s="1"/>
  <c r="AW28" i="13"/>
  <c r="AT4" i="14"/>
  <c r="AQ27" i="11"/>
  <c r="AM27" i="11" s="1"/>
  <c r="AR10" i="14"/>
  <c r="AT10" i="14" s="1"/>
  <c r="AU10" i="14" s="1"/>
  <c r="AW10" i="14"/>
  <c r="AK24" i="12"/>
  <c r="AQ24" i="12" s="1"/>
  <c r="AL24" i="12"/>
  <c r="AM9" i="11" l="1"/>
  <c r="AR9" i="11" s="1"/>
  <c r="AT9" i="11" s="1"/>
  <c r="AU9" i="11" s="1"/>
  <c r="AH10" i="12"/>
  <c r="AL10" i="12" s="1"/>
  <c r="AQ9" i="12"/>
  <c r="AL9" i="12"/>
  <c r="AI23" i="10"/>
  <c r="AR13" i="16"/>
  <c r="AT13" i="16" s="1"/>
  <c r="AU13" i="16" s="1"/>
  <c r="AR17" i="20"/>
  <c r="AT17" i="20" s="1"/>
  <c r="AU17" i="20" s="1"/>
  <c r="AR18" i="22"/>
  <c r="AT18" i="22" s="1"/>
  <c r="AU18" i="22" s="1"/>
  <c r="AW18" i="22"/>
  <c r="AM19" i="22"/>
  <c r="AK20" i="22"/>
  <c r="AQ20" i="22" s="1"/>
  <c r="AH21" i="22"/>
  <c r="AL20" i="22"/>
  <c r="AM6" i="11"/>
  <c r="AR6" i="11" s="1"/>
  <c r="AT6" i="11" s="1"/>
  <c r="AU6" i="11" s="1"/>
  <c r="AW22" i="25"/>
  <c r="AR22" i="25"/>
  <c r="AT22" i="25" s="1"/>
  <c r="AU22" i="25" s="1"/>
  <c r="AM8" i="12"/>
  <c r="AR8" i="12" s="1"/>
  <c r="AT8" i="12" s="1"/>
  <c r="AU8" i="12" s="1"/>
  <c r="AG32" i="25"/>
  <c r="AM23" i="25"/>
  <c r="AM4" i="12"/>
  <c r="AR4" i="12" s="1"/>
  <c r="AM18" i="20"/>
  <c r="AR18" i="20" s="1"/>
  <c r="AT18" i="20" s="1"/>
  <c r="AU18" i="20" s="1"/>
  <c r="AB14" i="10"/>
  <c r="AJ14" i="10" s="1"/>
  <c r="AD16" i="10"/>
  <c r="AL19" i="20"/>
  <c r="AK19" i="20"/>
  <c r="AQ19" i="20" s="1"/>
  <c r="AH20" i="20"/>
  <c r="AF16" i="9"/>
  <c r="AF17" i="9" s="1"/>
  <c r="AF18" i="9" s="1"/>
  <c r="AF19" i="9" s="1"/>
  <c r="AF20" i="9" s="1"/>
  <c r="AF21" i="9" s="1"/>
  <c r="AF22" i="9" s="1"/>
  <c r="AF23" i="9" s="1"/>
  <c r="AF24" i="9" s="1"/>
  <c r="AF25" i="9" s="1"/>
  <c r="AF26" i="9" s="1"/>
  <c r="AF27" i="9" s="1"/>
  <c r="AF28" i="9" s="1"/>
  <c r="AI1" i="9"/>
  <c r="AM5" i="11"/>
  <c r="AR5" i="11" s="1"/>
  <c r="AT5" i="11" s="1"/>
  <c r="AU5" i="11" s="1"/>
  <c r="AM4" i="11"/>
  <c r="AW4" i="11" s="1"/>
  <c r="AF16" i="8"/>
  <c r="AF17" i="8" s="1"/>
  <c r="AF18" i="8" s="1"/>
  <c r="AF19" i="8" s="1"/>
  <c r="AF20" i="8" s="1"/>
  <c r="AF21" i="8" s="1"/>
  <c r="AF22" i="8" s="1"/>
  <c r="AF23" i="8" s="1"/>
  <c r="AF24" i="8" s="1"/>
  <c r="AF25" i="8" s="1"/>
  <c r="AF26" i="8" s="1"/>
  <c r="AF27" i="8" s="1"/>
  <c r="AF28" i="8" s="1"/>
  <c r="AI1" i="8"/>
  <c r="AM8" i="11"/>
  <c r="AR8" i="11" s="1"/>
  <c r="AT8" i="11" s="1"/>
  <c r="AU8" i="11" s="1"/>
  <c r="AM18" i="19"/>
  <c r="AL10" i="11"/>
  <c r="AK10" i="11"/>
  <c r="AQ10" i="11" s="1"/>
  <c r="AH11" i="11"/>
  <c r="AH11" i="12"/>
  <c r="AM7" i="12"/>
  <c r="AR7" i="12" s="1"/>
  <c r="AT7" i="12" s="1"/>
  <c r="AU7" i="12" s="1"/>
  <c r="AR17" i="19"/>
  <c r="AT17" i="19" s="1"/>
  <c r="AU17" i="19" s="1"/>
  <c r="AW17" i="19"/>
  <c r="AB9" i="10"/>
  <c r="AI9" i="10" s="1"/>
  <c r="AM6" i="12"/>
  <c r="AR6" i="12" s="1"/>
  <c r="AT6" i="12" s="1"/>
  <c r="AU6" i="12" s="1"/>
  <c r="AL19" i="19"/>
  <c r="AK19" i="19"/>
  <c r="AQ19" i="19" s="1"/>
  <c r="AH20" i="19"/>
  <c r="AM7" i="11"/>
  <c r="AW7" i="11" s="1"/>
  <c r="AM5" i="12"/>
  <c r="AR5" i="12" s="1"/>
  <c r="AT5" i="12" s="1"/>
  <c r="AU5" i="12" s="1"/>
  <c r="AI12" i="10"/>
  <c r="AJ12" i="10"/>
  <c r="AB18" i="8"/>
  <c r="AJ18" i="8" s="1"/>
  <c r="AB21" i="9"/>
  <c r="AI21" i="9" s="1"/>
  <c r="Y1" i="8"/>
  <c r="AB12" i="8" s="1"/>
  <c r="AB11" i="10"/>
  <c r="AB10" i="10"/>
  <c r="AB15" i="10"/>
  <c r="X18" i="6"/>
  <c r="Y16" i="6"/>
  <c r="AG16" i="7"/>
  <c r="X1" i="7"/>
  <c r="AB13" i="10"/>
  <c r="Y1" i="9"/>
  <c r="AB10" i="9" s="1"/>
  <c r="AB16" i="10"/>
  <c r="AD14" i="10"/>
  <c r="AD13" i="10"/>
  <c r="AD15" i="10"/>
  <c r="AD12" i="10"/>
  <c r="AD6" i="10"/>
  <c r="AB6" i="10" s="1"/>
  <c r="AD11" i="10"/>
  <c r="AD8" i="10"/>
  <c r="AB8" i="10" s="1"/>
  <c r="AD9" i="10"/>
  <c r="AD5" i="10"/>
  <c r="AB5" i="10" s="1"/>
  <c r="AD10" i="10"/>
  <c r="AD7" i="10"/>
  <c r="AB7" i="10" s="1"/>
  <c r="AD4" i="10"/>
  <c r="AB4" i="10" s="1"/>
  <c r="L84" i="59"/>
  <c r="N84" i="59" s="1"/>
  <c r="AS84" i="59" s="1"/>
  <c r="Z78" i="59"/>
  <c r="AB78" i="59" s="1"/>
  <c r="AM78" i="59"/>
  <c r="AO78" i="59" s="1"/>
  <c r="AU78" i="59" s="1"/>
  <c r="D11" i="59"/>
  <c r="AV70" i="59"/>
  <c r="BE14" i="59"/>
  <c r="BD14" i="59"/>
  <c r="BK13" i="59"/>
  <c r="BF13" i="59"/>
  <c r="BI12" i="59"/>
  <c r="BH12" i="59"/>
  <c r="BC12" i="59"/>
  <c r="BJ11" i="59"/>
  <c r="BA11" i="59"/>
  <c r="BL10" i="59"/>
  <c r="BG10" i="59"/>
  <c r="BB10" i="59"/>
  <c r="BI10" i="59"/>
  <c r="BH10" i="59"/>
  <c r="BC10" i="59"/>
  <c r="BA13" i="59"/>
  <c r="BL12" i="59"/>
  <c r="BG12" i="59"/>
  <c r="BB12" i="59"/>
  <c r="BE11" i="59"/>
  <c r="BD11" i="59"/>
  <c r="BK10" i="59"/>
  <c r="BF10" i="59"/>
  <c r="BL14" i="59"/>
  <c r="BG14" i="59"/>
  <c r="BB14" i="59"/>
  <c r="BI14" i="59"/>
  <c r="BH14" i="59"/>
  <c r="BC14" i="59"/>
  <c r="BJ13" i="59"/>
  <c r="BI11" i="59"/>
  <c r="BH11" i="59"/>
  <c r="BC11" i="59"/>
  <c r="BJ10" i="59"/>
  <c r="BA10" i="59"/>
  <c r="BK14" i="59"/>
  <c r="BF14" i="59"/>
  <c r="BI13" i="59"/>
  <c r="BH13" i="59"/>
  <c r="BC13" i="59"/>
  <c r="BJ12" i="59"/>
  <c r="BE13" i="59"/>
  <c r="BD13" i="59"/>
  <c r="BK12" i="59"/>
  <c r="BF12" i="59"/>
  <c r="BE10" i="59"/>
  <c r="BD10" i="59"/>
  <c r="BJ14" i="59"/>
  <c r="BA14" i="59"/>
  <c r="BL13" i="59"/>
  <c r="BG13" i="59"/>
  <c r="BB13" i="59"/>
  <c r="BE12" i="59"/>
  <c r="BD12" i="59"/>
  <c r="BK11" i="59"/>
  <c r="BF11" i="59"/>
  <c r="BA12" i="59"/>
  <c r="BL11" i="59"/>
  <c r="BG11" i="59"/>
  <c r="BB11" i="59"/>
  <c r="AG24" i="59"/>
  <c r="AI24" i="59" s="1"/>
  <c r="AG30" i="59"/>
  <c r="AI30" i="59" s="1"/>
  <c r="Z77" i="59"/>
  <c r="AB77" i="59" s="1"/>
  <c r="AJ18" i="10"/>
  <c r="AR18" i="21"/>
  <c r="AT18" i="21" s="1"/>
  <c r="AU18" i="21" s="1"/>
  <c r="AW20" i="24"/>
  <c r="AW12" i="15"/>
  <c r="AI17" i="10"/>
  <c r="AJ22" i="10"/>
  <c r="AB19" i="8"/>
  <c r="AI19" i="8" s="1"/>
  <c r="AM24" i="12"/>
  <c r="AR24" i="12" s="1"/>
  <c r="AT24" i="12" s="1"/>
  <c r="AU24" i="12" s="1"/>
  <c r="AM18" i="53"/>
  <c r="AR18" i="53" s="1"/>
  <c r="AT18" i="53" s="1"/>
  <c r="AU18" i="53" s="1"/>
  <c r="AM19" i="21"/>
  <c r="AR19" i="21" s="1"/>
  <c r="AT19" i="21" s="1"/>
  <c r="AU19" i="21" s="1"/>
  <c r="AM21" i="24"/>
  <c r="AR21" i="24" s="1"/>
  <c r="AT21" i="24" s="1"/>
  <c r="AU21" i="24" s="1"/>
  <c r="AI28" i="10"/>
  <c r="AJ28" i="10"/>
  <c r="AI24" i="10"/>
  <c r="AJ24" i="10"/>
  <c r="AH24" i="10"/>
  <c r="AR27" i="11"/>
  <c r="AT27" i="11" s="1"/>
  <c r="AU27" i="11" s="1"/>
  <c r="AW27" i="11"/>
  <c r="AD21" i="8"/>
  <c r="AD17" i="8"/>
  <c r="AD26" i="8"/>
  <c r="AB26" i="8" s="1"/>
  <c r="AD27" i="8"/>
  <c r="AB27" i="8" s="1"/>
  <c r="AD22" i="8"/>
  <c r="AD18" i="8"/>
  <c r="AD28" i="8"/>
  <c r="AB28" i="8" s="1"/>
  <c r="AD24" i="8"/>
  <c r="AB24" i="8" s="1"/>
  <c r="AH24" i="8" s="1"/>
  <c r="AD23" i="8"/>
  <c r="AD25" i="8"/>
  <c r="AB25" i="8" s="1"/>
  <c r="AD20" i="8"/>
  <c r="AD19" i="8"/>
  <c r="AB22" i="8"/>
  <c r="AB20" i="8"/>
  <c r="AB17" i="8"/>
  <c r="AB17" i="9"/>
  <c r="AB23" i="9"/>
  <c r="AU10" i="15"/>
  <c r="AJ25" i="10"/>
  <c r="AI25" i="10"/>
  <c r="AR17" i="53"/>
  <c r="AT17" i="53" s="1"/>
  <c r="AU17" i="53" s="1"/>
  <c r="AW17" i="53"/>
  <c r="AH4" i="9"/>
  <c r="AH6" i="9"/>
  <c r="AH7" i="9"/>
  <c r="AH5" i="9"/>
  <c r="AH8" i="9"/>
  <c r="AH28" i="9"/>
  <c r="AH27" i="9"/>
  <c r="AH26" i="9"/>
  <c r="AH25" i="9"/>
  <c r="AM11" i="13"/>
  <c r="AK13" i="14"/>
  <c r="AQ13" i="14" s="1"/>
  <c r="AL13" i="14"/>
  <c r="AH14" i="14"/>
  <c r="X17" i="6"/>
  <c r="AA17" i="6"/>
  <c r="X16" i="6"/>
  <c r="AL26" i="10"/>
  <c r="AK26" i="10"/>
  <c r="AL6" i="10"/>
  <c r="AK6" i="10"/>
  <c r="AL17" i="17"/>
  <c r="AK17" i="17"/>
  <c r="AQ17" i="17" s="1"/>
  <c r="AH18" i="17"/>
  <c r="AJ19" i="10"/>
  <c r="AI19" i="10"/>
  <c r="AR22" i="23"/>
  <c r="AT22" i="23" s="1"/>
  <c r="AW22" i="23"/>
  <c r="AR27" i="12"/>
  <c r="AT27" i="12" s="1"/>
  <c r="AU27" i="12" s="1"/>
  <c r="AW27" i="12"/>
  <c r="AM14" i="16"/>
  <c r="AU4" i="14"/>
  <c r="AT4" i="13"/>
  <c r="AM23" i="23"/>
  <c r="AG32" i="23"/>
  <c r="AB21" i="8"/>
  <c r="AB23" i="8"/>
  <c r="AA22" i="1"/>
  <c r="AG22" i="1" s="1"/>
  <c r="Y21" i="1"/>
  <c r="X22" i="1" s="1"/>
  <c r="AB18" i="9"/>
  <c r="AB19" i="9"/>
  <c r="AR11" i="14"/>
  <c r="AT11" i="14" s="1"/>
  <c r="AU11" i="14" s="1"/>
  <c r="AW11" i="14"/>
  <c r="AR25" i="12"/>
  <c r="AT25" i="12" s="1"/>
  <c r="AU25" i="12" s="1"/>
  <c r="AW25" i="12"/>
  <c r="AW9" i="11"/>
  <c r="AU16" i="53"/>
  <c r="AM12" i="14"/>
  <c r="AD1" i="7"/>
  <c r="AG17" i="7"/>
  <c r="AK27" i="10"/>
  <c r="AL27" i="10"/>
  <c r="AL4" i="10"/>
  <c r="AK4" i="10"/>
  <c r="AM16" i="17"/>
  <c r="AG31" i="17"/>
  <c r="AA19" i="4"/>
  <c r="AG19" i="4" s="1"/>
  <c r="Y18" i="4"/>
  <c r="X19" i="4" s="1"/>
  <c r="AL14" i="15"/>
  <c r="AK14" i="15"/>
  <c r="AQ14" i="15" s="1"/>
  <c r="AH15" i="15"/>
  <c r="AL18" i="18"/>
  <c r="AK18" i="18"/>
  <c r="AQ18" i="18" s="1"/>
  <c r="AH19" i="18"/>
  <c r="AR25" i="11"/>
  <c r="AT25" i="11" s="1"/>
  <c r="AU25" i="11" s="1"/>
  <c r="AW25" i="11"/>
  <c r="AA18" i="5"/>
  <c r="AG18" i="5" s="1"/>
  <c r="Y17" i="5"/>
  <c r="AD24" i="9"/>
  <c r="AB24" i="9" s="1"/>
  <c r="AD20" i="9"/>
  <c r="AD22" i="9"/>
  <c r="AD19" i="9"/>
  <c r="AD21" i="9"/>
  <c r="AD23" i="9"/>
  <c r="AD25" i="9"/>
  <c r="AB25" i="9" s="1"/>
  <c r="AD28" i="9"/>
  <c r="AB28" i="9" s="1"/>
  <c r="AD27" i="9"/>
  <c r="AB27" i="9" s="1"/>
  <c r="AD18" i="9"/>
  <c r="AD17" i="9"/>
  <c r="AD26" i="9"/>
  <c r="AB26" i="9" s="1"/>
  <c r="AB20" i="9"/>
  <c r="AB22" i="9"/>
  <c r="AR28" i="12"/>
  <c r="AT28" i="12" s="1"/>
  <c r="AU28" i="12" s="1"/>
  <c r="AW28" i="12"/>
  <c r="AR10" i="13"/>
  <c r="AT10" i="13" s="1"/>
  <c r="AU10" i="13" s="1"/>
  <c r="AW10" i="13"/>
  <c r="AJ21" i="10"/>
  <c r="AI21" i="10"/>
  <c r="AJ27" i="10"/>
  <c r="AI27" i="10"/>
  <c r="AI26" i="10"/>
  <c r="AJ26" i="10"/>
  <c r="AH4" i="8"/>
  <c r="AH5" i="8"/>
  <c r="AH6" i="8"/>
  <c r="AH8" i="8"/>
  <c r="AH7" i="8"/>
  <c r="AH28" i="8"/>
  <c r="AH27" i="8"/>
  <c r="AH26" i="8"/>
  <c r="AH25" i="8"/>
  <c r="AL12" i="13"/>
  <c r="AK12" i="13"/>
  <c r="AQ12" i="13" s="1"/>
  <c r="AH13" i="13"/>
  <c r="AR26" i="12"/>
  <c r="AT26" i="12" s="1"/>
  <c r="AU26" i="12" s="1"/>
  <c r="AW26" i="12"/>
  <c r="AL28" i="10"/>
  <c r="AK28" i="10"/>
  <c r="AL8" i="10"/>
  <c r="AK8" i="10"/>
  <c r="AL5" i="10"/>
  <c r="AK5" i="10"/>
  <c r="AK22" i="24"/>
  <c r="AQ22" i="24" s="1"/>
  <c r="AL22" i="24"/>
  <c r="AH23" i="24"/>
  <c r="AA20" i="2"/>
  <c r="AG20" i="2" s="1"/>
  <c r="Y19" i="2"/>
  <c r="X20" i="2" s="1"/>
  <c r="AR26" i="11"/>
  <c r="AT26" i="11" s="1"/>
  <c r="AU26" i="11" s="1"/>
  <c r="AW26" i="11"/>
  <c r="AR24" i="11"/>
  <c r="AT24" i="11" s="1"/>
  <c r="AU24" i="11" s="1"/>
  <c r="AW24" i="11"/>
  <c r="AM13" i="15"/>
  <c r="AU11" i="16"/>
  <c r="AL15" i="16"/>
  <c r="AK15" i="16"/>
  <c r="AQ15" i="16" s="1"/>
  <c r="AH16" i="16"/>
  <c r="AI20" i="10"/>
  <c r="AJ20" i="10"/>
  <c r="AR15" i="17"/>
  <c r="AW15" i="17"/>
  <c r="AU17" i="21"/>
  <c r="AR28" i="11"/>
  <c r="AT28" i="11" s="1"/>
  <c r="AU28" i="11" s="1"/>
  <c r="AW28" i="11"/>
  <c r="AL19" i="53"/>
  <c r="AK19" i="53"/>
  <c r="AQ19" i="53" s="1"/>
  <c r="AH20" i="53"/>
  <c r="AK25" i="10"/>
  <c r="AL25" i="10"/>
  <c r="AL7" i="10"/>
  <c r="AK7" i="10"/>
  <c r="AR16" i="18"/>
  <c r="AT16" i="18" s="1"/>
  <c r="AW16" i="18"/>
  <c r="AA20" i="3"/>
  <c r="AG20" i="3" s="1"/>
  <c r="Y19" i="3"/>
  <c r="X20" i="3" s="1"/>
  <c r="AM17" i="18"/>
  <c r="AL20" i="21"/>
  <c r="AK20" i="21"/>
  <c r="AQ20" i="21" s="1"/>
  <c r="AH21" i="21"/>
  <c r="AR4" i="11" l="1"/>
  <c r="AW6" i="11"/>
  <c r="AI14" i="10"/>
  <c r="AK10" i="12"/>
  <c r="AQ10" i="12" s="1"/>
  <c r="AM10" i="12" s="1"/>
  <c r="AM9" i="12"/>
  <c r="AR9" i="12" s="1"/>
  <c r="AT9" i="12" s="1"/>
  <c r="AU9" i="12" s="1"/>
  <c r="AW4" i="12"/>
  <c r="AW8" i="11"/>
  <c r="AW6" i="12"/>
  <c r="AW7" i="12"/>
  <c r="AW8" i="12"/>
  <c r="AR7" i="11"/>
  <c r="AT7" i="11" s="1"/>
  <c r="AU7" i="11" s="1"/>
  <c r="AW5" i="11"/>
  <c r="AM20" i="22"/>
  <c r="AJ21" i="9"/>
  <c r="AL21" i="22"/>
  <c r="AH22" i="22"/>
  <c r="AK21" i="22"/>
  <c r="AQ21" i="22" s="1"/>
  <c r="AR19" i="22"/>
  <c r="AT19" i="22" s="1"/>
  <c r="AU19" i="22" s="1"/>
  <c r="AW19" i="22"/>
  <c r="AR23" i="25"/>
  <c r="AW23" i="25"/>
  <c r="AW29" i="25" s="1"/>
  <c r="BG16" i="25" s="1"/>
  <c r="S15" i="25" s="1"/>
  <c r="BD74" i="61" s="1"/>
  <c r="AW18" i="20"/>
  <c r="AW5" i="12"/>
  <c r="AI18" i="8"/>
  <c r="AJ9" i="10"/>
  <c r="AJ19" i="8"/>
  <c r="AM19" i="20"/>
  <c r="AW19" i="20" s="1"/>
  <c r="AD16" i="8"/>
  <c r="AK20" i="20"/>
  <c r="AQ20" i="20" s="1"/>
  <c r="AL20" i="20"/>
  <c r="AH21" i="20"/>
  <c r="AB16" i="9"/>
  <c r="AJ16" i="9" s="1"/>
  <c r="AF16" i="7"/>
  <c r="AI1" i="7"/>
  <c r="AD16" i="9"/>
  <c r="AM10" i="11"/>
  <c r="AM19" i="19"/>
  <c r="AB9" i="9"/>
  <c r="AH9" i="9" s="1"/>
  <c r="AB14" i="8"/>
  <c r="AJ14" i="8" s="1"/>
  <c r="AK11" i="12"/>
  <c r="AQ11" i="12" s="1"/>
  <c r="AH12" i="12"/>
  <c r="AL11" i="12"/>
  <c r="AW18" i="19"/>
  <c r="AR18" i="19"/>
  <c r="AT18" i="19" s="1"/>
  <c r="AU18" i="19" s="1"/>
  <c r="AH12" i="11"/>
  <c r="AL11" i="11"/>
  <c r="AK11" i="11"/>
  <c r="AQ11" i="11" s="1"/>
  <c r="AB11" i="8"/>
  <c r="AI11" i="8" s="1"/>
  <c r="AH9" i="10"/>
  <c r="AB11" i="9"/>
  <c r="AI11" i="9" s="1"/>
  <c r="AB15" i="8"/>
  <c r="AJ15" i="8" s="1"/>
  <c r="AK20" i="19"/>
  <c r="AQ20" i="19" s="1"/>
  <c r="AH21" i="19"/>
  <c r="AL20" i="19"/>
  <c r="AJ12" i="8"/>
  <c r="AI12" i="8"/>
  <c r="AJ10" i="9"/>
  <c r="AI10" i="9"/>
  <c r="AJ7" i="10"/>
  <c r="AI7" i="10"/>
  <c r="AQ7" i="10" s="1"/>
  <c r="AI8" i="10"/>
  <c r="AQ8" i="10" s="1"/>
  <c r="AJ8" i="10"/>
  <c r="AB12" i="9"/>
  <c r="AB10" i="8"/>
  <c r="AB9" i="8"/>
  <c r="AH9" i="8" s="1"/>
  <c r="X18" i="5"/>
  <c r="Y16" i="5"/>
  <c r="AB15" i="9"/>
  <c r="AD8" i="9"/>
  <c r="AB8" i="9" s="1"/>
  <c r="AD10" i="9"/>
  <c r="AD14" i="9"/>
  <c r="AD5" i="9"/>
  <c r="AB5" i="9" s="1"/>
  <c r="AD15" i="9"/>
  <c r="AD9" i="9"/>
  <c r="AD13" i="9"/>
  <c r="AD7" i="9"/>
  <c r="AB7" i="9" s="1"/>
  <c r="AD4" i="9"/>
  <c r="AB4" i="9" s="1"/>
  <c r="AD6" i="9"/>
  <c r="AB6" i="9" s="1"/>
  <c r="AD11" i="9"/>
  <c r="AD12" i="9"/>
  <c r="AA16" i="6"/>
  <c r="X15" i="6"/>
  <c r="AI5" i="10"/>
  <c r="AQ5" i="10" s="1"/>
  <c r="AJ5" i="10"/>
  <c r="AJ6" i="10"/>
  <c r="AI6" i="10"/>
  <c r="AQ6" i="10" s="1"/>
  <c r="AB13" i="9"/>
  <c r="AJ13" i="10"/>
  <c r="AI13" i="10"/>
  <c r="AJ10" i="10"/>
  <c r="AI10" i="10"/>
  <c r="AB13" i="8"/>
  <c r="AJ4" i="10"/>
  <c r="AI4" i="10"/>
  <c r="AQ4" i="10" s="1"/>
  <c r="AI16" i="10"/>
  <c r="AJ16" i="10"/>
  <c r="AB14" i="9"/>
  <c r="Y1" i="7"/>
  <c r="AB12" i="7" s="1"/>
  <c r="AJ15" i="10"/>
  <c r="AI15" i="10"/>
  <c r="AJ11" i="10"/>
  <c r="AI11" i="10"/>
  <c r="AB16" i="8"/>
  <c r="AD6" i="8"/>
  <c r="AB6" i="8" s="1"/>
  <c r="AD12" i="8"/>
  <c r="AD4" i="8"/>
  <c r="AB4" i="8" s="1"/>
  <c r="AD5" i="8"/>
  <c r="AB5" i="8" s="1"/>
  <c r="AD8" i="8"/>
  <c r="AB8" i="8" s="1"/>
  <c r="AD10" i="8"/>
  <c r="AD15" i="8"/>
  <c r="AD9" i="8"/>
  <c r="AD14" i="8"/>
  <c r="AD7" i="8"/>
  <c r="AB7" i="8" s="1"/>
  <c r="AD11" i="8"/>
  <c r="AD13" i="8"/>
  <c r="AQ26" i="10"/>
  <c r="AM26" i="10" s="1"/>
  <c r="AR26" i="10" s="1"/>
  <c r="AT26" i="10" s="1"/>
  <c r="AU26" i="10" s="1"/>
  <c r="AM77" i="59"/>
  <c r="AO77" i="59" s="1"/>
  <c r="AU77" i="59" s="1"/>
  <c r="L83" i="59"/>
  <c r="N83" i="59" s="1"/>
  <c r="AS83" i="59" s="1"/>
  <c r="B54" i="58" a="1"/>
  <c r="AG23" i="59"/>
  <c r="AI23" i="59" s="1"/>
  <c r="AG29" i="59"/>
  <c r="AI29" i="59" s="1"/>
  <c r="AT78" i="59"/>
  <c r="AT77" i="59"/>
  <c r="AW21" i="24"/>
  <c r="AW18" i="53"/>
  <c r="AQ27" i="10"/>
  <c r="AM27" i="10" s="1"/>
  <c r="AW19" i="21"/>
  <c r="AW24" i="12"/>
  <c r="AM15" i="16"/>
  <c r="AW15" i="16" s="1"/>
  <c r="AM22" i="24"/>
  <c r="AR22" i="24" s="1"/>
  <c r="AT22" i="24" s="1"/>
  <c r="AU22" i="24" s="1"/>
  <c r="AM13" i="14"/>
  <c r="AR13" i="14" s="1"/>
  <c r="AT13" i="14" s="1"/>
  <c r="AU13" i="14" s="1"/>
  <c r="AI26" i="9"/>
  <c r="AJ26" i="9"/>
  <c r="AK20" i="53"/>
  <c r="AQ20" i="53" s="1"/>
  <c r="AL20" i="53"/>
  <c r="AH21" i="53"/>
  <c r="AL27" i="8"/>
  <c r="AK27" i="8"/>
  <c r="AL5" i="8"/>
  <c r="AK5" i="8"/>
  <c r="AR13" i="15"/>
  <c r="AW13" i="15"/>
  <c r="AL23" i="24"/>
  <c r="AK23" i="24"/>
  <c r="AQ23" i="24" s="1"/>
  <c r="AL24" i="8"/>
  <c r="AK24" i="8"/>
  <c r="AL28" i="8"/>
  <c r="AK28" i="8"/>
  <c r="AK7" i="8"/>
  <c r="AL7" i="8"/>
  <c r="AL4" i="8"/>
  <c r="AK4" i="8"/>
  <c r="AI20" i="9"/>
  <c r="AJ20" i="9"/>
  <c r="AJ27" i="9"/>
  <c r="AI27" i="9"/>
  <c r="AI24" i="9"/>
  <c r="AJ24" i="9"/>
  <c r="AK19" i="18"/>
  <c r="AQ19" i="18" s="1"/>
  <c r="AL19" i="18"/>
  <c r="AH20" i="18"/>
  <c r="AF17" i="7"/>
  <c r="AF18" i="7" s="1"/>
  <c r="AF19" i="7" s="1"/>
  <c r="AF20" i="7" s="1"/>
  <c r="AF21" i="7" s="1"/>
  <c r="AF22" i="7" s="1"/>
  <c r="AF23" i="7" s="1"/>
  <c r="AF24" i="7" s="1"/>
  <c r="AF25" i="7" s="1"/>
  <c r="AF26" i="7" s="1"/>
  <c r="AF27" i="7" s="1"/>
  <c r="AF28" i="7" s="1"/>
  <c r="AH1" i="7"/>
  <c r="AW1" i="7"/>
  <c r="AR12" i="14"/>
  <c r="AT12" i="14" s="1"/>
  <c r="AU12" i="14" s="1"/>
  <c r="AW12" i="14"/>
  <c r="AJ19" i="9"/>
  <c r="AI19" i="9"/>
  <c r="AR23" i="23"/>
  <c r="AW23" i="23"/>
  <c r="AW29" i="23" s="1"/>
  <c r="BG16" i="23" s="1"/>
  <c r="S15" i="23" s="1"/>
  <c r="BF74" i="61" s="1"/>
  <c r="AD1" i="6"/>
  <c r="AG17" i="6"/>
  <c r="AR11" i="13"/>
  <c r="AT11" i="13" s="1"/>
  <c r="AU11" i="13" s="1"/>
  <c r="AW11" i="13"/>
  <c r="AH24" i="9"/>
  <c r="AL28" i="9"/>
  <c r="AK28" i="9"/>
  <c r="AL8" i="9"/>
  <c r="AK8" i="9"/>
  <c r="AL4" i="9"/>
  <c r="AK4" i="9"/>
  <c r="AJ17" i="8"/>
  <c r="AI17" i="8"/>
  <c r="AJ28" i="8"/>
  <c r="AI28" i="8"/>
  <c r="AJ26" i="8"/>
  <c r="AI26" i="8"/>
  <c r="AQ28" i="10"/>
  <c r="AM28" i="10" s="1"/>
  <c r="AM20" i="21"/>
  <c r="AM19" i="53"/>
  <c r="AL21" i="21"/>
  <c r="AK21" i="21"/>
  <c r="AQ21" i="21" s="1"/>
  <c r="AH22" i="21"/>
  <c r="AR17" i="18"/>
  <c r="AT17" i="18" s="1"/>
  <c r="AU17" i="18" s="1"/>
  <c r="AW17" i="18"/>
  <c r="AT15" i="17"/>
  <c r="AK16" i="16"/>
  <c r="AQ16" i="16" s="1"/>
  <c r="AL16" i="16"/>
  <c r="AH17" i="16"/>
  <c r="AT4" i="12"/>
  <c r="AA19" i="2"/>
  <c r="AG19" i="2" s="1"/>
  <c r="Y18" i="2"/>
  <c r="AL13" i="13"/>
  <c r="AK13" i="13"/>
  <c r="AQ13" i="13" s="1"/>
  <c r="AH14" i="13"/>
  <c r="AL25" i="8"/>
  <c r="AK25" i="8"/>
  <c r="AL8" i="8"/>
  <c r="AK8" i="8"/>
  <c r="X17" i="5"/>
  <c r="AA17" i="5"/>
  <c r="X16" i="5"/>
  <c r="AM18" i="18"/>
  <c r="AL15" i="15"/>
  <c r="AK15" i="15"/>
  <c r="AQ15" i="15" s="1"/>
  <c r="AH16" i="15"/>
  <c r="AE1" i="7"/>
  <c r="AI18" i="9"/>
  <c r="AJ18" i="9"/>
  <c r="AJ23" i="8"/>
  <c r="AI23" i="8"/>
  <c r="AU22" i="23"/>
  <c r="AK25" i="9"/>
  <c r="AL25" i="9"/>
  <c r="AL5" i="9"/>
  <c r="AK5" i="9"/>
  <c r="AQ25" i="10"/>
  <c r="AM25" i="10" s="1"/>
  <c r="AJ23" i="9"/>
  <c r="AI23" i="9"/>
  <c r="AJ20" i="8"/>
  <c r="AI20" i="8"/>
  <c r="AA19" i="3"/>
  <c r="AG19" i="3" s="1"/>
  <c r="Y18" i="3"/>
  <c r="X19" i="3" s="1"/>
  <c r="AU16" i="18"/>
  <c r="AM12" i="13"/>
  <c r="AL26" i="8"/>
  <c r="AK26" i="8"/>
  <c r="AL6" i="8"/>
  <c r="AK6" i="8"/>
  <c r="AI22" i="9"/>
  <c r="AJ22" i="9"/>
  <c r="AJ25" i="9"/>
  <c r="AI25" i="9"/>
  <c r="AM14" i="15"/>
  <c r="AA18" i="4"/>
  <c r="AG18" i="4" s="1"/>
  <c r="Y17" i="4"/>
  <c r="AR16" i="17"/>
  <c r="AT16" i="17" s="1"/>
  <c r="AU16" i="17" s="1"/>
  <c r="AW16" i="17"/>
  <c r="AA21" i="1"/>
  <c r="AG21" i="1" s="1"/>
  <c r="Y20" i="1"/>
  <c r="X21" i="1" s="1"/>
  <c r="AJ25" i="8"/>
  <c r="AI25" i="8"/>
  <c r="AL18" i="17"/>
  <c r="AK18" i="17"/>
  <c r="AQ18" i="17" s="1"/>
  <c r="AH19" i="17"/>
  <c r="AT4" i="11"/>
  <c r="AL26" i="9"/>
  <c r="AK26" i="9"/>
  <c r="AL7" i="9"/>
  <c r="AK7" i="9"/>
  <c r="AJ17" i="9"/>
  <c r="AI17" i="9"/>
  <c r="AJ22" i="8"/>
  <c r="AI22" i="8"/>
  <c r="AI28" i="9"/>
  <c r="AQ28" i="9" s="1"/>
  <c r="AJ28" i="9"/>
  <c r="AJ21" i="8"/>
  <c r="AI21" i="8"/>
  <c r="AU4" i="13"/>
  <c r="AR14" i="16"/>
  <c r="AW14" i="16"/>
  <c r="AM17" i="17"/>
  <c r="AL14" i="14"/>
  <c r="AK14" i="14"/>
  <c r="AQ14" i="14" s="1"/>
  <c r="AH15" i="14"/>
  <c r="AK27" i="9"/>
  <c r="AL27" i="9"/>
  <c r="AL6" i="9"/>
  <c r="AK6" i="9"/>
  <c r="AJ24" i="8"/>
  <c r="AI24" i="8"/>
  <c r="AJ27" i="8"/>
  <c r="AI27" i="8"/>
  <c r="AQ27" i="8" s="1"/>
  <c r="AL24" i="10"/>
  <c r="AK24" i="10"/>
  <c r="AQ24" i="10" s="1"/>
  <c r="AI16" i="9" l="1"/>
  <c r="AW9" i="12"/>
  <c r="AJ11" i="8"/>
  <c r="AJ9" i="9"/>
  <c r="AM21" i="22"/>
  <c r="AR20" i="22"/>
  <c r="AT20" i="22" s="1"/>
  <c r="AU20" i="22" s="1"/>
  <c r="AW20" i="22"/>
  <c r="AH10" i="8"/>
  <c r="AH11" i="8" s="1"/>
  <c r="AL22" i="22"/>
  <c r="AK22" i="22"/>
  <c r="AQ22" i="22" s="1"/>
  <c r="AH23" i="22"/>
  <c r="AJ11" i="9"/>
  <c r="AM8" i="10"/>
  <c r="AW8" i="10" s="1"/>
  <c r="AI9" i="9"/>
  <c r="AT23" i="25"/>
  <c r="AR29" i="25"/>
  <c r="BG12" i="25" s="1"/>
  <c r="S11" i="25" s="1"/>
  <c r="AR19" i="20"/>
  <c r="AT19" i="20" s="1"/>
  <c r="AU19" i="20" s="1"/>
  <c r="AH10" i="9"/>
  <c r="AK9" i="9"/>
  <c r="AL9" i="9"/>
  <c r="AM11" i="11"/>
  <c r="AW11" i="11" s="1"/>
  <c r="AL21" i="20"/>
  <c r="AK21" i="20"/>
  <c r="AQ21" i="20" s="1"/>
  <c r="AH22" i="20"/>
  <c r="AM20" i="20"/>
  <c r="AM6" i="10"/>
  <c r="AW6" i="10" s="1"/>
  <c r="AW10" i="12"/>
  <c r="AR10" i="12"/>
  <c r="AT10" i="12" s="1"/>
  <c r="AU10" i="12" s="1"/>
  <c r="AW10" i="11"/>
  <c r="AR10" i="11"/>
  <c r="AT10" i="11" s="1"/>
  <c r="AU10" i="11" s="1"/>
  <c r="AI15" i="8"/>
  <c r="AK9" i="8"/>
  <c r="AI14" i="8"/>
  <c r="AK12" i="11"/>
  <c r="AQ12" i="11" s="1"/>
  <c r="AH13" i="11"/>
  <c r="AL12" i="11"/>
  <c r="AK12" i="12"/>
  <c r="AQ12" i="12" s="1"/>
  <c r="AL12" i="12"/>
  <c r="AH13" i="12"/>
  <c r="AL9" i="8"/>
  <c r="AM7" i="10"/>
  <c r="AR7" i="10" s="1"/>
  <c r="AT7" i="10" s="1"/>
  <c r="AU7" i="10" s="1"/>
  <c r="AM11" i="12"/>
  <c r="AR19" i="19"/>
  <c r="AT19" i="19" s="1"/>
  <c r="AU19" i="19" s="1"/>
  <c r="AW19" i="19"/>
  <c r="AM5" i="10"/>
  <c r="AR5" i="10" s="1"/>
  <c r="AT5" i="10" s="1"/>
  <c r="AU5" i="10" s="1"/>
  <c r="AM4" i="10"/>
  <c r="AR4" i="10" s="1"/>
  <c r="AB14" i="7"/>
  <c r="AI14" i="7" s="1"/>
  <c r="AM20" i="19"/>
  <c r="AB9" i="7"/>
  <c r="AI9" i="7" s="1"/>
  <c r="AB15" i="7"/>
  <c r="AI15" i="7" s="1"/>
  <c r="AB13" i="7"/>
  <c r="AI13" i="7" s="1"/>
  <c r="AB11" i="7"/>
  <c r="AI11" i="7" s="1"/>
  <c r="AK21" i="19"/>
  <c r="AQ21" i="19" s="1"/>
  <c r="AL21" i="19"/>
  <c r="AH22" i="19"/>
  <c r="AL9" i="10"/>
  <c r="AH10" i="10"/>
  <c r="AK9" i="10"/>
  <c r="AQ9" i="10" s="1"/>
  <c r="X18" i="4"/>
  <c r="Y16" i="4"/>
  <c r="AJ8" i="8"/>
  <c r="AI8" i="8"/>
  <c r="AQ8" i="8" s="1"/>
  <c r="AJ6" i="8"/>
  <c r="AI6" i="8"/>
  <c r="AQ6" i="8" s="1"/>
  <c r="AI6" i="9"/>
  <c r="AQ6" i="9" s="1"/>
  <c r="AJ6" i="9"/>
  <c r="AJ10" i="8"/>
  <c r="AI10" i="8"/>
  <c r="AJ5" i="8"/>
  <c r="AI5" i="8"/>
  <c r="AQ5" i="8" s="1"/>
  <c r="AJ16" i="8"/>
  <c r="AI16" i="8"/>
  <c r="AJ12" i="7"/>
  <c r="AI12" i="7"/>
  <c r="AJ13" i="8"/>
  <c r="AI13" i="8"/>
  <c r="AG16" i="6"/>
  <c r="X1" i="6"/>
  <c r="AJ4" i="9"/>
  <c r="AI4" i="9"/>
  <c r="AQ4" i="9" s="1"/>
  <c r="AI8" i="9"/>
  <c r="AQ8" i="9" s="1"/>
  <c r="AJ8" i="9"/>
  <c r="AA16" i="5"/>
  <c r="X15" i="5"/>
  <c r="AI12" i="9"/>
  <c r="AJ12" i="9"/>
  <c r="AB20" i="7"/>
  <c r="AI20" i="7" s="1"/>
  <c r="AD16" i="7"/>
  <c r="AI4" i="8"/>
  <c r="AQ4" i="8" s="1"/>
  <c r="AJ4" i="8"/>
  <c r="AB10" i="7"/>
  <c r="AD6" i="7"/>
  <c r="AB6" i="7" s="1"/>
  <c r="AD12" i="7"/>
  <c r="AD5" i="7"/>
  <c r="AB5" i="7" s="1"/>
  <c r="AD14" i="7"/>
  <c r="AD10" i="7"/>
  <c r="AD13" i="7"/>
  <c r="AD7" i="7"/>
  <c r="AB7" i="7" s="1"/>
  <c r="AD9" i="7"/>
  <c r="AD15" i="7"/>
  <c r="AD11" i="7"/>
  <c r="AD8" i="7"/>
  <c r="AB8" i="7" s="1"/>
  <c r="AD4" i="7"/>
  <c r="AB4" i="7" s="1"/>
  <c r="AJ13" i="9"/>
  <c r="AI13" i="9"/>
  <c r="AI7" i="9"/>
  <c r="AQ7" i="9" s="1"/>
  <c r="AJ7" i="9"/>
  <c r="AI5" i="9"/>
  <c r="AQ5" i="9" s="1"/>
  <c r="AJ5" i="9"/>
  <c r="AI15" i="9"/>
  <c r="AJ15" i="9"/>
  <c r="AJ7" i="8"/>
  <c r="AI7" i="8"/>
  <c r="AQ7" i="8" s="1"/>
  <c r="AJ14" i="9"/>
  <c r="AI14" i="9"/>
  <c r="AB16" i="7"/>
  <c r="AJ9" i="8"/>
  <c r="AI9" i="8"/>
  <c r="BA17" i="59" a="1"/>
  <c r="BA18" i="59" s="1"/>
  <c r="AC25" i="59"/>
  <c r="P8" i="59" s="1"/>
  <c r="AR77" i="59" s="1"/>
  <c r="AV77" i="59" s="1"/>
  <c r="AC26" i="59"/>
  <c r="P9" i="59" s="1"/>
  <c r="AR78" i="59" s="1"/>
  <c r="AV78" i="59" s="1"/>
  <c r="E12" i="59" s="1"/>
  <c r="I56" i="58"/>
  <c r="C55" i="58"/>
  <c r="K58" i="58"/>
  <c r="F56" i="58"/>
  <c r="M55" i="58"/>
  <c r="G57" i="58"/>
  <c r="L56" i="58"/>
  <c r="B58" i="58"/>
  <c r="H56" i="58"/>
  <c r="C58" i="58"/>
  <c r="B54" i="58"/>
  <c r="L57" i="58"/>
  <c r="B55" i="58"/>
  <c r="M58" i="58"/>
  <c r="J54" i="58"/>
  <c r="E55" i="58"/>
  <c r="C54" i="58"/>
  <c r="D55" i="58"/>
  <c r="J57" i="58"/>
  <c r="M57" i="58"/>
  <c r="K54" i="58"/>
  <c r="I58" i="58"/>
  <c r="L54" i="58"/>
  <c r="D58" i="58"/>
  <c r="D56" i="58"/>
  <c r="K55" i="58"/>
  <c r="I57" i="58"/>
  <c r="J55" i="58"/>
  <c r="H57" i="58"/>
  <c r="B56" i="58"/>
  <c r="F55" i="58"/>
  <c r="K56" i="58"/>
  <c r="M56" i="58"/>
  <c r="H54" i="58"/>
  <c r="I55" i="58"/>
  <c r="D54" i="58"/>
  <c r="G55" i="58"/>
  <c r="G58" i="58"/>
  <c r="G56" i="58"/>
  <c r="D57" i="58"/>
  <c r="F54" i="58"/>
  <c r="E57" i="58"/>
  <c r="F58" i="58"/>
  <c r="L58" i="58"/>
  <c r="K57" i="58"/>
  <c r="E54" i="58"/>
  <c r="G54" i="58"/>
  <c r="J58" i="58"/>
  <c r="E56" i="58"/>
  <c r="C57" i="58"/>
  <c r="H55" i="58"/>
  <c r="J56" i="58"/>
  <c r="M54" i="58"/>
  <c r="L55" i="58"/>
  <c r="H58" i="58"/>
  <c r="C56" i="58"/>
  <c r="E58" i="58"/>
  <c r="F57" i="58"/>
  <c r="B57" i="58"/>
  <c r="I54" i="58"/>
  <c r="AW13" i="14"/>
  <c r="AQ25" i="9"/>
  <c r="AM25" i="9" s="1"/>
  <c r="AQ25" i="8"/>
  <c r="AM25" i="8" s="1"/>
  <c r="AW25" i="8" s="1"/>
  <c r="AW22" i="24"/>
  <c r="AQ24" i="8"/>
  <c r="AM24" i="8" s="1"/>
  <c r="AR15" i="16"/>
  <c r="AT15" i="16" s="1"/>
  <c r="AU15" i="16" s="1"/>
  <c r="AQ28" i="8"/>
  <c r="AM28" i="8" s="1"/>
  <c r="AR27" i="10"/>
  <c r="AT27" i="10" s="1"/>
  <c r="AU27" i="10" s="1"/>
  <c r="AW27" i="10"/>
  <c r="AW26" i="10"/>
  <c r="AM27" i="8"/>
  <c r="AR27" i="8" s="1"/>
  <c r="AT27" i="8" s="1"/>
  <c r="AU27" i="8" s="1"/>
  <c r="AM21" i="21"/>
  <c r="AR21" i="21" s="1"/>
  <c r="AT21" i="21" s="1"/>
  <c r="AU21" i="21" s="1"/>
  <c r="AB18" i="7"/>
  <c r="AJ18" i="7" s="1"/>
  <c r="AB19" i="7"/>
  <c r="AI19" i="7" s="1"/>
  <c r="AM20" i="53"/>
  <c r="AR20" i="53" s="1"/>
  <c r="AT20" i="53" s="1"/>
  <c r="AU20" i="53" s="1"/>
  <c r="AB23" i="7"/>
  <c r="AJ23" i="7" s="1"/>
  <c r="AM24" i="10"/>
  <c r="AW24" i="10" s="1"/>
  <c r="AB21" i="7"/>
  <c r="AJ21" i="7" s="1"/>
  <c r="AK15" i="14"/>
  <c r="AQ15" i="14" s="1"/>
  <c r="AL15" i="14"/>
  <c r="AH16" i="14"/>
  <c r="AM14" i="14"/>
  <c r="AR17" i="17"/>
  <c r="AT17" i="17" s="1"/>
  <c r="AU17" i="17" s="1"/>
  <c r="AW17" i="17"/>
  <c r="AT14" i="16"/>
  <c r="AM28" i="9"/>
  <c r="AU4" i="11"/>
  <c r="AR12" i="13"/>
  <c r="AT12" i="13" s="1"/>
  <c r="AW12" i="13"/>
  <c r="AB22" i="7"/>
  <c r="AM15" i="15"/>
  <c r="AD1" i="5"/>
  <c r="AG17" i="5"/>
  <c r="AA18" i="2"/>
  <c r="AG18" i="2" s="1"/>
  <c r="Y17" i="2"/>
  <c r="AU15" i="17"/>
  <c r="AL24" i="9"/>
  <c r="AK24" i="9"/>
  <c r="AQ24" i="9" s="1"/>
  <c r="AH1" i="6"/>
  <c r="AW1" i="6"/>
  <c r="AQ27" i="9"/>
  <c r="AM27" i="9" s="1"/>
  <c r="AL19" i="17"/>
  <c r="AK19" i="17"/>
  <c r="AQ19" i="17" s="1"/>
  <c r="AH20" i="17"/>
  <c r="AR25" i="10"/>
  <c r="AT25" i="10" s="1"/>
  <c r="AU25" i="10" s="1"/>
  <c r="AW25" i="10"/>
  <c r="AD18" i="7"/>
  <c r="AD23" i="7"/>
  <c r="AD17" i="7"/>
  <c r="AD20" i="7"/>
  <c r="AD25" i="7"/>
  <c r="AB25" i="7" s="1"/>
  <c r="AD21" i="7"/>
  <c r="AD19" i="7"/>
  <c r="AD28" i="7"/>
  <c r="AB28" i="7" s="1"/>
  <c r="AD24" i="7"/>
  <c r="AB24" i="7" s="1"/>
  <c r="AD22" i="7"/>
  <c r="AD26" i="7"/>
  <c r="AB26" i="7" s="1"/>
  <c r="AD27" i="7"/>
  <c r="AB27" i="7" s="1"/>
  <c r="AB17" i="7"/>
  <c r="AL14" i="13"/>
  <c r="AK14" i="13"/>
  <c r="AQ14" i="13" s="1"/>
  <c r="AH15" i="13"/>
  <c r="X19" i="2"/>
  <c r="AL17" i="16"/>
  <c r="AK17" i="16"/>
  <c r="AQ17" i="16" s="1"/>
  <c r="AH18" i="16"/>
  <c r="AR20" i="21"/>
  <c r="AT20" i="21" s="1"/>
  <c r="AW20" i="21"/>
  <c r="AE1" i="6"/>
  <c r="AM19" i="18"/>
  <c r="AT13" i="15"/>
  <c r="AQ26" i="9"/>
  <c r="AM26" i="9" s="1"/>
  <c r="AM18" i="17"/>
  <c r="AA20" i="1"/>
  <c r="AG20" i="1" s="1"/>
  <c r="Y19" i="1"/>
  <c r="X20" i="1" s="1"/>
  <c r="AR14" i="15"/>
  <c r="AT14" i="15" s="1"/>
  <c r="AU14" i="15" s="1"/>
  <c r="AW14" i="15"/>
  <c r="AA18" i="3"/>
  <c r="AG18" i="3" s="1"/>
  <c r="Y17" i="3"/>
  <c r="AR18" i="18"/>
  <c r="AT18" i="18" s="1"/>
  <c r="AW18" i="18"/>
  <c r="AM13" i="13"/>
  <c r="AR28" i="10"/>
  <c r="AT28" i="10" s="1"/>
  <c r="AU28" i="10" s="1"/>
  <c r="AW28" i="10"/>
  <c r="AH4" i="7"/>
  <c r="AH5" i="7"/>
  <c r="AH6" i="7"/>
  <c r="AH7" i="7"/>
  <c r="AH8" i="7"/>
  <c r="AH28" i="7"/>
  <c r="AH27" i="7"/>
  <c r="AH26" i="7"/>
  <c r="AH25" i="7"/>
  <c r="AM23" i="24"/>
  <c r="AG32" i="24"/>
  <c r="X17" i="4"/>
  <c r="AA17" i="4"/>
  <c r="X16" i="4"/>
  <c r="AL16" i="15"/>
  <c r="AK16" i="15"/>
  <c r="AQ16" i="15" s="1"/>
  <c r="AH17" i="15"/>
  <c r="AU4" i="12"/>
  <c r="AM16" i="16"/>
  <c r="AG31" i="16"/>
  <c r="AL22" i="21"/>
  <c r="AK22" i="21"/>
  <c r="AQ22" i="21" s="1"/>
  <c r="AH23" i="21"/>
  <c r="AR19" i="53"/>
  <c r="AT19" i="53" s="1"/>
  <c r="AU19" i="53" s="1"/>
  <c r="AW19" i="53"/>
  <c r="AQ26" i="8"/>
  <c r="AM26" i="8" s="1"/>
  <c r="AT23" i="23"/>
  <c r="AR29" i="23"/>
  <c r="BG12" i="23" s="1"/>
  <c r="S11" i="23" s="1"/>
  <c r="AL20" i="18"/>
  <c r="AK20" i="18"/>
  <c r="AQ20" i="18" s="1"/>
  <c r="AH21" i="18"/>
  <c r="AK21" i="53"/>
  <c r="AQ21" i="53" s="1"/>
  <c r="AL21" i="53"/>
  <c r="AH22" i="53"/>
  <c r="AW5" i="10" l="1"/>
  <c r="AR8" i="10"/>
  <c r="AT8" i="10" s="1"/>
  <c r="AU8" i="10" s="1"/>
  <c r="AJ20" i="7"/>
  <c r="AR21" i="22"/>
  <c r="AT21" i="22" s="1"/>
  <c r="AU21" i="22" s="1"/>
  <c r="AW21" i="22"/>
  <c r="BD70" i="61"/>
  <c r="I54" i="25"/>
  <c r="I50" i="25"/>
  <c r="S26" i="25" s="1"/>
  <c r="BD85" i="61" s="1"/>
  <c r="BG27" i="25"/>
  <c r="AM22" i="22"/>
  <c r="AL10" i="8"/>
  <c r="AK10" i="8"/>
  <c r="AQ10" i="8" s="1"/>
  <c r="AH12" i="8"/>
  <c r="AK11" i="8"/>
  <c r="AQ11" i="8" s="1"/>
  <c r="AL11" i="8"/>
  <c r="AK23" i="22"/>
  <c r="AQ23" i="22" s="1"/>
  <c r="AL23" i="22"/>
  <c r="AJ13" i="7"/>
  <c r="AM6" i="8"/>
  <c r="AW6" i="8" s="1"/>
  <c r="AJ11" i="7"/>
  <c r="AJ15" i="7"/>
  <c r="AQ9" i="9"/>
  <c r="AM9" i="9" s="1"/>
  <c r="AR9" i="9" s="1"/>
  <c r="AT9" i="9" s="1"/>
  <c r="AU9" i="9" s="1"/>
  <c r="AW4" i="10"/>
  <c r="AM21" i="19"/>
  <c r="AR21" i="19" s="1"/>
  <c r="AT21" i="19" s="1"/>
  <c r="AU21" i="19" s="1"/>
  <c r="AQ9" i="8"/>
  <c r="AM9" i="8" s="1"/>
  <c r="AR11" i="11"/>
  <c r="AT11" i="11" s="1"/>
  <c r="AU11" i="11" s="1"/>
  <c r="AM12" i="11"/>
  <c r="AU23" i="25"/>
  <c r="AU29" i="25" s="1"/>
  <c r="BG15" i="25" s="1"/>
  <c r="S14" i="25" s="1"/>
  <c r="AT29" i="25"/>
  <c r="BG13" i="25" s="1"/>
  <c r="S12" i="25" s="1"/>
  <c r="AR6" i="10"/>
  <c r="AT6" i="10" s="1"/>
  <c r="AU6" i="10" s="1"/>
  <c r="AJ9" i="7"/>
  <c r="AJ14" i="7"/>
  <c r="AR20" i="20"/>
  <c r="AT20" i="20" s="1"/>
  <c r="AU20" i="20" s="1"/>
  <c r="AW20" i="20"/>
  <c r="AK22" i="20"/>
  <c r="AQ22" i="20" s="1"/>
  <c r="AL22" i="20"/>
  <c r="AH23" i="20"/>
  <c r="AM8" i="9"/>
  <c r="AR8" i="9" s="1"/>
  <c r="AT8" i="9" s="1"/>
  <c r="AU8" i="9" s="1"/>
  <c r="AM21" i="20"/>
  <c r="AH11" i="9"/>
  <c r="AL10" i="9"/>
  <c r="AK10" i="9"/>
  <c r="AQ10" i="9" s="1"/>
  <c r="AF16" i="6"/>
  <c r="AF17" i="6" s="1"/>
  <c r="AF18" i="6" s="1"/>
  <c r="AF19" i="6" s="1"/>
  <c r="AF20" i="6" s="1"/>
  <c r="AF21" i="6" s="1"/>
  <c r="AF22" i="6" s="1"/>
  <c r="AF23" i="6" s="1"/>
  <c r="AF24" i="6" s="1"/>
  <c r="AF25" i="6" s="1"/>
  <c r="AF26" i="6" s="1"/>
  <c r="AF27" i="6" s="1"/>
  <c r="AF28" i="6" s="1"/>
  <c r="AI1" i="6"/>
  <c r="AM12" i="12"/>
  <c r="AM8" i="8"/>
  <c r="AR8" i="8" s="1"/>
  <c r="AT8" i="8" s="1"/>
  <c r="AU8" i="8" s="1"/>
  <c r="AK13" i="11"/>
  <c r="AQ13" i="11" s="1"/>
  <c r="AH14" i="11"/>
  <c r="AL13" i="11"/>
  <c r="AH9" i="7"/>
  <c r="AH10" i="7" s="1"/>
  <c r="AL10" i="7" s="1"/>
  <c r="AW7" i="10"/>
  <c r="AL13" i="12"/>
  <c r="AK13" i="12"/>
  <c r="AQ13" i="12" s="1"/>
  <c r="AH14" i="12"/>
  <c r="AM4" i="9"/>
  <c r="AW4" i="9" s="1"/>
  <c r="AM5" i="8"/>
  <c r="AW5" i="8" s="1"/>
  <c r="AM9" i="10"/>
  <c r="AR11" i="12"/>
  <c r="AT11" i="12" s="1"/>
  <c r="AU11" i="12" s="1"/>
  <c r="AW11" i="12"/>
  <c r="AM7" i="8"/>
  <c r="AR7" i="8" s="1"/>
  <c r="AT7" i="8" s="1"/>
  <c r="AU7" i="8" s="1"/>
  <c r="AM4" i="8"/>
  <c r="AW4" i="8" s="1"/>
  <c r="AM6" i="9"/>
  <c r="AW6" i="9" s="1"/>
  <c r="AW20" i="19"/>
  <c r="AR20" i="19"/>
  <c r="AT20" i="19" s="1"/>
  <c r="AU20" i="19" s="1"/>
  <c r="AM7" i="9"/>
  <c r="AR7" i="9" s="1"/>
  <c r="AT7" i="9" s="1"/>
  <c r="AU7" i="9" s="1"/>
  <c r="AH23" i="19"/>
  <c r="AL22" i="19"/>
  <c r="AK22" i="19"/>
  <c r="AQ22" i="19" s="1"/>
  <c r="AM5" i="9"/>
  <c r="AR5" i="9" s="1"/>
  <c r="AT5" i="9" s="1"/>
  <c r="AU5" i="9" s="1"/>
  <c r="AH11" i="10"/>
  <c r="AK10" i="10"/>
  <c r="AQ10" i="10" s="1"/>
  <c r="AL10" i="10"/>
  <c r="AJ6" i="7"/>
  <c r="AI6" i="7"/>
  <c r="AG16" i="5"/>
  <c r="AW1" i="5" s="1"/>
  <c r="X1" i="5"/>
  <c r="X18" i="3"/>
  <c r="Y16" i="3"/>
  <c r="X16" i="3" s="1"/>
  <c r="AI16" i="7"/>
  <c r="AJ16" i="7"/>
  <c r="AJ4" i="7"/>
  <c r="AI4" i="7"/>
  <c r="AJ10" i="7"/>
  <c r="AI10" i="7"/>
  <c r="Y1" i="6"/>
  <c r="AB15" i="6" s="1"/>
  <c r="X18" i="2"/>
  <c r="Y16" i="2"/>
  <c r="X17" i="2" s="1"/>
  <c r="AJ8" i="7"/>
  <c r="AI8" i="7"/>
  <c r="AJ7" i="7"/>
  <c r="AI7" i="7"/>
  <c r="AI5" i="7"/>
  <c r="AJ5" i="7"/>
  <c r="AA16" i="4"/>
  <c r="X15" i="4"/>
  <c r="BC18" i="59"/>
  <c r="BG17" i="59"/>
  <c r="BL17" i="59"/>
  <c r="BK21" i="59"/>
  <c r="BA20" i="59"/>
  <c r="BC21" i="59"/>
  <c r="BH17" i="59"/>
  <c r="BE18" i="59"/>
  <c r="BH21" i="59"/>
  <c r="BJ19" i="59"/>
  <c r="BA21" i="59"/>
  <c r="BI19" i="59"/>
  <c r="BI21" i="59"/>
  <c r="BB21" i="59"/>
  <c r="BK19" i="59"/>
  <c r="BL19" i="59"/>
  <c r="BE21" i="59"/>
  <c r="BB18" i="59"/>
  <c r="BB17" i="59"/>
  <c r="BD19" i="59"/>
  <c r="BI20" i="59"/>
  <c r="BF19" i="59"/>
  <c r="BE20" i="59"/>
  <c r="BE19" i="59"/>
  <c r="BD20" i="59"/>
  <c r="BI17" i="59"/>
  <c r="BB20" i="59"/>
  <c r="BD18" i="59"/>
  <c r="BH19" i="59"/>
  <c r="BJ17" i="59"/>
  <c r="Z84" i="59"/>
  <c r="AB84" i="59" s="1"/>
  <c r="L90" i="59"/>
  <c r="N90" i="59" s="1"/>
  <c r="AS90" i="59" s="1"/>
  <c r="BK18" i="59"/>
  <c r="BH20" i="59"/>
  <c r="BL21" i="59"/>
  <c r="BG18" i="59"/>
  <c r="BA19" i="59"/>
  <c r="BF17" i="59"/>
  <c r="BG20" i="59"/>
  <c r="BL18" i="59"/>
  <c r="BF21" i="59"/>
  <c r="BK17" i="59"/>
  <c r="BL20" i="59"/>
  <c r="BG19" i="59"/>
  <c r="BD21" i="59"/>
  <c r="BE17" i="59"/>
  <c r="BC17" i="59"/>
  <c r="BC19" i="59"/>
  <c r="BJ20" i="59"/>
  <c r="BJ18" i="59"/>
  <c r="BA17" i="59"/>
  <c r="BF20" i="59"/>
  <c r="BJ21" i="59"/>
  <c r="BH18" i="59"/>
  <c r="BB19" i="59"/>
  <c r="BK20" i="59"/>
  <c r="BD17" i="59"/>
  <c r="BI18" i="59"/>
  <c r="BF18" i="59"/>
  <c r="BC20" i="59"/>
  <c r="BG21" i="59"/>
  <c r="AM84" i="59"/>
  <c r="AO84" i="59" s="1"/>
  <c r="AU84" i="59" s="1"/>
  <c r="AV17" i="59"/>
  <c r="AX17" i="59" s="1"/>
  <c r="P11" i="59" s="1"/>
  <c r="AR84" i="59" s="1"/>
  <c r="AV76" i="59"/>
  <c r="B60" i="58" s="1" a="1"/>
  <c r="D12" i="59"/>
  <c r="AI23" i="7"/>
  <c r="AI18" i="7"/>
  <c r="AJ19" i="7"/>
  <c r="AM24" i="9"/>
  <c r="AW24" i="9" s="1"/>
  <c r="AR25" i="8"/>
  <c r="AT25" i="8" s="1"/>
  <c r="AU25" i="8" s="1"/>
  <c r="AI21" i="7"/>
  <c r="AW20" i="53"/>
  <c r="AW21" i="21"/>
  <c r="AW27" i="8"/>
  <c r="AM19" i="17"/>
  <c r="AR19" i="17" s="1"/>
  <c r="AT19" i="17" s="1"/>
  <c r="AU19" i="17" s="1"/>
  <c r="I54" i="23"/>
  <c r="BF70" i="61"/>
  <c r="BG27" i="23"/>
  <c r="I50" i="23"/>
  <c r="AR24" i="10"/>
  <c r="AT24" i="10" s="1"/>
  <c r="AU24" i="10" s="1"/>
  <c r="AM22" i="21"/>
  <c r="AR22" i="21" s="1"/>
  <c r="AT22" i="21" s="1"/>
  <c r="AU22" i="21" s="1"/>
  <c r="AM15" i="14"/>
  <c r="AW15" i="14" s="1"/>
  <c r="AJ24" i="7"/>
  <c r="AI24" i="7"/>
  <c r="AH24" i="7"/>
  <c r="AI25" i="7"/>
  <c r="AJ25" i="7"/>
  <c r="AJ28" i="7"/>
  <c r="AI28" i="7"/>
  <c r="AK21" i="18"/>
  <c r="AQ21" i="18" s="1"/>
  <c r="AL21" i="18"/>
  <c r="AH22" i="18"/>
  <c r="AU23" i="23"/>
  <c r="AU29" i="23" s="1"/>
  <c r="BG15" i="23" s="1"/>
  <c r="S14" i="23" s="1"/>
  <c r="AT29" i="23"/>
  <c r="BG13" i="23" s="1"/>
  <c r="S12" i="23" s="1"/>
  <c r="AL17" i="15"/>
  <c r="AK17" i="15"/>
  <c r="AQ17" i="15" s="1"/>
  <c r="AH18" i="15"/>
  <c r="AD1" i="4"/>
  <c r="AG17" i="4"/>
  <c r="AK26" i="7"/>
  <c r="AL26" i="7"/>
  <c r="AL8" i="7"/>
  <c r="AK8" i="7"/>
  <c r="AL6" i="7"/>
  <c r="AK6" i="7"/>
  <c r="AU18" i="18"/>
  <c r="AR18" i="17"/>
  <c r="AT18" i="17" s="1"/>
  <c r="AU18" i="17" s="1"/>
  <c r="AW18" i="17"/>
  <c r="AR26" i="9"/>
  <c r="AT26" i="9" s="1"/>
  <c r="AU26" i="9" s="1"/>
  <c r="AW26" i="9"/>
  <c r="AU13" i="15"/>
  <c r="AT4" i="10"/>
  <c r="AB17" i="6"/>
  <c r="AB19" i="6"/>
  <c r="AM17" i="16"/>
  <c r="AM14" i="13"/>
  <c r="AR15" i="15"/>
  <c r="AW15" i="15"/>
  <c r="AU12" i="13"/>
  <c r="AU14" i="16"/>
  <c r="AR14" i="14"/>
  <c r="AW14" i="14"/>
  <c r="AM21" i="53"/>
  <c r="AK22" i="53"/>
  <c r="AQ22" i="53" s="1"/>
  <c r="AL22" i="53"/>
  <c r="AH23" i="53"/>
  <c r="AM20" i="18"/>
  <c r="AL23" i="21"/>
  <c r="AK23" i="21"/>
  <c r="AQ23" i="21" s="1"/>
  <c r="AG32" i="21" s="1"/>
  <c r="AR16" i="16"/>
  <c r="AT16" i="16" s="1"/>
  <c r="AU16" i="16" s="1"/>
  <c r="AW16" i="16"/>
  <c r="AM16" i="15"/>
  <c r="AL27" i="7"/>
  <c r="AK27" i="7"/>
  <c r="AK5" i="7"/>
  <c r="AL5" i="7"/>
  <c r="AA19" i="1"/>
  <c r="AG19" i="1" s="1"/>
  <c r="Y18" i="1"/>
  <c r="AB22" i="6"/>
  <c r="AU20" i="21"/>
  <c r="AL20" i="17"/>
  <c r="AK20" i="17"/>
  <c r="AQ20" i="17" s="1"/>
  <c r="AH21" i="17"/>
  <c r="AR24" i="8"/>
  <c r="AT24" i="8" s="1"/>
  <c r="AU24" i="8" s="1"/>
  <c r="AW24" i="8"/>
  <c r="AH1" i="5"/>
  <c r="AR28" i="9"/>
  <c r="AT28" i="9" s="1"/>
  <c r="AU28" i="9" s="1"/>
  <c r="AW28" i="9"/>
  <c r="AL16" i="14"/>
  <c r="AK16" i="14"/>
  <c r="AQ16" i="14" s="1"/>
  <c r="AH17" i="14"/>
  <c r="AR26" i="8"/>
  <c r="AT26" i="8" s="1"/>
  <c r="AU26" i="8" s="1"/>
  <c r="AW26" i="8"/>
  <c r="AR23" i="24"/>
  <c r="AW23" i="24"/>
  <c r="AW29" i="24" s="1"/>
  <c r="BG16" i="24" s="1"/>
  <c r="S15" i="24" s="1"/>
  <c r="BE74" i="61" s="1"/>
  <c r="AL28" i="7"/>
  <c r="AK28" i="7"/>
  <c r="AL4" i="7"/>
  <c r="AK4" i="7"/>
  <c r="AR13" i="13"/>
  <c r="AW13" i="13"/>
  <c r="AA17" i="3"/>
  <c r="AR25" i="9"/>
  <c r="AT25" i="9" s="1"/>
  <c r="AU25" i="9" s="1"/>
  <c r="AW25" i="9"/>
  <c r="AR19" i="18"/>
  <c r="AT19" i="18" s="1"/>
  <c r="AU19" i="18" s="1"/>
  <c r="AW19" i="18"/>
  <c r="AD24" i="6"/>
  <c r="AB24" i="6" s="1"/>
  <c r="AD28" i="6"/>
  <c r="AB28" i="6" s="1"/>
  <c r="AD18" i="6"/>
  <c r="AD20" i="6"/>
  <c r="AD22" i="6"/>
  <c r="AD23" i="6"/>
  <c r="AD19" i="6"/>
  <c r="AD27" i="6"/>
  <c r="AB27" i="6" s="1"/>
  <c r="AD21" i="6"/>
  <c r="AD25" i="6"/>
  <c r="AB25" i="6" s="1"/>
  <c r="AD26" i="6"/>
  <c r="AB26" i="6" s="1"/>
  <c r="AD17" i="6"/>
  <c r="AB20" i="6"/>
  <c r="AJ27" i="7"/>
  <c r="AI27" i="7"/>
  <c r="AR27" i="9"/>
  <c r="AT27" i="9" s="1"/>
  <c r="AU27" i="9" s="1"/>
  <c r="AW27" i="9"/>
  <c r="AA17" i="2"/>
  <c r="AE1" i="5"/>
  <c r="AJ22" i="7"/>
  <c r="AI22" i="7"/>
  <c r="AL25" i="7"/>
  <c r="AK25" i="7"/>
  <c r="AK7" i="7"/>
  <c r="AL7" i="7"/>
  <c r="AB23" i="6"/>
  <c r="AB21" i="6"/>
  <c r="AB18" i="6"/>
  <c r="AR28" i="8"/>
  <c r="AT28" i="8" s="1"/>
  <c r="AU28" i="8" s="1"/>
  <c r="AW28" i="8"/>
  <c r="AK18" i="16"/>
  <c r="AQ18" i="16" s="1"/>
  <c r="AL18" i="16"/>
  <c r="AH19" i="16"/>
  <c r="AL15" i="13"/>
  <c r="AK15" i="13"/>
  <c r="AQ15" i="13" s="1"/>
  <c r="AH16" i="13"/>
  <c r="AJ17" i="7"/>
  <c r="AI17" i="7"/>
  <c r="AJ26" i="7"/>
  <c r="AI26" i="7"/>
  <c r="AQ26" i="7" s="1"/>
  <c r="AH4" i="6"/>
  <c r="AH6" i="6"/>
  <c r="AH7" i="6"/>
  <c r="AH5" i="6"/>
  <c r="AH8" i="6"/>
  <c r="AH28" i="6"/>
  <c r="AH27" i="6"/>
  <c r="AH26" i="6"/>
  <c r="AH25" i="6"/>
  <c r="AG31" i="15"/>
  <c r="AR4" i="8" l="1"/>
  <c r="AT4" i="8" s="1"/>
  <c r="AR6" i="8"/>
  <c r="AT6" i="8" s="1"/>
  <c r="AU6" i="8" s="1"/>
  <c r="AW7" i="8"/>
  <c r="X16" i="2"/>
  <c r="AW5" i="9"/>
  <c r="X17" i="3"/>
  <c r="AK10" i="7"/>
  <c r="AQ10" i="7" s="1"/>
  <c r="AM10" i="7" s="1"/>
  <c r="AW10" i="7" s="1"/>
  <c r="AR4" i="9"/>
  <c r="AT4" i="9" s="1"/>
  <c r="AH11" i="7"/>
  <c r="AL11" i="7" s="1"/>
  <c r="AK9" i="7"/>
  <c r="AQ9" i="7" s="1"/>
  <c r="AL9" i="7"/>
  <c r="AW9" i="9"/>
  <c r="AW8" i="8"/>
  <c r="AQ6" i="7"/>
  <c r="AM6" i="7" s="1"/>
  <c r="AR6" i="7" s="1"/>
  <c r="AT6" i="7" s="1"/>
  <c r="AU6" i="7" s="1"/>
  <c r="AW8" i="9"/>
  <c r="AW21" i="19"/>
  <c r="AQ4" i="7"/>
  <c r="AM4" i="7" s="1"/>
  <c r="AQ5" i="7"/>
  <c r="AM5" i="7" s="1"/>
  <c r="AR5" i="7" s="1"/>
  <c r="AT5" i="7" s="1"/>
  <c r="AU5" i="7" s="1"/>
  <c r="BD71" i="61"/>
  <c r="BG14" i="25"/>
  <c r="I37" i="25"/>
  <c r="S13" i="25" s="1"/>
  <c r="BD72" i="61" s="1"/>
  <c r="BD73" i="61"/>
  <c r="AR22" i="22"/>
  <c r="AT22" i="22" s="1"/>
  <c r="AU22" i="22" s="1"/>
  <c r="AW22" i="22"/>
  <c r="AM10" i="8"/>
  <c r="AW10" i="8" s="1"/>
  <c r="AG32" i="22"/>
  <c r="AM23" i="22"/>
  <c r="AM11" i="8"/>
  <c r="AH13" i="8"/>
  <c r="AL12" i="8"/>
  <c r="AK12" i="8"/>
  <c r="AQ12" i="8" s="1"/>
  <c r="AQ7" i="7"/>
  <c r="AM7" i="7" s="1"/>
  <c r="AR7" i="7" s="1"/>
  <c r="AT7" i="7" s="1"/>
  <c r="AU7" i="7" s="1"/>
  <c r="AR5" i="8"/>
  <c r="AT5" i="8" s="1"/>
  <c r="AU5" i="8" s="1"/>
  <c r="AR9" i="8"/>
  <c r="AT9" i="8" s="1"/>
  <c r="AU9" i="8" s="1"/>
  <c r="AW9" i="8"/>
  <c r="AW12" i="11"/>
  <c r="AR12" i="11"/>
  <c r="AT12" i="11" s="1"/>
  <c r="AU12" i="11" s="1"/>
  <c r="AQ8" i="7"/>
  <c r="AM8" i="7" s="1"/>
  <c r="AR8" i="7" s="1"/>
  <c r="AT8" i="7" s="1"/>
  <c r="AU8" i="7" s="1"/>
  <c r="AM13" i="12"/>
  <c r="AM13" i="11"/>
  <c r="AK11" i="9"/>
  <c r="AQ11" i="9" s="1"/>
  <c r="AL11" i="9"/>
  <c r="AH12" i="9"/>
  <c r="AR21" i="20"/>
  <c r="AT21" i="20" s="1"/>
  <c r="AU21" i="20" s="1"/>
  <c r="AW21" i="20"/>
  <c r="AM22" i="20"/>
  <c r="AW7" i="9"/>
  <c r="AM10" i="9"/>
  <c r="AK23" i="20"/>
  <c r="AQ23" i="20" s="1"/>
  <c r="AG32" i="20" s="1"/>
  <c r="AL23" i="20"/>
  <c r="AF16" i="5"/>
  <c r="AF17" i="5" s="1"/>
  <c r="AF18" i="5" s="1"/>
  <c r="AF19" i="5" s="1"/>
  <c r="AF20" i="5" s="1"/>
  <c r="AF21" i="5" s="1"/>
  <c r="AF22" i="5" s="1"/>
  <c r="AF23" i="5" s="1"/>
  <c r="AF24" i="5" s="1"/>
  <c r="AF25" i="5" s="1"/>
  <c r="AF26" i="5" s="1"/>
  <c r="AF27" i="5" s="1"/>
  <c r="AF28" i="5" s="1"/>
  <c r="AI1" i="5"/>
  <c r="AB16" i="6"/>
  <c r="AI16" i="6" s="1"/>
  <c r="AD16" i="6"/>
  <c r="AR12" i="12"/>
  <c r="AT12" i="12" s="1"/>
  <c r="AU12" i="12" s="1"/>
  <c r="AW12" i="12"/>
  <c r="AM22" i="19"/>
  <c r="AR9" i="10"/>
  <c r="AT9" i="10" s="1"/>
  <c r="AU9" i="10" s="1"/>
  <c r="AW9" i="10"/>
  <c r="AK14" i="12"/>
  <c r="AQ14" i="12" s="1"/>
  <c r="AL14" i="12"/>
  <c r="AH15" i="12"/>
  <c r="AK14" i="11"/>
  <c r="AQ14" i="11" s="1"/>
  <c r="AH15" i="11"/>
  <c r="AL14" i="11"/>
  <c r="AR6" i="9"/>
  <c r="AT6" i="9" s="1"/>
  <c r="AU6" i="9" s="1"/>
  <c r="AB10" i="6"/>
  <c r="AJ10" i="6" s="1"/>
  <c r="AB12" i="6"/>
  <c r="AJ12" i="6" s="1"/>
  <c r="AM10" i="10"/>
  <c r="AH12" i="10"/>
  <c r="AL11" i="10"/>
  <c r="AK11" i="10"/>
  <c r="AQ11" i="10" s="1"/>
  <c r="AL23" i="19"/>
  <c r="AK23" i="19"/>
  <c r="AQ23" i="19" s="1"/>
  <c r="AB14" i="6"/>
  <c r="AJ14" i="6" s="1"/>
  <c r="AJ15" i="6"/>
  <c r="AI15" i="6"/>
  <c r="AB9" i="6"/>
  <c r="AH9" i="6" s="1"/>
  <c r="AA16" i="2"/>
  <c r="X15" i="2"/>
  <c r="AB11" i="6"/>
  <c r="AD13" i="6"/>
  <c r="AD11" i="6"/>
  <c r="AD8" i="6"/>
  <c r="AB8" i="6" s="1"/>
  <c r="AD5" i="6"/>
  <c r="AB5" i="6" s="1"/>
  <c r="AD10" i="6"/>
  <c r="AD7" i="6"/>
  <c r="AB7" i="6" s="1"/>
  <c r="AD14" i="6"/>
  <c r="AD6" i="6"/>
  <c r="AB6" i="6" s="1"/>
  <c r="AD15" i="6"/>
  <c r="AD4" i="6"/>
  <c r="AB4" i="6" s="1"/>
  <c r="AD9" i="6"/>
  <c r="AD12" i="6"/>
  <c r="AA16" i="3"/>
  <c r="X15" i="3"/>
  <c r="AG16" i="4"/>
  <c r="X1" i="4"/>
  <c r="AB13" i="6"/>
  <c r="Y1" i="5"/>
  <c r="AB13" i="5" s="1"/>
  <c r="Z83" i="59"/>
  <c r="AB83" i="59" s="1"/>
  <c r="L89" i="59"/>
  <c r="N89" i="59" s="1"/>
  <c r="AS89" i="59" s="1"/>
  <c r="AM83" i="59"/>
  <c r="AO83" i="59" s="1"/>
  <c r="AU83" i="59" s="1"/>
  <c r="AV16" i="59"/>
  <c r="AX16" i="59" s="1"/>
  <c r="K64" i="58"/>
  <c r="J60" i="58"/>
  <c r="C64" i="58"/>
  <c r="B60" i="58"/>
  <c r="D60" i="58"/>
  <c r="F60" i="58"/>
  <c r="G60" i="58"/>
  <c r="D61" i="58"/>
  <c r="F61" i="58"/>
  <c r="K63" i="58"/>
  <c r="H62" i="58"/>
  <c r="M64" i="58"/>
  <c r="I62" i="58"/>
  <c r="J63" i="58"/>
  <c r="H64" i="58"/>
  <c r="C63" i="58"/>
  <c r="B62" i="58"/>
  <c r="B61" i="58"/>
  <c r="L60" i="58"/>
  <c r="F62" i="58"/>
  <c r="C62" i="58"/>
  <c r="D62" i="58"/>
  <c r="M61" i="58"/>
  <c r="E64" i="58"/>
  <c r="C60" i="58"/>
  <c r="B63" i="58"/>
  <c r="L63" i="58"/>
  <c r="M60" i="58"/>
  <c r="E63" i="58"/>
  <c r="G61" i="58"/>
  <c r="I64" i="58"/>
  <c r="K61" i="58"/>
  <c r="D63" i="58"/>
  <c r="I61" i="58"/>
  <c r="M63" i="58"/>
  <c r="L62" i="58"/>
  <c r="J62" i="58"/>
  <c r="H63" i="58"/>
  <c r="G63" i="58"/>
  <c r="G62" i="58"/>
  <c r="J64" i="58"/>
  <c r="E60" i="58"/>
  <c r="K62" i="58"/>
  <c r="H61" i="58"/>
  <c r="E61" i="58"/>
  <c r="F63" i="58"/>
  <c r="F64" i="58"/>
  <c r="G64" i="58"/>
  <c r="H60" i="58"/>
  <c r="I63" i="58"/>
  <c r="M62" i="58"/>
  <c r="I60" i="58"/>
  <c r="L61" i="58"/>
  <c r="C61" i="58"/>
  <c r="K60" i="58"/>
  <c r="E62" i="58"/>
  <c r="J61" i="58"/>
  <c r="B64" i="58"/>
  <c r="D64" i="58"/>
  <c r="L64" i="58"/>
  <c r="AQ27" i="7"/>
  <c r="AM27" i="7" s="1"/>
  <c r="AR27" i="7" s="1"/>
  <c r="AT27" i="7" s="1"/>
  <c r="AU27" i="7" s="1"/>
  <c r="AR15" i="14"/>
  <c r="AT15" i="14" s="1"/>
  <c r="AU15" i="14" s="1"/>
  <c r="AW22" i="21"/>
  <c r="AW19" i="17"/>
  <c r="AR24" i="9"/>
  <c r="AT24" i="9" s="1"/>
  <c r="AU24" i="9" s="1"/>
  <c r="AM21" i="18"/>
  <c r="AR21" i="18" s="1"/>
  <c r="AT21" i="18" s="1"/>
  <c r="AU21" i="18" s="1"/>
  <c r="AM26" i="7"/>
  <c r="AW26" i="7" s="1"/>
  <c r="I37" i="23"/>
  <c r="BG14" i="23"/>
  <c r="BF71" i="61"/>
  <c r="BF73" i="61"/>
  <c r="S26" i="23"/>
  <c r="BF85" i="61" s="1"/>
  <c r="AM23" i="21"/>
  <c r="AR23" i="21" s="1"/>
  <c r="AM15" i="13"/>
  <c r="AW15" i="13" s="1"/>
  <c r="AJ26" i="6"/>
  <c r="AI26" i="6"/>
  <c r="AJ25" i="6"/>
  <c r="AI25" i="6"/>
  <c r="AJ24" i="6"/>
  <c r="AI24" i="6"/>
  <c r="AH24" i="6"/>
  <c r="AJ27" i="6"/>
  <c r="AI27" i="6"/>
  <c r="AL28" i="6"/>
  <c r="AK28" i="6"/>
  <c r="AL8" i="6"/>
  <c r="AK8" i="6"/>
  <c r="AK4" i="6"/>
  <c r="AL4" i="6"/>
  <c r="AM18" i="16"/>
  <c r="AI21" i="6"/>
  <c r="AJ21" i="6"/>
  <c r="AK11" i="7"/>
  <c r="AQ11" i="7" s="1"/>
  <c r="AB22" i="5"/>
  <c r="AB21" i="5"/>
  <c r="AT13" i="13"/>
  <c r="AT23" i="24"/>
  <c r="AR29" i="24"/>
  <c r="BG12" i="24" s="1"/>
  <c r="S11" i="24" s="1"/>
  <c r="AK17" i="14"/>
  <c r="AQ17" i="14" s="1"/>
  <c r="AL17" i="14"/>
  <c r="AH18" i="14"/>
  <c r="AJ22" i="6"/>
  <c r="AI22" i="6"/>
  <c r="AA18" i="1"/>
  <c r="AG18" i="1" s="1"/>
  <c r="Y17" i="1"/>
  <c r="AJ19" i="6"/>
  <c r="AI19" i="6"/>
  <c r="AW1" i="4"/>
  <c r="AH1" i="4"/>
  <c r="AL22" i="18"/>
  <c r="AK22" i="18"/>
  <c r="AQ22" i="18" s="1"/>
  <c r="AH23" i="18"/>
  <c r="AQ28" i="7"/>
  <c r="AM28" i="7" s="1"/>
  <c r="AL24" i="7"/>
  <c r="AK24" i="7"/>
  <c r="AQ24" i="7" s="1"/>
  <c r="AL25" i="6"/>
  <c r="AK25" i="6"/>
  <c r="AL5" i="6"/>
  <c r="AK5" i="6"/>
  <c r="AJ23" i="6"/>
  <c r="AI23" i="6"/>
  <c r="AB18" i="5"/>
  <c r="AB17" i="5"/>
  <c r="AD1" i="2"/>
  <c r="AG17" i="2"/>
  <c r="AD1" i="3"/>
  <c r="AG17" i="3"/>
  <c r="AM16" i="14"/>
  <c r="AG31" i="14"/>
  <c r="AH5" i="5"/>
  <c r="AH6" i="5"/>
  <c r="AH4" i="5"/>
  <c r="AH7" i="5"/>
  <c r="AH8" i="5"/>
  <c r="AH28" i="5"/>
  <c r="AH27" i="5"/>
  <c r="AH26" i="5"/>
  <c r="AH25" i="5"/>
  <c r="X19" i="1"/>
  <c r="AR16" i="15"/>
  <c r="AT16" i="15" s="1"/>
  <c r="AU16" i="15" s="1"/>
  <c r="AW16" i="15"/>
  <c r="AL23" i="53"/>
  <c r="AK23" i="53"/>
  <c r="AQ23" i="53" s="1"/>
  <c r="AR21" i="53"/>
  <c r="AT21" i="53" s="1"/>
  <c r="AU21" i="53" s="1"/>
  <c r="AW21" i="53"/>
  <c r="AR14" i="13"/>
  <c r="AT14" i="13" s="1"/>
  <c r="AU14" i="13" s="1"/>
  <c r="AW14" i="13"/>
  <c r="AE1" i="4"/>
  <c r="AL26" i="6"/>
  <c r="AK26" i="6"/>
  <c r="AL7" i="6"/>
  <c r="AK7" i="6"/>
  <c r="AL19" i="16"/>
  <c r="AK19" i="16"/>
  <c r="AQ19" i="16" s="1"/>
  <c r="AH20" i="16"/>
  <c r="AB23" i="5"/>
  <c r="AB20" i="5"/>
  <c r="AJ28" i="6"/>
  <c r="AI28" i="6"/>
  <c r="AL21" i="17"/>
  <c r="AK21" i="17"/>
  <c r="AQ21" i="17" s="1"/>
  <c r="AH22" i="17"/>
  <c r="AR20" i="18"/>
  <c r="AT20" i="18" s="1"/>
  <c r="AU20" i="18" s="1"/>
  <c r="AW20" i="18"/>
  <c r="AT15" i="15"/>
  <c r="AJ17" i="6"/>
  <c r="AI17" i="6"/>
  <c r="AL18" i="15"/>
  <c r="AK18" i="15"/>
  <c r="AQ18" i="15" s="1"/>
  <c r="AH19" i="15"/>
  <c r="AL27" i="6"/>
  <c r="AK27" i="6"/>
  <c r="AK6" i="6"/>
  <c r="AL6" i="6"/>
  <c r="AL16" i="13"/>
  <c r="AK16" i="13"/>
  <c r="AQ16" i="13" s="1"/>
  <c r="AH17" i="13"/>
  <c r="AJ18" i="6"/>
  <c r="AI18" i="6"/>
  <c r="AD23" i="5"/>
  <c r="AD24" i="5"/>
  <c r="AB24" i="5" s="1"/>
  <c r="AD28" i="5"/>
  <c r="AB28" i="5" s="1"/>
  <c r="AD21" i="5"/>
  <c r="AD25" i="5"/>
  <c r="AB25" i="5" s="1"/>
  <c r="AD20" i="5"/>
  <c r="AD22" i="5"/>
  <c r="AD19" i="5"/>
  <c r="AD27" i="5"/>
  <c r="AB27" i="5" s="1"/>
  <c r="AD18" i="5"/>
  <c r="AD17" i="5"/>
  <c r="AD26" i="5"/>
  <c r="AB26" i="5" s="1"/>
  <c r="AB19" i="5"/>
  <c r="AJ20" i="6"/>
  <c r="AI20" i="6"/>
  <c r="AM20" i="17"/>
  <c r="AM22" i="53"/>
  <c r="AT14" i="14"/>
  <c r="AR17" i="16"/>
  <c r="AT17" i="16" s="1"/>
  <c r="AU17" i="16" s="1"/>
  <c r="AW17" i="16"/>
  <c r="AU4" i="10"/>
  <c r="AM17" i="15"/>
  <c r="AQ25" i="7"/>
  <c r="AM25" i="7" s="1"/>
  <c r="AH12" i="7" l="1"/>
  <c r="AH13" i="7" s="1"/>
  <c r="AM9" i="7"/>
  <c r="AW9" i="7" s="1"/>
  <c r="AJ16" i="6"/>
  <c r="AI10" i="6"/>
  <c r="I40" i="25"/>
  <c r="BG17" i="25"/>
  <c r="AR10" i="8"/>
  <c r="AT10" i="8" s="1"/>
  <c r="AU10" i="8" s="1"/>
  <c r="AH14" i="8"/>
  <c r="AL13" i="8"/>
  <c r="AK13" i="8"/>
  <c r="AQ13" i="8" s="1"/>
  <c r="AW11" i="8"/>
  <c r="AR11" i="8"/>
  <c r="AT11" i="8" s="1"/>
  <c r="AU11" i="8" s="1"/>
  <c r="AM12" i="8"/>
  <c r="AR23" i="22"/>
  <c r="AW23" i="22"/>
  <c r="AW29" i="22" s="1"/>
  <c r="BG16" i="22" s="1"/>
  <c r="S15" i="22" s="1"/>
  <c r="BG74" i="61" s="1"/>
  <c r="AM11" i="9"/>
  <c r="AW11" i="9" s="1"/>
  <c r="AW13" i="12"/>
  <c r="AR13" i="12"/>
  <c r="AT13" i="12" s="1"/>
  <c r="AU13" i="12" s="1"/>
  <c r="AR13" i="11"/>
  <c r="AT13" i="11" s="1"/>
  <c r="AU13" i="11" s="1"/>
  <c r="AW13" i="11"/>
  <c r="AM14" i="11"/>
  <c r="AI12" i="6"/>
  <c r="AB16" i="5"/>
  <c r="AJ16" i="5" s="1"/>
  <c r="AH13" i="9"/>
  <c r="AL12" i="9"/>
  <c r="AK12" i="9"/>
  <c r="AQ12" i="9" s="1"/>
  <c r="AM23" i="20"/>
  <c r="AR22" i="20"/>
  <c r="AW22" i="20"/>
  <c r="AI14" i="6"/>
  <c r="AR10" i="9"/>
  <c r="AT10" i="9" s="1"/>
  <c r="AU10" i="9" s="1"/>
  <c r="AW10" i="9"/>
  <c r="AD16" i="5"/>
  <c r="AF16" i="4"/>
  <c r="AF17" i="4" s="1"/>
  <c r="AF18" i="4" s="1"/>
  <c r="AF19" i="4" s="1"/>
  <c r="AF20" i="4" s="1"/>
  <c r="AF21" i="4" s="1"/>
  <c r="AF22" i="4" s="1"/>
  <c r="AF23" i="4" s="1"/>
  <c r="AF24" i="4" s="1"/>
  <c r="AF25" i="4" s="1"/>
  <c r="AF26" i="4" s="1"/>
  <c r="AF27" i="4" s="1"/>
  <c r="AF28" i="4" s="1"/>
  <c r="AI1" i="4"/>
  <c r="AM14" i="12"/>
  <c r="AM11" i="10"/>
  <c r="AL15" i="11"/>
  <c r="AK15" i="11"/>
  <c r="AQ15" i="11" s="1"/>
  <c r="AH16" i="11"/>
  <c r="AK15" i="12"/>
  <c r="AQ15" i="12" s="1"/>
  <c r="AH16" i="12"/>
  <c r="AL15" i="12"/>
  <c r="AR22" i="19"/>
  <c r="AT22" i="19" s="1"/>
  <c r="AU22" i="19" s="1"/>
  <c r="AW22" i="19"/>
  <c r="AB14" i="5"/>
  <c r="AI14" i="5" s="1"/>
  <c r="AB11" i="5"/>
  <c r="AI11" i="5" s="1"/>
  <c r="AB12" i="5"/>
  <c r="AJ12" i="5" s="1"/>
  <c r="AB9" i="5"/>
  <c r="AH9" i="5" s="1"/>
  <c r="AB10" i="5"/>
  <c r="AI10" i="5" s="1"/>
  <c r="AG32" i="19"/>
  <c r="AM23" i="19"/>
  <c r="AL12" i="10"/>
  <c r="AK12" i="10"/>
  <c r="AQ12" i="10" s="1"/>
  <c r="AH13" i="10"/>
  <c r="AR10" i="10"/>
  <c r="AT10" i="10" s="1"/>
  <c r="AU10" i="10" s="1"/>
  <c r="AW10" i="10"/>
  <c r="AB15" i="5"/>
  <c r="AD12" i="5"/>
  <c r="AD9" i="5"/>
  <c r="AD11" i="5"/>
  <c r="AD10" i="5"/>
  <c r="AD6" i="5"/>
  <c r="AB6" i="5" s="1"/>
  <c r="AD13" i="5"/>
  <c r="AD4" i="5"/>
  <c r="AB4" i="5" s="1"/>
  <c r="AD15" i="5"/>
  <c r="AD8" i="5"/>
  <c r="AB8" i="5" s="1"/>
  <c r="AD14" i="5"/>
  <c r="AD5" i="5"/>
  <c r="AB5" i="5" s="1"/>
  <c r="AD7" i="5"/>
  <c r="AB7" i="5" s="1"/>
  <c r="AJ4" i="6"/>
  <c r="AI4" i="6"/>
  <c r="AQ4" i="6" s="1"/>
  <c r="AI7" i="6"/>
  <c r="AQ7" i="6" s="1"/>
  <c r="AJ7" i="6"/>
  <c r="AJ9" i="6"/>
  <c r="AI9" i="6"/>
  <c r="AB19" i="4"/>
  <c r="AI19" i="4" s="1"/>
  <c r="AJ13" i="5"/>
  <c r="AI13" i="5"/>
  <c r="AJ13" i="6"/>
  <c r="AI13" i="6"/>
  <c r="AG16" i="3"/>
  <c r="X1" i="3"/>
  <c r="Y1" i="4"/>
  <c r="AB12" i="4" s="1"/>
  <c r="AI6" i="6"/>
  <c r="AQ6" i="6" s="1"/>
  <c r="AJ6" i="6"/>
  <c r="AI5" i="6"/>
  <c r="AQ5" i="6" s="1"/>
  <c r="AJ5" i="6"/>
  <c r="AI11" i="6"/>
  <c r="AJ11" i="6"/>
  <c r="AG16" i="2"/>
  <c r="X1" i="2"/>
  <c r="X18" i="1"/>
  <c r="Y16" i="1"/>
  <c r="AJ8" i="6"/>
  <c r="AI8" i="6"/>
  <c r="AQ8" i="6" s="1"/>
  <c r="AT83" i="59"/>
  <c r="AT84" i="59"/>
  <c r="AV84" i="59" s="1"/>
  <c r="S13" i="23"/>
  <c r="BF72" i="61" s="1"/>
  <c r="P10" i="59"/>
  <c r="AR83" i="59" s="1"/>
  <c r="AV83" i="59" s="1"/>
  <c r="AV82" i="59" s="1"/>
  <c r="BA24" i="59" a="1"/>
  <c r="AW8" i="7"/>
  <c r="AW21" i="18"/>
  <c r="AR15" i="13"/>
  <c r="AT15" i="13" s="1"/>
  <c r="AU15" i="13" s="1"/>
  <c r="AQ28" i="6"/>
  <c r="AM28" i="6" s="1"/>
  <c r="AR10" i="7"/>
  <c r="AT10" i="7" s="1"/>
  <c r="AU10" i="7" s="1"/>
  <c r="AW6" i="7"/>
  <c r="AW5" i="7"/>
  <c r="AR26" i="7"/>
  <c r="AT26" i="7" s="1"/>
  <c r="AU26" i="7" s="1"/>
  <c r="AW7" i="7"/>
  <c r="AW23" i="21"/>
  <c r="AW29" i="21" s="1"/>
  <c r="BG16" i="21" s="1"/>
  <c r="S15" i="21" s="1"/>
  <c r="BH74" i="61" s="1"/>
  <c r="AM24" i="7"/>
  <c r="AR24" i="7" s="1"/>
  <c r="AT24" i="7" s="1"/>
  <c r="AU24" i="7" s="1"/>
  <c r="AB22" i="4"/>
  <c r="AJ22" i="4" s="1"/>
  <c r="BE70" i="61"/>
  <c r="I54" i="24"/>
  <c r="I50" i="24"/>
  <c r="BG27" i="24"/>
  <c r="AW27" i="7"/>
  <c r="AB20" i="4"/>
  <c r="AJ20" i="4" s="1"/>
  <c r="AB17" i="4"/>
  <c r="AI17" i="4" s="1"/>
  <c r="AI28" i="5"/>
  <c r="AJ28" i="5"/>
  <c r="AI24" i="5"/>
  <c r="AJ24" i="5"/>
  <c r="AH24" i="5"/>
  <c r="AJ27" i="5"/>
  <c r="AI27" i="5"/>
  <c r="AJ25" i="5"/>
  <c r="AI25" i="5"/>
  <c r="AI26" i="5"/>
  <c r="AJ26" i="5"/>
  <c r="AL26" i="5"/>
  <c r="AK26" i="5"/>
  <c r="AL4" i="5"/>
  <c r="AK4" i="5"/>
  <c r="AR4" i="7"/>
  <c r="AW4" i="7"/>
  <c r="AI18" i="5"/>
  <c r="AJ18" i="5"/>
  <c r="AK23" i="18"/>
  <c r="AQ23" i="18" s="1"/>
  <c r="AG32" i="18" s="1"/>
  <c r="AL23" i="18"/>
  <c r="AT23" i="21"/>
  <c r="AR29" i="21"/>
  <c r="BG12" i="21" s="1"/>
  <c r="S11" i="21" s="1"/>
  <c r="AI22" i="5"/>
  <c r="AJ22" i="5"/>
  <c r="AR9" i="7"/>
  <c r="AT9" i="7" s="1"/>
  <c r="AU9" i="7" s="1"/>
  <c r="AL19" i="15"/>
  <c r="AK19" i="15"/>
  <c r="AQ19" i="15" s="1"/>
  <c r="AH20" i="15"/>
  <c r="AJ23" i="5"/>
  <c r="AI23" i="5"/>
  <c r="AB18" i="4"/>
  <c r="AK27" i="5"/>
  <c r="AL27" i="5"/>
  <c r="AL8" i="5"/>
  <c r="AK8" i="5"/>
  <c r="AL6" i="5"/>
  <c r="AK6" i="5"/>
  <c r="AR16" i="14"/>
  <c r="AW16" i="14"/>
  <c r="AE1" i="2"/>
  <c r="AM22" i="18"/>
  <c r="X17" i="1"/>
  <c r="AA17" i="1"/>
  <c r="X16" i="1"/>
  <c r="AL18" i="14"/>
  <c r="AK18" i="14"/>
  <c r="AQ18" i="14" s="1"/>
  <c r="AH19" i="14"/>
  <c r="AU23" i="24"/>
  <c r="AU29" i="24" s="1"/>
  <c r="BG15" i="24" s="1"/>
  <c r="S14" i="24" s="1"/>
  <c r="AT29" i="24"/>
  <c r="BG13" i="24" s="1"/>
  <c r="S12" i="24" s="1"/>
  <c r="AR17" i="15"/>
  <c r="AW17" i="15"/>
  <c r="AJ19" i="5"/>
  <c r="AI19" i="5"/>
  <c r="AI20" i="5"/>
  <c r="AJ20" i="5"/>
  <c r="AH1" i="2"/>
  <c r="AW1" i="2"/>
  <c r="AH4" i="4"/>
  <c r="AH5" i="4"/>
  <c r="AH6" i="4"/>
  <c r="AH8" i="4"/>
  <c r="AH7" i="4"/>
  <c r="AH28" i="4"/>
  <c r="AH27" i="4"/>
  <c r="AH26" i="4"/>
  <c r="AH25" i="4"/>
  <c r="AR25" i="7"/>
  <c r="AT25" i="7" s="1"/>
  <c r="AU25" i="7" s="1"/>
  <c r="AW25" i="7"/>
  <c r="AU14" i="14"/>
  <c r="AR20" i="17"/>
  <c r="AT20" i="17" s="1"/>
  <c r="AU20" i="17" s="1"/>
  <c r="AW20" i="17"/>
  <c r="AL17" i="13"/>
  <c r="AK17" i="13"/>
  <c r="AQ17" i="13" s="1"/>
  <c r="AH18" i="13"/>
  <c r="AM18" i="15"/>
  <c r="AL22" i="17"/>
  <c r="AK22" i="17"/>
  <c r="AQ22" i="17" s="1"/>
  <c r="AH23" i="17"/>
  <c r="AK20" i="16"/>
  <c r="AQ20" i="16" s="1"/>
  <c r="AL20" i="16"/>
  <c r="AH21" i="16"/>
  <c r="AD25" i="4"/>
  <c r="AB25" i="4" s="1"/>
  <c r="AD26" i="4"/>
  <c r="AB26" i="4" s="1"/>
  <c r="AD18" i="4"/>
  <c r="AD21" i="4"/>
  <c r="AD17" i="4"/>
  <c r="AD24" i="4"/>
  <c r="AB24" i="4" s="1"/>
  <c r="AH24" i="4" s="1"/>
  <c r="AD19" i="4"/>
  <c r="AD20" i="4"/>
  <c r="AD22" i="4"/>
  <c r="AD28" i="4"/>
  <c r="AB28" i="4" s="1"/>
  <c r="AD23" i="4"/>
  <c r="AD27" i="4"/>
  <c r="AB27" i="4" s="1"/>
  <c r="AB23" i="4"/>
  <c r="AB21" i="4"/>
  <c r="AL28" i="5"/>
  <c r="AK28" i="5"/>
  <c r="AL5" i="5"/>
  <c r="AK5" i="5"/>
  <c r="AW1" i="3"/>
  <c r="AH1" i="3"/>
  <c r="AM11" i="7"/>
  <c r="AL24" i="6"/>
  <c r="AK24" i="6"/>
  <c r="AQ24" i="6" s="1"/>
  <c r="AQ26" i="6"/>
  <c r="AM26" i="6" s="1"/>
  <c r="AR22" i="53"/>
  <c r="AT22" i="53" s="1"/>
  <c r="AU22" i="53" s="1"/>
  <c r="AW22" i="53"/>
  <c r="AM16" i="13"/>
  <c r="AG31" i="13"/>
  <c r="AU15" i="15"/>
  <c r="AM21" i="17"/>
  <c r="AM19" i="16"/>
  <c r="AU4" i="9"/>
  <c r="AM23" i="53"/>
  <c r="AG32" i="53"/>
  <c r="AK25" i="5"/>
  <c r="AL25" i="5"/>
  <c r="AL7" i="5"/>
  <c r="AK7" i="5"/>
  <c r="AE1" i="3"/>
  <c r="AJ17" i="5"/>
  <c r="AI17" i="5"/>
  <c r="AL9" i="6"/>
  <c r="AK9" i="6"/>
  <c r="AH10" i="6"/>
  <c r="AR28" i="7"/>
  <c r="AT28" i="7" s="1"/>
  <c r="AU28" i="7" s="1"/>
  <c r="AW28" i="7"/>
  <c r="AM17" i="14"/>
  <c r="AU13" i="13"/>
  <c r="AJ21" i="5"/>
  <c r="AI21" i="5"/>
  <c r="AU4" i="8"/>
  <c r="AR18" i="16"/>
  <c r="AT18" i="16" s="1"/>
  <c r="AW18" i="16"/>
  <c r="AQ27" i="6"/>
  <c r="AM27" i="6" s="1"/>
  <c r="AQ25" i="6"/>
  <c r="AM25" i="6" s="1"/>
  <c r="AK12" i="7" l="1"/>
  <c r="AQ12" i="7" s="1"/>
  <c r="AL12" i="7"/>
  <c r="AQ9" i="6"/>
  <c r="AM9" i="6" s="1"/>
  <c r="S16" i="25"/>
  <c r="BD75" i="61" s="1"/>
  <c r="AJ19" i="4"/>
  <c r="AI12" i="5"/>
  <c r="AM13" i="8"/>
  <c r="AT23" i="22"/>
  <c r="AR29" i="22"/>
  <c r="BG12" i="22" s="1"/>
  <c r="S11" i="22" s="1"/>
  <c r="AR11" i="9"/>
  <c r="AT11" i="9" s="1"/>
  <c r="AU11" i="9" s="1"/>
  <c r="AR12" i="8"/>
  <c r="AT12" i="8" s="1"/>
  <c r="AU12" i="8" s="1"/>
  <c r="AW12" i="8"/>
  <c r="AL14" i="8"/>
  <c r="AK14" i="8"/>
  <c r="AQ14" i="8" s="1"/>
  <c r="AH15" i="8"/>
  <c r="AM4" i="6"/>
  <c r="AW4" i="6" s="1"/>
  <c r="AI16" i="5"/>
  <c r="AI9" i="5"/>
  <c r="AJ9" i="5"/>
  <c r="AJ10" i="5"/>
  <c r="AB16" i="4"/>
  <c r="AI16" i="4" s="1"/>
  <c r="AD16" i="4"/>
  <c r="AR14" i="11"/>
  <c r="AT14" i="11" s="1"/>
  <c r="AU14" i="11" s="1"/>
  <c r="AW14" i="11"/>
  <c r="AJ14" i="5"/>
  <c r="AT22" i="20"/>
  <c r="AK13" i="9"/>
  <c r="AQ13" i="9" s="1"/>
  <c r="AH14" i="9"/>
  <c r="AL13" i="9"/>
  <c r="AR23" i="20"/>
  <c r="AT23" i="20" s="1"/>
  <c r="AU23" i="20" s="1"/>
  <c r="AW23" i="20"/>
  <c r="AW29" i="20" s="1"/>
  <c r="BG16" i="20" s="1"/>
  <c r="S15" i="20" s="1"/>
  <c r="BI74" i="61" s="1"/>
  <c r="AM12" i="9"/>
  <c r="AF16" i="2"/>
  <c r="AF17" i="2" s="1"/>
  <c r="AF18" i="2" s="1"/>
  <c r="AF19" i="2" s="1"/>
  <c r="AF20" i="2" s="1"/>
  <c r="AF21" i="2" s="1"/>
  <c r="AF22" i="2" s="1"/>
  <c r="AF23" i="2" s="1"/>
  <c r="AF24" i="2" s="1"/>
  <c r="AF25" i="2" s="1"/>
  <c r="AF26" i="2" s="1"/>
  <c r="AF27" i="2" s="1"/>
  <c r="AF28" i="2" s="1"/>
  <c r="AI1" i="2"/>
  <c r="AF16" i="3"/>
  <c r="AF17" i="3" s="1"/>
  <c r="AF18" i="3" s="1"/>
  <c r="AF19" i="3" s="1"/>
  <c r="AF20" i="3" s="1"/>
  <c r="AF21" i="3" s="1"/>
  <c r="AF22" i="3" s="1"/>
  <c r="AF23" i="3" s="1"/>
  <c r="AF24" i="3" s="1"/>
  <c r="AF25" i="3" s="1"/>
  <c r="AF26" i="3" s="1"/>
  <c r="AF27" i="3" s="1"/>
  <c r="AF28" i="3" s="1"/>
  <c r="AI1" i="3"/>
  <c r="AB15" i="4"/>
  <c r="AJ15" i="4" s="1"/>
  <c r="AM7" i="6"/>
  <c r="AR7" i="6" s="1"/>
  <c r="AT7" i="6" s="1"/>
  <c r="AU7" i="6" s="1"/>
  <c r="AJ11" i="5"/>
  <c r="AM15" i="12"/>
  <c r="AW11" i="10"/>
  <c r="AR11" i="10"/>
  <c r="AT11" i="10" s="1"/>
  <c r="AU11" i="10" s="1"/>
  <c r="AK16" i="11"/>
  <c r="AQ16" i="11" s="1"/>
  <c r="AG31" i="11" s="1"/>
  <c r="AH17" i="11"/>
  <c r="AL16" i="11"/>
  <c r="AW14" i="12"/>
  <c r="AR14" i="12"/>
  <c r="AT14" i="12" s="1"/>
  <c r="AU14" i="12" s="1"/>
  <c r="AM6" i="6"/>
  <c r="AR6" i="6" s="1"/>
  <c r="AT6" i="6" s="1"/>
  <c r="AU6" i="6" s="1"/>
  <c r="AM15" i="11"/>
  <c r="AK16" i="12"/>
  <c r="AQ16" i="12" s="1"/>
  <c r="AG31" i="12" s="1"/>
  <c r="AL16" i="12"/>
  <c r="AH17" i="12"/>
  <c r="AM5" i="6"/>
  <c r="AW5" i="6" s="1"/>
  <c r="AB13" i="4"/>
  <c r="AJ13" i="4" s="1"/>
  <c r="AR23" i="19"/>
  <c r="AW23" i="19"/>
  <c r="AW29" i="19" s="1"/>
  <c r="BG16" i="19" s="1"/>
  <c r="S15" i="19" s="1"/>
  <c r="BJ74" i="61" s="1"/>
  <c r="AK13" i="10"/>
  <c r="AQ13" i="10" s="1"/>
  <c r="AL13" i="10"/>
  <c r="AH14" i="10"/>
  <c r="AM8" i="6"/>
  <c r="AW8" i="6" s="1"/>
  <c r="AB10" i="4"/>
  <c r="AI10" i="4" s="1"/>
  <c r="AM12" i="10"/>
  <c r="AJ12" i="4"/>
  <c r="AI12" i="4"/>
  <c r="AB11" i="4"/>
  <c r="AI8" i="5"/>
  <c r="AQ8" i="5" s="1"/>
  <c r="AJ8" i="5"/>
  <c r="AI6" i="5"/>
  <c r="AQ6" i="5" s="1"/>
  <c r="AJ6" i="5"/>
  <c r="Y1" i="2"/>
  <c r="AB12" i="2" s="1"/>
  <c r="AI7" i="5"/>
  <c r="AQ7" i="5" s="1"/>
  <c r="AJ7" i="5"/>
  <c r="AJ15" i="5"/>
  <c r="AI15" i="5"/>
  <c r="AB20" i="3"/>
  <c r="AJ20" i="3" s="1"/>
  <c r="AA16" i="1"/>
  <c r="X15" i="1"/>
  <c r="AB14" i="4"/>
  <c r="AI5" i="5"/>
  <c r="AQ5" i="5" s="1"/>
  <c r="AJ5" i="5"/>
  <c r="AJ4" i="5"/>
  <c r="AI4" i="5"/>
  <c r="AQ4" i="5" s="1"/>
  <c r="AB9" i="4"/>
  <c r="AD15" i="4"/>
  <c r="AD4" i="4"/>
  <c r="AB4" i="4" s="1"/>
  <c r="AD5" i="4"/>
  <c r="AB5" i="4" s="1"/>
  <c r="AD8" i="4"/>
  <c r="AB8" i="4" s="1"/>
  <c r="AD14" i="4"/>
  <c r="AD6" i="4"/>
  <c r="AB6" i="4" s="1"/>
  <c r="AD7" i="4"/>
  <c r="AB7" i="4" s="1"/>
  <c r="AD11" i="4"/>
  <c r="AD12" i="4"/>
  <c r="AD9" i="4"/>
  <c r="AD10" i="4"/>
  <c r="AD13" i="4"/>
  <c r="Y1" i="3"/>
  <c r="AB10" i="3" s="1"/>
  <c r="I40" i="23"/>
  <c r="BG17" i="23"/>
  <c r="BG26" i="59"/>
  <c r="BB28" i="59"/>
  <c r="BL27" i="59"/>
  <c r="BH26" i="59"/>
  <c r="BK28" i="59"/>
  <c r="BG24" i="59"/>
  <c r="BF24" i="59"/>
  <c r="BF26" i="59"/>
  <c r="BF25" i="59"/>
  <c r="BE24" i="59"/>
  <c r="BK27" i="59"/>
  <c r="BC24" i="59"/>
  <c r="BC28" i="59"/>
  <c r="BB27" i="59"/>
  <c r="BB26" i="59"/>
  <c r="BJ28" i="59"/>
  <c r="BL25" i="59"/>
  <c r="BL26" i="59"/>
  <c r="BF28" i="59"/>
  <c r="BF27" i="59"/>
  <c r="BD28" i="59"/>
  <c r="BB24" i="59"/>
  <c r="BL28" i="59"/>
  <c r="BD25" i="59"/>
  <c r="BA28" i="59"/>
  <c r="BJ25" i="59"/>
  <c r="BJ24" i="59"/>
  <c r="BA24" i="59"/>
  <c r="BI26" i="59"/>
  <c r="BE25" i="59"/>
  <c r="BA27" i="59"/>
  <c r="BD26" i="59"/>
  <c r="BG28" i="59"/>
  <c r="BC27" i="59"/>
  <c r="BI27" i="59"/>
  <c r="BE26" i="59"/>
  <c r="BA25" i="59"/>
  <c r="BA26" i="59"/>
  <c r="BB25" i="59"/>
  <c r="BL24" i="59"/>
  <c r="BH24" i="59"/>
  <c r="BH27" i="59"/>
  <c r="BI28" i="59"/>
  <c r="BH28" i="59"/>
  <c r="BD27" i="59"/>
  <c r="BJ27" i="59"/>
  <c r="BI25" i="59"/>
  <c r="BH25" i="59"/>
  <c r="BD24" i="59"/>
  <c r="BK25" i="59"/>
  <c r="BG27" i="59"/>
  <c r="BE27" i="59"/>
  <c r="BE28" i="59"/>
  <c r="BC25" i="59"/>
  <c r="BK26" i="59"/>
  <c r="BG25" i="59"/>
  <c r="BI24" i="59"/>
  <c r="BJ26" i="59"/>
  <c r="BC26" i="59"/>
  <c r="BK24" i="59"/>
  <c r="AW24" i="7"/>
  <c r="AI22" i="4"/>
  <c r="AJ17" i="4"/>
  <c r="AI20" i="4"/>
  <c r="AM24" i="6"/>
  <c r="AR24" i="6" s="1"/>
  <c r="AT24" i="6" s="1"/>
  <c r="AU24" i="6" s="1"/>
  <c r="S26" i="24"/>
  <c r="BE85" i="61" s="1"/>
  <c r="BE71" i="61"/>
  <c r="BG14" i="24"/>
  <c r="I37" i="24"/>
  <c r="BE73" i="61"/>
  <c r="I54" i="21"/>
  <c r="BH70" i="61"/>
  <c r="BG27" i="21"/>
  <c r="I50" i="21"/>
  <c r="AB23" i="3"/>
  <c r="AI23" i="3" s="1"/>
  <c r="AM23" i="18"/>
  <c r="AR23" i="18" s="1"/>
  <c r="AM20" i="16"/>
  <c r="AR20" i="16" s="1"/>
  <c r="AT20" i="16" s="1"/>
  <c r="AU20" i="16" s="1"/>
  <c r="AM22" i="17"/>
  <c r="AR22" i="17" s="1"/>
  <c r="AT22" i="17" s="1"/>
  <c r="AU22" i="17" s="1"/>
  <c r="AL24" i="4"/>
  <c r="AK24" i="4"/>
  <c r="AJ26" i="4"/>
  <c r="AI26" i="4"/>
  <c r="AR25" i="6"/>
  <c r="AT25" i="6" s="1"/>
  <c r="AU25" i="6" s="1"/>
  <c r="AW25" i="6"/>
  <c r="AU18" i="16"/>
  <c r="AL10" i="6"/>
  <c r="AK10" i="6"/>
  <c r="AQ10" i="6" s="1"/>
  <c r="AH11" i="6"/>
  <c r="AB21" i="3"/>
  <c r="AB19" i="3"/>
  <c r="AR11" i="7"/>
  <c r="AT11" i="7" s="1"/>
  <c r="AU11" i="7" s="1"/>
  <c r="AW11" i="7"/>
  <c r="AH4" i="3"/>
  <c r="AH7" i="3"/>
  <c r="AH5" i="3"/>
  <c r="AH6" i="3"/>
  <c r="AH8" i="3"/>
  <c r="AH28" i="3"/>
  <c r="AH27" i="3"/>
  <c r="AH26" i="3"/>
  <c r="AH25" i="3"/>
  <c r="AJ23" i="4"/>
  <c r="AI23" i="4"/>
  <c r="AJ25" i="4"/>
  <c r="AI25" i="4"/>
  <c r="AL27" i="4"/>
  <c r="AK27" i="4"/>
  <c r="AK5" i="4"/>
  <c r="AL5" i="4"/>
  <c r="AK19" i="14"/>
  <c r="AQ19" i="14" s="1"/>
  <c r="AL19" i="14"/>
  <c r="AH20" i="14"/>
  <c r="AD1" i="1"/>
  <c r="AG17" i="1"/>
  <c r="AR22" i="18"/>
  <c r="AT22" i="18" s="1"/>
  <c r="AU22" i="18" s="1"/>
  <c r="AW22" i="18"/>
  <c r="AB20" i="2"/>
  <c r="AT16" i="14"/>
  <c r="AJ18" i="4"/>
  <c r="AI18" i="4"/>
  <c r="AL20" i="15"/>
  <c r="AK20" i="15"/>
  <c r="AQ20" i="15" s="1"/>
  <c r="AH21" i="15"/>
  <c r="AU23" i="21"/>
  <c r="AU29" i="21" s="1"/>
  <c r="BG15" i="21" s="1"/>
  <c r="S14" i="21" s="1"/>
  <c r="AT29" i="21"/>
  <c r="BG13" i="21" s="1"/>
  <c r="S12" i="21" s="1"/>
  <c r="AQ25" i="5"/>
  <c r="AM25" i="5" s="1"/>
  <c r="AR28" i="6"/>
  <c r="AT28" i="6" s="1"/>
  <c r="AU28" i="6" s="1"/>
  <c r="AW28" i="6"/>
  <c r="AB17" i="3"/>
  <c r="AR23" i="53"/>
  <c r="AW23" i="53"/>
  <c r="AW29" i="53" s="1"/>
  <c r="BG17" i="53" s="1"/>
  <c r="S44" i="53" s="1"/>
  <c r="AR21" i="17"/>
  <c r="AT21" i="17" s="1"/>
  <c r="AU21" i="17" s="1"/>
  <c r="AW21" i="17"/>
  <c r="AL21" i="16"/>
  <c r="AK21" i="16"/>
  <c r="AQ21" i="16" s="1"/>
  <c r="AH22" i="16"/>
  <c r="AR18" i="15"/>
  <c r="AT18" i="15" s="1"/>
  <c r="AU18" i="15" s="1"/>
  <c r="AW18" i="15"/>
  <c r="AL28" i="4"/>
  <c r="AK28" i="4"/>
  <c r="AK7" i="4"/>
  <c r="AL7" i="4"/>
  <c r="AL4" i="4"/>
  <c r="AK4" i="4"/>
  <c r="AH5" i="2"/>
  <c r="AH4" i="2"/>
  <c r="AH6" i="2"/>
  <c r="AH7" i="2"/>
  <c r="AH8" i="2"/>
  <c r="AH28" i="2"/>
  <c r="AH27" i="2"/>
  <c r="AH26" i="2"/>
  <c r="AH25" i="2"/>
  <c r="AT17" i="15"/>
  <c r="AM18" i="14"/>
  <c r="AB18" i="2"/>
  <c r="AB19" i="2"/>
  <c r="AM19" i="15"/>
  <c r="AR27" i="6"/>
  <c r="AT27" i="6" s="1"/>
  <c r="AU27" i="6" s="1"/>
  <c r="AW27" i="6"/>
  <c r="AR17" i="14"/>
  <c r="AT17" i="14" s="1"/>
  <c r="AU17" i="14" s="1"/>
  <c r="AW17" i="14"/>
  <c r="AD17" i="3"/>
  <c r="AD21" i="3"/>
  <c r="AD18" i="3"/>
  <c r="AD20" i="3"/>
  <c r="AD26" i="3"/>
  <c r="AB26" i="3" s="1"/>
  <c r="AD27" i="3"/>
  <c r="AB27" i="3" s="1"/>
  <c r="AD19" i="3"/>
  <c r="AD22" i="3"/>
  <c r="AD25" i="3"/>
  <c r="AB25" i="3" s="1"/>
  <c r="AD24" i="3"/>
  <c r="AB24" i="3" s="1"/>
  <c r="AH24" i="3" s="1"/>
  <c r="AD28" i="3"/>
  <c r="AB28" i="3" s="1"/>
  <c r="AD23" i="3"/>
  <c r="AB22" i="3"/>
  <c r="AB18" i="3"/>
  <c r="AR19" i="16"/>
  <c r="AT19" i="16" s="1"/>
  <c r="AU19" i="16" s="1"/>
  <c r="AW19" i="16"/>
  <c r="AR16" i="13"/>
  <c r="AT16" i="13" s="1"/>
  <c r="AW16" i="13"/>
  <c r="AK9" i="5"/>
  <c r="AL9" i="5"/>
  <c r="AH10" i="5"/>
  <c r="AJ21" i="4"/>
  <c r="AI21" i="4"/>
  <c r="AL23" i="17"/>
  <c r="AK23" i="17"/>
  <c r="AQ23" i="17" s="1"/>
  <c r="AL18" i="13"/>
  <c r="AK18" i="13"/>
  <c r="AQ18" i="13" s="1"/>
  <c r="AH19" i="13"/>
  <c r="AL25" i="4"/>
  <c r="AK25" i="4"/>
  <c r="AL8" i="4"/>
  <c r="AK8" i="4"/>
  <c r="AB17" i="2"/>
  <c r="AB21" i="2"/>
  <c r="AQ26" i="5"/>
  <c r="AM26" i="5" s="1"/>
  <c r="AQ27" i="5"/>
  <c r="AM27" i="5" s="1"/>
  <c r="AL24" i="5"/>
  <c r="AK24" i="5"/>
  <c r="AQ24" i="5" s="1"/>
  <c r="AR26" i="6"/>
  <c r="AT26" i="6" s="1"/>
  <c r="AU26" i="6" s="1"/>
  <c r="AW26" i="6"/>
  <c r="AJ27" i="4"/>
  <c r="AI27" i="4"/>
  <c r="AJ28" i="4"/>
  <c r="AI28" i="4"/>
  <c r="AJ24" i="4"/>
  <c r="AI24" i="4"/>
  <c r="AM17" i="13"/>
  <c r="AL13" i="7"/>
  <c r="AK13" i="7"/>
  <c r="AQ13" i="7" s="1"/>
  <c r="AH14" i="7"/>
  <c r="AL26" i="4"/>
  <c r="AK26" i="4"/>
  <c r="AL6" i="4"/>
  <c r="AK6" i="4"/>
  <c r="AD17" i="2"/>
  <c r="AD25" i="2"/>
  <c r="AB25" i="2" s="1"/>
  <c r="AD20" i="2"/>
  <c r="AD28" i="2"/>
  <c r="AB28" i="2" s="1"/>
  <c r="AD26" i="2"/>
  <c r="AB26" i="2" s="1"/>
  <c r="AD27" i="2"/>
  <c r="AB27" i="2" s="1"/>
  <c r="AD19" i="2"/>
  <c r="AD24" i="2"/>
  <c r="AB24" i="2" s="1"/>
  <c r="AD21" i="2"/>
  <c r="AD18" i="2"/>
  <c r="AD23" i="2"/>
  <c r="AD22" i="2"/>
  <c r="AB22" i="2"/>
  <c r="AB23" i="2"/>
  <c r="AT4" i="7"/>
  <c r="AQ28" i="5"/>
  <c r="AM28" i="5" s="1"/>
  <c r="AM12" i="7" l="1"/>
  <c r="AR12" i="7" s="1"/>
  <c r="AR4" i="6"/>
  <c r="AT4" i="6" s="1"/>
  <c r="AI15" i="4"/>
  <c r="AJ16" i="4"/>
  <c r="AQ28" i="4"/>
  <c r="AM28" i="4" s="1"/>
  <c r="AR28" i="4" s="1"/>
  <c r="AT28" i="4" s="1"/>
  <c r="AU28" i="4" s="1"/>
  <c r="AQ9" i="5"/>
  <c r="AM9" i="5" s="1"/>
  <c r="AR9" i="5" s="1"/>
  <c r="AT9" i="5" s="1"/>
  <c r="AU9" i="5" s="1"/>
  <c r="AW7" i="6"/>
  <c r="AI13" i="4"/>
  <c r="BG27" i="22"/>
  <c r="I54" i="22"/>
  <c r="BG70" i="61"/>
  <c r="I50" i="22"/>
  <c r="S26" i="22" s="1"/>
  <c r="BG85" i="61" s="1"/>
  <c r="AR8" i="6"/>
  <c r="AT8" i="6" s="1"/>
  <c r="AU8" i="6" s="1"/>
  <c r="AW6" i="6"/>
  <c r="AR5" i="6"/>
  <c r="AT5" i="6" s="1"/>
  <c r="AU5" i="6" s="1"/>
  <c r="AI20" i="3"/>
  <c r="AJ10" i="4"/>
  <c r="AM13" i="9"/>
  <c r="AW13" i="9" s="1"/>
  <c r="AM14" i="8"/>
  <c r="AW13" i="8"/>
  <c r="AR13" i="8"/>
  <c r="AT13" i="8" s="1"/>
  <c r="AU13" i="8" s="1"/>
  <c r="AL15" i="8"/>
  <c r="AK15" i="8"/>
  <c r="AQ15" i="8" s="1"/>
  <c r="AH16" i="8"/>
  <c r="AT29" i="22"/>
  <c r="BG13" i="22" s="1"/>
  <c r="S12" i="22" s="1"/>
  <c r="AU23" i="22"/>
  <c r="AU29" i="22" s="1"/>
  <c r="BG15" i="22" s="1"/>
  <c r="S14" i="22" s="1"/>
  <c r="BG73" i="61" s="1"/>
  <c r="AB13" i="3"/>
  <c r="AJ13" i="3" s="1"/>
  <c r="AM5" i="5"/>
  <c r="AW5" i="5" s="1"/>
  <c r="AB9" i="3"/>
  <c r="AH9" i="3" s="1"/>
  <c r="AB16" i="2"/>
  <c r="AJ16" i="2" s="1"/>
  <c r="AB12" i="3"/>
  <c r="AJ12" i="3" s="1"/>
  <c r="AR29" i="20"/>
  <c r="BG12" i="20" s="1"/>
  <c r="S11" i="20" s="1"/>
  <c r="AU22" i="20"/>
  <c r="AU29" i="20" s="1"/>
  <c r="BG15" i="20" s="1"/>
  <c r="S14" i="20" s="1"/>
  <c r="BI73" i="61" s="1"/>
  <c r="AT29" i="20"/>
  <c r="BG13" i="20" s="1"/>
  <c r="S12" i="20" s="1"/>
  <c r="AR12" i="9"/>
  <c r="AT12" i="9" s="1"/>
  <c r="AU12" i="9" s="1"/>
  <c r="AW12" i="9"/>
  <c r="AH15" i="9"/>
  <c r="AK14" i="9"/>
  <c r="AQ14" i="9" s="1"/>
  <c r="AL14" i="9"/>
  <c r="AD16" i="2"/>
  <c r="AD16" i="3"/>
  <c r="AB16" i="3"/>
  <c r="AM8" i="5"/>
  <c r="AR8" i="5" s="1"/>
  <c r="AT8" i="5" s="1"/>
  <c r="AU8" i="5" s="1"/>
  <c r="AB15" i="3"/>
  <c r="AI15" i="3" s="1"/>
  <c r="AB11" i="3"/>
  <c r="AI11" i="3" s="1"/>
  <c r="AM16" i="12"/>
  <c r="AR15" i="11"/>
  <c r="AT15" i="11" s="1"/>
  <c r="AU15" i="11" s="1"/>
  <c r="AW15" i="11"/>
  <c r="AM4" i="5"/>
  <c r="AW4" i="5" s="1"/>
  <c r="AB11" i="2"/>
  <c r="AI11" i="2" s="1"/>
  <c r="AL17" i="11"/>
  <c r="AK17" i="11"/>
  <c r="AQ17" i="11" s="1"/>
  <c r="AH18" i="11"/>
  <c r="AW15" i="12"/>
  <c r="AR15" i="12"/>
  <c r="AT15" i="12" s="1"/>
  <c r="AU15" i="12" s="1"/>
  <c r="AK17" i="12"/>
  <c r="AQ17" i="12" s="1"/>
  <c r="AH18" i="12"/>
  <c r="AL17" i="12"/>
  <c r="AM16" i="11"/>
  <c r="AB9" i="2"/>
  <c r="AJ9" i="2" s="1"/>
  <c r="AM6" i="5"/>
  <c r="AW6" i="5" s="1"/>
  <c r="AB10" i="2"/>
  <c r="AJ10" i="2" s="1"/>
  <c r="AB13" i="2"/>
  <c r="AJ13" i="2" s="1"/>
  <c r="AB14" i="2"/>
  <c r="AI14" i="2" s="1"/>
  <c r="AM13" i="10"/>
  <c r="AM7" i="5"/>
  <c r="AR7" i="5" s="1"/>
  <c r="AT7" i="5" s="1"/>
  <c r="AU7" i="5" s="1"/>
  <c r="AK14" i="10"/>
  <c r="AQ14" i="10" s="1"/>
  <c r="AH15" i="10"/>
  <c r="AL14" i="10"/>
  <c r="AT23" i="19"/>
  <c r="AR29" i="19"/>
  <c r="BG12" i="19" s="1"/>
  <c r="S11" i="19" s="1"/>
  <c r="AW12" i="10"/>
  <c r="AR12" i="10"/>
  <c r="AT12" i="10" s="1"/>
  <c r="AU12" i="10" s="1"/>
  <c r="AJ7" i="4"/>
  <c r="AI7" i="4"/>
  <c r="AQ7" i="4" s="1"/>
  <c r="AI5" i="4"/>
  <c r="AQ5" i="4" s="1"/>
  <c r="AJ5" i="4"/>
  <c r="AI16" i="2"/>
  <c r="AB15" i="2"/>
  <c r="AD7" i="2"/>
  <c r="AB7" i="2" s="1"/>
  <c r="AD11" i="2"/>
  <c r="AD14" i="2"/>
  <c r="AD12" i="2"/>
  <c r="AD5" i="2"/>
  <c r="AB5" i="2" s="1"/>
  <c r="AD10" i="2"/>
  <c r="AD13" i="2"/>
  <c r="AD8" i="2"/>
  <c r="AB8" i="2" s="1"/>
  <c r="AD15" i="2"/>
  <c r="AD6" i="2"/>
  <c r="AB6" i="2" s="1"/>
  <c r="AD9" i="2"/>
  <c r="AD4" i="2"/>
  <c r="AB4" i="2" s="1"/>
  <c r="AJ10" i="3"/>
  <c r="AI10" i="3"/>
  <c r="AI6" i="4"/>
  <c r="AQ6" i="4" s="1"/>
  <c r="AJ6" i="4"/>
  <c r="AJ4" i="4"/>
  <c r="AI4" i="4"/>
  <c r="AQ4" i="4" s="1"/>
  <c r="AG16" i="1"/>
  <c r="X1" i="1"/>
  <c r="AJ12" i="2"/>
  <c r="AI12" i="2"/>
  <c r="AB14" i="3"/>
  <c r="AD14" i="3"/>
  <c r="AD8" i="3"/>
  <c r="AB8" i="3" s="1"/>
  <c r="AD11" i="3"/>
  <c r="AD15" i="3"/>
  <c r="AD5" i="3"/>
  <c r="AB5" i="3" s="1"/>
  <c r="AD13" i="3"/>
  <c r="AD10" i="3"/>
  <c r="AD4" i="3"/>
  <c r="AB4" i="3" s="1"/>
  <c r="AD7" i="3"/>
  <c r="AB7" i="3" s="1"/>
  <c r="AD6" i="3"/>
  <c r="AB6" i="3" s="1"/>
  <c r="AD9" i="3"/>
  <c r="AD12" i="3"/>
  <c r="AJ11" i="4"/>
  <c r="AI11" i="4"/>
  <c r="AJ8" i="4"/>
  <c r="AI8" i="4"/>
  <c r="AQ8" i="4" s="1"/>
  <c r="AI9" i="4"/>
  <c r="AJ9" i="4"/>
  <c r="AJ14" i="4"/>
  <c r="AI14" i="4"/>
  <c r="AH9" i="4"/>
  <c r="S16" i="23"/>
  <c r="BF75" i="61" s="1"/>
  <c r="B66" i="58" a="1"/>
  <c r="K70" i="58" s="1"/>
  <c r="AW22" i="17"/>
  <c r="AQ24" i="4"/>
  <c r="AM24" i="4" s="1"/>
  <c r="AR24" i="4" s="1"/>
  <c r="AT24" i="4" s="1"/>
  <c r="AU24" i="4" s="1"/>
  <c r="AW24" i="6"/>
  <c r="AW23" i="18"/>
  <c r="AW29" i="18" s="1"/>
  <c r="BG16" i="18" s="1"/>
  <c r="S15" i="18" s="1"/>
  <c r="BK74" i="61" s="1"/>
  <c r="AQ27" i="4"/>
  <c r="AM27" i="4" s="1"/>
  <c r="AR27" i="4" s="1"/>
  <c r="AT27" i="4" s="1"/>
  <c r="AU27" i="4" s="1"/>
  <c r="AW20" i="16"/>
  <c r="S13" i="24"/>
  <c r="BE72" i="61" s="1"/>
  <c r="AJ23" i="3"/>
  <c r="S26" i="21"/>
  <c r="BH85" i="61" s="1"/>
  <c r="BH73" i="61"/>
  <c r="BH71" i="61"/>
  <c r="BG14" i="21"/>
  <c r="I37" i="21"/>
  <c r="AM24" i="5"/>
  <c r="AR24" i="5" s="1"/>
  <c r="AT24" i="5" s="1"/>
  <c r="AU24" i="5" s="1"/>
  <c r="AM21" i="16"/>
  <c r="AR21" i="16" s="1"/>
  <c r="AT21" i="16" s="1"/>
  <c r="AU21" i="16" s="1"/>
  <c r="AM13" i="7"/>
  <c r="AR13" i="7" s="1"/>
  <c r="AT13" i="7" s="1"/>
  <c r="AU13" i="7" s="1"/>
  <c r="AM18" i="13"/>
  <c r="AR18" i="13" s="1"/>
  <c r="AT18" i="13" s="1"/>
  <c r="AU18" i="13" s="1"/>
  <c r="AM20" i="15"/>
  <c r="AR20" i="15" s="1"/>
  <c r="AT20" i="15" s="1"/>
  <c r="AU20" i="15" s="1"/>
  <c r="AJ24" i="2"/>
  <c r="AI24" i="2"/>
  <c r="AH24" i="2"/>
  <c r="AI25" i="3"/>
  <c r="AJ25" i="3"/>
  <c r="AJ26" i="3"/>
  <c r="AI26" i="3"/>
  <c r="AJ27" i="2"/>
  <c r="AI27" i="2"/>
  <c r="AJ25" i="2"/>
  <c r="AI25" i="2"/>
  <c r="AJ26" i="2"/>
  <c r="AI26" i="2"/>
  <c r="AK24" i="3"/>
  <c r="AL24" i="3"/>
  <c r="AR28" i="5"/>
  <c r="AT28" i="5" s="1"/>
  <c r="AU28" i="5" s="1"/>
  <c r="AW28" i="5"/>
  <c r="AU4" i="7"/>
  <c r="AR26" i="5"/>
  <c r="AT26" i="5" s="1"/>
  <c r="AU26" i="5" s="1"/>
  <c r="AW26" i="5"/>
  <c r="AJ17" i="2"/>
  <c r="AI17" i="2"/>
  <c r="AL19" i="13"/>
  <c r="AK19" i="13"/>
  <c r="AQ19" i="13" s="1"/>
  <c r="AH20" i="13"/>
  <c r="AR19" i="15"/>
  <c r="AT19" i="15" s="1"/>
  <c r="AU19" i="15" s="1"/>
  <c r="AW19" i="15"/>
  <c r="AL27" i="2"/>
  <c r="AK27" i="2"/>
  <c r="AL4" i="2"/>
  <c r="AK4" i="2"/>
  <c r="AT23" i="53"/>
  <c r="AR29" i="53"/>
  <c r="BG13" i="53" s="1"/>
  <c r="S40" i="53" s="1"/>
  <c r="AL21" i="15"/>
  <c r="AK21" i="15"/>
  <c r="AQ21" i="15" s="1"/>
  <c r="AH22" i="15"/>
  <c r="AJ20" i="2"/>
  <c r="AI20" i="2"/>
  <c r="AE1" i="1"/>
  <c r="AL27" i="3"/>
  <c r="AK27" i="3"/>
  <c r="AL7" i="3"/>
  <c r="AK7" i="3"/>
  <c r="AI19" i="3"/>
  <c r="AJ19" i="3"/>
  <c r="AM10" i="6"/>
  <c r="AJ28" i="2"/>
  <c r="AI28" i="2"/>
  <c r="AR17" i="13"/>
  <c r="AT17" i="13" s="1"/>
  <c r="AU17" i="13" s="1"/>
  <c r="AW17" i="13"/>
  <c r="AJ18" i="3"/>
  <c r="AI18" i="3"/>
  <c r="AR18" i="14"/>
  <c r="AT18" i="14" s="1"/>
  <c r="AU18" i="14" s="1"/>
  <c r="AW18" i="14"/>
  <c r="AU17" i="15"/>
  <c r="AL28" i="2"/>
  <c r="AK28" i="2"/>
  <c r="AL8" i="2"/>
  <c r="AK8" i="2"/>
  <c r="AL5" i="2"/>
  <c r="AK5" i="2"/>
  <c r="AR25" i="5"/>
  <c r="AT25" i="5" s="1"/>
  <c r="AU25" i="5" s="1"/>
  <c r="AW25" i="5"/>
  <c r="AL20" i="14"/>
  <c r="AK20" i="14"/>
  <c r="AQ20" i="14" s="1"/>
  <c r="AH21" i="14"/>
  <c r="AK28" i="3"/>
  <c r="AL28" i="3"/>
  <c r="AK8" i="3"/>
  <c r="AL8" i="3"/>
  <c r="AL4" i="3"/>
  <c r="AK4" i="3"/>
  <c r="AI21" i="3"/>
  <c r="AJ21" i="3"/>
  <c r="AQ26" i="4"/>
  <c r="AM26" i="4" s="1"/>
  <c r="AJ23" i="2"/>
  <c r="AI23" i="2"/>
  <c r="AL14" i="7"/>
  <c r="AK14" i="7"/>
  <c r="AQ14" i="7" s="1"/>
  <c r="AH15" i="7"/>
  <c r="AU16" i="13"/>
  <c r="AJ22" i="3"/>
  <c r="AI22" i="3"/>
  <c r="AJ24" i="3"/>
  <c r="AI24" i="3"/>
  <c r="AI27" i="3"/>
  <c r="AJ27" i="3"/>
  <c r="AJ19" i="2"/>
  <c r="AI19" i="2"/>
  <c r="AL25" i="2"/>
  <c r="AK25" i="2"/>
  <c r="AL7" i="2"/>
  <c r="AK7" i="2"/>
  <c r="AK22" i="16"/>
  <c r="AQ22" i="16" s="1"/>
  <c r="AL22" i="16"/>
  <c r="AH23" i="16"/>
  <c r="AI17" i="3"/>
  <c r="AJ17" i="3"/>
  <c r="AU16" i="14"/>
  <c r="AL25" i="3"/>
  <c r="AK25" i="3"/>
  <c r="AL6" i="3"/>
  <c r="AK6" i="3"/>
  <c r="AT23" i="18"/>
  <c r="AR29" i="18"/>
  <c r="BG12" i="18" s="1"/>
  <c r="S11" i="18" s="1"/>
  <c r="AJ22" i="2"/>
  <c r="AI22" i="2"/>
  <c r="AR27" i="5"/>
  <c r="AT27" i="5" s="1"/>
  <c r="AU27" i="5" s="1"/>
  <c r="AW27" i="5"/>
  <c r="AJ21" i="2"/>
  <c r="AI21" i="2"/>
  <c r="AM23" i="17"/>
  <c r="AG32" i="17"/>
  <c r="AK10" i="5"/>
  <c r="AQ10" i="5" s="1"/>
  <c r="AL10" i="5"/>
  <c r="AH11" i="5"/>
  <c r="AJ28" i="3"/>
  <c r="AI28" i="3"/>
  <c r="AJ18" i="2"/>
  <c r="AI18" i="2"/>
  <c r="AL26" i="2"/>
  <c r="AK26" i="2"/>
  <c r="AK6" i="2"/>
  <c r="AL6" i="2"/>
  <c r="AR9" i="6"/>
  <c r="AT9" i="6" s="1"/>
  <c r="AU9" i="6" s="1"/>
  <c r="AW9" i="6"/>
  <c r="AH1" i="1"/>
  <c r="AW1" i="1"/>
  <c r="AM19" i="14"/>
  <c r="AQ25" i="4"/>
  <c r="AM25" i="4" s="1"/>
  <c r="AK26" i="3"/>
  <c r="AL26" i="3"/>
  <c r="AL5" i="3"/>
  <c r="AK5" i="3"/>
  <c r="AL11" i="6"/>
  <c r="AK11" i="6"/>
  <c r="AQ11" i="6" s="1"/>
  <c r="AH12" i="6"/>
  <c r="AW12" i="7" l="1"/>
  <c r="AW7" i="5"/>
  <c r="AI10" i="2"/>
  <c r="AJ11" i="2"/>
  <c r="AJ9" i="3"/>
  <c r="AR4" i="5"/>
  <c r="AI9" i="3"/>
  <c r="AI13" i="2"/>
  <c r="AI12" i="3"/>
  <c r="AI13" i="3"/>
  <c r="AR5" i="5"/>
  <c r="AT5" i="5" s="1"/>
  <c r="AU5" i="5" s="1"/>
  <c r="AR6" i="5"/>
  <c r="AT6" i="5" s="1"/>
  <c r="AU6" i="5" s="1"/>
  <c r="I54" i="20"/>
  <c r="BI70" i="61"/>
  <c r="BG27" i="20"/>
  <c r="I50" i="20"/>
  <c r="S26" i="20" s="1"/>
  <c r="BI85" i="61" s="1"/>
  <c r="I37" i="20"/>
  <c r="S13" i="20" s="1"/>
  <c r="BG17" i="20" s="1"/>
  <c r="BG14" i="20"/>
  <c r="BI71" i="61"/>
  <c r="BG14" i="22"/>
  <c r="I37" i="22"/>
  <c r="S13" i="22" s="1"/>
  <c r="BG72" i="61" s="1"/>
  <c r="BG71" i="61"/>
  <c r="AJ15" i="3"/>
  <c r="AR13" i="9"/>
  <c r="AT13" i="9" s="1"/>
  <c r="AU13" i="9" s="1"/>
  <c r="AJ14" i="2"/>
  <c r="AM15" i="8"/>
  <c r="AR14" i="8"/>
  <c r="AT14" i="8" s="1"/>
  <c r="AU14" i="8" s="1"/>
  <c r="AW14" i="8"/>
  <c r="AL16" i="8"/>
  <c r="AK16" i="8"/>
  <c r="AQ16" i="8" s="1"/>
  <c r="AH17" i="8"/>
  <c r="AJ11" i="3"/>
  <c r="AM14" i="9"/>
  <c r="AM17" i="12"/>
  <c r="AW8" i="5"/>
  <c r="AM7" i="4"/>
  <c r="AR7" i="4" s="1"/>
  <c r="AT7" i="4" s="1"/>
  <c r="AU7" i="4" s="1"/>
  <c r="AH16" i="9"/>
  <c r="AL15" i="9"/>
  <c r="AK15" i="9"/>
  <c r="AQ15" i="9" s="1"/>
  <c r="AI9" i="2"/>
  <c r="AM5" i="4"/>
  <c r="AR5" i="4" s="1"/>
  <c r="AT5" i="4" s="1"/>
  <c r="AU5" i="4" s="1"/>
  <c r="BJ70" i="61"/>
  <c r="I54" i="19"/>
  <c r="I50" i="19"/>
  <c r="S26" i="19" s="1"/>
  <c r="BJ85" i="61" s="1"/>
  <c r="BG27" i="19"/>
  <c r="AI16" i="3"/>
  <c r="AJ16" i="3"/>
  <c r="AF16" i="1"/>
  <c r="AF17" i="1" s="1"/>
  <c r="AF18" i="1" s="1"/>
  <c r="AF19" i="1" s="1"/>
  <c r="AF20" i="1" s="1"/>
  <c r="AF21" i="1" s="1"/>
  <c r="AF22" i="1" s="1"/>
  <c r="AF23" i="1" s="1"/>
  <c r="AF24" i="1" s="1"/>
  <c r="AF25" i="1" s="1"/>
  <c r="AF26" i="1" s="1"/>
  <c r="AF27" i="1" s="1"/>
  <c r="AF28" i="1" s="1"/>
  <c r="AI1" i="1"/>
  <c r="AM8" i="4"/>
  <c r="AW8" i="4" s="1"/>
  <c r="AM17" i="11"/>
  <c r="AR16" i="12"/>
  <c r="AT16" i="12" s="1"/>
  <c r="AU16" i="12" s="1"/>
  <c r="AW16" i="12"/>
  <c r="AH9" i="2"/>
  <c r="AM6" i="4"/>
  <c r="AW6" i="4" s="1"/>
  <c r="AR16" i="11"/>
  <c r="AT16" i="11" s="1"/>
  <c r="AW16" i="11"/>
  <c r="AK18" i="12"/>
  <c r="AQ18" i="12" s="1"/>
  <c r="AL18" i="12"/>
  <c r="AH19" i="12"/>
  <c r="AL18" i="11"/>
  <c r="AK18" i="11"/>
  <c r="AQ18" i="11" s="1"/>
  <c r="AH19" i="11"/>
  <c r="AM4" i="4"/>
  <c r="AR4" i="4" s="1"/>
  <c r="AM14" i="10"/>
  <c r="AU23" i="19"/>
  <c r="AU29" i="19" s="1"/>
  <c r="BG15" i="19" s="1"/>
  <c r="S14" i="19" s="1"/>
  <c r="BJ73" i="61" s="1"/>
  <c r="AT29" i="19"/>
  <c r="BG13" i="19" s="1"/>
  <c r="S12" i="19" s="1"/>
  <c r="AR13" i="10"/>
  <c r="AT13" i="10" s="1"/>
  <c r="AU13" i="10" s="1"/>
  <c r="AW13" i="10"/>
  <c r="AL15" i="10"/>
  <c r="AH16" i="10"/>
  <c r="AK15" i="10"/>
  <c r="AQ15" i="10" s="1"/>
  <c r="AI6" i="3"/>
  <c r="AQ6" i="3" s="1"/>
  <c r="AJ6" i="3"/>
  <c r="AJ8" i="3"/>
  <c r="AI8" i="3"/>
  <c r="AQ8" i="3" s="1"/>
  <c r="AJ6" i="2"/>
  <c r="AI6" i="2"/>
  <c r="AQ6" i="2" s="1"/>
  <c r="AJ7" i="3"/>
  <c r="AI7" i="3"/>
  <c r="AQ7" i="3" s="1"/>
  <c r="AJ5" i="3"/>
  <c r="AI5" i="3"/>
  <c r="AQ5" i="3" s="1"/>
  <c r="AJ5" i="2"/>
  <c r="AI5" i="2"/>
  <c r="AQ5" i="2" s="1"/>
  <c r="AI7" i="2"/>
  <c r="AQ7" i="2" s="1"/>
  <c r="AJ7" i="2"/>
  <c r="AB21" i="1"/>
  <c r="AI21" i="1" s="1"/>
  <c r="AJ4" i="3"/>
  <c r="AI4" i="3"/>
  <c r="AQ4" i="3" s="1"/>
  <c r="AI14" i="3"/>
  <c r="AJ14" i="3"/>
  <c r="Y1" i="1"/>
  <c r="AB9" i="1" s="1"/>
  <c r="AI4" i="2"/>
  <c r="AQ4" i="2" s="1"/>
  <c r="AJ4" i="2"/>
  <c r="AJ8" i="2"/>
  <c r="AI8" i="2"/>
  <c r="AQ8" i="2" s="1"/>
  <c r="AJ15" i="2"/>
  <c r="AI15" i="2"/>
  <c r="AL9" i="4"/>
  <c r="AK9" i="4"/>
  <c r="AQ9" i="4" s="1"/>
  <c r="AH10" i="4"/>
  <c r="S13" i="21"/>
  <c r="BH72" i="61" s="1"/>
  <c r="F68" i="58"/>
  <c r="B69" i="58"/>
  <c r="C68" i="58"/>
  <c r="G68" i="58"/>
  <c r="L67" i="58"/>
  <c r="I67" i="58"/>
  <c r="D66" i="58"/>
  <c r="B66" i="58"/>
  <c r="E69" i="58"/>
  <c r="E68" i="58"/>
  <c r="I66" i="58"/>
  <c r="F66" i="58"/>
  <c r="H66" i="58"/>
  <c r="I68" i="58"/>
  <c r="E66" i="58"/>
  <c r="D70" i="58"/>
  <c r="L69" i="58"/>
  <c r="G66" i="58"/>
  <c r="G69" i="58"/>
  <c r="M70" i="58"/>
  <c r="C67" i="58"/>
  <c r="G67" i="58"/>
  <c r="I69" i="58"/>
  <c r="L70" i="58"/>
  <c r="J66" i="58"/>
  <c r="K67" i="58"/>
  <c r="H67" i="58"/>
  <c r="D67" i="58"/>
  <c r="F67" i="58"/>
  <c r="B67" i="58"/>
  <c r="F69" i="58"/>
  <c r="E67" i="58"/>
  <c r="M67" i="58"/>
  <c r="C69" i="58"/>
  <c r="L68" i="58"/>
  <c r="H68" i="58"/>
  <c r="G70" i="58"/>
  <c r="H69" i="58"/>
  <c r="J70" i="58"/>
  <c r="B68" i="58"/>
  <c r="C70" i="58"/>
  <c r="C66" i="58"/>
  <c r="J67" i="58"/>
  <c r="J68" i="58"/>
  <c r="E70" i="58"/>
  <c r="D68" i="58"/>
  <c r="K69" i="58"/>
  <c r="K68" i="58"/>
  <c r="I70" i="58"/>
  <c r="M69" i="58"/>
  <c r="B70" i="58"/>
  <c r="L66" i="58"/>
  <c r="M68" i="58"/>
  <c r="J69" i="58"/>
  <c r="F70" i="58"/>
  <c r="D69" i="58"/>
  <c r="M66" i="58"/>
  <c r="K66" i="58"/>
  <c r="H70" i="58"/>
  <c r="AQ27" i="3"/>
  <c r="AM27" i="3" s="1"/>
  <c r="AW24" i="4"/>
  <c r="AW9" i="5"/>
  <c r="AQ24" i="3"/>
  <c r="AM24" i="3" s="1"/>
  <c r="BG17" i="24"/>
  <c r="AW28" i="4"/>
  <c r="AQ28" i="3"/>
  <c r="AM28" i="3" s="1"/>
  <c r="AW28" i="3" s="1"/>
  <c r="BG17" i="22"/>
  <c r="I40" i="24"/>
  <c r="S16" i="24" s="1"/>
  <c r="BE75" i="61" s="1"/>
  <c r="AW13" i="7"/>
  <c r="AW20" i="15"/>
  <c r="BI72" i="61"/>
  <c r="I40" i="20"/>
  <c r="S16" i="20" s="1"/>
  <c r="BI75" i="61" s="1"/>
  <c r="I40" i="22"/>
  <c r="AW21" i="16"/>
  <c r="AW18" i="13"/>
  <c r="AW24" i="5"/>
  <c r="AW27" i="4"/>
  <c r="AM14" i="7"/>
  <c r="AR14" i="7" s="1"/>
  <c r="AT14" i="7" s="1"/>
  <c r="AU14" i="7" s="1"/>
  <c r="AM20" i="14"/>
  <c r="AW20" i="14" s="1"/>
  <c r="AB22" i="1"/>
  <c r="AI22" i="1" s="1"/>
  <c r="I50" i="18"/>
  <c r="BK70" i="61"/>
  <c r="BG27" i="18"/>
  <c r="I54" i="18"/>
  <c r="S32" i="53"/>
  <c r="S28" i="53"/>
  <c r="BG28" i="53"/>
  <c r="AM19" i="13"/>
  <c r="AR19" i="13" s="1"/>
  <c r="AT19" i="13" s="1"/>
  <c r="AM10" i="5"/>
  <c r="AW10" i="5" s="1"/>
  <c r="AB19" i="1"/>
  <c r="AJ19" i="1" s="1"/>
  <c r="AR19" i="14"/>
  <c r="AT19" i="14" s="1"/>
  <c r="AW19" i="14"/>
  <c r="AM22" i="16"/>
  <c r="AU4" i="6"/>
  <c r="AK21" i="14"/>
  <c r="AQ21" i="14" s="1"/>
  <c r="AL21" i="14"/>
  <c r="AH22" i="14"/>
  <c r="AU16" i="11"/>
  <c r="AR10" i="6"/>
  <c r="AT10" i="6" s="1"/>
  <c r="AU10" i="6" s="1"/>
  <c r="AW10" i="6"/>
  <c r="AT12" i="7"/>
  <c r="AB23" i="1"/>
  <c r="AB18" i="1"/>
  <c r="AQ25" i="3"/>
  <c r="AM25" i="3" s="1"/>
  <c r="AR26" i="4"/>
  <c r="AT26" i="4" s="1"/>
  <c r="AU26" i="4" s="1"/>
  <c r="AW26" i="4"/>
  <c r="AQ28" i="2"/>
  <c r="AM28" i="2" s="1"/>
  <c r="AD17" i="1"/>
  <c r="AD19" i="1"/>
  <c r="AD22" i="1"/>
  <c r="AD28" i="1"/>
  <c r="AB28" i="1" s="1"/>
  <c r="AD27" i="1"/>
  <c r="AB27" i="1" s="1"/>
  <c r="AD24" i="1"/>
  <c r="AB24" i="1" s="1"/>
  <c r="AD18" i="1"/>
  <c r="AD21" i="1"/>
  <c r="AD26" i="1"/>
  <c r="AB26" i="1" s="1"/>
  <c r="AD23" i="1"/>
  <c r="AD20" i="1"/>
  <c r="AD25" i="1"/>
  <c r="AB25" i="1" s="1"/>
  <c r="AB20" i="1"/>
  <c r="AL22" i="15"/>
  <c r="AK22" i="15"/>
  <c r="AQ22" i="15" s="1"/>
  <c r="AH23" i="15"/>
  <c r="AT4" i="5"/>
  <c r="AQ26" i="2"/>
  <c r="AM26" i="2" s="1"/>
  <c r="AQ26" i="3"/>
  <c r="AM26" i="3" s="1"/>
  <c r="AL24" i="2"/>
  <c r="AK24" i="2"/>
  <c r="AQ24" i="2" s="1"/>
  <c r="AL12" i="6"/>
  <c r="AK12" i="6"/>
  <c r="AQ12" i="6" s="1"/>
  <c r="AH13" i="6"/>
  <c r="AL11" i="5"/>
  <c r="AK11" i="5"/>
  <c r="AQ11" i="5" s="1"/>
  <c r="AH12" i="5"/>
  <c r="AR23" i="17"/>
  <c r="AW23" i="17"/>
  <c r="AW29" i="17" s="1"/>
  <c r="BG16" i="17" s="1"/>
  <c r="S15" i="17" s="1"/>
  <c r="BL74" i="61" s="1"/>
  <c r="AU23" i="18"/>
  <c r="AU29" i="18" s="1"/>
  <c r="BG15" i="18" s="1"/>
  <c r="S14" i="18" s="1"/>
  <c r="AT29" i="18"/>
  <c r="BG13" i="18" s="1"/>
  <c r="S12" i="18" s="1"/>
  <c r="AL9" i="3"/>
  <c r="AK9" i="3"/>
  <c r="AH10" i="3"/>
  <c r="AL23" i="16"/>
  <c r="AK23" i="16"/>
  <c r="AQ23" i="16" s="1"/>
  <c r="AL15" i="7"/>
  <c r="AK15" i="7"/>
  <c r="AQ15" i="7" s="1"/>
  <c r="AH16" i="7"/>
  <c r="AM21" i="15"/>
  <c r="AR8" i="4"/>
  <c r="AT8" i="4" s="1"/>
  <c r="AU8" i="4" s="1"/>
  <c r="AQ27" i="2"/>
  <c r="AM27" i="2" s="1"/>
  <c r="AM11" i="6"/>
  <c r="AR25" i="4"/>
  <c r="AT25" i="4" s="1"/>
  <c r="AU25" i="4" s="1"/>
  <c r="AW25" i="4"/>
  <c r="AH5" i="1"/>
  <c r="AH4" i="1"/>
  <c r="AH6" i="1"/>
  <c r="AH8" i="1"/>
  <c r="AH7" i="1"/>
  <c r="AH28" i="1"/>
  <c r="AH27" i="1"/>
  <c r="AH26" i="1"/>
  <c r="AH25" i="1"/>
  <c r="AB17" i="1"/>
  <c r="AU23" i="53"/>
  <c r="AU29" i="53" s="1"/>
  <c r="BG16" i="53" s="1"/>
  <c r="S43" i="53" s="1"/>
  <c r="AT29" i="53"/>
  <c r="BG14" i="53" s="1"/>
  <c r="S41" i="53" s="1"/>
  <c r="AL20" i="13"/>
  <c r="AK20" i="13"/>
  <c r="AQ20" i="13" s="1"/>
  <c r="AH21" i="13"/>
  <c r="AQ25" i="2"/>
  <c r="AM25" i="2" s="1"/>
  <c r="AH24" i="1" l="1"/>
  <c r="AL24" i="1" s="1"/>
  <c r="AQ9" i="3"/>
  <c r="AM9" i="3" s="1"/>
  <c r="AW4" i="4"/>
  <c r="AR6" i="4"/>
  <c r="AT6" i="4" s="1"/>
  <c r="AU6" i="4" s="1"/>
  <c r="AW7" i="4"/>
  <c r="AW5" i="4"/>
  <c r="I40" i="21"/>
  <c r="AR15" i="8"/>
  <c r="AT15" i="8" s="1"/>
  <c r="AU15" i="8" s="1"/>
  <c r="AW15" i="8"/>
  <c r="AK17" i="8"/>
  <c r="AQ17" i="8" s="1"/>
  <c r="AH18" i="8"/>
  <c r="AL17" i="8"/>
  <c r="AM16" i="8"/>
  <c r="AG31" i="8"/>
  <c r="AM15" i="9"/>
  <c r="AR15" i="9" s="1"/>
  <c r="AT15" i="9" s="1"/>
  <c r="AU15" i="9" s="1"/>
  <c r="AJ21" i="1"/>
  <c r="AD16" i="1"/>
  <c r="AM5" i="2"/>
  <c r="AR5" i="2" s="1"/>
  <c r="AT5" i="2" s="1"/>
  <c r="AU5" i="2" s="1"/>
  <c r="AB12" i="1"/>
  <c r="AJ12" i="1" s="1"/>
  <c r="AR14" i="9"/>
  <c r="AT14" i="9" s="1"/>
  <c r="AU14" i="9" s="1"/>
  <c r="AW14" i="9"/>
  <c r="AH17" i="9"/>
  <c r="AL16" i="9"/>
  <c r="AK16" i="9"/>
  <c r="AQ16" i="9" s="1"/>
  <c r="AW17" i="12"/>
  <c r="AR17" i="12"/>
  <c r="AT17" i="12" s="1"/>
  <c r="AU17" i="12" s="1"/>
  <c r="AB16" i="1"/>
  <c r="AM15" i="10"/>
  <c r="BG14" i="19"/>
  <c r="I37" i="19"/>
  <c r="S13" i="19" s="1"/>
  <c r="BJ72" i="61" s="1"/>
  <c r="BJ71" i="61"/>
  <c r="AM4" i="2"/>
  <c r="AR4" i="2" s="1"/>
  <c r="AM7" i="2"/>
  <c r="AW7" i="2" s="1"/>
  <c r="AM6" i="3"/>
  <c r="AW6" i="3" s="1"/>
  <c r="AR17" i="11"/>
  <c r="AT17" i="11" s="1"/>
  <c r="AU17" i="11" s="1"/>
  <c r="AW17" i="11"/>
  <c r="AM8" i="2"/>
  <c r="AR8" i="2" s="1"/>
  <c r="AT8" i="2" s="1"/>
  <c r="AU8" i="2" s="1"/>
  <c r="AB13" i="1"/>
  <c r="AI13" i="1" s="1"/>
  <c r="AB14" i="1"/>
  <c r="AI14" i="1" s="1"/>
  <c r="AL19" i="12"/>
  <c r="AK19" i="12"/>
  <c r="AQ19" i="12" s="1"/>
  <c r="AH20" i="12"/>
  <c r="AL19" i="11"/>
  <c r="AK19" i="11"/>
  <c r="AQ19" i="11" s="1"/>
  <c r="AH20" i="11"/>
  <c r="AB11" i="1"/>
  <c r="AI11" i="1" s="1"/>
  <c r="AM7" i="3"/>
  <c r="AW7" i="3" s="1"/>
  <c r="AM8" i="3"/>
  <c r="AW8" i="3" s="1"/>
  <c r="AM18" i="11"/>
  <c r="AM18" i="12"/>
  <c r="AB10" i="1"/>
  <c r="AI10" i="1" s="1"/>
  <c r="AH10" i="2"/>
  <c r="AL9" i="2"/>
  <c r="AK9" i="2"/>
  <c r="AQ9" i="2" s="1"/>
  <c r="AM4" i="3"/>
  <c r="AR4" i="3" s="1"/>
  <c r="AM5" i="3"/>
  <c r="AW5" i="3" s="1"/>
  <c r="AM6" i="2"/>
  <c r="AR6" i="2" s="1"/>
  <c r="AT6" i="2" s="1"/>
  <c r="AU6" i="2" s="1"/>
  <c r="AW14" i="10"/>
  <c r="AR14" i="10"/>
  <c r="AT14" i="10" s="1"/>
  <c r="AU14" i="10" s="1"/>
  <c r="AH9" i="1"/>
  <c r="AK9" i="1" s="1"/>
  <c r="AM9" i="4"/>
  <c r="AL16" i="10"/>
  <c r="AK16" i="10"/>
  <c r="AQ16" i="10" s="1"/>
  <c r="AH17" i="10"/>
  <c r="AK10" i="4"/>
  <c r="AQ10" i="4" s="1"/>
  <c r="AH11" i="4"/>
  <c r="AL10" i="4"/>
  <c r="AI9" i="1"/>
  <c r="AJ9" i="1"/>
  <c r="AB15" i="1"/>
  <c r="AD9" i="1"/>
  <c r="AD15" i="1"/>
  <c r="AD5" i="1"/>
  <c r="AB5" i="1" s="1"/>
  <c r="AD8" i="1"/>
  <c r="AB8" i="1" s="1"/>
  <c r="AD14" i="1"/>
  <c r="AD4" i="1"/>
  <c r="AB4" i="1" s="1"/>
  <c r="AD12" i="1"/>
  <c r="AD11" i="1"/>
  <c r="AD7" i="1"/>
  <c r="AB7" i="1" s="1"/>
  <c r="AD6" i="1"/>
  <c r="AB6" i="1" s="1"/>
  <c r="AD10" i="1"/>
  <c r="AD13" i="1"/>
  <c r="BG17" i="21"/>
  <c r="S16" i="22"/>
  <c r="BG75" i="61" s="1"/>
  <c r="AR20" i="14"/>
  <c r="AT20" i="14" s="1"/>
  <c r="AU20" i="14" s="1"/>
  <c r="AI19" i="1"/>
  <c r="AJ22" i="1"/>
  <c r="S55" i="53"/>
  <c r="S26" i="18"/>
  <c r="BK85" i="61" s="1"/>
  <c r="AR28" i="3"/>
  <c r="AT28" i="3" s="1"/>
  <c r="AU28" i="3" s="1"/>
  <c r="AW14" i="7"/>
  <c r="AW19" i="13"/>
  <c r="AM24" i="2"/>
  <c r="AR24" i="2" s="1"/>
  <c r="AT24" i="2" s="1"/>
  <c r="AU24" i="2" s="1"/>
  <c r="BG14" i="18"/>
  <c r="BK71" i="61"/>
  <c r="I37" i="18"/>
  <c r="S16" i="21"/>
  <c r="BH75" i="61" s="1"/>
  <c r="BG15" i="53"/>
  <c r="S15" i="53"/>
  <c r="BK73" i="61"/>
  <c r="AM22" i="15"/>
  <c r="AR22" i="15" s="1"/>
  <c r="AT22" i="15" s="1"/>
  <c r="AU22" i="15" s="1"/>
  <c r="AR10" i="5"/>
  <c r="AT10" i="5" s="1"/>
  <c r="AU10" i="5" s="1"/>
  <c r="AM11" i="5"/>
  <c r="AR11" i="5" s="1"/>
  <c r="AJ27" i="1"/>
  <c r="AI27" i="1"/>
  <c r="AJ26" i="1"/>
  <c r="AI26" i="1"/>
  <c r="AJ17" i="1"/>
  <c r="AI17" i="1"/>
  <c r="AL28" i="1"/>
  <c r="AK28" i="1"/>
  <c r="AL5" i="1"/>
  <c r="AK5" i="1"/>
  <c r="AM15" i="7"/>
  <c r="AU4" i="5"/>
  <c r="AJ25" i="1"/>
  <c r="AI25" i="1"/>
  <c r="AR28" i="2"/>
  <c r="AT28" i="2" s="1"/>
  <c r="AU28" i="2" s="1"/>
  <c r="AW28" i="2"/>
  <c r="AT4" i="4"/>
  <c r="AU19" i="13"/>
  <c r="AU19" i="14"/>
  <c r="AK25" i="1"/>
  <c r="AL25" i="1"/>
  <c r="AL8" i="1"/>
  <c r="AK8" i="1"/>
  <c r="AR11" i="6"/>
  <c r="AW11" i="6"/>
  <c r="AR27" i="2"/>
  <c r="AT27" i="2" s="1"/>
  <c r="AU27" i="2" s="1"/>
  <c r="AW27" i="2"/>
  <c r="AJ24" i="1"/>
  <c r="AI24" i="1"/>
  <c r="AM23" i="16"/>
  <c r="AG32" i="16"/>
  <c r="AT23" i="17"/>
  <c r="AR29" i="17"/>
  <c r="BG12" i="17" s="1"/>
  <c r="S11" i="17" s="1"/>
  <c r="AL13" i="6"/>
  <c r="AK13" i="6"/>
  <c r="AQ13" i="6" s="1"/>
  <c r="AH14" i="6"/>
  <c r="AJ20" i="1"/>
  <c r="AI20" i="1"/>
  <c r="AU12" i="7"/>
  <c r="AM21" i="14"/>
  <c r="AR25" i="2"/>
  <c r="AT25" i="2" s="1"/>
  <c r="AU25" i="2" s="1"/>
  <c r="AW25" i="2"/>
  <c r="AL21" i="13"/>
  <c r="AK21" i="13"/>
  <c r="AQ21" i="13" s="1"/>
  <c r="AH22" i="13"/>
  <c r="AR27" i="3"/>
  <c r="AT27" i="3" s="1"/>
  <c r="AU27" i="3" s="1"/>
  <c r="AW27" i="3"/>
  <c r="AL26" i="1"/>
  <c r="AK26" i="1"/>
  <c r="AK6" i="1"/>
  <c r="AL6" i="1"/>
  <c r="AL12" i="5"/>
  <c r="AK12" i="5"/>
  <c r="AQ12" i="5" s="1"/>
  <c r="AH13" i="5"/>
  <c r="AM12" i="6"/>
  <c r="AR26" i="3"/>
  <c r="AT26" i="3" s="1"/>
  <c r="AU26" i="3" s="1"/>
  <c r="AW26" i="3"/>
  <c r="AL23" i="15"/>
  <c r="AK23" i="15"/>
  <c r="AQ23" i="15" s="1"/>
  <c r="AR25" i="3"/>
  <c r="AT25" i="3" s="1"/>
  <c r="AU25" i="3" s="1"/>
  <c r="AW25" i="3"/>
  <c r="AJ18" i="1"/>
  <c r="AI18" i="1"/>
  <c r="AR24" i="3"/>
  <c r="AT24" i="3" s="1"/>
  <c r="AU24" i="3" s="1"/>
  <c r="AW24" i="3"/>
  <c r="AM20" i="13"/>
  <c r="AK27" i="1"/>
  <c r="AL27" i="1"/>
  <c r="AL7" i="1"/>
  <c r="AK7" i="1"/>
  <c r="AK4" i="1"/>
  <c r="AL4" i="1"/>
  <c r="AR21" i="15"/>
  <c r="AT21" i="15" s="1"/>
  <c r="AU21" i="15" s="1"/>
  <c r="AW21" i="15"/>
  <c r="AK16" i="7"/>
  <c r="AQ16" i="7" s="1"/>
  <c r="AL16" i="7"/>
  <c r="AH17" i="7"/>
  <c r="AL10" i="3"/>
  <c r="AK10" i="3"/>
  <c r="AQ10" i="3" s="1"/>
  <c r="AH11" i="3"/>
  <c r="AR26" i="2"/>
  <c r="AT26" i="2" s="1"/>
  <c r="AU26" i="2" s="1"/>
  <c r="AW26" i="2"/>
  <c r="AJ28" i="1"/>
  <c r="AI28" i="1"/>
  <c r="AQ28" i="1" s="1"/>
  <c r="AI23" i="1"/>
  <c r="AJ23" i="1"/>
  <c r="AL22" i="14"/>
  <c r="AK22" i="14"/>
  <c r="AQ22" i="14" s="1"/>
  <c r="AH23" i="14"/>
  <c r="AR22" i="16"/>
  <c r="AT22" i="16" s="1"/>
  <c r="AU22" i="16" s="1"/>
  <c r="AW22" i="16"/>
  <c r="AK24" i="1" l="1"/>
  <c r="AW4" i="2"/>
  <c r="AR8" i="3"/>
  <c r="AT8" i="3" s="1"/>
  <c r="AU8" i="3" s="1"/>
  <c r="AW4" i="3"/>
  <c r="AW6" i="2"/>
  <c r="AR5" i="3"/>
  <c r="AT5" i="3" s="1"/>
  <c r="AU5" i="3" s="1"/>
  <c r="AR7" i="3"/>
  <c r="AT7" i="3" s="1"/>
  <c r="AU7" i="3" s="1"/>
  <c r="AJ13" i="1"/>
  <c r="BG17" i="19"/>
  <c r="I40" i="19"/>
  <c r="AJ10" i="1"/>
  <c r="AI12" i="1"/>
  <c r="AR6" i="3"/>
  <c r="AT6" i="3" s="1"/>
  <c r="AU6" i="3" s="1"/>
  <c r="AM17" i="8"/>
  <c r="AW15" i="9"/>
  <c r="AR16" i="8"/>
  <c r="AT16" i="8" s="1"/>
  <c r="AU16" i="8" s="1"/>
  <c r="AW16" i="8"/>
  <c r="AH19" i="8"/>
  <c r="AL18" i="8"/>
  <c r="AK18" i="8"/>
  <c r="AQ18" i="8" s="1"/>
  <c r="AW5" i="2"/>
  <c r="AW8" i="2"/>
  <c r="AR7" i="2"/>
  <c r="AT7" i="2" s="1"/>
  <c r="AU7" i="2" s="1"/>
  <c r="AJ11" i="1"/>
  <c r="AM16" i="9"/>
  <c r="AG31" i="9"/>
  <c r="AL17" i="9"/>
  <c r="AH18" i="9"/>
  <c r="AK17" i="9"/>
  <c r="AQ17" i="9" s="1"/>
  <c r="AM9" i="2"/>
  <c r="AM19" i="12"/>
  <c r="AQ9" i="1"/>
  <c r="AR15" i="10"/>
  <c r="AT15" i="10" s="1"/>
  <c r="AU15" i="10" s="1"/>
  <c r="AW15" i="10"/>
  <c r="AI16" i="1"/>
  <c r="AJ16" i="1"/>
  <c r="AH10" i="1"/>
  <c r="AL10" i="1" s="1"/>
  <c r="AJ14" i="1"/>
  <c r="AL9" i="1"/>
  <c r="AK10" i="2"/>
  <c r="AQ10" i="2" s="1"/>
  <c r="AH11" i="2"/>
  <c r="AL10" i="2"/>
  <c r="AW18" i="12"/>
  <c r="AR18" i="12"/>
  <c r="AT18" i="12" s="1"/>
  <c r="AU18" i="12" s="1"/>
  <c r="AK20" i="11"/>
  <c r="AQ20" i="11" s="1"/>
  <c r="AH21" i="11"/>
  <c r="AL20" i="11"/>
  <c r="AW18" i="11"/>
  <c r="AR18" i="11"/>
  <c r="AT18" i="11" s="1"/>
  <c r="AU18" i="11" s="1"/>
  <c r="AM19" i="11"/>
  <c r="AH21" i="12"/>
  <c r="AK20" i="12"/>
  <c r="AQ20" i="12" s="1"/>
  <c r="AL20" i="12"/>
  <c r="AK17" i="10"/>
  <c r="AQ17" i="10" s="1"/>
  <c r="AH18" i="10"/>
  <c r="AL17" i="10"/>
  <c r="AG31" i="10"/>
  <c r="AM16" i="10"/>
  <c r="AM10" i="4"/>
  <c r="AR9" i="4"/>
  <c r="AT9" i="4" s="1"/>
  <c r="AU9" i="4" s="1"/>
  <c r="AW9" i="4"/>
  <c r="AI6" i="1"/>
  <c r="AQ6" i="1" s="1"/>
  <c r="AJ6" i="1"/>
  <c r="AJ4" i="1"/>
  <c r="AI4" i="1"/>
  <c r="AQ4" i="1" s="1"/>
  <c r="AJ7" i="1"/>
  <c r="AI7" i="1"/>
  <c r="AQ7" i="1" s="1"/>
  <c r="AJ8" i="1"/>
  <c r="AI8" i="1"/>
  <c r="AQ8" i="1" s="1"/>
  <c r="AI15" i="1"/>
  <c r="AJ15" i="1"/>
  <c r="AH12" i="4"/>
  <c r="AK11" i="4"/>
  <c r="AQ11" i="4" s="1"/>
  <c r="AL11" i="4"/>
  <c r="AJ5" i="1"/>
  <c r="AI5" i="1"/>
  <c r="AQ5" i="1" s="1"/>
  <c r="S16" i="19"/>
  <c r="BJ75" i="61" s="1"/>
  <c r="S42" i="53"/>
  <c r="BG18" i="53" s="1"/>
  <c r="AW22" i="15"/>
  <c r="AW11" i="5"/>
  <c r="AW24" i="2"/>
  <c r="AM22" i="14"/>
  <c r="AR22" i="14" s="1"/>
  <c r="AT22" i="14" s="1"/>
  <c r="AU22" i="14" s="1"/>
  <c r="AQ24" i="1"/>
  <c r="AM24" i="1" s="1"/>
  <c r="S13" i="18"/>
  <c r="I54" i="17"/>
  <c r="BG27" i="17"/>
  <c r="I50" i="17"/>
  <c r="BL70" i="61"/>
  <c r="AM21" i="13"/>
  <c r="AW21" i="13" s="1"/>
  <c r="AM10" i="3"/>
  <c r="AM16" i="7"/>
  <c r="AM12" i="5"/>
  <c r="AT4" i="2"/>
  <c r="AR23" i="16"/>
  <c r="AW23" i="16"/>
  <c r="AW29" i="16" s="1"/>
  <c r="BG16" i="16" s="1"/>
  <c r="S15" i="16" s="1"/>
  <c r="BM74" i="61" s="1"/>
  <c r="AU4" i="4"/>
  <c r="AG31" i="7"/>
  <c r="AM28" i="1"/>
  <c r="AR20" i="13"/>
  <c r="AT20" i="13" s="1"/>
  <c r="AU20" i="13" s="1"/>
  <c r="AW20" i="13"/>
  <c r="AR15" i="7"/>
  <c r="AW15" i="7"/>
  <c r="AK23" i="14"/>
  <c r="AQ23" i="14" s="1"/>
  <c r="AG32" i="14" s="1"/>
  <c r="AL23" i="14"/>
  <c r="AT11" i="5"/>
  <c r="AL17" i="7"/>
  <c r="AK17" i="7"/>
  <c r="AQ17" i="7" s="1"/>
  <c r="AH18" i="7"/>
  <c r="AL22" i="13"/>
  <c r="AK22" i="13"/>
  <c r="AQ22" i="13" s="1"/>
  <c r="AH23" i="13"/>
  <c r="AR21" i="14"/>
  <c r="AT21" i="14" s="1"/>
  <c r="AU21" i="14" s="1"/>
  <c r="AW21" i="14"/>
  <c r="AT4" i="3"/>
  <c r="AL14" i="6"/>
  <c r="AK14" i="6"/>
  <c r="AQ14" i="6" s="1"/>
  <c r="AH15" i="6"/>
  <c r="AU23" i="17"/>
  <c r="AU29" i="17" s="1"/>
  <c r="BG15" i="17" s="1"/>
  <c r="S14" i="17" s="1"/>
  <c r="AT29" i="17"/>
  <c r="BG13" i="17" s="1"/>
  <c r="S12" i="17" s="1"/>
  <c r="AQ25" i="1"/>
  <c r="AM25" i="1" s="1"/>
  <c r="AR9" i="3"/>
  <c r="AT9" i="3" s="1"/>
  <c r="AU9" i="3" s="1"/>
  <c r="AW9" i="3"/>
  <c r="AL11" i="3"/>
  <c r="AK11" i="3"/>
  <c r="AQ11" i="3" s="1"/>
  <c r="AH12" i="3"/>
  <c r="AM23" i="15"/>
  <c r="AG32" i="15"/>
  <c r="AR12" i="6"/>
  <c r="AT12" i="6" s="1"/>
  <c r="AU12" i="6" s="1"/>
  <c r="AW12" i="6"/>
  <c r="AK13" i="5"/>
  <c r="AQ13" i="5" s="1"/>
  <c r="AL13" i="5"/>
  <c r="AH14" i="5"/>
  <c r="AM13" i="6"/>
  <c r="AT11" i="6"/>
  <c r="AQ26" i="1"/>
  <c r="AM26" i="1" s="1"/>
  <c r="AQ27" i="1"/>
  <c r="AM27" i="1" s="1"/>
  <c r="AH11" i="1" l="1"/>
  <c r="AK11" i="1" s="1"/>
  <c r="AQ11" i="1" s="1"/>
  <c r="AK10" i="1"/>
  <c r="AQ10" i="1" s="1"/>
  <c r="AM10" i="1" s="1"/>
  <c r="AM20" i="11"/>
  <c r="AM18" i="8"/>
  <c r="AR17" i="8"/>
  <c r="AT17" i="8" s="1"/>
  <c r="AU17" i="8" s="1"/>
  <c r="AW17" i="8"/>
  <c r="AL19" i="8"/>
  <c r="AK19" i="8"/>
  <c r="AQ19" i="8" s="1"/>
  <c r="AH20" i="8"/>
  <c r="AM17" i="9"/>
  <c r="AW17" i="9" s="1"/>
  <c r="AM10" i="2"/>
  <c r="AW10" i="2" s="1"/>
  <c r="AM9" i="1"/>
  <c r="AR9" i="1" s="1"/>
  <c r="AT9" i="1" s="1"/>
  <c r="AU9" i="1" s="1"/>
  <c r="AL18" i="9"/>
  <c r="AK18" i="9"/>
  <c r="AQ18" i="9" s="1"/>
  <c r="AH19" i="9"/>
  <c r="AR16" i="9"/>
  <c r="AT16" i="9" s="1"/>
  <c r="AU16" i="9" s="1"/>
  <c r="AW16" i="9"/>
  <c r="AR19" i="12"/>
  <c r="AT19" i="12" s="1"/>
  <c r="AU19" i="12" s="1"/>
  <c r="AW19" i="12"/>
  <c r="AM4" i="1"/>
  <c r="AR4" i="1" s="1"/>
  <c r="AW9" i="2"/>
  <c r="AR9" i="2"/>
  <c r="AT9" i="2" s="1"/>
  <c r="AU9" i="2" s="1"/>
  <c r="AM6" i="1"/>
  <c r="AW6" i="1" s="1"/>
  <c r="AM17" i="10"/>
  <c r="AM20" i="12"/>
  <c r="AH22" i="12"/>
  <c r="AL21" i="12"/>
  <c r="AK21" i="12"/>
  <c r="AQ21" i="12" s="1"/>
  <c r="AL21" i="11"/>
  <c r="AK21" i="11"/>
  <c r="AQ21" i="11" s="1"/>
  <c r="AH22" i="11"/>
  <c r="AM5" i="1"/>
  <c r="AR5" i="1" s="1"/>
  <c r="AT5" i="1" s="1"/>
  <c r="AU5" i="1" s="1"/>
  <c r="AR19" i="11"/>
  <c r="AT19" i="11" s="1"/>
  <c r="AU19" i="11" s="1"/>
  <c r="AW19" i="11"/>
  <c r="AK11" i="2"/>
  <c r="AQ11" i="2" s="1"/>
  <c r="AH12" i="2"/>
  <c r="AL11" i="2"/>
  <c r="AM7" i="1"/>
  <c r="AW7" i="1" s="1"/>
  <c r="AR10" i="4"/>
  <c r="AT10" i="4" s="1"/>
  <c r="AU10" i="4" s="1"/>
  <c r="AW10" i="4"/>
  <c r="AL18" i="10"/>
  <c r="AK18" i="10"/>
  <c r="AQ18" i="10" s="1"/>
  <c r="AH19" i="10"/>
  <c r="AM8" i="1"/>
  <c r="AR8" i="1" s="1"/>
  <c r="AT8" i="1" s="1"/>
  <c r="AU8" i="1" s="1"/>
  <c r="AR16" i="10"/>
  <c r="AT16" i="10" s="1"/>
  <c r="AU16" i="10" s="1"/>
  <c r="AW16" i="10"/>
  <c r="AM11" i="4"/>
  <c r="AH13" i="4"/>
  <c r="AL12" i="4"/>
  <c r="AK12" i="4"/>
  <c r="AQ12" i="4" s="1"/>
  <c r="S18" i="53"/>
  <c r="S45" i="53" s="1"/>
  <c r="S26" i="17"/>
  <c r="BL85" i="61" s="1"/>
  <c r="AR21" i="13"/>
  <c r="AT21" i="13" s="1"/>
  <c r="AU21" i="13" s="1"/>
  <c r="AW22" i="14"/>
  <c r="BL71" i="61"/>
  <c r="I37" i="17"/>
  <c r="BG14" i="17"/>
  <c r="BL73" i="61"/>
  <c r="BK72" i="61"/>
  <c r="BG17" i="18"/>
  <c r="I40" i="18"/>
  <c r="AM14" i="6"/>
  <c r="AW14" i="6" s="1"/>
  <c r="AR13" i="6"/>
  <c r="AW13" i="6"/>
  <c r="AR25" i="1"/>
  <c r="AT25" i="1" s="1"/>
  <c r="AU25" i="1" s="1"/>
  <c r="AW25" i="1"/>
  <c r="AL15" i="6"/>
  <c r="AK15" i="6"/>
  <c r="AQ15" i="6" s="1"/>
  <c r="AH16" i="6"/>
  <c r="AL23" i="13"/>
  <c r="AK23" i="13"/>
  <c r="AQ23" i="13" s="1"/>
  <c r="AG32" i="13" s="1"/>
  <c r="AT15" i="7"/>
  <c r="AR28" i="1"/>
  <c r="AT28" i="1" s="1"/>
  <c r="AU28" i="1" s="1"/>
  <c r="AW28" i="1"/>
  <c r="AR27" i="1"/>
  <c r="AT27" i="1" s="1"/>
  <c r="AU27" i="1" s="1"/>
  <c r="AW27" i="1"/>
  <c r="AM13" i="5"/>
  <c r="AR23" i="15"/>
  <c r="AW23" i="15"/>
  <c r="AW29" i="15" s="1"/>
  <c r="BG16" i="15" s="1"/>
  <c r="S15" i="15" s="1"/>
  <c r="BN74" i="61" s="1"/>
  <c r="AR24" i="1"/>
  <c r="AT24" i="1" s="1"/>
  <c r="AU24" i="1" s="1"/>
  <c r="AW24" i="1"/>
  <c r="AM22" i="13"/>
  <c r="AL18" i="7"/>
  <c r="AK18" i="7"/>
  <c r="AQ18" i="7" s="1"/>
  <c r="AH19" i="7"/>
  <c r="AU11" i="5"/>
  <c r="AU4" i="2"/>
  <c r="AR16" i="7"/>
  <c r="AT16" i="7" s="1"/>
  <c r="AU16" i="7" s="1"/>
  <c r="AW16" i="7"/>
  <c r="AR26" i="1"/>
  <c r="AT26" i="1" s="1"/>
  <c r="AU26" i="1" s="1"/>
  <c r="AW26" i="1"/>
  <c r="AU11" i="6"/>
  <c r="AK12" i="3"/>
  <c r="AQ12" i="3" s="1"/>
  <c r="AL12" i="3"/>
  <c r="AH13" i="3"/>
  <c r="AM17" i="7"/>
  <c r="AM23" i="14"/>
  <c r="AR10" i="3"/>
  <c r="AW10" i="3"/>
  <c r="AL14" i="5"/>
  <c r="AK14" i="5"/>
  <c r="AQ14" i="5" s="1"/>
  <c r="AH15" i="5"/>
  <c r="AM11" i="3"/>
  <c r="AU4" i="3"/>
  <c r="AL11" i="1"/>
  <c r="AT23" i="16"/>
  <c r="AR29" i="16"/>
  <c r="BG12" i="16" s="1"/>
  <c r="S11" i="16" s="1"/>
  <c r="AR12" i="5"/>
  <c r="AW12" i="5"/>
  <c r="AH12" i="1" l="1"/>
  <c r="AL12" i="1" s="1"/>
  <c r="AW9" i="1"/>
  <c r="AR7" i="1"/>
  <c r="AT7" i="1" s="1"/>
  <c r="AU7" i="1" s="1"/>
  <c r="AR6" i="1"/>
  <c r="AT6" i="1" s="1"/>
  <c r="AU6" i="1" s="1"/>
  <c r="AR20" i="11"/>
  <c r="AT20" i="11" s="1"/>
  <c r="AU20" i="11" s="1"/>
  <c r="AW20" i="11"/>
  <c r="AR18" i="8"/>
  <c r="AT18" i="8" s="1"/>
  <c r="AU18" i="8" s="1"/>
  <c r="AW18" i="8"/>
  <c r="AM19" i="8"/>
  <c r="AL20" i="8"/>
  <c r="AK20" i="8"/>
  <c r="AQ20" i="8" s="1"/>
  <c r="AH21" i="8"/>
  <c r="AW8" i="1"/>
  <c r="AR17" i="9"/>
  <c r="AT17" i="9" s="1"/>
  <c r="AU17" i="9" s="1"/>
  <c r="AW4" i="1"/>
  <c r="AW5" i="1"/>
  <c r="AR10" i="2"/>
  <c r="AT10" i="2" s="1"/>
  <c r="AU10" i="2" s="1"/>
  <c r="AM18" i="9"/>
  <c r="AW18" i="9" s="1"/>
  <c r="AH20" i="9"/>
  <c r="AK19" i="9"/>
  <c r="AQ19" i="9" s="1"/>
  <c r="AL19" i="9"/>
  <c r="AM11" i="2"/>
  <c r="AL12" i="2"/>
  <c r="AK12" i="2"/>
  <c r="AQ12" i="2" s="1"/>
  <c r="AH13" i="2"/>
  <c r="AL22" i="12"/>
  <c r="AH23" i="12"/>
  <c r="AK22" i="12"/>
  <c r="AQ22" i="12" s="1"/>
  <c r="AH23" i="11"/>
  <c r="AL22" i="11"/>
  <c r="AK22" i="11"/>
  <c r="AQ22" i="11" s="1"/>
  <c r="AR20" i="12"/>
  <c r="AT20" i="12" s="1"/>
  <c r="AU20" i="12" s="1"/>
  <c r="AW20" i="12"/>
  <c r="AM21" i="11"/>
  <c r="AM21" i="12"/>
  <c r="AR17" i="10"/>
  <c r="AT17" i="10" s="1"/>
  <c r="AU17" i="10" s="1"/>
  <c r="AW17" i="10"/>
  <c r="AM18" i="10"/>
  <c r="AH20" i="10"/>
  <c r="AK19" i="10"/>
  <c r="AQ19" i="10" s="1"/>
  <c r="AL19" i="10"/>
  <c r="AM12" i="4"/>
  <c r="AL13" i="4"/>
  <c r="AK13" i="4"/>
  <c r="AQ13" i="4" s="1"/>
  <c r="AH14" i="4"/>
  <c r="AR11" i="4"/>
  <c r="AT11" i="4" s="1"/>
  <c r="AU11" i="4" s="1"/>
  <c r="AW11" i="4"/>
  <c r="S13" i="17"/>
  <c r="BL72" i="61" s="1"/>
  <c r="AR14" i="6"/>
  <c r="AT14" i="6" s="1"/>
  <c r="AU14" i="6" s="1"/>
  <c r="S16" i="18"/>
  <c r="BK75" i="61" s="1"/>
  <c r="I54" i="16"/>
  <c r="BM70" i="61"/>
  <c r="I50" i="16"/>
  <c r="BG27" i="16"/>
  <c r="AM12" i="3"/>
  <c r="AW12" i="3" s="1"/>
  <c r="AM18" i="7"/>
  <c r="AR18" i="7" s="1"/>
  <c r="AT18" i="7" s="1"/>
  <c r="AU18" i="7" s="1"/>
  <c r="AU23" i="16"/>
  <c r="AU29" i="16" s="1"/>
  <c r="BG15" i="16" s="1"/>
  <c r="S14" i="16" s="1"/>
  <c r="AT29" i="16"/>
  <c r="BG13" i="16" s="1"/>
  <c r="S12" i="16" s="1"/>
  <c r="AM11" i="1"/>
  <c r="AR11" i="3"/>
  <c r="AT11" i="3" s="1"/>
  <c r="AU11" i="3" s="1"/>
  <c r="AW11" i="3"/>
  <c r="AT10" i="3"/>
  <c r="AT23" i="15"/>
  <c r="AR29" i="15"/>
  <c r="BG12" i="15" s="1"/>
  <c r="S11" i="15" s="1"/>
  <c r="AM23" i="13"/>
  <c r="AK15" i="5"/>
  <c r="AQ15" i="5" s="1"/>
  <c r="AL15" i="5"/>
  <c r="AH16" i="5"/>
  <c r="AL13" i="3"/>
  <c r="AK13" i="3"/>
  <c r="AQ13" i="3" s="1"/>
  <c r="AH14" i="3"/>
  <c r="AT12" i="5"/>
  <c r="AM14" i="5"/>
  <c r="AR17" i="7"/>
  <c r="AT17" i="7" s="1"/>
  <c r="AU17" i="7" s="1"/>
  <c r="AW17" i="7"/>
  <c r="AT4" i="1"/>
  <c r="AL19" i="7"/>
  <c r="AK19" i="7"/>
  <c r="AQ19" i="7" s="1"/>
  <c r="AH20" i="7"/>
  <c r="AR22" i="13"/>
  <c r="AT22" i="13" s="1"/>
  <c r="AU22" i="13" s="1"/>
  <c r="AW22" i="13"/>
  <c r="AR13" i="5"/>
  <c r="AT13" i="5" s="1"/>
  <c r="AU13" i="5" s="1"/>
  <c r="AW13" i="5"/>
  <c r="AL16" i="6"/>
  <c r="AK16" i="6"/>
  <c r="AQ16" i="6" s="1"/>
  <c r="AG31" i="6" s="1"/>
  <c r="AH17" i="6"/>
  <c r="AR23" i="14"/>
  <c r="AW23" i="14"/>
  <c r="AW29" i="14" s="1"/>
  <c r="BG16" i="14" s="1"/>
  <c r="S15" i="14" s="1"/>
  <c r="BO74" i="61" s="1"/>
  <c r="AR10" i="1"/>
  <c r="AT10" i="1" s="1"/>
  <c r="AU10" i="1" s="1"/>
  <c r="AW10" i="1"/>
  <c r="AU15" i="7"/>
  <c r="AM15" i="6"/>
  <c r="AT13" i="6"/>
  <c r="AH13" i="1" l="1"/>
  <c r="AK13" i="1" s="1"/>
  <c r="AQ13" i="1" s="1"/>
  <c r="AK12" i="1"/>
  <c r="AQ12" i="1" s="1"/>
  <c r="AM12" i="1" s="1"/>
  <c r="AR18" i="9"/>
  <c r="AT18" i="9" s="1"/>
  <c r="AU18" i="9" s="1"/>
  <c r="BG17" i="17"/>
  <c r="AM20" i="8"/>
  <c r="AR19" i="8"/>
  <c r="AT19" i="8" s="1"/>
  <c r="AU19" i="8" s="1"/>
  <c r="AW19" i="8"/>
  <c r="AL21" i="8"/>
  <c r="AK21" i="8"/>
  <c r="AQ21" i="8" s="1"/>
  <c r="AH22" i="8"/>
  <c r="AM22" i="12"/>
  <c r="AR22" i="12" s="1"/>
  <c r="AT22" i="12" s="1"/>
  <c r="AU22" i="12" s="1"/>
  <c r="AM19" i="10"/>
  <c r="AM12" i="2"/>
  <c r="AM19" i="9"/>
  <c r="AH21" i="9"/>
  <c r="AL20" i="9"/>
  <c r="AK20" i="9"/>
  <c r="AQ20" i="9" s="1"/>
  <c r="AW11" i="2"/>
  <c r="AR11" i="2"/>
  <c r="AT11" i="2" s="1"/>
  <c r="AU11" i="2" s="1"/>
  <c r="AL23" i="11"/>
  <c r="AK23" i="11"/>
  <c r="AQ23" i="11" s="1"/>
  <c r="AK23" i="12"/>
  <c r="AQ23" i="12" s="1"/>
  <c r="AL23" i="12"/>
  <c r="AR21" i="12"/>
  <c r="AT21" i="12" s="1"/>
  <c r="AU21" i="12" s="1"/>
  <c r="AW21" i="12"/>
  <c r="AM22" i="11"/>
  <c r="AH14" i="2"/>
  <c r="AL13" i="2"/>
  <c r="AK13" i="2"/>
  <c r="AQ13" i="2" s="1"/>
  <c r="AR21" i="11"/>
  <c r="AT21" i="11" s="1"/>
  <c r="AU21" i="11" s="1"/>
  <c r="AW21" i="11"/>
  <c r="AR18" i="10"/>
  <c r="AT18" i="10" s="1"/>
  <c r="AU18" i="10" s="1"/>
  <c r="AW18" i="10"/>
  <c r="AM13" i="4"/>
  <c r="AH21" i="10"/>
  <c r="AL20" i="10"/>
  <c r="AK20" i="10"/>
  <c r="AQ20" i="10" s="1"/>
  <c r="AK14" i="4"/>
  <c r="AQ14" i="4" s="1"/>
  <c r="AH15" i="4"/>
  <c r="AL14" i="4"/>
  <c r="AW12" i="4"/>
  <c r="AR12" i="4"/>
  <c r="AT12" i="4" s="1"/>
  <c r="AU12" i="4" s="1"/>
  <c r="I40" i="17"/>
  <c r="S16" i="17" s="1"/>
  <c r="BL75" i="61" s="1"/>
  <c r="AW18" i="7"/>
  <c r="AR12" i="3"/>
  <c r="AT12" i="3" s="1"/>
  <c r="AU12" i="3" s="1"/>
  <c r="S26" i="16"/>
  <c r="BM85" i="61" s="1"/>
  <c r="BG27" i="15"/>
  <c r="BN70" i="61"/>
  <c r="I54" i="15"/>
  <c r="I50" i="15"/>
  <c r="BG14" i="16"/>
  <c r="BM71" i="61"/>
  <c r="I37" i="16"/>
  <c r="BM73" i="61"/>
  <c r="AM15" i="5"/>
  <c r="AR15" i="5" s="1"/>
  <c r="AT15" i="5" s="1"/>
  <c r="AU15" i="5" s="1"/>
  <c r="AM13" i="3"/>
  <c r="AR13" i="3" s="1"/>
  <c r="AT13" i="3" s="1"/>
  <c r="AU13" i="3" s="1"/>
  <c r="AL20" i="7"/>
  <c r="AK20" i="7"/>
  <c r="AQ20" i="7" s="1"/>
  <c r="AH21" i="7"/>
  <c r="AR14" i="5"/>
  <c r="AT14" i="5" s="1"/>
  <c r="AU14" i="5" s="1"/>
  <c r="AW14" i="5"/>
  <c r="AU13" i="6"/>
  <c r="AL17" i="6"/>
  <c r="AK17" i="6"/>
  <c r="AQ17" i="6" s="1"/>
  <c r="AH18" i="6"/>
  <c r="AM19" i="7"/>
  <c r="AL16" i="5"/>
  <c r="AK16" i="5"/>
  <c r="AQ16" i="5" s="1"/>
  <c r="AH17" i="5"/>
  <c r="AM16" i="6"/>
  <c r="AU12" i="5"/>
  <c r="AK14" i="3"/>
  <c r="AQ14" i="3" s="1"/>
  <c r="AL14" i="3"/>
  <c r="AH15" i="3"/>
  <c r="AR15" i="6"/>
  <c r="AW15" i="6"/>
  <c r="AT23" i="14"/>
  <c r="AR29" i="14"/>
  <c r="BG12" i="14" s="1"/>
  <c r="S11" i="14" s="1"/>
  <c r="AH14" i="1"/>
  <c r="AU4" i="1"/>
  <c r="AR23" i="13"/>
  <c r="AW23" i="13"/>
  <c r="AW29" i="13" s="1"/>
  <c r="BG16" i="13" s="1"/>
  <c r="S15" i="13" s="1"/>
  <c r="BP74" i="61" s="1"/>
  <c r="AU23" i="15"/>
  <c r="AU29" i="15" s="1"/>
  <c r="BG15" i="15" s="1"/>
  <c r="S14" i="15" s="1"/>
  <c r="AT29" i="15"/>
  <c r="BG13" i="15" s="1"/>
  <c r="S12" i="15" s="1"/>
  <c r="AU10" i="3"/>
  <c r="AR11" i="1"/>
  <c r="AT11" i="1" s="1"/>
  <c r="AU11" i="1" s="1"/>
  <c r="AW11" i="1"/>
  <c r="AL13" i="1" l="1"/>
  <c r="AR20" i="8"/>
  <c r="AT20" i="8" s="1"/>
  <c r="AU20" i="8" s="1"/>
  <c r="AW20" i="8"/>
  <c r="AK22" i="8"/>
  <c r="AQ22" i="8" s="1"/>
  <c r="AH23" i="8"/>
  <c r="AL22" i="8"/>
  <c r="AM21" i="8"/>
  <c r="AW22" i="12"/>
  <c r="AR12" i="2"/>
  <c r="AT12" i="2" s="1"/>
  <c r="AU12" i="2" s="1"/>
  <c r="AW12" i="2"/>
  <c r="AW19" i="10"/>
  <c r="AR19" i="10"/>
  <c r="AT19" i="10" s="1"/>
  <c r="AU19" i="10" s="1"/>
  <c r="AM20" i="9"/>
  <c r="AL21" i="9"/>
  <c r="AH22" i="9"/>
  <c r="AK21" i="9"/>
  <c r="AQ21" i="9" s="1"/>
  <c r="AW19" i="9"/>
  <c r="AR19" i="9"/>
  <c r="AT19" i="9" s="1"/>
  <c r="AU19" i="9" s="1"/>
  <c r="AM13" i="2"/>
  <c r="AH15" i="2"/>
  <c r="AL14" i="2"/>
  <c r="AK14" i="2"/>
  <c r="AQ14" i="2" s="1"/>
  <c r="AM23" i="12"/>
  <c r="AG32" i="12"/>
  <c r="AR22" i="11"/>
  <c r="AT22" i="11" s="1"/>
  <c r="AU22" i="11" s="1"/>
  <c r="AW22" i="11"/>
  <c r="AM23" i="11"/>
  <c r="AG32" i="11"/>
  <c r="AM14" i="4"/>
  <c r="AM20" i="10"/>
  <c r="AK21" i="10"/>
  <c r="AQ21" i="10" s="1"/>
  <c r="AL21" i="10"/>
  <c r="AH22" i="10"/>
  <c r="AW13" i="4"/>
  <c r="AR13" i="4"/>
  <c r="AT13" i="4" s="1"/>
  <c r="AU13" i="4" s="1"/>
  <c r="AH16" i="4"/>
  <c r="AL15" i="4"/>
  <c r="AK15" i="4"/>
  <c r="AQ15" i="4" s="1"/>
  <c r="S13" i="16"/>
  <c r="BM72" i="61" s="1"/>
  <c r="S26" i="15"/>
  <c r="BN85" i="61" s="1"/>
  <c r="AW15" i="5"/>
  <c r="AW13" i="3"/>
  <c r="I37" i="15"/>
  <c r="BN71" i="61"/>
  <c r="BG14" i="15"/>
  <c r="BO70" i="61"/>
  <c r="I50" i="14"/>
  <c r="BG27" i="14"/>
  <c r="I54" i="14"/>
  <c r="BN73" i="61"/>
  <c r="AT15" i="6"/>
  <c r="AL15" i="3"/>
  <c r="AK15" i="3"/>
  <c r="AQ15" i="3" s="1"/>
  <c r="AH16" i="3"/>
  <c r="AM13" i="1"/>
  <c r="AK17" i="5"/>
  <c r="AQ17" i="5" s="1"/>
  <c r="AL17" i="5"/>
  <c r="AH18" i="5"/>
  <c r="AL21" i="7"/>
  <c r="AK21" i="7"/>
  <c r="AQ21" i="7" s="1"/>
  <c r="AH22" i="7"/>
  <c r="AR12" i="1"/>
  <c r="AT12" i="1" s="1"/>
  <c r="AW12" i="1"/>
  <c r="AT23" i="13"/>
  <c r="AR29" i="13"/>
  <c r="BG12" i="13" s="1"/>
  <c r="S11" i="13" s="1"/>
  <c r="AM14" i="3"/>
  <c r="AM16" i="5"/>
  <c r="AG31" i="5"/>
  <c r="AL18" i="6"/>
  <c r="AK18" i="6"/>
  <c r="AQ18" i="6" s="1"/>
  <c r="AH19" i="6"/>
  <c r="AM20" i="7"/>
  <c r="AL14" i="1"/>
  <c r="AK14" i="1"/>
  <c r="AQ14" i="1" s="1"/>
  <c r="AH15" i="1"/>
  <c r="AU23" i="14"/>
  <c r="AU29" i="14" s="1"/>
  <c r="BG15" i="14" s="1"/>
  <c r="S14" i="14" s="1"/>
  <c r="AT29" i="14"/>
  <c r="BG13" i="14" s="1"/>
  <c r="S12" i="14" s="1"/>
  <c r="AR16" i="6"/>
  <c r="AT16" i="6" s="1"/>
  <c r="AU16" i="6" s="1"/>
  <c r="AW16" i="6"/>
  <c r="AR19" i="7"/>
  <c r="AT19" i="7" s="1"/>
  <c r="AW19" i="7"/>
  <c r="AM17" i="6"/>
  <c r="AM21" i="9" l="1"/>
  <c r="AR21" i="9" s="1"/>
  <c r="AT21" i="9" s="1"/>
  <c r="AU21" i="9" s="1"/>
  <c r="AM22" i="8"/>
  <c r="AW21" i="8"/>
  <c r="AR21" i="8"/>
  <c r="AT21" i="8" s="1"/>
  <c r="AU21" i="8" s="1"/>
  <c r="AL23" i="8"/>
  <c r="AK23" i="8"/>
  <c r="AQ23" i="8" s="1"/>
  <c r="AL22" i="9"/>
  <c r="AK22" i="9"/>
  <c r="AQ22" i="9" s="1"/>
  <c r="AH23" i="9"/>
  <c r="AR20" i="9"/>
  <c r="AT20" i="9" s="1"/>
  <c r="AU20" i="9" s="1"/>
  <c r="AW20" i="9"/>
  <c r="AM14" i="2"/>
  <c r="AR13" i="2"/>
  <c r="AT13" i="2" s="1"/>
  <c r="AU13" i="2" s="1"/>
  <c r="AW13" i="2"/>
  <c r="AM21" i="10"/>
  <c r="AR23" i="12"/>
  <c r="AW23" i="12"/>
  <c r="AW29" i="12" s="1"/>
  <c r="BG16" i="12" s="1"/>
  <c r="S15" i="12" s="1"/>
  <c r="BQ74" i="61" s="1"/>
  <c r="AR23" i="11"/>
  <c r="AW23" i="11"/>
  <c r="AW29" i="11" s="1"/>
  <c r="BG16" i="11" s="1"/>
  <c r="S15" i="11" s="1"/>
  <c r="BR74" i="61" s="1"/>
  <c r="AK15" i="2"/>
  <c r="AQ15" i="2" s="1"/>
  <c r="AH16" i="2"/>
  <c r="AL15" i="2"/>
  <c r="AM15" i="4"/>
  <c r="AR14" i="4"/>
  <c r="AT14" i="4" s="1"/>
  <c r="AU14" i="4" s="1"/>
  <c r="AW14" i="4"/>
  <c r="AL22" i="10"/>
  <c r="AK22" i="10"/>
  <c r="AQ22" i="10" s="1"/>
  <c r="AH23" i="10"/>
  <c r="AW20" i="10"/>
  <c r="AR20" i="10"/>
  <c r="AT20" i="10" s="1"/>
  <c r="AU20" i="10" s="1"/>
  <c r="AL16" i="4"/>
  <c r="AK16" i="4"/>
  <c r="AQ16" i="4" s="1"/>
  <c r="AG31" i="4" s="1"/>
  <c r="AH17" i="4"/>
  <c r="I40" i="16"/>
  <c r="BG17" i="16"/>
  <c r="BG27" i="11"/>
  <c r="I54" i="11"/>
  <c r="I50" i="11"/>
  <c r="I54" i="9"/>
  <c r="BG27" i="9"/>
  <c r="I50" i="9"/>
  <c r="BG27" i="13"/>
  <c r="I54" i="13"/>
  <c r="BP70" i="61"/>
  <c r="I50" i="13"/>
  <c r="BG27" i="12"/>
  <c r="I54" i="12"/>
  <c r="I50" i="12"/>
  <c r="AM14" i="1"/>
  <c r="AW14" i="1" s="1"/>
  <c r="AM18" i="6"/>
  <c r="AW18" i="6" s="1"/>
  <c r="AM15" i="3"/>
  <c r="AR15" i="3" s="1"/>
  <c r="AT15" i="3" s="1"/>
  <c r="AU15" i="3" s="1"/>
  <c r="S26" i="14"/>
  <c r="BO85" i="61" s="1"/>
  <c r="BG14" i="14"/>
  <c r="I37" i="14"/>
  <c r="BO71" i="61"/>
  <c r="BO73" i="61"/>
  <c r="S13" i="15"/>
  <c r="AR20" i="7"/>
  <c r="AT20" i="7" s="1"/>
  <c r="AU20" i="7" s="1"/>
  <c r="AW20" i="7"/>
  <c r="AL19" i="6"/>
  <c r="AK19" i="6"/>
  <c r="AQ19" i="6" s="1"/>
  <c r="AH20" i="6"/>
  <c r="AR16" i="5"/>
  <c r="AT16" i="5" s="1"/>
  <c r="AW16" i="5"/>
  <c r="AR14" i="3"/>
  <c r="AW14" i="3"/>
  <c r="AU19" i="7"/>
  <c r="AU12" i="1"/>
  <c r="AM17" i="5"/>
  <c r="AR17" i="6"/>
  <c r="AT17" i="6" s="1"/>
  <c r="AU17" i="6" s="1"/>
  <c r="AW17" i="6"/>
  <c r="AK15" i="1"/>
  <c r="AQ15" i="1" s="1"/>
  <c r="AL15" i="1"/>
  <c r="AH16" i="1"/>
  <c r="AL22" i="7"/>
  <c r="AK22" i="7"/>
  <c r="AQ22" i="7" s="1"/>
  <c r="AH23" i="7"/>
  <c r="AR13" i="1"/>
  <c r="AT13" i="1" s="1"/>
  <c r="AU13" i="1" s="1"/>
  <c r="AW13" i="1"/>
  <c r="AK16" i="3"/>
  <c r="AQ16" i="3" s="1"/>
  <c r="AL16" i="3"/>
  <c r="AH17" i="3"/>
  <c r="AU23" i="13"/>
  <c r="AU29" i="13" s="1"/>
  <c r="BG15" i="13" s="1"/>
  <c r="S14" i="13" s="1"/>
  <c r="AT29" i="13"/>
  <c r="BG13" i="13" s="1"/>
  <c r="S12" i="13" s="1"/>
  <c r="AM21" i="7"/>
  <c r="AL18" i="5"/>
  <c r="AK18" i="5"/>
  <c r="AQ18" i="5" s="1"/>
  <c r="AH19" i="5"/>
  <c r="AU15" i="6"/>
  <c r="AW21" i="9" l="1"/>
  <c r="AR22" i="8"/>
  <c r="AT22" i="8" s="1"/>
  <c r="AU22" i="8" s="1"/>
  <c r="AW22" i="8"/>
  <c r="AM23" i="8"/>
  <c r="AG32" i="8"/>
  <c r="AM22" i="9"/>
  <c r="AK23" i="9"/>
  <c r="AQ23" i="9" s="1"/>
  <c r="AL23" i="9"/>
  <c r="AR14" i="2"/>
  <c r="AT14" i="2" s="1"/>
  <c r="AU14" i="2" s="1"/>
  <c r="AW14" i="2"/>
  <c r="AM15" i="2"/>
  <c r="AM22" i="10"/>
  <c r="AT23" i="11"/>
  <c r="AR29" i="11"/>
  <c r="BG12" i="11" s="1"/>
  <c r="S11" i="11" s="1"/>
  <c r="BR70" i="61" s="1"/>
  <c r="AL16" i="2"/>
  <c r="AK16" i="2"/>
  <c r="AQ16" i="2" s="1"/>
  <c r="AH17" i="2"/>
  <c r="AR29" i="12"/>
  <c r="BG12" i="12" s="1"/>
  <c r="S11" i="12" s="1"/>
  <c r="BQ70" i="61" s="1"/>
  <c r="AT23" i="12"/>
  <c r="AR21" i="10"/>
  <c r="AT21" i="10" s="1"/>
  <c r="AU21" i="10" s="1"/>
  <c r="AW21" i="10"/>
  <c r="AR15" i="4"/>
  <c r="AT15" i="4" s="1"/>
  <c r="AU15" i="4" s="1"/>
  <c r="AW15" i="4"/>
  <c r="AK23" i="10"/>
  <c r="AQ23" i="10" s="1"/>
  <c r="AL23" i="10"/>
  <c r="AL17" i="4"/>
  <c r="AK17" i="4"/>
  <c r="AQ17" i="4" s="1"/>
  <c r="AH18" i="4"/>
  <c r="AM16" i="4"/>
  <c r="S16" i="16"/>
  <c r="BM75" i="61" s="1"/>
  <c r="S26" i="11"/>
  <c r="BR85" i="61" s="1"/>
  <c r="S26" i="9"/>
  <c r="BT85" i="61" s="1"/>
  <c r="AR14" i="1"/>
  <c r="AT14" i="1" s="1"/>
  <c r="AU14" i="1" s="1"/>
  <c r="AR18" i="6"/>
  <c r="AT18" i="6" s="1"/>
  <c r="AU18" i="6" s="1"/>
  <c r="I37" i="11"/>
  <c r="BG14" i="11"/>
  <c r="BG14" i="9"/>
  <c r="I37" i="9"/>
  <c r="S13" i="14"/>
  <c r="BO72" i="61" s="1"/>
  <c r="S26" i="12"/>
  <c r="BQ85" i="61" s="1"/>
  <c r="S26" i="13"/>
  <c r="BP85" i="61" s="1"/>
  <c r="BP71" i="61"/>
  <c r="BG14" i="13"/>
  <c r="I37" i="13"/>
  <c r="BP73" i="61"/>
  <c r="I37" i="12"/>
  <c r="BG14" i="12"/>
  <c r="AW15" i="3"/>
  <c r="AM18" i="5"/>
  <c r="AW18" i="5" s="1"/>
  <c r="AM22" i="7"/>
  <c r="AR22" i="7" s="1"/>
  <c r="AT22" i="7" s="1"/>
  <c r="AU22" i="7" s="1"/>
  <c r="BN72" i="61"/>
  <c r="I40" i="15"/>
  <c r="BG17" i="15"/>
  <c r="AL17" i="3"/>
  <c r="AK17" i="3"/>
  <c r="AQ17" i="3" s="1"/>
  <c r="AH18" i="3"/>
  <c r="AL23" i="7"/>
  <c r="AK23" i="7"/>
  <c r="AQ23" i="7" s="1"/>
  <c r="AU16" i="5"/>
  <c r="AR21" i="7"/>
  <c r="AT21" i="7" s="1"/>
  <c r="AW21" i="7"/>
  <c r="AK16" i="1"/>
  <c r="AQ16" i="1" s="1"/>
  <c r="AL16" i="1"/>
  <c r="AH17" i="1"/>
  <c r="AL20" i="6"/>
  <c r="AK20" i="6"/>
  <c r="AQ20" i="6" s="1"/>
  <c r="AH21" i="6"/>
  <c r="AM16" i="3"/>
  <c r="AG31" i="3"/>
  <c r="AR17" i="5"/>
  <c r="AT17" i="5" s="1"/>
  <c r="AU17" i="5" s="1"/>
  <c r="AW17" i="5"/>
  <c r="AT14" i="3"/>
  <c r="AM19" i="6"/>
  <c r="AK19" i="5"/>
  <c r="AQ19" i="5" s="1"/>
  <c r="AL19" i="5"/>
  <c r="AH20" i="5"/>
  <c r="AM15" i="1"/>
  <c r="AR23" i="8" l="1"/>
  <c r="AW23" i="8"/>
  <c r="AW29" i="8" s="1"/>
  <c r="BG16" i="8" s="1"/>
  <c r="S15" i="8" s="1"/>
  <c r="BU74" i="61" s="1"/>
  <c r="AM23" i="9"/>
  <c r="AG32" i="9"/>
  <c r="AR22" i="9"/>
  <c r="AT22" i="9" s="1"/>
  <c r="AU22" i="9" s="1"/>
  <c r="AW22" i="9"/>
  <c r="AM16" i="2"/>
  <c r="AG31" i="2"/>
  <c r="AR15" i="2"/>
  <c r="AT15" i="2" s="1"/>
  <c r="AU15" i="2" s="1"/>
  <c r="AW15" i="2"/>
  <c r="AM17" i="4"/>
  <c r="AU23" i="12"/>
  <c r="AU29" i="12" s="1"/>
  <c r="BG15" i="12" s="1"/>
  <c r="S14" i="12" s="1"/>
  <c r="BQ73" i="61" s="1"/>
  <c r="AT29" i="12"/>
  <c r="BG13" i="12" s="1"/>
  <c r="S12" i="12" s="1"/>
  <c r="BQ71" i="61" s="1"/>
  <c r="AU23" i="11"/>
  <c r="AU29" i="11" s="1"/>
  <c r="BG15" i="11" s="1"/>
  <c r="S14" i="11" s="1"/>
  <c r="BR73" i="61" s="1"/>
  <c r="AT29" i="11"/>
  <c r="BG13" i="11" s="1"/>
  <c r="S12" i="11" s="1"/>
  <c r="BR71" i="61" s="1"/>
  <c r="AL17" i="2"/>
  <c r="AK17" i="2"/>
  <c r="AQ17" i="2" s="1"/>
  <c r="AH18" i="2"/>
  <c r="AR22" i="10"/>
  <c r="AT22" i="10" s="1"/>
  <c r="AU22" i="10" s="1"/>
  <c r="AW22" i="10"/>
  <c r="AG32" i="10"/>
  <c r="AM23" i="10"/>
  <c r="AW16" i="4"/>
  <c r="AR16" i="4"/>
  <c r="AT16" i="4" s="1"/>
  <c r="AU16" i="4" s="1"/>
  <c r="AL18" i="4"/>
  <c r="AK18" i="4"/>
  <c r="AQ18" i="4" s="1"/>
  <c r="AH19" i="4"/>
  <c r="S13" i="9"/>
  <c r="BT72" i="61" s="1"/>
  <c r="S13" i="11"/>
  <c r="BR72" i="61" s="1"/>
  <c r="I50" i="10"/>
  <c r="BG27" i="10"/>
  <c r="I54" i="10"/>
  <c r="I40" i="9"/>
  <c r="BG17" i="9"/>
  <c r="I50" i="8"/>
  <c r="I54" i="8"/>
  <c r="BG27" i="8"/>
  <c r="BG17" i="14"/>
  <c r="I40" i="14"/>
  <c r="S13" i="12"/>
  <c r="BQ72" i="61" s="1"/>
  <c r="S13" i="13"/>
  <c r="AR18" i="5"/>
  <c r="AT18" i="5" s="1"/>
  <c r="AU18" i="5" s="1"/>
  <c r="AW22" i="7"/>
  <c r="AM20" i="6"/>
  <c r="AR20" i="6" s="1"/>
  <c r="AT20" i="6" s="1"/>
  <c r="AU20" i="6" s="1"/>
  <c r="AM19" i="5"/>
  <c r="AR19" i="5" s="1"/>
  <c r="AT19" i="5" s="1"/>
  <c r="AU19" i="5" s="1"/>
  <c r="S16" i="15"/>
  <c r="BN75" i="61" s="1"/>
  <c r="AL20" i="5"/>
  <c r="AK20" i="5"/>
  <c r="AQ20" i="5" s="1"/>
  <c r="AH21" i="5"/>
  <c r="AR19" i="6"/>
  <c r="AT19" i="6" s="1"/>
  <c r="AU19" i="6" s="1"/>
  <c r="AW19" i="6"/>
  <c r="AM16" i="1"/>
  <c r="AG31" i="1"/>
  <c r="AU21" i="7"/>
  <c r="AM17" i="3"/>
  <c r="AR15" i="1"/>
  <c r="AW15" i="1"/>
  <c r="AR16" i="3"/>
  <c r="AT16" i="3" s="1"/>
  <c r="AU16" i="3" s="1"/>
  <c r="AW16" i="3"/>
  <c r="AU14" i="3"/>
  <c r="AL21" i="6"/>
  <c r="AK21" i="6"/>
  <c r="AQ21" i="6" s="1"/>
  <c r="AH22" i="6"/>
  <c r="AL17" i="1"/>
  <c r="AK17" i="1"/>
  <c r="AQ17" i="1" s="1"/>
  <c r="AH18" i="1"/>
  <c r="AM23" i="7"/>
  <c r="AG32" i="7"/>
  <c r="AK18" i="3"/>
  <c r="AQ18" i="3" s="1"/>
  <c r="AL18" i="3"/>
  <c r="AH19" i="3"/>
  <c r="AR29" i="8" l="1"/>
  <c r="BG12" i="8" s="1"/>
  <c r="S11" i="8" s="1"/>
  <c r="BU70" i="61" s="1"/>
  <c r="AT23" i="8"/>
  <c r="AW23" i="9"/>
  <c r="AW29" i="9" s="1"/>
  <c r="BG16" i="9" s="1"/>
  <c r="S15" i="9" s="1"/>
  <c r="BT74" i="61" s="1"/>
  <c r="AR23" i="9"/>
  <c r="AR16" i="2"/>
  <c r="AT16" i="2" s="1"/>
  <c r="AU16" i="2" s="1"/>
  <c r="AW16" i="2"/>
  <c r="AM17" i="2"/>
  <c r="AL18" i="2"/>
  <c r="AK18" i="2"/>
  <c r="AQ18" i="2" s="1"/>
  <c r="AH19" i="2"/>
  <c r="AR17" i="4"/>
  <c r="AT17" i="4" s="1"/>
  <c r="AU17" i="4" s="1"/>
  <c r="AW17" i="4"/>
  <c r="AW23" i="10"/>
  <c r="AW29" i="10" s="1"/>
  <c r="BG16" i="10" s="1"/>
  <c r="S15" i="10" s="1"/>
  <c r="BS74" i="61" s="1"/>
  <c r="AR23" i="10"/>
  <c r="AM18" i="4"/>
  <c r="AL19" i="4"/>
  <c r="AK19" i="4"/>
  <c r="AQ19" i="4" s="1"/>
  <c r="AH20" i="4"/>
  <c r="S26" i="8"/>
  <c r="BU85" i="61" s="1"/>
  <c r="S16" i="14"/>
  <c r="BO75" i="61" s="1"/>
  <c r="S26" i="10"/>
  <c r="BS85" i="61" s="1"/>
  <c r="S16" i="9"/>
  <c r="BT75" i="61" s="1"/>
  <c r="I40" i="11"/>
  <c r="BG17" i="11"/>
  <c r="I37" i="8"/>
  <c r="BG14" i="8"/>
  <c r="BG14" i="10"/>
  <c r="I37" i="10"/>
  <c r="I40" i="12"/>
  <c r="BG17" i="12"/>
  <c r="BP72" i="61"/>
  <c r="I40" i="13"/>
  <c r="BG17" i="13"/>
  <c r="AW20" i="6"/>
  <c r="AW19" i="5"/>
  <c r="AM18" i="3"/>
  <c r="AR18" i="3" s="1"/>
  <c r="AT18" i="3" s="1"/>
  <c r="AU18" i="3" s="1"/>
  <c r="AL18" i="1"/>
  <c r="AK18" i="1"/>
  <c r="AQ18" i="1" s="1"/>
  <c r="AH19" i="1"/>
  <c r="AK22" i="6"/>
  <c r="AQ22" i="6" s="1"/>
  <c r="AL22" i="6"/>
  <c r="AH23" i="6"/>
  <c r="AM17" i="1"/>
  <c r="AM21" i="6"/>
  <c r="AT15" i="1"/>
  <c r="AR16" i="1"/>
  <c r="AT16" i="1" s="1"/>
  <c r="AU16" i="1" s="1"/>
  <c r="AW16" i="1"/>
  <c r="AK21" i="5"/>
  <c r="AQ21" i="5" s="1"/>
  <c r="AL21" i="5"/>
  <c r="AH22" i="5"/>
  <c r="AL19" i="3"/>
  <c r="AK19" i="3"/>
  <c r="AQ19" i="3" s="1"/>
  <c r="AH20" i="3"/>
  <c r="AR23" i="7"/>
  <c r="AW23" i="7"/>
  <c r="AW29" i="7" s="1"/>
  <c r="BG16" i="7" s="1"/>
  <c r="S15" i="7" s="1"/>
  <c r="AR17" i="3"/>
  <c r="AT17" i="3" s="1"/>
  <c r="AW17" i="3"/>
  <c r="AM20" i="5"/>
  <c r="AM19" i="4" l="1"/>
  <c r="AW19" i="4" s="1"/>
  <c r="AM18" i="2"/>
  <c r="AT29" i="8"/>
  <c r="BG13" i="8" s="1"/>
  <c r="S12" i="8" s="1"/>
  <c r="BU71" i="61" s="1"/>
  <c r="AU23" i="8"/>
  <c r="AU29" i="8" s="1"/>
  <c r="BG15" i="8" s="1"/>
  <c r="S14" i="8" s="1"/>
  <c r="BU73" i="61" s="1"/>
  <c r="AR19" i="4"/>
  <c r="AT19" i="4" s="1"/>
  <c r="AU19" i="4" s="1"/>
  <c r="AT23" i="9"/>
  <c r="AR29" i="9"/>
  <c r="BG12" i="9" s="1"/>
  <c r="S11" i="9" s="1"/>
  <c r="BT70" i="61" s="1"/>
  <c r="AR17" i="2"/>
  <c r="AT17" i="2" s="1"/>
  <c r="AU17" i="2" s="1"/>
  <c r="AW17" i="2"/>
  <c r="AH20" i="2"/>
  <c r="AL19" i="2"/>
  <c r="AK19" i="2"/>
  <c r="AQ19" i="2" s="1"/>
  <c r="AR29" i="10"/>
  <c r="BG12" i="10" s="1"/>
  <c r="S11" i="10" s="1"/>
  <c r="BS70" i="61" s="1"/>
  <c r="AT23" i="10"/>
  <c r="AL20" i="4"/>
  <c r="AK20" i="4"/>
  <c r="AQ20" i="4" s="1"/>
  <c r="AH21" i="4"/>
  <c r="AR18" i="4"/>
  <c r="AT18" i="4" s="1"/>
  <c r="AU18" i="4" s="1"/>
  <c r="AW18" i="4"/>
  <c r="S16" i="11"/>
  <c r="BR75" i="61" s="1"/>
  <c r="S16" i="12"/>
  <c r="BQ75" i="61" s="1"/>
  <c r="S13" i="10"/>
  <c r="BS72" i="61" s="1"/>
  <c r="S13" i="8"/>
  <c r="I40" i="8" s="1"/>
  <c r="BV74" i="61"/>
  <c r="I40" i="10"/>
  <c r="BG17" i="10"/>
  <c r="S16" i="13"/>
  <c r="BP75" i="61" s="1"/>
  <c r="AW18" i="3"/>
  <c r="AM18" i="1"/>
  <c r="AR18" i="1" s="1"/>
  <c r="AT18" i="1" s="1"/>
  <c r="AU18" i="1" s="1"/>
  <c r="AM22" i="6"/>
  <c r="AR22" i="6" s="1"/>
  <c r="AT22" i="6" s="1"/>
  <c r="AU22" i="6" s="1"/>
  <c r="AK20" i="3"/>
  <c r="AQ20" i="3" s="1"/>
  <c r="AL20" i="3"/>
  <c r="AH21" i="3"/>
  <c r="AR20" i="5"/>
  <c r="AT20" i="5" s="1"/>
  <c r="AU20" i="5" s="1"/>
  <c r="AW20" i="5"/>
  <c r="AM19" i="3"/>
  <c r="AM21" i="5"/>
  <c r="AR17" i="1"/>
  <c r="AT17" i="1" s="1"/>
  <c r="AU17" i="1" s="1"/>
  <c r="AW17" i="1"/>
  <c r="AL19" i="1"/>
  <c r="AK19" i="1"/>
  <c r="AQ19" i="1" s="1"/>
  <c r="AH20" i="1"/>
  <c r="AU15" i="1"/>
  <c r="AL23" i="6"/>
  <c r="AK23" i="6"/>
  <c r="AQ23" i="6" s="1"/>
  <c r="AU17" i="3"/>
  <c r="AT23" i="7"/>
  <c r="AR29" i="7"/>
  <c r="BG12" i="7" s="1"/>
  <c r="S11" i="7" s="1"/>
  <c r="AL22" i="5"/>
  <c r="AK22" i="5"/>
  <c r="AQ22" i="5" s="1"/>
  <c r="AH23" i="5"/>
  <c r="AR21" i="6"/>
  <c r="AT21" i="6" s="1"/>
  <c r="AU21" i="6" s="1"/>
  <c r="AW21" i="6"/>
  <c r="AW18" i="2" l="1"/>
  <c r="AR18" i="2"/>
  <c r="AT18" i="2" s="1"/>
  <c r="AU18" i="2" s="1"/>
  <c r="AM19" i="2"/>
  <c r="AU23" i="9"/>
  <c r="AU29" i="9" s="1"/>
  <c r="BG15" i="9" s="1"/>
  <c r="S14" i="9" s="1"/>
  <c r="BT73" i="61" s="1"/>
  <c r="AT29" i="9"/>
  <c r="BG13" i="9" s="1"/>
  <c r="S12" i="9" s="1"/>
  <c r="BT71" i="61" s="1"/>
  <c r="AL20" i="2"/>
  <c r="AK20" i="2"/>
  <c r="AQ20" i="2" s="1"/>
  <c r="AH21" i="2"/>
  <c r="AT29" i="10"/>
  <c r="BG13" i="10" s="1"/>
  <c r="S12" i="10" s="1"/>
  <c r="BS71" i="61" s="1"/>
  <c r="AU23" i="10"/>
  <c r="AU29" i="10" s="1"/>
  <c r="BG15" i="10" s="1"/>
  <c r="S14" i="10" s="1"/>
  <c r="BS73" i="61" s="1"/>
  <c r="AL21" i="4"/>
  <c r="AK21" i="4"/>
  <c r="AQ21" i="4" s="1"/>
  <c r="AH22" i="4"/>
  <c r="AM20" i="4"/>
  <c r="S16" i="10"/>
  <c r="BS75" i="61" s="1"/>
  <c r="BU72" i="61"/>
  <c r="BG17" i="8"/>
  <c r="S16" i="8" s="1"/>
  <c r="BU75" i="61" s="1"/>
  <c r="BV70" i="61"/>
  <c r="I50" i="7"/>
  <c r="I54" i="7"/>
  <c r="BG27" i="7"/>
  <c r="AW18" i="1"/>
  <c r="AW22" i="6"/>
  <c r="AM23" i="6"/>
  <c r="AW23" i="6" s="1"/>
  <c r="AM22" i="5"/>
  <c r="AW22" i="5" s="1"/>
  <c r="AG32" i="6"/>
  <c r="AM19" i="1"/>
  <c r="AR21" i="5"/>
  <c r="AT21" i="5" s="1"/>
  <c r="AU21" i="5" s="1"/>
  <c r="AW21" i="5"/>
  <c r="AL21" i="3"/>
  <c r="AK21" i="3"/>
  <c r="AQ21" i="3" s="1"/>
  <c r="AH22" i="3"/>
  <c r="AK23" i="5"/>
  <c r="AQ23" i="5" s="1"/>
  <c r="AG32" i="5" s="1"/>
  <c r="AL23" i="5"/>
  <c r="AU23" i="7"/>
  <c r="AU29" i="7" s="1"/>
  <c r="BG15" i="7" s="1"/>
  <c r="S14" i="7" s="1"/>
  <c r="AT29" i="7"/>
  <c r="BG13" i="7" s="1"/>
  <c r="S12" i="7" s="1"/>
  <c r="AR19" i="3"/>
  <c r="AT19" i="3" s="1"/>
  <c r="AW19" i="3"/>
  <c r="AK20" i="1"/>
  <c r="AQ20" i="1" s="1"/>
  <c r="AL20" i="1"/>
  <c r="AH21" i="1"/>
  <c r="AM20" i="3"/>
  <c r="AR22" i="5" l="1"/>
  <c r="AT22" i="5" s="1"/>
  <c r="AU22" i="5" s="1"/>
  <c r="AM21" i="4"/>
  <c r="AR19" i="2"/>
  <c r="AT19" i="2" s="1"/>
  <c r="AU19" i="2" s="1"/>
  <c r="AW19" i="2"/>
  <c r="AH22" i="2"/>
  <c r="AL21" i="2"/>
  <c r="AK21" i="2"/>
  <c r="AQ21" i="2" s="1"/>
  <c r="AM20" i="2"/>
  <c r="AW20" i="4"/>
  <c r="AR20" i="4"/>
  <c r="AT20" i="4" s="1"/>
  <c r="AU20" i="4" s="1"/>
  <c r="AH23" i="4"/>
  <c r="AL22" i="4"/>
  <c r="AK22" i="4"/>
  <c r="AQ22" i="4" s="1"/>
  <c r="S26" i="7"/>
  <c r="BV85" i="61" s="1"/>
  <c r="BV71" i="61"/>
  <c r="I37" i="7"/>
  <c r="BG14" i="7"/>
  <c r="BV73" i="61"/>
  <c r="AR23" i="6"/>
  <c r="AT23" i="6" s="1"/>
  <c r="AW29" i="6"/>
  <c r="BG16" i="6" s="1"/>
  <c r="S15" i="6" s="1"/>
  <c r="AM21" i="3"/>
  <c r="AR21" i="3" s="1"/>
  <c r="AT21" i="3" s="1"/>
  <c r="AU21" i="3" s="1"/>
  <c r="AL21" i="1"/>
  <c r="AK21" i="1"/>
  <c r="AQ21" i="1" s="1"/>
  <c r="AH22" i="1"/>
  <c r="AU19" i="3"/>
  <c r="AM20" i="1"/>
  <c r="AM23" i="5"/>
  <c r="AK22" i="3"/>
  <c r="AQ22" i="3" s="1"/>
  <c r="AL22" i="3"/>
  <c r="AH23" i="3"/>
  <c r="AR19" i="1"/>
  <c r="AT19" i="1" s="1"/>
  <c r="AW19" i="1"/>
  <c r="AR20" i="3"/>
  <c r="AT20" i="3" s="1"/>
  <c r="AU20" i="3" s="1"/>
  <c r="AW20" i="3"/>
  <c r="AM22" i="4" l="1"/>
  <c r="AR22" i="4" s="1"/>
  <c r="AT22" i="4" s="1"/>
  <c r="AU22" i="4" s="1"/>
  <c r="AM21" i="2"/>
  <c r="AW21" i="2" s="1"/>
  <c r="AR21" i="4"/>
  <c r="AT21" i="4" s="1"/>
  <c r="AU21" i="4" s="1"/>
  <c r="AW21" i="4"/>
  <c r="AW20" i="2"/>
  <c r="AR20" i="2"/>
  <c r="AT20" i="2" s="1"/>
  <c r="AU20" i="2" s="1"/>
  <c r="AH23" i="2"/>
  <c r="AL22" i="2"/>
  <c r="AK22" i="2"/>
  <c r="AQ22" i="2" s="1"/>
  <c r="AL23" i="4"/>
  <c r="AK23" i="4"/>
  <c r="AQ23" i="4" s="1"/>
  <c r="S13" i="7"/>
  <c r="BV72" i="61" s="1"/>
  <c r="I40" i="7"/>
  <c r="BG17" i="7"/>
  <c r="BW74" i="61"/>
  <c r="AW21" i="3"/>
  <c r="AR29" i="6"/>
  <c r="BG12" i="6" s="1"/>
  <c r="S11" i="6" s="1"/>
  <c r="AM22" i="3"/>
  <c r="AR20" i="1"/>
  <c r="AT20" i="1" s="1"/>
  <c r="AU20" i="1" s="1"/>
  <c r="AW20" i="1"/>
  <c r="AM21" i="1"/>
  <c r="AU19" i="1"/>
  <c r="AR23" i="5"/>
  <c r="AW23" i="5"/>
  <c r="AW29" i="5" s="1"/>
  <c r="AL23" i="3"/>
  <c r="AK23" i="3"/>
  <c r="AQ23" i="3" s="1"/>
  <c r="AU23" i="6"/>
  <c r="AU29" i="6" s="1"/>
  <c r="BG15" i="6" s="1"/>
  <c r="S14" i="6" s="1"/>
  <c r="AT29" i="6"/>
  <c r="BG13" i="6" s="1"/>
  <c r="S12" i="6" s="1"/>
  <c r="AK22" i="1"/>
  <c r="AQ22" i="1" s="1"/>
  <c r="AL22" i="1"/>
  <c r="AH23" i="1"/>
  <c r="S16" i="7" l="1"/>
  <c r="AR21" i="2"/>
  <c r="AT21" i="2" s="1"/>
  <c r="AU21" i="2" s="1"/>
  <c r="AW22" i="4"/>
  <c r="AM22" i="2"/>
  <c r="AK23" i="2"/>
  <c r="AQ23" i="2" s="1"/>
  <c r="AL23" i="2"/>
  <c r="AG32" i="4"/>
  <c r="AM23" i="4"/>
  <c r="BW71" i="61"/>
  <c r="BG14" i="6"/>
  <c r="I37" i="6"/>
  <c r="BW73" i="61"/>
  <c r="BW70" i="61"/>
  <c r="I50" i="6"/>
  <c r="BG27" i="6"/>
  <c r="I54" i="6"/>
  <c r="BV75" i="61"/>
  <c r="AK23" i="1"/>
  <c r="AQ23" i="1" s="1"/>
  <c r="AL23" i="1"/>
  <c r="AM23" i="3"/>
  <c r="AT23" i="5"/>
  <c r="AR29" i="5"/>
  <c r="AG32" i="3"/>
  <c r="AR21" i="1"/>
  <c r="AT21" i="1" s="1"/>
  <c r="AU21" i="1" s="1"/>
  <c r="AW21" i="1"/>
  <c r="AR22" i="3"/>
  <c r="AT22" i="3" s="1"/>
  <c r="AU22" i="3" s="1"/>
  <c r="AW22" i="3"/>
  <c r="AM22" i="1"/>
  <c r="AM23" i="2" l="1"/>
  <c r="AG32" i="2"/>
  <c r="AW22" i="2"/>
  <c r="AR22" i="2"/>
  <c r="AT22" i="2" s="1"/>
  <c r="AU22" i="2" s="1"/>
  <c r="AR23" i="4"/>
  <c r="AW23" i="4"/>
  <c r="AW29" i="4" s="1"/>
  <c r="S13" i="6"/>
  <c r="BW72" i="61" s="1"/>
  <c r="BG17" i="6"/>
  <c r="S26" i="6"/>
  <c r="BW85" i="61" s="1"/>
  <c r="I40" i="6"/>
  <c r="AU23" i="5"/>
  <c r="AU29" i="5" s="1"/>
  <c r="AT29" i="5"/>
  <c r="AR23" i="3"/>
  <c r="AW23" i="3"/>
  <c r="AW29" i="3" s="1"/>
  <c r="AR22" i="1"/>
  <c r="AT22" i="1" s="1"/>
  <c r="AU22" i="1" s="1"/>
  <c r="AW22" i="1"/>
  <c r="AM23" i="1"/>
  <c r="AG32" i="1"/>
  <c r="AR23" i="2" l="1"/>
  <c r="AW23" i="2"/>
  <c r="AW29" i="2" s="1"/>
  <c r="AR29" i="4"/>
  <c r="AT23" i="4"/>
  <c r="S16" i="6"/>
  <c r="BW75" i="61" s="1"/>
  <c r="AR23" i="1"/>
  <c r="AW23" i="1"/>
  <c r="AW29" i="1" s="1"/>
  <c r="AT23" i="3"/>
  <c r="AR29" i="3"/>
  <c r="AT23" i="2" l="1"/>
  <c r="AR29" i="2"/>
  <c r="AU23" i="4"/>
  <c r="AU29" i="4" s="1"/>
  <c r="AT29" i="4"/>
  <c r="AU23" i="3"/>
  <c r="AU29" i="3" s="1"/>
  <c r="AT29" i="3"/>
  <c r="AT23" i="1"/>
  <c r="AR29" i="1"/>
  <c r="AT29" i="2" l="1"/>
  <c r="AU23" i="2"/>
  <c r="AU29" i="2" s="1"/>
  <c r="AU23" i="1"/>
  <c r="AU29" i="1" s="1"/>
  <c r="AT29" i="1"/>
  <c r="D12" i="44" l="1"/>
  <c r="AP10" i="44" s="1"/>
  <c r="AR10" i="44" s="1"/>
  <c r="D14" i="42"/>
  <c r="D14" i="41"/>
  <c r="D11" i="40"/>
  <c r="D12" i="39"/>
  <c r="AK74" i="39" s="1"/>
  <c r="AM74" i="39" s="1"/>
  <c r="AS74" i="39" s="1"/>
  <c r="D13" i="38"/>
  <c r="AK79" i="38" s="1"/>
  <c r="AM79" i="38" s="1"/>
  <c r="AS79" i="38" s="1"/>
  <c r="AT79" i="38" s="1"/>
  <c r="D14" i="38" s="1"/>
  <c r="D14" i="37"/>
  <c r="D14" i="36"/>
  <c r="D13" i="35"/>
  <c r="AK79" i="35" s="1"/>
  <c r="AM79" i="35" s="1"/>
  <c r="AS79" i="35" s="1"/>
  <c r="AT79" i="35" s="1"/>
  <c r="D14" i="35" s="1"/>
  <c r="D11" i="34"/>
  <c r="E11" i="34"/>
  <c r="D11" i="31"/>
  <c r="AP15" i="31" s="1"/>
  <c r="AR15" i="31" s="1"/>
  <c r="L10" i="31" s="1"/>
  <c r="AP69" i="31" s="1"/>
  <c r="E12" i="44"/>
  <c r="AP11" i="44" s="1"/>
  <c r="AR11" i="44" s="1"/>
  <c r="E11" i="43"/>
  <c r="E14" i="42"/>
  <c r="E14" i="41"/>
  <c r="E11" i="40"/>
  <c r="E13" i="38"/>
  <c r="AK80" i="38" s="1"/>
  <c r="AM80" i="38" s="1"/>
  <c r="AS80" i="38" s="1"/>
  <c r="AT80" i="38" s="1"/>
  <c r="E14" i="38" s="1"/>
  <c r="E14" i="37"/>
  <c r="E14" i="36"/>
  <c r="E13" i="35"/>
  <c r="AK80" i="35" s="1"/>
  <c r="AM80" i="35" s="1"/>
  <c r="AS80" i="35" s="1"/>
  <c r="AT80" i="35" s="1"/>
  <c r="E14" i="35" s="1"/>
  <c r="E12" i="33"/>
  <c r="AK75" i="33" s="1"/>
  <c r="AM75" i="33" s="1"/>
  <c r="AS75" i="33" s="1"/>
  <c r="E11" i="31"/>
  <c r="AP16" i="31" s="1"/>
  <c r="AR16" i="31" s="1"/>
  <c r="L11" i="31" s="1"/>
  <c r="AP70" i="31" s="1"/>
  <c r="E13" i="59"/>
  <c r="D13" i="59"/>
  <c r="AL13" i="44" l="1"/>
  <c r="AB23" i="49"/>
  <c r="AD23" i="49" s="1"/>
  <c r="AP6" i="49"/>
  <c r="AR6" i="49" s="1"/>
  <c r="Z90" i="48"/>
  <c r="AB90" i="48" s="1"/>
  <c r="L100" i="48"/>
  <c r="N100" i="48" s="1"/>
  <c r="AQ100" i="48" s="1"/>
  <c r="AL12" i="44"/>
  <c r="Z89" i="48"/>
  <c r="AB89" i="48" s="1"/>
  <c r="L99" i="48"/>
  <c r="N99" i="48" s="1"/>
  <c r="AQ99" i="48" s="1"/>
  <c r="AB22" i="49"/>
  <c r="AD22" i="49" s="1"/>
  <c r="AP5" i="49"/>
  <c r="AR5" i="49" s="1"/>
  <c r="AP16" i="43"/>
  <c r="AR16" i="43" s="1"/>
  <c r="AP11" i="43"/>
  <c r="AR11" i="43" s="1"/>
  <c r="AK74" i="44"/>
  <c r="AM74" i="44" s="1"/>
  <c r="AS74" i="44" s="1"/>
  <c r="AP15" i="44"/>
  <c r="AR15" i="44" s="1"/>
  <c r="AK75" i="44"/>
  <c r="AM75" i="44" s="1"/>
  <c r="AS75" i="44" s="1"/>
  <c r="AP16" i="44"/>
  <c r="AR16" i="44" s="1"/>
  <c r="Z84" i="28"/>
  <c r="AB84" i="28" s="1"/>
  <c r="L89" i="28"/>
  <c r="N89" i="28" s="1"/>
  <c r="AQ89" i="28" s="1"/>
  <c r="AM90" i="59"/>
  <c r="AO90" i="59" s="1"/>
  <c r="AU90" i="59" s="1"/>
  <c r="AV90" i="59" s="1"/>
  <c r="E14" i="59" s="1"/>
  <c r="Z90" i="59"/>
  <c r="AB90" i="59" s="1"/>
  <c r="L96" i="59"/>
  <c r="N96" i="59" s="1"/>
  <c r="AS96" i="59" s="1"/>
  <c r="Z80" i="29"/>
  <c r="AB80" i="29" s="1"/>
  <c r="L85" i="29"/>
  <c r="N85" i="29" s="1"/>
  <c r="AQ85" i="29" s="1"/>
  <c r="Z80" i="35"/>
  <c r="AB80" i="35" s="1"/>
  <c r="L85" i="35"/>
  <c r="N85" i="35" s="1"/>
  <c r="AQ85" i="35" s="1"/>
  <c r="AK70" i="43"/>
  <c r="AM70" i="43" s="1"/>
  <c r="AS70" i="43" s="1"/>
  <c r="Z70" i="43"/>
  <c r="AB70" i="43" s="1"/>
  <c r="L75" i="43"/>
  <c r="N75" i="43" s="1"/>
  <c r="AQ75" i="43" s="1"/>
  <c r="Z85" i="47"/>
  <c r="AB85" i="47" s="1"/>
  <c r="L90" i="47"/>
  <c r="N90" i="47" s="1"/>
  <c r="AQ90" i="47" s="1"/>
  <c r="Z70" i="27"/>
  <c r="AB70" i="27" s="1"/>
  <c r="Z79" i="28"/>
  <c r="AB79" i="28" s="1"/>
  <c r="L84" i="28"/>
  <c r="N84" i="28" s="1"/>
  <c r="AQ84" i="28" s="1"/>
  <c r="AK84" i="36"/>
  <c r="AM84" i="36" s="1"/>
  <c r="AS84" i="36" s="1"/>
  <c r="Z84" i="36"/>
  <c r="AB84" i="36" s="1"/>
  <c r="L89" i="36"/>
  <c r="N89" i="36" s="1"/>
  <c r="AQ89" i="36" s="1"/>
  <c r="Z69" i="40"/>
  <c r="AB69" i="40" s="1"/>
  <c r="L74" i="40"/>
  <c r="N74" i="40" s="1"/>
  <c r="AQ74" i="40" s="1"/>
  <c r="L79" i="44"/>
  <c r="N79" i="44" s="1"/>
  <c r="AQ79" i="44" s="1"/>
  <c r="Z74" i="44"/>
  <c r="AB74" i="44" s="1"/>
  <c r="AK85" i="35"/>
  <c r="AM85" i="35" s="1"/>
  <c r="AS85" i="35" s="1"/>
  <c r="Z85" i="35"/>
  <c r="AB85" i="35" s="1"/>
  <c r="L90" i="35"/>
  <c r="N90" i="35" s="1"/>
  <c r="AQ90" i="35" s="1"/>
  <c r="AK84" i="38"/>
  <c r="AM84" i="38" s="1"/>
  <c r="AS84" i="38" s="1"/>
  <c r="Z84" i="38"/>
  <c r="AB84" i="38" s="1"/>
  <c r="L89" i="38"/>
  <c r="N89" i="38" s="1"/>
  <c r="AQ89" i="38" s="1"/>
  <c r="Z80" i="30"/>
  <c r="AB80" i="30" s="1"/>
  <c r="L85" i="30"/>
  <c r="N85" i="30" s="1"/>
  <c r="AQ85" i="30" s="1"/>
  <c r="AK85" i="36"/>
  <c r="AM85" i="36" s="1"/>
  <c r="AS85" i="36" s="1"/>
  <c r="Z85" i="36"/>
  <c r="AB85" i="36" s="1"/>
  <c r="L90" i="36"/>
  <c r="N90" i="36" s="1"/>
  <c r="AQ90" i="36" s="1"/>
  <c r="Z70" i="40"/>
  <c r="AB70" i="40" s="1"/>
  <c r="L75" i="40"/>
  <c r="N75" i="40" s="1"/>
  <c r="AQ75" i="40" s="1"/>
  <c r="Z75" i="44"/>
  <c r="AB75" i="44" s="1"/>
  <c r="L80" i="44"/>
  <c r="N80" i="44" s="1"/>
  <c r="AQ80" i="44" s="1"/>
  <c r="Z80" i="49"/>
  <c r="AB80" i="49" s="1"/>
  <c r="L85" i="49"/>
  <c r="N85" i="49" s="1"/>
  <c r="AQ85" i="49" s="1"/>
  <c r="Z85" i="26"/>
  <c r="AB85" i="26" s="1"/>
  <c r="L90" i="26"/>
  <c r="N90" i="26" s="1"/>
  <c r="AQ90" i="26" s="1"/>
  <c r="Z79" i="29"/>
  <c r="AB79" i="29" s="1"/>
  <c r="L84" i="29"/>
  <c r="N84" i="29" s="1"/>
  <c r="AQ84" i="29" s="1"/>
  <c r="Z70" i="34"/>
  <c r="AB70" i="34" s="1"/>
  <c r="L75" i="34"/>
  <c r="N75" i="34" s="1"/>
  <c r="AQ75" i="34" s="1"/>
  <c r="Z84" i="37"/>
  <c r="AB84" i="37" s="1"/>
  <c r="L89" i="37"/>
  <c r="N89" i="37" s="1"/>
  <c r="AQ89" i="37" s="1"/>
  <c r="AK84" i="41"/>
  <c r="AM84" i="41" s="1"/>
  <c r="AS84" i="41" s="1"/>
  <c r="Z84" i="41"/>
  <c r="AB84" i="41" s="1"/>
  <c r="L89" i="41"/>
  <c r="N89" i="41" s="1"/>
  <c r="AQ89" i="41" s="1"/>
  <c r="Z85" i="38"/>
  <c r="AB85" i="38" s="1"/>
  <c r="L90" i="38"/>
  <c r="N90" i="38" s="1"/>
  <c r="AQ90" i="38" s="1"/>
  <c r="Z84" i="29"/>
  <c r="AB84" i="29" s="1"/>
  <c r="L89" i="29"/>
  <c r="N89" i="29" s="1"/>
  <c r="AQ89" i="29" s="1"/>
  <c r="AK70" i="31"/>
  <c r="AM70" i="31" s="1"/>
  <c r="AS70" i="31" s="1"/>
  <c r="Z70" i="31"/>
  <c r="AB70" i="31" s="1"/>
  <c r="L75" i="31"/>
  <c r="N75" i="31" s="1"/>
  <c r="AQ75" i="31" s="1"/>
  <c r="Z85" i="37"/>
  <c r="AB85" i="37" s="1"/>
  <c r="L90" i="37"/>
  <c r="N90" i="37" s="1"/>
  <c r="AQ90" i="37" s="1"/>
  <c r="AK85" i="41"/>
  <c r="AM85" i="41" s="1"/>
  <c r="AS85" i="41" s="1"/>
  <c r="Z85" i="41"/>
  <c r="AB85" i="41" s="1"/>
  <c r="L90" i="41"/>
  <c r="N90" i="41" s="1"/>
  <c r="AQ90" i="41" s="1"/>
  <c r="Z84" i="26"/>
  <c r="AB84" i="26" s="1"/>
  <c r="L89" i="26"/>
  <c r="N89" i="26" s="1"/>
  <c r="AQ89" i="26" s="1"/>
  <c r="Z84" i="30"/>
  <c r="AB84" i="30" s="1"/>
  <c r="L89" i="30"/>
  <c r="N89" i="30" s="1"/>
  <c r="AQ89" i="30" s="1"/>
  <c r="Z69" i="34"/>
  <c r="AB69" i="34" s="1"/>
  <c r="L74" i="34"/>
  <c r="N74" i="34" s="1"/>
  <c r="AQ74" i="34" s="1"/>
  <c r="Z79" i="38"/>
  <c r="AB79" i="38" s="1"/>
  <c r="L84" i="38"/>
  <c r="N84" i="38" s="1"/>
  <c r="AQ84" i="38" s="1"/>
  <c r="Z84" i="42"/>
  <c r="AB84" i="42" s="1"/>
  <c r="L89" i="42"/>
  <c r="N89" i="42" s="1"/>
  <c r="AQ89" i="42" s="1"/>
  <c r="Z84" i="46"/>
  <c r="AB84" i="46" s="1"/>
  <c r="L89" i="46"/>
  <c r="N89" i="46" s="1"/>
  <c r="AQ89" i="46" s="1"/>
  <c r="Z79" i="49"/>
  <c r="AB79" i="49" s="1"/>
  <c r="L84" i="49"/>
  <c r="N84" i="49" s="1"/>
  <c r="AQ84" i="49" s="1"/>
  <c r="AK84" i="35"/>
  <c r="AM84" i="35" s="1"/>
  <c r="AS84" i="35" s="1"/>
  <c r="Z84" i="35"/>
  <c r="AB84" i="35" s="1"/>
  <c r="L89" i="35"/>
  <c r="N89" i="35" s="1"/>
  <c r="AQ89" i="35" s="1"/>
  <c r="AM89" i="59"/>
  <c r="AO89" i="59" s="1"/>
  <c r="AU89" i="59" s="1"/>
  <c r="AV89" i="59" s="1"/>
  <c r="AV88" i="59" s="1"/>
  <c r="B72" i="58" s="1" a="1"/>
  <c r="J76" i="58" s="1"/>
  <c r="Z89" i="59"/>
  <c r="AB89" i="59" s="1"/>
  <c r="L95" i="59"/>
  <c r="N95" i="59" s="1"/>
  <c r="AS95" i="59" s="1"/>
  <c r="Z80" i="28"/>
  <c r="AB80" i="28" s="1"/>
  <c r="L85" i="28"/>
  <c r="N85" i="28" s="1"/>
  <c r="AQ85" i="28" s="1"/>
  <c r="Z75" i="33"/>
  <c r="AB75" i="33" s="1"/>
  <c r="L80" i="33"/>
  <c r="N80" i="33" s="1"/>
  <c r="AQ80" i="33" s="1"/>
  <c r="Z80" i="38"/>
  <c r="AB80" i="38" s="1"/>
  <c r="L85" i="38"/>
  <c r="N85" i="38" s="1"/>
  <c r="AQ85" i="38" s="1"/>
  <c r="AK85" i="42"/>
  <c r="AM85" i="42" s="1"/>
  <c r="AS85" i="42" s="1"/>
  <c r="Z85" i="42"/>
  <c r="AB85" i="42" s="1"/>
  <c r="L90" i="42"/>
  <c r="N90" i="42" s="1"/>
  <c r="AQ90" i="42" s="1"/>
  <c r="Z85" i="46"/>
  <c r="AB85" i="46" s="1"/>
  <c r="L90" i="46"/>
  <c r="N90" i="46" s="1"/>
  <c r="AQ90" i="46" s="1"/>
  <c r="Z69" i="31"/>
  <c r="AB69" i="31" s="1"/>
  <c r="L74" i="31"/>
  <c r="N74" i="31" s="1"/>
  <c r="AQ74" i="31" s="1"/>
  <c r="Z79" i="35"/>
  <c r="AB79" i="35" s="1"/>
  <c r="L84" i="35"/>
  <c r="N84" i="35" s="1"/>
  <c r="AQ84" i="35" s="1"/>
  <c r="L79" i="39"/>
  <c r="N79" i="39" s="1"/>
  <c r="AQ79" i="39" s="1"/>
  <c r="Z74" i="39"/>
  <c r="AB74" i="39" s="1"/>
  <c r="Z84" i="47"/>
  <c r="AB84" i="47" s="1"/>
  <c r="L89" i="47"/>
  <c r="N89" i="47" s="1"/>
  <c r="AQ89" i="47" s="1"/>
  <c r="AK70" i="34"/>
  <c r="AM70" i="34" s="1"/>
  <c r="AS70" i="34" s="1"/>
  <c r="AK70" i="40"/>
  <c r="AM70" i="40" s="1"/>
  <c r="AS70" i="40" s="1"/>
  <c r="AK85" i="37"/>
  <c r="AM85" i="37" s="1"/>
  <c r="AS85" i="37" s="1"/>
  <c r="AK85" i="38"/>
  <c r="AM85" i="38" s="1"/>
  <c r="AS85" i="38" s="1"/>
  <c r="AK69" i="31"/>
  <c r="AM69" i="31" s="1"/>
  <c r="AS69" i="31" s="1"/>
  <c r="AK69" i="34"/>
  <c r="AM69" i="34" s="1"/>
  <c r="AS69" i="34" s="1"/>
  <c r="AK84" i="37"/>
  <c r="AM84" i="37" s="1"/>
  <c r="AS84" i="37" s="1"/>
  <c r="AK69" i="40"/>
  <c r="AM69" i="40" s="1"/>
  <c r="AS69" i="40" s="1"/>
  <c r="AK84" i="42"/>
  <c r="AM84" i="42" s="1"/>
  <c r="AS84" i="42" s="1"/>
  <c r="D14" i="59" l="1"/>
  <c r="AM95" i="59" s="1"/>
  <c r="AO95" i="59" s="1"/>
  <c r="AU95" i="59" s="1"/>
  <c r="L11" i="44"/>
  <c r="AP75" i="44" s="1"/>
  <c r="AR90" i="48"/>
  <c r="L10" i="44"/>
  <c r="AP74" i="44" s="1"/>
  <c r="AR84" i="38"/>
  <c r="AT84" i="38" s="1"/>
  <c r="D15" i="38" s="1"/>
  <c r="X24" i="49"/>
  <c r="AR89" i="48"/>
  <c r="X25" i="49"/>
  <c r="AL12" i="43"/>
  <c r="L10" i="43" s="1"/>
  <c r="AL13" i="43"/>
  <c r="L11" i="43" s="1"/>
  <c r="AT90" i="59"/>
  <c r="AR79" i="35"/>
  <c r="AR84" i="42"/>
  <c r="AT84" i="42" s="1"/>
  <c r="D15" i="42" s="1"/>
  <c r="AK89" i="42" s="1"/>
  <c r="AM89" i="42" s="1"/>
  <c r="AS89" i="42" s="1"/>
  <c r="AR70" i="40"/>
  <c r="AR69" i="31"/>
  <c r="AT69" i="31" s="1"/>
  <c r="D12" i="31" s="1"/>
  <c r="Z74" i="31" s="1"/>
  <c r="AB74" i="31" s="1"/>
  <c r="AR85" i="47"/>
  <c r="AR84" i="35"/>
  <c r="AT84" i="35" s="1"/>
  <c r="D15" i="35" s="1"/>
  <c r="AT70" i="40"/>
  <c r="E12" i="40" s="1"/>
  <c r="AK75" i="40" s="1"/>
  <c r="AM75" i="40" s="1"/>
  <c r="AS75" i="40" s="1"/>
  <c r="AR80" i="28"/>
  <c r="AR79" i="49"/>
  <c r="G72" i="58"/>
  <c r="B72" i="58"/>
  <c r="I72" i="58"/>
  <c r="AR84" i="46"/>
  <c r="C72" i="58"/>
  <c r="AR70" i="34"/>
  <c r="AT70" i="34" s="1"/>
  <c r="E12" i="34" s="1"/>
  <c r="AK75" i="34" s="1"/>
  <c r="AM75" i="34" s="1"/>
  <c r="AS75" i="34" s="1"/>
  <c r="AR84" i="26"/>
  <c r="AT79" i="44"/>
  <c r="D14" i="44" s="1"/>
  <c r="AK84" i="44" s="1"/>
  <c r="AM84" i="44" s="1"/>
  <c r="AS84" i="44" s="1"/>
  <c r="F73" i="58"/>
  <c r="G73" i="58"/>
  <c r="D72" i="58"/>
  <c r="C73" i="58"/>
  <c r="M72" i="58"/>
  <c r="D73" i="58"/>
  <c r="AR79" i="38"/>
  <c r="E72" i="58"/>
  <c r="L76" i="58"/>
  <c r="E74" i="58"/>
  <c r="H75" i="58"/>
  <c r="I73" i="58"/>
  <c r="J72" i="58"/>
  <c r="K72" i="58"/>
  <c r="F72" i="58"/>
  <c r="AR85" i="41"/>
  <c r="AT85" i="41" s="1"/>
  <c r="E15" i="41" s="1"/>
  <c r="AR80" i="29"/>
  <c r="L72" i="58"/>
  <c r="L73" i="58"/>
  <c r="F74" i="58"/>
  <c r="G74" i="58"/>
  <c r="K73" i="58"/>
  <c r="E73" i="58"/>
  <c r="H73" i="58"/>
  <c r="H72" i="58"/>
  <c r="B73" i="58"/>
  <c r="H74" i="58"/>
  <c r="K75" i="58"/>
  <c r="E76" i="58"/>
  <c r="I75" i="58"/>
  <c r="C74" i="58"/>
  <c r="M73" i="58"/>
  <c r="M75" i="58"/>
  <c r="K74" i="58"/>
  <c r="J75" i="58"/>
  <c r="K76" i="58"/>
  <c r="B75" i="58"/>
  <c r="D76" i="58"/>
  <c r="C75" i="58"/>
  <c r="G75" i="58"/>
  <c r="L75" i="58"/>
  <c r="I76" i="58"/>
  <c r="F75" i="58"/>
  <c r="G76" i="58"/>
  <c r="D75" i="58"/>
  <c r="M74" i="58"/>
  <c r="F76" i="58"/>
  <c r="B74" i="58"/>
  <c r="B76" i="58"/>
  <c r="AR85" i="37"/>
  <c r="AT85" i="37" s="1"/>
  <c r="E15" i="37" s="1"/>
  <c r="E75" i="58"/>
  <c r="D74" i="58"/>
  <c r="I74" i="58"/>
  <c r="J74" i="58"/>
  <c r="C76" i="58"/>
  <c r="H76" i="58"/>
  <c r="M76" i="58"/>
  <c r="J73" i="58"/>
  <c r="L74" i="58"/>
  <c r="Z95" i="59"/>
  <c r="AB95" i="59" s="1"/>
  <c r="L101" i="59"/>
  <c r="N101" i="59" s="1"/>
  <c r="AS101" i="59" s="1"/>
  <c r="AR75" i="39"/>
  <c r="AT75" i="39" s="1"/>
  <c r="E13" i="39" s="1"/>
  <c r="AR74" i="39"/>
  <c r="AT74" i="39" s="1"/>
  <c r="D13" i="39" s="1"/>
  <c r="AR75" i="33"/>
  <c r="AT75" i="33" s="1"/>
  <c r="E13" i="33" s="1"/>
  <c r="AR74" i="33"/>
  <c r="AT74" i="33" s="1"/>
  <c r="D13" i="33" s="1"/>
  <c r="AR85" i="46"/>
  <c r="AR84" i="37"/>
  <c r="AT84" i="37" s="1"/>
  <c r="D15" i="37" s="1"/>
  <c r="AR84" i="41"/>
  <c r="AT84" i="41" s="1"/>
  <c r="D15" i="41" s="1"/>
  <c r="Z85" i="30"/>
  <c r="AB85" i="30" s="1"/>
  <c r="AR85" i="30" s="1"/>
  <c r="L90" i="30"/>
  <c r="N90" i="30" s="1"/>
  <c r="AQ90" i="30" s="1"/>
  <c r="AT80" i="33"/>
  <c r="E14" i="33" s="1"/>
  <c r="AR85" i="36"/>
  <c r="AT85" i="36" s="1"/>
  <c r="E15" i="36" s="1"/>
  <c r="AR84" i="36"/>
  <c r="AT84" i="36" s="1"/>
  <c r="D15" i="36" s="1"/>
  <c r="AR84" i="47"/>
  <c r="Z85" i="29"/>
  <c r="AB85" i="29" s="1"/>
  <c r="AR85" i="29" s="1"/>
  <c r="L90" i="29"/>
  <c r="N90" i="29" s="1"/>
  <c r="AQ90" i="29" s="1"/>
  <c r="AT80" i="44"/>
  <c r="E14" i="44" s="1"/>
  <c r="AR80" i="38"/>
  <c r="AT79" i="39"/>
  <c r="D14" i="39" s="1"/>
  <c r="AR69" i="34"/>
  <c r="AT69" i="34" s="1"/>
  <c r="D12" i="34" s="1"/>
  <c r="AK74" i="34" s="1"/>
  <c r="AM74" i="34" s="1"/>
  <c r="AS74" i="34" s="1"/>
  <c r="AR80" i="49"/>
  <c r="AR85" i="35"/>
  <c r="AT85" i="35" s="1"/>
  <c r="E15" i="35" s="1"/>
  <c r="AR69" i="27"/>
  <c r="AR70" i="27"/>
  <c r="AR80" i="35"/>
  <c r="Z75" i="40"/>
  <c r="AB75" i="40" s="1"/>
  <c r="AR70" i="31"/>
  <c r="AT70" i="31" s="1"/>
  <c r="E12" i="31" s="1"/>
  <c r="L80" i="34"/>
  <c r="N80" i="34" s="1"/>
  <c r="AQ80" i="34" s="1"/>
  <c r="AT80" i="34" s="1"/>
  <c r="E14" i="34" s="1"/>
  <c r="AR85" i="26"/>
  <c r="L80" i="40"/>
  <c r="N80" i="40" s="1"/>
  <c r="AQ80" i="40" s="1"/>
  <c r="AT80" i="40" s="1"/>
  <c r="E14" i="40" s="1"/>
  <c r="AR85" i="38"/>
  <c r="AT85" i="38" s="1"/>
  <c r="E15" i="38" s="1"/>
  <c r="AR69" i="40"/>
  <c r="AT69" i="40" s="1"/>
  <c r="D12" i="40" s="1"/>
  <c r="Z74" i="40" s="1"/>
  <c r="AB74" i="40" s="1"/>
  <c r="AR70" i="43"/>
  <c r="AR69" i="43"/>
  <c r="AT89" i="59"/>
  <c r="L90" i="28"/>
  <c r="N90" i="28" s="1"/>
  <c r="AQ90" i="28" s="1"/>
  <c r="Z85" i="28"/>
  <c r="AB85" i="28" s="1"/>
  <c r="AR85" i="28" s="1"/>
  <c r="AR85" i="42"/>
  <c r="AT85" i="42" s="1"/>
  <c r="E15" i="42" s="1"/>
  <c r="AR75" i="44"/>
  <c r="AT75" i="44" s="1"/>
  <c r="E13" i="44" s="1"/>
  <c r="AR74" i="44"/>
  <c r="AT74" i="44" s="1"/>
  <c r="D13" i="44" s="1"/>
  <c r="AR79" i="28"/>
  <c r="AR79" i="29"/>
  <c r="AM96" i="59"/>
  <c r="AO96" i="59" s="1"/>
  <c r="AU96" i="59" s="1"/>
  <c r="Z96" i="59"/>
  <c r="AB96" i="59" s="1"/>
  <c r="L102" i="59"/>
  <c r="N102" i="59" s="1"/>
  <c r="AS102" i="59" s="1"/>
  <c r="AP70" i="43" l="1"/>
  <c r="AT70" i="43" s="1"/>
  <c r="E12" i="43" s="1"/>
  <c r="Z75" i="43" s="1"/>
  <c r="AB75" i="43" s="1"/>
  <c r="AP45" i="43"/>
  <c r="AT45" i="43" s="1"/>
  <c r="E7" i="43" s="1"/>
  <c r="AK50" i="43" s="1"/>
  <c r="AM50" i="43" s="1"/>
  <c r="AS50" i="43" s="1"/>
  <c r="AP69" i="43"/>
  <c r="AT69" i="43" s="1"/>
  <c r="D12" i="43" s="1"/>
  <c r="AK74" i="43" s="1"/>
  <c r="AM74" i="43" s="1"/>
  <c r="AS74" i="43" s="1"/>
  <c r="AP44" i="43"/>
  <c r="AT44" i="43" s="1"/>
  <c r="D7" i="43" s="1"/>
  <c r="AK49" i="43" s="1"/>
  <c r="AM49" i="43" s="1"/>
  <c r="AS49" i="43" s="1"/>
  <c r="AP40" i="27"/>
  <c r="AT40" i="27" s="1"/>
  <c r="E6" i="27" s="1"/>
  <c r="AP39" i="27"/>
  <c r="AT39" i="27" s="1"/>
  <c r="D6" i="27" s="1"/>
  <c r="L105" i="48"/>
  <c r="N105" i="48" s="1"/>
  <c r="AQ105" i="48" s="1"/>
  <c r="L99" i="42"/>
  <c r="N99" i="42" s="1"/>
  <c r="AQ99" i="42" s="1"/>
  <c r="Z89" i="42"/>
  <c r="AB89" i="42" s="1"/>
  <c r="Z99" i="48"/>
  <c r="AB99" i="48" s="1"/>
  <c r="L104" i="48"/>
  <c r="N104" i="48" s="1"/>
  <c r="AQ104" i="48" s="1"/>
  <c r="Z75" i="34"/>
  <c r="AB75" i="34" s="1"/>
  <c r="AK79" i="44"/>
  <c r="AM79" i="44" s="1"/>
  <c r="AS79" i="44" s="1"/>
  <c r="Z79" i="44"/>
  <c r="AB79" i="44" s="1"/>
  <c r="L84" i="44"/>
  <c r="N84" i="44" s="1"/>
  <c r="AQ84" i="44" s="1"/>
  <c r="AK80" i="44"/>
  <c r="AM80" i="44" s="1"/>
  <c r="AS80" i="44" s="1"/>
  <c r="L85" i="44"/>
  <c r="N85" i="44" s="1"/>
  <c r="AQ85" i="44" s="1"/>
  <c r="Z80" i="44"/>
  <c r="AB80" i="44" s="1"/>
  <c r="AK89" i="38"/>
  <c r="AM89" i="38" s="1"/>
  <c r="AS89" i="38" s="1"/>
  <c r="Z89" i="38"/>
  <c r="AB89" i="38" s="1"/>
  <c r="L99" i="38"/>
  <c r="N99" i="38" s="1"/>
  <c r="AQ99" i="38" s="1"/>
  <c r="AK90" i="38"/>
  <c r="AM90" i="38" s="1"/>
  <c r="AS90" i="38" s="1"/>
  <c r="Z90" i="38"/>
  <c r="AB90" i="38" s="1"/>
  <c r="L100" i="38"/>
  <c r="N100" i="38" s="1"/>
  <c r="AQ100" i="38" s="1"/>
  <c r="AK90" i="36"/>
  <c r="AM90" i="36" s="1"/>
  <c r="AS90" i="36" s="1"/>
  <c r="Z90" i="36"/>
  <c r="AB90" i="36" s="1"/>
  <c r="L100" i="36"/>
  <c r="N100" i="36" s="1"/>
  <c r="AQ100" i="36" s="1"/>
  <c r="AK90" i="37"/>
  <c r="AM90" i="37" s="1"/>
  <c r="AS90" i="37" s="1"/>
  <c r="Z90" i="37"/>
  <c r="AB90" i="37" s="1"/>
  <c r="L100" i="37"/>
  <c r="N100" i="37" s="1"/>
  <c r="AQ100" i="37" s="1"/>
  <c r="AK89" i="41"/>
  <c r="AM89" i="41" s="1"/>
  <c r="AS89" i="41" s="1"/>
  <c r="Z89" i="41"/>
  <c r="AB89" i="41" s="1"/>
  <c r="L99" i="41"/>
  <c r="N99" i="41" s="1"/>
  <c r="AQ99" i="41" s="1"/>
  <c r="AK80" i="33"/>
  <c r="AM80" i="33" s="1"/>
  <c r="AS80" i="33" s="1"/>
  <c r="L85" i="33"/>
  <c r="N85" i="33" s="1"/>
  <c r="AQ85" i="33" s="1"/>
  <c r="Z80" i="33"/>
  <c r="AB80" i="33" s="1"/>
  <c r="AK89" i="35"/>
  <c r="AM89" i="35" s="1"/>
  <c r="AS89" i="35" s="1"/>
  <c r="Z89" i="35"/>
  <c r="AB89" i="35" s="1"/>
  <c r="L99" i="35"/>
  <c r="N99" i="35" s="1"/>
  <c r="AQ99" i="35" s="1"/>
  <c r="Z90" i="26"/>
  <c r="AB90" i="26" s="1"/>
  <c r="L100" i="26"/>
  <c r="N100" i="26" s="1"/>
  <c r="AQ100" i="26" s="1"/>
  <c r="AK90" i="35"/>
  <c r="AM90" i="35" s="1"/>
  <c r="AS90" i="35" s="1"/>
  <c r="Z90" i="35"/>
  <c r="AB90" i="35" s="1"/>
  <c r="L100" i="35"/>
  <c r="N100" i="35" s="1"/>
  <c r="AQ100" i="35" s="1"/>
  <c r="Z89" i="47"/>
  <c r="AB89" i="47" s="1"/>
  <c r="L99" i="47"/>
  <c r="N99" i="47" s="1"/>
  <c r="AQ99" i="47" s="1"/>
  <c r="AK89" i="37"/>
  <c r="AM89" i="37" s="1"/>
  <c r="AS89" i="37" s="1"/>
  <c r="Z89" i="37"/>
  <c r="AB89" i="37" s="1"/>
  <c r="L99" i="37"/>
  <c r="N99" i="37" s="1"/>
  <c r="AQ99" i="37" s="1"/>
  <c r="AK79" i="39"/>
  <c r="AM79" i="39" s="1"/>
  <c r="AS79" i="39" s="1"/>
  <c r="Z79" i="39"/>
  <c r="AB79" i="39" s="1"/>
  <c r="L84" i="39"/>
  <c r="N84" i="39" s="1"/>
  <c r="AQ84" i="39" s="1"/>
  <c r="AK90" i="41"/>
  <c r="AM90" i="41" s="1"/>
  <c r="AS90" i="41" s="1"/>
  <c r="Z90" i="41"/>
  <c r="AB90" i="41" s="1"/>
  <c r="L100" i="41"/>
  <c r="N100" i="41" s="1"/>
  <c r="AQ100" i="41" s="1"/>
  <c r="Z89" i="46"/>
  <c r="AB89" i="46" s="1"/>
  <c r="L99" i="46"/>
  <c r="N99" i="46" s="1"/>
  <c r="AQ99" i="46" s="1"/>
  <c r="Z90" i="47"/>
  <c r="AB90" i="47" s="1"/>
  <c r="L100" i="47"/>
  <c r="N100" i="47" s="1"/>
  <c r="AQ100" i="47" s="1"/>
  <c r="AK90" i="42"/>
  <c r="AM90" i="42" s="1"/>
  <c r="AS90" i="42" s="1"/>
  <c r="Z90" i="42"/>
  <c r="AB90" i="42" s="1"/>
  <c r="L100" i="42"/>
  <c r="N100" i="42" s="1"/>
  <c r="AQ100" i="42" s="1"/>
  <c r="AK89" i="36"/>
  <c r="AM89" i="36" s="1"/>
  <c r="AS89" i="36" s="1"/>
  <c r="Z89" i="36"/>
  <c r="AB89" i="36" s="1"/>
  <c r="L99" i="36"/>
  <c r="N99" i="36" s="1"/>
  <c r="AQ99" i="36" s="1"/>
  <c r="Z90" i="46"/>
  <c r="AB90" i="46" s="1"/>
  <c r="L100" i="46"/>
  <c r="N100" i="46" s="1"/>
  <c r="AQ100" i="46" s="1"/>
  <c r="Z89" i="26"/>
  <c r="AB89" i="26" s="1"/>
  <c r="L99" i="26"/>
  <c r="N99" i="26" s="1"/>
  <c r="AQ99" i="26" s="1"/>
  <c r="AP55" i="45"/>
  <c r="AP85" i="27"/>
  <c r="AP70" i="27"/>
  <c r="AP84" i="27"/>
  <c r="AP69" i="27"/>
  <c r="AP11" i="49"/>
  <c r="AR11" i="49" s="1"/>
  <c r="AP10" i="49"/>
  <c r="AR10" i="49" s="1"/>
  <c r="Z84" i="44"/>
  <c r="AB84" i="44" s="1"/>
  <c r="L89" i="44"/>
  <c r="N89" i="44" s="1"/>
  <c r="AQ89" i="44" s="1"/>
  <c r="Z84" i="49"/>
  <c r="AB84" i="49" s="1"/>
  <c r="L89" i="49"/>
  <c r="N89" i="49" s="1"/>
  <c r="AQ89" i="49" s="1"/>
  <c r="Z85" i="49"/>
  <c r="AB85" i="49" s="1"/>
  <c r="L90" i="49"/>
  <c r="N90" i="49" s="1"/>
  <c r="AQ90" i="49" s="1"/>
  <c r="AR84" i="30"/>
  <c r="L79" i="31"/>
  <c r="N79" i="31" s="1"/>
  <c r="AQ79" i="31" s="1"/>
  <c r="AT79" i="31" s="1"/>
  <c r="D14" i="31" s="1"/>
  <c r="AK74" i="31"/>
  <c r="AM74" i="31" s="1"/>
  <c r="AS74" i="31" s="1"/>
  <c r="Z74" i="43"/>
  <c r="AB74" i="43" s="1"/>
  <c r="L79" i="43"/>
  <c r="N79" i="43" s="1"/>
  <c r="AQ79" i="43" s="1"/>
  <c r="Z74" i="34"/>
  <c r="AB74" i="34" s="1"/>
  <c r="L80" i="43"/>
  <c r="N80" i="43" s="1"/>
  <c r="AQ80" i="43" s="1"/>
  <c r="AT80" i="43" s="1"/>
  <c r="E14" i="43" s="1"/>
  <c r="L79" i="34"/>
  <c r="N79" i="34" s="1"/>
  <c r="AQ79" i="34" s="1"/>
  <c r="AT79" i="34" s="1"/>
  <c r="D14" i="34" s="1"/>
  <c r="Z84" i="34" s="1"/>
  <c r="AB84" i="34" s="1"/>
  <c r="AK75" i="31"/>
  <c r="AM75" i="31" s="1"/>
  <c r="AS75" i="31" s="1"/>
  <c r="Z75" i="31"/>
  <c r="AB75" i="31" s="1"/>
  <c r="AR74" i="31" s="1"/>
  <c r="L80" i="31"/>
  <c r="N80" i="31" s="1"/>
  <c r="AQ80" i="31" s="1"/>
  <c r="AT80" i="31" s="1"/>
  <c r="E14" i="31" s="1"/>
  <c r="L79" i="40"/>
  <c r="N79" i="40" s="1"/>
  <c r="AQ79" i="40" s="1"/>
  <c r="AT79" i="40" s="1"/>
  <c r="D14" i="40" s="1"/>
  <c r="AK74" i="40"/>
  <c r="AM74" i="40" s="1"/>
  <c r="AS74" i="40" s="1"/>
  <c r="AR84" i="29"/>
  <c r="AK85" i="40"/>
  <c r="AM85" i="40" s="1"/>
  <c r="AS85" i="40" s="1"/>
  <c r="Z85" i="40"/>
  <c r="AB85" i="40" s="1"/>
  <c r="L90" i="40"/>
  <c r="N90" i="40" s="1"/>
  <c r="AQ90" i="40" s="1"/>
  <c r="AK84" i="39"/>
  <c r="AM84" i="39" s="1"/>
  <c r="AS84" i="39" s="1"/>
  <c r="Z84" i="39"/>
  <c r="AB84" i="39" s="1"/>
  <c r="L89" i="39"/>
  <c r="N89" i="39" s="1"/>
  <c r="AQ89" i="39" s="1"/>
  <c r="AR84" i="28"/>
  <c r="AK85" i="33"/>
  <c r="AM85" i="33" s="1"/>
  <c r="AS85" i="33" s="1"/>
  <c r="Z85" i="33"/>
  <c r="AB85" i="33" s="1"/>
  <c r="L90" i="33"/>
  <c r="N90" i="33" s="1"/>
  <c r="AQ90" i="33" s="1"/>
  <c r="L84" i="33"/>
  <c r="N84" i="33" s="1"/>
  <c r="AQ84" i="33" s="1"/>
  <c r="Z79" i="33"/>
  <c r="AB79" i="33" s="1"/>
  <c r="AK79" i="33"/>
  <c r="AM79" i="33" s="1"/>
  <c r="AS79" i="33" s="1"/>
  <c r="AT79" i="33" s="1"/>
  <c r="D14" i="33" s="1"/>
  <c r="AT96" i="59"/>
  <c r="AV96" i="59" s="1"/>
  <c r="E15" i="59" s="1"/>
  <c r="AT95" i="59"/>
  <c r="AV95" i="59" s="1"/>
  <c r="AR74" i="40"/>
  <c r="AR75" i="40"/>
  <c r="AT75" i="40" s="1"/>
  <c r="E13" i="40" s="1"/>
  <c r="AK80" i="40" s="1"/>
  <c r="AM80" i="40" s="1"/>
  <c r="AS80" i="40" s="1"/>
  <c r="AK85" i="34"/>
  <c r="AM85" i="34" s="1"/>
  <c r="AS85" i="34" s="1"/>
  <c r="L90" i="34"/>
  <c r="N90" i="34" s="1"/>
  <c r="AQ90" i="34" s="1"/>
  <c r="Z85" i="34"/>
  <c r="AB85" i="34" s="1"/>
  <c r="AK85" i="44"/>
  <c r="AM85" i="44" s="1"/>
  <c r="AS85" i="44" s="1"/>
  <c r="Z85" i="44"/>
  <c r="AB85" i="44" s="1"/>
  <c r="L90" i="44"/>
  <c r="N90" i="44" s="1"/>
  <c r="AQ90" i="44" s="1"/>
  <c r="Z80" i="39"/>
  <c r="AB80" i="39" s="1"/>
  <c r="L85" i="39"/>
  <c r="N85" i="39" s="1"/>
  <c r="AQ85" i="39" s="1"/>
  <c r="AK80" i="39"/>
  <c r="AM80" i="39" s="1"/>
  <c r="AS80" i="39" s="1"/>
  <c r="AT80" i="39" s="1"/>
  <c r="E14" i="39" s="1"/>
  <c r="AR90" i="41" l="1"/>
  <c r="AT90" i="41" s="1"/>
  <c r="E16" i="41" s="1"/>
  <c r="AK95" i="41" s="1"/>
  <c r="AM95" i="41" s="1"/>
  <c r="AS95" i="41" s="1"/>
  <c r="AT95" i="41" s="1"/>
  <c r="E17" i="41" s="1"/>
  <c r="AK100" i="41" s="1"/>
  <c r="AM100" i="41" s="1"/>
  <c r="AS100" i="41" s="1"/>
  <c r="AR90" i="42"/>
  <c r="AT90" i="42" s="1"/>
  <c r="E16" i="42" s="1"/>
  <c r="AK95" i="42" s="1"/>
  <c r="AM95" i="42" s="1"/>
  <c r="AS95" i="42" s="1"/>
  <c r="AT95" i="42" s="1"/>
  <c r="E17" i="42" s="1"/>
  <c r="AB4" i="27"/>
  <c r="AD4" i="27" s="1"/>
  <c r="AB9" i="27"/>
  <c r="AD9" i="27" s="1"/>
  <c r="AB5" i="27"/>
  <c r="AD5" i="27" s="1"/>
  <c r="AB10" i="27"/>
  <c r="AD10" i="27" s="1"/>
  <c r="L49" i="27"/>
  <c r="N49" i="27" s="1"/>
  <c r="AQ49" i="27" s="1"/>
  <c r="Z49" i="27"/>
  <c r="AB49" i="27" s="1"/>
  <c r="Z44" i="27"/>
  <c r="AB44" i="27" s="1"/>
  <c r="L54" i="27"/>
  <c r="N54" i="27" s="1"/>
  <c r="AQ54" i="27" s="1"/>
  <c r="AK44" i="27"/>
  <c r="AM44" i="27" s="1"/>
  <c r="AS44" i="27" s="1"/>
  <c r="L55" i="27"/>
  <c r="N55" i="27" s="1"/>
  <c r="AQ55" i="27" s="1"/>
  <c r="L50" i="27"/>
  <c r="N50" i="27" s="1"/>
  <c r="AQ50" i="27" s="1"/>
  <c r="Z50" i="27"/>
  <c r="AB50" i="27" s="1"/>
  <c r="AK45" i="27"/>
  <c r="AM45" i="27" s="1"/>
  <c r="AS45" i="27" s="1"/>
  <c r="Z45" i="27"/>
  <c r="AB45" i="27" s="1"/>
  <c r="AR89" i="36"/>
  <c r="AT89" i="36" s="1"/>
  <c r="D16" i="36" s="1"/>
  <c r="AK94" i="36" s="1"/>
  <c r="AM94" i="36" s="1"/>
  <c r="AS94" i="36" s="1"/>
  <c r="AT94" i="36" s="1"/>
  <c r="D17" i="36" s="1"/>
  <c r="AK99" i="36" s="1"/>
  <c r="AM99" i="36" s="1"/>
  <c r="AS99" i="36" s="1"/>
  <c r="AR89" i="26"/>
  <c r="AR84" i="44"/>
  <c r="AT84" i="44" s="1"/>
  <c r="D15" i="44" s="1"/>
  <c r="AK89" i="44" s="1"/>
  <c r="AM89" i="44" s="1"/>
  <c r="AS89" i="44" s="1"/>
  <c r="AR75" i="43"/>
  <c r="AK75" i="43"/>
  <c r="AM75" i="43" s="1"/>
  <c r="AS75" i="43" s="1"/>
  <c r="AR90" i="46"/>
  <c r="AR89" i="35"/>
  <c r="AT89" i="35" s="1"/>
  <c r="D16" i="35" s="1"/>
  <c r="AR90" i="38"/>
  <c r="AT90" i="38" s="1"/>
  <c r="E16" i="38" s="1"/>
  <c r="AR89" i="42"/>
  <c r="AT89" i="42" s="1"/>
  <c r="D16" i="42" s="1"/>
  <c r="AR90" i="47"/>
  <c r="AR90" i="37"/>
  <c r="AT90" i="37" s="1"/>
  <c r="E16" i="37" s="1"/>
  <c r="AK95" i="37" s="1"/>
  <c r="AM95" i="37" s="1"/>
  <c r="AS95" i="37" s="1"/>
  <c r="AT95" i="37" s="1"/>
  <c r="E17" i="37" s="1"/>
  <c r="Z80" i="40"/>
  <c r="AB80" i="40" s="1"/>
  <c r="Z89" i="28"/>
  <c r="AB89" i="28" s="1"/>
  <c r="L99" i="28"/>
  <c r="N99" i="28" s="1"/>
  <c r="AQ99" i="28" s="1"/>
  <c r="Z90" i="29"/>
  <c r="AB90" i="29" s="1"/>
  <c r="L100" i="29"/>
  <c r="N100" i="29" s="1"/>
  <c r="AQ100" i="29" s="1"/>
  <c r="Z100" i="42"/>
  <c r="AB100" i="42" s="1"/>
  <c r="L105" i="42"/>
  <c r="N105" i="42" s="1"/>
  <c r="AQ105" i="42" s="1"/>
  <c r="AR89" i="41"/>
  <c r="AT89" i="41" s="1"/>
  <c r="D16" i="41" s="1"/>
  <c r="AR89" i="38"/>
  <c r="AT89" i="38" s="1"/>
  <c r="D16" i="38" s="1"/>
  <c r="Z105" i="48"/>
  <c r="AB105" i="48" s="1"/>
  <c r="L110" i="48"/>
  <c r="N110" i="48" s="1"/>
  <c r="AQ110" i="48" s="1"/>
  <c r="AM102" i="59"/>
  <c r="AO102" i="59" s="1"/>
  <c r="AU102" i="59" s="1"/>
  <c r="Z102" i="59"/>
  <c r="AB102" i="59" s="1"/>
  <c r="L114" i="59"/>
  <c r="N114" i="59" s="1"/>
  <c r="AS114" i="59" s="1"/>
  <c r="Z90" i="28"/>
  <c r="AB90" i="28" s="1"/>
  <c r="L100" i="28"/>
  <c r="N100" i="28" s="1"/>
  <c r="AQ100" i="28" s="1"/>
  <c r="AB23" i="27"/>
  <c r="AD23" i="27" s="1"/>
  <c r="AP6" i="27"/>
  <c r="AR6" i="27" s="1"/>
  <c r="AR89" i="46"/>
  <c r="Z100" i="41"/>
  <c r="AB100" i="41" s="1"/>
  <c r="L105" i="41"/>
  <c r="N105" i="41" s="1"/>
  <c r="AQ105" i="41" s="1"/>
  <c r="AR89" i="47"/>
  <c r="L85" i="40"/>
  <c r="N85" i="40" s="1"/>
  <c r="AQ85" i="40" s="1"/>
  <c r="Z89" i="29"/>
  <c r="AB89" i="29" s="1"/>
  <c r="L99" i="29"/>
  <c r="N99" i="29" s="1"/>
  <c r="AQ99" i="29" s="1"/>
  <c r="Z90" i="30"/>
  <c r="AB90" i="30" s="1"/>
  <c r="L100" i="30"/>
  <c r="N100" i="30" s="1"/>
  <c r="AQ100" i="30" s="1"/>
  <c r="Z89" i="30"/>
  <c r="AB89" i="30" s="1"/>
  <c r="L99" i="30"/>
  <c r="N99" i="30" s="1"/>
  <c r="AQ99" i="30" s="1"/>
  <c r="Z100" i="46"/>
  <c r="AB100" i="46" s="1"/>
  <c r="L105" i="46"/>
  <c r="N105" i="46" s="1"/>
  <c r="AQ105" i="46" s="1"/>
  <c r="AR90" i="35"/>
  <c r="AT90" i="35" s="1"/>
  <c r="E16" i="35" s="1"/>
  <c r="AR90" i="36"/>
  <c r="AT90" i="36" s="1"/>
  <c r="E16" i="36" s="1"/>
  <c r="AR79" i="44"/>
  <c r="AR80" i="44"/>
  <c r="AB22" i="27"/>
  <c r="AD22" i="27" s="1"/>
  <c r="AP5" i="27"/>
  <c r="AR5" i="27" s="1"/>
  <c r="Z99" i="26"/>
  <c r="AB99" i="26" s="1"/>
  <c r="L104" i="26"/>
  <c r="N104" i="26" s="1"/>
  <c r="AQ104" i="26" s="1"/>
  <c r="AR90" i="26"/>
  <c r="AR89" i="37"/>
  <c r="AT89" i="37" s="1"/>
  <c r="D16" i="37" s="1"/>
  <c r="AL12" i="49"/>
  <c r="AL13" i="49"/>
  <c r="L89" i="34"/>
  <c r="N89" i="34" s="1"/>
  <c r="AQ89" i="34" s="1"/>
  <c r="AK84" i="34"/>
  <c r="AM84" i="34" s="1"/>
  <c r="AS84" i="34" s="1"/>
  <c r="AT75" i="43"/>
  <c r="E13" i="43" s="1"/>
  <c r="AR74" i="43"/>
  <c r="AT74" i="43" s="1"/>
  <c r="D13" i="43" s="1"/>
  <c r="AK79" i="43" s="1"/>
  <c r="AM79" i="43" s="1"/>
  <c r="AS79" i="43" s="1"/>
  <c r="AT79" i="43" s="1"/>
  <c r="D14" i="43" s="1"/>
  <c r="AT74" i="31"/>
  <c r="D13" i="31" s="1"/>
  <c r="AR84" i="49"/>
  <c r="AR85" i="49"/>
  <c r="AT74" i="40"/>
  <c r="D13" i="40" s="1"/>
  <c r="AK84" i="31"/>
  <c r="AM84" i="31" s="1"/>
  <c r="AS84" i="31" s="1"/>
  <c r="Z84" i="31"/>
  <c r="AB84" i="31" s="1"/>
  <c r="L89" i="31"/>
  <c r="N89" i="31" s="1"/>
  <c r="AQ89" i="31" s="1"/>
  <c r="AR75" i="31"/>
  <c r="AT75" i="31" s="1"/>
  <c r="E13" i="31" s="1"/>
  <c r="Z80" i="31" s="1"/>
  <c r="AB80" i="31" s="1"/>
  <c r="AR75" i="34"/>
  <c r="AT75" i="34" s="1"/>
  <c r="E13" i="34" s="1"/>
  <c r="AR74" i="34"/>
  <c r="AT74" i="34" s="1"/>
  <c r="D13" i="34" s="1"/>
  <c r="AK84" i="40"/>
  <c r="AM84" i="40" s="1"/>
  <c r="AS84" i="40" s="1"/>
  <c r="Z84" i="40"/>
  <c r="AB84" i="40" s="1"/>
  <c r="AR85" i="40" s="1"/>
  <c r="L89" i="40"/>
  <c r="N89" i="40" s="1"/>
  <c r="AQ89" i="40" s="1"/>
  <c r="Z85" i="31"/>
  <c r="AB85" i="31" s="1"/>
  <c r="L90" i="31"/>
  <c r="N90" i="31" s="1"/>
  <c r="AQ90" i="31" s="1"/>
  <c r="AK85" i="31"/>
  <c r="AM85" i="31" s="1"/>
  <c r="AS85" i="31" s="1"/>
  <c r="AK85" i="43"/>
  <c r="AM85" i="43" s="1"/>
  <c r="AS85" i="43" s="1"/>
  <c r="Z85" i="43"/>
  <c r="AB85" i="43" s="1"/>
  <c r="L90" i="43"/>
  <c r="N90" i="43" s="1"/>
  <c r="AQ90" i="43" s="1"/>
  <c r="AR84" i="40"/>
  <c r="AV94" i="59"/>
  <c r="B78" i="58" s="1" a="1"/>
  <c r="D15" i="59"/>
  <c r="AR84" i="34"/>
  <c r="AR85" i="44"/>
  <c r="AT85" i="44" s="1"/>
  <c r="E15" i="44" s="1"/>
  <c r="AK84" i="33"/>
  <c r="AM84" i="33" s="1"/>
  <c r="AS84" i="33" s="1"/>
  <c r="Z84" i="33"/>
  <c r="AB84" i="33" s="1"/>
  <c r="AR85" i="33" s="1"/>
  <c r="AT85" i="33" s="1"/>
  <c r="E15" i="33" s="1"/>
  <c r="L89" i="33"/>
  <c r="N89" i="33" s="1"/>
  <c r="AQ89" i="33" s="1"/>
  <c r="AR80" i="39"/>
  <c r="AR79" i="39"/>
  <c r="Z79" i="43"/>
  <c r="AB79" i="43" s="1"/>
  <c r="AR80" i="33"/>
  <c r="AR79" i="33"/>
  <c r="AR85" i="34"/>
  <c r="AK85" i="39"/>
  <c r="AM85" i="39" s="1"/>
  <c r="AS85" i="39" s="1"/>
  <c r="Z85" i="39"/>
  <c r="AB85" i="39" s="1"/>
  <c r="L90" i="39"/>
  <c r="N90" i="39" s="1"/>
  <c r="AQ90" i="39" s="1"/>
  <c r="X6" i="27" l="1"/>
  <c r="L6" i="27" s="1"/>
  <c r="X7" i="27"/>
  <c r="L7" i="27" s="1"/>
  <c r="AR45" i="27"/>
  <c r="AR44" i="27"/>
  <c r="AR49" i="27"/>
  <c r="AR50" i="27"/>
  <c r="AT85" i="40"/>
  <c r="E15" i="40" s="1"/>
  <c r="X24" i="27"/>
  <c r="L104" i="36"/>
  <c r="N104" i="36" s="1"/>
  <c r="AQ104" i="36" s="1"/>
  <c r="Z89" i="44"/>
  <c r="AB89" i="44" s="1"/>
  <c r="Z99" i="36"/>
  <c r="AB99" i="36" s="1"/>
  <c r="L99" i="44"/>
  <c r="N99" i="44" s="1"/>
  <c r="AQ99" i="44" s="1"/>
  <c r="L84" i="43"/>
  <c r="N84" i="43" s="1"/>
  <c r="AQ84" i="43" s="1"/>
  <c r="L85" i="31"/>
  <c r="N85" i="31" s="1"/>
  <c r="AQ85" i="31" s="1"/>
  <c r="Z100" i="37"/>
  <c r="AB100" i="37" s="1"/>
  <c r="AK100" i="42"/>
  <c r="AM100" i="42" s="1"/>
  <c r="AS100" i="42" s="1"/>
  <c r="AK100" i="37"/>
  <c r="AM100" i="37" s="1"/>
  <c r="AS100" i="37" s="1"/>
  <c r="L104" i="38"/>
  <c r="N104" i="38" s="1"/>
  <c r="AQ104" i="38" s="1"/>
  <c r="AK94" i="38"/>
  <c r="AM94" i="38" s="1"/>
  <c r="AS94" i="38" s="1"/>
  <c r="AT94" i="38" s="1"/>
  <c r="D17" i="38" s="1"/>
  <c r="AK99" i="38" s="1"/>
  <c r="AM99" i="38" s="1"/>
  <c r="AS99" i="38" s="1"/>
  <c r="Z99" i="38"/>
  <c r="AB99" i="38" s="1"/>
  <c r="AK94" i="37"/>
  <c r="AM94" i="37" s="1"/>
  <c r="AS94" i="37" s="1"/>
  <c r="AT94" i="37" s="1"/>
  <c r="D17" i="37" s="1"/>
  <c r="AK99" i="37" s="1"/>
  <c r="AM99" i="37" s="1"/>
  <c r="AS99" i="37" s="1"/>
  <c r="Z99" i="37"/>
  <c r="AB99" i="37" s="1"/>
  <c r="L104" i="37"/>
  <c r="N104" i="37" s="1"/>
  <c r="AQ104" i="37" s="1"/>
  <c r="Z100" i="36"/>
  <c r="AB100" i="36" s="1"/>
  <c r="L105" i="36"/>
  <c r="N105" i="36" s="1"/>
  <c r="AQ105" i="36" s="1"/>
  <c r="AK95" i="36"/>
  <c r="AM95" i="36" s="1"/>
  <c r="AS95" i="36" s="1"/>
  <c r="AT95" i="36" s="1"/>
  <c r="E17" i="36" s="1"/>
  <c r="AK100" i="36" s="1"/>
  <c r="AM100" i="36" s="1"/>
  <c r="AS100" i="36" s="1"/>
  <c r="AK94" i="41"/>
  <c r="AM94" i="41" s="1"/>
  <c r="AS94" i="41" s="1"/>
  <c r="AT94" i="41" s="1"/>
  <c r="D17" i="41" s="1"/>
  <c r="AK99" i="41" s="1"/>
  <c r="AM99" i="41" s="1"/>
  <c r="AS99" i="41" s="1"/>
  <c r="Z99" i="41"/>
  <c r="AB99" i="41" s="1"/>
  <c r="AR99" i="41" s="1"/>
  <c r="L104" i="41"/>
  <c r="N104" i="41" s="1"/>
  <c r="AQ104" i="41" s="1"/>
  <c r="AK95" i="38"/>
  <c r="AM95" i="38" s="1"/>
  <c r="AS95" i="38" s="1"/>
  <c r="AT95" i="38" s="1"/>
  <c r="E17" i="38" s="1"/>
  <c r="AK100" i="38" s="1"/>
  <c r="AM100" i="38" s="1"/>
  <c r="AS100" i="38" s="1"/>
  <c r="Z100" i="38"/>
  <c r="AB100" i="38" s="1"/>
  <c r="L105" i="38"/>
  <c r="N105" i="38" s="1"/>
  <c r="AQ105" i="38" s="1"/>
  <c r="L105" i="26"/>
  <c r="N105" i="26" s="1"/>
  <c r="AQ105" i="26" s="1"/>
  <c r="Z100" i="26"/>
  <c r="AB100" i="26" s="1"/>
  <c r="AR100" i="26" s="1"/>
  <c r="AK95" i="35"/>
  <c r="AM95" i="35" s="1"/>
  <c r="AS95" i="35" s="1"/>
  <c r="AT95" i="35" s="1"/>
  <c r="E17" i="35" s="1"/>
  <c r="AK100" i="35" s="1"/>
  <c r="AM100" i="35" s="1"/>
  <c r="AS100" i="35" s="1"/>
  <c r="Z100" i="35"/>
  <c r="AB100" i="35" s="1"/>
  <c r="L105" i="35"/>
  <c r="N105" i="35" s="1"/>
  <c r="AQ105" i="35" s="1"/>
  <c r="Z99" i="46"/>
  <c r="AB99" i="46" s="1"/>
  <c r="AR99" i="46" s="1"/>
  <c r="L104" i="46"/>
  <c r="N104" i="46" s="1"/>
  <c r="AQ104" i="46" s="1"/>
  <c r="Z99" i="47"/>
  <c r="AB99" i="47" s="1"/>
  <c r="L104" i="47"/>
  <c r="N104" i="47" s="1"/>
  <c r="AQ104" i="47" s="1"/>
  <c r="Z100" i="47"/>
  <c r="AB100" i="47" s="1"/>
  <c r="L105" i="47"/>
  <c r="N105" i="47" s="1"/>
  <c r="AQ105" i="47" s="1"/>
  <c r="Z99" i="35"/>
  <c r="AB99" i="35" s="1"/>
  <c r="L104" i="35"/>
  <c r="N104" i="35" s="1"/>
  <c r="AQ104" i="35" s="1"/>
  <c r="AK94" i="35"/>
  <c r="AM94" i="35" s="1"/>
  <c r="AS94" i="35" s="1"/>
  <c r="AT94" i="35" s="1"/>
  <c r="D17" i="35" s="1"/>
  <c r="AK99" i="35" s="1"/>
  <c r="AM99" i="35" s="1"/>
  <c r="AS99" i="35" s="1"/>
  <c r="L105" i="37"/>
  <c r="N105" i="37" s="1"/>
  <c r="AQ105" i="37" s="1"/>
  <c r="Z99" i="42"/>
  <c r="AB99" i="42" s="1"/>
  <c r="AR100" i="42" s="1"/>
  <c r="L104" i="42"/>
  <c r="N104" i="42" s="1"/>
  <c r="AQ104" i="42" s="1"/>
  <c r="AK94" i="42"/>
  <c r="AM94" i="42" s="1"/>
  <c r="AS94" i="42" s="1"/>
  <c r="AT94" i="42" s="1"/>
  <c r="D17" i="42" s="1"/>
  <c r="AK99" i="42" s="1"/>
  <c r="AM99" i="42" s="1"/>
  <c r="AS99" i="42" s="1"/>
  <c r="AK80" i="31"/>
  <c r="AM80" i="31" s="1"/>
  <c r="AS80" i="31" s="1"/>
  <c r="AR89" i="29"/>
  <c r="AR90" i="30"/>
  <c r="AK79" i="31"/>
  <c r="AM79" i="31" s="1"/>
  <c r="AS79" i="31" s="1"/>
  <c r="L84" i="31"/>
  <c r="N84" i="31" s="1"/>
  <c r="AQ84" i="31" s="1"/>
  <c r="Z79" i="31"/>
  <c r="AB79" i="31" s="1"/>
  <c r="AR79" i="31" s="1"/>
  <c r="Z89" i="49"/>
  <c r="AB89" i="49" s="1"/>
  <c r="L99" i="49"/>
  <c r="N99" i="49" s="1"/>
  <c r="AQ99" i="49" s="1"/>
  <c r="AR89" i="30"/>
  <c r="AR90" i="29"/>
  <c r="Z90" i="40"/>
  <c r="AB90" i="40" s="1"/>
  <c r="L100" i="40"/>
  <c r="N100" i="40" s="1"/>
  <c r="AQ100" i="40" s="1"/>
  <c r="Z104" i="48"/>
  <c r="AB104" i="48" s="1"/>
  <c r="AR104" i="48" s="1"/>
  <c r="L109" i="48"/>
  <c r="N109" i="48" s="1"/>
  <c r="AQ109" i="48" s="1"/>
  <c r="AK90" i="33"/>
  <c r="AM90" i="33" s="1"/>
  <c r="AS90" i="33" s="1"/>
  <c r="Z90" i="33"/>
  <c r="AB90" i="33" s="1"/>
  <c r="L100" i="33"/>
  <c r="N100" i="33" s="1"/>
  <c r="AQ100" i="33" s="1"/>
  <c r="AK79" i="40"/>
  <c r="AM79" i="40" s="1"/>
  <c r="AS79" i="40" s="1"/>
  <c r="Z79" i="40"/>
  <c r="AB79" i="40" s="1"/>
  <c r="L84" i="40"/>
  <c r="N84" i="40" s="1"/>
  <c r="AQ84" i="40" s="1"/>
  <c r="AT84" i="40" s="1"/>
  <c r="D15" i="40" s="1"/>
  <c r="X25" i="27"/>
  <c r="Z90" i="49"/>
  <c r="AB90" i="49" s="1"/>
  <c r="AK80" i="43"/>
  <c r="AM80" i="43" s="1"/>
  <c r="AS80" i="43" s="1"/>
  <c r="L85" i="43"/>
  <c r="N85" i="43" s="1"/>
  <c r="AQ85" i="43" s="1"/>
  <c r="Z80" i="43"/>
  <c r="AB80" i="43" s="1"/>
  <c r="AR80" i="43" s="1"/>
  <c r="AK90" i="44"/>
  <c r="AM90" i="44" s="1"/>
  <c r="AS90" i="44" s="1"/>
  <c r="Z90" i="44"/>
  <c r="AB90" i="44" s="1"/>
  <c r="AR89" i="44" s="1"/>
  <c r="AT89" i="44" s="1"/>
  <c r="D16" i="44" s="1"/>
  <c r="L100" i="44"/>
  <c r="N100" i="44" s="1"/>
  <c r="AQ100" i="44" s="1"/>
  <c r="AM101" i="59"/>
  <c r="AO101" i="59" s="1"/>
  <c r="AU101" i="59" s="1"/>
  <c r="Z101" i="59"/>
  <c r="AB101" i="59" s="1"/>
  <c r="AT101" i="59" s="1"/>
  <c r="L113" i="59"/>
  <c r="N113" i="59" s="1"/>
  <c r="AS113" i="59" s="1"/>
  <c r="AR89" i="28"/>
  <c r="AR90" i="28"/>
  <c r="AR85" i="31"/>
  <c r="AT85" i="31" s="1"/>
  <c r="E15" i="31" s="1"/>
  <c r="AR84" i="31"/>
  <c r="L84" i="34"/>
  <c r="N84" i="34" s="1"/>
  <c r="AQ84" i="34" s="1"/>
  <c r="AT84" i="34" s="1"/>
  <c r="D15" i="34" s="1"/>
  <c r="AK79" i="34"/>
  <c r="AM79" i="34" s="1"/>
  <c r="AS79" i="34" s="1"/>
  <c r="Z79" i="34"/>
  <c r="AB79" i="34" s="1"/>
  <c r="AK80" i="34"/>
  <c r="AM80" i="34" s="1"/>
  <c r="AS80" i="34" s="1"/>
  <c r="Z80" i="34"/>
  <c r="AB80" i="34" s="1"/>
  <c r="L85" i="34"/>
  <c r="N85" i="34" s="1"/>
  <c r="AQ85" i="34" s="1"/>
  <c r="AT85" i="34" s="1"/>
  <c r="E15" i="34" s="1"/>
  <c r="B82" i="58"/>
  <c r="C79" i="58"/>
  <c r="M81" i="58"/>
  <c r="C78" i="58"/>
  <c r="H82" i="58"/>
  <c r="M79" i="58"/>
  <c r="L81" i="58"/>
  <c r="D81" i="58"/>
  <c r="D82" i="58"/>
  <c r="J79" i="58"/>
  <c r="B78" i="58"/>
  <c r="I80" i="58"/>
  <c r="D80" i="58"/>
  <c r="K79" i="58"/>
  <c r="B79" i="58"/>
  <c r="M82" i="58"/>
  <c r="I82" i="58"/>
  <c r="J78" i="58"/>
  <c r="J81" i="58"/>
  <c r="I79" i="58"/>
  <c r="G81" i="58"/>
  <c r="K80" i="58"/>
  <c r="M80" i="58"/>
  <c r="E80" i="58"/>
  <c r="G78" i="58"/>
  <c r="F79" i="58"/>
  <c r="E79" i="58"/>
  <c r="D78" i="58"/>
  <c r="G80" i="58"/>
  <c r="K81" i="58"/>
  <c r="F78" i="58"/>
  <c r="H78" i="58"/>
  <c r="M78" i="58"/>
  <c r="F82" i="58"/>
  <c r="H81" i="58"/>
  <c r="E82" i="58"/>
  <c r="I81" i="58"/>
  <c r="F81" i="58"/>
  <c r="C80" i="58"/>
  <c r="G79" i="58"/>
  <c r="L80" i="58"/>
  <c r="C81" i="58"/>
  <c r="J80" i="58"/>
  <c r="E81" i="58"/>
  <c r="I78" i="58"/>
  <c r="C82" i="58"/>
  <c r="K82" i="58"/>
  <c r="D79" i="58"/>
  <c r="K78" i="58"/>
  <c r="E78" i="58"/>
  <c r="H79" i="58"/>
  <c r="B81" i="58"/>
  <c r="F80" i="58"/>
  <c r="H80" i="58"/>
  <c r="L79" i="58"/>
  <c r="G82" i="58"/>
  <c r="J82" i="58"/>
  <c r="B80" i="58"/>
  <c r="L82" i="58"/>
  <c r="L78" i="58"/>
  <c r="AR84" i="39"/>
  <c r="AT84" i="39" s="1"/>
  <c r="D15" i="39" s="1"/>
  <c r="AR85" i="39"/>
  <c r="AT85" i="39" s="1"/>
  <c r="E15" i="39" s="1"/>
  <c r="AR84" i="33"/>
  <c r="AT84" i="33" s="1"/>
  <c r="D15" i="33" s="1"/>
  <c r="AK84" i="43"/>
  <c r="AM84" i="43" s="1"/>
  <c r="AS84" i="43" s="1"/>
  <c r="Z84" i="43"/>
  <c r="AB84" i="43" s="1"/>
  <c r="L89" i="43"/>
  <c r="N89" i="43" s="1"/>
  <c r="AQ89" i="43" s="1"/>
  <c r="AK90" i="40"/>
  <c r="AM90" i="40" s="1"/>
  <c r="AS90" i="40" s="1"/>
  <c r="AR100" i="36" l="1"/>
  <c r="AR100" i="41"/>
  <c r="AT100" i="41" s="1"/>
  <c r="E18" i="41" s="1"/>
  <c r="AK105" i="41" s="1"/>
  <c r="AM105" i="41" s="1"/>
  <c r="AS105" i="41" s="1"/>
  <c r="AR99" i="36"/>
  <c r="AT99" i="36" s="1"/>
  <c r="D18" i="36" s="1"/>
  <c r="AR100" i="46"/>
  <c r="AR100" i="37"/>
  <c r="AT100" i="37" s="1"/>
  <c r="E18" i="37" s="1"/>
  <c r="AR100" i="38"/>
  <c r="AT100" i="38" s="1"/>
  <c r="E18" i="38" s="1"/>
  <c r="AR99" i="38"/>
  <c r="AT99" i="38" s="1"/>
  <c r="D18" i="38" s="1"/>
  <c r="Z104" i="38" s="1"/>
  <c r="AB104" i="38" s="1"/>
  <c r="L110" i="41"/>
  <c r="N110" i="41" s="1"/>
  <c r="AQ110" i="41" s="1"/>
  <c r="Z105" i="41"/>
  <c r="AB105" i="41" s="1"/>
  <c r="L100" i="49"/>
  <c r="N100" i="49" s="1"/>
  <c r="AQ100" i="49" s="1"/>
  <c r="AT100" i="42"/>
  <c r="E18" i="42" s="1"/>
  <c r="AR99" i="37"/>
  <c r="AT99" i="37" s="1"/>
  <c r="D18" i="37" s="1"/>
  <c r="AT100" i="36"/>
  <c r="E18" i="36" s="1"/>
  <c r="AK105" i="36" s="1"/>
  <c r="AM105" i="36" s="1"/>
  <c r="AS105" i="36" s="1"/>
  <c r="AR79" i="43"/>
  <c r="AR89" i="49"/>
  <c r="AT84" i="31"/>
  <c r="D15" i="31" s="1"/>
  <c r="AR99" i="26"/>
  <c r="AT99" i="41"/>
  <c r="D18" i="41" s="1"/>
  <c r="AR100" i="35"/>
  <c r="AT100" i="35" s="1"/>
  <c r="E18" i="35" s="1"/>
  <c r="AK105" i="35" s="1"/>
  <c r="AM105" i="35" s="1"/>
  <c r="AS105" i="35" s="1"/>
  <c r="AR100" i="47"/>
  <c r="AR80" i="31"/>
  <c r="AR99" i="42"/>
  <c r="AT99" i="42" s="1"/>
  <c r="D18" i="42" s="1"/>
  <c r="L104" i="30"/>
  <c r="N104" i="30" s="1"/>
  <c r="AQ104" i="30" s="1"/>
  <c r="Z99" i="30"/>
  <c r="AB99" i="30" s="1"/>
  <c r="AK94" i="44"/>
  <c r="AM94" i="44" s="1"/>
  <c r="AS94" i="44" s="1"/>
  <c r="AT94" i="44" s="1"/>
  <c r="D17" i="44" s="1"/>
  <c r="AK99" i="44" s="1"/>
  <c r="AM99" i="44" s="1"/>
  <c r="AS99" i="44" s="1"/>
  <c r="Z99" i="44"/>
  <c r="AB99" i="44" s="1"/>
  <c r="L104" i="44"/>
  <c r="N104" i="44" s="1"/>
  <c r="AQ104" i="44" s="1"/>
  <c r="Z99" i="29"/>
  <c r="AB99" i="29" s="1"/>
  <c r="L104" i="29"/>
  <c r="N104" i="29" s="1"/>
  <c r="AQ104" i="29" s="1"/>
  <c r="L104" i="28"/>
  <c r="N104" i="28" s="1"/>
  <c r="AQ104" i="28" s="1"/>
  <c r="Z99" i="28"/>
  <c r="AB99" i="28" s="1"/>
  <c r="L105" i="28"/>
  <c r="N105" i="28" s="1"/>
  <c r="AQ105" i="28" s="1"/>
  <c r="Z100" i="28"/>
  <c r="AB100" i="28" s="1"/>
  <c r="L105" i="30"/>
  <c r="N105" i="30" s="1"/>
  <c r="AQ105" i="30" s="1"/>
  <c r="Z100" i="30"/>
  <c r="AB100" i="30" s="1"/>
  <c r="Z100" i="29"/>
  <c r="AB100" i="29" s="1"/>
  <c r="L105" i="29"/>
  <c r="N105" i="29" s="1"/>
  <c r="AQ105" i="29" s="1"/>
  <c r="AR99" i="35"/>
  <c r="AT99" i="35" s="1"/>
  <c r="D18" i="35" s="1"/>
  <c r="L104" i="49"/>
  <c r="N104" i="49" s="1"/>
  <c r="AQ104" i="49" s="1"/>
  <c r="Z99" i="49"/>
  <c r="AB99" i="49" s="1"/>
  <c r="AV101" i="59"/>
  <c r="AR99" i="47"/>
  <c r="L109" i="41"/>
  <c r="N109" i="41" s="1"/>
  <c r="AQ109" i="41" s="1"/>
  <c r="L109" i="26"/>
  <c r="N109" i="26" s="1"/>
  <c r="AQ109" i="26" s="1"/>
  <c r="L109" i="38"/>
  <c r="N109" i="38" s="1"/>
  <c r="AQ109" i="38" s="1"/>
  <c r="L110" i="46"/>
  <c r="N110" i="46" s="1"/>
  <c r="AQ110" i="46" s="1"/>
  <c r="AK104" i="38"/>
  <c r="AM104" i="38" s="1"/>
  <c r="AS104" i="38" s="1"/>
  <c r="AR105" i="48"/>
  <c r="AK89" i="39"/>
  <c r="AM89" i="39" s="1"/>
  <c r="AS89" i="39" s="1"/>
  <c r="Z89" i="39"/>
  <c r="AB89" i="39" s="1"/>
  <c r="L99" i="39"/>
  <c r="N99" i="39" s="1"/>
  <c r="AQ99" i="39" s="1"/>
  <c r="AK90" i="34"/>
  <c r="AM90" i="34" s="1"/>
  <c r="AS90" i="34" s="1"/>
  <c r="Z90" i="34"/>
  <c r="AB90" i="34" s="1"/>
  <c r="L100" i="34"/>
  <c r="N100" i="34" s="1"/>
  <c r="AQ100" i="34" s="1"/>
  <c r="AK89" i="31"/>
  <c r="AM89" i="31" s="1"/>
  <c r="AS89" i="31" s="1"/>
  <c r="Z89" i="31"/>
  <c r="AB89" i="31" s="1"/>
  <c r="L99" i="31"/>
  <c r="N99" i="31" s="1"/>
  <c r="AQ99" i="31" s="1"/>
  <c r="AR90" i="44"/>
  <c r="AT90" i="44" s="1"/>
  <c r="E16" i="44" s="1"/>
  <c r="AR90" i="49"/>
  <c r="Z105" i="37"/>
  <c r="AB105" i="37" s="1"/>
  <c r="L110" i="37"/>
  <c r="N110" i="37" s="1"/>
  <c r="AQ110" i="37" s="1"/>
  <c r="Z104" i="37"/>
  <c r="AB104" i="37" s="1"/>
  <c r="L109" i="37"/>
  <c r="N109" i="37" s="1"/>
  <c r="AQ109" i="37" s="1"/>
  <c r="AK89" i="33"/>
  <c r="AM89" i="33" s="1"/>
  <c r="AS89" i="33" s="1"/>
  <c r="Z89" i="33"/>
  <c r="AB89" i="33" s="1"/>
  <c r="AR90" i="33" s="1"/>
  <c r="AT90" i="33" s="1"/>
  <c r="E16" i="33" s="1"/>
  <c r="L99" i="33"/>
  <c r="N99" i="33" s="1"/>
  <c r="AQ99" i="33" s="1"/>
  <c r="AK90" i="31"/>
  <c r="AM90" i="31" s="1"/>
  <c r="AS90" i="31" s="1"/>
  <c r="Z90" i="31"/>
  <c r="AB90" i="31" s="1"/>
  <c r="L100" i="31"/>
  <c r="N100" i="31" s="1"/>
  <c r="AQ100" i="31" s="1"/>
  <c r="AT102" i="59"/>
  <c r="AV102" i="59" s="1"/>
  <c r="E16" i="59" s="1"/>
  <c r="Z104" i="36"/>
  <c r="AB104" i="36" s="1"/>
  <c r="L109" i="36"/>
  <c r="N109" i="36" s="1"/>
  <c r="AQ109" i="36" s="1"/>
  <c r="AK89" i="40"/>
  <c r="AM89" i="40" s="1"/>
  <c r="AS89" i="40" s="1"/>
  <c r="Z89" i="40"/>
  <c r="AB89" i="40" s="1"/>
  <c r="L99" i="40"/>
  <c r="N99" i="40" s="1"/>
  <c r="AQ99" i="40" s="1"/>
  <c r="AR80" i="40"/>
  <c r="AR79" i="40"/>
  <c r="Z109" i="48"/>
  <c r="AB109" i="48" s="1"/>
  <c r="L114" i="48"/>
  <c r="N114" i="48" s="1"/>
  <c r="AQ114" i="48" s="1"/>
  <c r="Z105" i="42"/>
  <c r="AB105" i="42" s="1"/>
  <c r="L110" i="42"/>
  <c r="N110" i="42" s="1"/>
  <c r="AQ110" i="42" s="1"/>
  <c r="AK90" i="39"/>
  <c r="AM90" i="39" s="1"/>
  <c r="AS90" i="39" s="1"/>
  <c r="Z90" i="39"/>
  <c r="AB90" i="39" s="1"/>
  <c r="L100" i="39"/>
  <c r="N100" i="39" s="1"/>
  <c r="AQ100" i="39" s="1"/>
  <c r="AK89" i="34"/>
  <c r="AM89" i="34" s="1"/>
  <c r="AS89" i="34" s="1"/>
  <c r="Z89" i="34"/>
  <c r="AB89" i="34" s="1"/>
  <c r="L99" i="34"/>
  <c r="N99" i="34" s="1"/>
  <c r="AQ99" i="34" s="1"/>
  <c r="AR79" i="34"/>
  <c r="AR80" i="34"/>
  <c r="AK105" i="37"/>
  <c r="AM105" i="37" s="1"/>
  <c r="AS105" i="37" s="1"/>
  <c r="AK104" i="36"/>
  <c r="AM104" i="36" s="1"/>
  <c r="AS104" i="36" s="1"/>
  <c r="AK105" i="42"/>
  <c r="AM105" i="42" s="1"/>
  <c r="AS105" i="42" s="1"/>
  <c r="AK104" i="37"/>
  <c r="AM104" i="37" s="1"/>
  <c r="AS104" i="37" s="1"/>
  <c r="AR85" i="43"/>
  <c r="AT85" i="43" s="1"/>
  <c r="E15" i="43" s="1"/>
  <c r="AR84" i="43"/>
  <c r="AT84" i="43" s="1"/>
  <c r="D15" i="43" s="1"/>
  <c r="AR90" i="39" l="1"/>
  <c r="L110" i="36"/>
  <c r="N110" i="36" s="1"/>
  <c r="AQ110" i="36" s="1"/>
  <c r="Z105" i="36"/>
  <c r="AB105" i="36" s="1"/>
  <c r="AR104" i="36" s="1"/>
  <c r="AT104" i="36" s="1"/>
  <c r="D19" i="36" s="1"/>
  <c r="L110" i="35"/>
  <c r="N110" i="35" s="1"/>
  <c r="AQ110" i="35" s="1"/>
  <c r="Z105" i="35"/>
  <c r="AB105" i="35" s="1"/>
  <c r="Z104" i="46"/>
  <c r="AB104" i="46" s="1"/>
  <c r="L109" i="46"/>
  <c r="N109" i="46" s="1"/>
  <c r="AQ109" i="46" s="1"/>
  <c r="Z104" i="41"/>
  <c r="AB104" i="41" s="1"/>
  <c r="AR105" i="41" s="1"/>
  <c r="AT105" i="41" s="1"/>
  <c r="E19" i="41" s="1"/>
  <c r="AK104" i="41"/>
  <c r="AM104" i="41" s="1"/>
  <c r="AS104" i="41" s="1"/>
  <c r="Z105" i="26"/>
  <c r="AB105" i="26" s="1"/>
  <c r="L110" i="26"/>
  <c r="N110" i="26" s="1"/>
  <c r="AQ110" i="26" s="1"/>
  <c r="Z105" i="38"/>
  <c r="AB105" i="38" s="1"/>
  <c r="L110" i="38"/>
  <c r="N110" i="38" s="1"/>
  <c r="AQ110" i="38" s="1"/>
  <c r="AK105" i="38"/>
  <c r="AM105" i="38" s="1"/>
  <c r="AS105" i="38" s="1"/>
  <c r="L110" i="47"/>
  <c r="N110" i="47" s="1"/>
  <c r="AQ110" i="47" s="1"/>
  <c r="Z105" i="47"/>
  <c r="AB105" i="47" s="1"/>
  <c r="AK104" i="42"/>
  <c r="AM104" i="42" s="1"/>
  <c r="AS104" i="42" s="1"/>
  <c r="Z104" i="42"/>
  <c r="AB104" i="42" s="1"/>
  <c r="AR105" i="42" s="1"/>
  <c r="AT105" i="42" s="1"/>
  <c r="E19" i="42" s="1"/>
  <c r="Z110" i="42" s="1"/>
  <c r="AB110" i="42" s="1"/>
  <c r="L109" i="42"/>
  <c r="N109" i="42" s="1"/>
  <c r="AQ109" i="42" s="1"/>
  <c r="AR99" i="28"/>
  <c r="AR89" i="34"/>
  <c r="AT89" i="34" s="1"/>
  <c r="D16" i="34" s="1"/>
  <c r="AK94" i="34" s="1"/>
  <c r="AM94" i="34" s="1"/>
  <c r="AS94" i="34" s="1"/>
  <c r="AT94" i="34" s="1"/>
  <c r="D17" i="34" s="1"/>
  <c r="AK99" i="34" s="1"/>
  <c r="AM99" i="34" s="1"/>
  <c r="AS99" i="34" s="1"/>
  <c r="L105" i="33"/>
  <c r="N105" i="33" s="1"/>
  <c r="AQ105" i="33" s="1"/>
  <c r="Z100" i="33"/>
  <c r="AB100" i="33" s="1"/>
  <c r="AK95" i="33"/>
  <c r="AM95" i="33" s="1"/>
  <c r="AS95" i="33" s="1"/>
  <c r="AT95" i="33" s="1"/>
  <c r="E17" i="33" s="1"/>
  <c r="AK100" i="33" s="1"/>
  <c r="AM100" i="33" s="1"/>
  <c r="AS100" i="33" s="1"/>
  <c r="Z104" i="47"/>
  <c r="AB104" i="47" s="1"/>
  <c r="L109" i="47"/>
  <c r="N109" i="47" s="1"/>
  <c r="AQ109" i="47" s="1"/>
  <c r="L105" i="49"/>
  <c r="N105" i="49" s="1"/>
  <c r="AQ105" i="49" s="1"/>
  <c r="Z100" i="49"/>
  <c r="AB100" i="49" s="1"/>
  <c r="AR100" i="49" s="1"/>
  <c r="L105" i="44"/>
  <c r="N105" i="44" s="1"/>
  <c r="AQ105" i="44" s="1"/>
  <c r="Z100" i="44"/>
  <c r="AB100" i="44" s="1"/>
  <c r="AR99" i="44" s="1"/>
  <c r="AT99" i="44" s="1"/>
  <c r="D18" i="44" s="1"/>
  <c r="AK104" i="44" s="1"/>
  <c r="AM104" i="44" s="1"/>
  <c r="AS104" i="44" s="1"/>
  <c r="AK95" i="44"/>
  <c r="AM95" i="44" s="1"/>
  <c r="AS95" i="44" s="1"/>
  <c r="AT95" i="44" s="1"/>
  <c r="E17" i="44" s="1"/>
  <c r="AK100" i="44" s="1"/>
  <c r="AM100" i="44" s="1"/>
  <c r="AS100" i="44" s="1"/>
  <c r="AT90" i="39"/>
  <c r="E16" i="39" s="1"/>
  <c r="AK95" i="39" s="1"/>
  <c r="AM95" i="39" s="1"/>
  <c r="AS95" i="39" s="1"/>
  <c r="AT95" i="39" s="1"/>
  <c r="E17" i="39" s="1"/>
  <c r="AK100" i="39" s="1"/>
  <c r="AM100" i="39" s="1"/>
  <c r="AS100" i="39" s="1"/>
  <c r="D16" i="59"/>
  <c r="AV100" i="59"/>
  <c r="B84" i="58" s="1" a="1"/>
  <c r="AR100" i="29"/>
  <c r="AR99" i="29"/>
  <c r="L120" i="59"/>
  <c r="N120" i="59" s="1"/>
  <c r="AS120" i="59" s="1"/>
  <c r="AM108" i="59"/>
  <c r="AO108" i="59" s="1"/>
  <c r="AU108" i="59" s="1"/>
  <c r="AV108" i="59" s="1"/>
  <c r="E17" i="59" s="1"/>
  <c r="AM114" i="59" s="1"/>
  <c r="AO114" i="59" s="1"/>
  <c r="AU114" i="59" s="1"/>
  <c r="Z114" i="59"/>
  <c r="AB114" i="59" s="1"/>
  <c r="AR100" i="28"/>
  <c r="AR100" i="30"/>
  <c r="AR99" i="30"/>
  <c r="L109" i="35"/>
  <c r="N109" i="35" s="1"/>
  <c r="AQ109" i="35" s="1"/>
  <c r="AK104" i="35"/>
  <c r="AM104" i="35" s="1"/>
  <c r="AS104" i="35" s="1"/>
  <c r="Z104" i="35"/>
  <c r="AB104" i="35" s="1"/>
  <c r="AR89" i="31"/>
  <c r="AT89" i="31" s="1"/>
  <c r="D16" i="31" s="1"/>
  <c r="Z110" i="48"/>
  <c r="AB110" i="48" s="1"/>
  <c r="AR109" i="48" s="1"/>
  <c r="L115" i="48"/>
  <c r="N115" i="48" s="1"/>
  <c r="AQ115" i="48" s="1"/>
  <c r="Z109" i="26"/>
  <c r="AB109" i="26" s="1"/>
  <c r="L114" i="26"/>
  <c r="N114" i="26" s="1"/>
  <c r="AQ114" i="26" s="1"/>
  <c r="AR104" i="37"/>
  <c r="AT104" i="37" s="1"/>
  <c r="D19" i="37" s="1"/>
  <c r="AK109" i="37" s="1"/>
  <c r="AM109" i="37" s="1"/>
  <c r="AS109" i="37" s="1"/>
  <c r="AK90" i="43"/>
  <c r="AM90" i="43" s="1"/>
  <c r="AS90" i="43" s="1"/>
  <c r="Z90" i="43"/>
  <c r="AB90" i="43" s="1"/>
  <c r="L100" i="43"/>
  <c r="N100" i="43" s="1"/>
  <c r="AQ100" i="43" s="1"/>
  <c r="AR105" i="37"/>
  <c r="AT105" i="37" s="1"/>
  <c r="E19" i="37" s="1"/>
  <c r="AK110" i="37" s="1"/>
  <c r="AM110" i="37" s="1"/>
  <c r="AS110" i="37" s="1"/>
  <c r="AR90" i="34"/>
  <c r="AT90" i="34" s="1"/>
  <c r="E16" i="34" s="1"/>
  <c r="AR89" i="39"/>
  <c r="AT89" i="39" s="1"/>
  <c r="D16" i="39" s="1"/>
  <c r="L104" i="34"/>
  <c r="N104" i="34" s="1"/>
  <c r="AQ104" i="34" s="1"/>
  <c r="Z100" i="39"/>
  <c r="AB100" i="39" s="1"/>
  <c r="L105" i="39"/>
  <c r="N105" i="39" s="1"/>
  <c r="AQ105" i="39" s="1"/>
  <c r="AR89" i="33"/>
  <c r="AT89" i="33" s="1"/>
  <c r="D16" i="33" s="1"/>
  <c r="AR90" i="31"/>
  <c r="AT90" i="31" s="1"/>
  <c r="E16" i="31" s="1"/>
  <c r="AR89" i="40"/>
  <c r="AT89" i="40" s="1"/>
  <c r="D16" i="40" s="1"/>
  <c r="AR90" i="40"/>
  <c r="AT90" i="40" s="1"/>
  <c r="E16" i="40" s="1"/>
  <c r="AR105" i="36"/>
  <c r="AT105" i="36" s="1"/>
  <c r="E19" i="36" s="1"/>
  <c r="AK89" i="43"/>
  <c r="AM89" i="43" s="1"/>
  <c r="AS89" i="43" s="1"/>
  <c r="Z89" i="43"/>
  <c r="AB89" i="43" s="1"/>
  <c r="L99" i="43"/>
  <c r="N99" i="43" s="1"/>
  <c r="AQ99" i="43" s="1"/>
  <c r="L119" i="48"/>
  <c r="N119" i="48" s="1"/>
  <c r="AQ119" i="48" s="1"/>
  <c r="AR99" i="49" l="1"/>
  <c r="AR100" i="44"/>
  <c r="AT100" i="44" s="1"/>
  <c r="E18" i="44" s="1"/>
  <c r="Z105" i="44" s="1"/>
  <c r="AB105" i="44" s="1"/>
  <c r="AR104" i="42"/>
  <c r="AT104" i="42" s="1"/>
  <c r="D19" i="42" s="1"/>
  <c r="Z109" i="36"/>
  <c r="AB109" i="36" s="1"/>
  <c r="L114" i="36"/>
  <c r="N114" i="36" s="1"/>
  <c r="AQ114" i="36" s="1"/>
  <c r="AK109" i="36"/>
  <c r="AM109" i="36" s="1"/>
  <c r="AS109" i="36" s="1"/>
  <c r="Z114" i="48"/>
  <c r="AB114" i="48" s="1"/>
  <c r="AR104" i="41"/>
  <c r="AT104" i="41" s="1"/>
  <c r="D19" i="41" s="1"/>
  <c r="Z99" i="34"/>
  <c r="AB99" i="34" s="1"/>
  <c r="Z110" i="37"/>
  <c r="AB110" i="37" s="1"/>
  <c r="L109" i="44"/>
  <c r="N109" i="44" s="1"/>
  <c r="AQ109" i="44" s="1"/>
  <c r="AR90" i="43"/>
  <c r="AT90" i="43" s="1"/>
  <c r="E16" i="43" s="1"/>
  <c r="AK95" i="43" s="1"/>
  <c r="AM95" i="43" s="1"/>
  <c r="AS95" i="43" s="1"/>
  <c r="AT95" i="43" s="1"/>
  <c r="E17" i="43" s="1"/>
  <c r="AK100" i="43" s="1"/>
  <c r="AM100" i="43" s="1"/>
  <c r="AS100" i="43" s="1"/>
  <c r="L115" i="37"/>
  <c r="N115" i="37" s="1"/>
  <c r="AQ115" i="37" s="1"/>
  <c r="AK110" i="42"/>
  <c r="AM110" i="42" s="1"/>
  <c r="AS110" i="42" s="1"/>
  <c r="Z104" i="44"/>
  <c r="AB104" i="44" s="1"/>
  <c r="L115" i="42"/>
  <c r="N115" i="42" s="1"/>
  <c r="AQ115" i="42" s="1"/>
  <c r="L109" i="28"/>
  <c r="N109" i="28" s="1"/>
  <c r="AQ109" i="28" s="1"/>
  <c r="Z104" i="28"/>
  <c r="AB104" i="28" s="1"/>
  <c r="AR105" i="38"/>
  <c r="AT105" i="38" s="1"/>
  <c r="E19" i="38" s="1"/>
  <c r="AR104" i="38"/>
  <c r="AT104" i="38" s="1"/>
  <c r="D19" i="38" s="1"/>
  <c r="Z109" i="38" s="1"/>
  <c r="AB109" i="38" s="1"/>
  <c r="Z110" i="41"/>
  <c r="AB110" i="41" s="1"/>
  <c r="AK110" i="41"/>
  <c r="AM110" i="41" s="1"/>
  <c r="AS110" i="41" s="1"/>
  <c r="L115" i="41"/>
  <c r="N115" i="41" s="1"/>
  <c r="AQ115" i="41" s="1"/>
  <c r="AK94" i="40"/>
  <c r="AM94" i="40" s="1"/>
  <c r="AS94" i="40" s="1"/>
  <c r="AT94" i="40" s="1"/>
  <c r="D17" i="40" s="1"/>
  <c r="AK99" i="40" s="1"/>
  <c r="AM99" i="40" s="1"/>
  <c r="AS99" i="40" s="1"/>
  <c r="Z99" i="40"/>
  <c r="AB99" i="40" s="1"/>
  <c r="L104" i="40"/>
  <c r="N104" i="40" s="1"/>
  <c r="AQ104" i="40" s="1"/>
  <c r="L104" i="39"/>
  <c r="N104" i="39" s="1"/>
  <c r="AQ104" i="39" s="1"/>
  <c r="AK94" i="39"/>
  <c r="AM94" i="39" s="1"/>
  <c r="AS94" i="39" s="1"/>
  <c r="AT94" i="39" s="1"/>
  <c r="D17" i="39" s="1"/>
  <c r="AK99" i="39" s="1"/>
  <c r="AM99" i="39" s="1"/>
  <c r="AS99" i="39" s="1"/>
  <c r="Z99" i="39"/>
  <c r="AB99" i="39" s="1"/>
  <c r="AR100" i="39" s="1"/>
  <c r="AT100" i="39" s="1"/>
  <c r="E18" i="39" s="1"/>
  <c r="Z105" i="39" s="1"/>
  <c r="AB105" i="39" s="1"/>
  <c r="AK94" i="33"/>
  <c r="AM94" i="33" s="1"/>
  <c r="AS94" i="33" s="1"/>
  <c r="AT94" i="33" s="1"/>
  <c r="D17" i="33" s="1"/>
  <c r="AK99" i="33" s="1"/>
  <c r="AM99" i="33" s="1"/>
  <c r="AS99" i="33" s="1"/>
  <c r="L104" i="33"/>
  <c r="N104" i="33" s="1"/>
  <c r="AQ104" i="33" s="1"/>
  <c r="Z99" i="33"/>
  <c r="AB99" i="33" s="1"/>
  <c r="AR100" i="33" s="1"/>
  <c r="AT100" i="33" s="1"/>
  <c r="E18" i="33" s="1"/>
  <c r="Z100" i="34"/>
  <c r="AB100" i="34" s="1"/>
  <c r="AR99" i="34" s="1"/>
  <c r="AT99" i="34" s="1"/>
  <c r="D18" i="34" s="1"/>
  <c r="AK104" i="34" s="1"/>
  <c r="AM104" i="34" s="1"/>
  <c r="AS104" i="34" s="1"/>
  <c r="L105" i="34"/>
  <c r="N105" i="34" s="1"/>
  <c r="AQ105" i="34" s="1"/>
  <c r="AK95" i="34"/>
  <c r="AM95" i="34" s="1"/>
  <c r="AS95" i="34" s="1"/>
  <c r="AT95" i="34" s="1"/>
  <c r="E17" i="34" s="1"/>
  <c r="AK100" i="34" s="1"/>
  <c r="AM100" i="34" s="1"/>
  <c r="AS100" i="34" s="1"/>
  <c r="AK95" i="31"/>
  <c r="AM95" i="31" s="1"/>
  <c r="AS95" i="31" s="1"/>
  <c r="AT95" i="31" s="1"/>
  <c r="E17" i="31" s="1"/>
  <c r="AK100" i="31" s="1"/>
  <c r="AM100" i="31" s="1"/>
  <c r="AS100" i="31" s="1"/>
  <c r="Z100" i="31"/>
  <c r="AB100" i="31" s="1"/>
  <c r="L105" i="31"/>
  <c r="N105" i="31" s="1"/>
  <c r="AQ105" i="31" s="1"/>
  <c r="AK94" i="31"/>
  <c r="AM94" i="31" s="1"/>
  <c r="AS94" i="31" s="1"/>
  <c r="AT94" i="31" s="1"/>
  <c r="D17" i="31" s="1"/>
  <c r="AK99" i="31" s="1"/>
  <c r="AM99" i="31" s="1"/>
  <c r="AS99" i="31" s="1"/>
  <c r="L104" i="31"/>
  <c r="N104" i="31" s="1"/>
  <c r="AQ104" i="31" s="1"/>
  <c r="Z99" i="31"/>
  <c r="AB99" i="31" s="1"/>
  <c r="AR99" i="31" s="1"/>
  <c r="AK95" i="40"/>
  <c r="AM95" i="40" s="1"/>
  <c r="AS95" i="40" s="1"/>
  <c r="AT95" i="40" s="1"/>
  <c r="E17" i="40" s="1"/>
  <c r="AK100" i="40" s="1"/>
  <c r="AM100" i="40" s="1"/>
  <c r="AS100" i="40" s="1"/>
  <c r="L105" i="40"/>
  <c r="N105" i="40" s="1"/>
  <c r="AQ105" i="40" s="1"/>
  <c r="Z100" i="40"/>
  <c r="AB100" i="40" s="1"/>
  <c r="AM107" i="59"/>
  <c r="AO107" i="59" s="1"/>
  <c r="AU107" i="59" s="1"/>
  <c r="AV107" i="59" s="1"/>
  <c r="Z113" i="59"/>
  <c r="AB113" i="59" s="1"/>
  <c r="L119" i="59"/>
  <c r="N119" i="59" s="1"/>
  <c r="AS119" i="59" s="1"/>
  <c r="AR104" i="35"/>
  <c r="AT104" i="35" s="1"/>
  <c r="D19" i="35" s="1"/>
  <c r="AK109" i="35" s="1"/>
  <c r="AM109" i="35" s="1"/>
  <c r="AS109" i="35" s="1"/>
  <c r="AR105" i="35"/>
  <c r="AT105" i="35" s="1"/>
  <c r="E19" i="35" s="1"/>
  <c r="L109" i="30"/>
  <c r="N109" i="30" s="1"/>
  <c r="AQ109" i="30" s="1"/>
  <c r="Z104" i="30"/>
  <c r="AB104" i="30" s="1"/>
  <c r="Z104" i="29"/>
  <c r="AB104" i="29" s="1"/>
  <c r="L109" i="29"/>
  <c r="N109" i="29" s="1"/>
  <c r="AQ109" i="29" s="1"/>
  <c r="Z109" i="35"/>
  <c r="AB109" i="35" s="1"/>
  <c r="L110" i="30"/>
  <c r="N110" i="30" s="1"/>
  <c r="AQ110" i="30" s="1"/>
  <c r="Z105" i="30"/>
  <c r="AB105" i="30" s="1"/>
  <c r="L110" i="29"/>
  <c r="N110" i="29" s="1"/>
  <c r="AQ110" i="29" s="1"/>
  <c r="Z105" i="29"/>
  <c r="AB105" i="29" s="1"/>
  <c r="Z105" i="28"/>
  <c r="AB105" i="28" s="1"/>
  <c r="L110" i="28"/>
  <c r="N110" i="28" s="1"/>
  <c r="AQ110" i="28" s="1"/>
  <c r="M86" i="58"/>
  <c r="E87" i="58"/>
  <c r="G87" i="58"/>
  <c r="I85" i="58"/>
  <c r="D84" i="58"/>
  <c r="L84" i="58"/>
  <c r="H84" i="58"/>
  <c r="M84" i="58"/>
  <c r="J85" i="58"/>
  <c r="C87" i="58"/>
  <c r="B84" i="58"/>
  <c r="E88" i="58"/>
  <c r="K84" i="58"/>
  <c r="H87" i="58"/>
  <c r="G84" i="58"/>
  <c r="F84" i="58"/>
  <c r="K85" i="58"/>
  <c r="C84" i="58"/>
  <c r="H85" i="58"/>
  <c r="F88" i="58"/>
  <c r="L86" i="58"/>
  <c r="I88" i="58"/>
  <c r="C86" i="58"/>
  <c r="M85" i="58"/>
  <c r="B88" i="58"/>
  <c r="M88" i="58"/>
  <c r="B86" i="58"/>
  <c r="J87" i="58"/>
  <c r="E84" i="58"/>
  <c r="D87" i="58"/>
  <c r="H86" i="58"/>
  <c r="F87" i="58"/>
  <c r="J88" i="58"/>
  <c r="E86" i="58"/>
  <c r="C88" i="58"/>
  <c r="D86" i="58"/>
  <c r="K88" i="58"/>
  <c r="E85" i="58"/>
  <c r="K87" i="58"/>
  <c r="J84" i="58"/>
  <c r="L87" i="58"/>
  <c r="F85" i="58"/>
  <c r="D88" i="58"/>
  <c r="C85" i="58"/>
  <c r="B85" i="58"/>
  <c r="G86" i="58"/>
  <c r="L88" i="58"/>
  <c r="D85" i="58"/>
  <c r="I87" i="58"/>
  <c r="J86" i="58"/>
  <c r="F86" i="58"/>
  <c r="G88" i="58"/>
  <c r="I86" i="58"/>
  <c r="G85" i="58"/>
  <c r="I84" i="58"/>
  <c r="K86" i="58"/>
  <c r="L85" i="58"/>
  <c r="B87" i="58"/>
  <c r="H88" i="58"/>
  <c r="M87" i="58"/>
  <c r="AR105" i="47"/>
  <c r="AR104" i="47"/>
  <c r="L114" i="37"/>
  <c r="N114" i="37" s="1"/>
  <c r="AQ114" i="37" s="1"/>
  <c r="Z109" i="37"/>
  <c r="AB109" i="37" s="1"/>
  <c r="AR110" i="37" s="1"/>
  <c r="AT110" i="37" s="1"/>
  <c r="E20" i="37" s="1"/>
  <c r="AK115" i="37" s="1"/>
  <c r="AM115" i="37" s="1"/>
  <c r="AS115" i="37" s="1"/>
  <c r="AR110" i="48"/>
  <c r="AR104" i="44"/>
  <c r="AT104" i="44" s="1"/>
  <c r="D19" i="44" s="1"/>
  <c r="AR105" i="44"/>
  <c r="L110" i="44"/>
  <c r="N110" i="44" s="1"/>
  <c r="AQ110" i="44" s="1"/>
  <c r="AK109" i="42"/>
  <c r="AM109" i="42" s="1"/>
  <c r="AS109" i="42" s="1"/>
  <c r="Z109" i="42"/>
  <c r="AB109" i="42" s="1"/>
  <c r="AR110" i="42" s="1"/>
  <c r="AT110" i="42" s="1"/>
  <c r="E20" i="42" s="1"/>
  <c r="AK115" i="42" s="1"/>
  <c r="AM115" i="42" s="1"/>
  <c r="AS115" i="42" s="1"/>
  <c r="L114" i="42"/>
  <c r="N114" i="42" s="1"/>
  <c r="AQ114" i="42" s="1"/>
  <c r="AK110" i="36"/>
  <c r="AM110" i="36" s="1"/>
  <c r="AS110" i="36" s="1"/>
  <c r="L115" i="36"/>
  <c r="N115" i="36" s="1"/>
  <c r="AQ115" i="36" s="1"/>
  <c r="Z110" i="36"/>
  <c r="AB110" i="36" s="1"/>
  <c r="Z104" i="49"/>
  <c r="AB104" i="49" s="1"/>
  <c r="L109" i="49"/>
  <c r="N109" i="49" s="1"/>
  <c r="AQ109" i="49" s="1"/>
  <c r="AK105" i="44"/>
  <c r="AM105" i="44" s="1"/>
  <c r="AS105" i="44" s="1"/>
  <c r="AR89" i="43"/>
  <c r="AT89" i="43" s="1"/>
  <c r="D16" i="43" s="1"/>
  <c r="L105" i="43"/>
  <c r="N105" i="43" s="1"/>
  <c r="AQ105" i="43" s="1"/>
  <c r="AR109" i="36" l="1"/>
  <c r="AT109" i="36" s="1"/>
  <c r="D20" i="36" s="1"/>
  <c r="AK114" i="36" s="1"/>
  <c r="AM114" i="36" s="1"/>
  <c r="AS114" i="36" s="1"/>
  <c r="AR99" i="33"/>
  <c r="AT99" i="33" s="1"/>
  <c r="D18" i="33" s="1"/>
  <c r="L109" i="33" s="1"/>
  <c r="N109" i="33" s="1"/>
  <c r="AQ109" i="33" s="1"/>
  <c r="AR100" i="31"/>
  <c r="AR109" i="37"/>
  <c r="AT109" i="37" s="1"/>
  <c r="D20" i="37" s="1"/>
  <c r="AK109" i="41"/>
  <c r="AM109" i="41" s="1"/>
  <c r="AS109" i="41" s="1"/>
  <c r="Z109" i="41"/>
  <c r="AB109" i="41" s="1"/>
  <c r="AR109" i="41" s="1"/>
  <c r="L114" i="41"/>
  <c r="N114" i="41" s="1"/>
  <c r="AQ114" i="41" s="1"/>
  <c r="Z100" i="43"/>
  <c r="AB100" i="43" s="1"/>
  <c r="Z115" i="42"/>
  <c r="AB115" i="42" s="1"/>
  <c r="L120" i="42"/>
  <c r="N120" i="42" s="1"/>
  <c r="AQ120" i="42" s="1"/>
  <c r="AR110" i="36"/>
  <c r="AT110" i="36" s="1"/>
  <c r="E20" i="36" s="1"/>
  <c r="AR100" i="34"/>
  <c r="AT100" i="34" s="1"/>
  <c r="E18" i="34" s="1"/>
  <c r="AK105" i="34" s="1"/>
  <c r="AM105" i="34" s="1"/>
  <c r="AS105" i="34" s="1"/>
  <c r="AR99" i="39"/>
  <c r="AT99" i="39" s="1"/>
  <c r="D18" i="39" s="1"/>
  <c r="L120" i="37"/>
  <c r="N120" i="37" s="1"/>
  <c r="AQ120" i="37" s="1"/>
  <c r="Z110" i="26"/>
  <c r="AB110" i="26" s="1"/>
  <c r="L114" i="35"/>
  <c r="N114" i="35" s="1"/>
  <c r="AQ114" i="35" s="1"/>
  <c r="L114" i="38"/>
  <c r="N114" i="38" s="1"/>
  <c r="AQ114" i="38" s="1"/>
  <c r="AK109" i="38"/>
  <c r="AM109" i="38" s="1"/>
  <c r="AS109" i="38" s="1"/>
  <c r="Z115" i="48"/>
  <c r="AB115" i="48" s="1"/>
  <c r="AR114" i="48" s="1"/>
  <c r="AK110" i="38"/>
  <c r="AM110" i="38" s="1"/>
  <c r="AS110" i="38" s="1"/>
  <c r="L115" i="38"/>
  <c r="N115" i="38" s="1"/>
  <c r="AQ115" i="38" s="1"/>
  <c r="Z110" i="38"/>
  <c r="AB110" i="38" s="1"/>
  <c r="L110" i="49"/>
  <c r="N110" i="49" s="1"/>
  <c r="AQ110" i="49" s="1"/>
  <c r="Z105" i="49"/>
  <c r="AB105" i="49" s="1"/>
  <c r="AR105" i="49" s="1"/>
  <c r="Z109" i="46"/>
  <c r="AB109" i="46" s="1"/>
  <c r="L114" i="46"/>
  <c r="N114" i="46" s="1"/>
  <c r="AQ114" i="46" s="1"/>
  <c r="Z109" i="47"/>
  <c r="AB109" i="47" s="1"/>
  <c r="L114" i="47"/>
  <c r="N114" i="47" s="1"/>
  <c r="AQ114" i="47" s="1"/>
  <c r="Z110" i="46"/>
  <c r="AB110" i="46" s="1"/>
  <c r="L115" i="46"/>
  <c r="N115" i="46" s="1"/>
  <c r="AQ115" i="46" s="1"/>
  <c r="AT100" i="31"/>
  <c r="E18" i="31" s="1"/>
  <c r="AK105" i="31" s="1"/>
  <c r="AM105" i="31" s="1"/>
  <c r="AS105" i="31" s="1"/>
  <c r="AR100" i="40"/>
  <c r="AT100" i="40" s="1"/>
  <c r="E18" i="40" s="1"/>
  <c r="AT99" i="31"/>
  <c r="D18" i="31" s="1"/>
  <c r="Z104" i="31" s="1"/>
  <c r="AB104" i="31" s="1"/>
  <c r="AT105" i="44"/>
  <c r="E19" i="44" s="1"/>
  <c r="AK110" i="44" s="1"/>
  <c r="AM110" i="44" s="1"/>
  <c r="AS110" i="44" s="1"/>
  <c r="AR109" i="42"/>
  <c r="AT109" i="42" s="1"/>
  <c r="D20" i="42" s="1"/>
  <c r="AK94" i="43"/>
  <c r="AM94" i="43" s="1"/>
  <c r="AS94" i="43" s="1"/>
  <c r="AT94" i="43" s="1"/>
  <c r="D17" i="43" s="1"/>
  <c r="AK99" i="43" s="1"/>
  <c r="AM99" i="43" s="1"/>
  <c r="AS99" i="43" s="1"/>
  <c r="Z99" i="43"/>
  <c r="AB99" i="43" s="1"/>
  <c r="L104" i="43"/>
  <c r="N104" i="43" s="1"/>
  <c r="AQ104" i="43" s="1"/>
  <c r="AR104" i="28"/>
  <c r="AR105" i="28"/>
  <c r="AR104" i="30"/>
  <c r="AR105" i="30"/>
  <c r="AK105" i="33"/>
  <c r="AM105" i="33" s="1"/>
  <c r="AS105" i="33" s="1"/>
  <c r="L110" i="33"/>
  <c r="N110" i="33" s="1"/>
  <c r="AQ110" i="33" s="1"/>
  <c r="Z105" i="33"/>
  <c r="AB105" i="33" s="1"/>
  <c r="Z110" i="47"/>
  <c r="AB110" i="47" s="1"/>
  <c r="L115" i="47"/>
  <c r="N115" i="47" s="1"/>
  <c r="AQ115" i="47" s="1"/>
  <c r="Z109" i="30"/>
  <c r="AB109" i="30" s="1"/>
  <c r="AR104" i="29"/>
  <c r="AR105" i="29"/>
  <c r="AT114" i="59"/>
  <c r="AV114" i="59" s="1"/>
  <c r="E18" i="59" s="1"/>
  <c r="AT113" i="59"/>
  <c r="AR99" i="40"/>
  <c r="AT99" i="40" s="1"/>
  <c r="D18" i="40" s="1"/>
  <c r="L115" i="35"/>
  <c r="N115" i="35" s="1"/>
  <c r="AQ115" i="35" s="1"/>
  <c r="AK110" i="35"/>
  <c r="AM110" i="35" s="1"/>
  <c r="AS110" i="35" s="1"/>
  <c r="Z110" i="35"/>
  <c r="AB110" i="35" s="1"/>
  <c r="D17" i="59"/>
  <c r="AM113" i="59" s="1"/>
  <c r="AO113" i="59" s="1"/>
  <c r="AU113" i="59" s="1"/>
  <c r="AV106" i="59"/>
  <c r="B90" i="58" s="1" a="1"/>
  <c r="Z115" i="37"/>
  <c r="AB115" i="37" s="1"/>
  <c r="Z104" i="34"/>
  <c r="AB104" i="34" s="1"/>
  <c r="Z105" i="31"/>
  <c r="AB105" i="31" s="1"/>
  <c r="L110" i="31"/>
  <c r="N110" i="31" s="1"/>
  <c r="AQ110" i="31" s="1"/>
  <c r="L109" i="34"/>
  <c r="N109" i="34" s="1"/>
  <c r="AQ109" i="34" s="1"/>
  <c r="AK114" i="42"/>
  <c r="AM114" i="42" s="1"/>
  <c r="AS114" i="42" s="1"/>
  <c r="Z114" i="42"/>
  <c r="AB114" i="42" s="1"/>
  <c r="L119" i="42"/>
  <c r="N119" i="42" s="1"/>
  <c r="AQ119" i="42" s="1"/>
  <c r="L119" i="36"/>
  <c r="N119" i="36" s="1"/>
  <c r="AQ119" i="36" s="1"/>
  <c r="L115" i="44"/>
  <c r="N115" i="44" s="1"/>
  <c r="AQ115" i="44" s="1"/>
  <c r="Z110" i="44"/>
  <c r="AB110" i="44" s="1"/>
  <c r="Z104" i="33"/>
  <c r="AB104" i="33" s="1"/>
  <c r="Z114" i="36"/>
  <c r="AB114" i="36" s="1"/>
  <c r="AK114" i="37"/>
  <c r="AM114" i="37" s="1"/>
  <c r="AS114" i="37" s="1"/>
  <c r="L119" i="37"/>
  <c r="N119" i="37" s="1"/>
  <c r="AQ119" i="37" s="1"/>
  <c r="Z114" i="37"/>
  <c r="AB114" i="37" s="1"/>
  <c r="AK105" i="39"/>
  <c r="AM105" i="39" s="1"/>
  <c r="AS105" i="39" s="1"/>
  <c r="L110" i="39"/>
  <c r="N110" i="39" s="1"/>
  <c r="AQ110" i="39" s="1"/>
  <c r="Z115" i="36"/>
  <c r="AB115" i="36" s="1"/>
  <c r="L120" i="36"/>
  <c r="N120" i="36" s="1"/>
  <c r="AQ120" i="36" s="1"/>
  <c r="AK115" i="36"/>
  <c r="AM115" i="36" s="1"/>
  <c r="AS115" i="36" s="1"/>
  <c r="AK105" i="40"/>
  <c r="AM105" i="40" s="1"/>
  <c r="AS105" i="40" s="1"/>
  <c r="L110" i="40"/>
  <c r="N110" i="40" s="1"/>
  <c r="AQ110" i="40" s="1"/>
  <c r="Z105" i="40"/>
  <c r="AB105" i="40" s="1"/>
  <c r="AK109" i="44"/>
  <c r="AM109" i="44" s="1"/>
  <c r="AS109" i="44" s="1"/>
  <c r="L114" i="44"/>
  <c r="N114" i="44" s="1"/>
  <c r="AQ114" i="44" s="1"/>
  <c r="Z109" i="44"/>
  <c r="AB109" i="44" s="1"/>
  <c r="AK104" i="33"/>
  <c r="AM104" i="33" s="1"/>
  <c r="AS104" i="33" s="1"/>
  <c r="AK104" i="31"/>
  <c r="AM104" i="31" s="1"/>
  <c r="AS104" i="31" s="1"/>
  <c r="Z79" i="27"/>
  <c r="AB79" i="27" s="1"/>
  <c r="L84" i="27"/>
  <c r="N84" i="27" s="1"/>
  <c r="AQ84" i="27" s="1"/>
  <c r="Z104" i="39"/>
  <c r="AB104" i="39" s="1"/>
  <c r="AR104" i="39" s="1"/>
  <c r="L109" i="39"/>
  <c r="N109" i="39" s="1"/>
  <c r="AQ109" i="39" s="1"/>
  <c r="AK104" i="39"/>
  <c r="AM104" i="39" s="1"/>
  <c r="AS104" i="39" s="1"/>
  <c r="AR110" i="41" l="1"/>
  <c r="AT110" i="41" s="1"/>
  <c r="E20" i="41" s="1"/>
  <c r="AR114" i="42"/>
  <c r="AT109" i="41"/>
  <c r="D20" i="41" s="1"/>
  <c r="AR99" i="43"/>
  <c r="AT99" i="43" s="1"/>
  <c r="D18" i="43" s="1"/>
  <c r="Z104" i="43" s="1"/>
  <c r="AB104" i="43" s="1"/>
  <c r="AR104" i="31"/>
  <c r="AT104" i="31" s="1"/>
  <c r="D19" i="31" s="1"/>
  <c r="AR100" i="43"/>
  <c r="AT100" i="43" s="1"/>
  <c r="E18" i="43" s="1"/>
  <c r="L109" i="31"/>
  <c r="N109" i="31" s="1"/>
  <c r="AQ109" i="31" s="1"/>
  <c r="AR115" i="48"/>
  <c r="AR109" i="26"/>
  <c r="AR110" i="26"/>
  <c r="L114" i="29"/>
  <c r="N114" i="29" s="1"/>
  <c r="AQ114" i="29" s="1"/>
  <c r="Z109" i="29"/>
  <c r="AB109" i="29" s="1"/>
  <c r="Z114" i="41"/>
  <c r="AB114" i="41" s="1"/>
  <c r="AK114" i="41"/>
  <c r="AM114" i="41" s="1"/>
  <c r="AS114" i="41" s="1"/>
  <c r="L119" i="41"/>
  <c r="N119" i="41" s="1"/>
  <c r="AQ119" i="41" s="1"/>
  <c r="L114" i="30"/>
  <c r="N114" i="30" s="1"/>
  <c r="AQ114" i="30" s="1"/>
  <c r="L114" i="28"/>
  <c r="N114" i="28" s="1"/>
  <c r="AQ114" i="28" s="1"/>
  <c r="Z109" i="28"/>
  <c r="AB109" i="28" s="1"/>
  <c r="AR110" i="46"/>
  <c r="AR109" i="46"/>
  <c r="AR110" i="38"/>
  <c r="AT110" i="38" s="1"/>
  <c r="E20" i="38" s="1"/>
  <c r="AR109" i="38"/>
  <c r="AT109" i="38" s="1"/>
  <c r="D20" i="38" s="1"/>
  <c r="AK115" i="41"/>
  <c r="AM115" i="41" s="1"/>
  <c r="AS115" i="41" s="1"/>
  <c r="L120" i="41"/>
  <c r="N120" i="41" s="1"/>
  <c r="AQ120" i="41" s="1"/>
  <c r="Z115" i="41"/>
  <c r="AB115" i="41" s="1"/>
  <c r="Z105" i="34"/>
  <c r="AB105" i="34" s="1"/>
  <c r="AR104" i="34" s="1"/>
  <c r="AT104" i="34" s="1"/>
  <c r="D19" i="34" s="1"/>
  <c r="L110" i="34"/>
  <c r="N110" i="34" s="1"/>
  <c r="AQ110" i="34" s="1"/>
  <c r="AR104" i="49"/>
  <c r="AR114" i="36"/>
  <c r="AT114" i="36" s="1"/>
  <c r="D21" i="36" s="1"/>
  <c r="AK119" i="36" s="1"/>
  <c r="AM119" i="36" s="1"/>
  <c r="AS119" i="36" s="1"/>
  <c r="AT119" i="36" s="1"/>
  <c r="D22" i="36" s="1"/>
  <c r="AK124" i="36" s="1"/>
  <c r="AM124" i="36" s="1"/>
  <c r="AS124" i="36" s="1"/>
  <c r="AT124" i="36" s="1"/>
  <c r="D23" i="36" s="1"/>
  <c r="AK129" i="36" s="1"/>
  <c r="AM129" i="36" s="1"/>
  <c r="AS129" i="36" s="1"/>
  <c r="AT129" i="36" s="1"/>
  <c r="D27" i="36" s="1"/>
  <c r="AR105" i="31"/>
  <c r="AT105" i="31" s="1"/>
  <c r="E19" i="31" s="1"/>
  <c r="Z110" i="31" s="1"/>
  <c r="AB110" i="31" s="1"/>
  <c r="AR115" i="42"/>
  <c r="AT115" i="42" s="1"/>
  <c r="E21" i="42" s="1"/>
  <c r="AK120" i="42" s="1"/>
  <c r="AM120" i="42" s="1"/>
  <c r="AS120" i="42" s="1"/>
  <c r="AT120" i="42" s="1"/>
  <c r="E22" i="42" s="1"/>
  <c r="AR115" i="36"/>
  <c r="AT115" i="36" s="1"/>
  <c r="E21" i="36" s="1"/>
  <c r="AK120" i="36" s="1"/>
  <c r="AM120" i="36" s="1"/>
  <c r="AS120" i="36" s="1"/>
  <c r="AT120" i="36" s="1"/>
  <c r="E22" i="36" s="1"/>
  <c r="AK125" i="36" s="1"/>
  <c r="AM125" i="36" s="1"/>
  <c r="AS125" i="36" s="1"/>
  <c r="AT125" i="36" s="1"/>
  <c r="E23" i="36" s="1"/>
  <c r="AK130" i="36" s="1"/>
  <c r="AM130" i="36" s="1"/>
  <c r="AS130" i="36" s="1"/>
  <c r="AT130" i="36" s="1"/>
  <c r="AR104" i="33"/>
  <c r="AT104" i="33" s="1"/>
  <c r="D19" i="33" s="1"/>
  <c r="AR115" i="37"/>
  <c r="AT115" i="37" s="1"/>
  <c r="E21" i="37" s="1"/>
  <c r="AK120" i="37" s="1"/>
  <c r="AM120" i="37" s="1"/>
  <c r="AS120" i="37" s="1"/>
  <c r="AT120" i="37" s="1"/>
  <c r="E22" i="37" s="1"/>
  <c r="AK125" i="37" s="1"/>
  <c r="AM125" i="37" s="1"/>
  <c r="AS125" i="37" s="1"/>
  <c r="AT125" i="37" s="1"/>
  <c r="E23" i="37" s="1"/>
  <c r="AK130" i="37" s="1"/>
  <c r="AM130" i="37" s="1"/>
  <c r="AS130" i="37" s="1"/>
  <c r="AT130" i="37" s="1"/>
  <c r="AT114" i="42"/>
  <c r="D21" i="42" s="1"/>
  <c r="AK119" i="42" s="1"/>
  <c r="AM119" i="42" s="1"/>
  <c r="AS119" i="42" s="1"/>
  <c r="AT119" i="42" s="1"/>
  <c r="D22" i="42" s="1"/>
  <c r="AK124" i="42" s="1"/>
  <c r="AM124" i="42" s="1"/>
  <c r="AS124" i="42" s="1"/>
  <c r="AT124" i="42" s="1"/>
  <c r="D23" i="42" s="1"/>
  <c r="AK129" i="42" s="1"/>
  <c r="AM129" i="42" s="1"/>
  <c r="AS129" i="42" s="1"/>
  <c r="AT129" i="42" s="1"/>
  <c r="D28" i="42" s="1"/>
  <c r="AR105" i="33"/>
  <c r="AT105" i="33" s="1"/>
  <c r="E19" i="33" s="1"/>
  <c r="AT104" i="39"/>
  <c r="D19" i="39" s="1"/>
  <c r="AV113" i="59"/>
  <c r="AV112" i="59" s="1"/>
  <c r="B96" i="58" s="1" a="1"/>
  <c r="AK105" i="43"/>
  <c r="AM105" i="43" s="1"/>
  <c r="AS105" i="43" s="1"/>
  <c r="Z105" i="43"/>
  <c r="AB105" i="43" s="1"/>
  <c r="L110" i="43"/>
  <c r="N110" i="43" s="1"/>
  <c r="AQ110" i="43" s="1"/>
  <c r="AR109" i="35"/>
  <c r="AT109" i="35" s="1"/>
  <c r="D20" i="35" s="1"/>
  <c r="AR110" i="35"/>
  <c r="AT110" i="35" s="1"/>
  <c r="E20" i="35" s="1"/>
  <c r="L115" i="29"/>
  <c r="N115" i="29" s="1"/>
  <c r="AQ115" i="29" s="1"/>
  <c r="Z110" i="29"/>
  <c r="AB110" i="29" s="1"/>
  <c r="Z110" i="30"/>
  <c r="AB110" i="30" s="1"/>
  <c r="L115" i="30"/>
  <c r="N115" i="30" s="1"/>
  <c r="AQ115" i="30" s="1"/>
  <c r="AK104" i="40"/>
  <c r="AM104" i="40" s="1"/>
  <c r="AS104" i="40" s="1"/>
  <c r="L109" i="40"/>
  <c r="N109" i="40" s="1"/>
  <c r="AQ109" i="40" s="1"/>
  <c r="Z104" i="40"/>
  <c r="AB104" i="40" s="1"/>
  <c r="AR105" i="40" s="1"/>
  <c r="AT105" i="40" s="1"/>
  <c r="E19" i="40" s="1"/>
  <c r="B91" i="58"/>
  <c r="D90" i="58"/>
  <c r="K90" i="58"/>
  <c r="F93" i="58"/>
  <c r="F90" i="58"/>
  <c r="B93" i="58"/>
  <c r="F92" i="58"/>
  <c r="H91" i="58"/>
  <c r="I93" i="58"/>
  <c r="E91" i="58"/>
  <c r="D94" i="58"/>
  <c r="J93" i="58"/>
  <c r="E94" i="58"/>
  <c r="M92" i="58"/>
  <c r="G92" i="58"/>
  <c r="G90" i="58"/>
  <c r="K93" i="58"/>
  <c r="L92" i="58"/>
  <c r="K94" i="58"/>
  <c r="M93" i="58"/>
  <c r="E90" i="58"/>
  <c r="I94" i="58"/>
  <c r="B92" i="58"/>
  <c r="C92" i="58"/>
  <c r="L90" i="58"/>
  <c r="M90" i="58"/>
  <c r="J91" i="58"/>
  <c r="C90" i="58"/>
  <c r="I91" i="58"/>
  <c r="J94" i="58"/>
  <c r="J92" i="58"/>
  <c r="D91" i="58"/>
  <c r="D93" i="58"/>
  <c r="J90" i="58"/>
  <c r="E93" i="58"/>
  <c r="G91" i="58"/>
  <c r="C93" i="58"/>
  <c r="I92" i="58"/>
  <c r="I90" i="58"/>
  <c r="K92" i="58"/>
  <c r="H92" i="58"/>
  <c r="C94" i="58"/>
  <c r="K91" i="58"/>
  <c r="M94" i="58"/>
  <c r="H94" i="58"/>
  <c r="F94" i="58"/>
  <c r="B94" i="58"/>
  <c r="E92" i="58"/>
  <c r="L91" i="58"/>
  <c r="H93" i="58"/>
  <c r="H90" i="58"/>
  <c r="M91" i="58"/>
  <c r="D92" i="58"/>
  <c r="B90" i="58"/>
  <c r="G94" i="58"/>
  <c r="F91" i="58"/>
  <c r="L93" i="58"/>
  <c r="L94" i="58"/>
  <c r="G93" i="58"/>
  <c r="C91" i="58"/>
  <c r="D18" i="59"/>
  <c r="L115" i="28"/>
  <c r="N115" i="28" s="1"/>
  <c r="AQ115" i="28" s="1"/>
  <c r="Z110" i="28"/>
  <c r="AB110" i="28" s="1"/>
  <c r="AM120" i="59"/>
  <c r="AO120" i="59" s="1"/>
  <c r="AU120" i="59" s="1"/>
  <c r="Z120" i="59"/>
  <c r="AB120" i="59" s="1"/>
  <c r="L126" i="59"/>
  <c r="N126" i="59" s="1"/>
  <c r="AS126" i="59" s="1"/>
  <c r="AR110" i="47"/>
  <c r="AR109" i="47"/>
  <c r="L109" i="43"/>
  <c r="N109" i="43" s="1"/>
  <c r="AQ109" i="43" s="1"/>
  <c r="E28" i="37"/>
  <c r="E26" i="37"/>
  <c r="E24" i="37"/>
  <c r="Z109" i="34"/>
  <c r="AB109" i="34" s="1"/>
  <c r="L114" i="34"/>
  <c r="N114" i="34" s="1"/>
  <c r="AQ114" i="34" s="1"/>
  <c r="AK109" i="34"/>
  <c r="AM109" i="34" s="1"/>
  <c r="AS109" i="34" s="1"/>
  <c r="D25" i="42"/>
  <c r="D24" i="36"/>
  <c r="L115" i="49"/>
  <c r="N115" i="49" s="1"/>
  <c r="AQ115" i="49" s="1"/>
  <c r="Z110" i="49"/>
  <c r="AB110" i="49" s="1"/>
  <c r="AR114" i="37"/>
  <c r="AT114" i="37" s="1"/>
  <c r="D21" i="37" s="1"/>
  <c r="AK119" i="37" s="1"/>
  <c r="AM119" i="37" s="1"/>
  <c r="AS119" i="37" s="1"/>
  <c r="AT119" i="37" s="1"/>
  <c r="D22" i="37" s="1"/>
  <c r="AK124" i="37" s="1"/>
  <c r="AM124" i="37" s="1"/>
  <c r="AS124" i="37" s="1"/>
  <c r="AT124" i="37" s="1"/>
  <c r="D23" i="37" s="1"/>
  <c r="AK129" i="37" s="1"/>
  <c r="AM129" i="37" s="1"/>
  <c r="AS129" i="37" s="1"/>
  <c r="AT129" i="37" s="1"/>
  <c r="D26" i="42"/>
  <c r="D25" i="36"/>
  <c r="D28" i="36"/>
  <c r="AK110" i="31"/>
  <c r="AM110" i="31" s="1"/>
  <c r="AS110" i="31" s="1"/>
  <c r="AR110" i="44"/>
  <c r="AT110" i="44" s="1"/>
  <c r="E20" i="44" s="1"/>
  <c r="Z115" i="44" s="1"/>
  <c r="AB115" i="44" s="1"/>
  <c r="AR109" i="44"/>
  <c r="AT109" i="44" s="1"/>
  <c r="D20" i="44" s="1"/>
  <c r="E28" i="36"/>
  <c r="E27" i="36"/>
  <c r="E24" i="36"/>
  <c r="E26" i="36"/>
  <c r="E25" i="36"/>
  <c r="AR105" i="39"/>
  <c r="AT105" i="39" s="1"/>
  <c r="E19" i="39" s="1"/>
  <c r="D27" i="42"/>
  <c r="D26" i="36"/>
  <c r="Z110" i="40"/>
  <c r="AB110" i="40" s="1"/>
  <c r="L115" i="40"/>
  <c r="N115" i="40" s="1"/>
  <c r="AQ115" i="40" s="1"/>
  <c r="AK110" i="40"/>
  <c r="AM110" i="40" s="1"/>
  <c r="AS110" i="40" s="1"/>
  <c r="L115" i="31"/>
  <c r="N115" i="31" s="1"/>
  <c r="AQ115" i="31" s="1"/>
  <c r="D24" i="42"/>
  <c r="AK144" i="42" s="1"/>
  <c r="AM144" i="42" s="1"/>
  <c r="AS144" i="42" s="1"/>
  <c r="AT144" i="42" s="1"/>
  <c r="AK110" i="33"/>
  <c r="AM110" i="33" s="1"/>
  <c r="AS110" i="33" s="1"/>
  <c r="Z110" i="33"/>
  <c r="AB110" i="33" s="1"/>
  <c r="L115" i="33"/>
  <c r="N115" i="33" s="1"/>
  <c r="AQ115" i="33" s="1"/>
  <c r="AK104" i="43"/>
  <c r="AM104" i="43" s="1"/>
  <c r="AS104" i="43" s="1"/>
  <c r="Z109" i="39"/>
  <c r="AB109" i="39" s="1"/>
  <c r="L114" i="39"/>
  <c r="N114" i="39" s="1"/>
  <c r="AQ114" i="39" s="1"/>
  <c r="AK109" i="39"/>
  <c r="AM109" i="39" s="1"/>
  <c r="AS109" i="39" s="1"/>
  <c r="AK150" i="37"/>
  <c r="AM150" i="37" s="1"/>
  <c r="AS150" i="37" s="1"/>
  <c r="AT150" i="37" s="1"/>
  <c r="AK135" i="37"/>
  <c r="AM135" i="37" s="1"/>
  <c r="AS135" i="37" s="1"/>
  <c r="AT135" i="37" s="1"/>
  <c r="AK145" i="37"/>
  <c r="AM145" i="37" s="1"/>
  <c r="AS145" i="37" s="1"/>
  <c r="AT145" i="37" s="1"/>
  <c r="AK140" i="37"/>
  <c r="AM140" i="37" s="1"/>
  <c r="AS140" i="37" s="1"/>
  <c r="AT140" i="37" s="1"/>
  <c r="AK149" i="36"/>
  <c r="AM149" i="36" s="1"/>
  <c r="AS149" i="36" s="1"/>
  <c r="AT149" i="36" s="1"/>
  <c r="AK144" i="36"/>
  <c r="AM144" i="36" s="1"/>
  <c r="AS144" i="36" s="1"/>
  <c r="AT144" i="36" s="1"/>
  <c r="AK139" i="36"/>
  <c r="AM139" i="36" s="1"/>
  <c r="AS139" i="36" s="1"/>
  <c r="AT139" i="36" s="1"/>
  <c r="AK134" i="36"/>
  <c r="AM134" i="36" s="1"/>
  <c r="AS134" i="36" s="1"/>
  <c r="AT134" i="36" s="1"/>
  <c r="AK125" i="42"/>
  <c r="AM125" i="42" s="1"/>
  <c r="AS125" i="42" s="1"/>
  <c r="AT125" i="42" s="1"/>
  <c r="E23" i="42" s="1"/>
  <c r="AK130" i="42" s="1"/>
  <c r="AM130" i="42" s="1"/>
  <c r="AS130" i="42" s="1"/>
  <c r="AT130" i="42" s="1"/>
  <c r="AK134" i="42"/>
  <c r="AM134" i="42" s="1"/>
  <c r="AS134" i="42" s="1"/>
  <c r="AT134" i="42" s="1"/>
  <c r="AP94" i="27"/>
  <c r="AP79" i="27"/>
  <c r="AR104" i="43" l="1"/>
  <c r="AR105" i="43"/>
  <c r="AR115" i="41"/>
  <c r="AT115" i="41" s="1"/>
  <c r="E21" i="41" s="1"/>
  <c r="AK120" i="41" s="1"/>
  <c r="AM120" i="41" s="1"/>
  <c r="AS120" i="41" s="1"/>
  <c r="AT120" i="41" s="1"/>
  <c r="E22" i="41" s="1"/>
  <c r="AK125" i="41" s="1"/>
  <c r="AM125" i="41" s="1"/>
  <c r="AS125" i="41" s="1"/>
  <c r="AT125" i="41" s="1"/>
  <c r="E23" i="41" s="1"/>
  <c r="AK130" i="41" s="1"/>
  <c r="AM130" i="41" s="1"/>
  <c r="AS130" i="41" s="1"/>
  <c r="AT130" i="41" s="1"/>
  <c r="L114" i="49"/>
  <c r="N114" i="49" s="1"/>
  <c r="AQ114" i="49" s="1"/>
  <c r="Z109" i="49"/>
  <c r="AB109" i="49" s="1"/>
  <c r="AR110" i="49" s="1"/>
  <c r="Z115" i="26"/>
  <c r="AB115" i="26" s="1"/>
  <c r="L120" i="26"/>
  <c r="N120" i="26" s="1"/>
  <c r="AQ120" i="26" s="1"/>
  <c r="Z114" i="26"/>
  <c r="AB114" i="26" s="1"/>
  <c r="L119" i="26"/>
  <c r="N119" i="26" s="1"/>
  <c r="AQ119" i="26" s="1"/>
  <c r="L119" i="35"/>
  <c r="N119" i="35" s="1"/>
  <c r="AQ119" i="35" s="1"/>
  <c r="AK114" i="35"/>
  <c r="AM114" i="35" s="1"/>
  <c r="AS114" i="35" s="1"/>
  <c r="Z114" i="35"/>
  <c r="AB114" i="35" s="1"/>
  <c r="L120" i="38"/>
  <c r="N120" i="38" s="1"/>
  <c r="AQ120" i="38" s="1"/>
  <c r="AK115" i="38"/>
  <c r="AM115" i="38" s="1"/>
  <c r="AS115" i="38" s="1"/>
  <c r="Z115" i="38"/>
  <c r="AB115" i="38" s="1"/>
  <c r="L119" i="46"/>
  <c r="N119" i="46" s="1"/>
  <c r="AQ119" i="46" s="1"/>
  <c r="Z114" i="46"/>
  <c r="AB114" i="46" s="1"/>
  <c r="AR114" i="41"/>
  <c r="AT114" i="41" s="1"/>
  <c r="D21" i="41" s="1"/>
  <c r="AK119" i="41" s="1"/>
  <c r="AM119" i="41" s="1"/>
  <c r="AS119" i="41" s="1"/>
  <c r="AT119" i="41" s="1"/>
  <c r="D22" i="41" s="1"/>
  <c r="AK124" i="41" s="1"/>
  <c r="AM124" i="41" s="1"/>
  <c r="AS124" i="41" s="1"/>
  <c r="AT124" i="41" s="1"/>
  <c r="D23" i="41" s="1"/>
  <c r="AK129" i="41" s="1"/>
  <c r="AM129" i="41" s="1"/>
  <c r="AS129" i="41" s="1"/>
  <c r="AT129" i="41" s="1"/>
  <c r="AK139" i="42"/>
  <c r="AM139" i="42" s="1"/>
  <c r="AS139" i="42" s="1"/>
  <c r="AT139" i="42" s="1"/>
  <c r="AR105" i="34"/>
  <c r="AT105" i="34" s="1"/>
  <c r="E19" i="34" s="1"/>
  <c r="Z115" i="46"/>
  <c r="AB115" i="46" s="1"/>
  <c r="L120" i="46"/>
  <c r="N120" i="46" s="1"/>
  <c r="AQ120" i="46" s="1"/>
  <c r="AK149" i="42"/>
  <c r="AM149" i="42" s="1"/>
  <c r="AS149" i="42" s="1"/>
  <c r="AT149" i="42" s="1"/>
  <c r="L120" i="44"/>
  <c r="N120" i="44" s="1"/>
  <c r="AQ120" i="44" s="1"/>
  <c r="AK115" i="44"/>
  <c r="AM115" i="44" s="1"/>
  <c r="AS115" i="44" s="1"/>
  <c r="L120" i="35"/>
  <c r="N120" i="35" s="1"/>
  <c r="AQ120" i="35" s="1"/>
  <c r="AK115" i="35"/>
  <c r="AM115" i="35" s="1"/>
  <c r="AS115" i="35" s="1"/>
  <c r="Z115" i="35"/>
  <c r="AB115" i="35" s="1"/>
  <c r="E27" i="37"/>
  <c r="E25" i="37"/>
  <c r="AK114" i="38"/>
  <c r="AM114" i="38" s="1"/>
  <c r="AS114" i="38" s="1"/>
  <c r="Z114" i="38"/>
  <c r="AB114" i="38" s="1"/>
  <c r="L119" i="38"/>
  <c r="N119" i="38" s="1"/>
  <c r="AQ119" i="38" s="1"/>
  <c r="B84" i="61" a="1"/>
  <c r="R84" i="61" s="1"/>
  <c r="AC84" i="61" a="1"/>
  <c r="AW84" i="61" s="1"/>
  <c r="AT105" i="43"/>
  <c r="E19" i="43" s="1"/>
  <c r="AR104" i="40"/>
  <c r="AT104" i="40" s="1"/>
  <c r="D19" i="40" s="1"/>
  <c r="Z109" i="40" s="1"/>
  <c r="AB109" i="40" s="1"/>
  <c r="AR109" i="40" s="1"/>
  <c r="B78" i="61" a="1"/>
  <c r="I78" i="61" s="1"/>
  <c r="L120" i="47"/>
  <c r="N120" i="47" s="1"/>
  <c r="AQ120" i="47" s="1"/>
  <c r="Z115" i="47"/>
  <c r="AB115" i="47" s="1"/>
  <c r="L125" i="59"/>
  <c r="N125" i="59" s="1"/>
  <c r="AS125" i="59" s="1"/>
  <c r="AM119" i="59"/>
  <c r="AO119" i="59" s="1"/>
  <c r="AU119" i="59" s="1"/>
  <c r="Z119" i="59"/>
  <c r="AB119" i="59" s="1"/>
  <c r="AR109" i="28"/>
  <c r="AR110" i="28"/>
  <c r="M97" i="58"/>
  <c r="C96" i="58"/>
  <c r="L97" i="58"/>
  <c r="E100" i="58"/>
  <c r="I98" i="58"/>
  <c r="G98" i="58"/>
  <c r="L98" i="58"/>
  <c r="G97" i="58"/>
  <c r="K98" i="58"/>
  <c r="K97" i="58"/>
  <c r="L96" i="58"/>
  <c r="F96" i="58"/>
  <c r="F97" i="58"/>
  <c r="E98" i="58"/>
  <c r="F98" i="58"/>
  <c r="F99" i="58"/>
  <c r="I99" i="58"/>
  <c r="K100" i="58"/>
  <c r="J100" i="58"/>
  <c r="B100" i="58"/>
  <c r="C100" i="58"/>
  <c r="J97" i="58"/>
  <c r="J96" i="58"/>
  <c r="I100" i="58"/>
  <c r="D98" i="58"/>
  <c r="L99" i="58"/>
  <c r="J98" i="58"/>
  <c r="C97" i="58"/>
  <c r="M98" i="58"/>
  <c r="I96" i="58"/>
  <c r="B99" i="58"/>
  <c r="D97" i="58"/>
  <c r="E97" i="58"/>
  <c r="F100" i="58"/>
  <c r="E99" i="58"/>
  <c r="C99" i="58"/>
  <c r="H96" i="58"/>
  <c r="D100" i="58"/>
  <c r="M100" i="58"/>
  <c r="L100" i="58"/>
  <c r="K96" i="58"/>
  <c r="G96" i="58"/>
  <c r="E96" i="58"/>
  <c r="C98" i="58"/>
  <c r="M96" i="58"/>
  <c r="D96" i="58"/>
  <c r="B96" i="58"/>
  <c r="H99" i="58"/>
  <c r="J99" i="58"/>
  <c r="K99" i="58"/>
  <c r="B97" i="58"/>
  <c r="G99" i="58"/>
  <c r="H97" i="58"/>
  <c r="H98" i="58"/>
  <c r="B98" i="58"/>
  <c r="D99" i="58"/>
  <c r="M99" i="58"/>
  <c r="I97" i="58"/>
  <c r="H100" i="58"/>
  <c r="G100" i="58"/>
  <c r="AK109" i="40"/>
  <c r="AM109" i="40" s="1"/>
  <c r="AS109" i="40" s="1"/>
  <c r="AR110" i="30"/>
  <c r="AR109" i="30"/>
  <c r="Z114" i="47"/>
  <c r="AB114" i="47" s="1"/>
  <c r="L119" i="47"/>
  <c r="N119" i="47" s="1"/>
  <c r="AQ119" i="47" s="1"/>
  <c r="AR110" i="29"/>
  <c r="AR109" i="29"/>
  <c r="AK110" i="39"/>
  <c r="AM110" i="39" s="1"/>
  <c r="AS110" i="39" s="1"/>
  <c r="Z110" i="39"/>
  <c r="AB110" i="39" s="1"/>
  <c r="AR110" i="39" s="1"/>
  <c r="L115" i="39"/>
  <c r="N115" i="39" s="1"/>
  <c r="AQ115" i="39" s="1"/>
  <c r="L119" i="44"/>
  <c r="N119" i="44" s="1"/>
  <c r="AQ119" i="44" s="1"/>
  <c r="AK114" i="44"/>
  <c r="AM114" i="44" s="1"/>
  <c r="AS114" i="44" s="1"/>
  <c r="Z114" i="44"/>
  <c r="AB114" i="44" s="1"/>
  <c r="Z109" i="33"/>
  <c r="AB109" i="33" s="1"/>
  <c r="L114" i="33"/>
  <c r="N114" i="33" s="1"/>
  <c r="AQ114" i="33" s="1"/>
  <c r="AK109" i="33"/>
  <c r="AM109" i="33" s="1"/>
  <c r="AS109" i="33" s="1"/>
  <c r="AK114" i="34"/>
  <c r="AM114" i="34" s="1"/>
  <c r="AS114" i="34" s="1"/>
  <c r="L119" i="34"/>
  <c r="N119" i="34" s="1"/>
  <c r="AQ119" i="34" s="1"/>
  <c r="Z114" i="34"/>
  <c r="AB114" i="34" s="1"/>
  <c r="L114" i="31"/>
  <c r="N114" i="31" s="1"/>
  <c r="AQ114" i="31" s="1"/>
  <c r="Z109" i="31"/>
  <c r="AB109" i="31" s="1"/>
  <c r="AK109" i="31"/>
  <c r="AM109" i="31" s="1"/>
  <c r="AS109" i="31" s="1"/>
  <c r="AK110" i="43"/>
  <c r="AM110" i="43" s="1"/>
  <c r="AS110" i="43" s="1"/>
  <c r="Z110" i="43"/>
  <c r="AB110" i="43" s="1"/>
  <c r="L115" i="43"/>
  <c r="N115" i="43" s="1"/>
  <c r="AQ115" i="43" s="1"/>
  <c r="AK145" i="36"/>
  <c r="AM145" i="36" s="1"/>
  <c r="AS145" i="36" s="1"/>
  <c r="AT145" i="36" s="1"/>
  <c r="AK150" i="36"/>
  <c r="AM150" i="36" s="1"/>
  <c r="AS150" i="36" s="1"/>
  <c r="AT150" i="36" s="1"/>
  <c r="AK140" i="36"/>
  <c r="AM140" i="36" s="1"/>
  <c r="AS140" i="36" s="1"/>
  <c r="AT140" i="36" s="1"/>
  <c r="AK135" i="36"/>
  <c r="AM135" i="36" s="1"/>
  <c r="AS135" i="36" s="1"/>
  <c r="AT135" i="36" s="1"/>
  <c r="D26" i="37"/>
  <c r="D24" i="37"/>
  <c r="D25" i="37"/>
  <c r="D28" i="37"/>
  <c r="D27" i="37"/>
  <c r="AT104" i="43"/>
  <c r="D19" i="43" s="1"/>
  <c r="E26" i="42"/>
  <c r="E27" i="42"/>
  <c r="E28" i="42"/>
  <c r="E24" i="42"/>
  <c r="E25" i="42"/>
  <c r="Z84" i="61"/>
  <c r="Q84" i="61"/>
  <c r="N84" i="61"/>
  <c r="Z84" i="27"/>
  <c r="AB84" i="27" s="1"/>
  <c r="L89" i="27"/>
  <c r="N89" i="27" s="1"/>
  <c r="AQ89" i="27" s="1"/>
  <c r="U84" i="61" l="1"/>
  <c r="AL84" i="61"/>
  <c r="AC83" i="61" a="1"/>
  <c r="AZ83" i="61" s="1"/>
  <c r="AR109" i="49"/>
  <c r="P84" i="61"/>
  <c r="T84" i="61"/>
  <c r="S84" i="61"/>
  <c r="I84" i="61"/>
  <c r="M84" i="61"/>
  <c r="D84" i="61"/>
  <c r="B78" i="61"/>
  <c r="W84" i="61"/>
  <c r="H84" i="61"/>
  <c r="B84" i="61"/>
  <c r="E84" i="61"/>
  <c r="V84" i="61"/>
  <c r="J84" i="61"/>
  <c r="X84" i="61"/>
  <c r="F84" i="61"/>
  <c r="L84" i="61"/>
  <c r="Z78" i="61"/>
  <c r="S78" i="61"/>
  <c r="Y84" i="61"/>
  <c r="K84" i="61"/>
  <c r="C84" i="61"/>
  <c r="O84" i="61"/>
  <c r="G84" i="61"/>
  <c r="K78" i="61"/>
  <c r="H78" i="61"/>
  <c r="J78" i="61"/>
  <c r="P78" i="61"/>
  <c r="AP84" i="61"/>
  <c r="AE84" i="61"/>
  <c r="AM84" i="61"/>
  <c r="L78" i="61"/>
  <c r="AV84" i="61"/>
  <c r="AU84" i="61"/>
  <c r="AX84" i="61"/>
  <c r="AI84" i="61"/>
  <c r="AJ84" i="61"/>
  <c r="AD84" i="61"/>
  <c r="AK84" i="61"/>
  <c r="AG84" i="61"/>
  <c r="AY84" i="61"/>
  <c r="AC84" i="61"/>
  <c r="AO84" i="61"/>
  <c r="AN84" i="61"/>
  <c r="AH84" i="61"/>
  <c r="AF84" i="61"/>
  <c r="L114" i="40"/>
  <c r="N114" i="40" s="1"/>
  <c r="AQ114" i="40" s="1"/>
  <c r="AR114" i="26"/>
  <c r="AR115" i="26"/>
  <c r="E28" i="41"/>
  <c r="E26" i="41"/>
  <c r="E27" i="41"/>
  <c r="E25" i="41"/>
  <c r="E24" i="41"/>
  <c r="AK110" i="34"/>
  <c r="AM110" i="34" s="1"/>
  <c r="AS110" i="34" s="1"/>
  <c r="L115" i="34"/>
  <c r="N115" i="34" s="1"/>
  <c r="AQ115" i="34" s="1"/>
  <c r="Z110" i="34"/>
  <c r="AB110" i="34" s="1"/>
  <c r="Z114" i="29"/>
  <c r="AB114" i="29" s="1"/>
  <c r="L119" i="29"/>
  <c r="N119" i="29" s="1"/>
  <c r="AQ119" i="29" s="1"/>
  <c r="L119" i="49"/>
  <c r="N119" i="49" s="1"/>
  <c r="AQ119" i="49" s="1"/>
  <c r="Z114" i="49"/>
  <c r="AB114" i="49" s="1"/>
  <c r="L120" i="49"/>
  <c r="N120" i="49" s="1"/>
  <c r="AQ120" i="49" s="1"/>
  <c r="Z115" i="49"/>
  <c r="AB115" i="49" s="1"/>
  <c r="AR114" i="46"/>
  <c r="AR115" i="46"/>
  <c r="D26" i="35"/>
  <c r="D24" i="35"/>
  <c r="D27" i="35"/>
  <c r="D25" i="35"/>
  <c r="D28" i="35"/>
  <c r="AR114" i="38"/>
  <c r="AT114" i="38" s="1"/>
  <c r="D21" i="38" s="1"/>
  <c r="AR115" i="38"/>
  <c r="AT115" i="38" s="1"/>
  <c r="E21" i="38" s="1"/>
  <c r="AK120" i="38" s="1"/>
  <c r="AM120" i="38" s="1"/>
  <c r="AS120" i="38" s="1"/>
  <c r="AT120" i="38" s="1"/>
  <c r="E22" i="38" s="1"/>
  <c r="AK125" i="38" s="1"/>
  <c r="AM125" i="38" s="1"/>
  <c r="AS125" i="38" s="1"/>
  <c r="AT125" i="38" s="1"/>
  <c r="E23" i="38" s="1"/>
  <c r="AK130" i="38" s="1"/>
  <c r="AM130" i="38" s="1"/>
  <c r="AS130" i="38" s="1"/>
  <c r="AT130" i="38" s="1"/>
  <c r="AR115" i="35"/>
  <c r="AT115" i="35" s="1"/>
  <c r="E21" i="35" s="1"/>
  <c r="AK120" i="35" s="1"/>
  <c r="AM120" i="35" s="1"/>
  <c r="AS120" i="35" s="1"/>
  <c r="AT120" i="35" s="1"/>
  <c r="E22" i="35" s="1"/>
  <c r="AK125" i="35" s="1"/>
  <c r="AM125" i="35" s="1"/>
  <c r="AS125" i="35" s="1"/>
  <c r="AT125" i="35" s="1"/>
  <c r="E23" i="35" s="1"/>
  <c r="AK130" i="35" s="1"/>
  <c r="AM130" i="35" s="1"/>
  <c r="AS130" i="35" s="1"/>
  <c r="AT130" i="35" s="1"/>
  <c r="E28" i="35" s="1"/>
  <c r="AR114" i="35"/>
  <c r="AT114" i="35" s="1"/>
  <c r="D21" i="35" s="1"/>
  <c r="AK119" i="35" s="1"/>
  <c r="AM119" i="35" s="1"/>
  <c r="AS119" i="35" s="1"/>
  <c r="AT119" i="35" s="1"/>
  <c r="D22" i="35" s="1"/>
  <c r="AK124" i="35" s="1"/>
  <c r="AM124" i="35" s="1"/>
  <c r="AS124" i="35" s="1"/>
  <c r="AT124" i="35" s="1"/>
  <c r="D23" i="35" s="1"/>
  <c r="AK129" i="35" s="1"/>
  <c r="AM129" i="35" s="1"/>
  <c r="AS129" i="35" s="1"/>
  <c r="AT129" i="35" s="1"/>
  <c r="D26" i="41"/>
  <c r="D28" i="41"/>
  <c r="D24" i="41"/>
  <c r="D27" i="41"/>
  <c r="D25" i="41"/>
  <c r="AT110" i="39"/>
  <c r="E20" i="39" s="1"/>
  <c r="O78" i="61"/>
  <c r="Q78" i="61"/>
  <c r="AR84" i="61"/>
  <c r="BA84" i="61"/>
  <c r="AZ84" i="61"/>
  <c r="T78" i="61"/>
  <c r="F78" i="61"/>
  <c r="D78" i="61"/>
  <c r="V78" i="61"/>
  <c r="M78" i="61"/>
  <c r="U78" i="61"/>
  <c r="W78" i="61"/>
  <c r="AQ84" i="61"/>
  <c r="AS84" i="61"/>
  <c r="AT84" i="61"/>
  <c r="E78" i="61"/>
  <c r="C78" i="61"/>
  <c r="Y78" i="61"/>
  <c r="X78" i="61"/>
  <c r="G78" i="61"/>
  <c r="R78" i="61"/>
  <c r="N78" i="61"/>
  <c r="AT109" i="40"/>
  <c r="D20" i="40" s="1"/>
  <c r="AR109" i="39"/>
  <c r="AT109" i="39" s="1"/>
  <c r="D20" i="39" s="1"/>
  <c r="AR110" i="40"/>
  <c r="AT110" i="40" s="1"/>
  <c r="E20" i="40" s="1"/>
  <c r="Z115" i="29"/>
  <c r="AB115" i="29" s="1"/>
  <c r="L120" i="29"/>
  <c r="N120" i="29" s="1"/>
  <c r="AQ120" i="29" s="1"/>
  <c r="Z114" i="30"/>
  <c r="AB114" i="30" s="1"/>
  <c r="L119" i="30"/>
  <c r="N119" i="30" s="1"/>
  <c r="AQ119" i="30" s="1"/>
  <c r="Z114" i="28"/>
  <c r="AB114" i="28" s="1"/>
  <c r="L119" i="28"/>
  <c r="N119" i="28" s="1"/>
  <c r="AQ119" i="28" s="1"/>
  <c r="Z115" i="30"/>
  <c r="AB115" i="30" s="1"/>
  <c r="L120" i="30"/>
  <c r="N120" i="30" s="1"/>
  <c r="AQ120" i="30" s="1"/>
  <c r="AT119" i="59"/>
  <c r="AV119" i="59" s="1"/>
  <c r="AT120" i="59"/>
  <c r="AV120" i="59" s="1"/>
  <c r="E19" i="59" s="1"/>
  <c r="AR115" i="47"/>
  <c r="AR114" i="47"/>
  <c r="L120" i="28"/>
  <c r="N120" i="28" s="1"/>
  <c r="AQ120" i="28" s="1"/>
  <c r="Z115" i="28"/>
  <c r="AB115" i="28" s="1"/>
  <c r="AO83" i="61"/>
  <c r="AE83" i="61"/>
  <c r="AS83" i="61"/>
  <c r="AD83" i="61"/>
  <c r="BA83" i="61"/>
  <c r="AX83" i="61"/>
  <c r="AN83" i="61"/>
  <c r="AJ83" i="61"/>
  <c r="AQ83" i="61"/>
  <c r="AF83" i="61"/>
  <c r="AV83" i="61"/>
  <c r="AI83" i="61"/>
  <c r="AG83" i="61"/>
  <c r="AP83" i="61"/>
  <c r="AY83" i="61"/>
  <c r="AL83" i="61"/>
  <c r="AM83" i="61"/>
  <c r="AR83" i="61"/>
  <c r="AW83" i="61"/>
  <c r="AU83" i="61"/>
  <c r="AC83" i="61"/>
  <c r="AK83" i="61"/>
  <c r="AT83" i="61"/>
  <c r="AH83" i="61"/>
  <c r="Z109" i="43"/>
  <c r="AB109" i="43" s="1"/>
  <c r="L114" i="43"/>
  <c r="N114" i="43" s="1"/>
  <c r="AQ114" i="43" s="1"/>
  <c r="AK109" i="43"/>
  <c r="AM109" i="43" s="1"/>
  <c r="AS109" i="43" s="1"/>
  <c r="AR109" i="33"/>
  <c r="AT109" i="33" s="1"/>
  <c r="D20" i="33" s="1"/>
  <c r="AR110" i="33"/>
  <c r="AT110" i="33" s="1"/>
  <c r="E20" i="33" s="1"/>
  <c r="AK149" i="37"/>
  <c r="AM149" i="37" s="1"/>
  <c r="AS149" i="37" s="1"/>
  <c r="AT149" i="37" s="1"/>
  <c r="B83" i="61" a="1"/>
  <c r="AK139" i="37"/>
  <c r="AM139" i="37" s="1"/>
  <c r="AS139" i="37" s="1"/>
  <c r="AT139" i="37" s="1"/>
  <c r="AK144" i="37"/>
  <c r="AM144" i="37" s="1"/>
  <c r="AS144" i="37" s="1"/>
  <c r="AT144" i="37" s="1"/>
  <c r="AK134" i="37"/>
  <c r="AM134" i="37" s="1"/>
  <c r="AS134" i="37" s="1"/>
  <c r="AT134" i="37" s="1"/>
  <c r="AR110" i="31"/>
  <c r="AT110" i="31" s="1"/>
  <c r="E20" i="31" s="1"/>
  <c r="AR109" i="31"/>
  <c r="AT109" i="31" s="1"/>
  <c r="D20" i="31" s="1"/>
  <c r="AR114" i="44"/>
  <c r="AT114" i="44" s="1"/>
  <c r="D21" i="44" s="1"/>
  <c r="AR115" i="44"/>
  <c r="AT115" i="44" s="1"/>
  <c r="E21" i="44" s="1"/>
  <c r="AK115" i="39"/>
  <c r="AM115" i="39" s="1"/>
  <c r="AS115" i="39" s="1"/>
  <c r="Z115" i="39"/>
  <c r="AB115" i="39" s="1"/>
  <c r="L120" i="39"/>
  <c r="N120" i="39" s="1"/>
  <c r="AQ120" i="39" s="1"/>
  <c r="AK140" i="42"/>
  <c r="AM140" i="42" s="1"/>
  <c r="AS140" i="42" s="1"/>
  <c r="AT140" i="42" s="1"/>
  <c r="AK145" i="42"/>
  <c r="AM145" i="42" s="1"/>
  <c r="AS145" i="42" s="1"/>
  <c r="AT145" i="42" s="1"/>
  <c r="AK150" i="42"/>
  <c r="AM150" i="42" s="1"/>
  <c r="AS150" i="42" s="1"/>
  <c r="AT150" i="42" s="1"/>
  <c r="AK135" i="42"/>
  <c r="AM135" i="42" s="1"/>
  <c r="AS135" i="42" s="1"/>
  <c r="AT135" i="42" s="1"/>
  <c r="AC78" i="61" a="1"/>
  <c r="E24" i="35" l="1"/>
  <c r="E26" i="35"/>
  <c r="AC79" i="61" a="1"/>
  <c r="AK145" i="41"/>
  <c r="AM145" i="41" s="1"/>
  <c r="AS145" i="41" s="1"/>
  <c r="AT145" i="41" s="1"/>
  <c r="AK135" i="41"/>
  <c r="AM135" i="41" s="1"/>
  <c r="AS135" i="41" s="1"/>
  <c r="AT135" i="41" s="1"/>
  <c r="AK140" i="41"/>
  <c r="AM140" i="41" s="1"/>
  <c r="AS140" i="41" s="1"/>
  <c r="AT140" i="41" s="1"/>
  <c r="AK150" i="41"/>
  <c r="AM150" i="41" s="1"/>
  <c r="AS150" i="41" s="1"/>
  <c r="AT150" i="41" s="1"/>
  <c r="E27" i="35"/>
  <c r="AR109" i="34"/>
  <c r="AT109" i="34" s="1"/>
  <c r="D20" i="34" s="1"/>
  <c r="AR110" i="34"/>
  <c r="AT110" i="34" s="1"/>
  <c r="E20" i="34" s="1"/>
  <c r="E25" i="35"/>
  <c r="E26" i="38"/>
  <c r="E24" i="38"/>
  <c r="E27" i="38"/>
  <c r="E28" i="38"/>
  <c r="E25" i="38"/>
  <c r="Z114" i="33"/>
  <c r="AB114" i="33" s="1"/>
  <c r="AK114" i="33"/>
  <c r="AM114" i="33" s="1"/>
  <c r="AS114" i="33" s="1"/>
  <c r="L119" i="33"/>
  <c r="N119" i="33" s="1"/>
  <c r="AQ119" i="33" s="1"/>
  <c r="AK114" i="40"/>
  <c r="AM114" i="40" s="1"/>
  <c r="AS114" i="40" s="1"/>
  <c r="L119" i="40"/>
  <c r="N119" i="40" s="1"/>
  <c r="AQ119" i="40" s="1"/>
  <c r="Z114" i="40"/>
  <c r="AB114" i="40" s="1"/>
  <c r="AK134" i="41"/>
  <c r="AM134" i="41" s="1"/>
  <c r="AS134" i="41" s="1"/>
  <c r="AT134" i="41" s="1"/>
  <c r="AK144" i="41"/>
  <c r="AM144" i="41" s="1"/>
  <c r="AS144" i="41" s="1"/>
  <c r="AT144" i="41" s="1"/>
  <c r="AK139" i="41"/>
  <c r="AM139" i="41" s="1"/>
  <c r="AS139" i="41" s="1"/>
  <c r="AT139" i="41" s="1"/>
  <c r="AK149" i="41"/>
  <c r="AM149" i="41" s="1"/>
  <c r="AS149" i="41" s="1"/>
  <c r="AT149" i="41" s="1"/>
  <c r="AK119" i="38"/>
  <c r="AM119" i="38" s="1"/>
  <c r="AS119" i="38" s="1"/>
  <c r="AT119" i="38" s="1"/>
  <c r="D22" i="38" s="1"/>
  <c r="AK124" i="38" s="1"/>
  <c r="AM124" i="38" s="1"/>
  <c r="AS124" i="38" s="1"/>
  <c r="AT124" i="38" s="1"/>
  <c r="D23" i="38" s="1"/>
  <c r="AK129" i="38" s="1"/>
  <c r="AM129" i="38" s="1"/>
  <c r="AS129" i="38" s="1"/>
  <c r="AT129" i="38" s="1"/>
  <c r="B85" i="61" a="1"/>
  <c r="AK144" i="35"/>
  <c r="AM144" i="35" s="1"/>
  <c r="AS144" i="35" s="1"/>
  <c r="AT144" i="35" s="1"/>
  <c r="AK149" i="35"/>
  <c r="AM149" i="35" s="1"/>
  <c r="AS149" i="35" s="1"/>
  <c r="AT149" i="35" s="1"/>
  <c r="AK134" i="35"/>
  <c r="AM134" i="35" s="1"/>
  <c r="AS134" i="35" s="1"/>
  <c r="AT134" i="35" s="1"/>
  <c r="AK139" i="35"/>
  <c r="AM139" i="35" s="1"/>
  <c r="AS139" i="35" s="1"/>
  <c r="AT139" i="35" s="1"/>
  <c r="AK115" i="40"/>
  <c r="AM115" i="40" s="1"/>
  <c r="AS115" i="40" s="1"/>
  <c r="L120" i="40"/>
  <c r="N120" i="40" s="1"/>
  <c r="AQ120" i="40" s="1"/>
  <c r="Z115" i="40"/>
  <c r="AB115" i="40" s="1"/>
  <c r="B79" i="61" a="1"/>
  <c r="AK150" i="35"/>
  <c r="AM150" i="35" s="1"/>
  <c r="AS150" i="35" s="1"/>
  <c r="AT150" i="35" s="1"/>
  <c r="AK140" i="35"/>
  <c r="AM140" i="35" s="1"/>
  <c r="AS140" i="35" s="1"/>
  <c r="AT140" i="35" s="1"/>
  <c r="AK135" i="35"/>
  <c r="AM135" i="35" s="1"/>
  <c r="AS135" i="35" s="1"/>
  <c r="AT135" i="35" s="1"/>
  <c r="AK145" i="35"/>
  <c r="AM145" i="35" s="1"/>
  <c r="AS145" i="35" s="1"/>
  <c r="AT145" i="35" s="1"/>
  <c r="AR115" i="49"/>
  <c r="AR114" i="49"/>
  <c r="L120" i="31"/>
  <c r="N120" i="31" s="1"/>
  <c r="AQ120" i="31" s="1"/>
  <c r="Z115" i="31"/>
  <c r="AB115" i="31" s="1"/>
  <c r="AK115" i="31"/>
  <c r="AM115" i="31" s="1"/>
  <c r="AS115" i="31" s="1"/>
  <c r="Z114" i="39"/>
  <c r="AB114" i="39" s="1"/>
  <c r="AR114" i="39" s="1"/>
  <c r="L119" i="39"/>
  <c r="N119" i="39" s="1"/>
  <c r="AQ119" i="39" s="1"/>
  <c r="AK114" i="39"/>
  <c r="AM114" i="39" s="1"/>
  <c r="AS114" i="39" s="1"/>
  <c r="AR115" i="28"/>
  <c r="AK120" i="44"/>
  <c r="AM120" i="44" s="1"/>
  <c r="AS120" i="44" s="1"/>
  <c r="AT120" i="44" s="1"/>
  <c r="E22" i="44" s="1"/>
  <c r="AK125" i="44" s="1"/>
  <c r="AM125" i="44" s="1"/>
  <c r="AS125" i="44" s="1"/>
  <c r="AT125" i="44" s="1"/>
  <c r="E23" i="44" s="1"/>
  <c r="AK130" i="44" s="1"/>
  <c r="AM130" i="44" s="1"/>
  <c r="AS130" i="44" s="1"/>
  <c r="AT130" i="44" s="1"/>
  <c r="AV118" i="59"/>
  <c r="B102" i="58" s="1" a="1"/>
  <c r="D19" i="59"/>
  <c r="AR115" i="30"/>
  <c r="AR114" i="30"/>
  <c r="AR114" i="28"/>
  <c r="AR115" i="29"/>
  <c r="AR114" i="29"/>
  <c r="L132" i="59"/>
  <c r="N132" i="59" s="1"/>
  <c r="AS132" i="59" s="1"/>
  <c r="AM126" i="59"/>
  <c r="AO126" i="59" s="1"/>
  <c r="AU126" i="59" s="1"/>
  <c r="Z126" i="59"/>
  <c r="AB126" i="59" s="1"/>
  <c r="I83" i="61"/>
  <c r="R83" i="61"/>
  <c r="L83" i="61"/>
  <c r="Y83" i="61"/>
  <c r="U83" i="61"/>
  <c r="K83" i="61"/>
  <c r="M83" i="61"/>
  <c r="O83" i="61"/>
  <c r="H83" i="61"/>
  <c r="E83" i="61"/>
  <c r="V83" i="61"/>
  <c r="T83" i="61"/>
  <c r="N83" i="61"/>
  <c r="J83" i="61"/>
  <c r="S83" i="61"/>
  <c r="Z83" i="61"/>
  <c r="X83" i="61"/>
  <c r="Q83" i="61"/>
  <c r="B83" i="61"/>
  <c r="G83" i="61"/>
  <c r="W83" i="61"/>
  <c r="P83" i="61"/>
  <c r="C83" i="61"/>
  <c r="D83" i="61"/>
  <c r="F83" i="61"/>
  <c r="L119" i="31"/>
  <c r="N119" i="31" s="1"/>
  <c r="AQ119" i="31" s="1"/>
  <c r="Z114" i="31"/>
  <c r="AB114" i="31" s="1"/>
  <c r="AK114" i="31"/>
  <c r="AM114" i="31" s="1"/>
  <c r="AS114" i="31" s="1"/>
  <c r="AR109" i="43"/>
  <c r="AT109" i="43" s="1"/>
  <c r="D20" i="43" s="1"/>
  <c r="AK114" i="43" s="1"/>
  <c r="AM114" i="43" s="1"/>
  <c r="AS114" i="43" s="1"/>
  <c r="AR110" i="43"/>
  <c r="AT110" i="43" s="1"/>
  <c r="E20" i="43" s="1"/>
  <c r="AK119" i="44"/>
  <c r="AM119" i="44" s="1"/>
  <c r="AS119" i="44" s="1"/>
  <c r="AT119" i="44" s="1"/>
  <c r="D22" i="44" s="1"/>
  <c r="AK124" i="44" s="1"/>
  <c r="AM124" i="44" s="1"/>
  <c r="AS124" i="44" s="1"/>
  <c r="AT124" i="44" s="1"/>
  <c r="D23" i="44" s="1"/>
  <c r="AK129" i="44" s="1"/>
  <c r="AM129" i="44" s="1"/>
  <c r="AS129" i="44" s="1"/>
  <c r="AT129" i="44" s="1"/>
  <c r="L120" i="33"/>
  <c r="N120" i="33" s="1"/>
  <c r="AQ120" i="33" s="1"/>
  <c r="Z115" i="33"/>
  <c r="AB115" i="33" s="1"/>
  <c r="AK115" i="33"/>
  <c r="AM115" i="33" s="1"/>
  <c r="AS115" i="33" s="1"/>
  <c r="AC78" i="61"/>
  <c r="AJ78" i="61"/>
  <c r="AP78" i="61"/>
  <c r="AN78" i="61"/>
  <c r="AG78" i="61"/>
  <c r="AF78" i="61"/>
  <c r="AK78" i="61"/>
  <c r="AX78" i="61"/>
  <c r="AU78" i="61"/>
  <c r="AM78" i="61"/>
  <c r="BA78" i="61"/>
  <c r="AV78" i="61"/>
  <c r="AZ78" i="61"/>
  <c r="AW78" i="61"/>
  <c r="AS78" i="61"/>
  <c r="AD78" i="61"/>
  <c r="AH78" i="61"/>
  <c r="AI78" i="61"/>
  <c r="AO78" i="61"/>
  <c r="AQ78" i="61"/>
  <c r="AE78" i="61"/>
  <c r="AL78" i="61"/>
  <c r="AT78" i="61"/>
  <c r="AY78" i="61"/>
  <c r="AR78" i="61"/>
  <c r="AT114" i="39" l="1"/>
  <c r="D21" i="39" s="1"/>
  <c r="AK119" i="39" s="1"/>
  <c r="AM119" i="39" s="1"/>
  <c r="AS119" i="39" s="1"/>
  <c r="AT119" i="39" s="1"/>
  <c r="D22" i="39" s="1"/>
  <c r="AK124" i="39" s="1"/>
  <c r="AM124" i="39" s="1"/>
  <c r="AS124" i="39" s="1"/>
  <c r="AT124" i="39" s="1"/>
  <c r="D23" i="39" s="1"/>
  <c r="AK129" i="39" s="1"/>
  <c r="AM129" i="39" s="1"/>
  <c r="AS129" i="39" s="1"/>
  <c r="AT129" i="39" s="1"/>
  <c r="D27" i="39" s="1"/>
  <c r="AC85" i="61" a="1"/>
  <c r="AW85" i="61" s="1"/>
  <c r="Z114" i="43"/>
  <c r="AB114" i="43" s="1"/>
  <c r="L120" i="34"/>
  <c r="N120" i="34" s="1"/>
  <c r="AQ120" i="34" s="1"/>
  <c r="Z115" i="34"/>
  <c r="AB115" i="34" s="1"/>
  <c r="AK115" i="34"/>
  <c r="AM115" i="34" s="1"/>
  <c r="AS115" i="34" s="1"/>
  <c r="AZ79" i="61"/>
  <c r="AX79" i="61"/>
  <c r="AJ79" i="61"/>
  <c r="AT79" i="61"/>
  <c r="AH79" i="61"/>
  <c r="AM79" i="61"/>
  <c r="AR79" i="61"/>
  <c r="AP79" i="61"/>
  <c r="AL79" i="61"/>
  <c r="AC79" i="61"/>
  <c r="AF79" i="61"/>
  <c r="AQ79" i="61"/>
  <c r="AG79" i="61"/>
  <c r="AE79" i="61"/>
  <c r="AO79" i="61"/>
  <c r="AK79" i="61"/>
  <c r="AI79" i="61"/>
  <c r="BA79" i="61"/>
  <c r="AY79" i="61"/>
  <c r="AV79" i="61"/>
  <c r="AS79" i="61"/>
  <c r="AW79" i="61"/>
  <c r="AD79" i="61"/>
  <c r="AU79" i="61"/>
  <c r="AN79" i="61"/>
  <c r="D28" i="39"/>
  <c r="D26" i="39"/>
  <c r="D25" i="39"/>
  <c r="L119" i="43"/>
  <c r="N119" i="43" s="1"/>
  <c r="AQ119" i="43" s="1"/>
  <c r="D26" i="38"/>
  <c r="D27" i="38"/>
  <c r="D25" i="38"/>
  <c r="D24" i="38"/>
  <c r="D28" i="38"/>
  <c r="AR115" i="39"/>
  <c r="AT115" i="39" s="1"/>
  <c r="E21" i="39" s="1"/>
  <c r="AK120" i="39" s="1"/>
  <c r="AM120" i="39" s="1"/>
  <c r="AS120" i="39" s="1"/>
  <c r="AT120" i="39" s="1"/>
  <c r="E22" i="39" s="1"/>
  <c r="AK125" i="39" s="1"/>
  <c r="AM125" i="39" s="1"/>
  <c r="AS125" i="39" s="1"/>
  <c r="AT125" i="39" s="1"/>
  <c r="E23" i="39" s="1"/>
  <c r="AK130" i="39" s="1"/>
  <c r="AM130" i="39" s="1"/>
  <c r="AS130" i="39" s="1"/>
  <c r="AT130" i="39" s="1"/>
  <c r="AF85" i="61"/>
  <c r="AC85" i="61"/>
  <c r="AM85" i="61"/>
  <c r="AL85" i="61"/>
  <c r="AQ85" i="61"/>
  <c r="AD85" i="61"/>
  <c r="AG85" i="61"/>
  <c r="AT85" i="61"/>
  <c r="AU85" i="61"/>
  <c r="AR85" i="61"/>
  <c r="BA85" i="61"/>
  <c r="AS85" i="61"/>
  <c r="AV85" i="61"/>
  <c r="AI85" i="61"/>
  <c r="AY85" i="61"/>
  <c r="AZ85" i="61"/>
  <c r="AJ85" i="61"/>
  <c r="AK85" i="61"/>
  <c r="AH85" i="61"/>
  <c r="AO85" i="61"/>
  <c r="AN85" i="61"/>
  <c r="AE85" i="61"/>
  <c r="AK150" i="38"/>
  <c r="AM150" i="38" s="1"/>
  <c r="AS150" i="38" s="1"/>
  <c r="AT150" i="38" s="1"/>
  <c r="AK135" i="38"/>
  <c r="AM135" i="38" s="1"/>
  <c r="AS135" i="38" s="1"/>
  <c r="AT135" i="38" s="1"/>
  <c r="AC82" i="61" a="1"/>
  <c r="AK140" i="38"/>
  <c r="AM140" i="38" s="1"/>
  <c r="AS140" i="38" s="1"/>
  <c r="AT140" i="38" s="1"/>
  <c r="AK145" i="38"/>
  <c r="AM145" i="38" s="1"/>
  <c r="AS145" i="38" s="1"/>
  <c r="AT145" i="38" s="1"/>
  <c r="E25" i="44"/>
  <c r="E24" i="44"/>
  <c r="E26" i="44"/>
  <c r="E28" i="44"/>
  <c r="E27" i="44"/>
  <c r="U79" i="61"/>
  <c r="V79" i="61"/>
  <c r="J79" i="61"/>
  <c r="M79" i="61"/>
  <c r="S79" i="61"/>
  <c r="N79" i="61"/>
  <c r="B79" i="61"/>
  <c r="O79" i="61"/>
  <c r="T79" i="61"/>
  <c r="Y79" i="61"/>
  <c r="H79" i="61"/>
  <c r="R79" i="61"/>
  <c r="L79" i="61"/>
  <c r="W79" i="61"/>
  <c r="G79" i="61"/>
  <c r="K79" i="61"/>
  <c r="X79" i="61"/>
  <c r="E79" i="61"/>
  <c r="I79" i="61"/>
  <c r="D79" i="61"/>
  <c r="C79" i="61"/>
  <c r="Z79" i="61"/>
  <c r="P79" i="61"/>
  <c r="F79" i="61"/>
  <c r="Q79" i="61"/>
  <c r="P85" i="61"/>
  <c r="T85" i="61"/>
  <c r="R85" i="61"/>
  <c r="L85" i="61"/>
  <c r="K85" i="61"/>
  <c r="B85" i="61"/>
  <c r="W85" i="61"/>
  <c r="S85" i="61"/>
  <c r="D85" i="61"/>
  <c r="O85" i="61"/>
  <c r="Q85" i="61"/>
  <c r="M85" i="61"/>
  <c r="I85" i="61"/>
  <c r="N85" i="61"/>
  <c r="J85" i="61"/>
  <c r="Z85" i="61"/>
  <c r="H85" i="61"/>
  <c r="C85" i="61"/>
  <c r="F85" i="61"/>
  <c r="U85" i="61"/>
  <c r="G85" i="61"/>
  <c r="E85" i="61"/>
  <c r="V85" i="61"/>
  <c r="Y85" i="61"/>
  <c r="X85" i="61"/>
  <c r="AR115" i="40"/>
  <c r="AT115" i="40" s="1"/>
  <c r="E21" i="40" s="1"/>
  <c r="AR114" i="40"/>
  <c r="AT114" i="40" s="1"/>
  <c r="D21" i="40" s="1"/>
  <c r="AK119" i="40" s="1"/>
  <c r="AM119" i="40" s="1"/>
  <c r="AS119" i="40" s="1"/>
  <c r="AT119" i="40" s="1"/>
  <c r="D22" i="40" s="1"/>
  <c r="AK124" i="40" s="1"/>
  <c r="AM124" i="40" s="1"/>
  <c r="AS124" i="40" s="1"/>
  <c r="AT124" i="40" s="1"/>
  <c r="D23" i="40" s="1"/>
  <c r="AK129" i="40" s="1"/>
  <c r="AM129" i="40" s="1"/>
  <c r="AS129" i="40" s="1"/>
  <c r="AT129" i="40" s="1"/>
  <c r="Z125" i="59"/>
  <c r="AB125" i="59" s="1"/>
  <c r="L131" i="59"/>
  <c r="N131" i="59" s="1"/>
  <c r="AS131" i="59" s="1"/>
  <c r="AM125" i="59"/>
  <c r="AO125" i="59" s="1"/>
  <c r="AU125" i="59" s="1"/>
  <c r="H103" i="58"/>
  <c r="I104" i="58"/>
  <c r="H102" i="58"/>
  <c r="J102" i="58"/>
  <c r="G105" i="58"/>
  <c r="M102" i="58"/>
  <c r="B105" i="58"/>
  <c r="M104" i="58"/>
  <c r="M106" i="58"/>
  <c r="K106" i="58"/>
  <c r="D104" i="58"/>
  <c r="F106" i="58"/>
  <c r="E104" i="58"/>
  <c r="J105" i="58"/>
  <c r="H105" i="58"/>
  <c r="I105" i="58"/>
  <c r="K105" i="58"/>
  <c r="F105" i="58"/>
  <c r="L105" i="58"/>
  <c r="I103" i="58"/>
  <c r="D105" i="58"/>
  <c r="H104" i="58"/>
  <c r="F103" i="58"/>
  <c r="C103" i="58"/>
  <c r="E102" i="58"/>
  <c r="I106" i="58"/>
  <c r="D102" i="58"/>
  <c r="B103" i="58"/>
  <c r="G104" i="58"/>
  <c r="B104" i="58"/>
  <c r="B106" i="58"/>
  <c r="E105" i="58"/>
  <c r="E103" i="58"/>
  <c r="F104" i="58"/>
  <c r="G106" i="58"/>
  <c r="C106" i="58"/>
  <c r="J106" i="58"/>
  <c r="M103" i="58"/>
  <c r="B102" i="58"/>
  <c r="C104" i="58"/>
  <c r="J104" i="58"/>
  <c r="L106" i="58"/>
  <c r="M105" i="58"/>
  <c r="E106" i="58"/>
  <c r="F102" i="58"/>
  <c r="K104" i="58"/>
  <c r="L103" i="58"/>
  <c r="C105" i="58"/>
  <c r="I102" i="58"/>
  <c r="L102" i="58"/>
  <c r="J103" i="58"/>
  <c r="G103" i="58"/>
  <c r="L104" i="58"/>
  <c r="D106" i="58"/>
  <c r="D103" i="58"/>
  <c r="C102" i="58"/>
  <c r="G102" i="58"/>
  <c r="K103" i="58"/>
  <c r="H106" i="58"/>
  <c r="K102" i="58"/>
  <c r="AR115" i="33"/>
  <c r="AT115" i="33" s="1"/>
  <c r="E21" i="33" s="1"/>
  <c r="AR114" i="33"/>
  <c r="AT114" i="33" s="1"/>
  <c r="D21" i="33" s="1"/>
  <c r="Z115" i="43"/>
  <c r="AB115" i="43" s="1"/>
  <c r="AR115" i="43" s="1"/>
  <c r="L120" i="43"/>
  <c r="N120" i="43" s="1"/>
  <c r="AQ120" i="43" s="1"/>
  <c r="AK115" i="43"/>
  <c r="AM115" i="43" s="1"/>
  <c r="AS115" i="43" s="1"/>
  <c r="E26" i="39"/>
  <c r="E24" i="39"/>
  <c r="E25" i="39"/>
  <c r="E27" i="39"/>
  <c r="E28" i="39"/>
  <c r="AR114" i="31"/>
  <c r="AT114" i="31" s="1"/>
  <c r="D21" i="31" s="1"/>
  <c r="AR115" i="31"/>
  <c r="AT115" i="31" s="1"/>
  <c r="E21" i="31" s="1"/>
  <c r="D26" i="44"/>
  <c r="D27" i="44"/>
  <c r="D24" i="44"/>
  <c r="D28" i="44"/>
  <c r="D25" i="44"/>
  <c r="AP85" i="61" l="1"/>
  <c r="AX85" i="61"/>
  <c r="B82" i="61" a="1"/>
  <c r="S82" i="61" s="1"/>
  <c r="D24" i="39"/>
  <c r="AR114" i="34"/>
  <c r="AT114" i="34" s="1"/>
  <c r="D21" i="34" s="1"/>
  <c r="AK119" i="34" s="1"/>
  <c r="AM119" i="34" s="1"/>
  <c r="AS119" i="34" s="1"/>
  <c r="AT119" i="34" s="1"/>
  <c r="D22" i="34" s="1"/>
  <c r="AK124" i="34" s="1"/>
  <c r="AM124" i="34" s="1"/>
  <c r="AS124" i="34" s="1"/>
  <c r="AT124" i="34" s="1"/>
  <c r="D23" i="34" s="1"/>
  <c r="AK129" i="34" s="1"/>
  <c r="AM129" i="34" s="1"/>
  <c r="AS129" i="34" s="1"/>
  <c r="AT129" i="34" s="1"/>
  <c r="AR115" i="34"/>
  <c r="AT115" i="34" s="1"/>
  <c r="E21" i="34" s="1"/>
  <c r="AC76" i="61" a="1"/>
  <c r="AY76" i="61" s="1"/>
  <c r="AK135" i="44"/>
  <c r="AM135" i="44" s="1"/>
  <c r="AS135" i="44" s="1"/>
  <c r="AT135" i="44" s="1"/>
  <c r="AK145" i="44"/>
  <c r="AM145" i="44" s="1"/>
  <c r="AS145" i="44" s="1"/>
  <c r="AT145" i="44" s="1"/>
  <c r="AK140" i="44"/>
  <c r="AM140" i="44" s="1"/>
  <c r="AS140" i="44" s="1"/>
  <c r="AT140" i="44" s="1"/>
  <c r="AK150" i="44"/>
  <c r="AM150" i="44" s="1"/>
  <c r="AS150" i="44" s="1"/>
  <c r="AT150" i="44" s="1"/>
  <c r="AK120" i="40"/>
  <c r="AM120" i="40" s="1"/>
  <c r="AS120" i="40" s="1"/>
  <c r="AT120" i="40" s="1"/>
  <c r="E22" i="40" s="1"/>
  <c r="AK125" i="40" s="1"/>
  <c r="AM125" i="40" s="1"/>
  <c r="AS125" i="40" s="1"/>
  <c r="AT125" i="40" s="1"/>
  <c r="E23" i="40" s="1"/>
  <c r="AK130" i="40" s="1"/>
  <c r="AM130" i="40" s="1"/>
  <c r="AS130" i="40" s="1"/>
  <c r="AT130" i="40" s="1"/>
  <c r="BA82" i="61"/>
  <c r="AN82" i="61"/>
  <c r="AD82" i="61"/>
  <c r="AQ82" i="61"/>
  <c r="AY82" i="61"/>
  <c r="AT82" i="61"/>
  <c r="AW82" i="61"/>
  <c r="AF82" i="61"/>
  <c r="AH82" i="61"/>
  <c r="AZ82" i="61"/>
  <c r="AR82" i="61"/>
  <c r="AI82" i="61"/>
  <c r="AE82" i="61"/>
  <c r="AK82" i="61"/>
  <c r="AO82" i="61"/>
  <c r="AP82" i="61"/>
  <c r="AC82" i="61"/>
  <c r="AL82" i="61"/>
  <c r="AX82" i="61"/>
  <c r="AM82" i="61"/>
  <c r="AV82" i="61"/>
  <c r="AS82" i="61"/>
  <c r="AG82" i="61"/>
  <c r="AU82" i="61"/>
  <c r="AJ82" i="61"/>
  <c r="AK149" i="38"/>
  <c r="AM149" i="38" s="1"/>
  <c r="AS149" i="38" s="1"/>
  <c r="AT149" i="38" s="1"/>
  <c r="AK139" i="38"/>
  <c r="AM139" i="38" s="1"/>
  <c r="AS139" i="38" s="1"/>
  <c r="AT139" i="38" s="1"/>
  <c r="AK144" i="38"/>
  <c r="AM144" i="38" s="1"/>
  <c r="AS144" i="38" s="1"/>
  <c r="AT144" i="38" s="1"/>
  <c r="AK134" i="38"/>
  <c r="AM134" i="38" s="1"/>
  <c r="AS134" i="38" s="1"/>
  <c r="AT134" i="38" s="1"/>
  <c r="D28" i="40"/>
  <c r="D24" i="40"/>
  <c r="D27" i="40"/>
  <c r="D25" i="40"/>
  <c r="D26" i="40"/>
  <c r="AT115" i="43"/>
  <c r="E21" i="43" s="1"/>
  <c r="AK120" i="43" s="1"/>
  <c r="AM120" i="43" s="1"/>
  <c r="AS120" i="43" s="1"/>
  <c r="AT120" i="43" s="1"/>
  <c r="E22" i="43" s="1"/>
  <c r="AK125" i="43" s="1"/>
  <c r="AM125" i="43" s="1"/>
  <c r="AS125" i="43" s="1"/>
  <c r="AT125" i="43" s="1"/>
  <c r="E23" i="43" s="1"/>
  <c r="AK130" i="43" s="1"/>
  <c r="AM130" i="43" s="1"/>
  <c r="AS130" i="43" s="1"/>
  <c r="AT130" i="43" s="1"/>
  <c r="AK120" i="31"/>
  <c r="AM120" i="31" s="1"/>
  <c r="AS120" i="31" s="1"/>
  <c r="AT120" i="31" s="1"/>
  <c r="E22" i="31" s="1"/>
  <c r="AK125" i="31" s="1"/>
  <c r="AM125" i="31" s="1"/>
  <c r="AS125" i="31" s="1"/>
  <c r="AT125" i="31" s="1"/>
  <c r="E23" i="31" s="1"/>
  <c r="AK130" i="31" s="1"/>
  <c r="AM130" i="31" s="1"/>
  <c r="AS130" i="31" s="1"/>
  <c r="AT130" i="31" s="1"/>
  <c r="AT126" i="59"/>
  <c r="AV126" i="59" s="1"/>
  <c r="E20" i="59" s="1"/>
  <c r="AT125" i="59"/>
  <c r="AV125" i="59" s="1"/>
  <c r="AC81" i="61" a="1"/>
  <c r="AM81" i="61" s="1"/>
  <c r="B76" i="61" a="1"/>
  <c r="Y76" i="61" s="1"/>
  <c r="AK119" i="33"/>
  <c r="AM119" i="33" s="1"/>
  <c r="AS119" i="33" s="1"/>
  <c r="AT119" i="33" s="1"/>
  <c r="D22" i="33" s="1"/>
  <c r="AK124" i="33" s="1"/>
  <c r="AM124" i="33" s="1"/>
  <c r="AS124" i="33" s="1"/>
  <c r="AT124" i="33" s="1"/>
  <c r="D23" i="33" s="1"/>
  <c r="AK129" i="33" s="1"/>
  <c r="AM129" i="33" s="1"/>
  <c r="AS129" i="33" s="1"/>
  <c r="AT129" i="33" s="1"/>
  <c r="AK120" i="33"/>
  <c r="AM120" i="33" s="1"/>
  <c r="AS120" i="33" s="1"/>
  <c r="AT120" i="33" s="1"/>
  <c r="E22" i="33" s="1"/>
  <c r="AK125" i="33" s="1"/>
  <c r="AM125" i="33" s="1"/>
  <c r="AS125" i="33" s="1"/>
  <c r="AT125" i="33" s="1"/>
  <c r="E23" i="33" s="1"/>
  <c r="AK130" i="33" s="1"/>
  <c r="AM130" i="33" s="1"/>
  <c r="AS130" i="33" s="1"/>
  <c r="AT130" i="33" s="1"/>
  <c r="AK149" i="44"/>
  <c r="AM149" i="44" s="1"/>
  <c r="AS149" i="44" s="1"/>
  <c r="AT149" i="44" s="1"/>
  <c r="AK139" i="44"/>
  <c r="AM139" i="44" s="1"/>
  <c r="AS139" i="44" s="1"/>
  <c r="AT139" i="44" s="1"/>
  <c r="AK134" i="44"/>
  <c r="AM134" i="44" s="1"/>
  <c r="AS134" i="44" s="1"/>
  <c r="AT134" i="44" s="1"/>
  <c r="AK144" i="44"/>
  <c r="AM144" i="44" s="1"/>
  <c r="AS144" i="44" s="1"/>
  <c r="AT144" i="44" s="1"/>
  <c r="AK145" i="39"/>
  <c r="AM145" i="39" s="1"/>
  <c r="AS145" i="39" s="1"/>
  <c r="AT145" i="39" s="1"/>
  <c r="AK150" i="39"/>
  <c r="AM150" i="39" s="1"/>
  <c r="AS150" i="39" s="1"/>
  <c r="AT150" i="39" s="1"/>
  <c r="AK135" i="39"/>
  <c r="AM135" i="39" s="1"/>
  <c r="AS135" i="39" s="1"/>
  <c r="AT135" i="39" s="1"/>
  <c r="AK140" i="39"/>
  <c r="AM140" i="39" s="1"/>
  <c r="AS140" i="39" s="1"/>
  <c r="AT140" i="39" s="1"/>
  <c r="AR114" i="43"/>
  <c r="AT114" i="43" s="1"/>
  <c r="D21" i="43" s="1"/>
  <c r="AK119" i="31"/>
  <c r="AM119" i="31" s="1"/>
  <c r="AS119" i="31" s="1"/>
  <c r="AT119" i="31" s="1"/>
  <c r="D22" i="31" s="1"/>
  <c r="AK124" i="31" s="1"/>
  <c r="AM124" i="31" s="1"/>
  <c r="AS124" i="31" s="1"/>
  <c r="AT124" i="31" s="1"/>
  <c r="D23" i="31" s="1"/>
  <c r="AK129" i="31" s="1"/>
  <c r="AM129" i="31" s="1"/>
  <c r="AS129" i="31" s="1"/>
  <c r="AT129" i="31" s="1"/>
  <c r="AT76" i="61" l="1"/>
  <c r="AH76" i="61"/>
  <c r="AQ76" i="61"/>
  <c r="AM76" i="61"/>
  <c r="AN76" i="61"/>
  <c r="AR76" i="61"/>
  <c r="AK76" i="61"/>
  <c r="AI76" i="61"/>
  <c r="AC76" i="61"/>
  <c r="AP76" i="61"/>
  <c r="AG76" i="61"/>
  <c r="AE76" i="61"/>
  <c r="AF76" i="61"/>
  <c r="AO76" i="61"/>
  <c r="AJ76" i="61"/>
  <c r="AD76" i="61"/>
  <c r="AL76" i="61"/>
  <c r="AZ76" i="61"/>
  <c r="AS76" i="61"/>
  <c r="AU76" i="61"/>
  <c r="BA76" i="61"/>
  <c r="AX76" i="61"/>
  <c r="AE81" i="61"/>
  <c r="AW76" i="61"/>
  <c r="AV76" i="61"/>
  <c r="K82" i="61"/>
  <c r="J82" i="61"/>
  <c r="H82" i="61"/>
  <c r="Z82" i="61"/>
  <c r="Y82" i="61"/>
  <c r="B82" i="61"/>
  <c r="G82" i="61"/>
  <c r="N82" i="61"/>
  <c r="U82" i="61"/>
  <c r="T82" i="61"/>
  <c r="X82" i="61"/>
  <c r="P82" i="61"/>
  <c r="V82" i="61"/>
  <c r="O82" i="61"/>
  <c r="L82" i="61"/>
  <c r="R82" i="61"/>
  <c r="W82" i="61"/>
  <c r="M82" i="61"/>
  <c r="C82" i="61"/>
  <c r="F82" i="61"/>
  <c r="Q82" i="61"/>
  <c r="D82" i="61"/>
  <c r="E82" i="61"/>
  <c r="I82" i="61"/>
  <c r="AK149" i="39"/>
  <c r="AM149" i="39" s="1"/>
  <c r="AS149" i="39" s="1"/>
  <c r="AT149" i="39" s="1"/>
  <c r="AK144" i="39"/>
  <c r="AM144" i="39" s="1"/>
  <c r="AS144" i="39" s="1"/>
  <c r="AT144" i="39" s="1"/>
  <c r="AK139" i="39"/>
  <c r="AM139" i="39" s="1"/>
  <c r="AS139" i="39" s="1"/>
  <c r="AT139" i="39" s="1"/>
  <c r="AK134" i="39"/>
  <c r="AM134" i="39" s="1"/>
  <c r="AS134" i="39" s="1"/>
  <c r="AT134" i="39" s="1"/>
  <c r="B81" i="61" a="1"/>
  <c r="AK81" i="61"/>
  <c r="AH81" i="61"/>
  <c r="AR81" i="61"/>
  <c r="AK120" i="34"/>
  <c r="AM120" i="34" s="1"/>
  <c r="AS120" i="34" s="1"/>
  <c r="AT120" i="34" s="1"/>
  <c r="E22" i="34" s="1"/>
  <c r="AK125" i="34" s="1"/>
  <c r="AM125" i="34" s="1"/>
  <c r="AS125" i="34" s="1"/>
  <c r="AT125" i="34" s="1"/>
  <c r="E23" i="34" s="1"/>
  <c r="AK130" i="34" s="1"/>
  <c r="AM130" i="34" s="1"/>
  <c r="AS130" i="34" s="1"/>
  <c r="AT130" i="34" s="1"/>
  <c r="BA81" i="61"/>
  <c r="D24" i="34"/>
  <c r="D27" i="34"/>
  <c r="D28" i="34"/>
  <c r="D25" i="34"/>
  <c r="D26" i="34"/>
  <c r="AC81" i="61"/>
  <c r="AL81" i="61"/>
  <c r="AK149" i="40"/>
  <c r="AM149" i="40" s="1"/>
  <c r="AS149" i="40" s="1"/>
  <c r="AT149" i="40" s="1"/>
  <c r="AK139" i="40"/>
  <c r="AM139" i="40" s="1"/>
  <c r="AS139" i="40" s="1"/>
  <c r="AT139" i="40" s="1"/>
  <c r="AK144" i="40"/>
  <c r="AM144" i="40" s="1"/>
  <c r="AS144" i="40" s="1"/>
  <c r="AT144" i="40" s="1"/>
  <c r="AK134" i="40"/>
  <c r="AM134" i="40" s="1"/>
  <c r="AS134" i="40" s="1"/>
  <c r="AT134" i="40" s="1"/>
  <c r="E24" i="40"/>
  <c r="E28" i="40"/>
  <c r="E27" i="40"/>
  <c r="E26" i="40"/>
  <c r="E25" i="40"/>
  <c r="B80" i="61" a="1"/>
  <c r="E28" i="31"/>
  <c r="E25" i="31"/>
  <c r="E24" i="31"/>
  <c r="E27" i="31"/>
  <c r="E26" i="31"/>
  <c r="AW81" i="61"/>
  <c r="AG81" i="61"/>
  <c r="AS81" i="61"/>
  <c r="AO81" i="61"/>
  <c r="AN81" i="61"/>
  <c r="AV81" i="61"/>
  <c r="AJ81" i="61"/>
  <c r="AP81" i="61"/>
  <c r="AT81" i="61"/>
  <c r="AD81" i="61"/>
  <c r="AU81" i="61"/>
  <c r="AY81" i="61"/>
  <c r="AX81" i="61"/>
  <c r="AF81" i="61"/>
  <c r="AI81" i="61"/>
  <c r="AQ81" i="61"/>
  <c r="AZ81" i="61"/>
  <c r="AV124" i="59"/>
  <c r="B108" i="58" s="1" a="1"/>
  <c r="D20" i="59"/>
  <c r="Z132" i="59"/>
  <c r="AB132" i="59" s="1"/>
  <c r="L138" i="59"/>
  <c r="N138" i="59" s="1"/>
  <c r="AS138" i="59" s="1"/>
  <c r="AM132" i="59"/>
  <c r="AO132" i="59" s="1"/>
  <c r="AU132" i="59" s="1"/>
  <c r="R76" i="61"/>
  <c r="E76" i="61"/>
  <c r="D76" i="61"/>
  <c r="M76" i="61"/>
  <c r="U76" i="61"/>
  <c r="X76" i="61"/>
  <c r="P76" i="61"/>
  <c r="S76" i="61"/>
  <c r="J76" i="61"/>
  <c r="O76" i="61"/>
  <c r="T76" i="61"/>
  <c r="G76" i="61"/>
  <c r="V76" i="61"/>
  <c r="K76" i="61"/>
  <c r="L76" i="61"/>
  <c r="Z76" i="61"/>
  <c r="Q76" i="61"/>
  <c r="H76" i="61"/>
  <c r="B76" i="61"/>
  <c r="C76" i="61"/>
  <c r="F76" i="61"/>
  <c r="N76" i="61"/>
  <c r="I76" i="61"/>
  <c r="W76" i="61"/>
  <c r="D28" i="31"/>
  <c r="D25" i="31"/>
  <c r="D27" i="31"/>
  <c r="D24" i="31"/>
  <c r="D26" i="31"/>
  <c r="E26" i="33"/>
  <c r="E28" i="33"/>
  <c r="E25" i="33"/>
  <c r="E27" i="33"/>
  <c r="E24" i="33"/>
  <c r="D24" i="33"/>
  <c r="D27" i="33"/>
  <c r="D26" i="33"/>
  <c r="D28" i="33"/>
  <c r="D25" i="33"/>
  <c r="AK119" i="43"/>
  <c r="AM119" i="43" s="1"/>
  <c r="AS119" i="43" s="1"/>
  <c r="AT119" i="43" s="1"/>
  <c r="D22" i="43" s="1"/>
  <c r="AK124" i="43" s="1"/>
  <c r="AM124" i="43" s="1"/>
  <c r="AS124" i="43" s="1"/>
  <c r="AT124" i="43" s="1"/>
  <c r="D23" i="43" s="1"/>
  <c r="AK129" i="43" s="1"/>
  <c r="AM129" i="43" s="1"/>
  <c r="AS129" i="43" s="1"/>
  <c r="AT129" i="43" s="1"/>
  <c r="E28" i="43"/>
  <c r="E25" i="43"/>
  <c r="E26" i="43"/>
  <c r="E24" i="43"/>
  <c r="E27" i="43"/>
  <c r="G81" i="61" l="1"/>
  <c r="M81" i="61"/>
  <c r="K81" i="61"/>
  <c r="B81" i="61"/>
  <c r="V81" i="61"/>
  <c r="W81" i="61"/>
  <c r="C81" i="61"/>
  <c r="H81" i="61"/>
  <c r="F81" i="61"/>
  <c r="J81" i="61"/>
  <c r="X81" i="61"/>
  <c r="R81" i="61"/>
  <c r="U81" i="61"/>
  <c r="L81" i="61"/>
  <c r="Q81" i="61"/>
  <c r="P81" i="61"/>
  <c r="O81" i="61"/>
  <c r="Z81" i="61"/>
  <c r="T81" i="61"/>
  <c r="N81" i="61"/>
  <c r="D81" i="61"/>
  <c r="E81" i="61"/>
  <c r="I81" i="61"/>
  <c r="S81" i="61"/>
  <c r="Y81" i="61"/>
  <c r="E27" i="34"/>
  <c r="E28" i="34"/>
  <c r="E24" i="34"/>
  <c r="E25" i="34"/>
  <c r="E26" i="34"/>
  <c r="AK144" i="34"/>
  <c r="AM144" i="34" s="1"/>
  <c r="AS144" i="34" s="1"/>
  <c r="AT144" i="34" s="1"/>
  <c r="AK134" i="34"/>
  <c r="AM134" i="34" s="1"/>
  <c r="AS134" i="34" s="1"/>
  <c r="AT134" i="34" s="1"/>
  <c r="AK149" i="34"/>
  <c r="AM149" i="34" s="1"/>
  <c r="AS149" i="34" s="1"/>
  <c r="AT149" i="34" s="1"/>
  <c r="B86" i="61" a="1"/>
  <c r="AK139" i="34"/>
  <c r="AM139" i="34" s="1"/>
  <c r="AS139" i="34" s="1"/>
  <c r="AT139" i="34" s="1"/>
  <c r="AC89" i="61" a="1"/>
  <c r="AD89" i="61" s="1"/>
  <c r="V80" i="61"/>
  <c r="T80" i="61"/>
  <c r="C80" i="61"/>
  <c r="O80" i="61"/>
  <c r="N80" i="61"/>
  <c r="L80" i="61"/>
  <c r="K80" i="61"/>
  <c r="S80" i="61"/>
  <c r="J80" i="61"/>
  <c r="W80" i="61"/>
  <c r="D80" i="61"/>
  <c r="B80" i="61"/>
  <c r="Z80" i="61"/>
  <c r="H80" i="61"/>
  <c r="Q80" i="61"/>
  <c r="U80" i="61"/>
  <c r="R80" i="61"/>
  <c r="M80" i="61"/>
  <c r="I80" i="61"/>
  <c r="F80" i="61"/>
  <c r="X80" i="61"/>
  <c r="E80" i="61"/>
  <c r="G80" i="61"/>
  <c r="P80" i="61"/>
  <c r="Y80" i="61"/>
  <c r="AK145" i="31"/>
  <c r="AM145" i="31" s="1"/>
  <c r="AS145" i="31" s="1"/>
  <c r="AT145" i="31" s="1"/>
  <c r="AK135" i="31"/>
  <c r="AM135" i="31" s="1"/>
  <c r="AS135" i="31" s="1"/>
  <c r="AT135" i="31" s="1"/>
  <c r="AK150" i="31"/>
  <c r="AM150" i="31" s="1"/>
  <c r="AS150" i="31" s="1"/>
  <c r="AT150" i="31" s="1"/>
  <c r="AK140" i="31"/>
  <c r="AM140" i="31" s="1"/>
  <c r="AS140" i="31" s="1"/>
  <c r="AT140" i="31" s="1"/>
  <c r="AK135" i="40"/>
  <c r="AM135" i="40" s="1"/>
  <c r="AS135" i="40" s="1"/>
  <c r="AT135" i="40" s="1"/>
  <c r="AK140" i="40"/>
  <c r="AM140" i="40" s="1"/>
  <c r="AS140" i="40" s="1"/>
  <c r="AT140" i="40" s="1"/>
  <c r="AK145" i="40"/>
  <c r="AM145" i="40" s="1"/>
  <c r="AS145" i="40" s="1"/>
  <c r="AT145" i="40" s="1"/>
  <c r="AK150" i="40"/>
  <c r="AM150" i="40" s="1"/>
  <c r="AS150" i="40" s="1"/>
  <c r="AT150" i="40" s="1"/>
  <c r="AC80" i="61" a="1"/>
  <c r="L137" i="59"/>
  <c r="N137" i="59" s="1"/>
  <c r="AS137" i="59" s="1"/>
  <c r="Z131" i="59"/>
  <c r="AB131" i="59" s="1"/>
  <c r="AM131" i="59"/>
  <c r="AO131" i="59" s="1"/>
  <c r="AU131" i="59" s="1"/>
  <c r="M112" i="58"/>
  <c r="C111" i="58"/>
  <c r="E110" i="58"/>
  <c r="L110" i="58"/>
  <c r="B109" i="58"/>
  <c r="D108" i="58"/>
  <c r="F111" i="58"/>
  <c r="I109" i="58"/>
  <c r="J110" i="58"/>
  <c r="G110" i="58"/>
  <c r="K109" i="58"/>
  <c r="D110" i="58"/>
  <c r="K110" i="58"/>
  <c r="G108" i="58"/>
  <c r="H110" i="58"/>
  <c r="L112" i="58"/>
  <c r="M110" i="58"/>
  <c r="H112" i="58"/>
  <c r="D109" i="58"/>
  <c r="F109" i="58"/>
  <c r="C110" i="58"/>
  <c r="J109" i="58"/>
  <c r="M108" i="58"/>
  <c r="J112" i="58"/>
  <c r="I108" i="58"/>
  <c r="K112" i="58"/>
  <c r="I111" i="58"/>
  <c r="C108" i="58"/>
  <c r="B110" i="58"/>
  <c r="L108" i="58"/>
  <c r="K111" i="58"/>
  <c r="L109" i="58"/>
  <c r="G111" i="58"/>
  <c r="D112" i="58"/>
  <c r="E112" i="58"/>
  <c r="I112" i="58"/>
  <c r="B112" i="58"/>
  <c r="F112" i="58"/>
  <c r="L111" i="58"/>
  <c r="F108" i="58"/>
  <c r="H109" i="58"/>
  <c r="D111" i="58"/>
  <c r="J108" i="58"/>
  <c r="G112" i="58"/>
  <c r="C112" i="58"/>
  <c r="E109" i="58"/>
  <c r="K108" i="58"/>
  <c r="B108" i="58"/>
  <c r="G109" i="58"/>
  <c r="M109" i="58"/>
  <c r="H111" i="58"/>
  <c r="M111" i="58"/>
  <c r="E111" i="58"/>
  <c r="F110" i="58"/>
  <c r="B111" i="58"/>
  <c r="H108" i="58"/>
  <c r="C109" i="58"/>
  <c r="I110" i="58"/>
  <c r="J111" i="58"/>
  <c r="E108" i="58"/>
  <c r="B89" i="61" a="1"/>
  <c r="S89" i="61" s="1"/>
  <c r="B87" i="61" a="1"/>
  <c r="I87" i="61" s="1"/>
  <c r="AC87" i="61" a="1"/>
  <c r="AY87" i="61" s="1"/>
  <c r="AC77" i="61" a="1"/>
  <c r="AK135" i="43"/>
  <c r="AM135" i="43" s="1"/>
  <c r="AS135" i="43" s="1"/>
  <c r="AT135" i="43" s="1"/>
  <c r="AK145" i="43"/>
  <c r="AM145" i="43" s="1"/>
  <c r="AS145" i="43" s="1"/>
  <c r="AT145" i="43" s="1"/>
  <c r="AK140" i="43"/>
  <c r="AM140" i="43" s="1"/>
  <c r="AS140" i="43" s="1"/>
  <c r="AT140" i="43" s="1"/>
  <c r="AK150" i="43"/>
  <c r="AM150" i="43" s="1"/>
  <c r="AS150" i="43" s="1"/>
  <c r="AT150" i="43" s="1"/>
  <c r="AK144" i="31"/>
  <c r="AM144" i="31" s="1"/>
  <c r="AS144" i="31" s="1"/>
  <c r="AT144" i="31" s="1"/>
  <c r="AK134" i="31"/>
  <c r="AM134" i="31" s="1"/>
  <c r="AS134" i="31" s="1"/>
  <c r="AT134" i="31" s="1"/>
  <c r="AK149" i="31"/>
  <c r="AM149" i="31" s="1"/>
  <c r="AS149" i="31" s="1"/>
  <c r="AT149" i="31" s="1"/>
  <c r="AK139" i="31"/>
  <c r="AM139" i="31" s="1"/>
  <c r="AS139" i="31" s="1"/>
  <c r="AT139" i="31" s="1"/>
  <c r="D25" i="43"/>
  <c r="D27" i="43"/>
  <c r="D28" i="43"/>
  <c r="D24" i="43"/>
  <c r="D26" i="43"/>
  <c r="AK144" i="33"/>
  <c r="AM144" i="33" s="1"/>
  <c r="AS144" i="33" s="1"/>
  <c r="AT144" i="33" s="1"/>
  <c r="AK149" i="33"/>
  <c r="AM149" i="33" s="1"/>
  <c r="AS149" i="33" s="1"/>
  <c r="AT149" i="33" s="1"/>
  <c r="AK134" i="33"/>
  <c r="AM134" i="33" s="1"/>
  <c r="AS134" i="33" s="1"/>
  <c r="AT134" i="33" s="1"/>
  <c r="AK139" i="33"/>
  <c r="AM139" i="33" s="1"/>
  <c r="AS139" i="33" s="1"/>
  <c r="AT139" i="33" s="1"/>
  <c r="AK150" i="33"/>
  <c r="AM150" i="33" s="1"/>
  <c r="AS150" i="33" s="1"/>
  <c r="AT150" i="33" s="1"/>
  <c r="AK135" i="33"/>
  <c r="AM135" i="33" s="1"/>
  <c r="AS135" i="33" s="1"/>
  <c r="AT135" i="33" s="1"/>
  <c r="AK140" i="33"/>
  <c r="AM140" i="33" s="1"/>
  <c r="AS140" i="33" s="1"/>
  <c r="AT140" i="33" s="1"/>
  <c r="AK145" i="33"/>
  <c r="AM145" i="33" s="1"/>
  <c r="AS145" i="33" s="1"/>
  <c r="AT145" i="33" s="1"/>
  <c r="AY89" i="61" l="1"/>
  <c r="AH89" i="61"/>
  <c r="BA89" i="61"/>
  <c r="AJ89" i="61"/>
  <c r="AM89" i="61"/>
  <c r="AL89" i="61"/>
  <c r="AS89" i="61"/>
  <c r="AP89" i="61"/>
  <c r="AI89" i="61"/>
  <c r="AF89" i="61"/>
  <c r="AV89" i="61"/>
  <c r="AK89" i="61"/>
  <c r="AE89" i="61"/>
  <c r="AO89" i="61"/>
  <c r="AN89" i="61"/>
  <c r="AU89" i="61"/>
  <c r="AC89" i="61"/>
  <c r="AZ89" i="61"/>
  <c r="AX89" i="61"/>
  <c r="AQ89" i="61"/>
  <c r="AT89" i="61"/>
  <c r="AG89" i="61"/>
  <c r="AW89" i="61"/>
  <c r="AR89" i="61"/>
  <c r="AK140" i="34"/>
  <c r="AM140" i="34" s="1"/>
  <c r="AS140" i="34" s="1"/>
  <c r="AT140" i="34" s="1"/>
  <c r="AK135" i="34"/>
  <c r="AM135" i="34" s="1"/>
  <c r="AS135" i="34" s="1"/>
  <c r="AT135" i="34" s="1"/>
  <c r="AK145" i="34"/>
  <c r="AM145" i="34" s="1"/>
  <c r="AS145" i="34" s="1"/>
  <c r="AT145" i="34" s="1"/>
  <c r="AK150" i="34"/>
  <c r="AM150" i="34" s="1"/>
  <c r="AS150" i="34" s="1"/>
  <c r="AT150" i="34" s="1"/>
  <c r="K86" i="61"/>
  <c r="Z86" i="61"/>
  <c r="G86" i="61"/>
  <c r="L86" i="61"/>
  <c r="Y86" i="61"/>
  <c r="J86" i="61"/>
  <c r="E86" i="61"/>
  <c r="I86" i="61"/>
  <c r="T86" i="61"/>
  <c r="H86" i="61"/>
  <c r="R86" i="61"/>
  <c r="S86" i="61"/>
  <c r="O86" i="61"/>
  <c r="M86" i="61"/>
  <c r="P86" i="61"/>
  <c r="C86" i="61"/>
  <c r="Q86" i="61"/>
  <c r="B86" i="61"/>
  <c r="X86" i="61"/>
  <c r="F86" i="61"/>
  <c r="N86" i="61"/>
  <c r="V86" i="61"/>
  <c r="D86" i="61"/>
  <c r="U86" i="61"/>
  <c r="W86" i="61"/>
  <c r="AC86" i="61" a="1"/>
  <c r="AI80" i="61"/>
  <c r="AQ80" i="61"/>
  <c r="AU80" i="61"/>
  <c r="AC80" i="61"/>
  <c r="AR80" i="61"/>
  <c r="AK80" i="61"/>
  <c r="AY80" i="61"/>
  <c r="AS80" i="61"/>
  <c r="AX80" i="61"/>
  <c r="AF80" i="61"/>
  <c r="AV80" i="61"/>
  <c r="AD80" i="61"/>
  <c r="AE80" i="61"/>
  <c r="AN80" i="61"/>
  <c r="AT80" i="61"/>
  <c r="AM80" i="61"/>
  <c r="AH80" i="61"/>
  <c r="AL80" i="61"/>
  <c r="AW80" i="61"/>
  <c r="AP80" i="61"/>
  <c r="AG80" i="61"/>
  <c r="AZ80" i="61"/>
  <c r="AJ80" i="61"/>
  <c r="BA80" i="61"/>
  <c r="AO80" i="61"/>
  <c r="AT132" i="59"/>
  <c r="AV132" i="59" s="1"/>
  <c r="E21" i="59" s="1"/>
  <c r="AM138" i="59" s="1"/>
  <c r="AO138" i="59" s="1"/>
  <c r="AU138" i="59" s="1"/>
  <c r="AV138" i="59" s="1"/>
  <c r="E22" i="59" s="1"/>
  <c r="AM144" i="59" s="1"/>
  <c r="AO144" i="59" s="1"/>
  <c r="AU144" i="59" s="1"/>
  <c r="AV144" i="59" s="1"/>
  <c r="E23" i="59" s="1"/>
  <c r="AM150" i="59" s="1"/>
  <c r="AO150" i="59" s="1"/>
  <c r="AU150" i="59" s="1"/>
  <c r="AV150" i="59" s="1"/>
  <c r="AT131" i="59"/>
  <c r="AV131" i="59" s="1"/>
  <c r="N89" i="61"/>
  <c r="K89" i="61"/>
  <c r="X89" i="61"/>
  <c r="I89" i="61"/>
  <c r="V89" i="61"/>
  <c r="J89" i="61"/>
  <c r="P89" i="61"/>
  <c r="Z89" i="61"/>
  <c r="G89" i="61"/>
  <c r="C89" i="61"/>
  <c r="U89" i="61"/>
  <c r="H89" i="61"/>
  <c r="Y89" i="61"/>
  <c r="E89" i="61"/>
  <c r="R89" i="61"/>
  <c r="W89" i="61"/>
  <c r="B89" i="61"/>
  <c r="D89" i="61"/>
  <c r="M89" i="61"/>
  <c r="F89" i="61"/>
  <c r="L89" i="61"/>
  <c r="O89" i="61"/>
  <c r="T89" i="61"/>
  <c r="Q89" i="61"/>
  <c r="BA87" i="61"/>
  <c r="AD87" i="61"/>
  <c r="G87" i="61"/>
  <c r="AX87" i="61"/>
  <c r="AW87" i="61"/>
  <c r="AE87" i="61"/>
  <c r="R87" i="61"/>
  <c r="AF87" i="61"/>
  <c r="AV87" i="61"/>
  <c r="Y87" i="61"/>
  <c r="AG87" i="61"/>
  <c r="AC87" i="61"/>
  <c r="AL87" i="61"/>
  <c r="C87" i="61"/>
  <c r="P87" i="61"/>
  <c r="AQ87" i="61"/>
  <c r="AU87" i="61"/>
  <c r="AM87" i="61"/>
  <c r="W87" i="61"/>
  <c r="AT87" i="61"/>
  <c r="AP87" i="61"/>
  <c r="AZ87" i="61"/>
  <c r="AJ87" i="61"/>
  <c r="AS87" i="61"/>
  <c r="AN87" i="61"/>
  <c r="N87" i="61"/>
  <c r="M87" i="61"/>
  <c r="B87" i="61"/>
  <c r="E87" i="61"/>
  <c r="J87" i="61"/>
  <c r="S87" i="61"/>
  <c r="Q87" i="61"/>
  <c r="AK87" i="61"/>
  <c r="AI87" i="61"/>
  <c r="AR87" i="61"/>
  <c r="AO87" i="61"/>
  <c r="AH87" i="61"/>
  <c r="F87" i="61"/>
  <c r="U87" i="61"/>
  <c r="O87" i="61"/>
  <c r="L87" i="61"/>
  <c r="D87" i="61"/>
  <c r="T87" i="61"/>
  <c r="V87" i="61"/>
  <c r="H87" i="61"/>
  <c r="K87" i="61"/>
  <c r="Z87" i="61"/>
  <c r="X87" i="61"/>
  <c r="BA77" i="61"/>
  <c r="AO77" i="61"/>
  <c r="AE77" i="61"/>
  <c r="AT77" i="61"/>
  <c r="AM77" i="61"/>
  <c r="AJ77" i="61"/>
  <c r="AC77" i="61"/>
  <c r="AI77" i="61"/>
  <c r="AH77" i="61"/>
  <c r="AN77" i="61"/>
  <c r="AV77" i="61"/>
  <c r="AD77" i="61"/>
  <c r="AS77" i="61"/>
  <c r="AX77" i="61"/>
  <c r="AY77" i="61"/>
  <c r="AF77" i="61"/>
  <c r="AZ77" i="61"/>
  <c r="AU77" i="61"/>
  <c r="AW77" i="61"/>
  <c r="AL77" i="61"/>
  <c r="AP77" i="61"/>
  <c r="AK77" i="61"/>
  <c r="AR77" i="61"/>
  <c r="AG77" i="61"/>
  <c r="AQ77" i="61"/>
  <c r="AK139" i="43"/>
  <c r="AM139" i="43" s="1"/>
  <c r="AS139" i="43" s="1"/>
  <c r="AT139" i="43" s="1"/>
  <c r="AK144" i="43"/>
  <c r="AM144" i="43" s="1"/>
  <c r="AS144" i="43" s="1"/>
  <c r="AT144" i="43" s="1"/>
  <c r="AK134" i="43"/>
  <c r="AM134" i="43" s="1"/>
  <c r="AS134" i="43" s="1"/>
  <c r="AT134" i="43" s="1"/>
  <c r="AK149" i="43"/>
  <c r="AM149" i="43" s="1"/>
  <c r="AS149" i="43" s="1"/>
  <c r="AT149" i="43" s="1"/>
  <c r="B77" i="61" a="1"/>
  <c r="AV86" i="61" l="1"/>
  <c r="AG86" i="61"/>
  <c r="AE86" i="61"/>
  <c r="AM86" i="61"/>
  <c r="AL86" i="61"/>
  <c r="AU86" i="61"/>
  <c r="AD86" i="61"/>
  <c r="AT86" i="61"/>
  <c r="AQ86" i="61"/>
  <c r="AZ86" i="61"/>
  <c r="AJ86" i="61"/>
  <c r="AC86" i="61"/>
  <c r="AN86" i="61"/>
  <c r="AW86" i="61"/>
  <c r="AI86" i="61"/>
  <c r="AO86" i="61"/>
  <c r="BA86" i="61"/>
  <c r="AR86" i="61"/>
  <c r="AK86" i="61"/>
  <c r="AH86" i="61"/>
  <c r="AY86" i="61"/>
  <c r="AP86" i="61"/>
  <c r="AF86" i="61"/>
  <c r="AX86" i="61"/>
  <c r="AS86" i="61"/>
  <c r="E24" i="59"/>
  <c r="E27" i="59"/>
  <c r="E25" i="59"/>
  <c r="E28" i="59"/>
  <c r="E26" i="59"/>
  <c r="AV130" i="59"/>
  <c r="B114" i="58" s="1" a="1"/>
  <c r="D21" i="59"/>
  <c r="AM137" i="59" s="1"/>
  <c r="AO137" i="59" s="1"/>
  <c r="AU137" i="59" s="1"/>
  <c r="AV137" i="59" s="1"/>
  <c r="K77" i="61"/>
  <c r="L77" i="61"/>
  <c r="S77" i="61"/>
  <c r="U77" i="61"/>
  <c r="Q77" i="61"/>
  <c r="D77" i="61"/>
  <c r="P77" i="61"/>
  <c r="E77" i="61"/>
  <c r="F77" i="61"/>
  <c r="J77" i="61"/>
  <c r="W77" i="61"/>
  <c r="H77" i="61"/>
  <c r="X77" i="61"/>
  <c r="V77" i="61"/>
  <c r="B77" i="61"/>
  <c r="C77" i="61"/>
  <c r="T77" i="61"/>
  <c r="G77" i="61"/>
  <c r="O77" i="61"/>
  <c r="M77" i="61"/>
  <c r="R77" i="61"/>
  <c r="N77" i="61"/>
  <c r="Y77" i="61"/>
  <c r="I77" i="61"/>
  <c r="Z77" i="61"/>
  <c r="D22" i="59" l="1"/>
  <c r="AM143" i="59" s="1"/>
  <c r="AO143" i="59" s="1"/>
  <c r="AU143" i="59" s="1"/>
  <c r="AV143" i="59" s="1"/>
  <c r="AV136" i="59"/>
  <c r="B120" i="58" s="1" a="1"/>
  <c r="G117" i="58"/>
  <c r="E114" i="58"/>
  <c r="L116" i="58"/>
  <c r="B115" i="58"/>
  <c r="J118" i="58"/>
  <c r="D115" i="58"/>
  <c r="B118" i="58"/>
  <c r="J115" i="58"/>
  <c r="L115" i="58"/>
  <c r="E118" i="58"/>
  <c r="H116" i="58"/>
  <c r="M117" i="58"/>
  <c r="E116" i="58"/>
  <c r="K114" i="58"/>
  <c r="B116" i="58"/>
  <c r="H115" i="58"/>
  <c r="J117" i="58"/>
  <c r="L118" i="58"/>
  <c r="E117" i="58"/>
  <c r="F117" i="58"/>
  <c r="C117" i="58"/>
  <c r="F114" i="58"/>
  <c r="J114" i="58"/>
  <c r="K115" i="58"/>
  <c r="L117" i="58"/>
  <c r="M118" i="58"/>
  <c r="C116" i="58"/>
  <c r="F118" i="58"/>
  <c r="H117" i="58"/>
  <c r="C118" i="58"/>
  <c r="J116" i="58"/>
  <c r="M116" i="58"/>
  <c r="I117" i="58"/>
  <c r="D116" i="58"/>
  <c r="M114" i="58"/>
  <c r="L114" i="58"/>
  <c r="G114" i="58"/>
  <c r="M115" i="58"/>
  <c r="K118" i="58"/>
  <c r="I116" i="58"/>
  <c r="D114" i="58"/>
  <c r="H114" i="58"/>
  <c r="G115" i="58"/>
  <c r="E115" i="58"/>
  <c r="D117" i="58"/>
  <c r="C114" i="58"/>
  <c r="K117" i="58"/>
  <c r="F116" i="58"/>
  <c r="D118" i="58"/>
  <c r="B117" i="58"/>
  <c r="C115" i="58"/>
  <c r="I118" i="58"/>
  <c r="F115" i="58"/>
  <c r="I114" i="58"/>
  <c r="G116" i="58"/>
  <c r="B114" i="58"/>
  <c r="I115" i="58"/>
  <c r="G118" i="58"/>
  <c r="K116" i="58"/>
  <c r="H118" i="58"/>
  <c r="AM162" i="59"/>
  <c r="AO162" i="59" s="1"/>
  <c r="AU162" i="59" s="1"/>
  <c r="AV162" i="59" s="1"/>
  <c r="AM168" i="59"/>
  <c r="AO168" i="59" s="1"/>
  <c r="AU168" i="59" s="1"/>
  <c r="AV168" i="59" s="1"/>
  <c r="AM174" i="59"/>
  <c r="AO174" i="59" s="1"/>
  <c r="AU174" i="59" s="1"/>
  <c r="AV174" i="59" s="1"/>
  <c r="AM156" i="59"/>
  <c r="AO156" i="59" s="1"/>
  <c r="AU156" i="59" s="1"/>
  <c r="AV156" i="59" s="1"/>
  <c r="M123" i="58" l="1"/>
  <c r="I121" i="58"/>
  <c r="G122" i="58"/>
  <c r="D120" i="58"/>
  <c r="M122" i="58"/>
  <c r="B120" i="58"/>
  <c r="L124" i="58"/>
  <c r="E120" i="58"/>
  <c r="F123" i="58"/>
  <c r="L121" i="58"/>
  <c r="B122" i="58"/>
  <c r="B121" i="58"/>
  <c r="G120" i="58"/>
  <c r="E123" i="58"/>
  <c r="C123" i="58"/>
  <c r="H122" i="58"/>
  <c r="C122" i="58"/>
  <c r="M124" i="58"/>
  <c r="F121" i="58"/>
  <c r="D121" i="58"/>
  <c r="K124" i="58"/>
  <c r="G121" i="58"/>
  <c r="K120" i="58"/>
  <c r="D123" i="58"/>
  <c r="J122" i="58"/>
  <c r="H120" i="58"/>
  <c r="H121" i="58"/>
  <c r="B124" i="58"/>
  <c r="E124" i="58"/>
  <c r="C120" i="58"/>
  <c r="F120" i="58"/>
  <c r="G124" i="58"/>
  <c r="K121" i="58"/>
  <c r="D124" i="58"/>
  <c r="M121" i="58"/>
  <c r="D122" i="58"/>
  <c r="I124" i="58"/>
  <c r="H123" i="58"/>
  <c r="J123" i="58"/>
  <c r="F124" i="58"/>
  <c r="I120" i="58"/>
  <c r="I123" i="58"/>
  <c r="J120" i="58"/>
  <c r="L123" i="58"/>
  <c r="K122" i="58"/>
  <c r="G123" i="58"/>
  <c r="K123" i="58"/>
  <c r="M120" i="58"/>
  <c r="L120" i="58"/>
  <c r="L122" i="58"/>
  <c r="H124" i="58"/>
  <c r="C121" i="58"/>
  <c r="E121" i="58"/>
  <c r="F122" i="58"/>
  <c r="C124" i="58"/>
  <c r="I122" i="58"/>
  <c r="B123" i="58"/>
  <c r="J121" i="58"/>
  <c r="E122" i="58"/>
  <c r="J124" i="58"/>
  <c r="AV142" i="59"/>
  <c r="B126" i="58" s="1" a="1"/>
  <c r="D23" i="59"/>
  <c r="AM149" i="59" s="1"/>
  <c r="AO149" i="59" s="1"/>
  <c r="AU149" i="59" s="1"/>
  <c r="AV149" i="59" s="1"/>
  <c r="D25" i="59" l="1"/>
  <c r="D28" i="59"/>
  <c r="D26" i="59"/>
  <c r="AV148" i="59"/>
  <c r="B132" i="58" s="1" a="1"/>
  <c r="D24" i="59"/>
  <c r="D27" i="59"/>
  <c r="L128" i="58"/>
  <c r="B126" i="58"/>
  <c r="J129" i="58"/>
  <c r="I127" i="58"/>
  <c r="D126" i="58"/>
  <c r="K128" i="58"/>
  <c r="E130" i="58"/>
  <c r="M127" i="58"/>
  <c r="K130" i="58"/>
  <c r="F127" i="58"/>
  <c r="F126" i="58"/>
  <c r="G129" i="58"/>
  <c r="B127" i="58"/>
  <c r="J130" i="58"/>
  <c r="L129" i="58"/>
  <c r="C129" i="58"/>
  <c r="B129" i="58"/>
  <c r="D129" i="58"/>
  <c r="M129" i="58"/>
  <c r="J127" i="58"/>
  <c r="F130" i="58"/>
  <c r="H128" i="58"/>
  <c r="J128" i="58"/>
  <c r="E126" i="58"/>
  <c r="L130" i="58"/>
  <c r="K129" i="58"/>
  <c r="H129" i="58"/>
  <c r="B128" i="58"/>
  <c r="D127" i="58"/>
  <c r="C127" i="58"/>
  <c r="M128" i="58"/>
  <c r="M126" i="58"/>
  <c r="F129" i="58"/>
  <c r="G130" i="58"/>
  <c r="D130" i="58"/>
  <c r="I129" i="58"/>
  <c r="B130" i="58"/>
  <c r="G126" i="58"/>
  <c r="I128" i="58"/>
  <c r="I130" i="58"/>
  <c r="C126" i="58"/>
  <c r="G127" i="58"/>
  <c r="K126" i="58"/>
  <c r="K127" i="58"/>
  <c r="J126" i="58"/>
  <c r="G128" i="58"/>
  <c r="C130" i="58"/>
  <c r="H130" i="58"/>
  <c r="E129" i="58"/>
  <c r="C128" i="58"/>
  <c r="H127" i="58"/>
  <c r="L127" i="58"/>
  <c r="D128" i="58"/>
  <c r="E127" i="58"/>
  <c r="H126" i="58"/>
  <c r="I126" i="58"/>
  <c r="L126" i="58"/>
  <c r="M130" i="58"/>
  <c r="E128" i="58"/>
  <c r="F128" i="58"/>
  <c r="I136" i="58" l="1"/>
  <c r="C134" i="58"/>
  <c r="K133" i="58"/>
  <c r="K136" i="58"/>
  <c r="C135" i="58"/>
  <c r="E134" i="58"/>
  <c r="J134" i="58"/>
  <c r="G135" i="58"/>
  <c r="G136" i="58"/>
  <c r="C132" i="58"/>
  <c r="D136" i="58"/>
  <c r="M133" i="58"/>
  <c r="F134" i="58"/>
  <c r="F136" i="58"/>
  <c r="D133" i="58"/>
  <c r="B135" i="58"/>
  <c r="I133" i="58"/>
  <c r="K132" i="58"/>
  <c r="C133" i="58"/>
  <c r="I132" i="58"/>
  <c r="G134" i="58"/>
  <c r="M135" i="58"/>
  <c r="H134" i="58"/>
  <c r="J133" i="58"/>
  <c r="B133" i="58"/>
  <c r="J135" i="58"/>
  <c r="K134" i="58"/>
  <c r="D135" i="58"/>
  <c r="H133" i="58"/>
  <c r="I135" i="58"/>
  <c r="H136" i="58"/>
  <c r="K135" i="58"/>
  <c r="L134" i="58"/>
  <c r="E132" i="58"/>
  <c r="E133" i="58"/>
  <c r="L135" i="58"/>
  <c r="H132" i="58"/>
  <c r="L132" i="58"/>
  <c r="L133" i="58"/>
  <c r="B134" i="58"/>
  <c r="M132" i="58"/>
  <c r="F133" i="58"/>
  <c r="M136" i="58"/>
  <c r="F135" i="58"/>
  <c r="I134" i="58"/>
  <c r="J136" i="58"/>
  <c r="G132" i="58"/>
  <c r="B136" i="58"/>
  <c r="E135" i="58"/>
  <c r="B132" i="58"/>
  <c r="D134" i="58"/>
  <c r="L136" i="58"/>
  <c r="G133" i="58"/>
  <c r="F132" i="58"/>
  <c r="C136" i="58"/>
  <c r="D132" i="58"/>
  <c r="H135" i="58"/>
  <c r="E136" i="58"/>
  <c r="J132" i="58"/>
  <c r="M134" i="58"/>
  <c r="AM155" i="59"/>
  <c r="AO155" i="59" s="1"/>
  <c r="AU155" i="59" s="1"/>
  <c r="AV155" i="59" s="1"/>
  <c r="AV154" i="59" s="1"/>
  <c r="B138" i="58" s="1" a="1"/>
  <c r="AM161" i="59"/>
  <c r="AO161" i="59" s="1"/>
  <c r="AU161" i="59" s="1"/>
  <c r="AV161" i="59" s="1"/>
  <c r="AV160" i="59" s="1"/>
  <c r="B144" i="58" s="1" a="1"/>
  <c r="AM173" i="59"/>
  <c r="AO173" i="59" s="1"/>
  <c r="AU173" i="59" s="1"/>
  <c r="AV173" i="59" s="1"/>
  <c r="AV172" i="59" s="1"/>
  <c r="B156" i="58" s="1" a="1"/>
  <c r="AM167" i="59"/>
  <c r="AO167" i="59" s="1"/>
  <c r="AU167" i="59" s="1"/>
  <c r="AV167" i="59" s="1"/>
  <c r="AV166" i="59" s="1"/>
  <c r="B150" i="58" s="1" a="1"/>
  <c r="G151" i="58" l="1"/>
  <c r="F150" i="58"/>
  <c r="M154" i="58"/>
  <c r="B154" i="58"/>
  <c r="B153" i="58"/>
  <c r="G152" i="58"/>
  <c r="C150" i="58"/>
  <c r="E150" i="58"/>
  <c r="D153" i="58"/>
  <c r="L152" i="58"/>
  <c r="L151" i="58"/>
  <c r="L154" i="58"/>
  <c r="C151" i="58"/>
  <c r="E152" i="58"/>
  <c r="B152" i="58"/>
  <c r="L153" i="58"/>
  <c r="I152" i="58"/>
  <c r="D151" i="58"/>
  <c r="C152" i="58"/>
  <c r="L150" i="58"/>
  <c r="G154" i="58"/>
  <c r="J154" i="58"/>
  <c r="K150" i="58"/>
  <c r="J151" i="58"/>
  <c r="F154" i="58"/>
  <c r="J153" i="58"/>
  <c r="E153" i="58"/>
  <c r="K154" i="58"/>
  <c r="C154" i="58"/>
  <c r="D150" i="58"/>
  <c r="F152" i="58"/>
  <c r="J152" i="58"/>
  <c r="K151" i="58"/>
  <c r="F153" i="58"/>
  <c r="M153" i="58"/>
  <c r="D154" i="58"/>
  <c r="I154" i="58"/>
  <c r="E154" i="58"/>
  <c r="H153" i="58"/>
  <c r="E151" i="58"/>
  <c r="G150" i="58"/>
  <c r="I153" i="58"/>
  <c r="B151" i="58"/>
  <c r="B150" i="58"/>
  <c r="C153" i="58"/>
  <c r="K152" i="58"/>
  <c r="F151" i="58"/>
  <c r="M150" i="58"/>
  <c r="I150" i="58"/>
  <c r="M152" i="58"/>
  <c r="D152" i="58"/>
  <c r="H151" i="58"/>
  <c r="G153" i="58"/>
  <c r="I151" i="58"/>
  <c r="H150" i="58"/>
  <c r="H154" i="58"/>
  <c r="H152" i="58"/>
  <c r="K153" i="58"/>
  <c r="J150" i="58"/>
  <c r="M151" i="58"/>
  <c r="I158" i="58"/>
  <c r="E160" i="58"/>
  <c r="K157" i="58"/>
  <c r="K159" i="58"/>
  <c r="I156" i="58"/>
  <c r="L157" i="58"/>
  <c r="L158" i="58"/>
  <c r="F158" i="58"/>
  <c r="H156" i="58"/>
  <c r="G158" i="58"/>
  <c r="M158" i="58"/>
  <c r="J158" i="58"/>
  <c r="F160" i="58"/>
  <c r="E156" i="58"/>
  <c r="M156" i="58"/>
  <c r="K156" i="58"/>
  <c r="J156" i="58"/>
  <c r="J159" i="58"/>
  <c r="J160" i="58"/>
  <c r="F159" i="58"/>
  <c r="M159" i="58"/>
  <c r="D156" i="58"/>
  <c r="K160" i="58"/>
  <c r="M157" i="58"/>
  <c r="F157" i="58"/>
  <c r="D160" i="58"/>
  <c r="C159" i="58"/>
  <c r="H160" i="58"/>
  <c r="I160" i="58"/>
  <c r="D158" i="58"/>
  <c r="D157" i="58"/>
  <c r="B159" i="58"/>
  <c r="L160" i="58"/>
  <c r="B160" i="58"/>
  <c r="C156" i="58"/>
  <c r="I157" i="58"/>
  <c r="M160" i="58"/>
  <c r="B156" i="58"/>
  <c r="G157" i="58"/>
  <c r="C158" i="58"/>
  <c r="C160" i="58"/>
  <c r="G160" i="58"/>
  <c r="L156" i="58"/>
  <c r="B157" i="58"/>
  <c r="K158" i="58"/>
  <c r="E157" i="58"/>
  <c r="I159" i="58"/>
  <c r="E158" i="58"/>
  <c r="E159" i="58"/>
  <c r="H158" i="58"/>
  <c r="J157" i="58"/>
  <c r="L159" i="58"/>
  <c r="B158" i="58"/>
  <c r="G156" i="58"/>
  <c r="H159" i="58"/>
  <c r="H157" i="58"/>
  <c r="F156" i="58"/>
  <c r="C157" i="58"/>
  <c r="D159" i="58"/>
  <c r="G159" i="58"/>
  <c r="D146" i="58"/>
  <c r="B147" i="58"/>
  <c r="D145" i="58"/>
  <c r="B145" i="58"/>
  <c r="K146" i="58"/>
  <c r="H147" i="58"/>
  <c r="J147" i="58"/>
  <c r="L146" i="58"/>
  <c r="G145" i="58"/>
  <c r="D147" i="58"/>
  <c r="L148" i="58"/>
  <c r="K144" i="58"/>
  <c r="J148" i="58"/>
  <c r="B144" i="58"/>
  <c r="K145" i="58"/>
  <c r="K147" i="58"/>
  <c r="F145" i="58"/>
  <c r="E148" i="58"/>
  <c r="E144" i="58"/>
  <c r="C145" i="58"/>
  <c r="M146" i="58"/>
  <c r="I144" i="58"/>
  <c r="D144" i="58"/>
  <c r="L144" i="58"/>
  <c r="J145" i="58"/>
  <c r="J144" i="58"/>
  <c r="E147" i="58"/>
  <c r="K148" i="58"/>
  <c r="H145" i="58"/>
  <c r="C148" i="58"/>
  <c r="L147" i="58"/>
  <c r="F147" i="58"/>
  <c r="M147" i="58"/>
  <c r="F148" i="58"/>
  <c r="M148" i="58"/>
  <c r="E146" i="58"/>
  <c r="D148" i="58"/>
  <c r="J146" i="58"/>
  <c r="G144" i="58"/>
  <c r="G148" i="58"/>
  <c r="E145" i="58"/>
  <c r="C146" i="58"/>
  <c r="H146" i="58"/>
  <c r="I147" i="58"/>
  <c r="H148" i="58"/>
  <c r="G146" i="58"/>
  <c r="H144" i="58"/>
  <c r="M145" i="58"/>
  <c r="M144" i="58"/>
  <c r="C147" i="58"/>
  <c r="I146" i="58"/>
  <c r="F146" i="58"/>
  <c r="L145" i="58"/>
  <c r="I145" i="58"/>
  <c r="F144" i="58"/>
  <c r="I148" i="58"/>
  <c r="B148" i="58"/>
  <c r="G147" i="58"/>
  <c r="C144" i="58"/>
  <c r="B146" i="58"/>
  <c r="G140" i="58"/>
  <c r="M138" i="58"/>
  <c r="I142" i="58"/>
  <c r="M141" i="58"/>
  <c r="K138" i="58"/>
  <c r="C141" i="58"/>
  <c r="F139" i="58"/>
  <c r="C142" i="58"/>
  <c r="C140" i="58"/>
  <c r="B142" i="58"/>
  <c r="C139" i="58"/>
  <c r="B140" i="58"/>
  <c r="H138" i="58"/>
  <c r="D140" i="58"/>
  <c r="F140" i="58"/>
  <c r="J142" i="58"/>
  <c r="G138" i="58"/>
  <c r="I139" i="58"/>
  <c r="J139" i="58"/>
  <c r="J140" i="58"/>
  <c r="E139" i="58"/>
  <c r="B139" i="58"/>
  <c r="E138" i="58"/>
  <c r="L140" i="58"/>
  <c r="J138" i="58"/>
  <c r="K141" i="58"/>
  <c r="G141" i="58"/>
  <c r="E140" i="58"/>
  <c r="L141" i="58"/>
  <c r="K142" i="58"/>
  <c r="I140" i="58"/>
  <c r="H139" i="58"/>
  <c r="B141" i="58"/>
  <c r="M140" i="58"/>
  <c r="C138" i="58"/>
  <c r="H140" i="58"/>
  <c r="I141" i="58"/>
  <c r="E142" i="58"/>
  <c r="K140" i="58"/>
  <c r="I138" i="58"/>
  <c r="G142" i="58"/>
  <c r="F142" i="58"/>
  <c r="G139" i="58"/>
  <c r="D138" i="58"/>
  <c r="M142" i="58"/>
  <c r="B138" i="58"/>
  <c r="H141" i="58"/>
  <c r="J141" i="58"/>
  <c r="L138" i="58"/>
  <c r="D139" i="58"/>
  <c r="M139" i="58"/>
  <c r="E141" i="58"/>
  <c r="D141" i="58"/>
  <c r="D142" i="58"/>
  <c r="K139" i="58"/>
  <c r="F138" i="58"/>
  <c r="H142" i="58"/>
  <c r="F141" i="58"/>
  <c r="L139" i="58"/>
  <c r="L142" i="58"/>
  <c r="AP95" i="27" l="1"/>
  <c r="Z80" i="27" l="1"/>
  <c r="AB80" i="27" s="1"/>
  <c r="L85" i="27"/>
  <c r="N85" i="27" s="1"/>
  <c r="AQ85" i="27" s="1"/>
  <c r="EB98" i="61"/>
  <c r="DL98" i="61"/>
  <c r="DS98" i="61"/>
  <c r="DZ98" i="61"/>
  <c r="DN98" i="61"/>
  <c r="DU98" i="61"/>
  <c r="DX98" i="61"/>
  <c r="EE98" i="61"/>
  <c r="DO98" i="61"/>
  <c r="DR98" i="61"/>
  <c r="EH98" i="61"/>
  <c r="DQ98" i="61"/>
  <c r="EF98" i="61"/>
  <c r="DT98" i="61"/>
  <c r="EA98" i="61"/>
  <c r="EI98" i="61"/>
  <c r="EP126" i="61" s="1"/>
  <c r="EC98" i="61"/>
  <c r="DM98" i="61"/>
  <c r="EG98" i="61"/>
  <c r="DP98" i="61"/>
  <c r="DW98" i="61"/>
  <c r="ED98" i="61"/>
  <c r="DV98" i="61"/>
  <c r="DY98" i="61"/>
  <c r="EF126" i="61" l="1"/>
  <c r="FR126" i="61"/>
  <c r="GB126" i="61"/>
  <c r="DX126" i="61"/>
  <c r="FJ126" i="61"/>
  <c r="EG126" i="61"/>
  <c r="FS126" i="61"/>
  <c r="EK126" i="61"/>
  <c r="FW126" i="61"/>
  <c r="DT126" i="61"/>
  <c r="FF126" i="61"/>
  <c r="EA126" i="61"/>
  <c r="FM126" i="61"/>
  <c r="DY126" i="61"/>
  <c r="FK126" i="61"/>
  <c r="EB126" i="61"/>
  <c r="FN126" i="61"/>
  <c r="DS126" i="61"/>
  <c r="FE126" i="61"/>
  <c r="ED126" i="61"/>
  <c r="FP126" i="61"/>
  <c r="EJ126" i="61"/>
  <c r="FV126" i="61"/>
  <c r="EM126" i="61"/>
  <c r="FY126" i="61"/>
  <c r="DV126" i="61"/>
  <c r="FH126" i="61"/>
  <c r="DU126" i="61"/>
  <c r="FG126" i="61"/>
  <c r="EI126" i="61"/>
  <c r="FU126" i="61"/>
  <c r="DW126" i="61"/>
  <c r="FI126" i="61"/>
  <c r="EL126" i="61"/>
  <c r="FX126" i="61"/>
  <c r="EC126" i="61"/>
  <c r="FO126" i="61"/>
  <c r="EN126" i="61"/>
  <c r="FZ126" i="61"/>
  <c r="EH126" i="61"/>
  <c r="FT126" i="61"/>
  <c r="EO126" i="61"/>
  <c r="GA126" i="61"/>
  <c r="EE126" i="61"/>
  <c r="FQ126" i="61"/>
  <c r="DZ126" i="61"/>
  <c r="FL126" i="61"/>
  <c r="CO126" i="61" a="1"/>
  <c r="AR79" i="27"/>
  <c r="AR80" i="27"/>
  <c r="DK98" i="61"/>
  <c r="DR126" i="61" l="1"/>
  <c r="ER126" i="61" s="1"/>
  <c r="FD126" i="61"/>
  <c r="GE126" i="61" s="1"/>
  <c r="CP126" i="61"/>
  <c r="CT126" i="61"/>
  <c r="DD126" i="61"/>
  <c r="CP127" i="61"/>
  <c r="CZ127" i="61"/>
  <c r="DJ127" i="61"/>
  <c r="CV128" i="61"/>
  <c r="DF128" i="61"/>
  <c r="CP129" i="61"/>
  <c r="DB129" i="61"/>
  <c r="DL129" i="61"/>
  <c r="CV130" i="61"/>
  <c r="DH130" i="61"/>
  <c r="CR131" i="61"/>
  <c r="DB131" i="61"/>
  <c r="DN131" i="61"/>
  <c r="CX132" i="61"/>
  <c r="DH132" i="61"/>
  <c r="CT133" i="61"/>
  <c r="DD133" i="61"/>
  <c r="DN133" i="61"/>
  <c r="CZ134" i="61"/>
  <c r="DJ134" i="61"/>
  <c r="CT135" i="61"/>
  <c r="DF135" i="61"/>
  <c r="CP136" i="61"/>
  <c r="CZ136" i="61"/>
  <c r="DL136" i="61"/>
  <c r="CV137" i="61"/>
  <c r="DF137" i="61"/>
  <c r="CR138" i="61"/>
  <c r="DB138" i="61"/>
  <c r="DL138" i="61"/>
  <c r="CT139" i="61"/>
  <c r="CY139" i="61"/>
  <c r="DD139" i="61"/>
  <c r="DJ139" i="61"/>
  <c r="CO140" i="61"/>
  <c r="CT140" i="61"/>
  <c r="CZ140" i="61"/>
  <c r="DE140" i="61"/>
  <c r="DJ140" i="61"/>
  <c r="CP141" i="61"/>
  <c r="CU141" i="61"/>
  <c r="CZ141" i="61"/>
  <c r="DF141" i="61"/>
  <c r="DK141" i="61"/>
  <c r="CP142" i="61"/>
  <c r="CV142" i="61"/>
  <c r="DA142" i="61"/>
  <c r="DF142" i="61"/>
  <c r="DL142" i="61"/>
  <c r="CQ143" i="61"/>
  <c r="CV143" i="61"/>
  <c r="DB143" i="61"/>
  <c r="DG143" i="61"/>
  <c r="DL143" i="61"/>
  <c r="CR144" i="61"/>
  <c r="CW144" i="61"/>
  <c r="DB144" i="61"/>
  <c r="DH144" i="61"/>
  <c r="DM144" i="61"/>
  <c r="CR145" i="61"/>
  <c r="CX145" i="61"/>
  <c r="DC145" i="61"/>
  <c r="DH145" i="61"/>
  <c r="DN145" i="61"/>
  <c r="CS146" i="61"/>
  <c r="CX146" i="61"/>
  <c r="DD146" i="61"/>
  <c r="DI146" i="61"/>
  <c r="DN146" i="61"/>
  <c r="CT147" i="61"/>
  <c r="CY147" i="61"/>
  <c r="DD147" i="61"/>
  <c r="DJ147" i="61"/>
  <c r="CO148" i="61"/>
  <c r="CT148" i="61"/>
  <c r="CZ148" i="61"/>
  <c r="DE148" i="61"/>
  <c r="CV126" i="61"/>
  <c r="DH126" i="61"/>
  <c r="CR127" i="61"/>
  <c r="DB127" i="61"/>
  <c r="DN127" i="61"/>
  <c r="CX128" i="61"/>
  <c r="DH128" i="61"/>
  <c r="CT129" i="61"/>
  <c r="DD129" i="61"/>
  <c r="DN129" i="61"/>
  <c r="CZ130" i="61"/>
  <c r="DJ130" i="61"/>
  <c r="CT131" i="61"/>
  <c r="DF131" i="61"/>
  <c r="CP132" i="61"/>
  <c r="CZ132" i="61"/>
  <c r="DL132" i="61"/>
  <c r="CV133" i="61"/>
  <c r="DF133" i="61"/>
  <c r="CR134" i="61"/>
  <c r="DB134" i="61"/>
  <c r="DL134" i="61"/>
  <c r="CX135" i="61"/>
  <c r="DH135" i="61"/>
  <c r="CR136" i="61"/>
  <c r="DD136" i="61"/>
  <c r="DN136" i="61"/>
  <c r="CX137" i="61"/>
  <c r="DJ137" i="61"/>
  <c r="CT138" i="61"/>
  <c r="DD138" i="61"/>
  <c r="CP139" i="61"/>
  <c r="CU139" i="61"/>
  <c r="CZ139" i="61"/>
  <c r="DF139" i="61"/>
  <c r="DK139" i="61"/>
  <c r="CP140" i="61"/>
  <c r="CV140" i="61"/>
  <c r="DA140" i="61"/>
  <c r="DF140" i="61"/>
  <c r="DL140" i="61"/>
  <c r="CQ141" i="61"/>
  <c r="CV141" i="61"/>
  <c r="DB141" i="61"/>
  <c r="DG141" i="61"/>
  <c r="DL141" i="61"/>
  <c r="CR142" i="61"/>
  <c r="CW142" i="61"/>
  <c r="DB142" i="61"/>
  <c r="DH142" i="61"/>
  <c r="DM142" i="61"/>
  <c r="CR143" i="61"/>
  <c r="CX143" i="61"/>
  <c r="DC143" i="61"/>
  <c r="DH143" i="61"/>
  <c r="DN143" i="61"/>
  <c r="CS144" i="61"/>
  <c r="CX144" i="61"/>
  <c r="DD144" i="61"/>
  <c r="DI144" i="61"/>
  <c r="DN144" i="61"/>
  <c r="CT145" i="61"/>
  <c r="CY145" i="61"/>
  <c r="DD145" i="61"/>
  <c r="DJ145" i="61"/>
  <c r="CO146" i="61"/>
  <c r="CT146" i="61"/>
  <c r="CZ146" i="61"/>
  <c r="DE146" i="61"/>
  <c r="DJ146" i="61"/>
  <c r="CP147" i="61"/>
  <c r="CU147" i="61"/>
  <c r="CZ147" i="61"/>
  <c r="DF147" i="61"/>
  <c r="DK147" i="61"/>
  <c r="CP148" i="61"/>
  <c r="CV148" i="61"/>
  <c r="DA148" i="61"/>
  <c r="DF148" i="61"/>
  <c r="DL148" i="61"/>
  <c r="CQ149" i="61"/>
  <c r="CV149" i="61"/>
  <c r="DB149" i="61"/>
  <c r="DG149" i="61"/>
  <c r="DL149" i="61"/>
  <c r="CR150" i="61"/>
  <c r="CW150" i="61"/>
  <c r="DB150" i="61"/>
  <c r="DH150" i="61"/>
  <c r="DM150" i="61"/>
  <c r="CR151" i="61"/>
  <c r="CX151" i="61"/>
  <c r="DC151" i="61"/>
  <c r="DH151" i="61"/>
  <c r="DN151" i="61"/>
  <c r="CR126" i="61"/>
  <c r="DB126" i="61"/>
  <c r="DL126" i="61"/>
  <c r="CX127" i="61"/>
  <c r="DH127" i="61"/>
  <c r="CR128" i="61"/>
  <c r="DD128" i="61"/>
  <c r="DN128" i="61"/>
  <c r="CX129" i="61"/>
  <c r="DJ129" i="61"/>
  <c r="CT130" i="61"/>
  <c r="DD130" i="61"/>
  <c r="CP131" i="61"/>
  <c r="CZ131" i="61"/>
  <c r="DJ131" i="61"/>
  <c r="CV132" i="61"/>
  <c r="DF132" i="61"/>
  <c r="CP133" i="61"/>
  <c r="DB133" i="61"/>
  <c r="DL133" i="61"/>
  <c r="CV134" i="61"/>
  <c r="DH134" i="61"/>
  <c r="CR135" i="61"/>
  <c r="DB135" i="61"/>
  <c r="DN135" i="61"/>
  <c r="CX136" i="61"/>
  <c r="DH136" i="61"/>
  <c r="CT137" i="61"/>
  <c r="DD137" i="61"/>
  <c r="DN137" i="61"/>
  <c r="CZ138" i="61"/>
  <c r="DJ138" i="61"/>
  <c r="CR139" i="61"/>
  <c r="CX139" i="61"/>
  <c r="DC139" i="61"/>
  <c r="DH139" i="61"/>
  <c r="DN139" i="61"/>
  <c r="CS140" i="61"/>
  <c r="CX140" i="61"/>
  <c r="DD140" i="61"/>
  <c r="DI140" i="61"/>
  <c r="DN140" i="61"/>
  <c r="CT141" i="61"/>
  <c r="CY141" i="61"/>
  <c r="DD141" i="61"/>
  <c r="DJ141" i="61"/>
  <c r="CO142" i="61"/>
  <c r="CT142" i="61"/>
  <c r="CZ142" i="61"/>
  <c r="DE142" i="61"/>
  <c r="DJ142" i="61"/>
  <c r="CP143" i="61"/>
  <c r="CU143" i="61"/>
  <c r="CZ143" i="61"/>
  <c r="DF143" i="61"/>
  <c r="DK143" i="61"/>
  <c r="CP144" i="61"/>
  <c r="CV144" i="61"/>
  <c r="DA144" i="61"/>
  <c r="DF144" i="61"/>
  <c r="DL144" i="61"/>
  <c r="CQ145" i="61"/>
  <c r="CV145" i="61"/>
  <c r="DB145" i="61"/>
  <c r="DG145" i="61"/>
  <c r="DL145" i="61"/>
  <c r="CR146" i="61"/>
  <c r="CW146" i="61"/>
  <c r="DB146" i="61"/>
  <c r="DH146" i="61"/>
  <c r="DM146" i="61"/>
  <c r="CR147" i="61"/>
  <c r="CX147" i="61"/>
  <c r="DC147" i="61"/>
  <c r="DH147" i="61"/>
  <c r="DN147" i="61"/>
  <c r="CS148" i="61"/>
  <c r="CX148" i="61"/>
  <c r="DD148" i="61"/>
  <c r="DI148" i="61"/>
  <c r="DN148" i="61"/>
  <c r="CT149" i="61"/>
  <c r="CY149" i="61"/>
  <c r="DD149" i="61"/>
  <c r="DJ149" i="61"/>
  <c r="CO150" i="61"/>
  <c r="CT150" i="61"/>
  <c r="CZ150" i="61"/>
  <c r="DE150" i="61"/>
  <c r="DJ150" i="61"/>
  <c r="CP151" i="61"/>
  <c r="CU151" i="61"/>
  <c r="CZ151" i="61"/>
  <c r="DF151" i="61"/>
  <c r="DK151" i="61"/>
  <c r="DF127" i="61"/>
  <c r="CZ126" i="61"/>
  <c r="DJ126" i="61"/>
  <c r="CZ128" i="61"/>
  <c r="CR130" i="61"/>
  <c r="DH131" i="61"/>
  <c r="CX133" i="61"/>
  <c r="CP135" i="61"/>
  <c r="DF136" i="61"/>
  <c r="CV138" i="61"/>
  <c r="DB139" i="61"/>
  <c r="CW140" i="61"/>
  <c r="CR141" i="61"/>
  <c r="DN141" i="61"/>
  <c r="DI142" i="61"/>
  <c r="DD143" i="61"/>
  <c r="CZ144" i="61"/>
  <c r="CU145" i="61"/>
  <c r="CP146" i="61"/>
  <c r="DL146" i="61"/>
  <c r="DG147" i="61"/>
  <c r="DB148" i="61"/>
  <c r="CP149" i="61"/>
  <c r="CZ149" i="61"/>
  <c r="DK149" i="61"/>
  <c r="CV150" i="61"/>
  <c r="DF150" i="61"/>
  <c r="CQ151" i="61"/>
  <c r="DB151" i="61"/>
  <c r="DL151" i="61"/>
  <c r="CT127" i="61"/>
  <c r="DL128" i="61"/>
  <c r="DB130" i="61"/>
  <c r="CR132" i="61"/>
  <c r="DJ133" i="61"/>
  <c r="CZ135" i="61"/>
  <c r="CP137" i="61"/>
  <c r="DH138" i="61"/>
  <c r="DG139" i="61"/>
  <c r="DB140" i="61"/>
  <c r="CX141" i="61"/>
  <c r="CS142" i="61"/>
  <c r="DN142" i="61"/>
  <c r="DJ143" i="61"/>
  <c r="DE144" i="61"/>
  <c r="CZ145" i="61"/>
  <c r="CV146" i="61"/>
  <c r="CQ147" i="61"/>
  <c r="DL147" i="61"/>
  <c r="DH148" i="61"/>
  <c r="CR149" i="61"/>
  <c r="DC149" i="61"/>
  <c r="DN149" i="61"/>
  <c r="CX150" i="61"/>
  <c r="DI150" i="61"/>
  <c r="CT151" i="61"/>
  <c r="DD151" i="61"/>
  <c r="DL130" i="61"/>
  <c r="CT134" i="61"/>
  <c r="DB137" i="61"/>
  <c r="DL139" i="61"/>
  <c r="DC141" i="61"/>
  <c r="CT143" i="61"/>
  <c r="DJ144" i="61"/>
  <c r="DA146" i="61"/>
  <c r="CR148" i="61"/>
  <c r="CU149" i="61"/>
  <c r="CP150" i="61"/>
  <c r="DL150" i="61"/>
  <c r="DG151" i="61"/>
  <c r="CP128" i="61"/>
  <c r="CX131" i="61"/>
  <c r="DD134" i="61"/>
  <c r="DL137" i="61"/>
  <c r="CR140" i="61"/>
  <c r="DH141" i="61"/>
  <c r="CY143" i="61"/>
  <c r="CP145" i="61"/>
  <c r="DF146" i="61"/>
  <c r="CW148" i="61"/>
  <c r="CX149" i="61"/>
  <c r="CS150" i="61"/>
  <c r="DN150" i="61"/>
  <c r="DJ151" i="61"/>
  <c r="CV129" i="61"/>
  <c r="DD132" i="61"/>
  <c r="DJ135" i="61"/>
  <c r="CQ139" i="61"/>
  <c r="DH140" i="61"/>
  <c r="CX142" i="61"/>
  <c r="CO144" i="61"/>
  <c r="DF145" i="61"/>
  <c r="CV147" i="61"/>
  <c r="DJ148" i="61"/>
  <c r="DF149" i="61"/>
  <c r="DA150" i="61"/>
  <c r="CV151" i="61"/>
  <c r="DF129" i="61"/>
  <c r="DN132" i="61"/>
  <c r="CV136" i="61"/>
  <c r="CV139" i="61"/>
  <c r="DM140" i="61"/>
  <c r="DD142" i="61"/>
  <c r="CT144" i="61"/>
  <c r="DK145" i="61"/>
  <c r="DB147" i="61"/>
  <c r="DM148" i="61"/>
  <c r="DH149" i="61"/>
  <c r="DD150" i="61"/>
  <c r="CY151" i="61"/>
  <c r="DI151" i="61"/>
  <c r="CS151" i="61"/>
  <c r="DC150" i="61"/>
  <c r="DM149" i="61"/>
  <c r="CW149" i="61"/>
  <c r="DG148" i="61"/>
  <c r="CQ148" i="61"/>
  <c r="DA147" i="61"/>
  <c r="DK146" i="61"/>
  <c r="CU146" i="61"/>
  <c r="DE145" i="61"/>
  <c r="CO145" i="61"/>
  <c r="CY144" i="61"/>
  <c r="DI143" i="61"/>
  <c r="CS143" i="61"/>
  <c r="DC142" i="61"/>
  <c r="DM141" i="61"/>
  <c r="CW141" i="61"/>
  <c r="DG140" i="61"/>
  <c r="CQ140" i="61"/>
  <c r="DA139" i="61"/>
  <c r="DF138" i="61"/>
  <c r="CZ137" i="61"/>
  <c r="CT136" i="61"/>
  <c r="DN134" i="61"/>
  <c r="DH133" i="61"/>
  <c r="DB132" i="61"/>
  <c r="CV131" i="61"/>
  <c r="CP130" i="61"/>
  <c r="DJ128" i="61"/>
  <c r="DD127" i="61"/>
  <c r="CX126" i="61"/>
  <c r="DA126" i="61"/>
  <c r="CQ127" i="61"/>
  <c r="DG127" i="61"/>
  <c r="CW128" i="61"/>
  <c r="DM128" i="61"/>
  <c r="DC129" i="61"/>
  <c r="CS130" i="61"/>
  <c r="DI130" i="61"/>
  <c r="CY131" i="61"/>
  <c r="CO132" i="61"/>
  <c r="DE132" i="61"/>
  <c r="CU133" i="61"/>
  <c r="DK133" i="61"/>
  <c r="DA134" i="61"/>
  <c r="CQ135" i="61"/>
  <c r="DG135" i="61"/>
  <c r="CW136" i="61"/>
  <c r="DM136" i="61"/>
  <c r="DC137" i="61"/>
  <c r="CS138" i="61"/>
  <c r="DI138" i="61"/>
  <c r="CY126" i="61"/>
  <c r="CO127" i="61"/>
  <c r="DE127" i="61"/>
  <c r="CU128" i="61"/>
  <c r="DK128" i="61"/>
  <c r="DA129" i="61"/>
  <c r="CQ130" i="61"/>
  <c r="DG130" i="61"/>
  <c r="CW131" i="61"/>
  <c r="DM131" i="61"/>
  <c r="DC132" i="61"/>
  <c r="CS133" i="61"/>
  <c r="DI133" i="61"/>
  <c r="CY134" i="61"/>
  <c r="CO135" i="61"/>
  <c r="DE135" i="61"/>
  <c r="CU136" i="61"/>
  <c r="DK136" i="61"/>
  <c r="DA137" i="61"/>
  <c r="CQ138" i="61"/>
  <c r="DG138" i="61"/>
  <c r="DE151" i="61"/>
  <c r="CO151" i="61"/>
  <c r="CY150" i="61"/>
  <c r="DI149" i="61"/>
  <c r="CS149" i="61"/>
  <c r="DC148" i="61"/>
  <c r="DM147" i="61"/>
  <c r="CW147" i="61"/>
  <c r="DG146" i="61"/>
  <c r="CQ146" i="61"/>
  <c r="DA145" i="61"/>
  <c r="DK144" i="61"/>
  <c r="CU144" i="61"/>
  <c r="DE143" i="61"/>
  <c r="CO143" i="61"/>
  <c r="CY142" i="61"/>
  <c r="DI141" i="61"/>
  <c r="CS141" i="61"/>
  <c r="DC140" i="61"/>
  <c r="DM139" i="61"/>
  <c r="CW139" i="61"/>
  <c r="CX138" i="61"/>
  <c r="CR137" i="61"/>
  <c r="DL135" i="61"/>
  <c r="DF134" i="61"/>
  <c r="CZ133" i="61"/>
  <c r="CT132" i="61"/>
  <c r="DN130" i="61"/>
  <c r="DH129" i="61"/>
  <c r="DB128" i="61"/>
  <c r="CV127" i="61"/>
  <c r="CO126" i="61"/>
  <c r="DE126" i="61"/>
  <c r="CU127" i="61"/>
  <c r="DK127" i="61"/>
  <c r="DA128" i="61"/>
  <c r="CQ129" i="61"/>
  <c r="DG129" i="61"/>
  <c r="CW130" i="61"/>
  <c r="DM130" i="61"/>
  <c r="DC131" i="61"/>
  <c r="CS132" i="61"/>
  <c r="DI132" i="61"/>
  <c r="CY133" i="61"/>
  <c r="CO134" i="61"/>
  <c r="DE134" i="61"/>
  <c r="CU135" i="61"/>
  <c r="DK135" i="61"/>
  <c r="DA136" i="61"/>
  <c r="CQ137" i="61"/>
  <c r="DG137" i="61"/>
  <c r="CW138" i="61"/>
  <c r="DM138" i="61"/>
  <c r="DC126" i="61"/>
  <c r="CS127" i="61"/>
  <c r="DI127" i="61"/>
  <c r="CY128" i="61"/>
  <c r="CO129" i="61"/>
  <c r="DE129" i="61"/>
  <c r="CU130" i="61"/>
  <c r="DK130" i="61"/>
  <c r="DA131" i="61"/>
  <c r="CQ132" i="61"/>
  <c r="DG132" i="61"/>
  <c r="CW133" i="61"/>
  <c r="DM133" i="61"/>
  <c r="DC134" i="61"/>
  <c r="CS135" i="61"/>
  <c r="DI135" i="61"/>
  <c r="CY136" i="61"/>
  <c r="CO137" i="61"/>
  <c r="DE137" i="61"/>
  <c r="CU138" i="61"/>
  <c r="DK138" i="61"/>
  <c r="DA151" i="61"/>
  <c r="DK150" i="61"/>
  <c r="CU150" i="61"/>
  <c r="DE149" i="61"/>
  <c r="CO149" i="61"/>
  <c r="CY148" i="61"/>
  <c r="DI147" i="61"/>
  <c r="CS147" i="61"/>
  <c r="DC146" i="61"/>
  <c r="DM145" i="61"/>
  <c r="CW145" i="61"/>
  <c r="DG144" i="61"/>
  <c r="CQ144" i="61"/>
  <c r="DA143" i="61"/>
  <c r="DK142" i="61"/>
  <c r="CU142" i="61"/>
  <c r="DE141" i="61"/>
  <c r="CO141" i="61"/>
  <c r="CY140" i="61"/>
  <c r="DI139" i="61"/>
  <c r="CS139" i="61"/>
  <c r="CP138" i="61"/>
  <c r="DJ136" i="61"/>
  <c r="DD135" i="61"/>
  <c r="CX134" i="61"/>
  <c r="CR133" i="61"/>
  <c r="DL131" i="61"/>
  <c r="DF130" i="61"/>
  <c r="CZ129" i="61"/>
  <c r="CT128" i="61"/>
  <c r="DN126" i="61"/>
  <c r="CS126" i="61"/>
  <c r="DI126" i="61"/>
  <c r="CY127" i="61"/>
  <c r="CO128" i="61"/>
  <c r="DE128" i="61"/>
  <c r="CU129" i="61"/>
  <c r="DK129" i="61"/>
  <c r="DA130" i="61"/>
  <c r="CQ131" i="61"/>
  <c r="DG131" i="61"/>
  <c r="CW132" i="61"/>
  <c r="DM132" i="61"/>
  <c r="DC133" i="61"/>
  <c r="CS134" i="61"/>
  <c r="DI134" i="61"/>
  <c r="CY135" i="61"/>
  <c r="CO136" i="61"/>
  <c r="DE136" i="61"/>
  <c r="CU137" i="61"/>
  <c r="DK137" i="61"/>
  <c r="DA138" i="61"/>
  <c r="CQ126" i="61"/>
  <c r="DG126" i="61"/>
  <c r="CW127" i="61"/>
  <c r="DM127" i="61"/>
  <c r="DC128" i="61"/>
  <c r="CS129" i="61"/>
  <c r="DI129" i="61"/>
  <c r="CY130" i="61"/>
  <c r="CO131" i="61"/>
  <c r="DE131" i="61"/>
  <c r="CU132" i="61"/>
  <c r="DK132" i="61"/>
  <c r="DA133" i="61"/>
  <c r="CQ134" i="61"/>
  <c r="DG134" i="61"/>
  <c r="CW135" i="61"/>
  <c r="DM135" i="61"/>
  <c r="DC136" i="61"/>
  <c r="CS137" i="61"/>
  <c r="DI137" i="61"/>
  <c r="CY138" i="61"/>
  <c r="CO139" i="61"/>
  <c r="DM151" i="61"/>
  <c r="CW151" i="61"/>
  <c r="DG150" i="61"/>
  <c r="CQ150" i="61"/>
  <c r="DA149" i="61"/>
  <c r="DK148" i="61"/>
  <c r="CU148" i="61"/>
  <c r="DE147" i="61"/>
  <c r="CO147" i="61"/>
  <c r="CY146" i="61"/>
  <c r="DI145" i="61"/>
  <c r="CS145" i="61"/>
  <c r="DC144" i="61"/>
  <c r="DM143" i="61"/>
  <c r="CW143" i="61"/>
  <c r="DG142" i="61"/>
  <c r="CQ142" i="61"/>
  <c r="DA141" i="61"/>
  <c r="DK140" i="61"/>
  <c r="CU140" i="61"/>
  <c r="DE139" i="61"/>
  <c r="DN138" i="61"/>
  <c r="DH137" i="61"/>
  <c r="DB136" i="61"/>
  <c r="CV135" i="61"/>
  <c r="CP134" i="61"/>
  <c r="DJ132" i="61"/>
  <c r="DD131" i="61"/>
  <c r="CX130" i="61"/>
  <c r="CR129" i="61"/>
  <c r="DL127" i="61"/>
  <c r="X98" i="61" s="1"/>
  <c r="DF126" i="61"/>
  <c r="CW126" i="61"/>
  <c r="DM126" i="61"/>
  <c r="DC127" i="61"/>
  <c r="CS128" i="61"/>
  <c r="DI128" i="61"/>
  <c r="CY129" i="61"/>
  <c r="CO130" i="61"/>
  <c r="DE130" i="61"/>
  <c r="CU131" i="61"/>
  <c r="DK131" i="61"/>
  <c r="DA132" i="61"/>
  <c r="CQ133" i="61"/>
  <c r="DG133" i="61"/>
  <c r="CW134" i="61"/>
  <c r="DM134" i="61"/>
  <c r="DC135" i="61"/>
  <c r="CS136" i="61"/>
  <c r="DI136" i="61"/>
  <c r="CY137" i="61"/>
  <c r="CO138" i="61"/>
  <c r="DE138" i="61"/>
  <c r="CU126" i="61"/>
  <c r="DK126" i="61"/>
  <c r="DA127" i="61"/>
  <c r="CQ128" i="61"/>
  <c r="DG128" i="61"/>
  <c r="CW129" i="61"/>
  <c r="DM129" i="61"/>
  <c r="DC130" i="61"/>
  <c r="CS131" i="61"/>
  <c r="DI131" i="61"/>
  <c r="CY132" i="61"/>
  <c r="CO133" i="61"/>
  <c r="DE133" i="61"/>
  <c r="CU134" i="61"/>
  <c r="DK134" i="61"/>
  <c r="DA135" i="61"/>
  <c r="CQ136" i="61"/>
  <c r="DG136" i="61"/>
  <c r="CW137" i="61"/>
  <c r="DM137" i="61"/>
  <c r="DC138" i="61"/>
  <c r="L90" i="27"/>
  <c r="N90" i="27" s="1"/>
  <c r="AQ90" i="27" s="1"/>
  <c r="Z85" i="27"/>
  <c r="AB85" i="27" s="1"/>
  <c r="GH126" i="61" l="1"/>
  <c r="N5" i="64" s="1"/>
  <c r="ES126" i="61"/>
  <c r="H5" i="64" s="1"/>
  <c r="GC126" i="61"/>
  <c r="L5" i="64"/>
  <c r="EZ126" i="61"/>
  <c r="DX81" i="61"/>
  <c r="I104" i="61"/>
  <c r="E98" i="61"/>
  <c r="Q105" i="61"/>
  <c r="S100" i="61"/>
  <c r="T100" i="61"/>
  <c r="I110" i="61"/>
  <c r="G115" i="61"/>
  <c r="E120" i="61"/>
  <c r="N100" i="61"/>
  <c r="D109" i="61"/>
  <c r="D115" i="61"/>
  <c r="W99" i="61"/>
  <c r="I108" i="61"/>
  <c r="W105" i="61"/>
  <c r="K103" i="61"/>
  <c r="Y100" i="61"/>
  <c r="M98" i="61"/>
  <c r="O106" i="61"/>
  <c r="C104" i="61"/>
  <c r="Q101" i="61"/>
  <c r="E99" i="61"/>
  <c r="P102" i="61"/>
  <c r="N107" i="61"/>
  <c r="G111" i="61"/>
  <c r="S113" i="61"/>
  <c r="E116" i="61"/>
  <c r="Q118" i="61"/>
  <c r="C121" i="61"/>
  <c r="D101" i="61"/>
  <c r="B106" i="61"/>
  <c r="N110" i="61"/>
  <c r="Z112" i="61"/>
  <c r="L115" i="61"/>
  <c r="W101" i="61"/>
  <c r="G98" i="61"/>
  <c r="Y110" i="61"/>
  <c r="C117" i="61"/>
  <c r="Q122" i="61"/>
  <c r="F110" i="61"/>
  <c r="T115" i="61"/>
  <c r="Q106" i="61"/>
  <c r="I102" i="61"/>
  <c r="Q98" i="61"/>
  <c r="O108" i="61"/>
  <c r="C106" i="61"/>
  <c r="Q103" i="61"/>
  <c r="E101" i="61"/>
  <c r="S98" i="61"/>
  <c r="P98" i="61"/>
  <c r="N103" i="61"/>
  <c r="L108" i="61"/>
  <c r="S111" i="61"/>
  <c r="E114" i="61"/>
  <c r="Q116" i="61"/>
  <c r="C119" i="61"/>
  <c r="O121" i="61"/>
  <c r="B102" i="61"/>
  <c r="Z106" i="61"/>
  <c r="Z110" i="61"/>
  <c r="L113" i="61"/>
  <c r="X115" i="61"/>
  <c r="U108" i="61"/>
  <c r="I106" i="61"/>
  <c r="W103" i="61"/>
  <c r="K101" i="61"/>
  <c r="Y98" i="61"/>
  <c r="M109" i="61"/>
  <c r="O104" i="61"/>
  <c r="C102" i="61"/>
  <c r="Q99" i="61"/>
  <c r="R101" i="61"/>
  <c r="P106" i="61"/>
  <c r="U110" i="61"/>
  <c r="G113" i="61"/>
  <c r="S115" i="61"/>
  <c r="E118" i="61"/>
  <c r="Q120" i="61"/>
  <c r="F100" i="61"/>
  <c r="D105" i="61"/>
  <c r="B110" i="61"/>
  <c r="N112" i="61"/>
  <c r="Z114" i="61"/>
  <c r="U106" i="61"/>
  <c r="S108" i="61"/>
  <c r="K121" i="61"/>
  <c r="Q108" i="61"/>
  <c r="P119" i="61"/>
  <c r="O114" i="61"/>
  <c r="X101" i="61"/>
  <c r="K120" i="61"/>
  <c r="U115" i="61"/>
  <c r="P105" i="61"/>
  <c r="F121" i="61"/>
  <c r="W116" i="61"/>
  <c r="H109" i="61"/>
  <c r="B122" i="61"/>
  <c r="R117" i="61"/>
  <c r="N111" i="61"/>
  <c r="T122" i="61"/>
  <c r="Q121" i="61"/>
  <c r="O120" i="61"/>
  <c r="M119" i="61"/>
  <c r="J118" i="61"/>
  <c r="H117" i="61"/>
  <c r="Z115" i="61"/>
  <c r="H114" i="61"/>
  <c r="S112" i="61"/>
  <c r="P110" i="61"/>
  <c r="F106" i="61"/>
  <c r="H101" i="61"/>
  <c r="R122" i="61"/>
  <c r="P121" i="61"/>
  <c r="N120" i="61"/>
  <c r="J119" i="61"/>
  <c r="H118" i="61"/>
  <c r="F117" i="61"/>
  <c r="V115" i="61"/>
  <c r="G114" i="61"/>
  <c r="P112" i="61"/>
  <c r="L110" i="61"/>
  <c r="X105" i="61"/>
  <c r="Z100" i="61"/>
  <c r="V122" i="61"/>
  <c r="T121" i="61"/>
  <c r="P120" i="61"/>
  <c r="N119" i="61"/>
  <c r="L118" i="61"/>
  <c r="I117" i="61"/>
  <c r="C116" i="61"/>
  <c r="L114" i="61"/>
  <c r="T112" i="61"/>
  <c r="T110" i="61"/>
  <c r="N106" i="61"/>
  <c r="P101" i="61"/>
  <c r="H122" i="61"/>
  <c r="M121" i="61"/>
  <c r="R120" i="61"/>
  <c r="V119" i="61"/>
  <c r="F118" i="61"/>
  <c r="J117" i="61"/>
  <c r="O116" i="61"/>
  <c r="I115" i="61"/>
  <c r="C114" i="61"/>
  <c r="W112" i="61"/>
  <c r="Q111" i="61"/>
  <c r="K110" i="61"/>
  <c r="H108" i="61"/>
  <c r="V105" i="61"/>
  <c r="J103" i="61"/>
  <c r="X100" i="61"/>
  <c r="L98" i="61"/>
  <c r="M111" i="61"/>
  <c r="G110" i="61"/>
  <c r="Z107" i="61"/>
  <c r="N105" i="61"/>
  <c r="B103" i="61"/>
  <c r="P100" i="61"/>
  <c r="D98" i="61"/>
  <c r="O105" i="61"/>
  <c r="M107" i="61"/>
  <c r="I101" i="61"/>
  <c r="H98" i="61"/>
  <c r="X106" i="61"/>
  <c r="Y118" i="61"/>
  <c r="X107" i="61"/>
  <c r="X113" i="61"/>
  <c r="G107" i="61"/>
  <c r="S101" i="61"/>
  <c r="Y108" i="61"/>
  <c r="M106" i="61"/>
  <c r="O101" i="61"/>
  <c r="C99" i="61"/>
  <c r="Q109" i="61"/>
  <c r="E107" i="61"/>
  <c r="S104" i="61"/>
  <c r="G102" i="61"/>
  <c r="U99" i="61"/>
  <c r="J101" i="61"/>
  <c r="Q110" i="61"/>
  <c r="C113" i="61"/>
  <c r="O115" i="61"/>
  <c r="M120" i="61"/>
  <c r="Y122" i="61"/>
  <c r="X99" i="61"/>
  <c r="V104" i="61"/>
  <c r="T109" i="61"/>
  <c r="J112" i="61"/>
  <c r="V114" i="61"/>
  <c r="Y104" i="61"/>
  <c r="W106" i="61"/>
  <c r="C100" i="61"/>
  <c r="D108" i="61"/>
  <c r="Q114" i="61"/>
  <c r="U120" i="61"/>
  <c r="R106" i="61"/>
  <c r="N114" i="61"/>
  <c r="W107" i="61"/>
  <c r="O103" i="61"/>
  <c r="G99" i="61"/>
  <c r="U109" i="61"/>
  <c r="S106" i="61"/>
  <c r="G104" i="61"/>
  <c r="U101" i="61"/>
  <c r="I99" i="61"/>
  <c r="H102" i="61"/>
  <c r="F107" i="61"/>
  <c r="C111" i="61"/>
  <c r="O113" i="61"/>
  <c r="M118" i="61"/>
  <c r="Y120" i="61"/>
  <c r="V100" i="61"/>
  <c r="T105" i="61"/>
  <c r="J110" i="61"/>
  <c r="V112" i="61"/>
  <c r="H115" i="61"/>
  <c r="K109" i="61"/>
  <c r="Y106" i="61"/>
  <c r="M104" i="61"/>
  <c r="O99" i="61"/>
  <c r="Q107" i="61"/>
  <c r="E105" i="61"/>
  <c r="S102" i="61"/>
  <c r="G100" i="61"/>
  <c r="L100" i="61"/>
  <c r="J105" i="61"/>
  <c r="E110" i="61"/>
  <c r="Q112" i="61"/>
  <c r="C115" i="61"/>
  <c r="O117" i="61"/>
  <c r="M122" i="61"/>
  <c r="Z98" i="61"/>
  <c r="X103" i="61"/>
  <c r="V108" i="61"/>
  <c r="X111" i="61"/>
  <c r="J114" i="61"/>
  <c r="W109" i="61"/>
  <c r="U98" i="61"/>
  <c r="M99" i="61"/>
  <c r="W115" i="61"/>
  <c r="B112" i="61"/>
  <c r="S120" i="61"/>
  <c r="D116" i="61"/>
  <c r="V106" i="61"/>
  <c r="N121" i="61"/>
  <c r="D117" i="61"/>
  <c r="H110" i="61"/>
  <c r="J122" i="61"/>
  <c r="Y117" i="61"/>
  <c r="C112" i="61"/>
  <c r="T118" i="61"/>
  <c r="I113" i="61"/>
  <c r="F98" i="61"/>
  <c r="Y121" i="61"/>
  <c r="V120" i="61"/>
  <c r="T119" i="61"/>
  <c r="R118" i="61"/>
  <c r="N117" i="61"/>
  <c r="K116" i="61"/>
  <c r="T114" i="61"/>
  <c r="B113" i="61"/>
  <c r="F111" i="61"/>
  <c r="N102" i="61"/>
  <c r="Z122" i="61"/>
  <c r="V121" i="61"/>
  <c r="T120" i="61"/>
  <c r="R119" i="61"/>
  <c r="O118" i="61"/>
  <c r="M117" i="61"/>
  <c r="H116" i="61"/>
  <c r="P114" i="61"/>
  <c r="B111" i="61"/>
  <c r="D107" i="61"/>
  <c r="F102" i="61"/>
  <c r="Z121" i="61"/>
  <c r="X120" i="61"/>
  <c r="U119" i="61"/>
  <c r="S118" i="61"/>
  <c r="Q117" i="61"/>
  <c r="L116" i="61"/>
  <c r="W114" i="61"/>
  <c r="F113" i="61"/>
  <c r="J111" i="61"/>
  <c r="T107" i="61"/>
  <c r="V102" i="61"/>
  <c r="N122" i="61"/>
  <c r="R121" i="61"/>
  <c r="W120" i="61"/>
  <c r="B120" i="61"/>
  <c r="F119" i="61"/>
  <c r="K118" i="61"/>
  <c r="P117" i="61"/>
  <c r="T116" i="61"/>
  <c r="Q115" i="61"/>
  <c r="K114" i="61"/>
  <c r="E113" i="61"/>
  <c r="Y111" i="61"/>
  <c r="S110" i="61"/>
  <c r="X108" i="61"/>
  <c r="L106" i="61"/>
  <c r="Z103" i="61"/>
  <c r="N101" i="61"/>
  <c r="B99" i="61"/>
  <c r="U111" i="61"/>
  <c r="O110" i="61"/>
  <c r="P108" i="61"/>
  <c r="D106" i="61"/>
  <c r="R103" i="61"/>
  <c r="F101" i="61"/>
  <c r="T98" i="61"/>
  <c r="G109" i="61"/>
  <c r="M102" i="61"/>
  <c r="Y109" i="61"/>
  <c r="K104" i="61"/>
  <c r="W98" i="61"/>
  <c r="F103" i="61"/>
  <c r="O111" i="61"/>
  <c r="M116" i="61"/>
  <c r="T101" i="61"/>
  <c r="V110" i="61"/>
  <c r="J116" i="61"/>
  <c r="U104" i="61"/>
  <c r="E109" i="61"/>
  <c r="S107" i="61"/>
  <c r="G105" i="61"/>
  <c r="U102" i="61"/>
  <c r="I100" i="61"/>
  <c r="K108" i="61"/>
  <c r="Y105" i="61"/>
  <c r="M103" i="61"/>
  <c r="O98" i="61"/>
  <c r="V103" i="61"/>
  <c r="T108" i="61"/>
  <c r="W111" i="61"/>
  <c r="I114" i="61"/>
  <c r="U116" i="61"/>
  <c r="G119" i="61"/>
  <c r="S121" i="61"/>
  <c r="J102" i="61"/>
  <c r="H107" i="61"/>
  <c r="D111" i="61"/>
  <c r="P113" i="61"/>
  <c r="B116" i="61"/>
  <c r="K99" i="61"/>
  <c r="U103" i="61"/>
  <c r="N99" i="61"/>
  <c r="E112" i="61"/>
  <c r="I118" i="61"/>
  <c r="B98" i="61"/>
  <c r="L111" i="61"/>
  <c r="S109" i="61"/>
  <c r="K105" i="61"/>
  <c r="C101" i="61"/>
  <c r="Y107" i="61"/>
  <c r="M105" i="61"/>
  <c r="O100" i="61"/>
  <c r="C98" i="61"/>
  <c r="V99" i="61"/>
  <c r="T104" i="61"/>
  <c r="R109" i="61"/>
  <c r="I112" i="61"/>
  <c r="U114" i="61"/>
  <c r="G117" i="61"/>
  <c r="S119" i="61"/>
  <c r="E122" i="61"/>
  <c r="J98" i="61"/>
  <c r="H103" i="61"/>
  <c r="F108" i="61"/>
  <c r="P111" i="61"/>
  <c r="B114" i="61"/>
  <c r="N116" i="61"/>
  <c r="E108" i="61"/>
  <c r="S105" i="61"/>
  <c r="G103" i="61"/>
  <c r="U100" i="61"/>
  <c r="I98" i="61"/>
  <c r="W108" i="61"/>
  <c r="K106" i="61"/>
  <c r="Y103" i="61"/>
  <c r="M101" i="61"/>
  <c r="X102" i="61"/>
  <c r="V107" i="61"/>
  <c r="K111" i="61"/>
  <c r="W113" i="61"/>
  <c r="I116" i="61"/>
  <c r="U118" i="61"/>
  <c r="G121" i="61"/>
  <c r="L101" i="61"/>
  <c r="J106" i="61"/>
  <c r="R110" i="61"/>
  <c r="D113" i="61"/>
  <c r="P115" i="61"/>
  <c r="S103" i="61"/>
  <c r="G106" i="61"/>
  <c r="Z101" i="61"/>
  <c r="H99" i="61"/>
  <c r="E106" i="61"/>
  <c r="W122" i="61"/>
  <c r="N118" i="61"/>
  <c r="X112" i="61"/>
  <c r="I119" i="61"/>
  <c r="D114" i="61"/>
  <c r="R100" i="61"/>
  <c r="D120" i="61"/>
  <c r="J115" i="61"/>
  <c r="J104" i="61"/>
  <c r="Z120" i="61"/>
  <c r="P116" i="61"/>
  <c r="B108" i="61"/>
  <c r="L122" i="61"/>
  <c r="J121" i="61"/>
  <c r="H120" i="61"/>
  <c r="E119" i="61"/>
  <c r="C118" i="61"/>
  <c r="N115" i="61"/>
  <c r="Y113" i="61"/>
  <c r="H112" i="61"/>
  <c r="X109" i="61"/>
  <c r="Z104" i="61"/>
  <c r="B100" i="61"/>
  <c r="K122" i="61"/>
  <c r="I121" i="61"/>
  <c r="F120" i="61"/>
  <c r="D119" i="61"/>
  <c r="B118" i="61"/>
  <c r="X116" i="61"/>
  <c r="M115" i="61"/>
  <c r="V113" i="61"/>
  <c r="D112" i="61"/>
  <c r="P109" i="61"/>
  <c r="R104" i="61"/>
  <c r="T99" i="61"/>
  <c r="O122" i="61"/>
  <c r="L121" i="61"/>
  <c r="J120" i="61"/>
  <c r="H119" i="61"/>
  <c r="D118" i="61"/>
  <c r="B117" i="61"/>
  <c r="R115" i="61"/>
  <c r="Z113" i="61"/>
  <c r="K112" i="61"/>
  <c r="D110" i="61"/>
  <c r="H105" i="61"/>
  <c r="J100" i="61"/>
  <c r="X122" i="61"/>
  <c r="C122" i="61"/>
  <c r="H121" i="61"/>
  <c r="L120" i="61"/>
  <c r="Q119" i="61"/>
  <c r="V118" i="61"/>
  <c r="Z117" i="61"/>
  <c r="E117" i="61"/>
  <c r="G116" i="61"/>
  <c r="U113" i="61"/>
  <c r="O112" i="61"/>
  <c r="I111" i="61"/>
  <c r="C110" i="61"/>
  <c r="R107" i="61"/>
  <c r="F105" i="61"/>
  <c r="T102" i="61"/>
  <c r="H100" i="61"/>
  <c r="E111" i="61"/>
  <c r="V109" i="61"/>
  <c r="J107" i="61"/>
  <c r="X104" i="61"/>
  <c r="L102" i="61"/>
  <c r="Z99" i="61"/>
  <c r="H106" i="61"/>
  <c r="L107" i="61"/>
  <c r="K107" i="61"/>
  <c r="G101" i="61"/>
  <c r="C108" i="61"/>
  <c r="O102" i="61"/>
  <c r="R105" i="61"/>
  <c r="U112" i="61"/>
  <c r="S117" i="61"/>
  <c r="F104" i="61"/>
  <c r="R112" i="61"/>
  <c r="M108" i="61"/>
  <c r="Y102" i="61"/>
  <c r="O109" i="61"/>
  <c r="C107" i="61"/>
  <c r="Q104" i="61"/>
  <c r="E102" i="61"/>
  <c r="S99" i="61"/>
  <c r="U107" i="61"/>
  <c r="I105" i="61"/>
  <c r="W102" i="61"/>
  <c r="K100" i="61"/>
  <c r="D100" i="61"/>
  <c r="B105" i="61"/>
  <c r="Z109" i="61"/>
  <c r="M112" i="61"/>
  <c r="Y114" i="61"/>
  <c r="K117" i="61"/>
  <c r="W119" i="61"/>
  <c r="I122" i="61"/>
  <c r="R98" i="61"/>
  <c r="P103" i="61"/>
  <c r="N108" i="61"/>
  <c r="T111" i="61"/>
  <c r="F114" i="61"/>
  <c r="I109" i="61"/>
  <c r="Y101" i="61"/>
  <c r="L104" i="61"/>
  <c r="K113" i="61"/>
  <c r="O119" i="61"/>
  <c r="Z102" i="61"/>
  <c r="H113" i="61"/>
  <c r="C109" i="61"/>
  <c r="E104" i="61"/>
  <c r="M100" i="61"/>
  <c r="I107" i="61"/>
  <c r="W104" i="61"/>
  <c r="K102" i="61"/>
  <c r="Y99" i="61"/>
  <c r="B101" i="61"/>
  <c r="Z105" i="61"/>
  <c r="M110" i="61"/>
  <c r="Y112" i="61"/>
  <c r="K115" i="61"/>
  <c r="W117" i="61"/>
  <c r="I120" i="61"/>
  <c r="U122" i="61"/>
  <c r="P99" i="61"/>
  <c r="N104" i="61"/>
  <c r="L109" i="61"/>
  <c r="F112" i="61"/>
  <c r="R114" i="61"/>
  <c r="O107" i="61"/>
  <c r="C105" i="61"/>
  <c r="Q102" i="61"/>
  <c r="E100" i="61"/>
  <c r="G108" i="61"/>
  <c r="U105" i="61"/>
  <c r="I103" i="61"/>
  <c r="W100" i="61"/>
  <c r="K98" i="61"/>
  <c r="F99" i="61"/>
  <c r="D104" i="61"/>
  <c r="B109" i="61"/>
  <c r="M114" i="61"/>
  <c r="Y116" i="61"/>
  <c r="K119" i="61"/>
  <c r="W121" i="61"/>
  <c r="R102" i="61"/>
  <c r="P107" i="61"/>
  <c r="H111" i="61"/>
  <c r="T113" i="61"/>
  <c r="F116" i="61"/>
  <c r="Q100" i="61"/>
  <c r="E103" i="61"/>
  <c r="J109" i="61"/>
  <c r="L105" i="61"/>
  <c r="C103" i="61"/>
  <c r="U121" i="61"/>
  <c r="L117" i="61"/>
  <c r="X110" i="61"/>
  <c r="P122" i="61"/>
  <c r="G118" i="61"/>
  <c r="L112" i="61"/>
  <c r="B119" i="61"/>
  <c r="R113" i="61"/>
  <c r="L99" i="61"/>
  <c r="X119" i="61"/>
  <c r="X114" i="61"/>
  <c r="D103" i="61"/>
  <c r="F122" i="61"/>
  <c r="D121" i="61"/>
  <c r="Z119" i="61"/>
  <c r="X118" i="61"/>
  <c r="V117" i="61"/>
  <c r="S116" i="61"/>
  <c r="E115" i="61"/>
  <c r="N113" i="61"/>
  <c r="V111" i="61"/>
  <c r="R108" i="61"/>
  <c r="T103" i="61"/>
  <c r="V98" i="61"/>
  <c r="D122" i="61"/>
  <c r="Y119" i="61"/>
  <c r="W118" i="61"/>
  <c r="T117" i="61"/>
  <c r="R116" i="61"/>
  <c r="B115" i="61"/>
  <c r="J113" i="61"/>
  <c r="R111" i="61"/>
  <c r="J108" i="61"/>
  <c r="L103" i="61"/>
  <c r="N98" i="61"/>
  <c r="G122" i="61"/>
  <c r="E121" i="61"/>
  <c r="C120" i="61"/>
  <c r="Z118" i="61"/>
  <c r="X117" i="61"/>
  <c r="V116" i="61"/>
  <c r="F115" i="61"/>
  <c r="Q113" i="61"/>
  <c r="Z111" i="61"/>
  <c r="Z108" i="61"/>
  <c r="B104" i="61"/>
  <c r="D99" i="61"/>
  <c r="S122" i="61"/>
  <c r="X121" i="61"/>
  <c r="B121" i="61"/>
  <c r="G120" i="61"/>
  <c r="L119" i="61"/>
  <c r="P118" i="61"/>
  <c r="U117" i="61"/>
  <c r="Z116" i="61"/>
  <c r="Y115" i="61"/>
  <c r="S114" i="61"/>
  <c r="M113" i="61"/>
  <c r="G112" i="61"/>
  <c r="N109" i="61"/>
  <c r="B107" i="61"/>
  <c r="P104" i="61"/>
  <c r="D102" i="61"/>
  <c r="R99" i="61"/>
  <c r="W110" i="61"/>
  <c r="F109" i="61"/>
  <c r="T106" i="61"/>
  <c r="H104" i="61"/>
  <c r="V101" i="61"/>
  <c r="J99" i="61"/>
  <c r="AR85" i="27"/>
  <c r="AR84" i="27"/>
  <c r="GD126" i="61" l="1"/>
  <c r="K5" i="64" s="1"/>
  <c r="L99" i="27"/>
  <c r="N99" i="27" s="1"/>
  <c r="AQ99" i="27" s="1"/>
  <c r="Z89" i="27"/>
  <c r="AB89" i="27" s="1"/>
  <c r="Z90" i="27"/>
  <c r="AB90" i="27" s="1"/>
  <c r="L100" i="27"/>
  <c r="N100" i="27" s="1"/>
  <c r="AQ100" i="27" s="1"/>
  <c r="ET126" i="61"/>
  <c r="EY126" i="61"/>
  <c r="W123" i="61"/>
  <c r="W124" i="61" s="1"/>
  <c r="M123" i="61"/>
  <c r="M124" i="61" s="1"/>
  <c r="DP81" i="61"/>
  <c r="DZ81" i="61"/>
  <c r="R123" i="61"/>
  <c r="R124" i="61" s="1"/>
  <c r="DR81" i="61"/>
  <c r="EI81" i="61"/>
  <c r="EJ81" i="61"/>
  <c r="DO81" i="61"/>
  <c r="EB81" i="61"/>
  <c r="DV81" i="61"/>
  <c r="DN81" i="61"/>
  <c r="EC81" i="61"/>
  <c r="B123" i="61"/>
  <c r="B124" i="61" s="1"/>
  <c r="P123" i="61"/>
  <c r="P124" i="61" s="1"/>
  <c r="EL81" i="61"/>
  <c r="DT81" i="61"/>
  <c r="DO80" i="61"/>
  <c r="DQ81" i="61"/>
  <c r="EA81" i="61"/>
  <c r="EH81" i="61"/>
  <c r="EG81" i="61"/>
  <c r="DW81" i="61"/>
  <c r="DY81" i="61"/>
  <c r="ED81" i="61"/>
  <c r="EE81" i="61"/>
  <c r="DU81" i="61"/>
  <c r="EF81" i="61"/>
  <c r="DS81" i="61"/>
  <c r="EK81" i="61"/>
  <c r="Z123" i="61"/>
  <c r="Z124" i="61" s="1"/>
  <c r="D123" i="61"/>
  <c r="D124" i="61" s="1"/>
  <c r="AD98" i="61" a="1"/>
  <c r="AU122" i="61" s="1"/>
  <c r="F123" i="61"/>
  <c r="F124" i="61" s="1"/>
  <c r="I123" i="61"/>
  <c r="I124" i="61" s="1"/>
  <c r="Y123" i="61"/>
  <c r="Y124" i="61" s="1"/>
  <c r="U123" i="61"/>
  <c r="U124" i="61" s="1"/>
  <c r="T123" i="61"/>
  <c r="T124" i="61" s="1"/>
  <c r="J123" i="61"/>
  <c r="J124" i="61" s="1"/>
  <c r="X123" i="61"/>
  <c r="X124" i="61" s="1"/>
  <c r="O123" i="61"/>
  <c r="O124" i="61" s="1"/>
  <c r="C123" i="61"/>
  <c r="C124" i="61" s="1"/>
  <c r="S123" i="61"/>
  <c r="S124" i="61" s="1"/>
  <c r="N123" i="61"/>
  <c r="N124" i="61" s="1"/>
  <c r="L123" i="61"/>
  <c r="L124" i="61" s="1"/>
  <c r="E123" i="61"/>
  <c r="E124" i="61" s="1"/>
  <c r="Q123" i="61"/>
  <c r="Q124" i="61" s="1"/>
  <c r="G123" i="61"/>
  <c r="G124" i="61" s="1"/>
  <c r="V123" i="61"/>
  <c r="V124" i="61" s="1"/>
  <c r="K123" i="61"/>
  <c r="K124" i="61" s="1"/>
  <c r="H123" i="61"/>
  <c r="H124" i="61" s="1"/>
  <c r="DX80" i="61"/>
  <c r="EI80" i="61"/>
  <c r="DT80" i="61"/>
  <c r="EH80" i="61"/>
  <c r="EC80" i="61"/>
  <c r="DV80" i="61"/>
  <c r="EK80" i="61"/>
  <c r="EE80" i="61"/>
  <c r="DS80" i="61"/>
  <c r="EB80" i="61"/>
  <c r="EG80" i="61"/>
  <c r="DN80" i="61"/>
  <c r="EJ80" i="61"/>
  <c r="EA80" i="61"/>
  <c r="DW80" i="61"/>
  <c r="DQ80" i="61"/>
  <c r="ED80" i="61"/>
  <c r="EF80" i="61"/>
  <c r="DU80" i="61"/>
  <c r="DZ80" i="61"/>
  <c r="EL80" i="61"/>
  <c r="DY80" i="61"/>
  <c r="DP80" i="61"/>
  <c r="DR80" i="61"/>
  <c r="AP49" i="50"/>
  <c r="L6" i="68" l="1" a="1"/>
  <c r="AR89" i="27"/>
  <c r="AR90" i="27"/>
  <c r="AG98" i="61"/>
  <c r="AF98" i="61"/>
  <c r="AR99" i="61"/>
  <c r="AE98" i="61"/>
  <c r="AF99" i="61"/>
  <c r="AI98" i="61"/>
  <c r="AU99" i="61"/>
  <c r="AL100" i="61"/>
  <c r="AU100" i="61"/>
  <c r="AZ98" i="61"/>
  <c r="AN99" i="61"/>
  <c r="AN98" i="61"/>
  <c r="AH98" i="61"/>
  <c r="AU98" i="61"/>
  <c r="AM99" i="61"/>
  <c r="AL98" i="61"/>
  <c r="AY98" i="61"/>
  <c r="AS98" i="61"/>
  <c r="AN100" i="61"/>
  <c r="AI99" i="61"/>
  <c r="AV98" i="61"/>
  <c r="AY99" i="61"/>
  <c r="AG99" i="61"/>
  <c r="AD98" i="61"/>
  <c r="AT98" i="61"/>
  <c r="AW98" i="61"/>
  <c r="AP100" i="61"/>
  <c r="AK98" i="61"/>
  <c r="AX98" i="61"/>
  <c r="AL99" i="61"/>
  <c r="AE99" i="61"/>
  <c r="BB98" i="61"/>
  <c r="AP99" i="61"/>
  <c r="AJ99" i="61"/>
  <c r="AM98" i="61"/>
  <c r="AQ98" i="61"/>
  <c r="AH99" i="61"/>
  <c r="AK99" i="61"/>
  <c r="AR98" i="61"/>
  <c r="BA98" i="61"/>
  <c r="AO99" i="61"/>
  <c r="AJ98" i="61"/>
  <c r="AO98" i="61"/>
  <c r="AS99" i="61"/>
  <c r="AG100" i="61"/>
  <c r="AP98" i="61"/>
  <c r="AD99" i="61"/>
  <c r="AY100" i="61"/>
  <c r="AF100" i="61"/>
  <c r="AV99" i="61"/>
  <c r="AQ99" i="61"/>
  <c r="AQ100" i="61"/>
  <c r="AI101" i="61"/>
  <c r="AM101" i="61"/>
  <c r="AS100" i="61"/>
  <c r="AK100" i="61"/>
  <c r="AY101" i="61"/>
  <c r="AZ101" i="61"/>
  <c r="AT101" i="61"/>
  <c r="AO102" i="61"/>
  <c r="AU105" i="61"/>
  <c r="AZ102" i="61"/>
  <c r="AF104" i="61"/>
  <c r="AE100" i="61"/>
  <c r="AX99" i="61"/>
  <c r="BA99" i="61"/>
  <c r="AF102" i="61"/>
  <c r="AK101" i="61"/>
  <c r="AP101" i="61"/>
  <c r="AD102" i="61"/>
  <c r="BB99" i="61"/>
  <c r="BA101" i="61"/>
  <c r="AK102" i="61"/>
  <c r="AJ100" i="61"/>
  <c r="AW100" i="61"/>
  <c r="AD100" i="61"/>
  <c r="AZ99" i="61"/>
  <c r="AE101" i="61"/>
  <c r="AT99" i="61"/>
  <c r="AF101" i="61"/>
  <c r="AV101" i="61"/>
  <c r="AL101" i="61"/>
  <c r="AP102" i="61"/>
  <c r="AG102" i="61"/>
  <c r="AZ100" i="61"/>
  <c r="AE102" i="61"/>
  <c r="AU101" i="61"/>
  <c r="AM102" i="61"/>
  <c r="AT100" i="61"/>
  <c r="AR100" i="61"/>
  <c r="AX100" i="61"/>
  <c r="AO100" i="61"/>
  <c r="AH100" i="61"/>
  <c r="BB100" i="61"/>
  <c r="AI100" i="61"/>
  <c r="AV100" i="61"/>
  <c r="AJ101" i="61"/>
  <c r="AO101" i="61"/>
  <c r="AS101" i="61"/>
  <c r="AM100" i="61"/>
  <c r="AH102" i="61"/>
  <c r="AL103" i="61"/>
  <c r="AH101" i="61"/>
  <c r="AW99" i="61"/>
  <c r="BA100" i="61"/>
  <c r="AA98" i="61" a="1"/>
  <c r="AA108" i="61" s="1"/>
  <c r="AB108" i="61" s="1"/>
  <c r="AN102" i="61"/>
  <c r="AS102" i="61"/>
  <c r="BB101" i="61"/>
  <c r="AQ103" i="61"/>
  <c r="AN103" i="61"/>
  <c r="AT102" i="61"/>
  <c r="AW101" i="61"/>
  <c r="AD101" i="61"/>
  <c r="AQ101" i="61"/>
  <c r="AN101" i="61"/>
  <c r="AG101" i="61"/>
  <c r="AX101" i="61"/>
  <c r="BB102" i="61"/>
  <c r="AL106" i="61"/>
  <c r="AY103" i="61"/>
  <c r="BA103" i="61"/>
  <c r="AH103" i="61"/>
  <c r="AS104" i="61"/>
  <c r="AD105" i="61"/>
  <c r="AD103" i="61"/>
  <c r="AO104" i="61"/>
  <c r="AM103" i="61"/>
  <c r="AH104" i="61"/>
  <c r="AR103" i="61"/>
  <c r="AI102" i="61"/>
  <c r="AD107" i="61"/>
  <c r="AP104" i="61"/>
  <c r="AG106" i="61"/>
  <c r="AX102" i="61"/>
  <c r="AP103" i="61"/>
  <c r="AY107" i="61"/>
  <c r="BB105" i="61"/>
  <c r="AH107" i="61"/>
  <c r="AQ105" i="61"/>
  <c r="AE106" i="61"/>
  <c r="BB106" i="61"/>
  <c r="AS107" i="61"/>
  <c r="AP106" i="61"/>
  <c r="AT106" i="61"/>
  <c r="AD112" i="61"/>
  <c r="AQ120" i="61"/>
  <c r="BA115" i="61"/>
  <c r="AN118" i="61"/>
  <c r="BA110" i="61"/>
  <c r="BB120" i="61"/>
  <c r="AX121" i="61"/>
  <c r="AS112" i="61"/>
  <c r="AR122" i="61"/>
  <c r="AI112" i="61"/>
  <c r="AE119" i="61"/>
  <c r="AF114" i="61"/>
  <c r="AF118" i="61"/>
  <c r="AW113" i="61"/>
  <c r="AQ108" i="61"/>
  <c r="AT113" i="61"/>
  <c r="AW118" i="61"/>
  <c r="AE109" i="61"/>
  <c r="AH114" i="61"/>
  <c r="AK119" i="61"/>
  <c r="AG112" i="61"/>
  <c r="AZ110" i="61"/>
  <c r="AH105" i="61"/>
  <c r="AX110" i="61"/>
  <c r="AI106" i="61"/>
  <c r="AO113" i="61"/>
  <c r="AG113" i="61"/>
  <c r="AE116" i="61"/>
  <c r="AU121" i="61"/>
  <c r="AY106" i="61"/>
  <c r="BA105" i="61"/>
  <c r="AU115" i="61"/>
  <c r="AU116" i="61"/>
  <c r="AF112" i="61"/>
  <c r="AY115" i="61"/>
  <c r="AJ118" i="61"/>
  <c r="AL117" i="61"/>
  <c r="BB122" i="61"/>
  <c r="AS105" i="61"/>
  <c r="AK105" i="61"/>
  <c r="BB108" i="61"/>
  <c r="BB112" i="61"/>
  <c r="AT108" i="61"/>
  <c r="AU104" i="61"/>
  <c r="AJ107" i="61"/>
  <c r="AM112" i="61"/>
  <c r="AP117" i="61"/>
  <c r="AE120" i="61"/>
  <c r="AI105" i="61"/>
  <c r="AW107" i="61"/>
  <c r="AZ112" i="61"/>
  <c r="AD118" i="61"/>
  <c r="AK108" i="61"/>
  <c r="AN113" i="61"/>
  <c r="AQ118" i="61"/>
  <c r="AF121" i="61"/>
  <c r="AZ106" i="61"/>
  <c r="AS109" i="61"/>
  <c r="AY119" i="61"/>
  <c r="AK109" i="61"/>
  <c r="AY104" i="61"/>
  <c r="BB109" i="61"/>
  <c r="AF115" i="61"/>
  <c r="AT117" i="61"/>
  <c r="AW122" i="61"/>
  <c r="AM105" i="61"/>
  <c r="AP110" i="61"/>
  <c r="AE113" i="61"/>
  <c r="AS115" i="61"/>
  <c r="AV120" i="61"/>
  <c r="AO108" i="61"/>
  <c r="AD111" i="61"/>
  <c r="AR113" i="61"/>
  <c r="AU118" i="61"/>
  <c r="AJ121" i="61"/>
  <c r="AH115" i="61"/>
  <c r="AK120" i="61"/>
  <c r="AY122" i="61"/>
  <c r="AT104" i="61"/>
  <c r="AP116" i="61"/>
  <c r="AG105" i="61"/>
  <c r="AM115" i="61"/>
  <c r="AG109" i="61"/>
  <c r="AX104" i="61"/>
  <c r="AE115" i="61"/>
  <c r="AV103" i="61"/>
  <c r="AK106" i="61"/>
  <c r="BB113" i="61"/>
  <c r="AO112" i="61"/>
  <c r="AG121" i="61"/>
  <c r="AX120" i="61"/>
  <c r="AV107" i="61"/>
  <c r="BB117" i="61"/>
  <c r="AG103" i="61"/>
  <c r="AM113" i="61"/>
  <c r="AW108" i="61"/>
  <c r="AX108" i="61"/>
  <c r="AI107" i="61"/>
  <c r="AM108" i="61"/>
  <c r="AS118" i="61"/>
  <c r="AW103" i="61"/>
  <c r="AD114" i="61"/>
  <c r="AN109" i="61"/>
  <c r="AW109" i="61"/>
  <c r="AD109" i="61"/>
  <c r="AJ119" i="61"/>
  <c r="AN104" i="61"/>
  <c r="AT114" i="61"/>
  <c r="AE110" i="61"/>
  <c r="AD104" i="61"/>
  <c r="AL112" i="61"/>
  <c r="AT109" i="61"/>
  <c r="AZ119" i="61"/>
  <c r="AE105" i="61"/>
  <c r="AK115" i="61"/>
  <c r="AU110" i="61"/>
  <c r="AI115" i="61"/>
  <c r="AU103" i="61"/>
  <c r="AR114" i="61"/>
  <c r="AQ111" i="61"/>
  <c r="AW121" i="61"/>
  <c r="AQ115" i="61"/>
  <c r="AI111" i="61"/>
  <c r="AO121" i="61"/>
  <c r="AW102" i="61"/>
  <c r="AL105" i="61"/>
  <c r="AZ107" i="61"/>
  <c r="AO110" i="61"/>
  <c r="AD113" i="61"/>
  <c r="AR115" i="61"/>
  <c r="AG118" i="61"/>
  <c r="AU120" i="61"/>
  <c r="AK103" i="61"/>
  <c r="AY105" i="61"/>
  <c r="AN108" i="61"/>
  <c r="BB110" i="61"/>
  <c r="AQ113" i="61"/>
  <c r="AF116" i="61"/>
  <c r="AT118" i="61"/>
  <c r="AI121" i="61"/>
  <c r="AX103" i="61"/>
  <c r="AM106" i="61"/>
  <c r="BA108" i="61"/>
  <c r="AP111" i="61"/>
  <c r="AE114" i="61"/>
  <c r="AS116" i="61"/>
  <c r="AH119" i="61"/>
  <c r="AV121" i="61"/>
  <c r="BB104" i="61"/>
  <c r="AG117" i="61"/>
  <c r="AH112" i="61"/>
  <c r="AN122" i="61"/>
  <c r="AH116" i="61"/>
  <c r="AY111" i="61"/>
  <c r="AF122" i="61"/>
  <c r="BA102" i="61"/>
  <c r="AP105" i="61"/>
  <c r="AE108" i="61"/>
  <c r="AS110" i="61"/>
  <c r="AH113" i="61"/>
  <c r="AV115" i="61"/>
  <c r="AK118" i="61"/>
  <c r="AY120" i="61"/>
  <c r="AO103" i="61"/>
  <c r="AD106" i="61"/>
  <c r="AR108" i="61"/>
  <c r="AG111" i="61"/>
  <c r="AU113" i="61"/>
  <c r="AJ116" i="61"/>
  <c r="AX118" i="61"/>
  <c r="AM121" i="61"/>
  <c r="BB103" i="61"/>
  <c r="AQ106" i="61"/>
  <c r="AF109" i="61"/>
  <c r="AT111" i="61"/>
  <c r="AI114" i="61"/>
  <c r="AW116" i="61"/>
  <c r="AL119" i="61"/>
  <c r="AZ121" i="61"/>
  <c r="AX115" i="61"/>
  <c r="AM118" i="61"/>
  <c r="BA120" i="61"/>
  <c r="AE103" i="61"/>
  <c r="AK113" i="61"/>
  <c r="AV102" i="61"/>
  <c r="AZ122" i="61"/>
  <c r="AU107" i="61"/>
  <c r="BA117" i="61"/>
  <c r="AU111" i="61"/>
  <c r="BA121" i="61"/>
  <c r="AM107" i="61"/>
  <c r="AS117" i="61"/>
  <c r="AM104" i="61"/>
  <c r="BA106" i="61"/>
  <c r="AP109" i="61"/>
  <c r="AE112" i="61"/>
  <c r="AS114" i="61"/>
  <c r="AH117" i="61"/>
  <c r="AV119" i="61"/>
  <c r="AK122" i="61"/>
  <c r="AL102" i="61"/>
  <c r="AZ104" i="61"/>
  <c r="AO107" i="61"/>
  <c r="AD110" i="61"/>
  <c r="AR112" i="61"/>
  <c r="AG115" i="61"/>
  <c r="AU117" i="61"/>
  <c r="AJ120" i="61"/>
  <c r="AX122" i="61"/>
  <c r="AY102" i="61"/>
  <c r="AN105" i="61"/>
  <c r="BB107" i="61"/>
  <c r="AQ110" i="61"/>
  <c r="AF113" i="61"/>
  <c r="AT115" i="61"/>
  <c r="AI118" i="61"/>
  <c r="AW120" i="61"/>
  <c r="AZ114" i="61"/>
  <c r="AK110" i="61"/>
  <c r="AL111" i="61"/>
  <c r="AO117" i="61"/>
  <c r="AH121" i="61"/>
  <c r="AR116" i="61"/>
  <c r="BB111" i="61"/>
  <c r="AD120" i="61"/>
  <c r="AR111" i="61"/>
  <c r="AI117" i="61"/>
  <c r="AO122" i="61"/>
  <c r="AY117" i="61"/>
  <c r="AJ113" i="61"/>
  <c r="AM111" i="61"/>
  <c r="AF111" i="61"/>
  <c r="AI116" i="61"/>
  <c r="AL121" i="61"/>
  <c r="AS111" i="61"/>
  <c r="AV116" i="61"/>
  <c r="AY121" i="61"/>
  <c r="AR109" i="61"/>
  <c r="AU114" i="61"/>
  <c r="AJ117" i="61"/>
  <c r="AX119" i="61"/>
  <c r="AM122" i="61"/>
  <c r="BA113" i="61"/>
  <c r="AU119" i="61"/>
  <c r="AV114" i="61"/>
  <c r="AP108" i="61"/>
  <c r="AV118" i="61"/>
  <c r="AN114" i="61"/>
  <c r="AU108" i="61"/>
  <c r="AJ111" i="61"/>
  <c r="AX113" i="61"/>
  <c r="AM116" i="61"/>
  <c r="BA118" i="61"/>
  <c r="AI109" i="61"/>
  <c r="AW111" i="61"/>
  <c r="AL114" i="61"/>
  <c r="AZ116" i="61"/>
  <c r="AO119" i="61"/>
  <c r="AD122" i="61"/>
  <c r="AV109" i="61"/>
  <c r="AK112" i="61"/>
  <c r="AY114" i="61"/>
  <c r="AN117" i="61"/>
  <c r="BB119" i="61"/>
  <c r="AQ122" i="61"/>
  <c r="AO116" i="61"/>
  <c r="AD119" i="61"/>
  <c r="AR121" i="61"/>
  <c r="AF110" i="61"/>
  <c r="AO109" i="61"/>
  <c r="AJ110" i="61"/>
  <c r="AP120" i="61"/>
  <c r="AJ114" i="61"/>
  <c r="BA109" i="61"/>
  <c r="AH120" i="61"/>
  <c r="AR107" i="61"/>
  <c r="AG110" i="61"/>
  <c r="AU112" i="61"/>
  <c r="AJ115" i="61"/>
  <c r="AX117" i="61"/>
  <c r="AM120" i="61"/>
  <c r="BA122" i="61"/>
  <c r="AF108" i="61"/>
  <c r="AT110" i="61"/>
  <c r="AI113" i="61"/>
  <c r="AW115" i="61"/>
  <c r="AL118" i="61"/>
  <c r="AZ120" i="61"/>
  <c r="AS108" i="61"/>
  <c r="AH111" i="61"/>
  <c r="AV113" i="61"/>
  <c r="AK116" i="61"/>
  <c r="AY118" i="61"/>
  <c r="AN121" i="61"/>
  <c r="AY112" i="61"/>
  <c r="AJ108" i="61"/>
  <c r="AP118" i="61"/>
  <c r="AT103" i="61"/>
  <c r="AZ113" i="61"/>
  <c r="AI103" i="61"/>
  <c r="AJ103" i="61"/>
  <c r="AP113" i="61"/>
  <c r="AZ108" i="61"/>
  <c r="AG119" i="61"/>
  <c r="AK104" i="61"/>
  <c r="AW105" i="61"/>
  <c r="AO105" i="61"/>
  <c r="AZ103" i="61"/>
  <c r="AG114" i="61"/>
  <c r="AQ109" i="61"/>
  <c r="AW119" i="61"/>
  <c r="BA104" i="61"/>
  <c r="AL104" i="61"/>
  <c r="AL108" i="61"/>
  <c r="AD108" i="61"/>
  <c r="AQ104" i="61"/>
  <c r="AW114" i="61"/>
  <c r="AH110" i="61"/>
  <c r="AN120" i="61"/>
  <c r="AR105" i="61"/>
  <c r="AH108" i="61"/>
  <c r="AS121" i="61"/>
  <c r="AN106" i="61"/>
  <c r="AT116" i="61"/>
  <c r="AN110" i="61"/>
  <c r="AT120" i="61"/>
  <c r="AF106" i="61"/>
  <c r="AL116" i="61"/>
  <c r="AE104" i="61"/>
  <c r="AS106" i="61"/>
  <c r="AH109" i="61"/>
  <c r="AV111" i="61"/>
  <c r="AK114" i="61"/>
  <c r="AY116" i="61"/>
  <c r="AN119" i="61"/>
  <c r="BB121" i="61"/>
  <c r="AR104" i="61"/>
  <c r="AG107" i="61"/>
  <c r="AU109" i="61"/>
  <c r="AJ112" i="61"/>
  <c r="AX114" i="61"/>
  <c r="AM117" i="61"/>
  <c r="BA119" i="61"/>
  <c r="AP122" i="61"/>
  <c r="AQ102" i="61"/>
  <c r="AF105" i="61"/>
  <c r="AT107" i="61"/>
  <c r="AI110" i="61"/>
  <c r="AW112" i="61"/>
  <c r="AL115" i="61"/>
  <c r="AZ117" i="61"/>
  <c r="AO120" i="61"/>
  <c r="AV110" i="61"/>
  <c r="AJ122" i="61"/>
  <c r="AE107" i="61"/>
  <c r="AK117" i="61"/>
  <c r="AE111" i="61"/>
  <c r="AK121" i="61"/>
  <c r="AV106" i="61"/>
  <c r="BB116" i="61"/>
  <c r="AI104" i="61"/>
  <c r="AW106" i="61"/>
  <c r="AL109" i="61"/>
  <c r="AZ111" i="61"/>
  <c r="AO114" i="61"/>
  <c r="AD117" i="61"/>
  <c r="AR119" i="61"/>
  <c r="AG122" i="61"/>
  <c r="AV104" i="61"/>
  <c r="AK107" i="61"/>
  <c r="AY109" i="61"/>
  <c r="AN112" i="61"/>
  <c r="BB114" i="61"/>
  <c r="AQ117" i="61"/>
  <c r="AF120" i="61"/>
  <c r="AT122" i="61"/>
  <c r="AU102" i="61"/>
  <c r="AJ105" i="61"/>
  <c r="AX107" i="61"/>
  <c r="AM110" i="61"/>
  <c r="BA112" i="61"/>
  <c r="AP115" i="61"/>
  <c r="AE118" i="61"/>
  <c r="AS120" i="61"/>
  <c r="AQ114" i="61"/>
  <c r="AF117" i="61"/>
  <c r="AT119" i="61"/>
  <c r="AI122" i="61"/>
  <c r="AJ106" i="61"/>
  <c r="AW117" i="61"/>
  <c r="AR102" i="61"/>
  <c r="AX112" i="61"/>
  <c r="AR106" i="61"/>
  <c r="AX116" i="61"/>
  <c r="AJ102" i="61"/>
  <c r="AP112" i="61"/>
  <c r="AV122" i="61"/>
  <c r="AF103" i="61"/>
  <c r="AT105" i="61"/>
  <c r="AI108" i="61"/>
  <c r="AW110" i="61"/>
  <c r="AL113" i="61"/>
  <c r="AZ115" i="61"/>
  <c r="AO118" i="61"/>
  <c r="AD121" i="61"/>
  <c r="AS103" i="61"/>
  <c r="AH106" i="61"/>
  <c r="AV108" i="61"/>
  <c r="AK111" i="61"/>
  <c r="AY113" i="61"/>
  <c r="AN116" i="61"/>
  <c r="BB118" i="61"/>
  <c r="AQ121" i="61"/>
  <c r="AR101" i="61"/>
  <c r="AG104" i="61"/>
  <c r="AU106" i="61"/>
  <c r="AJ109" i="61"/>
  <c r="AX111" i="61"/>
  <c r="AM114" i="61"/>
  <c r="BA116" i="61"/>
  <c r="AP119" i="61"/>
  <c r="AE122" i="61"/>
  <c r="AP121" i="61"/>
  <c r="AT112" i="61"/>
  <c r="AR110" i="61"/>
  <c r="AN115" i="61"/>
  <c r="AE121" i="61"/>
  <c r="AX105" i="61"/>
  <c r="AO111" i="61"/>
  <c r="AD116" i="61"/>
  <c r="AO106" i="61"/>
  <c r="AL122" i="61"/>
  <c r="AP107" i="61"/>
  <c r="AR118" i="61"/>
  <c r="AF107" i="61"/>
  <c r="AV112" i="61"/>
  <c r="AG108" i="61"/>
  <c r="AI119" i="61"/>
  <c r="AZ118" i="61"/>
  <c r="AX109" i="61"/>
  <c r="BA114" i="61"/>
  <c r="AS122" i="61"/>
  <c r="AL110" i="61"/>
  <c r="AO115" i="61"/>
  <c r="AR120" i="61"/>
  <c r="AV105" i="61"/>
  <c r="AY110" i="61"/>
  <c r="BB115" i="61"/>
  <c r="AQ107" i="61"/>
  <c r="AS113" i="61"/>
  <c r="AQ119" i="61"/>
  <c r="AN107" i="61"/>
  <c r="AQ112" i="61"/>
  <c r="AI120" i="61"/>
  <c r="BA107" i="61"/>
  <c r="AH118" i="61"/>
  <c r="AZ105" i="61"/>
  <c r="AG116" i="61"/>
  <c r="AV117" i="61"/>
  <c r="AL120" i="61"/>
  <c r="AM119" i="61"/>
  <c r="AY108" i="61"/>
  <c r="AN111" i="61"/>
  <c r="AQ116" i="61"/>
  <c r="AF119" i="61"/>
  <c r="AT121" i="61"/>
  <c r="AJ104" i="61"/>
  <c r="AX106" i="61"/>
  <c r="AM109" i="61"/>
  <c r="BA111" i="61"/>
  <c r="AP114" i="61"/>
  <c r="AE117" i="61"/>
  <c r="AS119" i="61"/>
  <c r="AH122" i="61"/>
  <c r="AW104" i="61"/>
  <c r="AL107" i="61"/>
  <c r="AZ109" i="61"/>
  <c r="AD115" i="61"/>
  <c r="AR117" i="61"/>
  <c r="AG120" i="61"/>
  <c r="L28" i="68" l="1"/>
  <c r="M28" i="68" s="1"/>
  <c r="N28" i="68" s="1"/>
  <c r="R52" i="68" s="1"/>
  <c r="S52" i="68" s="1"/>
  <c r="L16" i="68"/>
  <c r="M16" i="68" s="1"/>
  <c r="N16" i="68" s="1"/>
  <c r="R40" i="68" s="1"/>
  <c r="S40" i="68" s="1"/>
  <c r="L8" i="68"/>
  <c r="M8" i="68" s="1"/>
  <c r="N8" i="68" s="1"/>
  <c r="L6" i="68"/>
  <c r="M6" i="68" s="1"/>
  <c r="N6" i="68" s="1"/>
  <c r="L14" i="68"/>
  <c r="M14" i="68" s="1"/>
  <c r="N14" i="68" s="1"/>
  <c r="R38" i="68" s="1"/>
  <c r="S38" i="68" s="1"/>
  <c r="L12" i="68"/>
  <c r="M12" i="68" s="1"/>
  <c r="N12" i="68" s="1"/>
  <c r="R36" i="68" s="1"/>
  <c r="S36" i="68" s="1"/>
  <c r="L10" i="68"/>
  <c r="M10" i="68" s="1"/>
  <c r="N10" i="68" s="1"/>
  <c r="L7" i="68"/>
  <c r="M7" i="68" s="1"/>
  <c r="L20" i="68"/>
  <c r="M20" i="68" s="1"/>
  <c r="N20" i="68" s="1"/>
  <c r="R44" i="68" s="1"/>
  <c r="S44" i="68" s="1"/>
  <c r="L9" i="68"/>
  <c r="M9" i="68" s="1"/>
  <c r="N9" i="68" s="1"/>
  <c r="L25" i="68"/>
  <c r="M25" i="68" s="1"/>
  <c r="N25" i="68" s="1"/>
  <c r="R49" i="68" s="1"/>
  <c r="S49" i="68" s="1"/>
  <c r="L26" i="68"/>
  <c r="M26" i="68" s="1"/>
  <c r="N26" i="68" s="1"/>
  <c r="R50" i="68" s="1"/>
  <c r="S50" i="68" s="1"/>
  <c r="L19" i="68"/>
  <c r="M19" i="68" s="1"/>
  <c r="N19" i="68" s="1"/>
  <c r="R43" i="68" s="1"/>
  <c r="S43" i="68" s="1"/>
  <c r="L29" i="68"/>
  <c r="M29" i="68" s="1"/>
  <c r="N29" i="68" s="1"/>
  <c r="R53" i="68" s="1"/>
  <c r="S53" i="68" s="1"/>
  <c r="L30" i="68"/>
  <c r="M30" i="68" s="1"/>
  <c r="N30" i="68" s="1"/>
  <c r="L23" i="68"/>
  <c r="M23" i="68" s="1"/>
  <c r="N23" i="68" s="1"/>
  <c r="R47" i="68" s="1"/>
  <c r="S47" i="68" s="1"/>
  <c r="L13" i="68"/>
  <c r="M13" i="68" s="1"/>
  <c r="N13" i="68" s="1"/>
  <c r="R37" i="68" s="1"/>
  <c r="S37" i="68" s="1"/>
  <c r="L17" i="68"/>
  <c r="M17" i="68" s="1"/>
  <c r="N17" i="68" s="1"/>
  <c r="R41" i="68" s="1"/>
  <c r="S41" i="68" s="1"/>
  <c r="L18" i="68"/>
  <c r="M18" i="68" s="1"/>
  <c r="N18" i="68" s="1"/>
  <c r="R42" i="68" s="1"/>
  <c r="S42" i="68" s="1"/>
  <c r="L11" i="68"/>
  <c r="M11" i="68" s="1"/>
  <c r="N11" i="68" s="1"/>
  <c r="R35" i="68" s="1"/>
  <c r="S35" i="68" s="1"/>
  <c r="L27" i="68"/>
  <c r="M27" i="68" s="1"/>
  <c r="N27" i="68" s="1"/>
  <c r="R51" i="68" s="1"/>
  <c r="S51" i="68" s="1"/>
  <c r="L21" i="68"/>
  <c r="M21" i="68" s="1"/>
  <c r="N21" i="68" s="1"/>
  <c r="R45" i="68" s="1"/>
  <c r="S45" i="68" s="1"/>
  <c r="L22" i="68"/>
  <c r="M22" i="68" s="1"/>
  <c r="N22" i="68" s="1"/>
  <c r="R46" i="68" s="1"/>
  <c r="S46" i="68" s="1"/>
  <c r="L15" i="68"/>
  <c r="M15" i="68" s="1"/>
  <c r="N15" i="68" s="1"/>
  <c r="R39" i="68" s="1"/>
  <c r="S39" i="68" s="1"/>
  <c r="L24" i="68"/>
  <c r="M24" i="68" s="1"/>
  <c r="N24" i="68" s="1"/>
  <c r="R48" i="68" s="1"/>
  <c r="S48" i="68" s="1"/>
  <c r="AA102" i="61"/>
  <c r="AB102" i="61" s="1"/>
  <c r="I11" i="62" s="1"/>
  <c r="AA99" i="61"/>
  <c r="AB99" i="61" s="1"/>
  <c r="I8" i="62" s="1"/>
  <c r="AA119" i="61"/>
  <c r="AB119" i="61" s="1"/>
  <c r="I28" i="62" s="1"/>
  <c r="AA112" i="61"/>
  <c r="AB112" i="61" s="1"/>
  <c r="I21" i="62" s="1"/>
  <c r="L105" i="27"/>
  <c r="N105" i="27" s="1"/>
  <c r="AQ105" i="27" s="1"/>
  <c r="L104" i="27"/>
  <c r="N104" i="27" s="1"/>
  <c r="AQ104" i="27" s="1"/>
  <c r="Z99" i="27"/>
  <c r="AB99" i="27" s="1"/>
  <c r="AA113" i="61"/>
  <c r="AB113" i="61" s="1"/>
  <c r="I22" i="62" s="1"/>
  <c r="AA106" i="61"/>
  <c r="AB106" i="61" s="1"/>
  <c r="I15" i="62" s="1"/>
  <c r="AA120" i="61"/>
  <c r="AB120" i="61" s="1"/>
  <c r="AA101" i="61"/>
  <c r="AB101" i="61" s="1"/>
  <c r="I10" i="62" s="1"/>
  <c r="AA100" i="61"/>
  <c r="AB100" i="61" s="1"/>
  <c r="I9" i="62" s="1"/>
  <c r="AA115" i="61"/>
  <c r="AB115" i="61" s="1"/>
  <c r="I24" i="62" s="1"/>
  <c r="AA110" i="61"/>
  <c r="AB110" i="61" s="1"/>
  <c r="I19" i="62" s="1"/>
  <c r="AA117" i="61"/>
  <c r="AB117" i="61" s="1"/>
  <c r="I26" i="62" s="1"/>
  <c r="AA122" i="61"/>
  <c r="AB122" i="61" s="1"/>
  <c r="AA105" i="61"/>
  <c r="AB105" i="61" s="1"/>
  <c r="AA107" i="61"/>
  <c r="AB107" i="61" s="1"/>
  <c r="AA121" i="61"/>
  <c r="AB121" i="61" s="1"/>
  <c r="I30" i="62" s="1"/>
  <c r="AA118" i="61"/>
  <c r="AB118" i="61" s="1"/>
  <c r="I27" i="62" s="1"/>
  <c r="AA116" i="61"/>
  <c r="AB116" i="61" s="1"/>
  <c r="I25" i="62" s="1"/>
  <c r="AA103" i="61"/>
  <c r="AB103" i="61" s="1"/>
  <c r="I12" i="62" s="1"/>
  <c r="AA104" i="61"/>
  <c r="AB104" i="61" s="1"/>
  <c r="I13" i="62" s="1"/>
  <c r="AA109" i="61"/>
  <c r="AB109" i="61" s="1"/>
  <c r="I18" i="62" s="1"/>
  <c r="AA98" i="61"/>
  <c r="AB98" i="61" s="1"/>
  <c r="I7" i="62" s="1"/>
  <c r="AA111" i="61"/>
  <c r="AB111" i="61" s="1"/>
  <c r="I20" i="62" s="1"/>
  <c r="AA114" i="61"/>
  <c r="AB114" i="61" s="1"/>
  <c r="I23" i="62" s="1"/>
  <c r="I31" i="62"/>
  <c r="I14" i="62"/>
  <c r="I16" i="62"/>
  <c r="I29" i="62"/>
  <c r="I17" i="62"/>
  <c r="S80" i="68" l="1"/>
  <c r="L110" i="27"/>
  <c r="N110" i="27" s="1"/>
  <c r="AQ110" i="27" s="1"/>
  <c r="Z105" i="27"/>
  <c r="AB105" i="27" s="1"/>
  <c r="Z104" i="27" l="1"/>
  <c r="AB104" i="27" s="1"/>
  <c r="AR104" i="27" s="1"/>
  <c r="L109" i="27"/>
  <c r="N109" i="27" s="1"/>
  <c r="AQ109" i="27" s="1"/>
  <c r="AR105" i="27" l="1"/>
  <c r="Z109" i="27"/>
  <c r="AB109" i="27" s="1"/>
  <c r="L114" i="27"/>
  <c r="N114" i="27" s="1"/>
  <c r="AQ114" i="27" s="1"/>
  <c r="Z110" i="27" l="1"/>
  <c r="AB110" i="27" s="1"/>
  <c r="AR110" i="27" s="1"/>
  <c r="L115" i="27"/>
  <c r="N115" i="27" s="1"/>
  <c r="AQ115" i="27" s="1"/>
  <c r="AR109" i="27" l="1"/>
  <c r="L120" i="27"/>
  <c r="N120" i="27" s="1"/>
  <c r="AQ120" i="27" s="1"/>
  <c r="Z115" i="27"/>
  <c r="AB115" i="27" s="1"/>
  <c r="A2" i="65"/>
  <c r="L119" i="27" l="1"/>
  <c r="N119" i="27" s="1"/>
  <c r="AQ119" i="27" s="1"/>
  <c r="AP54" i="45"/>
  <c r="L69" i="45" l="1"/>
  <c r="N69" i="45" s="1"/>
  <c r="AQ69" i="45" s="1"/>
  <c r="AB15" i="45"/>
  <c r="AD15" i="45" s="1"/>
  <c r="AB4" i="45"/>
  <c r="AD4" i="45" s="1"/>
  <c r="AB16" i="45"/>
  <c r="AD16" i="45" s="1"/>
  <c r="AB5" i="45"/>
  <c r="AD5" i="45" s="1"/>
  <c r="X7" i="45" l="1"/>
  <c r="X6" i="45"/>
  <c r="Z70" i="45" l="1"/>
  <c r="AB70" i="45" s="1"/>
  <c r="Z69" i="45"/>
  <c r="AB69" i="45" s="1"/>
  <c r="AR70" i="45" l="1"/>
  <c r="AR69" i="45"/>
  <c r="L89" i="45" l="1"/>
  <c r="N89" i="45" s="1"/>
  <c r="AQ89" i="45" s="1"/>
  <c r="Z84" i="45"/>
  <c r="AB84" i="45" s="1"/>
  <c r="Z85" i="45" l="1"/>
  <c r="AB85" i="45" s="1"/>
  <c r="AR85" i="45" s="1"/>
  <c r="Z79" i="45"/>
  <c r="AB79" i="45" s="1"/>
  <c r="L84" i="45"/>
  <c r="N84" i="45" s="1"/>
  <c r="AQ84" i="45" s="1"/>
  <c r="L85" i="45"/>
  <c r="N85" i="45" s="1"/>
  <c r="AQ85" i="45" s="1"/>
  <c r="Z80" i="45"/>
  <c r="AB80" i="45" s="1"/>
  <c r="AR84" i="45" l="1"/>
  <c r="AR80" i="45"/>
  <c r="AR79" i="45"/>
  <c r="L100" i="45" l="1"/>
  <c r="N100" i="45" s="1"/>
  <c r="AQ100" i="45" s="1"/>
  <c r="L99" i="45"/>
  <c r="N99" i="45" s="1"/>
  <c r="AQ99" i="45" s="1"/>
  <c r="Z89" i="45"/>
  <c r="AB89" i="45" s="1"/>
  <c r="Z99" i="45" l="1"/>
  <c r="AB99" i="45" s="1"/>
  <c r="L104" i="45"/>
  <c r="N104" i="45" s="1"/>
  <c r="AQ104" i="45" s="1"/>
  <c r="L105" i="45" l="1"/>
  <c r="N105" i="45" s="1"/>
  <c r="AQ105" i="45" s="1"/>
  <c r="Z100" i="45"/>
  <c r="AB100" i="45" s="1"/>
  <c r="AR100" i="45" s="1"/>
  <c r="AR99" i="45" l="1"/>
  <c r="Z105" i="45"/>
  <c r="AB105" i="45" s="1"/>
  <c r="L110" i="45"/>
  <c r="N110" i="45" s="1"/>
  <c r="AQ110" i="45" s="1"/>
  <c r="L109" i="45" l="1"/>
  <c r="N109" i="45" s="1"/>
  <c r="AQ109" i="45" s="1"/>
  <c r="Z104" i="45"/>
  <c r="AB104" i="45" s="1"/>
  <c r="AR104" i="45" s="1"/>
  <c r="AR105" i="45" l="1"/>
  <c r="L114" i="45"/>
  <c r="N114" i="45" s="1"/>
  <c r="AQ114" i="45" s="1"/>
  <c r="Z109" i="45"/>
  <c r="AB109" i="45" s="1"/>
  <c r="L115" i="45" l="1"/>
  <c r="N115" i="45" s="1"/>
  <c r="AQ115" i="45" s="1"/>
  <c r="L119" i="45" l="1"/>
  <c r="N119" i="45" s="1"/>
  <c r="AQ119" i="45" s="1"/>
  <c r="Z114" i="45"/>
  <c r="AB114" i="45" s="1"/>
  <c r="L120" i="45"/>
  <c r="N120" i="45" s="1"/>
  <c r="AQ120" i="45" s="1"/>
  <c r="Z115" i="45"/>
  <c r="AB115" i="45" s="1"/>
  <c r="AR114" i="45" l="1"/>
  <c r="AR115" i="45"/>
  <c r="AP50" i="50" l="1"/>
  <c r="AP55" i="50" l="1"/>
  <c r="AP54" i="50"/>
  <c r="AB15" i="50" l="1"/>
  <c r="AD15" i="50" s="1"/>
  <c r="AB4" i="50"/>
  <c r="AD4" i="50" s="1"/>
  <c r="L70" i="50"/>
  <c r="N70" i="50" s="1"/>
  <c r="AQ70" i="50" s="1"/>
  <c r="AB5" i="50"/>
  <c r="AD5" i="50" s="1"/>
  <c r="AB16" i="50"/>
  <c r="AD16" i="50" s="1"/>
  <c r="L69" i="50"/>
  <c r="N69" i="50" s="1"/>
  <c r="AQ69" i="50" s="1"/>
  <c r="AP89" i="50" l="1"/>
  <c r="AP90" i="50"/>
  <c r="AP104" i="50"/>
  <c r="AP109" i="50"/>
  <c r="AP105" i="50"/>
  <c r="AP124" i="50"/>
  <c r="AP129" i="50"/>
  <c r="AP119" i="50"/>
  <c r="AP99" i="50"/>
  <c r="AP114" i="50"/>
  <c r="AP144" i="50"/>
  <c r="AP149" i="50"/>
  <c r="AP139" i="50"/>
  <c r="AP134" i="50"/>
  <c r="AP94" i="50"/>
  <c r="AP95" i="50"/>
  <c r="AP125" i="50"/>
  <c r="AP115" i="50"/>
  <c r="AP100" i="50"/>
  <c r="AP110" i="50"/>
  <c r="AP135" i="50"/>
  <c r="AP140" i="50"/>
  <c r="AP130" i="50"/>
  <c r="AP145" i="50"/>
  <c r="AP120" i="50"/>
  <c r="AP150" i="50"/>
  <c r="BG33" i="7" l="1"/>
  <c r="BG33" i="11"/>
  <c r="I56" i="8"/>
  <c r="BG33" i="13"/>
  <c r="I56" i="10"/>
  <c r="BG33" i="8"/>
  <c r="I56" i="6"/>
  <c r="I56" i="9"/>
  <c r="I56" i="11"/>
  <c r="BG33" i="10"/>
  <c r="BG33" i="9"/>
  <c r="I56" i="13"/>
  <c r="I56" i="7"/>
  <c r="I56" i="12"/>
  <c r="BG33" i="6"/>
  <c r="BG33" i="12"/>
  <c r="S32" i="6" l="1"/>
  <c r="BW91" i="61" s="1"/>
  <c r="S32" i="10"/>
  <c r="BS91" i="61" s="1"/>
  <c r="S32" i="8"/>
  <c r="BU91" i="61" s="1"/>
  <c r="S32" i="12"/>
  <c r="BQ91" i="61" s="1"/>
  <c r="S32" i="13"/>
  <c r="BP91" i="61" s="1"/>
  <c r="S32" i="9"/>
  <c r="BT91" i="61" s="1"/>
  <c r="S32" i="11"/>
  <c r="BR91" i="61" s="1"/>
  <c r="S32" i="7"/>
  <c r="BV91" i="61" s="1"/>
  <c r="Z70" i="50" l="1"/>
  <c r="AB70" i="50" s="1"/>
  <c r="AP65" i="50" l="1"/>
  <c r="AP35" i="50"/>
  <c r="AT35" i="50" s="1"/>
  <c r="E5" i="50" s="1"/>
  <c r="Z69" i="50"/>
  <c r="AB69" i="50" s="1"/>
  <c r="Z80" i="50"/>
  <c r="AB80" i="50" s="1"/>
  <c r="L85" i="50"/>
  <c r="N85" i="50" s="1"/>
  <c r="AQ85" i="50" s="1"/>
  <c r="Z40" i="50" l="1"/>
  <c r="AB40" i="50" s="1"/>
  <c r="AK40" i="50"/>
  <c r="AM40" i="50" s="1"/>
  <c r="AS40" i="50" s="1"/>
  <c r="L45" i="50"/>
  <c r="N45" i="50" s="1"/>
  <c r="AQ45" i="50" s="1"/>
  <c r="AP6" i="50"/>
  <c r="AR6" i="50" s="1"/>
  <c r="AB23" i="50"/>
  <c r="AD23" i="50" s="1"/>
  <c r="X6" i="50"/>
  <c r="AR70" i="50"/>
  <c r="AR69" i="50"/>
  <c r="Z79" i="50"/>
  <c r="AB79" i="50" s="1"/>
  <c r="AR80" i="50" s="1"/>
  <c r="L84" i="50"/>
  <c r="N84" i="50" s="1"/>
  <c r="AQ84" i="50" s="1"/>
  <c r="AB22" i="50" l="1"/>
  <c r="AD22" i="50" s="1"/>
  <c r="AP5" i="50"/>
  <c r="AR5" i="50" s="1"/>
  <c r="AP64" i="50"/>
  <c r="AR79" i="50"/>
  <c r="Z85" i="50"/>
  <c r="AB85" i="50" s="1"/>
  <c r="L90" i="50"/>
  <c r="N90" i="50" s="1"/>
  <c r="AQ90" i="50" s="1"/>
  <c r="AP69" i="50" l="1"/>
  <c r="Z84" i="50"/>
  <c r="AB84" i="50" s="1"/>
  <c r="AR84" i="50" s="1"/>
  <c r="AR85" i="50" l="1"/>
  <c r="Z89" i="50"/>
  <c r="AB89" i="50" s="1"/>
  <c r="L99" i="50"/>
  <c r="N99" i="50" s="1"/>
  <c r="AQ99" i="50" s="1"/>
  <c r="L89" i="50" l="1"/>
  <c r="N89" i="50" s="1"/>
  <c r="AQ89" i="50" s="1"/>
  <c r="Z90" i="50"/>
  <c r="AB90" i="50" s="1"/>
  <c r="AR90" i="50" s="1"/>
  <c r="AR89" i="50" l="1"/>
  <c r="L105" i="50"/>
  <c r="N105" i="50" s="1"/>
  <c r="AQ105" i="50" s="1"/>
  <c r="Z100" i="50"/>
  <c r="AB100" i="50" s="1"/>
  <c r="Z99" i="50" l="1"/>
  <c r="AB99" i="50" s="1"/>
  <c r="AR99" i="50" s="1"/>
  <c r="L104" i="50"/>
  <c r="N104" i="50" s="1"/>
  <c r="AQ104" i="50" s="1"/>
  <c r="L115" i="50"/>
  <c r="N115" i="50" s="1"/>
  <c r="AQ115" i="50" s="1"/>
  <c r="Z110" i="50"/>
  <c r="AB110" i="50" s="1"/>
  <c r="AR100" i="50" l="1"/>
  <c r="Z109" i="50"/>
  <c r="AB109" i="50" s="1"/>
  <c r="AR109" i="50" s="1"/>
  <c r="L114" i="50"/>
  <c r="N114" i="50" s="1"/>
  <c r="AQ114" i="50" s="1"/>
  <c r="Z104" i="50"/>
  <c r="AB104" i="50" s="1"/>
  <c r="L109" i="50"/>
  <c r="N109" i="50" s="1"/>
  <c r="AQ109" i="50" s="1"/>
  <c r="AR110" i="50" l="1"/>
  <c r="L110" i="50"/>
  <c r="N110" i="50" s="1"/>
  <c r="AQ110" i="50" s="1"/>
  <c r="L119" i="50"/>
  <c r="N119" i="50" s="1"/>
  <c r="AQ119" i="50" s="1"/>
  <c r="Z114" i="50"/>
  <c r="AB114" i="50" s="1"/>
  <c r="Z115" i="50" l="1"/>
  <c r="AB115" i="50" s="1"/>
  <c r="AR114" i="50" s="1"/>
  <c r="L120" i="50"/>
  <c r="N120" i="50" s="1"/>
  <c r="AQ120" i="50" s="1"/>
  <c r="AR115" i="50" l="1"/>
  <c r="BG28" i="7" l="1"/>
  <c r="I51" i="7"/>
  <c r="BG22" i="7"/>
  <c r="I46" i="7"/>
  <c r="BG19" i="7"/>
  <c r="I45" i="7"/>
  <c r="BG32" i="7"/>
  <c r="I55" i="7"/>
  <c r="BG23" i="7"/>
  <c r="I42" i="7"/>
  <c r="I47" i="7"/>
  <c r="BG24" i="7"/>
  <c r="BG32" i="11"/>
  <c r="I45" i="11"/>
  <c r="BG23" i="11"/>
  <c r="I42" i="11"/>
  <c r="BG22" i="11"/>
  <c r="I46" i="11"/>
  <c r="BG19" i="11"/>
  <c r="I55" i="11"/>
  <c r="I47" i="11"/>
  <c r="BG24" i="11"/>
  <c r="BG19" i="9"/>
  <c r="BG32" i="9"/>
  <c r="I55" i="9"/>
  <c r="I47" i="9"/>
  <c r="I46" i="9"/>
  <c r="BG24" i="9"/>
  <c r="BG23" i="9"/>
  <c r="I45" i="9"/>
  <c r="BG22" i="9"/>
  <c r="I42" i="9"/>
  <c r="BG22" i="12"/>
  <c r="I45" i="12"/>
  <c r="BG19" i="12"/>
  <c r="I46" i="12"/>
  <c r="BG32" i="12"/>
  <c r="I42" i="12"/>
  <c r="BG23" i="12"/>
  <c r="I55" i="12"/>
  <c r="BG24" i="12"/>
  <c r="I47" i="12"/>
  <c r="BG28" i="10"/>
  <c r="I51" i="10"/>
  <c r="BG28" i="6"/>
  <c r="I51" i="6"/>
  <c r="BG28" i="8"/>
  <c r="I51" i="8"/>
  <c r="I51" i="13"/>
  <c r="BG28" i="13"/>
  <c r="BG24" i="10"/>
  <c r="I47" i="10"/>
  <c r="BG23" i="10"/>
  <c r="I55" i="10"/>
  <c r="BG22" i="10"/>
  <c r="I42" i="10"/>
  <c r="BG19" i="10"/>
  <c r="I45" i="10"/>
  <c r="BG32" i="10"/>
  <c r="I46" i="10"/>
  <c r="BG24" i="6"/>
  <c r="I47" i="6"/>
  <c r="BG22" i="6"/>
  <c r="BG19" i="6"/>
  <c r="I55" i="6"/>
  <c r="I46" i="6"/>
  <c r="BG32" i="6"/>
  <c r="I45" i="6"/>
  <c r="BG23" i="6"/>
  <c r="I42" i="6"/>
  <c r="BG22" i="8"/>
  <c r="I55" i="8"/>
  <c r="BG24" i="8"/>
  <c r="BG19" i="8"/>
  <c r="I46" i="8"/>
  <c r="BG32" i="8"/>
  <c r="S31" i="8" s="1"/>
  <c r="I45" i="8"/>
  <c r="BG23" i="8"/>
  <c r="I42" i="8"/>
  <c r="I47" i="8"/>
  <c r="I47" i="13"/>
  <c r="BG24" i="13"/>
  <c r="BG32" i="13"/>
  <c r="I46" i="13"/>
  <c r="BG23" i="13"/>
  <c r="I55" i="13"/>
  <c r="BG22" i="13"/>
  <c r="I42" i="13"/>
  <c r="BG19" i="13"/>
  <c r="I45" i="13"/>
  <c r="I51" i="11"/>
  <c r="BG28" i="11"/>
  <c r="I51" i="9"/>
  <c r="BG28" i="9"/>
  <c r="BG28" i="12"/>
  <c r="I51" i="12"/>
  <c r="S22" i="6" l="1"/>
  <c r="BW81" i="61" s="1"/>
  <c r="S18" i="11"/>
  <c r="S22" i="13"/>
  <c r="BP81" i="61" s="1"/>
  <c r="S31" i="9"/>
  <c r="BT90" i="61" s="1"/>
  <c r="S21" i="11"/>
  <c r="BR80" i="61" s="1"/>
  <c r="S22" i="8"/>
  <c r="BU81" i="61" s="1"/>
  <c r="S22" i="7"/>
  <c r="BV81" i="61" s="1"/>
  <c r="S23" i="11"/>
  <c r="BR82" i="61" s="1"/>
  <c r="S18" i="8"/>
  <c r="BU77" i="61" s="1"/>
  <c r="S31" i="6"/>
  <c r="BW90" i="61" s="1"/>
  <c r="S23" i="10"/>
  <c r="BS82" i="61" s="1"/>
  <c r="S21" i="9"/>
  <c r="BT80" i="61" s="1"/>
  <c r="S21" i="6"/>
  <c r="BW80" i="61" s="1"/>
  <c r="S31" i="10"/>
  <c r="BS90" i="61" s="1"/>
  <c r="S21" i="12"/>
  <c r="BQ80" i="61" s="1"/>
  <c r="S22" i="9"/>
  <c r="BT81" i="61" s="1"/>
  <c r="S18" i="7"/>
  <c r="BV77" i="61" s="1"/>
  <c r="S27" i="7"/>
  <c r="BV86" i="61" s="1"/>
  <c r="S31" i="13"/>
  <c r="BP90" i="61" s="1"/>
  <c r="S27" i="13"/>
  <c r="BP86" i="61" s="1"/>
  <c r="S23" i="7"/>
  <c r="BV82" i="61" s="1"/>
  <c r="S21" i="13"/>
  <c r="BP80" i="61" s="1"/>
  <c r="S21" i="10"/>
  <c r="BS80" i="61" s="1"/>
  <c r="S27" i="6"/>
  <c r="BW86" i="61" s="1"/>
  <c r="S27" i="10"/>
  <c r="BS86" i="61" s="1"/>
  <c r="S22" i="12"/>
  <c r="BQ81" i="61" s="1"/>
  <c r="S18" i="12"/>
  <c r="BQ77" i="61" s="1"/>
  <c r="S23" i="9"/>
  <c r="BT82" i="61" s="1"/>
  <c r="S27" i="12"/>
  <c r="BQ86" i="61" s="1"/>
  <c r="S27" i="11"/>
  <c r="BR86" i="61" s="1"/>
  <c r="S18" i="13"/>
  <c r="BP77" i="61" s="1"/>
  <c r="S23" i="13"/>
  <c r="BP82" i="61" s="1"/>
  <c r="S23" i="6"/>
  <c r="BW82" i="61" s="1"/>
  <c r="S18" i="10"/>
  <c r="BS77" i="61" s="1"/>
  <c r="S31" i="11"/>
  <c r="BR90" i="61" s="1"/>
  <c r="S31" i="7"/>
  <c r="BV90" i="61" s="1"/>
  <c r="S27" i="9"/>
  <c r="BT86" i="61" s="1"/>
  <c r="S21" i="8"/>
  <c r="BU80" i="61" s="1"/>
  <c r="S18" i="6"/>
  <c r="BW77" i="61" s="1"/>
  <c r="S22" i="10"/>
  <c r="BS81" i="61" s="1"/>
  <c r="S27" i="8"/>
  <c r="BU86" i="61" s="1"/>
  <c r="S23" i="12"/>
  <c r="BQ82" i="61" s="1"/>
  <c r="S31" i="12"/>
  <c r="BQ90" i="61" s="1"/>
  <c r="S18" i="9"/>
  <c r="BT77" i="61" s="1"/>
  <c r="S21" i="7"/>
  <c r="BV80" i="61" s="1"/>
  <c r="S23" i="8"/>
  <c r="BU82" i="61" s="1"/>
  <c r="S22" i="11"/>
  <c r="BR81" i="61" s="1"/>
  <c r="BG25" i="6"/>
  <c r="I49" i="6"/>
  <c r="BG26" i="6"/>
  <c r="I48" i="6"/>
  <c r="BG29" i="10"/>
  <c r="I52" i="10"/>
  <c r="BG34" i="9"/>
  <c r="I57" i="9"/>
  <c r="BG34" i="11"/>
  <c r="I57" i="11"/>
  <c r="BG34" i="7"/>
  <c r="I57" i="7"/>
  <c r="BG29" i="13"/>
  <c r="I52" i="13"/>
  <c r="BG25" i="10"/>
  <c r="I49" i="10"/>
  <c r="BG26" i="10"/>
  <c r="I48" i="10"/>
  <c r="BG34" i="13"/>
  <c r="I57" i="13"/>
  <c r="BG29" i="8"/>
  <c r="I52" i="8"/>
  <c r="I57" i="6"/>
  <c r="BG34" i="6"/>
  <c r="BG29" i="6"/>
  <c r="I52" i="6"/>
  <c r="BG25" i="12"/>
  <c r="I49" i="12"/>
  <c r="BG26" i="12"/>
  <c r="I48" i="12"/>
  <c r="I57" i="12"/>
  <c r="BG34" i="12"/>
  <c r="I52" i="9"/>
  <c r="BG29" i="9"/>
  <c r="I52" i="11"/>
  <c r="BR77" i="61"/>
  <c r="BG29" i="11"/>
  <c r="BG26" i="13"/>
  <c r="I49" i="13"/>
  <c r="BG25" i="13"/>
  <c r="I48" i="13"/>
  <c r="BG26" i="8"/>
  <c r="I49" i="8"/>
  <c r="BG25" i="8"/>
  <c r="I48" i="8"/>
  <c r="BG34" i="10"/>
  <c r="I57" i="10"/>
  <c r="BG26" i="11"/>
  <c r="I48" i="11"/>
  <c r="BG25" i="11"/>
  <c r="I49" i="11"/>
  <c r="BG29" i="7"/>
  <c r="I52" i="7"/>
  <c r="BG34" i="8"/>
  <c r="I57" i="8"/>
  <c r="BU90" i="61"/>
  <c r="BG29" i="12"/>
  <c r="I52" i="12"/>
  <c r="BG25" i="9"/>
  <c r="I48" i="9"/>
  <c r="BG26" i="9"/>
  <c r="I49" i="9"/>
  <c r="BG25" i="7"/>
  <c r="I49" i="7"/>
  <c r="BG26" i="7"/>
  <c r="I48" i="7"/>
  <c r="S24" i="9" l="1"/>
  <c r="BT83" i="61" s="1"/>
  <c r="S28" i="12"/>
  <c r="BQ87" i="61" s="1"/>
  <c r="S24" i="13"/>
  <c r="BP83" i="61" s="1"/>
  <c r="S28" i="11"/>
  <c r="BR87" i="61" s="1"/>
  <c r="S33" i="11"/>
  <c r="BR92" i="61" s="1"/>
  <c r="S28" i="10"/>
  <c r="BS87" i="61" s="1"/>
  <c r="S24" i="12"/>
  <c r="BQ83" i="61" s="1"/>
  <c r="S25" i="10"/>
  <c r="BS84" i="61" s="1"/>
  <c r="S25" i="7"/>
  <c r="BV84" i="61" s="1"/>
  <c r="S24" i="8"/>
  <c r="BU83" i="61" s="1"/>
  <c r="S25" i="13"/>
  <c r="BP84" i="61" s="1"/>
  <c r="S33" i="13"/>
  <c r="BP92" i="61" s="1"/>
  <c r="S24" i="6"/>
  <c r="BW83" i="61" s="1"/>
  <c r="S28" i="9"/>
  <c r="BT87" i="61" s="1"/>
  <c r="S33" i="6"/>
  <c r="BW92" i="61" s="1"/>
  <c r="S25" i="9"/>
  <c r="BT84" i="61" s="1"/>
  <c r="S33" i="10"/>
  <c r="BS92" i="61" s="1"/>
  <c r="S24" i="11"/>
  <c r="BR83" i="61" s="1"/>
  <c r="S25" i="8"/>
  <c r="BU84" i="61" s="1"/>
  <c r="S28" i="8"/>
  <c r="BU87" i="61" s="1"/>
  <c r="S33" i="7"/>
  <c r="BV92" i="61" s="1"/>
  <c r="S33" i="9"/>
  <c r="BT92" i="61" s="1"/>
  <c r="S24" i="7"/>
  <c r="BV83" i="61" s="1"/>
  <c r="S28" i="7"/>
  <c r="BV87" i="61" s="1"/>
  <c r="S33" i="8"/>
  <c r="BU92" i="61" s="1"/>
  <c r="S33" i="12"/>
  <c r="BQ92" i="61" s="1"/>
  <c r="S25" i="12"/>
  <c r="BQ84" i="61" s="1"/>
  <c r="S28" i="6"/>
  <c r="BW87" i="61" s="1"/>
  <c r="S25" i="6"/>
  <c r="BW84" i="61" s="1"/>
  <c r="S24" i="10"/>
  <c r="BS83" i="61" s="1"/>
  <c r="S25" i="11"/>
  <c r="BR84" i="61" s="1"/>
  <c r="S28" i="13"/>
  <c r="BP87" i="61" s="1"/>
  <c r="Q5" i="60" a="1"/>
  <c r="R10" i="60" l="1"/>
  <c r="S10" i="60"/>
  <c r="S11" i="60"/>
  <c r="R6" i="60"/>
  <c r="R9" i="60"/>
  <c r="R7" i="60"/>
  <c r="S6" i="60"/>
  <c r="S12" i="60"/>
  <c r="Q7" i="60"/>
  <c r="R12" i="60"/>
  <c r="Q12" i="60"/>
  <c r="S8" i="60"/>
  <c r="Q10" i="60"/>
  <c r="Q9" i="60"/>
  <c r="Q8" i="60"/>
  <c r="R11" i="60"/>
  <c r="R5" i="60"/>
  <c r="S7" i="60"/>
  <c r="S5" i="60"/>
  <c r="S9" i="60"/>
  <c r="Q11" i="60"/>
  <c r="R8" i="60"/>
  <c r="Q5" i="60"/>
  <c r="Q6" i="60"/>
  <c r="I41" i="13" l="1"/>
  <c r="S17" i="13" s="1"/>
  <c r="BP76" i="61" s="1"/>
  <c r="I41" i="12"/>
  <c r="S17" i="12" s="1"/>
  <c r="BQ76" i="61" s="1"/>
  <c r="I41" i="11"/>
  <c r="S17" i="11" s="1"/>
  <c r="BR76" i="61" s="1"/>
  <c r="I41" i="10"/>
  <c r="S17" i="10" s="1"/>
  <c r="BS76" i="61" s="1"/>
  <c r="I41" i="9"/>
  <c r="S17" i="9" s="1"/>
  <c r="BT76" i="61" s="1"/>
  <c r="I41" i="8"/>
  <c r="S17" i="8" s="1"/>
  <c r="BU76" i="61" s="1"/>
  <c r="I41" i="7"/>
  <c r="S17" i="7" s="1"/>
  <c r="BV76" i="61" s="1"/>
  <c r="I41" i="6"/>
  <c r="S17" i="6" s="1"/>
  <c r="BW76" i="61" s="1"/>
  <c r="I43" i="13"/>
  <c r="S19" i="13" s="1"/>
  <c r="BP78" i="61" s="1"/>
  <c r="I43" i="12"/>
  <c r="S19" i="12" s="1"/>
  <c r="BQ78" i="61" s="1"/>
  <c r="I43" i="11"/>
  <c r="S19" i="11" s="1"/>
  <c r="BR78" i="61" s="1"/>
  <c r="I43" i="10"/>
  <c r="S19" i="10" s="1"/>
  <c r="BS78" i="61" s="1"/>
  <c r="I43" i="9"/>
  <c r="S19" i="9" s="1"/>
  <c r="BT78" i="61" s="1"/>
  <c r="I43" i="8"/>
  <c r="S19" i="8" s="1"/>
  <c r="BU78" i="61" s="1"/>
  <c r="I43" i="7"/>
  <c r="S19" i="7" s="1"/>
  <c r="BV78" i="61" s="1"/>
  <c r="I43" i="6"/>
  <c r="S19" i="6" s="1"/>
  <c r="BW78" i="61" s="1"/>
  <c r="I44" i="13"/>
  <c r="S20" i="13" s="1"/>
  <c r="BP79" i="61" s="1"/>
  <c r="I44" i="12"/>
  <c r="S20" i="12" s="1"/>
  <c r="BQ79" i="61" s="1"/>
  <c r="I44" i="11"/>
  <c r="S20" i="11" s="1"/>
  <c r="BR79" i="61" s="1"/>
  <c r="I44" i="10"/>
  <c r="S20" i="10" s="1"/>
  <c r="BS79" i="61" s="1"/>
  <c r="I44" i="9"/>
  <c r="S20" i="9" s="1"/>
  <c r="BT79" i="61" s="1"/>
  <c r="I44" i="8"/>
  <c r="S20" i="8" s="1"/>
  <c r="BU79" i="61" s="1"/>
  <c r="I44" i="7"/>
  <c r="S20" i="7" s="1"/>
  <c r="BV79" i="61" s="1"/>
  <c r="I44" i="6"/>
  <c r="S20" i="6" s="1"/>
  <c r="BW79" i="61" s="1"/>
  <c r="BG21" i="9"/>
  <c r="BG21" i="13"/>
  <c r="BG20" i="6"/>
  <c r="BG20" i="7"/>
  <c r="BG21" i="11"/>
  <c r="BG20" i="12"/>
  <c r="BG20" i="13"/>
  <c r="BG18" i="10"/>
  <c r="BG21" i="10"/>
  <c r="BG20" i="11"/>
  <c r="BG18" i="13"/>
  <c r="BG21" i="8"/>
  <c r="BG20" i="9"/>
  <c r="BG21" i="12"/>
  <c r="BG20" i="10"/>
  <c r="BG21" i="6"/>
  <c r="BG21" i="7"/>
  <c r="BG20" i="8"/>
  <c r="BG18" i="9"/>
  <c r="BG18" i="8"/>
  <c r="BG18" i="11"/>
  <c r="BG18" i="12"/>
  <c r="BG18" i="6"/>
  <c r="BG18" i="7"/>
  <c r="Z105" i="50"/>
  <c r="AB105" i="50" s="1"/>
  <c r="AR104" i="50" s="1"/>
  <c r="L100" i="50"/>
  <c r="N100" i="50" s="1"/>
  <c r="AQ100" i="50" s="1"/>
  <c r="AR105" i="50" l="1"/>
  <c r="X25" i="50" l="1"/>
  <c r="AP70" i="50" l="1"/>
  <c r="AP40" i="50"/>
  <c r="AP11" i="50" l="1"/>
  <c r="AR11" i="50" s="1"/>
  <c r="AP39" i="50"/>
  <c r="AP44" i="50"/>
  <c r="AP10" i="50"/>
  <c r="AR10" i="50" s="1"/>
  <c r="X24" i="50"/>
  <c r="AL12" i="50" l="1"/>
  <c r="AL13" i="50"/>
  <c r="X22" i="55" l="1"/>
  <c r="R21" i="55"/>
  <c r="T18" i="55"/>
  <c r="AE12" i="55"/>
  <c r="U14" i="55"/>
  <c r="AE16" i="55"/>
  <c r="Z2" i="55"/>
  <c r="AG12" i="55"/>
  <c r="O27" i="55"/>
  <c r="AD19" i="55"/>
  <c r="AJ20" i="55"/>
  <c r="U19" i="55"/>
  <c r="AF17" i="55"/>
  <c r="U16" i="55"/>
  <c r="AE2" i="55"/>
  <c r="AN10" i="55"/>
  <c r="Z10" i="55"/>
  <c r="W17" i="55"/>
  <c r="AG11" i="55"/>
  <c r="P13" i="55"/>
  <c r="AN17" i="55"/>
  <c r="O23" i="55"/>
  <c r="W18" i="55"/>
  <c r="AJ10" i="55"/>
  <c r="Z13" i="55"/>
  <c r="AI9" i="55"/>
  <c r="T20" i="55"/>
  <c r="AM20" i="55"/>
  <c r="Y14" i="55"/>
  <c r="AH18" i="55"/>
  <c r="AA11" i="55"/>
  <c r="X10" i="55"/>
  <c r="T22" i="55"/>
  <c r="Q18" i="55"/>
  <c r="AA9" i="55"/>
  <c r="P16" i="55"/>
  <c r="AE15" i="55"/>
  <c r="V21" i="55"/>
  <c r="Z17" i="55"/>
  <c r="W9" i="55"/>
  <c r="AM10" i="55"/>
  <c r="AJ15" i="55"/>
  <c r="AM19" i="55"/>
  <c r="AB18" i="55"/>
  <c r="Y16" i="55"/>
  <c r="AM21" i="55"/>
  <c r="AD17" i="55"/>
  <c r="AN16" i="55"/>
  <c r="O24" i="55"/>
  <c r="AC11" i="55"/>
  <c r="P20" i="55"/>
  <c r="AG15" i="55"/>
  <c r="AL19" i="55"/>
  <c r="AH10" i="55"/>
  <c r="AN9" i="55"/>
  <c r="U22" i="55"/>
  <c r="AH9" i="55"/>
  <c r="U2" i="55"/>
  <c r="AA21" i="55"/>
  <c r="X20" i="55"/>
  <c r="AK21" i="55"/>
  <c r="T16" i="55"/>
  <c r="AI10" i="55"/>
  <c r="AI21" i="55"/>
  <c r="O18" i="55"/>
  <c r="Z11" i="55"/>
  <c r="X16" i="55"/>
  <c r="AF12" i="55"/>
  <c r="AK14" i="55"/>
  <c r="AI14" i="55"/>
  <c r="U11" i="55"/>
  <c r="V9" i="55"/>
  <c r="AH20" i="55"/>
  <c r="R22" i="55"/>
  <c r="AI12" i="55"/>
  <c r="V22" i="55"/>
  <c r="AB19" i="55"/>
  <c r="O11" i="55"/>
  <c r="AB2" i="55"/>
  <c r="AE14" i="55"/>
  <c r="S20" i="55"/>
  <c r="AH19" i="55"/>
  <c r="AA16" i="55"/>
  <c r="AL14" i="55"/>
  <c r="AI22" i="55"/>
  <c r="P10" i="55"/>
  <c r="AI20" i="55"/>
  <c r="W2" i="55"/>
  <c r="AI17" i="55"/>
  <c r="AA17" i="55"/>
  <c r="Y13" i="55"/>
  <c r="AC17" i="55"/>
  <c r="O17" i="55"/>
  <c r="AB12" i="55"/>
  <c r="T19" i="55"/>
  <c r="AJ21" i="55"/>
  <c r="AI13" i="55"/>
  <c r="X21" i="55"/>
  <c r="T12" i="55"/>
  <c r="P9" i="55"/>
  <c r="AM9" i="55"/>
  <c r="X9" i="55"/>
  <c r="AG21" i="55"/>
  <c r="P14" i="55"/>
  <c r="X12" i="55"/>
  <c r="AH11" i="55"/>
  <c r="Z18" i="55"/>
  <c r="AL9" i="55"/>
  <c r="AN22" i="55"/>
  <c r="T21" i="55"/>
  <c r="AE19" i="55"/>
  <c r="Z15" i="55"/>
  <c r="AG18" i="55"/>
  <c r="P11" i="55"/>
  <c r="O5" i="55"/>
  <c r="AM16" i="55"/>
  <c r="AH13" i="55"/>
  <c r="AL2" i="55"/>
  <c r="AM11" i="55"/>
  <c r="AJ18" i="55"/>
  <c r="Y19" i="55"/>
  <c r="U15" i="55"/>
  <c r="T10" i="55"/>
  <c r="Z16" i="55"/>
  <c r="R15" i="55"/>
  <c r="AL11" i="55"/>
  <c r="Q22" i="55"/>
  <c r="AC12" i="55"/>
  <c r="V13" i="55"/>
  <c r="O22" i="55"/>
  <c r="O12" i="55"/>
  <c r="AA18" i="55"/>
  <c r="V11" i="55"/>
  <c r="AC2" i="55"/>
  <c r="AD20" i="55"/>
  <c r="V12" i="55"/>
  <c r="Z22" i="55"/>
  <c r="R12" i="55"/>
  <c r="AA2" i="55"/>
  <c r="AL13" i="55"/>
  <c r="AD2" i="55"/>
  <c r="AD10" i="55"/>
  <c r="AI18" i="55"/>
  <c r="AC10" i="55"/>
  <c r="AF2" i="55"/>
  <c r="AK16" i="55"/>
  <c r="W22" i="55"/>
  <c r="AM22" i="55"/>
  <c r="S17" i="55"/>
  <c r="AG13" i="55"/>
  <c r="P12" i="55"/>
  <c r="R10" i="55"/>
  <c r="AN2" i="55"/>
  <c r="X19" i="55"/>
  <c r="AL17" i="55"/>
  <c r="AF18" i="55"/>
  <c r="AN19" i="55"/>
  <c r="AH15" i="55"/>
  <c r="T2" i="55"/>
  <c r="AE17" i="55"/>
  <c r="R20" i="55"/>
  <c r="S9" i="55"/>
  <c r="AJ11" i="55"/>
  <c r="W21" i="55"/>
  <c r="AB11" i="55"/>
  <c r="AC15" i="55"/>
  <c r="R16" i="55"/>
  <c r="AE22" i="55"/>
  <c r="AL22" i="55"/>
  <c r="AF11" i="55"/>
  <c r="Q17" i="55"/>
  <c r="AK12" i="55"/>
  <c r="U13" i="55"/>
  <c r="O7" i="55"/>
  <c r="R14" i="55"/>
  <c r="S21" i="55"/>
  <c r="S19" i="55"/>
  <c r="AM13" i="55"/>
  <c r="O15" i="55"/>
  <c r="AA10" i="55"/>
  <c r="Q12" i="55"/>
  <c r="U20" i="55"/>
  <c r="AN11" i="55"/>
  <c r="AI2" i="55"/>
  <c r="AD15" i="55"/>
  <c r="S14" i="55"/>
  <c r="AD21" i="55"/>
  <c r="AN14" i="55"/>
  <c r="V16" i="55"/>
  <c r="Y15" i="55"/>
  <c r="Q13" i="55"/>
  <c r="AE10" i="55"/>
  <c r="AC13" i="55"/>
  <c r="AE11" i="55"/>
  <c r="AG2" i="55"/>
  <c r="X14" i="55"/>
  <c r="U17" i="55"/>
  <c r="AN20" i="55"/>
  <c r="AE21" i="55"/>
  <c r="AA19" i="55"/>
  <c r="Z12" i="55"/>
  <c r="S15" i="55"/>
  <c r="AK19" i="55"/>
  <c r="R11" i="55"/>
  <c r="AN12" i="55"/>
  <c r="AD18" i="55"/>
  <c r="S16" i="55"/>
  <c r="AJ2" i="55"/>
  <c r="O19" i="55"/>
  <c r="AN13" i="55"/>
  <c r="AL18" i="55"/>
  <c r="O8" i="55"/>
  <c r="Q2" i="55"/>
  <c r="AG20" i="55"/>
  <c r="AB15" i="55"/>
  <c r="Q16" i="55"/>
  <c r="AH22" i="55"/>
  <c r="AI16" i="55"/>
  <c r="T15" i="55"/>
  <c r="R13" i="55"/>
  <c r="AC19" i="55"/>
  <c r="AG10" i="55"/>
  <c r="AG16" i="55"/>
  <c r="T13" i="55"/>
  <c r="Y20" i="55"/>
  <c r="AF14" i="55"/>
  <c r="AC22" i="55"/>
  <c r="AF22" i="55"/>
  <c r="Y10" i="55"/>
  <c r="AA15" i="55"/>
  <c r="AH12" i="55"/>
  <c r="R9" i="55"/>
  <c r="AJ12" i="55"/>
  <c r="AJ13" i="55"/>
  <c r="W11" i="55"/>
  <c r="AG14" i="55"/>
  <c r="AA14" i="55"/>
  <c r="AD14" i="55"/>
  <c r="AB9" i="55"/>
  <c r="AF15" i="55"/>
  <c r="X13" i="55"/>
  <c r="AE13" i="55"/>
  <c r="AK11" i="55"/>
  <c r="AM12" i="55"/>
  <c r="U10" i="55"/>
  <c r="W16" i="55"/>
  <c r="U9" i="55"/>
  <c r="S13" i="55"/>
  <c r="Q11" i="55"/>
  <c r="O2" i="55"/>
  <c r="S18" i="55"/>
  <c r="O25" i="55"/>
  <c r="AB13" i="55"/>
  <c r="AD16" i="55"/>
  <c r="AJ19" i="55"/>
  <c r="P19" i="55"/>
  <c r="AD12" i="55"/>
  <c r="AK9" i="55"/>
  <c r="S10" i="55"/>
  <c r="AH14" i="55"/>
  <c r="V15" i="55"/>
  <c r="AA22" i="55"/>
  <c r="O16" i="55"/>
  <c r="AN21" i="55"/>
  <c r="AI11" i="55"/>
  <c r="Z9" i="55"/>
  <c r="AL20" i="55"/>
  <c r="AK20" i="55"/>
  <c r="AL12" i="55"/>
  <c r="X15" i="55"/>
  <c r="Z21" i="55"/>
  <c r="AB20" i="55"/>
  <c r="AF16" i="55"/>
  <c r="AH16" i="55"/>
  <c r="Q21" i="55"/>
  <c r="R17" i="55"/>
  <c r="S22" i="55"/>
  <c r="AM15" i="55"/>
  <c r="O6" i="55"/>
  <c r="AM18" i="55"/>
  <c r="AB14" i="55"/>
  <c r="T9" i="55"/>
  <c r="Q14" i="55"/>
  <c r="AF13" i="55"/>
  <c r="R18" i="55"/>
  <c r="U21" i="55"/>
  <c r="AL10" i="55"/>
  <c r="AH21" i="55"/>
  <c r="T17" i="55"/>
  <c r="W15" i="55"/>
  <c r="AG22" i="55"/>
  <c r="W19" i="55"/>
  <c r="P17" i="55"/>
  <c r="W10" i="55"/>
  <c r="Q9" i="55"/>
  <c r="W20" i="55"/>
  <c r="W12" i="55"/>
  <c r="AF19" i="55"/>
  <c r="P21" i="55"/>
  <c r="AB22" i="55"/>
  <c r="AC21" i="55"/>
  <c r="AI19" i="55"/>
  <c r="AD9" i="55"/>
  <c r="AL15" i="55"/>
  <c r="V2" i="55"/>
  <c r="AM17" i="55"/>
  <c r="AG9" i="55"/>
  <c r="O4" i="55"/>
  <c r="Y12" i="55"/>
  <c r="AJ22" i="55"/>
  <c r="AH17" i="55"/>
  <c r="O21" i="55"/>
  <c r="Q10" i="55"/>
  <c r="AN18" i="55"/>
  <c r="Z19" i="55"/>
  <c r="AL21" i="55"/>
  <c r="AE9" i="55"/>
  <c r="AB16" i="55"/>
  <c r="AF20" i="55"/>
  <c r="AM2" i="55"/>
  <c r="T11" i="55"/>
  <c r="Y18" i="55"/>
  <c r="AK13" i="55"/>
  <c r="AK17" i="55"/>
  <c r="V19" i="55"/>
  <c r="AF9" i="55"/>
  <c r="U18" i="55"/>
  <c r="X11" i="55"/>
  <c r="V14" i="55"/>
  <c r="AI15" i="55"/>
  <c r="AC20" i="55"/>
  <c r="AA20" i="55"/>
  <c r="AA12" i="55"/>
  <c r="AK2" i="55"/>
  <c r="AB17" i="55"/>
  <c r="S11" i="55"/>
  <c r="AJ17" i="55"/>
  <c r="V20" i="55"/>
  <c r="X18" i="55"/>
  <c r="S2" i="55"/>
  <c r="AJ14" i="55"/>
  <c r="W13" i="55"/>
  <c r="O3" i="55"/>
  <c r="O14" i="55"/>
  <c r="Y9" i="55"/>
  <c r="AK10" i="55"/>
  <c r="Q15" i="55"/>
  <c r="AC14" i="55"/>
  <c r="O20" i="55"/>
  <c r="R2" i="55"/>
  <c r="Y21" i="55"/>
  <c r="V18" i="55"/>
  <c r="O10" i="55"/>
  <c r="AD11" i="55"/>
  <c r="AL16" i="55"/>
  <c r="Q19" i="55"/>
  <c r="Z14" i="55"/>
  <c r="Y11" i="55"/>
  <c r="AK18" i="55"/>
  <c r="O13" i="55"/>
  <c r="S12" i="55"/>
  <c r="AH2" i="55"/>
  <c r="AE18" i="55"/>
  <c r="AD22" i="55"/>
  <c r="R19" i="55"/>
  <c r="P18" i="55"/>
  <c r="AG17" i="55"/>
  <c r="AC16" i="55"/>
  <c r="P2" i="55"/>
  <c r="AF21" i="55"/>
  <c r="P15" i="55"/>
  <c r="X17" i="55"/>
  <c r="V17" i="55"/>
  <c r="AK15" i="55"/>
  <c r="P22" i="55"/>
  <c r="AJ9" i="55"/>
  <c r="V10" i="55"/>
  <c r="AN15" i="55"/>
  <c r="AA13" i="55"/>
  <c r="T14" i="55"/>
  <c r="Z20" i="55"/>
  <c r="AM14" i="55"/>
  <c r="Y2" i="55"/>
  <c r="O9" i="55"/>
  <c r="AE20" i="55"/>
  <c r="AB21" i="55"/>
  <c r="U12" i="55"/>
  <c r="AB10" i="55"/>
  <c r="AG19" i="55"/>
  <c r="Q20" i="55"/>
  <c r="Y17" i="55"/>
  <c r="AD13" i="55"/>
  <c r="AK22" i="55"/>
  <c r="W14" i="55"/>
  <c r="O26" i="55"/>
  <c r="AC18" i="55"/>
  <c r="AC9" i="55"/>
  <c r="Y22" i="55"/>
  <c r="X2" i="55"/>
  <c r="AJ16" i="55"/>
  <c r="AF10" i="55"/>
  <c r="O2" i="54" a="1"/>
  <c r="BA17" i="5" l="1"/>
  <c r="BB17" i="5" s="1"/>
  <c r="BA11" i="7"/>
  <c r="BB11" i="7" s="1"/>
  <c r="BA19" i="8"/>
  <c r="BB19" i="8" s="1"/>
  <c r="M10" i="22"/>
  <c r="N10" i="22" s="1"/>
  <c r="M20" i="7"/>
  <c r="N20" i="7" s="1"/>
  <c r="BA16" i="2"/>
  <c r="BB16" i="2" s="1"/>
  <c r="BA17" i="7"/>
  <c r="BB17" i="7" s="1"/>
  <c r="M14" i="11"/>
  <c r="N14" i="11" s="1"/>
  <c r="M11" i="12"/>
  <c r="N11" i="12" s="1"/>
  <c r="BA19" i="15"/>
  <c r="BB19" i="15" s="1"/>
  <c r="BA22" i="5"/>
  <c r="BB22" i="5" s="1"/>
  <c r="BA21" i="5"/>
  <c r="BB21" i="5" s="1"/>
  <c r="BA15" i="8"/>
  <c r="BB15" i="8" s="1"/>
  <c r="M12" i="14"/>
  <c r="N12" i="14" s="1"/>
  <c r="BA14" i="11"/>
  <c r="BB14" i="11" s="1"/>
  <c r="BA17" i="53"/>
  <c r="BB17" i="53" s="1"/>
  <c r="M20" i="15"/>
  <c r="N20" i="15" s="1"/>
  <c r="BA13" i="19"/>
  <c r="BB13" i="19" s="1"/>
  <c r="BA13" i="10"/>
  <c r="BB13" i="10" s="1"/>
  <c r="BA21" i="1"/>
  <c r="BB21" i="1" s="1"/>
  <c r="BA12" i="16"/>
  <c r="BB12" i="16" s="1"/>
  <c r="M15" i="4"/>
  <c r="N15" i="4" s="1"/>
  <c r="M22" i="19"/>
  <c r="N22" i="19" s="1"/>
  <c r="BA22" i="4"/>
  <c r="BB22" i="4" s="1"/>
  <c r="M19" i="24"/>
  <c r="N19" i="24" s="1"/>
  <c r="BA18" i="16"/>
  <c r="BB18" i="16" s="1"/>
  <c r="M23" i="8"/>
  <c r="N23" i="8" s="1"/>
  <c r="BA10" i="2"/>
  <c r="BB10" i="2" s="1"/>
  <c r="M23" i="9"/>
  <c r="N23" i="9" s="1"/>
  <c r="M19" i="7"/>
  <c r="N19" i="7" s="1"/>
  <c r="M17" i="7"/>
  <c r="N17" i="7" s="1"/>
  <c r="BA14" i="4"/>
  <c r="BB14" i="4" s="1"/>
  <c r="M13" i="22"/>
  <c r="N13" i="22" s="1"/>
  <c r="M17" i="16"/>
  <c r="N17" i="16" s="1"/>
  <c r="BA15" i="23"/>
  <c r="BB15" i="23" s="1"/>
  <c r="BA13" i="53"/>
  <c r="BB13" i="53" s="1"/>
  <c r="BA16" i="21"/>
  <c r="BB16" i="21" s="1"/>
  <c r="BA21" i="10"/>
  <c r="BB21" i="10" s="1"/>
  <c r="BA20" i="20"/>
  <c r="BB20" i="20" s="1"/>
  <c r="BA12" i="14"/>
  <c r="BB12" i="14" s="1"/>
  <c r="BA11" i="2"/>
  <c r="BB11" i="2" s="1"/>
  <c r="M18" i="21"/>
  <c r="N18" i="21" s="1"/>
  <c r="M18" i="12"/>
  <c r="N18" i="12" s="1"/>
  <c r="M17" i="6"/>
  <c r="N17" i="6" s="1"/>
  <c r="M12" i="53"/>
  <c r="N12" i="53" s="1"/>
  <c r="BA11" i="10"/>
  <c r="BB11" i="10" s="1"/>
  <c r="BA13" i="15"/>
  <c r="BB13" i="15" s="1"/>
  <c r="M13" i="17"/>
  <c r="N13" i="17" s="1"/>
  <c r="BA19" i="10"/>
  <c r="BB19" i="10" s="1"/>
  <c r="M23" i="4"/>
  <c r="N23" i="4" s="1"/>
  <c r="BA10" i="14"/>
  <c r="BB10" i="14" s="1"/>
  <c r="M15" i="21"/>
  <c r="N15" i="21" s="1"/>
  <c r="M16" i="25"/>
  <c r="N16" i="25" s="1"/>
  <c r="BA22" i="7"/>
  <c r="BB22" i="7" s="1"/>
  <c r="M17" i="24"/>
  <c r="N17" i="24" s="1"/>
  <c r="BA20" i="8"/>
  <c r="BB20" i="8" s="1"/>
  <c r="BA18" i="53"/>
  <c r="BB18" i="53" s="1"/>
  <c r="M13" i="20"/>
  <c r="N13" i="20" s="1"/>
  <c r="M17" i="17"/>
  <c r="N17" i="17" s="1"/>
  <c r="M15" i="3"/>
  <c r="N15" i="3" s="1"/>
  <c r="M22" i="13"/>
  <c r="N22" i="13" s="1"/>
  <c r="M23" i="23"/>
  <c r="N23" i="23" s="1"/>
  <c r="BA20" i="16"/>
  <c r="BB20" i="16" s="1"/>
  <c r="M13" i="7"/>
  <c r="N13" i="7" s="1"/>
  <c r="M16" i="16"/>
  <c r="N16" i="16" s="1"/>
  <c r="BA10" i="11"/>
  <c r="BB10" i="11" s="1"/>
  <c r="BA23" i="14"/>
  <c r="BB23" i="14" s="1"/>
  <c r="M18" i="9"/>
  <c r="N18" i="9" s="1"/>
  <c r="BA18" i="18"/>
  <c r="BB18" i="18" s="1"/>
  <c r="M21" i="11"/>
  <c r="N21" i="11" s="1"/>
  <c r="M14" i="21"/>
  <c r="N14" i="21" s="1"/>
  <c r="BA18" i="23"/>
  <c r="BB18" i="23" s="1"/>
  <c r="BA13" i="7"/>
  <c r="BB13" i="7" s="1"/>
  <c r="M12" i="21"/>
  <c r="N12" i="21" s="1"/>
  <c r="M11" i="23"/>
  <c r="N11" i="23" s="1"/>
  <c r="M16" i="9"/>
  <c r="N16" i="9" s="1"/>
  <c r="M21" i="6"/>
  <c r="N21" i="6" s="1"/>
  <c r="BA14" i="19"/>
  <c r="BB14" i="19" s="1"/>
  <c r="M16" i="24"/>
  <c r="N16" i="24" s="1"/>
  <c r="M13" i="11"/>
  <c r="N13" i="11" s="1"/>
  <c r="BA21" i="11"/>
  <c r="BB21" i="11" s="1"/>
  <c r="BA20" i="6"/>
  <c r="BB20" i="6" s="1"/>
  <c r="M16" i="10"/>
  <c r="N16" i="10" s="1"/>
  <c r="M23" i="14"/>
  <c r="N23" i="14" s="1"/>
  <c r="M10" i="5"/>
  <c r="N10" i="5" s="1"/>
  <c r="BA11" i="19"/>
  <c r="BB11" i="19" s="1"/>
  <c r="M19" i="15"/>
  <c r="N19" i="15" s="1"/>
  <c r="BA21" i="21"/>
  <c r="BB21" i="21" s="1"/>
  <c r="M21" i="22"/>
  <c r="N21" i="22" s="1"/>
  <c r="BA11" i="13"/>
  <c r="BB11" i="13" s="1"/>
  <c r="BA19" i="5"/>
  <c r="BB19" i="5" s="1"/>
  <c r="M23" i="22"/>
  <c r="N23" i="22" s="1"/>
  <c r="BA12" i="10"/>
  <c r="BB12" i="10" s="1"/>
  <c r="M20" i="14"/>
  <c r="N20" i="14" s="1"/>
  <c r="M22" i="12"/>
  <c r="N22" i="12" s="1"/>
  <c r="BA23" i="3"/>
  <c r="BB23" i="3" s="1"/>
  <c r="BA21" i="18"/>
  <c r="BB21" i="18" s="1"/>
  <c r="M15" i="11"/>
  <c r="N15" i="11" s="1"/>
  <c r="M12" i="10"/>
  <c r="N12" i="10" s="1"/>
  <c r="BA13" i="23"/>
  <c r="BB13" i="23" s="1"/>
  <c r="M12" i="20"/>
  <c r="N12" i="20" s="1"/>
  <c r="M20" i="23"/>
  <c r="N20" i="23" s="1"/>
  <c r="BA19" i="19"/>
  <c r="BB19" i="19" s="1"/>
  <c r="BA23" i="2"/>
  <c r="BB23" i="2" s="1"/>
  <c r="M10" i="1"/>
  <c r="N10" i="1" s="1"/>
  <c r="M11" i="19"/>
  <c r="N11" i="19" s="1"/>
  <c r="BA19" i="2"/>
  <c r="BB19" i="2" s="1"/>
  <c r="BA13" i="18"/>
  <c r="BB13" i="18" s="1"/>
  <c r="BA18" i="1"/>
  <c r="BB18" i="1" s="1"/>
  <c r="BA23" i="17"/>
  <c r="BB23" i="17" s="1"/>
  <c r="BA12" i="25"/>
  <c r="BB12" i="25" s="1"/>
  <c r="BA13" i="17"/>
  <c r="BB13" i="17" s="1"/>
  <c r="M11" i="14"/>
  <c r="N11" i="14" s="1"/>
  <c r="BA16" i="14"/>
  <c r="BB16" i="14" s="1"/>
  <c r="M18" i="17"/>
  <c r="N18" i="17" s="1"/>
  <c r="BA12" i="4"/>
  <c r="BB12" i="4" s="1"/>
  <c r="BA11" i="24"/>
  <c r="BB11" i="24" s="1"/>
  <c r="M14" i="53"/>
  <c r="N14" i="53" s="1"/>
  <c r="BA19" i="53"/>
  <c r="BB19" i="53" s="1"/>
  <c r="M19" i="25"/>
  <c r="N19" i="25" s="1"/>
  <c r="BA22" i="12"/>
  <c r="BB22" i="12" s="1"/>
  <c r="M16" i="14"/>
  <c r="N16" i="14" s="1"/>
  <c r="M20" i="5"/>
  <c r="N20" i="5" s="1"/>
  <c r="M18" i="53"/>
  <c r="N18" i="53" s="1"/>
  <c r="M13" i="25"/>
  <c r="N13" i="25" s="1"/>
  <c r="M15" i="24"/>
  <c r="N15" i="24" s="1"/>
  <c r="M18" i="10"/>
  <c r="N18" i="10" s="1"/>
  <c r="M23" i="13"/>
  <c r="N23" i="13" s="1"/>
  <c r="BA21" i="20"/>
  <c r="BB21" i="20" s="1"/>
  <c r="M15" i="13"/>
  <c r="N15" i="13" s="1"/>
  <c r="M13" i="4"/>
  <c r="N13" i="4" s="1"/>
  <c r="M17" i="25"/>
  <c r="N17" i="25" s="1"/>
  <c r="BA23" i="53"/>
  <c r="BB23" i="53" s="1"/>
  <c r="BA23" i="8"/>
  <c r="BB23" i="8" s="1"/>
  <c r="BA13" i="24"/>
  <c r="BB13" i="24" s="1"/>
  <c r="BA22" i="3"/>
  <c r="BB22" i="3" s="1"/>
  <c r="BA22" i="14"/>
  <c r="BB22" i="14" s="1"/>
  <c r="BA21" i="9"/>
  <c r="BB21" i="9" s="1"/>
  <c r="M20" i="10"/>
  <c r="N20" i="10" s="1"/>
  <c r="M16" i="20"/>
  <c r="N16" i="20" s="1"/>
  <c r="M10" i="12"/>
  <c r="N10" i="12" s="1"/>
  <c r="BA21" i="15"/>
  <c r="BB21" i="15" s="1"/>
  <c r="M16" i="18"/>
  <c r="N16" i="18" s="1"/>
  <c r="M19" i="8"/>
  <c r="N19" i="8" s="1"/>
  <c r="BA12" i="22"/>
  <c r="BB12" i="22" s="1"/>
  <c r="M14" i="13"/>
  <c r="N14" i="13" s="1"/>
  <c r="BA16" i="20"/>
  <c r="BB16" i="20" s="1"/>
  <c r="BA22" i="18"/>
  <c r="BB22" i="18" s="1"/>
  <c r="M21" i="15"/>
  <c r="N21" i="15" s="1"/>
  <c r="BA15" i="17"/>
  <c r="BB15" i="17" s="1"/>
  <c r="M22" i="4"/>
  <c r="N22" i="4" s="1"/>
  <c r="M13" i="6"/>
  <c r="N13" i="6" s="1"/>
  <c r="M12" i="9"/>
  <c r="N12" i="9" s="1"/>
  <c r="BA14" i="3"/>
  <c r="BB14" i="3" s="1"/>
  <c r="BA19" i="23"/>
  <c r="BB19" i="23" s="1"/>
  <c r="M19" i="17"/>
  <c r="N19" i="17" s="1"/>
  <c r="M12" i="19"/>
  <c r="N12" i="19" s="1"/>
  <c r="M14" i="25"/>
  <c r="N14" i="25" s="1"/>
  <c r="M18" i="4"/>
  <c r="N18" i="4" s="1"/>
  <c r="M16" i="23"/>
  <c r="N16" i="23" s="1"/>
  <c r="BA21" i="13"/>
  <c r="BB21" i="13" s="1"/>
  <c r="M17" i="9"/>
  <c r="N17" i="9" s="1"/>
  <c r="BA13" i="8"/>
  <c r="BB13" i="8" s="1"/>
  <c r="BA13" i="9"/>
  <c r="BB13" i="9" s="1"/>
  <c r="M10" i="7"/>
  <c r="N10" i="7" s="1"/>
  <c r="M20" i="3"/>
  <c r="N20" i="3" s="1"/>
  <c r="M13" i="8"/>
  <c r="N13" i="8" s="1"/>
  <c r="M10" i="16"/>
  <c r="N10" i="16" s="1"/>
  <c r="BA14" i="2"/>
  <c r="BB14" i="2" s="1"/>
  <c r="M19" i="22"/>
  <c r="N19" i="22" s="1"/>
  <c r="BA10" i="4"/>
  <c r="BB10" i="4" s="1"/>
  <c r="BA17" i="16"/>
  <c r="BB17" i="16" s="1"/>
  <c r="M15" i="1"/>
  <c r="N15" i="1" s="1"/>
  <c r="M18" i="2"/>
  <c r="N18" i="2" s="1"/>
  <c r="BA22" i="2"/>
  <c r="BB22" i="2" s="1"/>
  <c r="BA23" i="18"/>
  <c r="BB23" i="18" s="1"/>
  <c r="M21" i="23"/>
  <c r="N21" i="23" s="1"/>
  <c r="M15" i="22"/>
  <c r="N15" i="22" s="1"/>
  <c r="M22" i="14"/>
  <c r="N22" i="14" s="1"/>
  <c r="BA19" i="7"/>
  <c r="BB19" i="7" s="1"/>
  <c r="M21" i="53"/>
  <c r="N21" i="53" s="1"/>
  <c r="BA14" i="8"/>
  <c r="BB14" i="8" s="1"/>
  <c r="M22" i="17"/>
  <c r="N22" i="17" s="1"/>
  <c r="M21" i="10"/>
  <c r="N21" i="10" s="1"/>
  <c r="BA16" i="7"/>
  <c r="BB16" i="7" s="1"/>
  <c r="BA13" i="4"/>
  <c r="BB13" i="4" s="1"/>
  <c r="BA23" i="21"/>
  <c r="BB23" i="21" s="1"/>
  <c r="M20" i="24"/>
  <c r="N20" i="24" s="1"/>
  <c r="BA13" i="22"/>
  <c r="BB13" i="22" s="1"/>
  <c r="M13" i="12"/>
  <c r="N13" i="12" s="1"/>
  <c r="M21" i="24"/>
  <c r="N21" i="24" s="1"/>
  <c r="BA11" i="4"/>
  <c r="BB11" i="4" s="1"/>
  <c r="BA10" i="3"/>
  <c r="BB10" i="3" s="1"/>
  <c r="M11" i="25"/>
  <c r="N11" i="25" s="1"/>
  <c r="M19" i="53"/>
  <c r="N19" i="53" s="1"/>
  <c r="BA12" i="23"/>
  <c r="BB12" i="23" s="1"/>
  <c r="BA20" i="15"/>
  <c r="BB20" i="15" s="1"/>
  <c r="BA22" i="10"/>
  <c r="BB22" i="10" s="1"/>
  <c r="BA17" i="22"/>
  <c r="BB17" i="22" s="1"/>
  <c r="BA14" i="53"/>
  <c r="BB14" i="53" s="1"/>
  <c r="BA22" i="16"/>
  <c r="BB22" i="16" s="1"/>
  <c r="BA16" i="23"/>
  <c r="BB16" i="23" s="1"/>
  <c r="BA12" i="15"/>
  <c r="BB12" i="15" s="1"/>
  <c r="M16" i="5"/>
  <c r="N16" i="5" s="1"/>
  <c r="BA17" i="19"/>
  <c r="BB17" i="19" s="1"/>
  <c r="BA15" i="14"/>
  <c r="BB15" i="14" s="1"/>
  <c r="BA16" i="1"/>
  <c r="BB16" i="1" s="1"/>
  <c r="M18" i="7"/>
  <c r="N18" i="7" s="1"/>
  <c r="M17" i="8"/>
  <c r="N17" i="8" s="1"/>
  <c r="M11" i="16"/>
  <c r="N11" i="16" s="1"/>
  <c r="M18" i="16"/>
  <c r="N18" i="16" s="1"/>
  <c r="M14" i="16"/>
  <c r="N14" i="16" s="1"/>
  <c r="BA19" i="14"/>
  <c r="BB19" i="14" s="1"/>
  <c r="BA19" i="16"/>
  <c r="BB19" i="16" s="1"/>
  <c r="M16" i="13"/>
  <c r="N16" i="13" s="1"/>
  <c r="BA19" i="22"/>
  <c r="BB19" i="22" s="1"/>
  <c r="M12" i="22"/>
  <c r="N12" i="22" s="1"/>
  <c r="BA11" i="25"/>
  <c r="BB11" i="25" s="1"/>
  <c r="BA19" i="1"/>
  <c r="BB19" i="1" s="1"/>
  <c r="BA21" i="4"/>
  <c r="BB21" i="4" s="1"/>
  <c r="BA20" i="19"/>
  <c r="BB20" i="19" s="1"/>
  <c r="BA22" i="15"/>
  <c r="BB22" i="15" s="1"/>
  <c r="M19" i="2"/>
  <c r="N19" i="2" s="1"/>
  <c r="BA19" i="11"/>
  <c r="BB19" i="11" s="1"/>
  <c r="M13" i="19"/>
  <c r="N13" i="19" s="1"/>
  <c r="M12" i="4"/>
  <c r="N12" i="4" s="1"/>
  <c r="BA19" i="3"/>
  <c r="BB19" i="3" s="1"/>
  <c r="M23" i="5"/>
  <c r="N23" i="5" s="1"/>
  <c r="BA21" i="14"/>
  <c r="BB21" i="14" s="1"/>
  <c r="BA15" i="24"/>
  <c r="BB15" i="24" s="1"/>
  <c r="BA10" i="23"/>
  <c r="BB10" i="23" s="1"/>
  <c r="M20" i="13"/>
  <c r="N20" i="13" s="1"/>
  <c r="M18" i="22"/>
  <c r="N18" i="22" s="1"/>
  <c r="M23" i="2"/>
  <c r="N23" i="2" s="1"/>
  <c r="BA21" i="12"/>
  <c r="BB21" i="12" s="1"/>
  <c r="M19" i="10"/>
  <c r="N19" i="10" s="1"/>
  <c r="M22" i="1"/>
  <c r="N22" i="1" s="1"/>
  <c r="M11" i="17"/>
  <c r="N11" i="17" s="1"/>
  <c r="M14" i="3"/>
  <c r="N14" i="3" s="1"/>
  <c r="BA12" i="1"/>
  <c r="BB12" i="1" s="1"/>
  <c r="BA20" i="9"/>
  <c r="BB20" i="9" s="1"/>
  <c r="BA17" i="4"/>
  <c r="BB17" i="4" s="1"/>
  <c r="BA22" i="11"/>
  <c r="BB22" i="11" s="1"/>
  <c r="M15" i="7"/>
  <c r="N15" i="7" s="1"/>
  <c r="M23" i="16"/>
  <c r="N23" i="16" s="1"/>
  <c r="M17" i="15"/>
  <c r="N17" i="15" s="1"/>
  <c r="BA19" i="12"/>
  <c r="BB19" i="12" s="1"/>
  <c r="BA18" i="24"/>
  <c r="BB18" i="24" s="1"/>
  <c r="BA14" i="18"/>
  <c r="BB14" i="18" s="1"/>
  <c r="M19" i="6"/>
  <c r="N19" i="6" s="1"/>
  <c r="M17" i="1"/>
  <c r="N17" i="1" s="1"/>
  <c r="M15" i="14"/>
  <c r="N15" i="14" s="1"/>
  <c r="BA18" i="3"/>
  <c r="BB18" i="3" s="1"/>
  <c r="M13" i="9"/>
  <c r="N13" i="9" s="1"/>
  <c r="BA19" i="20"/>
  <c r="BB19" i="20" s="1"/>
  <c r="M10" i="8"/>
  <c r="N10" i="8" s="1"/>
  <c r="BA14" i="7"/>
  <c r="BB14" i="7" s="1"/>
  <c r="M22" i="15"/>
  <c r="N22" i="15" s="1"/>
  <c r="M18" i="8"/>
  <c r="N18" i="8" s="1"/>
  <c r="BA16" i="15"/>
  <c r="BB16" i="15" s="1"/>
  <c r="M21" i="7"/>
  <c r="N21" i="7" s="1"/>
  <c r="M14" i="14"/>
  <c r="N14" i="14" s="1"/>
  <c r="BA10" i="13"/>
  <c r="BB10" i="13" s="1"/>
  <c r="BA18" i="15"/>
  <c r="BB18" i="15" s="1"/>
  <c r="BA13" i="2"/>
  <c r="BB13" i="2" s="1"/>
  <c r="BA15" i="6"/>
  <c r="BB15" i="6" s="1"/>
  <c r="BA21" i="23"/>
  <c r="BB21" i="23" s="1"/>
  <c r="M10" i="17"/>
  <c r="N10" i="17" s="1"/>
  <c r="BA16" i="16"/>
  <c r="BB16" i="16" s="1"/>
  <c r="M15" i="12"/>
  <c r="N15" i="12" s="1"/>
  <c r="M20" i="4"/>
  <c r="N20" i="4" s="1"/>
  <c r="M21" i="4"/>
  <c r="N21" i="4" s="1"/>
  <c r="BA11" i="9"/>
  <c r="BB11" i="9" s="1"/>
  <c r="M20" i="9"/>
  <c r="N20" i="9" s="1"/>
  <c r="M10" i="25"/>
  <c r="N10" i="25" s="1"/>
  <c r="M12" i="16"/>
  <c r="N12" i="16" s="1"/>
  <c r="BA15" i="4"/>
  <c r="BB15" i="4" s="1"/>
  <c r="M18" i="6"/>
  <c r="N18" i="6" s="1"/>
  <c r="M21" i="16"/>
  <c r="N21" i="16" s="1"/>
  <c r="M14" i="9"/>
  <c r="N14" i="9" s="1"/>
  <c r="M23" i="20"/>
  <c r="N23" i="20" s="1"/>
  <c r="M20" i="53"/>
  <c r="N20" i="53" s="1"/>
  <c r="M22" i="20"/>
  <c r="N22" i="20" s="1"/>
  <c r="M17" i="4"/>
  <c r="N17" i="4" s="1"/>
  <c r="BA22" i="1"/>
  <c r="BB22" i="1" s="1"/>
  <c r="BA21" i="19"/>
  <c r="BB21" i="19" s="1"/>
  <c r="BA20" i="10"/>
  <c r="BB20" i="10" s="1"/>
  <c r="BA22" i="22"/>
  <c r="BB22" i="22" s="1"/>
  <c r="M18" i="25"/>
  <c r="N18" i="25" s="1"/>
  <c r="BA12" i="11"/>
  <c r="BB12" i="11" s="1"/>
  <c r="BA15" i="22"/>
  <c r="BB15" i="22" s="1"/>
  <c r="BA22" i="53"/>
  <c r="BB22" i="53" s="1"/>
  <c r="M16" i="11"/>
  <c r="N16" i="11" s="1"/>
  <c r="BA10" i="25"/>
  <c r="BB10" i="25" s="1"/>
  <c r="BA17" i="15"/>
  <c r="BB17" i="15" s="1"/>
  <c r="M21" i="20"/>
  <c r="N21" i="20" s="1"/>
  <c r="BA19" i="17"/>
  <c r="BB19" i="17" s="1"/>
  <c r="M19" i="1"/>
  <c r="N19" i="1" s="1"/>
  <c r="M15" i="9"/>
  <c r="N15" i="9" s="1"/>
  <c r="BA20" i="7"/>
  <c r="BB20" i="7" s="1"/>
  <c r="M17" i="20"/>
  <c r="N17" i="20" s="1"/>
  <c r="M11" i="9"/>
  <c r="N11" i="9" s="1"/>
  <c r="M14" i="10"/>
  <c r="N14" i="10" s="1"/>
  <c r="BA12" i="12"/>
  <c r="BB12" i="12" s="1"/>
  <c r="BA12" i="3"/>
  <c r="BB12" i="3" s="1"/>
  <c r="M16" i="8"/>
  <c r="N16" i="8" s="1"/>
  <c r="M17" i="14"/>
  <c r="N17" i="14" s="1"/>
  <c r="M21" i="25"/>
  <c r="N21" i="25" s="1"/>
  <c r="BA23" i="9"/>
  <c r="BB23" i="9" s="1"/>
  <c r="BA18" i="14"/>
  <c r="BB18" i="14" s="1"/>
  <c r="M15" i="20"/>
  <c r="N15" i="20" s="1"/>
  <c r="M22" i="5"/>
  <c r="N22" i="5" s="1"/>
  <c r="M16" i="22"/>
  <c r="N16" i="22" s="1"/>
  <c r="M11" i="24"/>
  <c r="N11" i="24" s="1"/>
  <c r="BA17" i="10"/>
  <c r="BB17" i="10" s="1"/>
  <c r="BA14" i="5"/>
  <c r="BB14" i="5" s="1"/>
  <c r="M12" i="6"/>
  <c r="N12" i="6" s="1"/>
  <c r="BA19" i="9"/>
  <c r="BB19" i="9" s="1"/>
  <c r="BA15" i="16"/>
  <c r="BB15" i="16" s="1"/>
  <c r="M14" i="19"/>
  <c r="N14" i="19" s="1"/>
  <c r="M17" i="22"/>
  <c r="N17" i="22" s="1"/>
  <c r="M22" i="6"/>
  <c r="N22" i="6" s="1"/>
  <c r="BA17" i="20"/>
  <c r="BB17" i="20" s="1"/>
  <c r="BA23" i="25"/>
  <c r="BB23" i="25" s="1"/>
  <c r="M12" i="8"/>
  <c r="N12" i="8" s="1"/>
  <c r="BA11" i="18"/>
  <c r="BB11" i="18" s="1"/>
  <c r="M17" i="53"/>
  <c r="N17" i="53" s="1"/>
  <c r="M15" i="10"/>
  <c r="N15" i="10" s="1"/>
  <c r="M20" i="8"/>
  <c r="N20" i="8" s="1"/>
  <c r="M13" i="13"/>
  <c r="N13" i="13" s="1"/>
  <c r="M13" i="14"/>
  <c r="N13" i="14" s="1"/>
  <c r="BA12" i="53"/>
  <c r="BB12" i="53" s="1"/>
  <c r="BA16" i="5"/>
  <c r="BB16" i="5" s="1"/>
  <c r="BA14" i="17"/>
  <c r="BB14" i="17" s="1"/>
  <c r="M22" i="16"/>
  <c r="N22" i="16" s="1"/>
  <c r="M18" i="18"/>
  <c r="N18" i="18" s="1"/>
  <c r="M10" i="24"/>
  <c r="N10" i="24" s="1"/>
  <c r="BA14" i="14"/>
  <c r="BB14" i="14" s="1"/>
  <c r="M19" i="20"/>
  <c r="N19" i="20" s="1"/>
  <c r="BA17" i="12"/>
  <c r="BB17" i="12" s="1"/>
  <c r="BA15" i="20"/>
  <c r="BB15" i="20" s="1"/>
  <c r="BA16" i="25"/>
  <c r="BB16" i="25" s="1"/>
  <c r="M21" i="13"/>
  <c r="N21" i="13" s="1"/>
  <c r="M15" i="8"/>
  <c r="N15" i="8" s="1"/>
  <c r="M22" i="10"/>
  <c r="N22" i="10" s="1"/>
  <c r="BA20" i="13"/>
  <c r="BB20" i="13" s="1"/>
  <c r="BA18" i="25"/>
  <c r="BB18" i="25" s="1"/>
  <c r="BA10" i="9"/>
  <c r="BB10" i="9" s="1"/>
  <c r="M20" i="20"/>
  <c r="N20" i="20" s="1"/>
  <c r="BA10" i="24"/>
  <c r="BB10" i="24" s="1"/>
  <c r="BA23" i="7"/>
  <c r="BB23" i="7" s="1"/>
  <c r="BA21" i="17"/>
  <c r="BB21" i="17" s="1"/>
  <c r="BA14" i="9"/>
  <c r="BB14" i="9" s="1"/>
  <c r="BA13" i="14"/>
  <c r="BB13" i="14" s="1"/>
  <c r="M11" i="22"/>
  <c r="N11" i="22" s="1"/>
  <c r="BA23" i="1"/>
  <c r="BB23" i="1" s="1"/>
  <c r="BA21" i="24"/>
  <c r="BB21" i="24" s="1"/>
  <c r="BA19" i="6"/>
  <c r="BB19" i="6" s="1"/>
  <c r="M19" i="3"/>
  <c r="N19" i="3" s="1"/>
  <c r="M15" i="18"/>
  <c r="N15" i="18" s="1"/>
  <c r="BA20" i="3"/>
  <c r="BB20" i="3" s="1"/>
  <c r="BA17" i="23"/>
  <c r="BB17" i="23" s="1"/>
  <c r="BA21" i="25"/>
  <c r="BB21" i="25" s="1"/>
  <c r="M15" i="15"/>
  <c r="N15" i="15" s="1"/>
  <c r="BA15" i="12"/>
  <c r="BB15" i="12" s="1"/>
  <c r="BA16" i="17"/>
  <c r="BB16" i="17" s="1"/>
  <c r="M11" i="13"/>
  <c r="N11" i="13" s="1"/>
  <c r="BA13" i="6"/>
  <c r="BB13" i="6" s="1"/>
  <c r="M21" i="14"/>
  <c r="N21" i="14" s="1"/>
  <c r="BA14" i="12"/>
  <c r="BB14" i="12" s="1"/>
  <c r="M13" i="1"/>
  <c r="N13" i="1" s="1"/>
  <c r="M19" i="19"/>
  <c r="N19" i="19" s="1"/>
  <c r="M19" i="13"/>
  <c r="N19" i="13" s="1"/>
  <c r="BA23" i="23"/>
  <c r="BB23" i="23" s="1"/>
  <c r="BA16" i="53"/>
  <c r="BB16" i="53" s="1"/>
  <c r="M16" i="3"/>
  <c r="N16" i="3" s="1"/>
  <c r="M10" i="3"/>
  <c r="N10" i="3" s="1"/>
  <c r="BA14" i="25"/>
  <c r="BB14" i="25" s="1"/>
  <c r="BA22" i="8"/>
  <c r="BB22" i="8" s="1"/>
  <c r="M18" i="11"/>
  <c r="N18" i="11" s="1"/>
  <c r="BA11" i="20"/>
  <c r="BB11" i="20" s="1"/>
  <c r="M20" i="11"/>
  <c r="N20" i="11" s="1"/>
  <c r="M12" i="3"/>
  <c r="N12" i="3" s="1"/>
  <c r="BA18" i="4"/>
  <c r="BB18" i="4" s="1"/>
  <c r="M22" i="23"/>
  <c r="N22" i="23" s="1"/>
  <c r="BA20" i="1"/>
  <c r="BB20" i="1" s="1"/>
  <c r="M10" i="14"/>
  <c r="N10" i="14" s="1"/>
  <c r="M13" i="10"/>
  <c r="N13" i="10" s="1"/>
  <c r="M20" i="12"/>
  <c r="N20" i="12" s="1"/>
  <c r="M16" i="12"/>
  <c r="N16" i="12" s="1"/>
  <c r="BA13" i="11"/>
  <c r="BB13" i="11" s="1"/>
  <c r="M11" i="1"/>
  <c r="N11" i="1" s="1"/>
  <c r="M23" i="7"/>
  <c r="N23" i="7" s="1"/>
  <c r="BA20" i="22"/>
  <c r="BB20" i="22" s="1"/>
  <c r="M18" i="13"/>
  <c r="N18" i="13" s="1"/>
  <c r="BA17" i="18"/>
  <c r="BB17" i="18" s="1"/>
  <c r="M11" i="2"/>
  <c r="N11" i="2" s="1"/>
  <c r="BA10" i="22"/>
  <c r="BB10" i="22" s="1"/>
  <c r="BA23" i="15"/>
  <c r="BB23" i="15" s="1"/>
  <c r="BA15" i="9"/>
  <c r="BB15" i="9" s="1"/>
  <c r="M19" i="9"/>
  <c r="N19" i="9" s="1"/>
  <c r="BA10" i="1"/>
  <c r="BB10" i="1" s="1"/>
  <c r="BA15" i="3"/>
  <c r="BB15" i="3" s="1"/>
  <c r="M22" i="22"/>
  <c r="N22" i="22" s="1"/>
  <c r="M17" i="12"/>
  <c r="N17" i="12" s="1"/>
  <c r="BA20" i="53"/>
  <c r="BB20" i="53" s="1"/>
  <c r="BA19" i="18"/>
  <c r="BB19" i="18" s="1"/>
  <c r="M22" i="2"/>
  <c r="N22" i="2" s="1"/>
  <c r="BA12" i="9"/>
  <c r="BB12" i="9" s="1"/>
  <c r="BA22" i="20"/>
  <c r="BB22" i="20" s="1"/>
  <c r="M11" i="53"/>
  <c r="N11" i="53" s="1"/>
  <c r="M20" i="21"/>
  <c r="N20" i="21" s="1"/>
  <c r="M21" i="19"/>
  <c r="N21" i="19" s="1"/>
  <c r="M23" i="3"/>
  <c r="N23" i="3" s="1"/>
  <c r="BA14" i="15"/>
  <c r="BB14" i="15" s="1"/>
  <c r="M10" i="20"/>
  <c r="N10" i="20" s="1"/>
  <c r="BA18" i="10"/>
  <c r="BB18" i="10" s="1"/>
  <c r="BA11" i="1"/>
  <c r="BB11" i="1" s="1"/>
  <c r="BA14" i="16"/>
  <c r="BB14" i="16" s="1"/>
  <c r="M13" i="23"/>
  <c r="N13" i="23" s="1"/>
  <c r="BA18" i="9"/>
  <c r="BB18" i="9" s="1"/>
  <c r="BA23" i="24"/>
  <c r="BB23" i="24" s="1"/>
  <c r="BA12" i="8"/>
  <c r="BB12" i="8" s="1"/>
  <c r="M15" i="17"/>
  <c r="N15" i="17" s="1"/>
  <c r="M19" i="11"/>
  <c r="N19" i="11" s="1"/>
  <c r="M20" i="16"/>
  <c r="N20" i="16" s="1"/>
  <c r="BA16" i="19"/>
  <c r="BB16" i="19" s="1"/>
  <c r="M10" i="23"/>
  <c r="N10" i="23" s="1"/>
  <c r="M14" i="15"/>
  <c r="N14" i="15" s="1"/>
  <c r="M22" i="9"/>
  <c r="N22" i="9" s="1"/>
  <c r="BA12" i="5"/>
  <c r="BB12" i="5" s="1"/>
  <c r="BA11" i="12"/>
  <c r="BB11" i="12" s="1"/>
  <c r="BA22" i="23"/>
  <c r="BB22" i="23" s="1"/>
  <c r="M23" i="15"/>
  <c r="N23" i="15" s="1"/>
  <c r="M20" i="1"/>
  <c r="N20" i="1" s="1"/>
  <c r="M21" i="3"/>
  <c r="N21" i="3" s="1"/>
  <c r="BA22" i="21"/>
  <c r="BB22" i="21" s="1"/>
  <c r="M11" i="8"/>
  <c r="N11" i="8" s="1"/>
  <c r="M20" i="2"/>
  <c r="N20" i="2" s="1"/>
  <c r="M17" i="2"/>
  <c r="N17" i="2" s="1"/>
  <c r="BA18" i="8"/>
  <c r="BB18" i="8" s="1"/>
  <c r="BA20" i="21"/>
  <c r="BB20" i="21" s="1"/>
  <c r="BA10" i="8"/>
  <c r="BB10" i="8" s="1"/>
  <c r="BA22" i="25"/>
  <c r="BB22" i="25" s="1"/>
  <c r="M12" i="2"/>
  <c r="N12" i="2" s="1"/>
  <c r="BA13" i="12"/>
  <c r="BB13" i="12" s="1"/>
  <c r="M12" i="25"/>
  <c r="N12" i="25" s="1"/>
  <c r="BA17" i="11"/>
  <c r="BB17" i="11" s="1"/>
  <c r="BA18" i="7"/>
  <c r="BB18" i="7" s="1"/>
  <c r="BA17" i="8"/>
  <c r="BB17" i="8" s="1"/>
  <c r="BA16" i="11"/>
  <c r="BB16" i="11" s="1"/>
  <c r="M20" i="19"/>
  <c r="N20" i="19" s="1"/>
  <c r="M23" i="11"/>
  <c r="N23" i="11" s="1"/>
  <c r="BA12" i="24"/>
  <c r="BB12" i="24" s="1"/>
  <c r="M19" i="18"/>
  <c r="N19" i="18" s="1"/>
  <c r="M19" i="14"/>
  <c r="N19" i="14" s="1"/>
  <c r="BA23" i="5"/>
  <c r="BB23" i="5" s="1"/>
  <c r="BA15" i="13"/>
  <c r="BB15" i="13" s="1"/>
  <c r="M18" i="20"/>
  <c r="N18" i="20" s="1"/>
  <c r="BA17" i="3"/>
  <c r="BB17" i="3" s="1"/>
  <c r="BA20" i="18"/>
  <c r="BB20" i="18" s="1"/>
  <c r="M16" i="53"/>
  <c r="N16" i="53" s="1"/>
  <c r="BA19" i="24"/>
  <c r="BB19" i="24" s="1"/>
  <c r="M16" i="6"/>
  <c r="N16" i="6" s="1"/>
  <c r="M21" i="8"/>
  <c r="N21" i="8" s="1"/>
  <c r="M18" i="24"/>
  <c r="N18" i="24" s="1"/>
  <c r="M10" i="13"/>
  <c r="N10" i="13" s="1"/>
  <c r="BA13" i="1"/>
  <c r="BB13" i="1" s="1"/>
  <c r="BA13" i="21"/>
  <c r="BB13" i="21" s="1"/>
  <c r="M23" i="25"/>
  <c r="N23" i="25" s="1"/>
  <c r="M13" i="18"/>
  <c r="N13" i="18" s="1"/>
  <c r="M20" i="17"/>
  <c r="N20" i="17" s="1"/>
  <c r="BA17" i="13"/>
  <c r="BB17" i="13" s="1"/>
  <c r="BA18" i="20"/>
  <c r="BB18" i="20" s="1"/>
  <c r="BA11" i="17"/>
  <c r="BB11" i="17" s="1"/>
  <c r="M10" i="21"/>
  <c r="N10" i="21" s="1"/>
  <c r="M23" i="6"/>
  <c r="N23" i="6" s="1"/>
  <c r="M10" i="4"/>
  <c r="N10" i="4" s="1"/>
  <c r="BA14" i="21"/>
  <c r="BB14" i="21" s="1"/>
  <c r="M16" i="4"/>
  <c r="N16" i="4" s="1"/>
  <c r="BA12" i="7"/>
  <c r="BB12" i="7" s="1"/>
  <c r="BA18" i="19"/>
  <c r="BB18" i="19" s="1"/>
  <c r="BA11" i="14"/>
  <c r="BB11" i="14" s="1"/>
  <c r="BA13" i="5"/>
  <c r="BB13" i="5" s="1"/>
  <c r="M19" i="4"/>
  <c r="N19" i="4" s="1"/>
  <c r="M14" i="1"/>
  <c r="N14" i="1" s="1"/>
  <c r="M22" i="53"/>
  <c r="N22" i="53" s="1"/>
  <c r="M21" i="5"/>
  <c r="N21" i="5" s="1"/>
  <c r="BA15" i="11"/>
  <c r="BB15" i="11" s="1"/>
  <c r="BA21" i="3"/>
  <c r="BB21" i="3" s="1"/>
  <c r="BA12" i="13"/>
  <c r="BB12" i="13" s="1"/>
  <c r="M22" i="18"/>
  <c r="N22" i="18" s="1"/>
  <c r="M11" i="18"/>
  <c r="N11" i="18" s="1"/>
  <c r="BA23" i="12"/>
  <c r="BB23" i="12" s="1"/>
  <c r="M10" i="18"/>
  <c r="N10" i="18" s="1"/>
  <c r="BA15" i="25"/>
  <c r="BB15" i="25" s="1"/>
  <c r="BA20" i="24"/>
  <c r="BB20" i="24" s="1"/>
  <c r="BA12" i="19"/>
  <c r="BB12" i="19" s="1"/>
  <c r="BA21" i="16"/>
  <c r="BB21" i="16" s="1"/>
  <c r="BA20" i="2"/>
  <c r="BB20" i="2" s="1"/>
  <c r="M21" i="2"/>
  <c r="N21" i="2" s="1"/>
  <c r="BA18" i="6"/>
  <c r="BB18" i="6" s="1"/>
  <c r="M17" i="5"/>
  <c r="N17" i="5" s="1"/>
  <c r="M14" i="17"/>
  <c r="N14" i="17" s="1"/>
  <c r="BA10" i="10"/>
  <c r="BB10" i="10" s="1"/>
  <c r="M19" i="16"/>
  <c r="N19" i="16" s="1"/>
  <c r="M16" i="19"/>
  <c r="N16" i="19" s="1"/>
  <c r="BA15" i="19"/>
  <c r="BB15" i="19" s="1"/>
  <c r="M19" i="12"/>
  <c r="N19" i="12" s="1"/>
  <c r="BA10" i="6"/>
  <c r="BB10" i="6" s="1"/>
  <c r="BA16" i="6"/>
  <c r="BB16" i="6" s="1"/>
  <c r="BA10" i="19"/>
  <c r="BB10" i="19" s="1"/>
  <c r="M23" i="1"/>
  <c r="N23" i="1" s="1"/>
  <c r="M13" i="16"/>
  <c r="N13" i="16" s="1"/>
  <c r="BA15" i="5"/>
  <c r="BB15" i="5" s="1"/>
  <c r="M14" i="22"/>
  <c r="N14" i="22" s="1"/>
  <c r="M13" i="15"/>
  <c r="N13" i="15" s="1"/>
  <c r="BA21" i="22"/>
  <c r="BB21" i="22" s="1"/>
  <c r="M23" i="12"/>
  <c r="N23" i="12" s="1"/>
  <c r="BA16" i="8"/>
  <c r="BB16" i="8" s="1"/>
  <c r="BA19" i="25"/>
  <c r="BB19" i="25" s="1"/>
  <c r="M15" i="2"/>
  <c r="N15" i="2" s="1"/>
  <c r="BA20" i="11"/>
  <c r="BB20" i="11" s="1"/>
  <c r="BA14" i="22"/>
  <c r="BB14" i="22" s="1"/>
  <c r="M12" i="18"/>
  <c r="N12" i="18" s="1"/>
  <c r="BA11" i="21"/>
  <c r="BB11" i="21" s="1"/>
  <c r="M23" i="53"/>
  <c r="N23" i="53" s="1"/>
  <c r="M10" i="6"/>
  <c r="N10" i="6" s="1"/>
  <c r="BA16" i="9"/>
  <c r="BB16" i="9" s="1"/>
  <c r="BA17" i="14"/>
  <c r="BB17" i="14" s="1"/>
  <c r="M19" i="23"/>
  <c r="N19" i="23" s="1"/>
  <c r="BA10" i="16"/>
  <c r="BB10" i="16" s="1"/>
  <c r="M13" i="2"/>
  <c r="N13" i="2" s="1"/>
  <c r="M10" i="15"/>
  <c r="N10" i="15" s="1"/>
  <c r="BA22" i="24"/>
  <c r="BB22" i="24" s="1"/>
  <c r="BA20" i="12"/>
  <c r="BB20" i="12" s="1"/>
  <c r="BA18" i="12"/>
  <c r="BB18" i="12" s="1"/>
  <c r="M23" i="19"/>
  <c r="N23" i="19" s="1"/>
  <c r="M21" i="18"/>
  <c r="N21" i="18" s="1"/>
  <c r="BA23" i="13"/>
  <c r="BB23" i="13" s="1"/>
  <c r="M11" i="5"/>
  <c r="N11" i="5" s="1"/>
  <c r="M20" i="25"/>
  <c r="N20" i="25" s="1"/>
  <c r="M11" i="11"/>
  <c r="N11" i="11" s="1"/>
  <c r="BA14" i="10"/>
  <c r="BB14" i="10" s="1"/>
  <c r="M18" i="14"/>
  <c r="N18" i="14" s="1"/>
  <c r="BA15" i="1"/>
  <c r="BB15" i="1" s="1"/>
  <c r="M16" i="15"/>
  <c r="N16" i="15" s="1"/>
  <c r="BA10" i="15"/>
  <c r="BB10" i="15" s="1"/>
  <c r="M15" i="23"/>
  <c r="N15" i="23" s="1"/>
  <c r="M22" i="3"/>
  <c r="N22" i="3" s="1"/>
  <c r="BA16" i="3"/>
  <c r="BB16" i="3" s="1"/>
  <c r="BA14" i="20"/>
  <c r="BB14" i="20" s="1"/>
  <c r="M23" i="24"/>
  <c r="N23" i="24" s="1"/>
  <c r="BA16" i="24"/>
  <c r="BB16" i="24" s="1"/>
  <c r="M12" i="23"/>
  <c r="N12" i="23" s="1"/>
  <c r="M11" i="6"/>
  <c r="N11" i="6" s="1"/>
  <c r="BA21" i="8"/>
  <c r="BB21" i="8" s="1"/>
  <c r="M23" i="17"/>
  <c r="N23" i="17" s="1"/>
  <c r="M22" i="8"/>
  <c r="N22" i="8" s="1"/>
  <c r="M17" i="19"/>
  <c r="N17" i="19" s="1"/>
  <c r="M10" i="11"/>
  <c r="N10" i="11" s="1"/>
  <c r="M13" i="3"/>
  <c r="N13" i="3" s="1"/>
  <c r="BA11" i="8"/>
  <c r="BB11" i="8" s="1"/>
  <c r="M14" i="24"/>
  <c r="N14" i="24" s="1"/>
  <c r="M12" i="13"/>
  <c r="N12" i="13" s="1"/>
  <c r="M22" i="24"/>
  <c r="N22" i="24" s="1"/>
  <c r="BA16" i="12"/>
  <c r="BB16" i="12" s="1"/>
  <c r="BA20" i="25"/>
  <c r="BB20" i="25" s="1"/>
  <c r="M23" i="21"/>
  <c r="N23" i="21" s="1"/>
  <c r="BA17" i="25"/>
  <c r="BB17" i="25" s="1"/>
  <c r="M10" i="19"/>
  <c r="N10" i="19" s="1"/>
  <c r="M15" i="16"/>
  <c r="N15" i="16" s="1"/>
  <c r="BA14" i="23"/>
  <c r="BB14" i="23" s="1"/>
  <c r="BA21" i="7"/>
  <c r="BB21" i="7" s="1"/>
  <c r="BA14" i="13"/>
  <c r="BB14" i="13" s="1"/>
  <c r="BA16" i="13"/>
  <c r="BB16" i="13" s="1"/>
  <c r="M17" i="10"/>
  <c r="N17" i="10" s="1"/>
  <c r="BA16" i="22"/>
  <c r="BB16" i="22" s="1"/>
  <c r="M14" i="12"/>
  <c r="N14" i="12" s="1"/>
  <c r="BA12" i="20"/>
  <c r="BB12" i="20" s="1"/>
  <c r="M18" i="3"/>
  <c r="N18" i="3" s="1"/>
  <c r="M16" i="2"/>
  <c r="N16" i="2" s="1"/>
  <c r="BA10" i="20"/>
  <c r="BB10" i="20" s="1"/>
  <c r="BA13" i="25"/>
  <c r="BB13" i="25" s="1"/>
  <c r="M12" i="15"/>
  <c r="N12" i="15" s="1"/>
  <c r="BA10" i="7"/>
  <c r="BB10" i="7" s="1"/>
  <c r="BA22" i="13"/>
  <c r="BB22" i="13" s="1"/>
  <c r="BA18" i="17"/>
  <c r="BB18" i="17" s="1"/>
  <c r="M15" i="53"/>
  <c r="N15" i="53" s="1"/>
  <c r="BA14" i="24"/>
  <c r="BB14" i="24" s="1"/>
  <c r="BA14" i="6"/>
  <c r="BB14" i="6" s="1"/>
  <c r="M21" i="1"/>
  <c r="N21" i="1" s="1"/>
  <c r="M22" i="11"/>
  <c r="N22" i="11" s="1"/>
  <c r="M15" i="19"/>
  <c r="N15" i="19" s="1"/>
  <c r="M20" i="22"/>
  <c r="N20" i="22" s="1"/>
  <c r="BA23" i="4"/>
  <c r="BB23" i="4" s="1"/>
  <c r="BA11" i="23"/>
  <c r="BB11" i="23" s="1"/>
  <c r="BA17" i="9"/>
  <c r="BB17" i="9" s="1"/>
  <c r="BA12" i="21"/>
  <c r="BB12" i="21" s="1"/>
  <c r="M16" i="21"/>
  <c r="N16" i="21" s="1"/>
  <c r="BA15" i="53"/>
  <c r="BB15" i="53" s="1"/>
  <c r="BA20" i="14"/>
  <c r="BB20" i="14" s="1"/>
  <c r="BA21" i="53"/>
  <c r="BB21" i="53" s="1"/>
  <c r="BA19" i="4"/>
  <c r="BB19" i="4" s="1"/>
  <c r="BA17" i="21"/>
  <c r="BB17" i="21" s="1"/>
  <c r="M23" i="18"/>
  <c r="N23" i="18" s="1"/>
  <c r="M17" i="13"/>
  <c r="N17" i="13" s="1"/>
  <c r="M22" i="21"/>
  <c r="N22" i="21" s="1"/>
  <c r="BA18" i="21"/>
  <c r="BB18" i="21" s="1"/>
  <c r="M11" i="3"/>
  <c r="N11" i="3" s="1"/>
  <c r="BA23" i="11"/>
  <c r="BB23" i="11" s="1"/>
  <c r="BA17" i="1"/>
  <c r="BB17" i="1" s="1"/>
  <c r="BA20" i="23"/>
  <c r="BB20" i="23" s="1"/>
  <c r="M11" i="7"/>
  <c r="N11" i="7" s="1"/>
  <c r="BA22" i="19"/>
  <c r="BB22" i="19" s="1"/>
  <c r="M12" i="17"/>
  <c r="N12" i="17" s="1"/>
  <c r="BA23" i="22"/>
  <c r="BB23" i="22" s="1"/>
  <c r="M18" i="23"/>
  <c r="N18" i="23" s="1"/>
  <c r="BA11" i="16"/>
  <c r="BB11" i="16" s="1"/>
  <c r="M16" i="7"/>
  <c r="N16" i="7" s="1"/>
  <c r="BA17" i="6"/>
  <c r="BB17" i="6" s="1"/>
  <c r="M14" i="7"/>
  <c r="N14" i="7" s="1"/>
  <c r="BA16" i="4"/>
  <c r="BB16" i="4" s="1"/>
  <c r="BA21" i="2"/>
  <c r="BB21" i="2" s="1"/>
  <c r="M22" i="7"/>
  <c r="N22" i="7" s="1"/>
  <c r="M14" i="4"/>
  <c r="N14" i="4" s="1"/>
  <c r="M21" i="17"/>
  <c r="N21" i="17" s="1"/>
  <c r="M17" i="23"/>
  <c r="N17" i="23" s="1"/>
  <c r="M20" i="18"/>
  <c r="N20" i="18" s="1"/>
  <c r="BA19" i="21"/>
  <c r="BB19" i="21" s="1"/>
  <c r="M15" i="6"/>
  <c r="N15" i="6" s="1"/>
  <c r="M17" i="18"/>
  <c r="N17" i="18" s="1"/>
  <c r="BA11" i="5"/>
  <c r="BB11" i="5" s="1"/>
  <c r="BA17" i="2"/>
  <c r="BB17" i="2" s="1"/>
  <c r="BA10" i="18"/>
  <c r="BB10" i="18" s="1"/>
  <c r="M15" i="5"/>
  <c r="N15" i="5" s="1"/>
  <c r="M12" i="11"/>
  <c r="N12" i="11" s="1"/>
  <c r="BA13" i="20"/>
  <c r="BB13" i="20" s="1"/>
  <c r="M11" i="20"/>
  <c r="N11" i="20" s="1"/>
  <c r="M14" i="6"/>
  <c r="N14" i="6" s="1"/>
  <c r="M21" i="9"/>
  <c r="N21" i="9" s="1"/>
  <c r="BA22" i="17"/>
  <c r="BB22" i="17" s="1"/>
  <c r="BA23" i="20"/>
  <c r="BB23" i="20" s="1"/>
  <c r="M10" i="53"/>
  <c r="N10" i="53" s="1"/>
  <c r="M13" i="53"/>
  <c r="N13" i="53" s="1"/>
  <c r="M14" i="2"/>
  <c r="N14" i="2" s="1"/>
  <c r="M17" i="11"/>
  <c r="N17" i="11" s="1"/>
  <c r="BA23" i="19"/>
  <c r="BB23" i="19" s="1"/>
  <c r="M15" i="25"/>
  <c r="N15" i="25" s="1"/>
  <c r="BA23" i="6"/>
  <c r="BB23" i="6" s="1"/>
  <c r="BA22" i="6"/>
  <c r="BB22" i="6" s="1"/>
  <c r="M17" i="3"/>
  <c r="N17" i="3" s="1"/>
  <c r="BA18" i="2"/>
  <c r="BB18" i="2" s="1"/>
  <c r="BA11" i="6"/>
  <c r="BB11" i="6" s="1"/>
  <c r="M12" i="1"/>
  <c r="N12" i="1" s="1"/>
  <c r="M18" i="1"/>
  <c r="N18" i="1" s="1"/>
  <c r="M10" i="10"/>
  <c r="N10" i="10" s="1"/>
  <c r="M14" i="18"/>
  <c r="N14" i="18" s="1"/>
  <c r="M21" i="21"/>
  <c r="N21" i="21" s="1"/>
  <c r="M13" i="5"/>
  <c r="N13" i="5" s="1"/>
  <c r="BA11" i="22"/>
  <c r="BB11" i="22" s="1"/>
  <c r="M16" i="1"/>
  <c r="N16" i="1" s="1"/>
  <c r="BA21" i="6"/>
  <c r="BB21" i="6" s="1"/>
  <c r="BA13" i="13"/>
  <c r="BB13" i="13" s="1"/>
  <c r="M13" i="21"/>
  <c r="N13" i="21" s="1"/>
  <c r="M11" i="4"/>
  <c r="N11" i="4" s="1"/>
  <c r="BA15" i="18"/>
  <c r="BB15" i="18" s="1"/>
  <c r="M14" i="23"/>
  <c r="N14" i="23" s="1"/>
  <c r="M10" i="2"/>
  <c r="N10" i="2" s="1"/>
  <c r="M13" i="24"/>
  <c r="N13" i="24" s="1"/>
  <c r="M16" i="17"/>
  <c r="N16" i="17" s="1"/>
  <c r="BA11" i="53"/>
  <c r="BB11" i="53" s="1"/>
  <c r="BA10" i="53"/>
  <c r="BB10" i="53" s="1"/>
  <c r="M18" i="19"/>
  <c r="N18" i="19" s="1"/>
  <c r="M20" i="6"/>
  <c r="N20" i="6" s="1"/>
  <c r="BA12" i="2"/>
  <c r="BB12" i="2" s="1"/>
  <c r="BA18" i="13"/>
  <c r="BB18" i="13" s="1"/>
  <c r="M12" i="24"/>
  <c r="N12" i="24" s="1"/>
  <c r="BA15" i="21"/>
  <c r="BB15" i="21" s="1"/>
  <c r="BA10" i="17"/>
  <c r="BB10" i="17" s="1"/>
  <c r="M23" i="10"/>
  <c r="N23" i="10" s="1"/>
  <c r="BA18" i="22"/>
  <c r="BB18" i="22" s="1"/>
  <c r="BA13" i="16"/>
  <c r="BB13" i="16" s="1"/>
  <c r="BA22" i="9"/>
  <c r="BB22" i="9" s="1"/>
  <c r="M14" i="8"/>
  <c r="N14" i="8" s="1"/>
  <c r="BA18" i="5"/>
  <c r="BB18" i="5" s="1"/>
  <c r="M12" i="12"/>
  <c r="N12" i="12" s="1"/>
  <c r="M11" i="10"/>
  <c r="N11" i="10" s="1"/>
  <c r="M18" i="5"/>
  <c r="N18" i="5" s="1"/>
  <c r="BA10" i="5"/>
  <c r="BB10" i="5" s="1"/>
  <c r="M18" i="15"/>
  <c r="N18" i="15" s="1"/>
  <c r="BA15" i="2"/>
  <c r="BB15" i="2" s="1"/>
  <c r="M12" i="7"/>
  <c r="N12" i="7" s="1"/>
  <c r="M19" i="21"/>
  <c r="N19" i="21" s="1"/>
  <c r="BA15" i="15"/>
  <c r="BB15" i="15" s="1"/>
  <c r="M14" i="5"/>
  <c r="N14" i="5" s="1"/>
  <c r="BA16" i="10"/>
  <c r="BB16" i="10" s="1"/>
  <c r="BA12" i="18"/>
  <c r="BB12" i="18" s="1"/>
  <c r="BA17" i="17"/>
  <c r="BB17" i="17" s="1"/>
  <c r="M19" i="5"/>
  <c r="N19" i="5" s="1"/>
  <c r="BA11" i="3"/>
  <c r="BB11" i="3" s="1"/>
  <c r="M11" i="15"/>
  <c r="N11" i="15" s="1"/>
  <c r="M22" i="25"/>
  <c r="N22" i="25" s="1"/>
  <c r="BA10" i="12"/>
  <c r="BB10" i="12" s="1"/>
  <c r="BA20" i="4"/>
  <c r="BB20" i="4" s="1"/>
  <c r="BA12" i="6"/>
  <c r="BB12" i="6" s="1"/>
  <c r="BA18" i="11"/>
  <c r="BB18" i="11" s="1"/>
  <c r="BA16" i="18"/>
  <c r="BB16" i="18" s="1"/>
  <c r="BA23" i="10"/>
  <c r="BB23" i="10" s="1"/>
  <c r="BA14" i="1"/>
  <c r="BB14" i="1" s="1"/>
  <c r="M17" i="21"/>
  <c r="N17" i="21" s="1"/>
  <c r="BA15" i="7"/>
  <c r="BB15" i="7" s="1"/>
  <c r="M12" i="5"/>
  <c r="N12" i="5" s="1"/>
  <c r="BA23" i="16"/>
  <c r="BB23" i="16" s="1"/>
  <c r="BA11" i="15"/>
  <c r="BB11" i="15" s="1"/>
  <c r="M21" i="12"/>
  <c r="N21" i="12" s="1"/>
  <c r="BA20" i="5"/>
  <c r="BB20" i="5" s="1"/>
  <c r="BA10" i="21"/>
  <c r="BB10" i="21" s="1"/>
  <c r="BA19" i="13"/>
  <c r="BB19" i="13" s="1"/>
  <c r="BA15" i="10"/>
  <c r="BB15" i="10" s="1"/>
  <c r="BA20" i="17"/>
  <c r="BB20" i="17" s="1"/>
  <c r="M10" i="9"/>
  <c r="N10" i="9" s="1"/>
  <c r="M11" i="21"/>
  <c r="N11" i="21" s="1"/>
  <c r="BA12" i="17"/>
  <c r="BB12" i="17" s="1"/>
  <c r="BA17" i="24"/>
  <c r="BB17" i="24" s="1"/>
  <c r="BA13" i="3"/>
  <c r="BB13" i="3" s="1"/>
  <c r="BA11" i="11"/>
  <c r="BB11" i="11" s="1"/>
  <c r="M14" i="20"/>
  <c r="N14" i="20" s="1"/>
  <c r="O8" i="54"/>
  <c r="AK18" i="54"/>
  <c r="R13" i="54"/>
  <c r="AD14" i="54"/>
  <c r="AM9" i="54"/>
  <c r="R18" i="54"/>
  <c r="AI22" i="54"/>
  <c r="AI15" i="54"/>
  <c r="O10" i="54"/>
  <c r="AJ20" i="54"/>
  <c r="P21" i="54"/>
  <c r="R19" i="54"/>
  <c r="V18" i="54"/>
  <c r="X9" i="54"/>
  <c r="S21" i="54"/>
  <c r="AJ2" i="54"/>
  <c r="Q18" i="54"/>
  <c r="AA11" i="54"/>
  <c r="S18" i="54"/>
  <c r="Z12" i="54"/>
  <c r="Z19" i="54"/>
  <c r="AN2" i="54"/>
  <c r="AG15" i="54"/>
  <c r="AJ11" i="54"/>
  <c r="O26" i="54"/>
  <c r="P11" i="54"/>
  <c r="AE13" i="54"/>
  <c r="AC15" i="54"/>
  <c r="V9" i="54"/>
  <c r="AN9" i="54"/>
  <c r="AE12" i="54"/>
  <c r="AK22" i="54"/>
  <c r="Y10" i="54"/>
  <c r="U22" i="54"/>
  <c r="AN18" i="54"/>
  <c r="AH14" i="54"/>
  <c r="AK12" i="54"/>
  <c r="AB17" i="54"/>
  <c r="AI9" i="54"/>
  <c r="AA14" i="54"/>
  <c r="P22" i="54"/>
  <c r="AK16" i="54"/>
  <c r="X15" i="54"/>
  <c r="AI17" i="54"/>
  <c r="P17" i="54"/>
  <c r="AE17" i="54"/>
  <c r="AK9" i="54"/>
  <c r="R2" i="54"/>
  <c r="O20" i="54"/>
  <c r="Q20" i="54"/>
  <c r="Q17" i="54"/>
  <c r="Q11" i="54"/>
  <c r="AC13" i="54"/>
  <c r="AF12" i="54"/>
  <c r="AJ13" i="54"/>
  <c r="U18" i="54"/>
  <c r="AH20" i="54"/>
  <c r="X10" i="54"/>
  <c r="O23" i="54"/>
  <c r="AC17" i="54"/>
  <c r="AA19" i="54"/>
  <c r="AN21" i="54"/>
  <c r="Z14" i="54"/>
  <c r="Z2" i="54"/>
  <c r="AH11" i="54"/>
  <c r="AG13" i="54"/>
  <c r="T2" i="54"/>
  <c r="AD17" i="54"/>
  <c r="AA2" i="54"/>
  <c r="AH19" i="54"/>
  <c r="AE20" i="54"/>
  <c r="AJ18" i="54"/>
  <c r="AC20" i="54"/>
  <c r="V22" i="54"/>
  <c r="Y21" i="54"/>
  <c r="AH12" i="54"/>
  <c r="P13" i="54"/>
  <c r="U15" i="54"/>
  <c r="AN10" i="54"/>
  <c r="AI19" i="54"/>
  <c r="AG21" i="54"/>
  <c r="AF16" i="54"/>
  <c r="AL14" i="54"/>
  <c r="AN20" i="54"/>
  <c r="AF18" i="54"/>
  <c r="AM19" i="54"/>
  <c r="AN11" i="54"/>
  <c r="AH9" i="54"/>
  <c r="O17" i="54"/>
  <c r="AG16" i="54"/>
  <c r="P2" i="54"/>
  <c r="AD19" i="54"/>
  <c r="AM18" i="54"/>
  <c r="O5" i="54"/>
  <c r="O24" i="54"/>
  <c r="X12" i="54"/>
  <c r="O2" i="54"/>
  <c r="W17" i="54"/>
  <c r="X11" i="54"/>
  <c r="W18" i="54"/>
  <c r="X19" i="54"/>
  <c r="Q15" i="54"/>
  <c r="AF14" i="54"/>
  <c r="AL2" i="54"/>
  <c r="Y16" i="54"/>
  <c r="R11" i="54"/>
  <c r="T18" i="54"/>
  <c r="O6" i="54"/>
  <c r="S20" i="54"/>
  <c r="AI21" i="54"/>
  <c r="AD18" i="54"/>
  <c r="AA20" i="54"/>
  <c r="O7" i="54"/>
  <c r="AM15" i="54"/>
  <c r="T21" i="54"/>
  <c r="AF20" i="54"/>
  <c r="S11" i="54"/>
  <c r="S16" i="54"/>
  <c r="AG12" i="54"/>
  <c r="AG2" i="54"/>
  <c r="P14" i="54"/>
  <c r="Z18" i="54"/>
  <c r="AN22" i="54"/>
  <c r="O11" i="54"/>
  <c r="AL22" i="54"/>
  <c r="AE9" i="54"/>
  <c r="W22" i="54"/>
  <c r="AL16" i="54"/>
  <c r="Y14" i="54"/>
  <c r="AD16" i="54"/>
  <c r="AM10" i="54"/>
  <c r="U9" i="54"/>
  <c r="T10" i="54"/>
  <c r="X18" i="54"/>
  <c r="AM14" i="54"/>
  <c r="AB2" i="54"/>
  <c r="AB9" i="54"/>
  <c r="V12" i="54"/>
  <c r="O14" i="54"/>
  <c r="AJ21" i="54"/>
  <c r="AD12" i="54"/>
  <c r="W12" i="54"/>
  <c r="S13" i="54"/>
  <c r="AH22" i="54"/>
  <c r="Y17" i="54"/>
  <c r="AG18" i="54"/>
  <c r="T11" i="54"/>
  <c r="AJ14" i="54"/>
  <c r="AB14" i="54"/>
  <c r="AG14" i="54"/>
  <c r="Y15" i="54"/>
  <c r="AJ19" i="54"/>
  <c r="Q9" i="54"/>
  <c r="Z21" i="54"/>
  <c r="X16" i="54"/>
  <c r="V2" i="54"/>
  <c r="AJ16" i="54"/>
  <c r="T16" i="54"/>
  <c r="AL11" i="54"/>
  <c r="Q16" i="54"/>
  <c r="T20" i="54"/>
  <c r="P20" i="54"/>
  <c r="V19" i="54"/>
  <c r="Q2" i="54"/>
  <c r="AK2" i="54"/>
  <c r="AH13" i="54"/>
  <c r="O25" i="54"/>
  <c r="W16" i="54"/>
  <c r="R21" i="54"/>
  <c r="V13" i="54"/>
  <c r="P18" i="54"/>
  <c r="O12" i="54"/>
  <c r="AC9" i="54"/>
  <c r="X14" i="54"/>
  <c r="AN12" i="54"/>
  <c r="T22" i="54"/>
  <c r="AF19" i="54"/>
  <c r="U11" i="54"/>
  <c r="AJ15" i="54"/>
  <c r="AI18" i="54"/>
  <c r="U10" i="54"/>
  <c r="AL12" i="54"/>
  <c r="AL15" i="54"/>
  <c r="AJ22" i="54"/>
  <c r="S14" i="54"/>
  <c r="AD21" i="54"/>
  <c r="U20" i="54"/>
  <c r="AF10" i="54"/>
  <c r="Y19" i="54"/>
  <c r="AG17" i="54"/>
  <c r="X21" i="54"/>
  <c r="Q10" i="54"/>
  <c r="Z16" i="54"/>
  <c r="AC16" i="54"/>
  <c r="AF9" i="54"/>
  <c r="P15" i="54"/>
  <c r="AD13" i="54"/>
  <c r="S17" i="54"/>
  <c r="AF11" i="54"/>
  <c r="AC21" i="54"/>
  <c r="O27" i="54"/>
  <c r="AC10" i="54"/>
  <c r="AD9" i="54"/>
  <c r="X22" i="54"/>
  <c r="AK21" i="54"/>
  <c r="T19" i="54"/>
  <c r="AI10" i="54"/>
  <c r="AM16" i="54"/>
  <c r="Y11" i="54"/>
  <c r="W10" i="54"/>
  <c r="V10" i="54"/>
  <c r="V21" i="54"/>
  <c r="AA12" i="54"/>
  <c r="AI2" i="54"/>
  <c r="S12" i="54"/>
  <c r="W11" i="54"/>
  <c r="AH16" i="54"/>
  <c r="AK17" i="54"/>
  <c r="R14" i="54"/>
  <c r="R22" i="54"/>
  <c r="T17" i="54"/>
  <c r="AE15" i="54"/>
  <c r="AI16" i="54"/>
  <c r="AF13" i="54"/>
  <c r="AI12" i="54"/>
  <c r="P10" i="54"/>
  <c r="AB19" i="54"/>
  <c r="AK19" i="54"/>
  <c r="AI14" i="54"/>
  <c r="V14" i="54"/>
  <c r="S2" i="54"/>
  <c r="Q12" i="54"/>
  <c r="AD22" i="54"/>
  <c r="AC11" i="54"/>
  <c r="R20" i="54"/>
  <c r="R12" i="54"/>
  <c r="P9" i="54"/>
  <c r="Z17" i="54"/>
  <c r="AM21" i="54"/>
  <c r="W21" i="54"/>
  <c r="AD20" i="54"/>
  <c r="AL13" i="54"/>
  <c r="AA13" i="54"/>
  <c r="AI11" i="54"/>
  <c r="O13" i="54"/>
  <c r="Z20" i="54"/>
  <c r="AN17" i="54"/>
  <c r="AK10" i="54"/>
  <c r="W19" i="54"/>
  <c r="U2" i="54"/>
  <c r="AJ9" i="54"/>
  <c r="AF21" i="54"/>
  <c r="Q14" i="54"/>
  <c r="AN15" i="54"/>
  <c r="V17" i="54"/>
  <c r="O18" i="54"/>
  <c r="W2" i="54"/>
  <c r="O3" i="54"/>
  <c r="AB20" i="54"/>
  <c r="Q13" i="54"/>
  <c r="AK20" i="54"/>
  <c r="U16" i="54"/>
  <c r="AK13" i="54"/>
  <c r="AK11" i="54"/>
  <c r="V20" i="54"/>
  <c r="AE10" i="54"/>
  <c r="AB22" i="54"/>
  <c r="AB15" i="54"/>
  <c r="T15" i="54"/>
  <c r="O15" i="54"/>
  <c r="W15" i="54"/>
  <c r="T12" i="54"/>
  <c r="AB18" i="54"/>
  <c r="AH17" i="54"/>
  <c r="Z10" i="54"/>
  <c r="W14" i="54"/>
  <c r="AN16" i="54"/>
  <c r="AL20" i="54"/>
  <c r="AC2" i="54"/>
  <c r="AG9" i="54"/>
  <c r="Y20" i="54"/>
  <c r="AC12" i="54"/>
  <c r="Y18" i="54"/>
  <c r="Q22" i="54"/>
  <c r="AD10" i="54"/>
  <c r="AM17" i="54"/>
  <c r="T13" i="54"/>
  <c r="W9" i="54"/>
  <c r="AA17" i="54"/>
  <c r="AG22" i="54"/>
  <c r="AH10" i="54"/>
  <c r="R10" i="54"/>
  <c r="U19" i="54"/>
  <c r="AD11" i="54"/>
  <c r="AL17" i="54"/>
  <c r="S19" i="54"/>
  <c r="Y12" i="54"/>
  <c r="V11" i="54"/>
  <c r="AG11" i="54"/>
  <c r="AB11" i="54"/>
  <c r="AD2" i="54"/>
  <c r="AM13" i="54"/>
  <c r="AG19" i="54"/>
  <c r="AL21" i="54"/>
  <c r="R15" i="54"/>
  <c r="AF15" i="54"/>
  <c r="O4" i="54"/>
  <c r="Q21" i="54"/>
  <c r="S15" i="54"/>
  <c r="AM2" i="54"/>
  <c r="AL18" i="54"/>
  <c r="AL9" i="54"/>
  <c r="Z11" i="54"/>
  <c r="U17" i="54"/>
  <c r="AG20" i="54"/>
  <c r="R17" i="54"/>
  <c r="AF2" i="54"/>
  <c r="AH21" i="54"/>
  <c r="AH18" i="54"/>
  <c r="P16" i="54"/>
  <c r="AI20" i="54"/>
  <c r="Z13" i="54"/>
  <c r="AM22" i="54"/>
  <c r="X17" i="54"/>
  <c r="AE22" i="54"/>
  <c r="AH15" i="54"/>
  <c r="R9" i="54"/>
  <c r="W20" i="54"/>
  <c r="AA22" i="54"/>
  <c r="AM20" i="54"/>
  <c r="X20" i="54"/>
  <c r="AD15" i="54"/>
  <c r="X13" i="54"/>
  <c r="AL10" i="54"/>
  <c r="AN13" i="54"/>
  <c r="P19" i="54"/>
  <c r="AK15" i="54"/>
  <c r="Z9" i="54"/>
  <c r="U21" i="54"/>
  <c r="AB16" i="54"/>
  <c r="S9" i="54"/>
  <c r="O21" i="54"/>
  <c r="AE18" i="54"/>
  <c r="Y13" i="54"/>
  <c r="W13" i="54"/>
  <c r="AK14" i="54"/>
  <c r="AJ10" i="54"/>
  <c r="AE14" i="54"/>
  <c r="AE19" i="54"/>
  <c r="AH2" i="54"/>
  <c r="O19" i="54"/>
  <c r="U13" i="54"/>
  <c r="AC14" i="54"/>
  <c r="AC18" i="54"/>
  <c r="O22" i="54"/>
  <c r="AC19" i="54"/>
  <c r="R16" i="54"/>
  <c r="Z22" i="54"/>
  <c r="AB21" i="54"/>
  <c r="AN19" i="54"/>
  <c r="O9" i="54"/>
  <c r="AJ12" i="54"/>
  <c r="T14" i="54"/>
  <c r="AN14" i="54"/>
  <c r="Y22" i="54"/>
  <c r="Q19" i="54"/>
  <c r="AE21" i="54"/>
  <c r="S10" i="54"/>
  <c r="V16" i="54"/>
  <c r="AA9" i="54"/>
  <c r="AA16" i="54"/>
  <c r="AG10" i="54"/>
  <c r="O16" i="54"/>
  <c r="V15" i="54"/>
  <c r="T9" i="54"/>
  <c r="P12" i="54"/>
  <c r="AA18" i="54"/>
  <c r="AM11" i="54"/>
  <c r="AB12" i="54"/>
  <c r="AL19" i="54"/>
  <c r="AB10" i="54"/>
  <c r="AE11" i="54"/>
  <c r="Y2" i="54"/>
  <c r="AF17" i="54"/>
  <c r="AB13" i="54"/>
  <c r="AF22" i="54"/>
  <c r="AA21" i="54"/>
  <c r="S22" i="54"/>
  <c r="AE2" i="54"/>
  <c r="AA10" i="54"/>
  <c r="Z15" i="54"/>
  <c r="AJ17" i="54"/>
  <c r="AI13" i="54"/>
  <c r="AC22" i="54"/>
  <c r="AM12" i="54"/>
  <c r="X2" i="54"/>
  <c r="U12" i="54"/>
  <c r="AE16" i="54"/>
  <c r="U14" i="54"/>
  <c r="AA15" i="54"/>
  <c r="Y9" i="54"/>
  <c r="K17" i="53" l="1"/>
  <c r="L17" i="53" s="1"/>
  <c r="O17" i="53" s="1"/>
  <c r="AY15" i="53"/>
  <c r="AZ15" i="53" s="1"/>
  <c r="BC15" i="53" s="1"/>
  <c r="AY15" i="24"/>
  <c r="AZ15" i="24" s="1"/>
  <c r="BC15" i="24" s="1"/>
  <c r="AY21" i="4"/>
  <c r="AZ21" i="4" s="1"/>
  <c r="BC21" i="4" s="1"/>
  <c r="AY10" i="25"/>
  <c r="AZ10" i="25" s="1"/>
  <c r="BC10" i="25" s="1"/>
  <c r="AY15" i="3"/>
  <c r="AZ15" i="3" s="1"/>
  <c r="BC15" i="3" s="1"/>
  <c r="K17" i="2"/>
  <c r="L17" i="2" s="1"/>
  <c r="O17" i="2" s="1"/>
  <c r="K12" i="25"/>
  <c r="L12" i="25" s="1"/>
  <c r="O12" i="25" s="1"/>
  <c r="AY22" i="2"/>
  <c r="AZ22" i="2" s="1"/>
  <c r="BC22" i="2" s="1"/>
  <c r="K13" i="4"/>
  <c r="L13" i="4" s="1"/>
  <c r="O13" i="4" s="1"/>
  <c r="K17" i="13"/>
  <c r="L17" i="13" s="1"/>
  <c r="O17" i="13" s="1"/>
  <c r="K14" i="19"/>
  <c r="L14" i="19" s="1"/>
  <c r="O14" i="19" s="1"/>
  <c r="AY22" i="14"/>
  <c r="AZ22" i="14" s="1"/>
  <c r="BC22" i="14" s="1"/>
  <c r="AY22" i="13"/>
  <c r="AZ22" i="13" s="1"/>
  <c r="BC22" i="13" s="1"/>
  <c r="K19" i="2"/>
  <c r="L19" i="2" s="1"/>
  <c r="O19" i="2" s="1"/>
  <c r="AY20" i="8"/>
  <c r="AZ20" i="8" s="1"/>
  <c r="BC20" i="8" s="1"/>
  <c r="AY11" i="11"/>
  <c r="AZ11" i="11" s="1"/>
  <c r="BC11" i="11" s="1"/>
  <c r="AY23" i="11"/>
  <c r="AZ23" i="11" s="1"/>
  <c r="BC23" i="11" s="1"/>
  <c r="AH31" i="10"/>
  <c r="AI31" i="10" s="1"/>
  <c r="AJ31" i="10" s="1"/>
  <c r="AY15" i="11"/>
  <c r="AZ15" i="11" s="1"/>
  <c r="BC15" i="11" s="1"/>
  <c r="AH31" i="24"/>
  <c r="AI31" i="24" s="1"/>
  <c r="AJ31" i="24" s="1"/>
  <c r="AY12" i="3"/>
  <c r="AZ12" i="3" s="1"/>
  <c r="BC12" i="3" s="1"/>
  <c r="K10" i="6"/>
  <c r="L10" i="6" s="1"/>
  <c r="O10" i="6" s="1"/>
  <c r="K12" i="15"/>
  <c r="L12" i="15" s="1"/>
  <c r="O12" i="15" s="1"/>
  <c r="K12" i="10"/>
  <c r="L12" i="10" s="1"/>
  <c r="O12" i="10" s="1"/>
  <c r="K15" i="17"/>
  <c r="L15" i="17" s="1"/>
  <c r="O15" i="17" s="1"/>
  <c r="K22" i="18"/>
  <c r="L22" i="18" s="1"/>
  <c r="O22" i="18" s="1"/>
  <c r="AH32" i="19"/>
  <c r="K16" i="14"/>
  <c r="L16" i="14" s="1"/>
  <c r="O16" i="14" s="1"/>
  <c r="AY19" i="11"/>
  <c r="AZ19" i="11" s="1"/>
  <c r="BC19" i="11" s="1"/>
  <c r="K17" i="22"/>
  <c r="L17" i="22" s="1"/>
  <c r="O17" i="22" s="1"/>
  <c r="AY17" i="21"/>
  <c r="AZ17" i="21" s="1"/>
  <c r="BC17" i="21" s="1"/>
  <c r="AY10" i="53"/>
  <c r="AZ10" i="53" s="1"/>
  <c r="BC10" i="53" s="1"/>
  <c r="K10" i="16"/>
  <c r="L10" i="16" s="1"/>
  <c r="O10" i="16" s="1"/>
  <c r="AY22" i="24"/>
  <c r="AZ22" i="24" s="1"/>
  <c r="BC22" i="24" s="1"/>
  <c r="K21" i="4"/>
  <c r="L21" i="4" s="1"/>
  <c r="O21" i="4" s="1"/>
  <c r="K19" i="21"/>
  <c r="L19" i="21" s="1"/>
  <c r="O19" i="21" s="1"/>
  <c r="AY17" i="12"/>
  <c r="AZ17" i="12" s="1"/>
  <c r="BC17" i="12" s="1"/>
  <c r="K16" i="15"/>
  <c r="L16" i="15" s="1"/>
  <c r="O16" i="15" s="1"/>
  <c r="AY13" i="16"/>
  <c r="AZ13" i="16" s="1"/>
  <c r="BC13" i="16" s="1"/>
  <c r="AY13" i="8"/>
  <c r="AZ13" i="8" s="1"/>
  <c r="BC13" i="8" s="1"/>
  <c r="K11" i="25"/>
  <c r="L11" i="25" s="1"/>
  <c r="O11" i="25" s="1"/>
  <c r="K14" i="25"/>
  <c r="L14" i="25" s="1"/>
  <c r="O14" i="25" s="1"/>
  <c r="AY11" i="19"/>
  <c r="AZ11" i="19" s="1"/>
  <c r="BC11" i="19" s="1"/>
  <c r="AH31" i="19"/>
  <c r="AI31" i="19" s="1"/>
  <c r="AJ31" i="19" s="1"/>
  <c r="AY19" i="1"/>
  <c r="AZ19" i="1" s="1"/>
  <c r="BC19" i="1" s="1"/>
  <c r="K16" i="17"/>
  <c r="L16" i="17" s="1"/>
  <c r="O16" i="17" s="1"/>
  <c r="AY10" i="13"/>
  <c r="AZ10" i="13" s="1"/>
  <c r="BC10" i="13" s="1"/>
  <c r="AY17" i="11"/>
  <c r="AZ17" i="11" s="1"/>
  <c r="BC17" i="11" s="1"/>
  <c r="AY17" i="1"/>
  <c r="AZ17" i="1" s="1"/>
  <c r="BC17" i="1" s="1"/>
  <c r="K21" i="23"/>
  <c r="L21" i="23" s="1"/>
  <c r="O21" i="23" s="1"/>
  <c r="K23" i="6"/>
  <c r="L23" i="6" s="1"/>
  <c r="O23" i="6" s="1"/>
  <c r="BG33" i="25"/>
  <c r="AY21" i="10"/>
  <c r="AZ21" i="10" s="1"/>
  <c r="BC21" i="10" s="1"/>
  <c r="AY10" i="5"/>
  <c r="AZ10" i="5" s="1"/>
  <c r="BC10" i="5" s="1"/>
  <c r="AY18" i="16"/>
  <c r="AZ18" i="16" s="1"/>
  <c r="BC18" i="16" s="1"/>
  <c r="K17" i="16"/>
  <c r="L17" i="16" s="1"/>
  <c r="O17" i="16" s="1"/>
  <c r="K19" i="16"/>
  <c r="L19" i="16" s="1"/>
  <c r="O19" i="16" s="1"/>
  <c r="BG33" i="17"/>
  <c r="K15" i="23"/>
  <c r="L15" i="23" s="1"/>
  <c r="O15" i="23" s="1"/>
  <c r="AY13" i="14"/>
  <c r="AZ13" i="14" s="1"/>
  <c r="BC13" i="14" s="1"/>
  <c r="K13" i="25"/>
  <c r="L13" i="25" s="1"/>
  <c r="O13" i="25" s="1"/>
  <c r="K16" i="18"/>
  <c r="L16" i="18" s="1"/>
  <c r="O16" i="18" s="1"/>
  <c r="AY18" i="3"/>
  <c r="AZ18" i="3" s="1"/>
  <c r="BC18" i="3" s="1"/>
  <c r="AY13" i="18"/>
  <c r="AZ13" i="18" s="1"/>
  <c r="BC13" i="18" s="1"/>
  <c r="AY15" i="19"/>
  <c r="AZ15" i="19" s="1"/>
  <c r="BC15" i="19" s="1"/>
  <c r="K13" i="6"/>
  <c r="L13" i="6" s="1"/>
  <c r="O13" i="6" s="1"/>
  <c r="K10" i="23"/>
  <c r="L10" i="23" s="1"/>
  <c r="O10" i="23" s="1"/>
  <c r="K19" i="4"/>
  <c r="L19" i="4" s="1"/>
  <c r="O19" i="4" s="1"/>
  <c r="K19" i="53"/>
  <c r="L19" i="53" s="1"/>
  <c r="O19" i="53" s="1"/>
  <c r="K19" i="9"/>
  <c r="L19" i="9" s="1"/>
  <c r="O19" i="9" s="1"/>
  <c r="AY16" i="23"/>
  <c r="AZ16" i="23" s="1"/>
  <c r="BC16" i="23" s="1"/>
  <c r="AY18" i="18"/>
  <c r="AZ18" i="18" s="1"/>
  <c r="BC18" i="18" s="1"/>
  <c r="AY15" i="10"/>
  <c r="AZ15" i="10" s="1"/>
  <c r="BC15" i="10" s="1"/>
  <c r="K19" i="22"/>
  <c r="L19" i="22" s="1"/>
  <c r="O19" i="22" s="1"/>
  <c r="I56" i="16"/>
  <c r="AY21" i="15"/>
  <c r="AZ21" i="15" s="1"/>
  <c r="BC21" i="15" s="1"/>
  <c r="K23" i="4"/>
  <c r="L23" i="4" s="1"/>
  <c r="O23" i="4" s="1"/>
  <c r="AY20" i="20"/>
  <c r="AZ20" i="20" s="1"/>
  <c r="BC20" i="20" s="1"/>
  <c r="AY14" i="24"/>
  <c r="AZ14" i="24" s="1"/>
  <c r="BC14" i="24" s="1"/>
  <c r="K21" i="25"/>
  <c r="L21" i="25" s="1"/>
  <c r="O21" i="25" s="1"/>
  <c r="K13" i="24"/>
  <c r="L13" i="24" s="1"/>
  <c r="O13" i="24" s="1"/>
  <c r="AY13" i="20"/>
  <c r="AZ13" i="20" s="1"/>
  <c r="BC13" i="20" s="1"/>
  <c r="K15" i="4"/>
  <c r="L15" i="4" s="1"/>
  <c r="O15" i="4" s="1"/>
  <c r="AY13" i="6"/>
  <c r="AZ13" i="6" s="1"/>
  <c r="BC13" i="6" s="1"/>
  <c r="K15" i="9"/>
  <c r="L15" i="9" s="1"/>
  <c r="O15" i="9" s="1"/>
  <c r="AH32" i="16"/>
  <c r="AY18" i="8"/>
  <c r="AZ18" i="8" s="1"/>
  <c r="BC18" i="8" s="1"/>
  <c r="AY17" i="3"/>
  <c r="AZ17" i="3" s="1"/>
  <c r="BC17" i="3" s="1"/>
  <c r="AH32" i="20"/>
  <c r="AY17" i="10"/>
  <c r="AZ17" i="10" s="1"/>
  <c r="BC17" i="10" s="1"/>
  <c r="K10" i="25"/>
  <c r="L10" i="25" s="1"/>
  <c r="O10" i="25" s="1"/>
  <c r="K22" i="20"/>
  <c r="L22" i="20" s="1"/>
  <c r="O22" i="20" s="1"/>
  <c r="K19" i="8"/>
  <c r="L19" i="8" s="1"/>
  <c r="O19" i="8" s="1"/>
  <c r="AY18" i="21"/>
  <c r="AZ18" i="21" s="1"/>
  <c r="BC18" i="21" s="1"/>
  <c r="AY22" i="22"/>
  <c r="AZ22" i="22" s="1"/>
  <c r="BC22" i="22" s="1"/>
  <c r="K13" i="16"/>
  <c r="L13" i="16" s="1"/>
  <c r="O13" i="16" s="1"/>
  <c r="AH31" i="1"/>
  <c r="AI31" i="1" s="1"/>
  <c r="AJ31" i="1" s="1"/>
  <c r="K10" i="24"/>
  <c r="L10" i="24" s="1"/>
  <c r="O10" i="24" s="1"/>
  <c r="AY10" i="16"/>
  <c r="AZ10" i="16" s="1"/>
  <c r="BC10" i="16" s="1"/>
  <c r="K22" i="8"/>
  <c r="L22" i="8" s="1"/>
  <c r="O22" i="8" s="1"/>
  <c r="AH31" i="16"/>
  <c r="AI31" i="16" s="1"/>
  <c r="AJ31" i="16" s="1"/>
  <c r="K16" i="7"/>
  <c r="L16" i="7" s="1"/>
  <c r="O16" i="7" s="1"/>
  <c r="K13" i="8"/>
  <c r="L13" i="8" s="1"/>
  <c r="O13" i="8" s="1"/>
  <c r="AY21" i="8"/>
  <c r="AZ21" i="8" s="1"/>
  <c r="BC21" i="8" s="1"/>
  <c r="K13" i="10"/>
  <c r="L13" i="10" s="1"/>
  <c r="O13" i="10" s="1"/>
  <c r="AY20" i="23"/>
  <c r="AZ20" i="23" s="1"/>
  <c r="BC20" i="23" s="1"/>
  <c r="K16" i="12"/>
  <c r="L16" i="12" s="1"/>
  <c r="O16" i="12" s="1"/>
  <c r="K21" i="14"/>
  <c r="L21" i="14" s="1"/>
  <c r="O21" i="14" s="1"/>
  <c r="AY12" i="1"/>
  <c r="AZ12" i="1" s="1"/>
  <c r="BC12" i="1" s="1"/>
  <c r="K21" i="6"/>
  <c r="L21" i="6" s="1"/>
  <c r="O21" i="6" s="1"/>
  <c r="K12" i="18"/>
  <c r="L12" i="18" s="1"/>
  <c r="O12" i="18" s="1"/>
  <c r="K13" i="17"/>
  <c r="L13" i="17" s="1"/>
  <c r="O13" i="17" s="1"/>
  <c r="AY12" i="4"/>
  <c r="AZ12" i="4" s="1"/>
  <c r="BC12" i="4" s="1"/>
  <c r="K19" i="7"/>
  <c r="L19" i="7" s="1"/>
  <c r="O19" i="7" s="1"/>
  <c r="AY14" i="19"/>
  <c r="AZ14" i="19" s="1"/>
  <c r="BC14" i="19" s="1"/>
  <c r="AY23" i="10"/>
  <c r="AZ23" i="10" s="1"/>
  <c r="BC23" i="10" s="1"/>
  <c r="K18" i="17"/>
  <c r="L18" i="17" s="1"/>
  <c r="O18" i="17" s="1"/>
  <c r="AY16" i="22"/>
  <c r="AZ16" i="22" s="1"/>
  <c r="BC16" i="22" s="1"/>
  <c r="K12" i="21"/>
  <c r="L12" i="21" s="1"/>
  <c r="O12" i="21" s="1"/>
  <c r="K18" i="15"/>
  <c r="L18" i="15" s="1"/>
  <c r="O18" i="15" s="1"/>
  <c r="K21" i="18"/>
  <c r="L21" i="18" s="1"/>
  <c r="O21" i="18" s="1"/>
  <c r="K17" i="20"/>
  <c r="L17" i="20" s="1"/>
  <c r="O17" i="20" s="1"/>
  <c r="AY10" i="8"/>
  <c r="AZ10" i="8" s="1"/>
  <c r="BC10" i="8" s="1"/>
  <c r="AY21" i="7"/>
  <c r="AZ21" i="7" s="1"/>
  <c r="BC21" i="7" s="1"/>
  <c r="AH32" i="22"/>
  <c r="AY13" i="1"/>
  <c r="AZ13" i="1" s="1"/>
  <c r="BC13" i="1" s="1"/>
  <c r="K14" i="22"/>
  <c r="L14" i="22" s="1"/>
  <c r="O14" i="22" s="1"/>
  <c r="K10" i="8"/>
  <c r="L10" i="8" s="1"/>
  <c r="O10" i="8" s="1"/>
  <c r="AY13" i="25"/>
  <c r="AZ13" i="25" s="1"/>
  <c r="BC13" i="25" s="1"/>
  <c r="AY10" i="1"/>
  <c r="AZ10" i="1" s="1"/>
  <c r="BC10" i="1" s="1"/>
  <c r="K10" i="21"/>
  <c r="L10" i="21" s="1"/>
  <c r="O10" i="21" s="1"/>
  <c r="AY22" i="8"/>
  <c r="AZ22" i="8" s="1"/>
  <c r="BC22" i="8" s="1"/>
  <c r="K12" i="53"/>
  <c r="L12" i="53" s="1"/>
  <c r="O12" i="53" s="1"/>
  <c r="K18" i="3"/>
  <c r="L18" i="3" s="1"/>
  <c r="O18" i="3" s="1"/>
  <c r="K14" i="6"/>
  <c r="L14" i="6" s="1"/>
  <c r="O14" i="6" s="1"/>
  <c r="K11" i="14"/>
  <c r="L11" i="14" s="1"/>
  <c r="O11" i="14" s="1"/>
  <c r="AY20" i="5"/>
  <c r="AZ20" i="5" s="1"/>
  <c r="BC20" i="5" s="1"/>
  <c r="AY21" i="17"/>
  <c r="AZ21" i="17" s="1"/>
  <c r="BC21" i="17" s="1"/>
  <c r="K22" i="7"/>
  <c r="L22" i="7" s="1"/>
  <c r="O22" i="7" s="1"/>
  <c r="K12" i="14"/>
  <c r="L12" i="14" s="1"/>
  <c r="O12" i="14" s="1"/>
  <c r="AY21" i="1"/>
  <c r="AZ21" i="1" s="1"/>
  <c r="BC21" i="1" s="1"/>
  <c r="AY10" i="3"/>
  <c r="AZ10" i="3" s="1"/>
  <c r="BC10" i="3" s="1"/>
  <c r="AY13" i="22"/>
  <c r="AZ13" i="22" s="1"/>
  <c r="BC13" i="22" s="1"/>
  <c r="K21" i="7"/>
  <c r="L21" i="7" s="1"/>
  <c r="O21" i="7" s="1"/>
  <c r="K16" i="11"/>
  <c r="L16" i="11" s="1"/>
  <c r="O16" i="11" s="1"/>
  <c r="K18" i="16"/>
  <c r="L18" i="16" s="1"/>
  <c r="O18" i="16" s="1"/>
  <c r="K20" i="20"/>
  <c r="L20" i="20" s="1"/>
  <c r="O20" i="20" s="1"/>
  <c r="AY11" i="2"/>
  <c r="AZ11" i="2" s="1"/>
  <c r="BC11" i="2" s="1"/>
  <c r="AH31" i="3"/>
  <c r="AI31" i="3" s="1"/>
  <c r="AJ31" i="3" s="1"/>
  <c r="K19" i="19"/>
  <c r="L19" i="19" s="1"/>
  <c r="O19" i="19" s="1"/>
  <c r="K15" i="6"/>
  <c r="L15" i="6" s="1"/>
  <c r="O15" i="6" s="1"/>
  <c r="K21" i="19"/>
  <c r="L21" i="19" s="1"/>
  <c r="O21" i="19" s="1"/>
  <c r="AY13" i="53"/>
  <c r="AZ13" i="53" s="1"/>
  <c r="BC13" i="53" s="1"/>
  <c r="AY18" i="24"/>
  <c r="AZ18" i="24" s="1"/>
  <c r="BC18" i="24" s="1"/>
  <c r="K18" i="23"/>
  <c r="L18" i="23" s="1"/>
  <c r="O18" i="23" s="1"/>
  <c r="K15" i="15"/>
  <c r="L15" i="15" s="1"/>
  <c r="O15" i="15" s="1"/>
  <c r="AH31" i="5"/>
  <c r="AI31" i="5" s="1"/>
  <c r="AJ31" i="5" s="1"/>
  <c r="AY17" i="25"/>
  <c r="AZ17" i="25" s="1"/>
  <c r="BC17" i="25" s="1"/>
  <c r="AY18" i="5"/>
  <c r="AZ18" i="5" s="1"/>
  <c r="BC18" i="5" s="1"/>
  <c r="AY21" i="14"/>
  <c r="AZ21" i="14" s="1"/>
  <c r="BC21" i="14" s="1"/>
  <c r="K19" i="12"/>
  <c r="L19" i="12" s="1"/>
  <c r="O19" i="12" s="1"/>
  <c r="AY16" i="5"/>
  <c r="AZ16" i="5" s="1"/>
  <c r="BC16" i="5" s="1"/>
  <c r="AH32" i="1"/>
  <c r="AY16" i="2"/>
  <c r="AZ16" i="2" s="1"/>
  <c r="BC16" i="2" s="1"/>
  <c r="K17" i="18"/>
  <c r="L17" i="18" s="1"/>
  <c r="O17" i="18" s="1"/>
  <c r="AY21" i="18"/>
  <c r="AZ21" i="18" s="1"/>
  <c r="BC21" i="18" s="1"/>
  <c r="K14" i="23"/>
  <c r="L14" i="23" s="1"/>
  <c r="O14" i="23" s="1"/>
  <c r="K11" i="5"/>
  <c r="L11" i="5" s="1"/>
  <c r="O11" i="5" s="1"/>
  <c r="K13" i="22"/>
  <c r="L13" i="22" s="1"/>
  <c r="O13" i="22" s="1"/>
  <c r="K18" i="4"/>
  <c r="L18" i="4" s="1"/>
  <c r="O18" i="4" s="1"/>
  <c r="AY15" i="8"/>
  <c r="AZ15" i="8" s="1"/>
  <c r="BC15" i="8" s="1"/>
  <c r="AY17" i="14"/>
  <c r="AZ17" i="14" s="1"/>
  <c r="BC17" i="14" s="1"/>
  <c r="K13" i="2"/>
  <c r="L13" i="2" s="1"/>
  <c r="O13" i="2" s="1"/>
  <c r="AY19" i="13"/>
  <c r="AZ19" i="13" s="1"/>
  <c r="BC19" i="13" s="1"/>
  <c r="AY20" i="14"/>
  <c r="AZ20" i="14" s="1"/>
  <c r="BC20" i="14" s="1"/>
  <c r="AY11" i="53"/>
  <c r="AZ11" i="53" s="1"/>
  <c r="BC11" i="53" s="1"/>
  <c r="K15" i="8"/>
  <c r="L15" i="8" s="1"/>
  <c r="O15" i="8" s="1"/>
  <c r="AY17" i="18"/>
  <c r="AZ17" i="18" s="1"/>
  <c r="BC17" i="18" s="1"/>
  <c r="AY15" i="1"/>
  <c r="AZ15" i="1" s="1"/>
  <c r="BC15" i="1" s="1"/>
  <c r="AY15" i="25"/>
  <c r="AZ15" i="25" s="1"/>
  <c r="BC15" i="25" s="1"/>
  <c r="K13" i="53"/>
  <c r="L13" i="53" s="1"/>
  <c r="O13" i="53" s="1"/>
  <c r="AY10" i="9"/>
  <c r="AZ10" i="9" s="1"/>
  <c r="BC10" i="9" s="1"/>
  <c r="AY10" i="7"/>
  <c r="AZ10" i="7" s="1"/>
  <c r="BC10" i="7" s="1"/>
  <c r="AY10" i="17"/>
  <c r="AZ10" i="17" s="1"/>
  <c r="BC10" i="17" s="1"/>
  <c r="AH32" i="7"/>
  <c r="AY13" i="23"/>
  <c r="AZ13" i="23" s="1"/>
  <c r="BC13" i="23" s="1"/>
  <c r="AY19" i="5"/>
  <c r="AZ19" i="5" s="1"/>
  <c r="BC19" i="5" s="1"/>
  <c r="AY22" i="9"/>
  <c r="AZ22" i="9" s="1"/>
  <c r="BC22" i="9" s="1"/>
  <c r="AH32" i="53"/>
  <c r="AY17" i="19"/>
  <c r="AZ17" i="19" s="1"/>
  <c r="BC17" i="19" s="1"/>
  <c r="AY17" i="22"/>
  <c r="AZ17" i="22" s="1"/>
  <c r="BC17" i="22" s="1"/>
  <c r="AY11" i="16"/>
  <c r="AZ11" i="16" s="1"/>
  <c r="BC11" i="16" s="1"/>
  <c r="AY23" i="8"/>
  <c r="AZ23" i="8" s="1"/>
  <c r="BC23" i="8" s="1"/>
  <c r="AY11" i="25"/>
  <c r="AZ11" i="25" s="1"/>
  <c r="BC11" i="25" s="1"/>
  <c r="K13" i="14"/>
  <c r="L13" i="14" s="1"/>
  <c r="O13" i="14" s="1"/>
  <c r="AH31" i="9"/>
  <c r="AI31" i="9" s="1"/>
  <c r="AJ31" i="9" s="1"/>
  <c r="K16" i="9"/>
  <c r="L16" i="9" s="1"/>
  <c r="O16" i="9" s="1"/>
  <c r="AY16" i="53"/>
  <c r="AZ16" i="53" s="1"/>
  <c r="BC16" i="53" s="1"/>
  <c r="AY13" i="21"/>
  <c r="AZ13" i="21" s="1"/>
  <c r="BC13" i="21" s="1"/>
  <c r="AH32" i="13"/>
  <c r="AY15" i="21"/>
  <c r="AZ15" i="21" s="1"/>
  <c r="BC15" i="21" s="1"/>
  <c r="AY18" i="12"/>
  <c r="AZ18" i="12" s="1"/>
  <c r="BC18" i="12" s="1"/>
  <c r="AH31" i="7"/>
  <c r="AI31" i="7" s="1"/>
  <c r="AJ31" i="7" s="1"/>
  <c r="AY19" i="10"/>
  <c r="AZ19" i="10" s="1"/>
  <c r="BC19" i="10" s="1"/>
  <c r="K20" i="11"/>
  <c r="L20" i="11" s="1"/>
  <c r="O20" i="11" s="1"/>
  <c r="K23" i="1"/>
  <c r="L23" i="1" s="1"/>
  <c r="O23" i="1" s="1"/>
  <c r="K19" i="23"/>
  <c r="L19" i="23" s="1"/>
  <c r="O19" i="23" s="1"/>
  <c r="K11" i="22"/>
  <c r="L11" i="22" s="1"/>
  <c r="O11" i="22" s="1"/>
  <c r="K22" i="13"/>
  <c r="L22" i="13" s="1"/>
  <c r="O22" i="13" s="1"/>
  <c r="K22" i="12"/>
  <c r="L22" i="12" s="1"/>
  <c r="O22" i="12" s="1"/>
  <c r="K14" i="16"/>
  <c r="L14" i="16" s="1"/>
  <c r="O14" i="16" s="1"/>
  <c r="AY21" i="19"/>
  <c r="AZ21" i="19" s="1"/>
  <c r="BC21" i="19" s="1"/>
  <c r="AY23" i="1"/>
  <c r="AZ23" i="1" s="1"/>
  <c r="BC23" i="1" s="1"/>
  <c r="K14" i="24"/>
  <c r="L14" i="24" s="1"/>
  <c r="O14" i="24" s="1"/>
  <c r="K16" i="6"/>
  <c r="L16" i="6" s="1"/>
  <c r="O16" i="6" s="1"/>
  <c r="K16" i="23"/>
  <c r="L16" i="23" s="1"/>
  <c r="O16" i="23" s="1"/>
  <c r="K21" i="3"/>
  <c r="L21" i="3" s="1"/>
  <c r="O21" i="3" s="1"/>
  <c r="AH32" i="10"/>
  <c r="AH31" i="25"/>
  <c r="AI31" i="25" s="1"/>
  <c r="AJ31" i="25" s="1"/>
  <c r="AY21" i="20"/>
  <c r="AZ21" i="20" s="1"/>
  <c r="BC21" i="20" s="1"/>
  <c r="AY23" i="19"/>
  <c r="AZ23" i="19" s="1"/>
  <c r="BC23" i="19" s="1"/>
  <c r="AY23" i="25"/>
  <c r="AZ23" i="25" s="1"/>
  <c r="BC23" i="25" s="1"/>
  <c r="K14" i="11"/>
  <c r="L14" i="11" s="1"/>
  <c r="O14" i="11" s="1"/>
  <c r="K14" i="9"/>
  <c r="L14" i="9" s="1"/>
  <c r="O14" i="9" s="1"/>
  <c r="K19" i="17"/>
  <c r="L19" i="17" s="1"/>
  <c r="O19" i="17" s="1"/>
  <c r="AY22" i="3"/>
  <c r="AZ22" i="3" s="1"/>
  <c r="BC22" i="3" s="1"/>
  <c r="AY15" i="6"/>
  <c r="AZ15" i="6" s="1"/>
  <c r="BC15" i="6" s="1"/>
  <c r="K18" i="20"/>
  <c r="L18" i="20" s="1"/>
  <c r="O18" i="20" s="1"/>
  <c r="K21" i="20"/>
  <c r="L21" i="20" s="1"/>
  <c r="O21" i="20" s="1"/>
  <c r="AY12" i="5"/>
  <c r="AZ12" i="5" s="1"/>
  <c r="BC12" i="5" s="1"/>
  <c r="K15" i="25"/>
  <c r="L15" i="25" s="1"/>
  <c r="O15" i="25" s="1"/>
  <c r="AY12" i="13"/>
  <c r="AZ12" i="13" s="1"/>
  <c r="BC12" i="13" s="1"/>
  <c r="K13" i="23"/>
  <c r="L13" i="23" s="1"/>
  <c r="O13" i="23" s="1"/>
  <c r="K22" i="10"/>
  <c r="L22" i="10" s="1"/>
  <c r="O22" i="10" s="1"/>
  <c r="K17" i="8"/>
  <c r="L17" i="8" s="1"/>
  <c r="O17" i="8" s="1"/>
  <c r="K22" i="16"/>
  <c r="L22" i="16" s="1"/>
  <c r="O22" i="16" s="1"/>
  <c r="K17" i="10"/>
  <c r="L17" i="10" s="1"/>
  <c r="O17" i="10" s="1"/>
  <c r="AY16" i="6"/>
  <c r="AZ16" i="6" s="1"/>
  <c r="BC16" i="6" s="1"/>
  <c r="BG33" i="24"/>
  <c r="AY18" i="9"/>
  <c r="AZ18" i="9" s="1"/>
  <c r="BC18" i="9" s="1"/>
  <c r="K20" i="3"/>
  <c r="L20" i="3" s="1"/>
  <c r="O20" i="3" s="1"/>
  <c r="K15" i="2"/>
  <c r="L15" i="2" s="1"/>
  <c r="O15" i="2" s="1"/>
  <c r="K18" i="14"/>
  <c r="L18" i="14" s="1"/>
  <c r="O18" i="14" s="1"/>
  <c r="AY19" i="18"/>
  <c r="AZ19" i="18" s="1"/>
  <c r="BC19" i="18" s="1"/>
  <c r="K21" i="8"/>
  <c r="L21" i="8" s="1"/>
  <c r="O21" i="8" s="1"/>
  <c r="K12" i="5"/>
  <c r="L12" i="5" s="1"/>
  <c r="O12" i="5" s="1"/>
  <c r="AY10" i="21"/>
  <c r="AZ10" i="21" s="1"/>
  <c r="BC10" i="21" s="1"/>
  <c r="AY23" i="53"/>
  <c r="AZ23" i="53" s="1"/>
  <c r="BC23" i="53" s="1"/>
  <c r="AY20" i="10"/>
  <c r="AZ20" i="10" s="1"/>
  <c r="BC20" i="10" s="1"/>
  <c r="AY20" i="2"/>
  <c r="AZ20" i="2" s="1"/>
  <c r="BC20" i="2" s="1"/>
  <c r="K10" i="9"/>
  <c r="L10" i="9" s="1"/>
  <c r="O10" i="9" s="1"/>
  <c r="AY19" i="21"/>
  <c r="AZ19" i="21" s="1"/>
  <c r="BC19" i="21" s="1"/>
  <c r="K17" i="15"/>
  <c r="L17" i="15" s="1"/>
  <c r="O17" i="15" s="1"/>
  <c r="K16" i="20"/>
  <c r="L16" i="20" s="1"/>
  <c r="O16" i="20" s="1"/>
  <c r="AY12" i="22"/>
  <c r="AZ12" i="22" s="1"/>
  <c r="BC12" i="22" s="1"/>
  <c r="AY21" i="2"/>
  <c r="AZ21" i="2" s="1"/>
  <c r="BC21" i="2" s="1"/>
  <c r="K12" i="8"/>
  <c r="L12" i="8" s="1"/>
  <c r="O12" i="8" s="1"/>
  <c r="AY21" i="24"/>
  <c r="AZ21" i="24" s="1"/>
  <c r="BC21" i="24" s="1"/>
  <c r="AY16" i="1"/>
  <c r="AZ16" i="1" s="1"/>
  <c r="BC16" i="1" s="1"/>
  <c r="K12" i="22"/>
  <c r="L12" i="22" s="1"/>
  <c r="O12" i="22" s="1"/>
  <c r="K18" i="10"/>
  <c r="L18" i="10" s="1"/>
  <c r="O18" i="10" s="1"/>
  <c r="K13" i="18"/>
  <c r="L13" i="18" s="1"/>
  <c r="O13" i="18" s="1"/>
  <c r="K22" i="3"/>
  <c r="L22" i="3" s="1"/>
  <c r="O22" i="3" s="1"/>
  <c r="AY16" i="19"/>
  <c r="AZ16" i="19" s="1"/>
  <c r="BC16" i="19" s="1"/>
  <c r="AY21" i="3"/>
  <c r="AZ21" i="3" s="1"/>
  <c r="BC21" i="3" s="1"/>
  <c r="K21" i="1"/>
  <c r="L21" i="1" s="1"/>
  <c r="O21" i="1" s="1"/>
  <c r="K20" i="19"/>
  <c r="L20" i="19" s="1"/>
  <c r="O20" i="19" s="1"/>
  <c r="AY14" i="22"/>
  <c r="AZ14" i="22" s="1"/>
  <c r="BC14" i="22" s="1"/>
  <c r="AY20" i="11"/>
  <c r="AZ20" i="11" s="1"/>
  <c r="BC20" i="11" s="1"/>
  <c r="K12" i="9"/>
  <c r="L12" i="9" s="1"/>
  <c r="O12" i="9" s="1"/>
  <c r="K19" i="14"/>
  <c r="L19" i="14" s="1"/>
  <c r="O19" i="14" s="1"/>
  <c r="K19" i="18"/>
  <c r="L19" i="18" s="1"/>
  <c r="O19" i="18" s="1"/>
  <c r="K16" i="4"/>
  <c r="L16" i="4" s="1"/>
  <c r="O16" i="4" s="1"/>
  <c r="BG33" i="14"/>
  <c r="AY11" i="13"/>
  <c r="AZ11" i="13" s="1"/>
  <c r="BC11" i="13" s="1"/>
  <c r="AY14" i="16"/>
  <c r="AZ14" i="16" s="1"/>
  <c r="BC14" i="16" s="1"/>
  <c r="K21" i="15"/>
  <c r="L21" i="15" s="1"/>
  <c r="O21" i="15" s="1"/>
  <c r="AY22" i="16"/>
  <c r="AZ22" i="16" s="1"/>
  <c r="BC22" i="16" s="1"/>
  <c r="AY15" i="22"/>
  <c r="AZ15" i="22" s="1"/>
  <c r="BC15" i="22" s="1"/>
  <c r="AH31" i="17"/>
  <c r="AI31" i="17" s="1"/>
  <c r="AJ31" i="17" s="1"/>
  <c r="AY21" i="25"/>
  <c r="AZ21" i="25" s="1"/>
  <c r="BC21" i="25" s="1"/>
  <c r="K12" i="20"/>
  <c r="L12" i="20" s="1"/>
  <c r="O12" i="20" s="1"/>
  <c r="AY12" i="6"/>
  <c r="AZ12" i="6" s="1"/>
  <c r="BC12" i="6" s="1"/>
  <c r="AY15" i="9"/>
  <c r="AZ15" i="9" s="1"/>
  <c r="BC15" i="9" s="1"/>
  <c r="I56" i="24"/>
  <c r="S32" i="24" s="1"/>
  <c r="BE91" i="61" s="1"/>
  <c r="AY10" i="18"/>
  <c r="AZ10" i="18" s="1"/>
  <c r="BC10" i="18" s="1"/>
  <c r="K10" i="15"/>
  <c r="L10" i="15" s="1"/>
  <c r="O10" i="15" s="1"/>
  <c r="AY21" i="5"/>
  <c r="AZ21" i="5" s="1"/>
  <c r="BC21" i="5" s="1"/>
  <c r="AY16" i="21"/>
  <c r="AZ16" i="21" s="1"/>
  <c r="BC16" i="21" s="1"/>
  <c r="AY16" i="8"/>
  <c r="AZ16" i="8" s="1"/>
  <c r="BC16" i="8" s="1"/>
  <c r="K13" i="5"/>
  <c r="L13" i="5" s="1"/>
  <c r="O13" i="5" s="1"/>
  <c r="K18" i="8"/>
  <c r="L18" i="8" s="1"/>
  <c r="O18" i="8" s="1"/>
  <c r="K20" i="21"/>
  <c r="L20" i="21" s="1"/>
  <c r="O20" i="21" s="1"/>
  <c r="AY10" i="4"/>
  <c r="AZ10" i="4" s="1"/>
  <c r="BC10" i="4" s="1"/>
  <c r="K18" i="24"/>
  <c r="L18" i="24" s="1"/>
  <c r="O18" i="24" s="1"/>
  <c r="K12" i="12"/>
  <c r="L12" i="12" s="1"/>
  <c r="O12" i="12" s="1"/>
  <c r="AH32" i="15"/>
  <c r="K12" i="19"/>
  <c r="L12" i="19" s="1"/>
  <c r="O12" i="19" s="1"/>
  <c r="AY10" i="2"/>
  <c r="AZ10" i="2" s="1"/>
  <c r="BC10" i="2" s="1"/>
  <c r="AH32" i="17"/>
  <c r="AY12" i="11"/>
  <c r="AZ12" i="11" s="1"/>
  <c r="BC12" i="11" s="1"/>
  <c r="AH31" i="4"/>
  <c r="AI31" i="4" s="1"/>
  <c r="AJ31" i="4" s="1"/>
  <c r="AY11" i="18"/>
  <c r="AZ11" i="18" s="1"/>
  <c r="BC11" i="18" s="1"/>
  <c r="K20" i="7"/>
  <c r="L20" i="7" s="1"/>
  <c r="O20" i="7" s="1"/>
  <c r="AY20" i="18"/>
  <c r="AZ20" i="18" s="1"/>
  <c r="BC20" i="18" s="1"/>
  <c r="K22" i="24"/>
  <c r="L22" i="24" s="1"/>
  <c r="O22" i="24" s="1"/>
  <c r="K22" i="2"/>
  <c r="L22" i="2" s="1"/>
  <c r="O22" i="2" s="1"/>
  <c r="K11" i="21"/>
  <c r="L11" i="21" s="1"/>
  <c r="O11" i="21" s="1"/>
  <c r="AH31" i="6"/>
  <c r="AI31" i="6" s="1"/>
  <c r="AJ31" i="6" s="1"/>
  <c r="AY21" i="11"/>
  <c r="AZ21" i="11" s="1"/>
  <c r="BC21" i="11" s="1"/>
  <c r="AY13" i="19"/>
  <c r="AZ13" i="19" s="1"/>
  <c r="BC13" i="19" s="1"/>
  <c r="K22" i="1"/>
  <c r="L22" i="1" s="1"/>
  <c r="O22" i="1" s="1"/>
  <c r="K15" i="11"/>
  <c r="L15" i="11" s="1"/>
  <c r="O15" i="11" s="1"/>
  <c r="AY12" i="8"/>
  <c r="AZ12" i="8" s="1"/>
  <c r="BC12" i="8" s="1"/>
  <c r="AY23" i="6"/>
  <c r="AZ23" i="6" s="1"/>
  <c r="BC23" i="6" s="1"/>
  <c r="K11" i="12"/>
  <c r="L11" i="12" s="1"/>
  <c r="O11" i="12" s="1"/>
  <c r="AY14" i="5"/>
  <c r="AZ14" i="5" s="1"/>
  <c r="BC14" i="5" s="1"/>
  <c r="AY14" i="4"/>
  <c r="AZ14" i="4" s="1"/>
  <c r="BC14" i="4" s="1"/>
  <c r="AY18" i="22"/>
  <c r="AZ18" i="22" s="1"/>
  <c r="BC18" i="22" s="1"/>
  <c r="K17" i="24"/>
  <c r="L17" i="24" s="1"/>
  <c r="O17" i="24" s="1"/>
  <c r="K12" i="2"/>
  <c r="L12" i="2" s="1"/>
  <c r="O12" i="2" s="1"/>
  <c r="AH31" i="12"/>
  <c r="AI31" i="12" s="1"/>
  <c r="AJ31" i="12" s="1"/>
  <c r="AY22" i="15"/>
  <c r="AZ22" i="15" s="1"/>
  <c r="BC22" i="15" s="1"/>
  <c r="AY16" i="17"/>
  <c r="AZ16" i="17" s="1"/>
  <c r="BC16" i="17" s="1"/>
  <c r="AY16" i="4"/>
  <c r="AZ16" i="4" s="1"/>
  <c r="BC16" i="4" s="1"/>
  <c r="K22" i="21"/>
  <c r="L22" i="21" s="1"/>
  <c r="O22" i="21" s="1"/>
  <c r="K14" i="15"/>
  <c r="L14" i="15" s="1"/>
  <c r="O14" i="15" s="1"/>
  <c r="AY23" i="7"/>
  <c r="AZ23" i="7" s="1"/>
  <c r="BC23" i="7" s="1"/>
  <c r="AY20" i="1"/>
  <c r="AZ20" i="1" s="1"/>
  <c r="BC20" i="1" s="1"/>
  <c r="AY11" i="10"/>
  <c r="AZ11" i="10" s="1"/>
  <c r="BC11" i="10" s="1"/>
  <c r="AY17" i="23"/>
  <c r="AZ17" i="23" s="1"/>
  <c r="BC17" i="23" s="1"/>
  <c r="AY19" i="7"/>
  <c r="AZ19" i="7" s="1"/>
  <c r="BC19" i="7" s="1"/>
  <c r="K16" i="5"/>
  <c r="L16" i="5" s="1"/>
  <c r="O16" i="5" s="1"/>
  <c r="AH32" i="9"/>
  <c r="AY14" i="53"/>
  <c r="AZ14" i="53" s="1"/>
  <c r="BC14" i="53" s="1"/>
  <c r="K23" i="10"/>
  <c r="L23" i="10" s="1"/>
  <c r="O23" i="10" s="1"/>
  <c r="AY11" i="21"/>
  <c r="AZ11" i="21" s="1"/>
  <c r="BC11" i="21" s="1"/>
  <c r="AY20" i="22"/>
  <c r="AZ20" i="22" s="1"/>
  <c r="BC20" i="22" s="1"/>
  <c r="AY12" i="18"/>
  <c r="AZ12" i="18" s="1"/>
  <c r="BC12" i="18" s="1"/>
  <c r="K15" i="19"/>
  <c r="L15" i="19" s="1"/>
  <c r="O15" i="19" s="1"/>
  <c r="AY22" i="19"/>
  <c r="AZ22" i="19" s="1"/>
  <c r="BC22" i="19" s="1"/>
  <c r="AY20" i="53"/>
  <c r="AZ20" i="53" s="1"/>
  <c r="BC20" i="53" s="1"/>
  <c r="AY21" i="23"/>
  <c r="AZ21" i="23" s="1"/>
  <c r="BC21" i="23" s="1"/>
  <c r="AH32" i="18"/>
  <c r="AH32" i="21"/>
  <c r="K16" i="10"/>
  <c r="L16" i="10" s="1"/>
  <c r="O16" i="10" s="1"/>
  <c r="K16" i="21"/>
  <c r="L16" i="21" s="1"/>
  <c r="O16" i="21" s="1"/>
  <c r="AY12" i="17"/>
  <c r="AZ12" i="17" s="1"/>
  <c r="BC12" i="17" s="1"/>
  <c r="K22" i="4"/>
  <c r="L22" i="4" s="1"/>
  <c r="O22" i="4" s="1"/>
  <c r="AY11" i="20"/>
  <c r="AZ11" i="20" s="1"/>
  <c r="BC11" i="20" s="1"/>
  <c r="AY20" i="13"/>
  <c r="AZ20" i="13" s="1"/>
  <c r="BC20" i="13" s="1"/>
  <c r="AY23" i="12"/>
  <c r="AZ23" i="12" s="1"/>
  <c r="BC23" i="12" s="1"/>
  <c r="AH31" i="20"/>
  <c r="AI31" i="20" s="1"/>
  <c r="AJ31" i="20" s="1"/>
  <c r="AH31" i="11"/>
  <c r="AI31" i="11" s="1"/>
  <c r="AJ31" i="11" s="1"/>
  <c r="AY12" i="53"/>
  <c r="AZ12" i="53" s="1"/>
  <c r="BC12" i="53" s="1"/>
  <c r="K16" i="25"/>
  <c r="L16" i="25" s="1"/>
  <c r="O16" i="25" s="1"/>
  <c r="I56" i="22"/>
  <c r="K15" i="13"/>
  <c r="L15" i="13" s="1"/>
  <c r="O15" i="13" s="1"/>
  <c r="K13" i="15"/>
  <c r="L13" i="15" s="1"/>
  <c r="O13" i="15" s="1"/>
  <c r="K18" i="13"/>
  <c r="L18" i="13" s="1"/>
  <c r="O18" i="13" s="1"/>
  <c r="K14" i="1"/>
  <c r="L14" i="1" s="1"/>
  <c r="O14" i="1" s="1"/>
  <c r="AY11" i="23"/>
  <c r="AZ11" i="23" s="1"/>
  <c r="BC11" i="23" s="1"/>
  <c r="AY23" i="18"/>
  <c r="AZ23" i="18" s="1"/>
  <c r="BC23" i="18" s="1"/>
  <c r="K15" i="18"/>
  <c r="L15" i="18" s="1"/>
  <c r="O15" i="18" s="1"/>
  <c r="AH31" i="2"/>
  <c r="AI31" i="2" s="1"/>
  <c r="AJ31" i="2" s="1"/>
  <c r="AY12" i="16"/>
  <c r="AZ12" i="16" s="1"/>
  <c r="BC12" i="16" s="1"/>
  <c r="AY18" i="7"/>
  <c r="AZ18" i="7" s="1"/>
  <c r="BC18" i="7" s="1"/>
  <c r="K16" i="19"/>
  <c r="L16" i="19" s="1"/>
  <c r="O16" i="19" s="1"/>
  <c r="AY21" i="22"/>
  <c r="AZ21" i="22" s="1"/>
  <c r="BC21" i="22" s="1"/>
  <c r="AH32" i="11"/>
  <c r="AY17" i="24"/>
  <c r="AZ17" i="24" s="1"/>
  <c r="BC17" i="24" s="1"/>
  <c r="AY16" i="14"/>
  <c r="AZ16" i="14" s="1"/>
  <c r="BC16" i="14" s="1"/>
  <c r="AY19" i="53"/>
  <c r="AZ19" i="53" s="1"/>
  <c r="BC19" i="53" s="1"/>
  <c r="I56" i="17"/>
  <c r="S32" i="17" s="1"/>
  <c r="BL91" i="61" s="1"/>
  <c r="AY17" i="9"/>
  <c r="AZ17" i="9" s="1"/>
  <c r="BC17" i="9" s="1"/>
  <c r="K12" i="7"/>
  <c r="L12" i="7" s="1"/>
  <c r="O12" i="7" s="1"/>
  <c r="AH31" i="15"/>
  <c r="AI31" i="15" s="1"/>
  <c r="AJ31" i="15" s="1"/>
  <c r="K16" i="16"/>
  <c r="L16" i="16" s="1"/>
  <c r="O16" i="16" s="1"/>
  <c r="K16" i="2"/>
  <c r="L16" i="2" s="1"/>
  <c r="O16" i="2" s="1"/>
  <c r="K13" i="21"/>
  <c r="L13" i="21" s="1"/>
  <c r="O13" i="21" s="1"/>
  <c r="AY19" i="8"/>
  <c r="AZ19" i="8" s="1"/>
  <c r="BC19" i="8" s="1"/>
  <c r="K23" i="5"/>
  <c r="L23" i="5" s="1"/>
  <c r="O23" i="5" s="1"/>
  <c r="AY11" i="7"/>
  <c r="AZ11" i="7" s="1"/>
  <c r="BC11" i="7" s="1"/>
  <c r="K11" i="13"/>
  <c r="L11" i="13" s="1"/>
  <c r="O11" i="13" s="1"/>
  <c r="AH32" i="23"/>
  <c r="AY19" i="9"/>
  <c r="AZ19" i="9" s="1"/>
  <c r="BC19" i="9" s="1"/>
  <c r="AH32" i="25"/>
  <c r="K12" i="17"/>
  <c r="L12" i="17" s="1"/>
  <c r="O12" i="17" s="1"/>
  <c r="K18" i="21"/>
  <c r="L18" i="21" s="1"/>
  <c r="O18" i="21" s="1"/>
  <c r="K13" i="9"/>
  <c r="L13" i="9" s="1"/>
  <c r="O13" i="9" s="1"/>
  <c r="K23" i="8"/>
  <c r="L23" i="8" s="1"/>
  <c r="O23" i="8" s="1"/>
  <c r="K19" i="11"/>
  <c r="L19" i="11" s="1"/>
  <c r="O19" i="11" s="1"/>
  <c r="K15" i="14"/>
  <c r="L15" i="14" s="1"/>
  <c r="O15" i="14" s="1"/>
  <c r="K12" i="24"/>
  <c r="L12" i="24" s="1"/>
  <c r="O12" i="24" s="1"/>
  <c r="I56" i="20"/>
  <c r="AY17" i="5"/>
  <c r="AZ17" i="5" s="1"/>
  <c r="BC17" i="5" s="1"/>
  <c r="K21" i="9"/>
  <c r="L21" i="9" s="1"/>
  <c r="O21" i="9" s="1"/>
  <c r="AY19" i="24"/>
  <c r="AZ19" i="24" s="1"/>
  <c r="BC19" i="24" s="1"/>
  <c r="AY13" i="5"/>
  <c r="AZ13" i="5" s="1"/>
  <c r="BC13" i="5" s="1"/>
  <c r="K18" i="19"/>
  <c r="L18" i="19" s="1"/>
  <c r="O18" i="19" s="1"/>
  <c r="K12" i="16"/>
  <c r="L12" i="16" s="1"/>
  <c r="O12" i="16" s="1"/>
  <c r="K13" i="1"/>
  <c r="L13" i="1" s="1"/>
  <c r="O13" i="1" s="1"/>
  <c r="AY18" i="11"/>
  <c r="AZ18" i="11" s="1"/>
  <c r="BC18" i="11" s="1"/>
  <c r="K13" i="19"/>
  <c r="L13" i="19" s="1"/>
  <c r="O13" i="19" s="1"/>
  <c r="AY12" i="24"/>
  <c r="AZ12" i="24" s="1"/>
  <c r="BC12" i="24" s="1"/>
  <c r="AY19" i="12"/>
  <c r="AZ19" i="12" s="1"/>
  <c r="BC19" i="12" s="1"/>
  <c r="K13" i="12"/>
  <c r="L13" i="12" s="1"/>
  <c r="O13" i="12" s="1"/>
  <c r="AY18" i="25"/>
  <c r="AZ18" i="25" s="1"/>
  <c r="BC18" i="25" s="1"/>
  <c r="AY15" i="15"/>
  <c r="AZ15" i="15" s="1"/>
  <c r="BC15" i="15" s="1"/>
  <c r="AY10" i="15"/>
  <c r="AZ10" i="15" s="1"/>
  <c r="BC10" i="15" s="1"/>
  <c r="K23" i="19"/>
  <c r="L23" i="19" s="1"/>
  <c r="O23" i="19" s="1"/>
  <c r="K23" i="25"/>
  <c r="L23" i="25" s="1"/>
  <c r="O23" i="25" s="1"/>
  <c r="K20" i="2"/>
  <c r="L20" i="2" s="1"/>
  <c r="O20" i="2" s="1"/>
  <c r="K17" i="19"/>
  <c r="L17" i="19" s="1"/>
  <c r="O17" i="19" s="1"/>
  <c r="K10" i="4"/>
  <c r="L10" i="4" s="1"/>
  <c r="O10" i="4" s="1"/>
  <c r="K19" i="10"/>
  <c r="L19" i="10" s="1"/>
  <c r="O19" i="10" s="1"/>
  <c r="K20" i="22"/>
  <c r="L20" i="22" s="1"/>
  <c r="O20" i="22" s="1"/>
  <c r="K22" i="23"/>
  <c r="L22" i="23" s="1"/>
  <c r="O22" i="23" s="1"/>
  <c r="K17" i="12"/>
  <c r="L17" i="12" s="1"/>
  <c r="O17" i="12" s="1"/>
  <c r="S34" i="53"/>
  <c r="AY12" i="10"/>
  <c r="AZ12" i="10" s="1"/>
  <c r="BC12" i="10" s="1"/>
  <c r="K17" i="11"/>
  <c r="L17" i="11" s="1"/>
  <c r="O17" i="11" s="1"/>
  <c r="AY11" i="8"/>
  <c r="AZ11" i="8" s="1"/>
  <c r="BC11" i="8" s="1"/>
  <c r="K20" i="13"/>
  <c r="L20" i="13" s="1"/>
  <c r="O20" i="13" s="1"/>
  <c r="K23" i="11"/>
  <c r="L23" i="11" s="1"/>
  <c r="O23" i="11" s="1"/>
  <c r="AY18" i="13"/>
  <c r="AZ18" i="13" s="1"/>
  <c r="BC18" i="13" s="1"/>
  <c r="AY15" i="13"/>
  <c r="AZ15" i="13" s="1"/>
  <c r="BC15" i="13" s="1"/>
  <c r="AY22" i="10"/>
  <c r="AZ22" i="10" s="1"/>
  <c r="BC22" i="10" s="1"/>
  <c r="AH31" i="13"/>
  <c r="AI31" i="13" s="1"/>
  <c r="AJ31" i="13" s="1"/>
  <c r="AY16" i="7"/>
  <c r="AZ16" i="7" s="1"/>
  <c r="BC16" i="7" s="1"/>
  <c r="K16" i="22"/>
  <c r="L16" i="22" s="1"/>
  <c r="O16" i="22" s="1"/>
  <c r="BG33" i="20"/>
  <c r="AY23" i="22"/>
  <c r="AZ23" i="22" s="1"/>
  <c r="BC23" i="22" s="1"/>
  <c r="AY20" i="7"/>
  <c r="AZ20" i="7" s="1"/>
  <c r="BC20" i="7" s="1"/>
  <c r="K20" i="18"/>
  <c r="L20" i="18" s="1"/>
  <c r="O20" i="18" s="1"/>
  <c r="K11" i="10"/>
  <c r="L11" i="10" s="1"/>
  <c r="O11" i="10" s="1"/>
  <c r="AY12" i="12"/>
  <c r="AZ12" i="12" s="1"/>
  <c r="BC12" i="12" s="1"/>
  <c r="AY13" i="11"/>
  <c r="AZ13" i="11" s="1"/>
  <c r="BC13" i="11" s="1"/>
  <c r="K15" i="22"/>
  <c r="L15" i="22" s="1"/>
  <c r="O15" i="22" s="1"/>
  <c r="AY21" i="21"/>
  <c r="AZ21" i="21" s="1"/>
  <c r="BC21" i="21" s="1"/>
  <c r="AY22" i="21"/>
  <c r="AZ22" i="21" s="1"/>
  <c r="BC22" i="21" s="1"/>
  <c r="BG33" i="21"/>
  <c r="AY18" i="2"/>
  <c r="AZ18" i="2" s="1"/>
  <c r="BC18" i="2" s="1"/>
  <c r="AY11" i="6"/>
  <c r="AZ11" i="6" s="1"/>
  <c r="BC11" i="6" s="1"/>
  <c r="AY14" i="25"/>
  <c r="AZ14" i="25" s="1"/>
  <c r="BC14" i="25" s="1"/>
  <c r="K20" i="4"/>
  <c r="L20" i="4" s="1"/>
  <c r="O20" i="4" s="1"/>
  <c r="K11" i="3"/>
  <c r="L11" i="3" s="1"/>
  <c r="O11" i="3" s="1"/>
  <c r="K20" i="25"/>
  <c r="L20" i="25" s="1"/>
  <c r="O20" i="25" s="1"/>
  <c r="AY21" i="12"/>
  <c r="AZ21" i="12" s="1"/>
  <c r="BC21" i="12" s="1"/>
  <c r="AY22" i="12"/>
  <c r="AZ22" i="12" s="1"/>
  <c r="BC22" i="12" s="1"/>
  <c r="K21" i="17"/>
  <c r="L21" i="17" s="1"/>
  <c r="O21" i="17" s="1"/>
  <c r="AY14" i="18"/>
  <c r="AZ14" i="18" s="1"/>
  <c r="BC14" i="18" s="1"/>
  <c r="AY13" i="24"/>
  <c r="AZ13" i="24" s="1"/>
  <c r="BC13" i="24" s="1"/>
  <c r="AY17" i="16"/>
  <c r="AZ17" i="16" s="1"/>
  <c r="BC17" i="16" s="1"/>
  <c r="AY10" i="6"/>
  <c r="AZ10" i="6" s="1"/>
  <c r="BC10" i="6" s="1"/>
  <c r="K21" i="16"/>
  <c r="L21" i="16" s="1"/>
  <c r="O21" i="16" s="1"/>
  <c r="AY16" i="9"/>
  <c r="AZ16" i="9" s="1"/>
  <c r="BC16" i="9" s="1"/>
  <c r="K18" i="25"/>
  <c r="L18" i="25" s="1"/>
  <c r="O18" i="25" s="1"/>
  <c r="AY14" i="21"/>
  <c r="AZ14" i="21" s="1"/>
  <c r="BC14" i="21" s="1"/>
  <c r="AY10" i="24"/>
  <c r="AZ10" i="24" s="1"/>
  <c r="BC10" i="24" s="1"/>
  <c r="K13" i="13"/>
  <c r="L13" i="13" s="1"/>
  <c r="O13" i="13" s="1"/>
  <c r="K19" i="24"/>
  <c r="L19" i="24" s="1"/>
  <c r="O19" i="24" s="1"/>
  <c r="AY17" i="20"/>
  <c r="AZ17" i="20" s="1"/>
  <c r="BC17" i="20" s="1"/>
  <c r="K22" i="11"/>
  <c r="L22" i="11" s="1"/>
  <c r="O22" i="11" s="1"/>
  <c r="AY14" i="10"/>
  <c r="AZ14" i="10" s="1"/>
  <c r="BC14" i="10" s="1"/>
  <c r="AY23" i="3"/>
  <c r="AZ23" i="3" s="1"/>
  <c r="BC23" i="3" s="1"/>
  <c r="AY23" i="14"/>
  <c r="AZ23" i="14" s="1"/>
  <c r="BC23" i="14" s="1"/>
  <c r="I56" i="15"/>
  <c r="K16" i="3"/>
  <c r="L16" i="3" s="1"/>
  <c r="O16" i="3" s="1"/>
  <c r="AY12" i="19"/>
  <c r="AZ12" i="19" s="1"/>
  <c r="BC12" i="19" s="1"/>
  <c r="K10" i="19"/>
  <c r="L10" i="19" s="1"/>
  <c r="O10" i="19" s="1"/>
  <c r="K10" i="11"/>
  <c r="L10" i="11" s="1"/>
  <c r="O10" i="11" s="1"/>
  <c r="K10" i="12"/>
  <c r="L10" i="12" s="1"/>
  <c r="O10" i="12" s="1"/>
  <c r="AY16" i="20"/>
  <c r="AZ16" i="20" s="1"/>
  <c r="BC16" i="20" s="1"/>
  <c r="K21" i="2"/>
  <c r="L21" i="2" s="1"/>
  <c r="O21" i="2" s="1"/>
  <c r="K10" i="3"/>
  <c r="L10" i="3" s="1"/>
  <c r="O10" i="3" s="1"/>
  <c r="AY21" i="53"/>
  <c r="AZ21" i="53" s="1"/>
  <c r="BC21" i="53" s="1"/>
  <c r="K11" i="7"/>
  <c r="L11" i="7" s="1"/>
  <c r="O11" i="7" s="1"/>
  <c r="AY14" i="13"/>
  <c r="AZ14" i="13" s="1"/>
  <c r="BC14" i="13" s="1"/>
  <c r="AY17" i="7"/>
  <c r="AZ17" i="7" s="1"/>
  <c r="BC17" i="7" s="1"/>
  <c r="AY19" i="23"/>
  <c r="AZ19" i="23" s="1"/>
  <c r="BC19" i="23" s="1"/>
  <c r="AY16" i="3"/>
  <c r="AZ16" i="3" s="1"/>
  <c r="BC16" i="3" s="1"/>
  <c r="AY18" i="1"/>
  <c r="AZ18" i="1" s="1"/>
  <c r="BC18" i="1" s="1"/>
  <c r="AY15" i="16"/>
  <c r="AZ15" i="16" s="1"/>
  <c r="BC15" i="16" s="1"/>
  <c r="AY12" i="14"/>
  <c r="AZ12" i="14" s="1"/>
  <c r="BC12" i="14" s="1"/>
  <c r="AY18" i="23"/>
  <c r="AZ18" i="23" s="1"/>
  <c r="BC18" i="23" s="1"/>
  <c r="AY16" i="16"/>
  <c r="AZ16" i="16" s="1"/>
  <c r="BC16" i="16" s="1"/>
  <c r="K21" i="10"/>
  <c r="L21" i="10" s="1"/>
  <c r="O21" i="10" s="1"/>
  <c r="K15" i="21"/>
  <c r="L15" i="21" s="1"/>
  <c r="O15" i="21" s="1"/>
  <c r="K17" i="7"/>
  <c r="L17" i="7" s="1"/>
  <c r="O17" i="7" s="1"/>
  <c r="AY12" i="23"/>
  <c r="AZ12" i="23" s="1"/>
  <c r="BC12" i="23" s="1"/>
  <c r="AY15" i="7"/>
  <c r="AZ15" i="7" s="1"/>
  <c r="BC15" i="7" s="1"/>
  <c r="K15" i="20"/>
  <c r="L15" i="20" s="1"/>
  <c r="O15" i="20" s="1"/>
  <c r="AY18" i="15"/>
  <c r="AZ18" i="15" s="1"/>
  <c r="BC18" i="15" s="1"/>
  <c r="K11" i="18"/>
  <c r="L11" i="18" s="1"/>
  <c r="O11" i="18" s="1"/>
  <c r="K21" i="12"/>
  <c r="L21" i="12" s="1"/>
  <c r="O21" i="12" s="1"/>
  <c r="BG33" i="23"/>
  <c r="AY17" i="8"/>
  <c r="AZ17" i="8" s="1"/>
  <c r="BC17" i="8" s="1"/>
  <c r="AY23" i="4"/>
  <c r="AZ23" i="4" s="1"/>
  <c r="BC23" i="4" s="1"/>
  <c r="K10" i="14"/>
  <c r="L10" i="14" s="1"/>
  <c r="O10" i="14" s="1"/>
  <c r="AY14" i="6"/>
  <c r="AZ14" i="6" s="1"/>
  <c r="BC14" i="6" s="1"/>
  <c r="AY11" i="14"/>
  <c r="AZ11" i="14" s="1"/>
  <c r="BC11" i="14" s="1"/>
  <c r="AY17" i="17"/>
  <c r="AZ17" i="17" s="1"/>
  <c r="BC17" i="17" s="1"/>
  <c r="K17" i="23"/>
  <c r="L17" i="23" s="1"/>
  <c r="O17" i="23" s="1"/>
  <c r="K18" i="9"/>
  <c r="L18" i="9" s="1"/>
  <c r="O18" i="9" s="1"/>
  <c r="AY18" i="14"/>
  <c r="AZ18" i="14" s="1"/>
  <c r="BC18" i="14" s="1"/>
  <c r="AY15" i="20"/>
  <c r="AZ15" i="20" s="1"/>
  <c r="BC15" i="20" s="1"/>
  <c r="K18" i="22"/>
  <c r="L18" i="22" s="1"/>
  <c r="O18" i="22" s="1"/>
  <c r="AY13" i="15"/>
  <c r="AZ13" i="15" s="1"/>
  <c r="BC13" i="15" s="1"/>
  <c r="AY18" i="6"/>
  <c r="AZ18" i="6" s="1"/>
  <c r="BC18" i="6" s="1"/>
  <c r="AY17" i="6"/>
  <c r="AZ17" i="6" s="1"/>
  <c r="BC17" i="6" s="1"/>
  <c r="K21" i="11"/>
  <c r="L21" i="11" s="1"/>
  <c r="O21" i="11" s="1"/>
  <c r="K17" i="1"/>
  <c r="L17" i="1" s="1"/>
  <c r="O17" i="1" s="1"/>
  <c r="AY19" i="3"/>
  <c r="AZ19" i="3" s="1"/>
  <c r="BC19" i="3" s="1"/>
  <c r="I56" i="18"/>
  <c r="AY17" i="2"/>
  <c r="AZ17" i="2" s="1"/>
  <c r="BC17" i="2" s="1"/>
  <c r="K15" i="12"/>
  <c r="L15" i="12" s="1"/>
  <c r="O15" i="12" s="1"/>
  <c r="AY18" i="10"/>
  <c r="AZ18" i="10" s="1"/>
  <c r="BC18" i="10" s="1"/>
  <c r="K10" i="22"/>
  <c r="L10" i="22" s="1"/>
  <c r="O10" i="22" s="1"/>
  <c r="K18" i="11"/>
  <c r="L18" i="11" s="1"/>
  <c r="O18" i="11" s="1"/>
  <c r="AY14" i="1"/>
  <c r="AZ14" i="1" s="1"/>
  <c r="BC14" i="1" s="1"/>
  <c r="K11" i="6"/>
  <c r="L11" i="6" s="1"/>
  <c r="O11" i="6" s="1"/>
  <c r="K17" i="3"/>
  <c r="L17" i="3" s="1"/>
  <c r="O17" i="3" s="1"/>
  <c r="AH32" i="3"/>
  <c r="AY12" i="9"/>
  <c r="AZ12" i="9" s="1"/>
  <c r="BC12" i="9" s="1"/>
  <c r="AY19" i="4"/>
  <c r="AZ19" i="4" s="1"/>
  <c r="BC19" i="4" s="1"/>
  <c r="K22" i="19"/>
  <c r="L22" i="19" s="1"/>
  <c r="O22" i="19" s="1"/>
  <c r="AY12" i="15"/>
  <c r="AZ12" i="15" s="1"/>
  <c r="BC12" i="15" s="1"/>
  <c r="AY15" i="4"/>
  <c r="AZ15" i="4" s="1"/>
  <c r="BC15" i="4" s="1"/>
  <c r="AY18" i="53"/>
  <c r="AZ18" i="53" s="1"/>
  <c r="BC18" i="53" s="1"/>
  <c r="K14" i="12"/>
  <c r="L14" i="12" s="1"/>
  <c r="O14" i="12" s="1"/>
  <c r="AY23" i="23"/>
  <c r="AZ23" i="23" s="1"/>
  <c r="BC23" i="23" s="1"/>
  <c r="K11" i="15"/>
  <c r="L11" i="15" s="1"/>
  <c r="O11" i="15" s="1"/>
  <c r="AH32" i="14"/>
  <c r="AY21" i="16"/>
  <c r="AZ21" i="16" s="1"/>
  <c r="BC21" i="16" s="1"/>
  <c r="AY18" i="4"/>
  <c r="AZ18" i="4" s="1"/>
  <c r="BC18" i="4" s="1"/>
  <c r="AY22" i="25"/>
  <c r="AZ22" i="25" s="1"/>
  <c r="BC22" i="25" s="1"/>
  <c r="K13" i="11"/>
  <c r="L13" i="11" s="1"/>
  <c r="O13" i="11" s="1"/>
  <c r="AY19" i="22"/>
  <c r="AZ19" i="22" s="1"/>
  <c r="BC19" i="22" s="1"/>
  <c r="AH32" i="6"/>
  <c r="K12" i="13"/>
  <c r="L12" i="13" s="1"/>
  <c r="O12" i="13" s="1"/>
  <c r="K18" i="53"/>
  <c r="L18" i="53" s="1"/>
  <c r="O18" i="53" s="1"/>
  <c r="K11" i="20"/>
  <c r="L11" i="20" s="1"/>
  <c r="O11" i="20" s="1"/>
  <c r="K20" i="17"/>
  <c r="L20" i="17" s="1"/>
  <c r="O20" i="17" s="1"/>
  <c r="AY23" i="13"/>
  <c r="AZ23" i="13" s="1"/>
  <c r="BC23" i="13" s="1"/>
  <c r="AY20" i="4"/>
  <c r="AZ20" i="4" s="1"/>
  <c r="BC20" i="4" s="1"/>
  <c r="AY15" i="18"/>
  <c r="AZ15" i="18" s="1"/>
  <c r="BC15" i="18" s="1"/>
  <c r="K17" i="25"/>
  <c r="L17" i="25" s="1"/>
  <c r="O17" i="25" s="1"/>
  <c r="AY21" i="13"/>
  <c r="AZ21" i="13" s="1"/>
  <c r="BC21" i="13" s="1"/>
  <c r="K13" i="7"/>
  <c r="L13" i="7" s="1"/>
  <c r="O13" i="7" s="1"/>
  <c r="AY19" i="19"/>
  <c r="AZ19" i="19" s="1"/>
  <c r="BC19" i="19" s="1"/>
  <c r="AY17" i="53"/>
  <c r="AZ17" i="53" s="1"/>
  <c r="BC17" i="53" s="1"/>
  <c r="AY13" i="7"/>
  <c r="AZ13" i="7" s="1"/>
  <c r="BC13" i="7" s="1"/>
  <c r="K13" i="3"/>
  <c r="L13" i="3" s="1"/>
  <c r="O13" i="3" s="1"/>
  <c r="AY23" i="21"/>
  <c r="AZ23" i="21" s="1"/>
  <c r="BC23" i="21" s="1"/>
  <c r="K20" i="6"/>
  <c r="L20" i="6" s="1"/>
  <c r="O20" i="6" s="1"/>
  <c r="AY11" i="22"/>
  <c r="AZ11" i="22" s="1"/>
  <c r="BC11" i="22" s="1"/>
  <c r="K14" i="2"/>
  <c r="L14" i="2" s="1"/>
  <c r="O14" i="2" s="1"/>
  <c r="K11" i="53"/>
  <c r="L11" i="53" s="1"/>
  <c r="O11" i="53" s="1"/>
  <c r="AY16" i="24"/>
  <c r="AZ16" i="24" s="1"/>
  <c r="BC16" i="24" s="1"/>
  <c r="K13" i="20"/>
  <c r="L13" i="20" s="1"/>
  <c r="O13" i="20" s="1"/>
  <c r="AY10" i="19"/>
  <c r="AZ10" i="19" s="1"/>
  <c r="BC10" i="19" s="1"/>
  <c r="K10" i="20"/>
  <c r="L10" i="20" s="1"/>
  <c r="O10" i="20" s="1"/>
  <c r="K12" i="4"/>
  <c r="L12" i="4" s="1"/>
  <c r="O12" i="4" s="1"/>
  <c r="AY13" i="12"/>
  <c r="AZ13" i="12" s="1"/>
  <c r="BC13" i="12" s="1"/>
  <c r="AH31" i="8"/>
  <c r="AI31" i="8" s="1"/>
  <c r="AJ31" i="8" s="1"/>
  <c r="K21" i="24"/>
  <c r="L21" i="24" s="1"/>
  <c r="O21" i="24" s="1"/>
  <c r="K23" i="18"/>
  <c r="L23" i="18" s="1"/>
  <c r="O23" i="18" s="1"/>
  <c r="K20" i="5"/>
  <c r="L20" i="5" s="1"/>
  <c r="O20" i="5" s="1"/>
  <c r="AY14" i="17"/>
  <c r="AZ14" i="17" s="1"/>
  <c r="BC14" i="17" s="1"/>
  <c r="I56" i="25"/>
  <c r="S32" i="25" s="1"/>
  <c r="BD91" i="61" s="1"/>
  <c r="K19" i="20"/>
  <c r="L19" i="20" s="1"/>
  <c r="O19" i="20" s="1"/>
  <c r="AY19" i="14"/>
  <c r="AZ19" i="14" s="1"/>
  <c r="BC19" i="14" s="1"/>
  <c r="K10" i="53"/>
  <c r="L10" i="53" s="1"/>
  <c r="O10" i="53" s="1"/>
  <c r="K18" i="2"/>
  <c r="L18" i="2" s="1"/>
  <c r="O18" i="2" s="1"/>
  <c r="K22" i="14"/>
  <c r="L22" i="14" s="1"/>
  <c r="O22" i="14" s="1"/>
  <c r="K22" i="22"/>
  <c r="L22" i="22" s="1"/>
  <c r="O22" i="22" s="1"/>
  <c r="K12" i="11"/>
  <c r="L12" i="11" s="1"/>
  <c r="O12" i="11" s="1"/>
  <c r="K11" i="24"/>
  <c r="L11" i="24" s="1"/>
  <c r="O11" i="24" s="1"/>
  <c r="K23" i="24"/>
  <c r="L23" i="24" s="1"/>
  <c r="O23" i="24" s="1"/>
  <c r="K20" i="9"/>
  <c r="L20" i="9" s="1"/>
  <c r="O20" i="9" s="1"/>
  <c r="K19" i="15"/>
  <c r="L19" i="15" s="1"/>
  <c r="O19" i="15" s="1"/>
  <c r="AY15" i="12"/>
  <c r="AZ15" i="12" s="1"/>
  <c r="BC15" i="12" s="1"/>
  <c r="AY16" i="12"/>
  <c r="AZ16" i="12" s="1"/>
  <c r="BC16" i="12" s="1"/>
  <c r="AY22" i="20"/>
  <c r="AZ22" i="20" s="1"/>
  <c r="BC22" i="20" s="1"/>
  <c r="AY16" i="13"/>
  <c r="AZ16" i="13" s="1"/>
  <c r="BC16" i="13" s="1"/>
  <c r="AY21" i="9"/>
  <c r="AZ21" i="9" s="1"/>
  <c r="BC21" i="9" s="1"/>
  <c r="AY20" i="17"/>
  <c r="AZ20" i="17" s="1"/>
  <c r="BC20" i="17" s="1"/>
  <c r="K23" i="13"/>
  <c r="L23" i="13" s="1"/>
  <c r="O23" i="13" s="1"/>
  <c r="K14" i="17"/>
  <c r="L14" i="17" s="1"/>
  <c r="O14" i="17" s="1"/>
  <c r="K23" i="16"/>
  <c r="L23" i="16" s="1"/>
  <c r="O23" i="16" s="1"/>
  <c r="AY12" i="25"/>
  <c r="AZ12" i="25" s="1"/>
  <c r="BC12" i="25" s="1"/>
  <c r="K10" i="7"/>
  <c r="L10" i="7" s="1"/>
  <c r="O10" i="7" s="1"/>
  <c r="AY22" i="18"/>
  <c r="AZ22" i="18" s="1"/>
  <c r="BC22" i="18" s="1"/>
  <c r="AY19" i="6"/>
  <c r="AZ19" i="6" s="1"/>
  <c r="BC19" i="6" s="1"/>
  <c r="AY22" i="5"/>
  <c r="AZ22" i="5" s="1"/>
  <c r="BC22" i="5" s="1"/>
  <c r="AY22" i="53"/>
  <c r="AZ22" i="53" s="1"/>
  <c r="BC22" i="53" s="1"/>
  <c r="BG33" i="18"/>
  <c r="S32" i="18" s="1"/>
  <c r="BK91" i="61" s="1"/>
  <c r="K23" i="53"/>
  <c r="L23" i="53" s="1"/>
  <c r="O23" i="53" s="1"/>
  <c r="K20" i="10"/>
  <c r="L20" i="10" s="1"/>
  <c r="O20" i="10" s="1"/>
  <c r="K20" i="23"/>
  <c r="L20" i="23" s="1"/>
  <c r="O20" i="23" s="1"/>
  <c r="K14" i="8"/>
  <c r="L14" i="8" s="1"/>
  <c r="O14" i="8" s="1"/>
  <c r="K21" i="5"/>
  <c r="L21" i="5" s="1"/>
  <c r="O21" i="5" s="1"/>
  <c r="AY13" i="13"/>
  <c r="AZ13" i="13" s="1"/>
  <c r="BC13" i="13" s="1"/>
  <c r="AH31" i="23"/>
  <c r="AI31" i="23" s="1"/>
  <c r="AJ31" i="23" s="1"/>
  <c r="AY22" i="1"/>
  <c r="AZ22" i="1" s="1"/>
  <c r="BC22" i="1" s="1"/>
  <c r="K15" i="7"/>
  <c r="L15" i="7" s="1"/>
  <c r="O15" i="7" s="1"/>
  <c r="AY23" i="5"/>
  <c r="AZ23" i="5" s="1"/>
  <c r="BC23" i="5" s="1"/>
  <c r="AY11" i="24"/>
  <c r="AZ11" i="24" s="1"/>
  <c r="BC11" i="24" s="1"/>
  <c r="K14" i="5"/>
  <c r="L14" i="5" s="1"/>
  <c r="O14" i="5" s="1"/>
  <c r="K14" i="4"/>
  <c r="L14" i="4" s="1"/>
  <c r="O14" i="4" s="1"/>
  <c r="K20" i="1"/>
  <c r="L20" i="1" s="1"/>
  <c r="O20" i="1" s="1"/>
  <c r="K20" i="15"/>
  <c r="L20" i="15" s="1"/>
  <c r="O20" i="15" s="1"/>
  <c r="K15" i="1"/>
  <c r="L15" i="1" s="1"/>
  <c r="O15" i="1" s="1"/>
  <c r="AY10" i="10"/>
  <c r="AZ10" i="10" s="1"/>
  <c r="BC10" i="10" s="1"/>
  <c r="AY19" i="20"/>
  <c r="AZ19" i="20" s="1"/>
  <c r="BC19" i="20" s="1"/>
  <c r="K19" i="5"/>
  <c r="L19" i="5" s="1"/>
  <c r="O19" i="5" s="1"/>
  <c r="AY14" i="3"/>
  <c r="AZ14" i="3" s="1"/>
  <c r="BC14" i="3" s="1"/>
  <c r="AY11" i="17"/>
  <c r="AZ11" i="17" s="1"/>
  <c r="BC11" i="17" s="1"/>
  <c r="K23" i="9"/>
  <c r="L23" i="9" s="1"/>
  <c r="O23" i="9" s="1"/>
  <c r="AY20" i="9"/>
  <c r="AZ20" i="9" s="1"/>
  <c r="BC20" i="9" s="1"/>
  <c r="K16" i="1"/>
  <c r="L16" i="1" s="1"/>
  <c r="O16" i="1" s="1"/>
  <c r="K22" i="25"/>
  <c r="L22" i="25" s="1"/>
  <c r="O22" i="25" s="1"/>
  <c r="K19" i="25"/>
  <c r="L19" i="25" s="1"/>
  <c r="O19" i="25" s="1"/>
  <c r="K15" i="10"/>
  <c r="L15" i="10" s="1"/>
  <c r="O15" i="10" s="1"/>
  <c r="AY22" i="4"/>
  <c r="AZ22" i="4" s="1"/>
  <c r="BC22" i="4" s="1"/>
  <c r="AY16" i="10"/>
  <c r="AZ16" i="10" s="1"/>
  <c r="BC16" i="10" s="1"/>
  <c r="AY10" i="23"/>
  <c r="AZ10" i="23" s="1"/>
  <c r="BC10" i="23" s="1"/>
  <c r="I56" i="14"/>
  <c r="S32" i="14" s="1"/>
  <c r="BO91" i="61" s="1"/>
  <c r="K23" i="12"/>
  <c r="L23" i="12" s="1"/>
  <c r="O23" i="12" s="1"/>
  <c r="AY20" i="25"/>
  <c r="AZ20" i="25" s="1"/>
  <c r="BC20" i="25" s="1"/>
  <c r="AY22" i="17"/>
  <c r="AZ22" i="17" s="1"/>
  <c r="BC22" i="17" s="1"/>
  <c r="K18" i="6"/>
  <c r="L18" i="6" s="1"/>
  <c r="O18" i="6" s="1"/>
  <c r="K17" i="21"/>
  <c r="L17" i="21" s="1"/>
  <c r="O17" i="21" s="1"/>
  <c r="K15" i="16"/>
  <c r="L15" i="16" s="1"/>
  <c r="O15" i="16" s="1"/>
  <c r="AY10" i="22"/>
  <c r="AZ10" i="22" s="1"/>
  <c r="BC10" i="22" s="1"/>
  <c r="AY22" i="6"/>
  <c r="AZ22" i="6" s="1"/>
  <c r="BC22" i="6" s="1"/>
  <c r="K15" i="24"/>
  <c r="L15" i="24" s="1"/>
  <c r="O15" i="24" s="1"/>
  <c r="AY11" i="5"/>
  <c r="AZ11" i="5" s="1"/>
  <c r="BC11" i="5" s="1"/>
  <c r="K19" i="13"/>
  <c r="L19" i="13" s="1"/>
  <c r="O19" i="13" s="1"/>
  <c r="K12" i="23"/>
  <c r="L12" i="23" s="1"/>
  <c r="O12" i="23" s="1"/>
  <c r="AY13" i="3"/>
  <c r="AZ13" i="3" s="1"/>
  <c r="BC13" i="3" s="1"/>
  <c r="K20" i="53"/>
  <c r="L20" i="53" s="1"/>
  <c r="O20" i="53" s="1"/>
  <c r="AY12" i="7"/>
  <c r="AZ12" i="7" s="1"/>
  <c r="BC12" i="7" s="1"/>
  <c r="K22" i="5"/>
  <c r="L22" i="5" s="1"/>
  <c r="O22" i="5" s="1"/>
  <c r="I56" i="21"/>
  <c r="S32" i="21" s="1"/>
  <c r="BH91" i="61" s="1"/>
  <c r="AY16" i="18"/>
  <c r="AZ16" i="18" s="1"/>
  <c r="BC16" i="18" s="1"/>
  <c r="K12" i="6"/>
  <c r="L12" i="6" s="1"/>
  <c r="O12" i="6" s="1"/>
  <c r="K14" i="10"/>
  <c r="L14" i="10" s="1"/>
  <c r="O14" i="10" s="1"/>
  <c r="K23" i="3"/>
  <c r="L23" i="3" s="1"/>
  <c r="O23" i="3" s="1"/>
  <c r="AY11" i="9"/>
  <c r="AZ11" i="9" s="1"/>
  <c r="BC11" i="9" s="1"/>
  <c r="K20" i="12"/>
  <c r="L20" i="12" s="1"/>
  <c r="O20" i="12" s="1"/>
  <c r="K23" i="2"/>
  <c r="L23" i="2" s="1"/>
  <c r="O23" i="2" s="1"/>
  <c r="BG33" i="22"/>
  <c r="S32" i="22" s="1"/>
  <c r="BG91" i="61" s="1"/>
  <c r="K12" i="3"/>
  <c r="L12" i="3" s="1"/>
  <c r="O12" i="3" s="1"/>
  <c r="I56" i="23"/>
  <c r="S32" i="23" s="1"/>
  <c r="BF91" i="61" s="1"/>
  <c r="K16" i="13"/>
  <c r="L16" i="13" s="1"/>
  <c r="O16" i="13" s="1"/>
  <c r="K17" i="4"/>
  <c r="L17" i="4" s="1"/>
  <c r="O17" i="4" s="1"/>
  <c r="K14" i="7"/>
  <c r="L14" i="7" s="1"/>
  <c r="O14" i="7" s="1"/>
  <c r="AY11" i="4"/>
  <c r="AZ11" i="4" s="1"/>
  <c r="BC11" i="4" s="1"/>
  <c r="AY17" i="13"/>
  <c r="AZ17" i="13" s="1"/>
  <c r="BC17" i="13" s="1"/>
  <c r="K23" i="17"/>
  <c r="L23" i="17" s="1"/>
  <c r="O23" i="17" s="1"/>
  <c r="BG34" i="53"/>
  <c r="S61" i="53" s="1"/>
  <c r="AH31" i="22"/>
  <c r="AI31" i="22" s="1"/>
  <c r="AJ31" i="22" s="1"/>
  <c r="AH32" i="5"/>
  <c r="K10" i="2"/>
  <c r="L10" i="2" s="1"/>
  <c r="O10" i="2" s="1"/>
  <c r="K21" i="21"/>
  <c r="L21" i="21" s="1"/>
  <c r="O21" i="21" s="1"/>
  <c r="K10" i="5"/>
  <c r="L10" i="5" s="1"/>
  <c r="O10" i="5" s="1"/>
  <c r="K23" i="22"/>
  <c r="L23" i="22" s="1"/>
  <c r="O23" i="22" s="1"/>
  <c r="AY20" i="21"/>
  <c r="AZ20" i="21" s="1"/>
  <c r="BC20" i="21" s="1"/>
  <c r="AY20" i="3"/>
  <c r="AZ20" i="3" s="1"/>
  <c r="BC20" i="3" s="1"/>
  <c r="K11" i="16"/>
  <c r="L11" i="16" s="1"/>
  <c r="O11" i="16" s="1"/>
  <c r="AH32" i="4"/>
  <c r="AY19" i="17"/>
  <c r="AZ19" i="17" s="1"/>
  <c r="BC19" i="17" s="1"/>
  <c r="AY16" i="15"/>
  <c r="AZ16" i="15" s="1"/>
  <c r="BC16" i="15" s="1"/>
  <c r="AH31" i="14"/>
  <c r="AI31" i="14" s="1"/>
  <c r="AJ31" i="14" s="1"/>
  <c r="AY17" i="4"/>
  <c r="AZ17" i="4" s="1"/>
  <c r="BC17" i="4" s="1"/>
  <c r="AY22" i="11"/>
  <c r="AZ22" i="11" s="1"/>
  <c r="BC22" i="11" s="1"/>
  <c r="K16" i="53"/>
  <c r="L16" i="53" s="1"/>
  <c r="O16" i="53" s="1"/>
  <c r="K10" i="10"/>
  <c r="L10" i="10" s="1"/>
  <c r="O10" i="10" s="1"/>
  <c r="BG33" i="19"/>
  <c r="K20" i="14"/>
  <c r="L20" i="14" s="1"/>
  <c r="O20" i="14" s="1"/>
  <c r="K14" i="20"/>
  <c r="L14" i="20" s="1"/>
  <c r="O14" i="20" s="1"/>
  <c r="AY14" i="15"/>
  <c r="AZ14" i="15" s="1"/>
  <c r="BC14" i="15" s="1"/>
  <c r="K23" i="7"/>
  <c r="L23" i="7" s="1"/>
  <c r="O23" i="7" s="1"/>
  <c r="AY13" i="2"/>
  <c r="AZ13" i="2" s="1"/>
  <c r="BC13" i="2" s="1"/>
  <c r="AY10" i="14"/>
  <c r="AZ10" i="14" s="1"/>
  <c r="BC10" i="14" s="1"/>
  <c r="K22" i="17"/>
  <c r="L22" i="17" s="1"/>
  <c r="O22" i="17" s="1"/>
  <c r="K10" i="1"/>
  <c r="L10" i="1" s="1"/>
  <c r="O10" i="1" s="1"/>
  <c r="K18" i="7"/>
  <c r="L18" i="7" s="1"/>
  <c r="O18" i="7" s="1"/>
  <c r="AY19" i="25"/>
  <c r="AZ19" i="25" s="1"/>
  <c r="BC19" i="25" s="1"/>
  <c r="AY13" i="10"/>
  <c r="AZ13" i="10" s="1"/>
  <c r="BC13" i="10" s="1"/>
  <c r="K19" i="1"/>
  <c r="L19" i="1" s="1"/>
  <c r="O19" i="1" s="1"/>
  <c r="K22" i="15"/>
  <c r="L22" i="15" s="1"/>
  <c r="O22" i="15" s="1"/>
  <c r="K10" i="18"/>
  <c r="L10" i="18" s="1"/>
  <c r="O10" i="18" s="1"/>
  <c r="AY21" i="6"/>
  <c r="AZ21" i="6" s="1"/>
  <c r="BC21" i="6" s="1"/>
  <c r="K11" i="19"/>
  <c r="L11" i="19" s="1"/>
  <c r="O11" i="19" s="1"/>
  <c r="K23" i="20"/>
  <c r="L23" i="20" s="1"/>
  <c r="O23" i="20" s="1"/>
  <c r="AY23" i="24"/>
  <c r="AZ23" i="24" s="1"/>
  <c r="BC23" i="24" s="1"/>
  <c r="K11" i="1"/>
  <c r="L11" i="1" s="1"/>
  <c r="O11" i="1" s="1"/>
  <c r="K14" i="21"/>
  <c r="L14" i="21" s="1"/>
  <c r="O14" i="21" s="1"/>
  <c r="AY19" i="16"/>
  <c r="AZ19" i="16" s="1"/>
  <c r="BC19" i="16" s="1"/>
  <c r="AY15" i="2"/>
  <c r="AZ15" i="2" s="1"/>
  <c r="BC15" i="2" s="1"/>
  <c r="K15" i="3"/>
  <c r="L15" i="3" s="1"/>
  <c r="O15" i="3" s="1"/>
  <c r="AY14" i="20"/>
  <c r="AZ14" i="20" s="1"/>
  <c r="BC14" i="20" s="1"/>
  <c r="K11" i="11"/>
  <c r="L11" i="11" s="1"/>
  <c r="O11" i="11" s="1"/>
  <c r="K21" i="53"/>
  <c r="L21" i="53" s="1"/>
  <c r="O21" i="53" s="1"/>
  <c r="AY11" i="1"/>
  <c r="AZ11" i="1" s="1"/>
  <c r="BC11" i="1" s="1"/>
  <c r="K17" i="17"/>
  <c r="L17" i="17" s="1"/>
  <c r="O17" i="17" s="1"/>
  <c r="AY10" i="12"/>
  <c r="AZ10" i="12" s="1"/>
  <c r="BC10" i="12" s="1"/>
  <c r="AY15" i="5"/>
  <c r="AZ15" i="5" s="1"/>
  <c r="BC15" i="5" s="1"/>
  <c r="K20" i="24"/>
  <c r="L20" i="24" s="1"/>
  <c r="O20" i="24" s="1"/>
  <c r="AY22" i="7"/>
  <c r="AZ22" i="7" s="1"/>
  <c r="BC22" i="7" s="1"/>
  <c r="K18" i="5"/>
  <c r="L18" i="5" s="1"/>
  <c r="O18" i="5" s="1"/>
  <c r="K15" i="53"/>
  <c r="L15" i="53" s="1"/>
  <c r="O15" i="53" s="1"/>
  <c r="AY14" i="23"/>
  <c r="AZ14" i="23" s="1"/>
  <c r="BC14" i="23" s="1"/>
  <c r="K21" i="22"/>
  <c r="L21" i="22" s="1"/>
  <c r="O21" i="22" s="1"/>
  <c r="K18" i="1"/>
  <c r="L18" i="1" s="1"/>
  <c r="O18" i="1" s="1"/>
  <c r="AY23" i="20"/>
  <c r="AZ23" i="20" s="1"/>
  <c r="BC23" i="20" s="1"/>
  <c r="K11" i="2"/>
  <c r="L11" i="2" s="1"/>
  <c r="O11" i="2" s="1"/>
  <c r="AY19" i="2"/>
  <c r="AZ19" i="2" s="1"/>
  <c r="BC19" i="2" s="1"/>
  <c r="AY15" i="17"/>
  <c r="AZ15" i="17" s="1"/>
  <c r="BC15" i="17" s="1"/>
  <c r="K16" i="8"/>
  <c r="L16" i="8" s="1"/>
  <c r="O16" i="8" s="1"/>
  <c r="BG33" i="16"/>
  <c r="S32" i="16" s="1"/>
  <c r="BM91" i="61" s="1"/>
  <c r="K14" i="3"/>
  <c r="L14" i="3" s="1"/>
  <c r="O14" i="3" s="1"/>
  <c r="K11" i="17"/>
  <c r="L11" i="17" s="1"/>
  <c r="O11" i="17" s="1"/>
  <c r="AY23" i="17"/>
  <c r="AZ23" i="17" s="1"/>
  <c r="BC23" i="17" s="1"/>
  <c r="AY20" i="24"/>
  <c r="AZ20" i="24" s="1"/>
  <c r="BC20" i="24" s="1"/>
  <c r="K23" i="15"/>
  <c r="L23" i="15" s="1"/>
  <c r="O23" i="15" s="1"/>
  <c r="AY16" i="25"/>
  <c r="AZ16" i="25" s="1"/>
  <c r="BC16" i="25" s="1"/>
  <c r="K22" i="9"/>
  <c r="L22" i="9" s="1"/>
  <c r="O22" i="9" s="1"/>
  <c r="AY22" i="23"/>
  <c r="AZ22" i="23" s="1"/>
  <c r="BC22" i="23" s="1"/>
  <c r="AY15" i="23"/>
  <c r="AZ15" i="23" s="1"/>
  <c r="BC15" i="23" s="1"/>
  <c r="AH31" i="53"/>
  <c r="AI31" i="53" s="1"/>
  <c r="AJ31" i="53" s="1"/>
  <c r="AH32" i="12"/>
  <c r="AY14" i="12"/>
  <c r="AZ14" i="12" s="1"/>
  <c r="BC14" i="12" s="1"/>
  <c r="AY20" i="15"/>
  <c r="AZ20" i="15" s="1"/>
  <c r="BC20" i="15" s="1"/>
  <c r="AY11" i="15"/>
  <c r="AZ11" i="15" s="1"/>
  <c r="BC11" i="15" s="1"/>
  <c r="K11" i="8"/>
  <c r="L11" i="8" s="1"/>
  <c r="O11" i="8" s="1"/>
  <c r="AH31" i="21"/>
  <c r="AI31" i="21" s="1"/>
  <c r="AJ31" i="21" s="1"/>
  <c r="AY10" i="20"/>
  <c r="AZ10" i="20" s="1"/>
  <c r="BC10" i="20" s="1"/>
  <c r="K19" i="6"/>
  <c r="L19" i="6" s="1"/>
  <c r="O19" i="6" s="1"/>
  <c r="AY16" i="11"/>
  <c r="AZ16" i="11" s="1"/>
  <c r="BC16" i="11" s="1"/>
  <c r="K21" i="13"/>
  <c r="L21" i="13" s="1"/>
  <c r="O21" i="13" s="1"/>
  <c r="AY18" i="19"/>
  <c r="AZ18" i="19" s="1"/>
  <c r="BC18" i="19" s="1"/>
  <c r="K14" i="14"/>
  <c r="L14" i="14" s="1"/>
  <c r="O14" i="14" s="1"/>
  <c r="AY23" i="15"/>
  <c r="AZ23" i="15" s="1"/>
  <c r="BC23" i="15" s="1"/>
  <c r="AY13" i="17"/>
  <c r="AZ13" i="17" s="1"/>
  <c r="BC13" i="17" s="1"/>
  <c r="K16" i="24"/>
  <c r="L16" i="24" s="1"/>
  <c r="O16" i="24" s="1"/>
  <c r="K17" i="6"/>
  <c r="L17" i="6" s="1"/>
  <c r="O17" i="6" s="1"/>
  <c r="AY18" i="17"/>
  <c r="AZ18" i="17" s="1"/>
  <c r="BC18" i="17" s="1"/>
  <c r="K20" i="8"/>
  <c r="L20" i="8" s="1"/>
  <c r="O20" i="8" s="1"/>
  <c r="K12" i="1"/>
  <c r="L12" i="1" s="1"/>
  <c r="O12" i="1" s="1"/>
  <c r="BG33" i="15"/>
  <c r="S32" i="15" s="1"/>
  <c r="BN91" i="61" s="1"/>
  <c r="AY11" i="3"/>
  <c r="AZ11" i="3" s="1"/>
  <c r="BC11" i="3" s="1"/>
  <c r="K14" i="18"/>
  <c r="L14" i="18" s="1"/>
  <c r="O14" i="18" s="1"/>
  <c r="AY13" i="9"/>
  <c r="AZ13" i="9" s="1"/>
  <c r="BC13" i="9" s="1"/>
  <c r="AH31" i="18"/>
  <c r="AI31" i="18" s="1"/>
  <c r="AJ31" i="18" s="1"/>
  <c r="AH32" i="8"/>
  <c r="K17" i="9"/>
  <c r="L17" i="9" s="1"/>
  <c r="O17" i="9" s="1"/>
  <c r="K22" i="53"/>
  <c r="L22" i="53" s="1"/>
  <c r="O22" i="53" s="1"/>
  <c r="AY12" i="21"/>
  <c r="AZ12" i="21" s="1"/>
  <c r="BC12" i="21" s="1"/>
  <c r="AY12" i="2"/>
  <c r="AZ12" i="2" s="1"/>
  <c r="BC12" i="2" s="1"/>
  <c r="K23" i="21"/>
  <c r="L23" i="21" s="1"/>
  <c r="O23" i="21" s="1"/>
  <c r="AY20" i="6"/>
  <c r="AZ20" i="6" s="1"/>
  <c r="BC20" i="6" s="1"/>
  <c r="AY11" i="12"/>
  <c r="AZ11" i="12" s="1"/>
  <c r="BC11" i="12" s="1"/>
  <c r="AY23" i="2"/>
  <c r="AZ23" i="2" s="1"/>
  <c r="BC23" i="2" s="1"/>
  <c r="AY23" i="16"/>
  <c r="AZ23" i="16" s="1"/>
  <c r="BC23" i="16" s="1"/>
  <c r="K10" i="13"/>
  <c r="L10" i="13" s="1"/>
  <c r="O10" i="13" s="1"/>
  <c r="I56" i="19"/>
  <c r="S32" i="19" s="1"/>
  <c r="BJ91" i="61" s="1"/>
  <c r="AY17" i="15"/>
  <c r="AZ17" i="15" s="1"/>
  <c r="BC17" i="15" s="1"/>
  <c r="AY20" i="19"/>
  <c r="AZ20" i="19" s="1"/>
  <c r="BC20" i="19" s="1"/>
  <c r="AY14" i="14"/>
  <c r="AZ14" i="14" s="1"/>
  <c r="BC14" i="14" s="1"/>
  <c r="AY14" i="11"/>
  <c r="AZ14" i="11" s="1"/>
  <c r="BC14" i="11" s="1"/>
  <c r="K23" i="14"/>
  <c r="L23" i="14" s="1"/>
  <c r="O23" i="14" s="1"/>
  <c r="AY20" i="16"/>
  <c r="AZ20" i="16" s="1"/>
  <c r="BC20" i="16" s="1"/>
  <c r="AY23" i="9"/>
  <c r="AZ23" i="9" s="1"/>
  <c r="BC23" i="9" s="1"/>
  <c r="AH32" i="24"/>
  <c r="AY10" i="11"/>
  <c r="AZ10" i="11" s="1"/>
  <c r="BC10" i="11" s="1"/>
  <c r="K15" i="5"/>
  <c r="L15" i="5" s="1"/>
  <c r="O15" i="5" s="1"/>
  <c r="AH32" i="2"/>
  <c r="AY14" i="2"/>
  <c r="AZ14" i="2" s="1"/>
  <c r="BC14" i="2" s="1"/>
  <c r="K23" i="23"/>
  <c r="L23" i="23" s="1"/>
  <c r="O23" i="23" s="1"/>
  <c r="K11" i="4"/>
  <c r="L11" i="4" s="1"/>
  <c r="O11" i="4" s="1"/>
  <c r="AY20" i="12"/>
  <c r="AZ20" i="12" s="1"/>
  <c r="BC20" i="12" s="1"/>
  <c r="K14" i="13"/>
  <c r="L14" i="13" s="1"/>
  <c r="O14" i="13" s="1"/>
  <c r="K17" i="14"/>
  <c r="L17" i="14" s="1"/>
  <c r="O17" i="14" s="1"/>
  <c r="K19" i="3"/>
  <c r="L19" i="3" s="1"/>
  <c r="O19" i="3" s="1"/>
  <c r="AY15" i="14"/>
  <c r="AZ15" i="14" s="1"/>
  <c r="BC15" i="14" s="1"/>
  <c r="AY12" i="20"/>
  <c r="AZ12" i="20" s="1"/>
  <c r="BC12" i="20" s="1"/>
  <c r="AY13" i="4"/>
  <c r="AZ13" i="4" s="1"/>
  <c r="BC13" i="4" s="1"/>
  <c r="AY18" i="20"/>
  <c r="AZ18" i="20" s="1"/>
  <c r="BC18" i="20" s="1"/>
  <c r="AY14" i="8"/>
  <c r="AZ14" i="8" s="1"/>
  <c r="BC14" i="8" s="1"/>
  <c r="K18" i="18"/>
  <c r="L18" i="18" s="1"/>
  <c r="O18" i="18" s="1"/>
  <c r="AY14" i="7"/>
  <c r="AZ14" i="7" s="1"/>
  <c r="BC14" i="7" s="1"/>
  <c r="K11" i="9"/>
  <c r="L11" i="9" s="1"/>
  <c r="O11" i="9" s="1"/>
  <c r="K20" i="16"/>
  <c r="L20" i="16" s="1"/>
  <c r="O20" i="16" s="1"/>
  <c r="K22" i="6"/>
  <c r="L22" i="6" s="1"/>
  <c r="O22" i="6" s="1"/>
  <c r="K17" i="5"/>
  <c r="L17" i="5" s="1"/>
  <c r="O17" i="5" s="1"/>
  <c r="AY19" i="15"/>
  <c r="AZ19" i="15" s="1"/>
  <c r="BC19" i="15" s="1"/>
  <c r="K11" i="23"/>
  <c r="L11" i="23" s="1"/>
  <c r="O11" i="23" s="1"/>
  <c r="K18" i="12"/>
  <c r="L18" i="12" s="1"/>
  <c r="O18" i="12" s="1"/>
  <c r="K10" i="17"/>
  <c r="L10" i="17" s="1"/>
  <c r="O10" i="17" s="1"/>
  <c r="K14" i="53"/>
  <c r="L14" i="53" s="1"/>
  <c r="O14" i="53" s="1"/>
  <c r="AY14" i="9"/>
  <c r="AZ14" i="9" s="1"/>
  <c r="BC14" i="9" s="1"/>
  <c r="E49" i="61"/>
  <c r="S32" i="20" l="1"/>
  <c r="BI91" i="61" s="1"/>
  <c r="AI32" i="14"/>
  <c r="AJ32" i="14" s="1"/>
  <c r="AJ33" i="14" s="1"/>
  <c r="AH33" i="14"/>
  <c r="AI32" i="18"/>
  <c r="AJ32" i="18" s="1"/>
  <c r="AJ33" i="18" s="1"/>
  <c r="AH33" i="18"/>
  <c r="AI32" i="17"/>
  <c r="AJ32" i="17" s="1"/>
  <c r="AJ33" i="17" s="1"/>
  <c r="AH33" i="17"/>
  <c r="AH33" i="19"/>
  <c r="AI32" i="19"/>
  <c r="AJ32" i="19" s="1"/>
  <c r="AJ33" i="19" s="1"/>
  <c r="AI32" i="5"/>
  <c r="AJ32" i="5" s="1"/>
  <c r="AJ33" i="5" s="1"/>
  <c r="AH33" i="5"/>
  <c r="AH33" i="13"/>
  <c r="AI32" i="13"/>
  <c r="AJ32" i="13" s="1"/>
  <c r="AJ33" i="13" s="1"/>
  <c r="AI32" i="22"/>
  <c r="AJ32" i="22" s="1"/>
  <c r="AJ33" i="22" s="1"/>
  <c r="AH33" i="22"/>
  <c r="AH33" i="20"/>
  <c r="AI32" i="20"/>
  <c r="AJ32" i="20" s="1"/>
  <c r="AJ33" i="20" s="1"/>
  <c r="AI32" i="2"/>
  <c r="AJ32" i="2" s="1"/>
  <c r="AJ33" i="2" s="1"/>
  <c r="AH33" i="2"/>
  <c r="AI32" i="12"/>
  <c r="AJ32" i="12" s="1"/>
  <c r="AJ33" i="12" s="1"/>
  <c r="AH33" i="12"/>
  <c r="AH33" i="23"/>
  <c r="AI32" i="23"/>
  <c r="AJ32" i="23" s="1"/>
  <c r="AJ33" i="23" s="1"/>
  <c r="AH33" i="10"/>
  <c r="AI32" i="10"/>
  <c r="AJ32" i="10" s="1"/>
  <c r="AJ33" i="10" s="1"/>
  <c r="AI32" i="53"/>
  <c r="AJ32" i="53" s="1"/>
  <c r="AJ33" i="53" s="1"/>
  <c r="AH33" i="53"/>
  <c r="AH33" i="16"/>
  <c r="AI32" i="16"/>
  <c r="AJ32" i="16" s="1"/>
  <c r="AJ33" i="16" s="1"/>
  <c r="AI32" i="24"/>
  <c r="AJ32" i="24" s="1"/>
  <c r="AJ33" i="24" s="1"/>
  <c r="AH33" i="24"/>
  <c r="AH33" i="8"/>
  <c r="AI32" i="8"/>
  <c r="AJ32" i="8" s="1"/>
  <c r="AJ33" i="8" s="1"/>
  <c r="AI32" i="4"/>
  <c r="AJ32" i="4" s="1"/>
  <c r="AJ33" i="4" s="1"/>
  <c r="AH33" i="4"/>
  <c r="AI32" i="6"/>
  <c r="AJ32" i="6" s="1"/>
  <c r="AJ33" i="6" s="1"/>
  <c r="AH33" i="6"/>
  <c r="AH33" i="3"/>
  <c r="AI32" i="3"/>
  <c r="AJ32" i="3" s="1"/>
  <c r="AJ33" i="3" s="1"/>
  <c r="AH33" i="25"/>
  <c r="AI32" i="25"/>
  <c r="AJ32" i="25" s="1"/>
  <c r="AJ33" i="25" s="1"/>
  <c r="AH33" i="11"/>
  <c r="AI32" i="11"/>
  <c r="AJ32" i="11" s="1"/>
  <c r="AJ33" i="11" s="1"/>
  <c r="AH33" i="21"/>
  <c r="AI32" i="21"/>
  <c r="AJ32" i="21" s="1"/>
  <c r="AJ33" i="21" s="1"/>
  <c r="AH33" i="9"/>
  <c r="AI32" i="9"/>
  <c r="AJ32" i="9" s="1"/>
  <c r="AJ33" i="9" s="1"/>
  <c r="AH33" i="15"/>
  <c r="AI32" i="15"/>
  <c r="AJ32" i="15" s="1"/>
  <c r="AJ33" i="15" s="1"/>
  <c r="AH33" i="7"/>
  <c r="AI32" i="7"/>
  <c r="AJ32" i="7" s="1"/>
  <c r="AJ33" i="7" s="1"/>
  <c r="AI32" i="1"/>
  <c r="AJ32" i="1" s="1"/>
  <c r="AJ33" i="1" s="1"/>
  <c r="AH33" i="1"/>
  <c r="BG8" i="15" l="1"/>
  <c r="BH8" i="15"/>
  <c r="BH8" i="21"/>
  <c r="BG8" i="21"/>
  <c r="BH8" i="25"/>
  <c r="BG8" i="25"/>
  <c r="BH8" i="8"/>
  <c r="BG8" i="8"/>
  <c r="BG31" i="8" s="1"/>
  <c r="S30" i="8" s="1"/>
  <c r="BU89" i="61" s="1"/>
  <c r="BG8" i="16"/>
  <c r="BH8" i="16"/>
  <c r="BH8" i="10"/>
  <c r="BG8" i="10"/>
  <c r="BG31" i="10" s="1"/>
  <c r="S30" i="10" s="1"/>
  <c r="BS89" i="61" s="1"/>
  <c r="BG8" i="22"/>
  <c r="BH8" i="22"/>
  <c r="BG8" i="5"/>
  <c r="BH8" i="5"/>
  <c r="BG8" i="18"/>
  <c r="BH8" i="18"/>
  <c r="BG8" i="1"/>
  <c r="BH8" i="1"/>
  <c r="BG8" i="6"/>
  <c r="BG31" i="6" s="1"/>
  <c r="S30" i="6" s="1"/>
  <c r="BW89" i="61" s="1"/>
  <c r="BH8" i="6"/>
  <c r="BG8" i="12"/>
  <c r="BG31" i="12" s="1"/>
  <c r="S30" i="12" s="1"/>
  <c r="BQ89" i="61" s="1"/>
  <c r="BH8" i="12"/>
  <c r="BH8" i="20"/>
  <c r="BG8" i="20"/>
  <c r="BG8" i="13"/>
  <c r="BG31" i="13" s="1"/>
  <c r="S30" i="13" s="1"/>
  <c r="BP89" i="61" s="1"/>
  <c r="BH8" i="13"/>
  <c r="BH8" i="7"/>
  <c r="BG8" i="7"/>
  <c r="BG31" i="7" s="1"/>
  <c r="S30" i="7" s="1"/>
  <c r="BV89" i="61" s="1"/>
  <c r="BH8" i="9"/>
  <c r="BG8" i="9"/>
  <c r="BG31" i="9" s="1"/>
  <c r="S30" i="9" s="1"/>
  <c r="BT89" i="61" s="1"/>
  <c r="BG8" i="11"/>
  <c r="BG31" i="11" s="1"/>
  <c r="S30" i="11" s="1"/>
  <c r="BR89" i="61" s="1"/>
  <c r="BH8" i="11"/>
  <c r="BG8" i="3"/>
  <c r="BH8" i="3"/>
  <c r="BH8" i="23"/>
  <c r="BG8" i="23"/>
  <c r="BG8" i="17"/>
  <c r="BH8" i="17"/>
  <c r="BH8" i="14"/>
  <c r="BG8" i="14"/>
  <c r="BH8" i="4"/>
  <c r="BG8" i="4"/>
  <c r="BH8" i="24"/>
  <c r="BG8" i="24"/>
  <c r="BG10" i="53"/>
  <c r="BG9" i="53"/>
  <c r="BG32" i="53" s="1"/>
  <c r="S59" i="53" s="1"/>
  <c r="BH8" i="2"/>
  <c r="BG8" i="2"/>
  <c r="BG8" i="19"/>
  <c r="BH8" i="19"/>
  <c r="BG31" i="19" l="1"/>
  <c r="S30" i="19" s="1"/>
  <c r="BJ89" i="61" s="1"/>
  <c r="BG31" i="14"/>
  <c r="S30" i="14" s="1"/>
  <c r="BO89" i="61" s="1"/>
  <c r="BG31" i="23"/>
  <c r="S30" i="23" s="1"/>
  <c r="BF89" i="61" s="1"/>
  <c r="BG31" i="20"/>
  <c r="S30" i="20" s="1"/>
  <c r="BI89" i="61" s="1"/>
  <c r="BG31" i="18"/>
  <c r="S30" i="18" s="1"/>
  <c r="BK89" i="61" s="1"/>
  <c r="BG31" i="22"/>
  <c r="S30" i="22" s="1"/>
  <c r="BG89" i="61" s="1"/>
  <c r="BG31" i="16"/>
  <c r="S30" i="16" s="1"/>
  <c r="BM89" i="61" s="1"/>
  <c r="BG31" i="15"/>
  <c r="S30" i="15" s="1"/>
  <c r="BN89" i="61" s="1"/>
  <c r="BG31" i="24"/>
  <c r="S30" i="24" s="1"/>
  <c r="BE89" i="61" s="1"/>
  <c r="BG31" i="21"/>
  <c r="S30" i="21" s="1"/>
  <c r="BH89" i="61" s="1"/>
  <c r="A3" i="56" s="1" a="1"/>
  <c r="BG31" i="17"/>
  <c r="S30" i="17" s="1"/>
  <c r="BL89" i="61" s="1"/>
  <c r="BG31" i="25"/>
  <c r="S30" i="25" s="1"/>
  <c r="BD89" i="61" s="1"/>
  <c r="P8" i="56" l="1"/>
  <c r="W18" i="56"/>
  <c r="W22" i="56"/>
  <c r="V20" i="56"/>
  <c r="T3" i="56"/>
  <c r="M3" i="56"/>
  <c r="N6" i="56"/>
  <c r="Q22" i="56"/>
  <c r="S24" i="56"/>
  <c r="K4" i="56"/>
  <c r="W8" i="56"/>
  <c r="F3" i="56"/>
  <c r="O8" i="56"/>
  <c r="Y5" i="56"/>
  <c r="V21" i="56"/>
  <c r="O3" i="56"/>
  <c r="I7" i="56"/>
  <c r="J18" i="56"/>
  <c r="A6" i="56"/>
  <c r="Y4" i="56"/>
  <c r="S7" i="56"/>
  <c r="J8" i="56"/>
  <c r="W17" i="56"/>
  <c r="P6" i="56"/>
  <c r="Y22" i="56"/>
  <c r="Y19" i="56"/>
  <c r="K6" i="56"/>
  <c r="M6" i="56"/>
  <c r="Z7" i="56"/>
  <c r="Y20" i="56"/>
  <c r="U7" i="56"/>
  <c r="D4" i="56"/>
  <c r="O18" i="56"/>
  <c r="K22" i="56"/>
  <c r="W19" i="56"/>
  <c r="Z18" i="56"/>
  <c r="R24" i="56"/>
  <c r="A14" i="56"/>
  <c r="U3" i="56"/>
  <c r="B7" i="56"/>
  <c r="N18" i="56"/>
  <c r="H6" i="56"/>
  <c r="T18" i="56"/>
  <c r="B18" i="56"/>
  <c r="H7" i="56"/>
  <c r="A17" i="56"/>
  <c r="Z12" i="56"/>
  <c r="J22" i="56"/>
  <c r="L24" i="56"/>
  <c r="A24" i="56"/>
  <c r="U24" i="56"/>
  <c r="E6" i="56"/>
  <c r="V24" i="56"/>
  <c r="N21" i="56"/>
  <c r="K7" i="56"/>
  <c r="T4" i="56"/>
  <c r="D5" i="56"/>
  <c r="Y7" i="56"/>
  <c r="U22" i="56"/>
  <c r="X18" i="56"/>
  <c r="H4" i="56"/>
  <c r="M5" i="56"/>
  <c r="N5" i="56"/>
  <c r="W25" i="56"/>
  <c r="E22" i="56"/>
  <c r="S22" i="56"/>
  <c r="J3" i="56"/>
  <c r="W4" i="56"/>
  <c r="Z11" i="56"/>
  <c r="G18" i="56"/>
  <c r="P24" i="56"/>
  <c r="D3" i="56"/>
  <c r="P18" i="56"/>
  <c r="H22" i="56"/>
  <c r="A11" i="56"/>
  <c r="X6" i="56"/>
  <c r="W21" i="56"/>
  <c r="L8" i="56"/>
  <c r="Y15" i="56"/>
  <c r="G21" i="56"/>
  <c r="O4" i="56"/>
  <c r="Z20" i="56"/>
  <c r="G22" i="56"/>
  <c r="S4" i="56"/>
  <c r="A22" i="56"/>
  <c r="R14" i="56"/>
  <c r="S19" i="56"/>
  <c r="R19" i="56"/>
  <c r="S14" i="56"/>
  <c r="T19" i="56"/>
  <c r="O13" i="56"/>
  <c r="T10" i="56"/>
  <c r="N17" i="56"/>
  <c r="U20" i="56"/>
  <c r="U15" i="56"/>
  <c r="U25" i="56"/>
  <c r="P10" i="56"/>
  <c r="O25" i="56"/>
  <c r="S15" i="56"/>
  <c r="T20" i="56"/>
  <c r="S23" i="56"/>
  <c r="T15" i="56"/>
  <c r="P23" i="56"/>
  <c r="U23" i="56"/>
  <c r="Q23" i="56"/>
  <c r="V16" i="56"/>
  <c r="B5" i="56"/>
  <c r="Z22" i="56"/>
  <c r="L21" i="56"/>
  <c r="R7" i="56"/>
  <c r="N22" i="56"/>
  <c r="W10" i="56"/>
  <c r="A7" i="56"/>
  <c r="Q6" i="56"/>
  <c r="Z6" i="56"/>
  <c r="X3" i="56"/>
  <c r="C18" i="56"/>
  <c r="C4" i="56"/>
  <c r="Z25" i="56"/>
  <c r="X7" i="56"/>
  <c r="R5" i="56"/>
  <c r="X14" i="56"/>
  <c r="H5" i="56"/>
  <c r="X22" i="56"/>
  <c r="Y25" i="56"/>
  <c r="S3" i="56"/>
  <c r="F22" i="56"/>
  <c r="P7" i="56"/>
  <c r="U18" i="56"/>
  <c r="O22" i="56"/>
  <c r="I18" i="56"/>
  <c r="B3" i="56"/>
  <c r="U5" i="56"/>
  <c r="N7" i="56"/>
  <c r="H21" i="56"/>
  <c r="K5" i="56"/>
  <c r="X9" i="56"/>
  <c r="V8" i="56"/>
  <c r="E7" i="56"/>
  <c r="W9" i="56"/>
  <c r="U21" i="56"/>
  <c r="A10" i="56"/>
  <c r="L6" i="56"/>
  <c r="J21" i="56"/>
  <c r="Q24" i="56"/>
  <c r="V13" i="56"/>
  <c r="S6" i="56"/>
  <c r="O5" i="56"/>
  <c r="X11" i="56"/>
  <c r="C7" i="56"/>
  <c r="V4" i="56"/>
  <c r="B21" i="56"/>
  <c r="I8" i="56"/>
  <c r="N3" i="56"/>
  <c r="X23" i="56"/>
  <c r="A21" i="56"/>
  <c r="J4" i="56"/>
  <c r="P22" i="56"/>
  <c r="Y13" i="56"/>
  <c r="V23" i="56"/>
  <c r="E5" i="56"/>
  <c r="Q4" i="56"/>
  <c r="Z10" i="56"/>
  <c r="A18" i="56"/>
  <c r="Q21" i="56"/>
  <c r="Z24" i="56"/>
  <c r="B4" i="56"/>
  <c r="W6" i="56"/>
  <c r="H3" i="56"/>
  <c r="F4" i="56"/>
  <c r="J24" i="56"/>
  <c r="A3" i="56"/>
  <c r="F18" i="56"/>
  <c r="A25" i="56"/>
  <c r="L5" i="56"/>
  <c r="G6" i="56"/>
  <c r="C6" i="56"/>
  <c r="H18" i="56"/>
  <c r="H8" i="56"/>
  <c r="X21" i="56"/>
  <c r="R8" i="56"/>
  <c r="N8" i="56"/>
  <c r="G24" i="56"/>
  <c r="A9" i="56"/>
  <c r="O24" i="56"/>
  <c r="M21" i="56"/>
  <c r="D21" i="56"/>
  <c r="V14" i="56"/>
  <c r="E18" i="56"/>
  <c r="N13" i="56"/>
  <c r="T14" i="56"/>
  <c r="U13" i="56"/>
  <c r="U14" i="56"/>
  <c r="Q13" i="56"/>
  <c r="S13" i="56"/>
  <c r="R17" i="56"/>
  <c r="Q16" i="56"/>
  <c r="S20" i="56"/>
  <c r="T17" i="56"/>
  <c r="O10" i="56"/>
  <c r="N20" i="56"/>
  <c r="T25" i="56"/>
  <c r="Q10" i="56"/>
  <c r="O17" i="56"/>
  <c r="N15" i="56"/>
  <c r="P15" i="56"/>
  <c r="P16" i="56"/>
  <c r="O16" i="56"/>
  <c r="P25" i="56"/>
  <c r="I22" i="56"/>
  <c r="F5" i="56"/>
  <c r="M22" i="56"/>
  <c r="Z14" i="56"/>
  <c r="E24" i="56"/>
  <c r="B8" i="56"/>
  <c r="D6" i="56"/>
  <c r="T21" i="56"/>
  <c r="B6" i="56"/>
  <c r="X24" i="56"/>
  <c r="F7" i="56"/>
  <c r="V22" i="56"/>
  <c r="A15" i="56"/>
  <c r="T24" i="56"/>
  <c r="W13" i="56"/>
  <c r="X8" i="56"/>
  <c r="K21" i="56"/>
  <c r="X19" i="56"/>
  <c r="X25" i="56"/>
  <c r="J5" i="56"/>
  <c r="F21" i="56"/>
  <c r="W20" i="56"/>
  <c r="L18" i="56"/>
  <c r="C22" i="56"/>
  <c r="Z21" i="56"/>
  <c r="M24" i="56"/>
  <c r="Z15" i="56"/>
  <c r="D24" i="56"/>
  <c r="Q5" i="56"/>
  <c r="F24" i="56"/>
  <c r="L7" i="56"/>
  <c r="V6" i="56"/>
  <c r="X16" i="56"/>
  <c r="Z4" i="56"/>
  <c r="Y17" i="56"/>
  <c r="Z8" i="56"/>
  <c r="E21" i="56"/>
  <c r="T6" i="56"/>
  <c r="C8" i="56"/>
  <c r="P4" i="56"/>
  <c r="I24" i="56"/>
  <c r="H24" i="56"/>
  <c r="V12" i="56"/>
  <c r="A19" i="56"/>
  <c r="V5" i="56"/>
  <c r="Y12" i="56"/>
  <c r="R22" i="56"/>
  <c r="L3" i="56"/>
  <c r="T5" i="56"/>
  <c r="W5" i="56"/>
  <c r="B24" i="56"/>
  <c r="I3" i="56"/>
  <c r="D18" i="56"/>
  <c r="A12" i="56"/>
  <c r="G5" i="56"/>
  <c r="Q3" i="56"/>
  <c r="G8" i="56"/>
  <c r="Z13" i="56"/>
  <c r="Y16" i="56"/>
  <c r="R3" i="56"/>
  <c r="O7" i="56"/>
  <c r="Y24" i="56"/>
  <c r="P3" i="56"/>
  <c r="R18" i="56"/>
  <c r="S5" i="56"/>
  <c r="R6" i="56"/>
  <c r="S18" i="56"/>
  <c r="Y21" i="56"/>
  <c r="Z5" i="56"/>
  <c r="W3" i="56"/>
  <c r="Z17" i="56"/>
  <c r="G3" i="56"/>
  <c r="X4" i="56"/>
  <c r="A16" i="56"/>
  <c r="Q7" i="56"/>
  <c r="M7" i="56"/>
  <c r="I21" i="56"/>
  <c r="W23" i="56"/>
  <c r="Z9" i="56"/>
  <c r="G7" i="56"/>
  <c r="Z3" i="56"/>
  <c r="Z19" i="56"/>
  <c r="K24" i="56"/>
  <c r="A8" i="56"/>
  <c r="Q14" i="56"/>
  <c r="N14" i="56"/>
  <c r="P14" i="56"/>
  <c r="Q19" i="56"/>
  <c r="O14" i="56"/>
  <c r="T13" i="56"/>
  <c r="R25" i="56"/>
  <c r="R23" i="56"/>
  <c r="N10" i="56"/>
  <c r="Q25" i="56"/>
  <c r="S17" i="56"/>
  <c r="U17" i="56"/>
  <c r="R15" i="56"/>
  <c r="O15" i="56"/>
  <c r="Q17" i="56"/>
  <c r="R20" i="56"/>
  <c r="R10" i="56"/>
  <c r="O23" i="56"/>
  <c r="R16" i="56"/>
  <c r="N16" i="56"/>
  <c r="K18" i="56"/>
  <c r="Y10" i="56"/>
  <c r="A13" i="56"/>
  <c r="L4" i="56"/>
  <c r="Q8" i="56"/>
  <c r="D7" i="56"/>
  <c r="Y3" i="56"/>
  <c r="K8" i="56"/>
  <c r="S21" i="56"/>
  <c r="A23" i="56"/>
  <c r="W14" i="56"/>
  <c r="O21" i="56"/>
  <c r="X13" i="56"/>
  <c r="W24" i="56"/>
  <c r="W12" i="56"/>
  <c r="I4" i="56"/>
  <c r="V15" i="56"/>
  <c r="M18" i="56"/>
  <c r="Y11" i="56"/>
  <c r="Y18" i="56"/>
  <c r="W15" i="56"/>
  <c r="K3" i="56"/>
  <c r="P21" i="56"/>
  <c r="W7" i="56"/>
  <c r="A4" i="56"/>
  <c r="B22" i="56"/>
  <c r="X20" i="56"/>
  <c r="V25" i="56"/>
  <c r="C3" i="56"/>
  <c r="E8" i="56"/>
  <c r="X15" i="56"/>
  <c r="C5" i="56"/>
  <c r="Z16" i="56"/>
  <c r="R21" i="56"/>
  <c r="V18" i="56"/>
  <c r="T8" i="56"/>
  <c r="I6" i="56"/>
  <c r="C21" i="56"/>
  <c r="V7" i="56"/>
  <c r="A20" i="56"/>
  <c r="I5" i="56"/>
  <c r="W16" i="56"/>
  <c r="Y6" i="56"/>
  <c r="M8" i="56"/>
  <c r="Q18" i="56"/>
  <c r="E3" i="56"/>
  <c r="W11" i="56"/>
  <c r="A5" i="56"/>
  <c r="V3" i="56"/>
  <c r="Y14" i="56"/>
  <c r="T7" i="56"/>
  <c r="D8" i="56"/>
  <c r="N4" i="56"/>
  <c r="R4" i="56"/>
  <c r="U8" i="56"/>
  <c r="F6" i="56"/>
  <c r="M4" i="56"/>
  <c r="X17" i="56"/>
  <c r="V10" i="56"/>
  <c r="P5" i="56"/>
  <c r="Y9" i="56"/>
  <c r="X12" i="56"/>
  <c r="J6" i="56"/>
  <c r="G4" i="56"/>
  <c r="X10" i="56"/>
  <c r="V11" i="56"/>
  <c r="V19" i="56"/>
  <c r="Z23" i="56"/>
  <c r="U4" i="56"/>
  <c r="F8" i="56"/>
  <c r="O6" i="56"/>
  <c r="E4" i="56"/>
  <c r="V9" i="56"/>
  <c r="Y23" i="56"/>
  <c r="J7" i="56"/>
  <c r="Y8" i="56"/>
  <c r="X5" i="56"/>
  <c r="L22" i="56"/>
  <c r="U6" i="56"/>
  <c r="S8" i="56"/>
  <c r="D22" i="56"/>
  <c r="V17" i="56"/>
  <c r="C24" i="56"/>
  <c r="N24" i="56"/>
  <c r="T22" i="56"/>
  <c r="N19" i="56"/>
  <c r="U19" i="56"/>
  <c r="O19" i="56"/>
  <c r="R13" i="56"/>
  <c r="P13" i="56"/>
  <c r="P19" i="56"/>
  <c r="T16" i="56"/>
  <c r="O20" i="56"/>
  <c r="Q20" i="56"/>
  <c r="U10" i="56"/>
  <c r="P20" i="56"/>
  <c r="S25" i="56"/>
  <c r="P17" i="56"/>
  <c r="Q15" i="56"/>
  <c r="U16" i="56"/>
  <c r="S10" i="56"/>
  <c r="N23" i="56"/>
  <c r="N25" i="56"/>
  <c r="S16" i="56"/>
  <c r="T23" i="56"/>
  <c r="N12" i="56"/>
  <c r="U9" i="56"/>
  <c r="R9" i="56"/>
  <c r="P12" i="56"/>
  <c r="P9" i="56"/>
  <c r="O11" i="56"/>
  <c r="Q12" i="56"/>
  <c r="R12" i="56"/>
  <c r="U11" i="56"/>
  <c r="P11" i="56"/>
  <c r="O12" i="56"/>
  <c r="O9" i="56"/>
  <c r="N9" i="56"/>
  <c r="Q11" i="56"/>
  <c r="R11" i="56"/>
  <c r="T12" i="56"/>
  <c r="T9" i="56"/>
  <c r="S11" i="56"/>
  <c r="N11" i="56"/>
  <c r="Q9" i="56"/>
  <c r="U12" i="56"/>
  <c r="T11" i="56"/>
  <c r="S12" i="56"/>
  <c r="S9" i="56"/>
  <c r="A205" i="61" l="1"/>
  <c r="B205" i="61"/>
  <c r="C206" i="61"/>
  <c r="C192" i="61"/>
  <c r="M216" i="61" s="1"/>
  <c r="C188" i="61"/>
  <c r="C189" i="61"/>
  <c r="A187" i="61"/>
  <c r="T216" i="61"/>
  <c r="C190" i="61"/>
  <c r="H214" i="61" s="1"/>
  <c r="A191" i="61"/>
  <c r="B188" i="61"/>
  <c r="A188" i="61"/>
  <c r="V216" i="61"/>
  <c r="G216" i="61"/>
  <c r="R192" i="61"/>
  <c r="P216" i="61"/>
  <c r="Y192" i="61"/>
  <c r="B189" i="61"/>
  <c r="A189" i="61"/>
  <c r="P192" i="61"/>
  <c r="AC216" i="61"/>
  <c r="AE192" i="61"/>
  <c r="AA190" i="61"/>
  <c r="A206" i="61"/>
  <c r="B206" i="61"/>
  <c r="AC192" i="61"/>
  <c r="AA216" i="61"/>
  <c r="W192" i="61"/>
  <c r="U216" i="61"/>
  <c r="A190" i="61"/>
  <c r="L216" i="61"/>
  <c r="N192" i="61"/>
  <c r="A202" i="61"/>
  <c r="T192" i="61"/>
  <c r="R216" i="61"/>
  <c r="U192" i="61"/>
  <c r="S216" i="61"/>
  <c r="A208" i="61"/>
  <c r="B208" i="61"/>
  <c r="Z192" i="61"/>
  <c r="X216" i="61"/>
  <c r="AD190" i="61"/>
  <c r="C208" i="61"/>
  <c r="A192" i="61"/>
  <c r="H192" i="61"/>
  <c r="F216" i="61"/>
  <c r="G214" i="61"/>
  <c r="J214" i="61"/>
  <c r="D58" i="61"/>
  <c r="M13" i="51" s="1"/>
  <c r="D54" i="61"/>
  <c r="M9" i="51" s="1"/>
  <c r="Z214" i="61"/>
  <c r="C205" i="61"/>
  <c r="C187" i="61"/>
  <c r="AD187" i="61" s="1"/>
  <c r="AC190" i="61"/>
  <c r="J190" i="61"/>
  <c r="C202" i="61"/>
  <c r="Y202" i="61" s="1"/>
  <c r="C191" i="61"/>
  <c r="J215" i="61" s="1"/>
  <c r="P214" i="61"/>
  <c r="R190" i="61"/>
  <c r="S214" i="61"/>
  <c r="U190" i="61"/>
  <c r="T190" i="61" l="1"/>
  <c r="X214" i="61"/>
  <c r="I190" i="61"/>
  <c r="M214" i="61"/>
  <c r="R214" i="61"/>
  <c r="F214" i="61"/>
  <c r="Y214" i="61"/>
  <c r="AA214" i="61"/>
  <c r="AB190" i="61"/>
  <c r="L190" i="61"/>
  <c r="AB214" i="61"/>
  <c r="O190" i="61"/>
  <c r="Z190" i="61"/>
  <c r="K190" i="61"/>
  <c r="X192" i="61"/>
  <c r="V190" i="61"/>
  <c r="Q216" i="61"/>
  <c r="O216" i="61"/>
  <c r="S192" i="61"/>
  <c r="AB216" i="61"/>
  <c r="Q192" i="61"/>
  <c r="AA192" i="61"/>
  <c r="J216" i="61"/>
  <c r="H190" i="61"/>
  <c r="I214" i="61"/>
  <c r="AC226" i="61"/>
  <c r="AC202" i="61"/>
  <c r="E226" i="61"/>
  <c r="AE202" i="61"/>
  <c r="I211" i="61"/>
  <c r="Y216" i="61"/>
  <c r="V192" i="61"/>
  <c r="R211" i="61"/>
  <c r="N216" i="61"/>
  <c r="W216" i="61"/>
  <c r="I192" i="61"/>
  <c r="AD192" i="61"/>
  <c r="O192" i="61"/>
  <c r="L192" i="61"/>
  <c r="E211" i="61"/>
  <c r="V226" i="61"/>
  <c r="K216" i="61"/>
  <c r="T187" i="61"/>
  <c r="G211" i="61"/>
  <c r="AC187" i="61"/>
  <c r="AA202" i="61"/>
  <c r="AB192" i="61"/>
  <c r="E216" i="61"/>
  <c r="K187" i="61"/>
  <c r="I187" i="61"/>
  <c r="AA211" i="61"/>
  <c r="S215" i="61"/>
  <c r="E215" i="61"/>
  <c r="U191" i="61"/>
  <c r="I215" i="61"/>
  <c r="Q191" i="61"/>
  <c r="X202" i="61"/>
  <c r="AB211" i="61"/>
  <c r="Y215" i="61"/>
  <c r="W215" i="61"/>
  <c r="O191" i="61"/>
  <c r="W211" i="61"/>
  <c r="N191" i="61"/>
  <c r="AE191" i="61"/>
  <c r="Q226" i="61"/>
  <c r="S226" i="61"/>
  <c r="X226" i="61"/>
  <c r="K211" i="61"/>
  <c r="Q187" i="61"/>
  <c r="V187" i="61"/>
  <c r="U226" i="61"/>
  <c r="R191" i="61"/>
  <c r="AB226" i="61"/>
  <c r="Z226" i="61"/>
  <c r="M226" i="61"/>
  <c r="AB215" i="61"/>
  <c r="T214" i="61"/>
  <c r="X187" i="61"/>
  <c r="K226" i="61"/>
  <c r="E214" i="61"/>
  <c r="AC211" i="61"/>
  <c r="T226" i="61"/>
  <c r="Z216" i="61"/>
  <c r="Z191" i="61"/>
  <c r="W226" i="61"/>
  <c r="O187" i="61"/>
  <c r="N202" i="61"/>
  <c r="O214" i="61"/>
  <c r="G192" i="61"/>
  <c r="F192" i="61" s="1"/>
  <c r="U214" i="61"/>
  <c r="G215" i="61"/>
  <c r="P187" i="61"/>
  <c r="J192" i="61"/>
  <c r="H211" i="61"/>
  <c r="K191" i="61"/>
  <c r="O215" i="61"/>
  <c r="V215" i="61"/>
  <c r="T202" i="61"/>
  <c r="M191" i="61"/>
  <c r="H202" i="61"/>
  <c r="Z202" i="61"/>
  <c r="M187" i="61"/>
  <c r="J202" i="61"/>
  <c r="AD206" i="61"/>
  <c r="Z206" i="61"/>
  <c r="X230" i="61"/>
  <c r="O206" i="61"/>
  <c r="K230" i="61"/>
  <c r="W206" i="61"/>
  <c r="P206" i="61"/>
  <c r="AA230" i="61"/>
  <c r="U230" i="61"/>
  <c r="AC206" i="61"/>
  <c r="Q230" i="61"/>
  <c r="V230" i="61"/>
  <c r="AE206" i="61"/>
  <c r="M206" i="61"/>
  <c r="Z230" i="61"/>
  <c r="I206" i="61"/>
  <c r="J230" i="61"/>
  <c r="R206" i="61"/>
  <c r="H230" i="61"/>
  <c r="W230" i="61"/>
  <c r="H206" i="61"/>
  <c r="Y206" i="61"/>
  <c r="Y230" i="61"/>
  <c r="F230" i="61"/>
  <c r="M230" i="61"/>
  <c r="T206" i="61"/>
  <c r="AC230" i="61"/>
  <c r="G230" i="61"/>
  <c r="AA206" i="61"/>
  <c r="L230" i="61"/>
  <c r="R230" i="61"/>
  <c r="N206" i="61"/>
  <c r="I230" i="61"/>
  <c r="AB206" i="61"/>
  <c r="T230" i="61"/>
  <c r="X206" i="61"/>
  <c r="AB230" i="61"/>
  <c r="S206" i="61"/>
  <c r="L206" i="61"/>
  <c r="V206" i="61"/>
  <c r="E230" i="61"/>
  <c r="O230" i="61"/>
  <c r="U206" i="61"/>
  <c r="N230" i="61"/>
  <c r="S230" i="61"/>
  <c r="Q206" i="61"/>
  <c r="G206" i="61"/>
  <c r="P230" i="61"/>
  <c r="J206" i="61"/>
  <c r="K206" i="61"/>
  <c r="N187" i="61"/>
  <c r="U211" i="61"/>
  <c r="J211" i="61"/>
  <c r="L191" i="61"/>
  <c r="AD202" i="61"/>
  <c r="R213" i="61"/>
  <c r="J213" i="61"/>
  <c r="I213" i="61"/>
  <c r="Z189" i="61"/>
  <c r="K213" i="61"/>
  <c r="J189" i="61"/>
  <c r="AC213" i="61"/>
  <c r="G189" i="61"/>
  <c r="M213" i="61"/>
  <c r="X213" i="61"/>
  <c r="AB213" i="61"/>
  <c r="Y189" i="61"/>
  <c r="L213" i="61"/>
  <c r="P213" i="61"/>
  <c r="AE189" i="61"/>
  <c r="H213" i="61"/>
  <c r="Q189" i="61"/>
  <c r="AD189" i="61"/>
  <c r="X189" i="61"/>
  <c r="O213" i="61"/>
  <c r="T213" i="61"/>
  <c r="W213" i="61"/>
  <c r="S189" i="61"/>
  <c r="S213" i="61"/>
  <c r="U189" i="61"/>
  <c r="AA189" i="61"/>
  <c r="Z213" i="61"/>
  <c r="N189" i="61"/>
  <c r="Y213" i="61"/>
  <c r="G213" i="61"/>
  <c r="O189" i="61"/>
  <c r="K189" i="61"/>
  <c r="V189" i="61"/>
  <c r="AA213" i="61"/>
  <c r="P189" i="61"/>
  <c r="Q213" i="61"/>
  <c r="R189" i="61"/>
  <c r="L189" i="61"/>
  <c r="AC189" i="61"/>
  <c r="V213" i="61"/>
  <c r="W189" i="61"/>
  <c r="N213" i="61"/>
  <c r="U213" i="61"/>
  <c r="E213" i="61"/>
  <c r="I189" i="61"/>
  <c r="AB189" i="61"/>
  <c r="M189" i="61"/>
  <c r="F213" i="61"/>
  <c r="H189" i="61"/>
  <c r="T189" i="61"/>
  <c r="P211" i="61"/>
  <c r="AD191" i="61"/>
  <c r="V211" i="61"/>
  <c r="Q211" i="61"/>
  <c r="AE187" i="61"/>
  <c r="N190" i="61"/>
  <c r="AA187" i="61"/>
  <c r="X215" i="61"/>
  <c r="N215" i="61"/>
  <c r="L226" i="61"/>
  <c r="Q190" i="61"/>
  <c r="W190" i="61"/>
  <c r="I191" i="61"/>
  <c r="N211" i="61"/>
  <c r="U205" i="61"/>
  <c r="N205" i="61"/>
  <c r="I205" i="61"/>
  <c r="Z229" i="61"/>
  <c r="H205" i="61"/>
  <c r="AA205" i="61"/>
  <c r="K229" i="61"/>
  <c r="L205" i="61"/>
  <c r="N229" i="61"/>
  <c r="H229" i="61"/>
  <c r="O229" i="61"/>
  <c r="Q205" i="61"/>
  <c r="AC205" i="61"/>
  <c r="T205" i="61"/>
  <c r="S205" i="61"/>
  <c r="J229" i="61"/>
  <c r="F229" i="61"/>
  <c r="AE205" i="61"/>
  <c r="W229" i="61"/>
  <c r="AC229" i="61"/>
  <c r="P229" i="61"/>
  <c r="T229" i="61"/>
  <c r="G205" i="61"/>
  <c r="L229" i="61"/>
  <c r="Y205" i="61"/>
  <c r="U229" i="61"/>
  <c r="X229" i="61"/>
  <c r="E229" i="61"/>
  <c r="AB229" i="61"/>
  <c r="R205" i="61"/>
  <c r="P205" i="61"/>
  <c r="AA229" i="61"/>
  <c r="Y229" i="61"/>
  <c r="R229" i="61"/>
  <c r="I229" i="61"/>
  <c r="M205" i="61"/>
  <c r="V205" i="61"/>
  <c r="AB205" i="61"/>
  <c r="Z205" i="61"/>
  <c r="V229" i="61"/>
  <c r="W205" i="61"/>
  <c r="M229" i="61"/>
  <c r="O205" i="61"/>
  <c r="X205" i="61"/>
  <c r="S229" i="61"/>
  <c r="K205" i="61"/>
  <c r="Q229" i="61"/>
  <c r="G229" i="61"/>
  <c r="AD205" i="61"/>
  <c r="J205" i="61"/>
  <c r="I216" i="61"/>
  <c r="Q202" i="61"/>
  <c r="U187" i="61"/>
  <c r="T215" i="61"/>
  <c r="Y226" i="61"/>
  <c r="X191" i="61"/>
  <c r="R226" i="61"/>
  <c r="K215" i="61"/>
  <c r="F226" i="61"/>
  <c r="K202" i="61"/>
  <c r="H226" i="61"/>
  <c r="L211" i="61"/>
  <c r="W187" i="61"/>
  <c r="L187" i="61"/>
  <c r="Z215" i="61"/>
  <c r="R187" i="61"/>
  <c r="M190" i="61"/>
  <c r="J226" i="61"/>
  <c r="U215" i="61"/>
  <c r="Q215" i="61"/>
  <c r="H191" i="61"/>
  <c r="S187" i="61"/>
  <c r="G226" i="61"/>
  <c r="T191" i="61"/>
  <c r="P202" i="61"/>
  <c r="H187" i="61"/>
  <c r="L214" i="61"/>
  <c r="Y211" i="61"/>
  <c r="S190" i="61"/>
  <c r="P190" i="61"/>
  <c r="Z187" i="61"/>
  <c r="P191" i="61"/>
  <c r="AC214" i="61"/>
  <c r="H215" i="61"/>
  <c r="V214" i="61"/>
  <c r="M192" i="61"/>
  <c r="W214" i="61"/>
  <c r="AB187" i="61"/>
  <c r="P226" i="61"/>
  <c r="K192" i="61"/>
  <c r="AC191" i="61"/>
  <c r="G191" i="61"/>
  <c r="G202" i="61"/>
  <c r="F202" i="61" s="1"/>
  <c r="AA226" i="61"/>
  <c r="AA215" i="61"/>
  <c r="G187" i="61"/>
  <c r="O226" i="61"/>
  <c r="S211" i="61"/>
  <c r="V191" i="61"/>
  <c r="AA191" i="61"/>
  <c r="Y191" i="61"/>
  <c r="M215" i="61"/>
  <c r="AC232" i="61"/>
  <c r="S232" i="61"/>
  <c r="L232" i="61"/>
  <c r="R232" i="61"/>
  <c r="W232" i="61"/>
  <c r="AC208" i="61"/>
  <c r="F232" i="61"/>
  <c r="T208" i="61"/>
  <c r="L208" i="61"/>
  <c r="I232" i="61"/>
  <c r="M232" i="61"/>
  <c r="I208" i="61"/>
  <c r="AB208" i="61"/>
  <c r="M208" i="61"/>
  <c r="N232" i="61"/>
  <c r="Z208" i="61"/>
  <c r="J208" i="61"/>
  <c r="U208" i="61"/>
  <c r="N208" i="61"/>
  <c r="G232" i="61"/>
  <c r="AB232" i="61"/>
  <c r="G208" i="61"/>
  <c r="V208" i="61"/>
  <c r="O232" i="61"/>
  <c r="U232" i="61"/>
  <c r="T232" i="61"/>
  <c r="S208" i="61"/>
  <c r="Z232" i="61"/>
  <c r="O208" i="61"/>
  <c r="X232" i="61"/>
  <c r="K208" i="61"/>
  <c r="Y208" i="61"/>
  <c r="R208" i="61"/>
  <c r="H232" i="61"/>
  <c r="J232" i="61"/>
  <c r="W208" i="61"/>
  <c r="P232" i="61"/>
  <c r="AD208" i="61"/>
  <c r="AE208" i="61"/>
  <c r="H208" i="61"/>
  <c r="V232" i="61"/>
  <c r="P208" i="61"/>
  <c r="E232" i="61"/>
  <c r="AA232" i="61"/>
  <c r="X208" i="61"/>
  <c r="K232" i="61"/>
  <c r="Y232" i="61"/>
  <c r="Q208" i="61"/>
  <c r="Q232" i="61"/>
  <c r="AA208" i="61"/>
  <c r="Y187" i="61"/>
  <c r="L215" i="61"/>
  <c r="AC215" i="61"/>
  <c r="S202" i="61"/>
  <c r="U202" i="61"/>
  <c r="I226" i="61"/>
  <c r="O211" i="61"/>
  <c r="T211" i="61"/>
  <c r="W202" i="61"/>
  <c r="P215" i="61"/>
  <c r="AB191" i="61"/>
  <c r="AB202" i="61"/>
  <c r="O202" i="61"/>
  <c r="K214" i="61"/>
  <c r="L202" i="61"/>
  <c r="W191" i="61"/>
  <c r="U212" i="61"/>
  <c r="Z212" i="61"/>
  <c r="J188" i="61"/>
  <c r="AD188" i="61"/>
  <c r="W188" i="61"/>
  <c r="AC188" i="61"/>
  <c r="H212" i="61"/>
  <c r="O212" i="61"/>
  <c r="P188" i="61"/>
  <c r="AC212" i="61"/>
  <c r="R188" i="61"/>
  <c r="AE188" i="61"/>
  <c r="Y212" i="61"/>
  <c r="N188" i="61"/>
  <c r="X212" i="61"/>
  <c r="T212" i="61"/>
  <c r="Y188" i="61"/>
  <c r="E212" i="61"/>
  <c r="AA212" i="61"/>
  <c r="M212" i="61"/>
  <c r="G212" i="61"/>
  <c r="K188" i="61"/>
  <c r="P212" i="61"/>
  <c r="Z188" i="61"/>
  <c r="AB188" i="61"/>
  <c r="M188" i="61"/>
  <c r="Q212" i="61"/>
  <c r="T188" i="61"/>
  <c r="H188" i="61"/>
  <c r="W212" i="61"/>
  <c r="V188" i="61"/>
  <c r="I212" i="61"/>
  <c r="L188" i="61"/>
  <c r="O188" i="61"/>
  <c r="K212" i="61"/>
  <c r="F212" i="61"/>
  <c r="U188" i="61"/>
  <c r="R212" i="61"/>
  <c r="S212" i="61"/>
  <c r="I188" i="61"/>
  <c r="S188" i="61"/>
  <c r="N212" i="61"/>
  <c r="L212" i="61"/>
  <c r="Q188" i="61"/>
  <c r="X188" i="61"/>
  <c r="V212" i="61"/>
  <c r="J212" i="61"/>
  <c r="AA188" i="61"/>
  <c r="G188" i="61"/>
  <c r="F188" i="61" s="1"/>
  <c r="AB212" i="61"/>
  <c r="S191" i="61"/>
  <c r="F215" i="61"/>
  <c r="M202" i="61"/>
  <c r="G190" i="61"/>
  <c r="F190" i="61" s="1"/>
  <c r="I202" i="61"/>
  <c r="R215" i="61"/>
  <c r="N226" i="61"/>
  <c r="F211" i="61"/>
  <c r="V202" i="61"/>
  <c r="Q214" i="61"/>
  <c r="N214" i="61"/>
  <c r="X211" i="61"/>
  <c r="M211" i="61"/>
  <c r="AE190" i="61"/>
  <c r="J191" i="61"/>
  <c r="X190" i="61"/>
  <c r="Y190" i="61"/>
  <c r="Z211" i="61"/>
  <c r="R202" i="61"/>
  <c r="H216" i="61"/>
  <c r="J187" i="61"/>
  <c r="F191" i="61" l="1"/>
  <c r="CD77" i="61" s="1"/>
  <c r="F187" i="61"/>
  <c r="CD73" i="61" s="1"/>
  <c r="F208" i="61"/>
  <c r="CE82" i="61" s="1"/>
  <c r="F205" i="61"/>
  <c r="CE79" i="61" s="1"/>
  <c r="CD76" i="61"/>
  <c r="CD78" i="61"/>
  <c r="F189" i="61"/>
  <c r="CD75" i="61" s="1"/>
  <c r="F206" i="61"/>
  <c r="CE80" i="61" s="1"/>
  <c r="CD74" i="61"/>
  <c r="CE76" i="61"/>
  <c r="AB15" i="27"/>
  <c r="AD15" i="27" s="1"/>
  <c r="L8" i="27" s="1"/>
  <c r="L10" i="27"/>
  <c r="L69" i="27"/>
  <c r="N69" i="27" s="1"/>
  <c r="AQ69" i="27" s="1"/>
  <c r="AP74" i="27"/>
  <c r="AB16" i="27"/>
  <c r="AD16" i="27" s="1"/>
  <c r="L9" i="27" s="1"/>
  <c r="L11" i="27"/>
  <c r="L70" i="27"/>
  <c r="N70" i="27" s="1"/>
  <c r="AQ70" i="27" s="1"/>
  <c r="AP75" i="27"/>
  <c r="AP80" i="27"/>
  <c r="Z114" i="27"/>
  <c r="AB114" i="27" s="1"/>
  <c r="Z100" i="27"/>
  <c r="AB100" i="27" s="1"/>
  <c r="AP60" i="27" l="1"/>
  <c r="AP50" i="27"/>
  <c r="AT50" i="27" s="1"/>
  <c r="E8" i="27" s="1"/>
  <c r="AP59" i="27"/>
  <c r="AP49" i="27"/>
  <c r="AT49" i="27" s="1"/>
  <c r="D8" i="27" s="1"/>
  <c r="AP55" i="27"/>
  <c r="AT55" i="27" s="1"/>
  <c r="E9" i="27" s="1"/>
  <c r="AP45" i="27"/>
  <c r="AT45" i="27" s="1"/>
  <c r="E7" i="27" s="1"/>
  <c r="AP54" i="27"/>
  <c r="AT54" i="27" s="1"/>
  <c r="D9" i="27" s="1"/>
  <c r="AP44" i="27"/>
  <c r="AT44" i="27" s="1"/>
  <c r="D7" i="27" s="1"/>
  <c r="AR114" i="27"/>
  <c r="AR115" i="27"/>
  <c r="AR100" i="27"/>
  <c r="AR99" i="27"/>
  <c r="AP10" i="27" l="1"/>
  <c r="AR10" i="27" s="1"/>
  <c r="AP11" i="27"/>
  <c r="AR11" i="27" s="1"/>
  <c r="AK49" i="27"/>
  <c r="AM49" i="27" s="1"/>
  <c r="AS49" i="27" s="1"/>
  <c r="AB27" i="27"/>
  <c r="AD27" i="27" s="1"/>
  <c r="AK50" i="27"/>
  <c r="AM50" i="27" s="1"/>
  <c r="AS50" i="27" s="1"/>
  <c r="AB28" i="27"/>
  <c r="AD28" i="27" s="1"/>
  <c r="AK59" i="27"/>
  <c r="AM59" i="27" s="1"/>
  <c r="AS59" i="27" s="1"/>
  <c r="AP16" i="27"/>
  <c r="AR16" i="27" s="1"/>
  <c r="L65" i="27"/>
  <c r="N65" i="27" s="1"/>
  <c r="AQ65" i="27" s="1"/>
  <c r="AT65" i="27" s="1"/>
  <c r="E11" i="27" s="1"/>
  <c r="AK70" i="27" s="1"/>
  <c r="AM70" i="27" s="1"/>
  <c r="AS70" i="27" s="1"/>
  <c r="AT70" i="27" s="1"/>
  <c r="E12" i="27" s="1"/>
  <c r="AK75" i="27" s="1"/>
  <c r="AM75" i="27" s="1"/>
  <c r="AS75" i="27" s="1"/>
  <c r="Z59" i="27"/>
  <c r="AB59" i="27" s="1"/>
  <c r="L64" i="27"/>
  <c r="N64" i="27" s="1"/>
  <c r="AQ64" i="27" s="1"/>
  <c r="AT64" i="27" s="1"/>
  <c r="D11" i="27" s="1"/>
  <c r="L79" i="27" s="1"/>
  <c r="N79" i="27" s="1"/>
  <c r="AQ79" i="27" s="1"/>
  <c r="AT79" i="27" s="1"/>
  <c r="D14" i="27" s="1"/>
  <c r="AK84" i="27" s="1"/>
  <c r="AM84" i="27" s="1"/>
  <c r="AS84" i="27" s="1"/>
  <c r="AT84" i="27" s="1"/>
  <c r="D15" i="27" s="1"/>
  <c r="AK89" i="27" s="1"/>
  <c r="AM89" i="27" s="1"/>
  <c r="AS89" i="27" s="1"/>
  <c r="AT89" i="27" s="1"/>
  <c r="Z60" i="27"/>
  <c r="AB60" i="27" s="1"/>
  <c r="L59" i="27"/>
  <c r="N59" i="27" s="1"/>
  <c r="AQ59" i="27" s="1"/>
  <c r="AT59" i="27" s="1"/>
  <c r="D10" i="27" s="1"/>
  <c r="Z54" i="27"/>
  <c r="AB54" i="27" s="1"/>
  <c r="AK54" i="27"/>
  <c r="AM54" i="27" s="1"/>
  <c r="AS54" i="27" s="1"/>
  <c r="L60" i="27"/>
  <c r="N60" i="27" s="1"/>
  <c r="AQ60" i="27" s="1"/>
  <c r="AT60" i="27" s="1"/>
  <c r="E10" i="27" s="1"/>
  <c r="AK55" i="27"/>
  <c r="AM55" i="27" s="1"/>
  <c r="AS55" i="27" s="1"/>
  <c r="Z55" i="27"/>
  <c r="AB55" i="27" s="1"/>
  <c r="AP15" i="27"/>
  <c r="AR15" i="27" s="1"/>
  <c r="AL12" i="27" l="1"/>
  <c r="AL13" i="27"/>
  <c r="Z75" i="27"/>
  <c r="AB75" i="27" s="1"/>
  <c r="L80" i="27"/>
  <c r="N80" i="27" s="1"/>
  <c r="AQ80" i="27" s="1"/>
  <c r="AT80" i="27" s="1"/>
  <c r="E14" i="27" s="1"/>
  <c r="AK85" i="27" s="1"/>
  <c r="AM85" i="27" s="1"/>
  <c r="AS85" i="27" s="1"/>
  <c r="AT85" i="27" s="1"/>
  <c r="E15" i="27" s="1"/>
  <c r="AK90" i="27" s="1"/>
  <c r="AM90" i="27" s="1"/>
  <c r="AS90" i="27" s="1"/>
  <c r="AT90" i="27" s="1"/>
  <c r="E16" i="27" s="1"/>
  <c r="AR60" i="27"/>
  <c r="AK69" i="27"/>
  <c r="AM69" i="27" s="1"/>
  <c r="AS69" i="27" s="1"/>
  <c r="AT69" i="27" s="1"/>
  <c r="D12" i="27" s="1"/>
  <c r="AK74" i="27" s="1"/>
  <c r="AM74" i="27" s="1"/>
  <c r="AS74" i="27" s="1"/>
  <c r="AR59" i="27"/>
  <c r="Z74" i="27"/>
  <c r="AB74" i="27" s="1"/>
  <c r="L74" i="27"/>
  <c r="N74" i="27" s="1"/>
  <c r="AQ74" i="27" s="1"/>
  <c r="AT74" i="27" s="1"/>
  <c r="D13" i="27" s="1"/>
  <c r="AK79" i="27" s="1"/>
  <c r="AM79" i="27" s="1"/>
  <c r="AS79" i="27" s="1"/>
  <c r="AK64" i="27"/>
  <c r="AM64" i="27" s="1"/>
  <c r="AS64" i="27" s="1"/>
  <c r="Z64" i="27"/>
  <c r="AB64" i="27" s="1"/>
  <c r="L75" i="27"/>
  <c r="N75" i="27" s="1"/>
  <c r="AQ75" i="27" s="1"/>
  <c r="AT75" i="27" s="1"/>
  <c r="E13" i="27" s="1"/>
  <c r="AK80" i="27" s="1"/>
  <c r="AM80" i="27" s="1"/>
  <c r="AS80" i="27" s="1"/>
  <c r="AK65" i="27"/>
  <c r="AM65" i="27" s="1"/>
  <c r="AS65" i="27" s="1"/>
  <c r="Z65" i="27"/>
  <c r="AB65" i="27" s="1"/>
  <c r="AR55" i="27"/>
  <c r="AR54" i="27"/>
  <c r="D18" i="27"/>
  <c r="D22" i="27"/>
  <c r="D26" i="27"/>
  <c r="D17" i="27"/>
  <c r="D21" i="27"/>
  <c r="D25" i="27"/>
  <c r="D16" i="27"/>
  <c r="D20" i="27"/>
  <c r="D24" i="27"/>
  <c r="D28" i="27"/>
  <c r="D19" i="27"/>
  <c r="D23" i="27"/>
  <c r="D27" i="27"/>
  <c r="AR75" i="27" l="1"/>
  <c r="E19" i="27"/>
  <c r="E25" i="27"/>
  <c r="E17" i="27"/>
  <c r="E22" i="27"/>
  <c r="E26" i="27"/>
  <c r="E27" i="27"/>
  <c r="E24" i="27"/>
  <c r="E23" i="27"/>
  <c r="E21" i="27"/>
  <c r="E18" i="27"/>
  <c r="E28" i="27"/>
  <c r="E20" i="27"/>
  <c r="AR74" i="27"/>
  <c r="AR65" i="27"/>
  <c r="AR64" i="27"/>
  <c r="AK114" i="27"/>
  <c r="AM114" i="27" s="1"/>
  <c r="AS114" i="27" s="1"/>
  <c r="AT114" i="27" s="1"/>
  <c r="AK119" i="27"/>
  <c r="AM119" i="27" s="1"/>
  <c r="AS119" i="27" s="1"/>
  <c r="AT119" i="27" s="1"/>
  <c r="AK124" i="27"/>
  <c r="AM124" i="27" s="1"/>
  <c r="AS124" i="27" s="1"/>
  <c r="AT124" i="27" s="1"/>
  <c r="AK129" i="27"/>
  <c r="AM129" i="27" s="1"/>
  <c r="AS129" i="27" s="1"/>
  <c r="AT129" i="27" s="1"/>
  <c r="AK134" i="27"/>
  <c r="AM134" i="27" s="1"/>
  <c r="AS134" i="27" s="1"/>
  <c r="AT134" i="27" s="1"/>
  <c r="AK109" i="27"/>
  <c r="AM109" i="27" s="1"/>
  <c r="AS109" i="27" s="1"/>
  <c r="AT109" i="27" s="1"/>
  <c r="AK104" i="27"/>
  <c r="AM104" i="27" s="1"/>
  <c r="AS104" i="27" s="1"/>
  <c r="AT104" i="27" s="1"/>
  <c r="AK99" i="27"/>
  <c r="AM99" i="27" s="1"/>
  <c r="AS99" i="27" s="1"/>
  <c r="AT99" i="27" s="1"/>
  <c r="AK139" i="27"/>
  <c r="AM139" i="27" s="1"/>
  <c r="AS139" i="27" s="1"/>
  <c r="AT139" i="27" s="1"/>
  <c r="AK144" i="27"/>
  <c r="AM144" i="27" s="1"/>
  <c r="AS144" i="27" s="1"/>
  <c r="AT144" i="27" s="1"/>
  <c r="AK149" i="27"/>
  <c r="AM149" i="27" s="1"/>
  <c r="AS149" i="27" s="1"/>
  <c r="AT149" i="27" s="1"/>
  <c r="AK94" i="27"/>
  <c r="AM94" i="27" s="1"/>
  <c r="AS94" i="27" s="1"/>
  <c r="AT94" i="27" s="1"/>
  <c r="AK100" i="27"/>
  <c r="AM100" i="27" s="1"/>
  <c r="AS100" i="27" s="1"/>
  <c r="AT100" i="27" s="1"/>
  <c r="AK145" i="27"/>
  <c r="AM145" i="27" s="1"/>
  <c r="AS145" i="27" s="1"/>
  <c r="AT145" i="27" s="1"/>
  <c r="AK115" i="27"/>
  <c r="AM115" i="27" s="1"/>
  <c r="AS115" i="27" s="1"/>
  <c r="AT115" i="27" s="1"/>
  <c r="AK120" i="27"/>
  <c r="AM120" i="27" s="1"/>
  <c r="AS120" i="27" s="1"/>
  <c r="AT120" i="27" s="1"/>
  <c r="AK125" i="27"/>
  <c r="AM125" i="27" s="1"/>
  <c r="AS125" i="27" s="1"/>
  <c r="AT125" i="27" s="1"/>
  <c r="AK130" i="27"/>
  <c r="AM130" i="27" s="1"/>
  <c r="AS130" i="27" s="1"/>
  <c r="AT130" i="27" s="1"/>
  <c r="AK110" i="27"/>
  <c r="AM110" i="27" s="1"/>
  <c r="AS110" i="27" s="1"/>
  <c r="AT110" i="27" s="1"/>
  <c r="AK105" i="27"/>
  <c r="AM105" i="27" s="1"/>
  <c r="AS105" i="27" s="1"/>
  <c r="AT105" i="27" s="1"/>
  <c r="AK135" i="27"/>
  <c r="AM135" i="27" s="1"/>
  <c r="AS135" i="27" s="1"/>
  <c r="AT135" i="27" s="1"/>
  <c r="AK140" i="27"/>
  <c r="AM140" i="27" s="1"/>
  <c r="AS140" i="27" s="1"/>
  <c r="AT140" i="27" s="1"/>
  <c r="AK150" i="27"/>
  <c r="AM150" i="27" s="1"/>
  <c r="AS150" i="27" s="1"/>
  <c r="AT150" i="27" s="1"/>
  <c r="AK95" i="27"/>
  <c r="AM95" i="27" s="1"/>
  <c r="AS95" i="27" s="1"/>
  <c r="AT95" i="27" s="1"/>
  <c r="B93" i="61" a="1"/>
  <c r="AC93" i="61" l="1" a="1"/>
  <c r="AG93" i="61" s="1"/>
  <c r="T26" i="55" s="1"/>
  <c r="C93" i="61"/>
  <c r="J93" i="61"/>
  <c r="F93" i="61"/>
  <c r="H93" i="61"/>
  <c r="I93" i="61"/>
  <c r="K93" i="61"/>
  <c r="L93" i="61"/>
  <c r="M93" i="61"/>
  <c r="B93" i="61"/>
  <c r="E93" i="61"/>
  <c r="G93" i="61"/>
  <c r="D93" i="61"/>
  <c r="Q93" i="61"/>
  <c r="U93" i="61"/>
  <c r="Y93" i="61"/>
  <c r="P93" i="61"/>
  <c r="T93" i="61"/>
  <c r="X93" i="61"/>
  <c r="O93" i="61"/>
  <c r="S93" i="61"/>
  <c r="W93" i="61"/>
  <c r="N93" i="61"/>
  <c r="R93" i="61"/>
  <c r="V93" i="61"/>
  <c r="Z93" i="61"/>
  <c r="AK93" i="61" l="1"/>
  <c r="X26" i="55" s="1"/>
  <c r="BA27" i="17" s="1"/>
  <c r="BB27" i="17" s="1"/>
  <c r="AY93" i="61"/>
  <c r="AL26" i="55" s="1"/>
  <c r="AT93" i="61"/>
  <c r="AG26" i="55" s="1"/>
  <c r="BA27" i="8" s="1"/>
  <c r="BB27" i="8" s="1"/>
  <c r="AF93" i="61"/>
  <c r="S26" i="55" s="1"/>
  <c r="M27" i="22" s="1"/>
  <c r="N27" i="22" s="1"/>
  <c r="AQ93" i="61"/>
  <c r="AD26" i="55" s="1"/>
  <c r="BA27" i="11" s="1"/>
  <c r="BB27" i="11" s="1"/>
  <c r="AU93" i="61"/>
  <c r="AH26" i="55" s="1"/>
  <c r="AJ93" i="61"/>
  <c r="W26" i="55" s="1"/>
  <c r="M27" i="18" s="1"/>
  <c r="N27" i="18" s="1"/>
  <c r="AV93" i="61"/>
  <c r="AI26" i="55" s="1"/>
  <c r="BA27" i="6" s="1"/>
  <c r="BB27" i="6" s="1"/>
  <c r="AN93" i="61"/>
  <c r="AA26" i="55" s="1"/>
  <c r="BA27" i="14" s="1"/>
  <c r="BB27" i="14" s="1"/>
  <c r="AD93" i="61"/>
  <c r="Q26" i="55" s="1"/>
  <c r="BA93" i="61"/>
  <c r="AN26" i="55" s="1"/>
  <c r="M27" i="1" s="1"/>
  <c r="N27" i="1" s="1"/>
  <c r="AH93" i="61"/>
  <c r="U26" i="55" s="1"/>
  <c r="M27" i="20" s="1"/>
  <c r="N27" i="20" s="1"/>
  <c r="AP93" i="61"/>
  <c r="AC26" i="55" s="1"/>
  <c r="BA27" i="12" s="1"/>
  <c r="BB27" i="12" s="1"/>
  <c r="AI93" i="61"/>
  <c r="V26" i="55" s="1"/>
  <c r="AW93" i="61"/>
  <c r="AJ26" i="55" s="1"/>
  <c r="M27" i="5" s="1"/>
  <c r="N27" i="5" s="1"/>
  <c r="AC93" i="61"/>
  <c r="P26" i="55" s="1"/>
  <c r="BA27" i="25" s="1"/>
  <c r="BB27" i="25" s="1"/>
  <c r="AE93" i="61"/>
  <c r="R26" i="55" s="1"/>
  <c r="BA27" i="23" s="1"/>
  <c r="BB27" i="23" s="1"/>
  <c r="AM93" i="61"/>
  <c r="Z26" i="55" s="1"/>
  <c r="AS93" i="61"/>
  <c r="AF26" i="55" s="1"/>
  <c r="M27" i="9" s="1"/>
  <c r="N27" i="9" s="1"/>
  <c r="AL93" i="61"/>
  <c r="Y26" i="55" s="1"/>
  <c r="M27" i="16" s="1"/>
  <c r="N27" i="16" s="1"/>
  <c r="AZ93" i="61"/>
  <c r="AM26" i="55" s="1"/>
  <c r="BA27" i="2" s="1"/>
  <c r="BB27" i="2" s="1"/>
  <c r="AX93" i="61"/>
  <c r="AK26" i="55" s="1"/>
  <c r="AR93" i="61"/>
  <c r="AE26" i="55" s="1"/>
  <c r="BA27" i="10" s="1"/>
  <c r="BB27" i="10" s="1"/>
  <c r="AO93" i="61"/>
  <c r="AB26" i="55" s="1"/>
  <c r="BA27" i="13" s="1"/>
  <c r="BB27" i="13" s="1"/>
  <c r="M27" i="17"/>
  <c r="N27" i="17" s="1"/>
  <c r="BA27" i="3"/>
  <c r="BB27" i="3" s="1"/>
  <c r="M27" i="3"/>
  <c r="N27" i="3" s="1"/>
  <c r="AB26" i="54"/>
  <c r="AL26" i="54"/>
  <c r="AI26" i="54"/>
  <c r="S26" i="54"/>
  <c r="Y26" i="54"/>
  <c r="X26" i="54"/>
  <c r="M27" i="19"/>
  <c r="N27" i="19" s="1"/>
  <c r="BA27" i="19"/>
  <c r="BB27" i="19" s="1"/>
  <c r="M27" i="25"/>
  <c r="N27" i="25" s="1"/>
  <c r="AN26" i="54"/>
  <c r="AK26" i="54"/>
  <c r="AH26" i="54"/>
  <c r="AE26" i="54"/>
  <c r="P26" i="54"/>
  <c r="W26" i="54"/>
  <c r="Q26" i="54"/>
  <c r="BA27" i="22"/>
  <c r="BB27" i="22" s="1"/>
  <c r="M27" i="11"/>
  <c r="N27" i="11" s="1"/>
  <c r="AJ26" i="54"/>
  <c r="AG26" i="54"/>
  <c r="AD26" i="54"/>
  <c r="R26" i="54"/>
  <c r="AA26" i="54"/>
  <c r="V26" i="54"/>
  <c r="M27" i="24"/>
  <c r="N27" i="24" s="1"/>
  <c r="BA27" i="24"/>
  <c r="BB27" i="24" s="1"/>
  <c r="M27" i="15"/>
  <c r="N27" i="15" s="1"/>
  <c r="BA27" i="15"/>
  <c r="BB27" i="15" s="1"/>
  <c r="M27" i="21"/>
  <c r="N27" i="21" s="1"/>
  <c r="BA27" i="21"/>
  <c r="BB27" i="21" s="1"/>
  <c r="AF26" i="54"/>
  <c r="AC26" i="54"/>
  <c r="AM26" i="54"/>
  <c r="U26" i="54"/>
  <c r="Z26" i="54"/>
  <c r="T26" i="54"/>
  <c r="M27" i="4"/>
  <c r="N27" i="4" s="1"/>
  <c r="BA27" i="4"/>
  <c r="BB27" i="4" s="1"/>
  <c r="BA27" i="20"/>
  <c r="BB27" i="20" s="1"/>
  <c r="BA27" i="7"/>
  <c r="BB27" i="7" s="1"/>
  <c r="M27" i="7"/>
  <c r="N27" i="7" s="1"/>
  <c r="BA27" i="53" l="1"/>
  <c r="BB27" i="53" s="1"/>
  <c r="M27" i="53"/>
  <c r="N27" i="53" s="1"/>
  <c r="M27" i="6"/>
  <c r="N27" i="6" s="1"/>
  <c r="BA27" i="16"/>
  <c r="BB27" i="16" s="1"/>
  <c r="M27" i="13"/>
  <c r="N27" i="13" s="1"/>
  <c r="M27" i="2"/>
  <c r="N27" i="2" s="1"/>
  <c r="BA27" i="1"/>
  <c r="BB27" i="1" s="1"/>
  <c r="M27" i="12"/>
  <c r="N27" i="12" s="1"/>
  <c r="M27" i="14"/>
  <c r="N27" i="14" s="1"/>
  <c r="M27" i="8"/>
  <c r="N27" i="8" s="1"/>
  <c r="BA27" i="9"/>
  <c r="BB27" i="9" s="1"/>
  <c r="BA27" i="18"/>
  <c r="BB27" i="18" s="1"/>
  <c r="M27" i="10"/>
  <c r="N27" i="10" s="1"/>
  <c r="M27" i="23"/>
  <c r="N27" i="23" s="1"/>
  <c r="BA27" i="5"/>
  <c r="BB27" i="5" s="1"/>
  <c r="K27" i="19"/>
  <c r="L27" i="19" s="1"/>
  <c r="AY27" i="19"/>
  <c r="AZ27" i="19" s="1"/>
  <c r="K27" i="24"/>
  <c r="L27" i="24" s="1"/>
  <c r="AY27" i="24"/>
  <c r="AZ27" i="24" s="1"/>
  <c r="K27" i="10"/>
  <c r="L27" i="10" s="1"/>
  <c r="AY27" i="10"/>
  <c r="AZ27" i="10" s="1"/>
  <c r="AY27" i="7"/>
  <c r="AZ27" i="7" s="1"/>
  <c r="K27" i="7"/>
  <c r="L27" i="7" s="1"/>
  <c r="K27" i="17"/>
  <c r="L27" i="17" s="1"/>
  <c r="AY27" i="17"/>
  <c r="AZ27" i="17" s="1"/>
  <c r="AY27" i="6"/>
  <c r="AZ27" i="6" s="1"/>
  <c r="K27" i="6"/>
  <c r="L27" i="6" s="1"/>
  <c r="AY27" i="3"/>
  <c r="AZ27" i="3" s="1"/>
  <c r="K27" i="3"/>
  <c r="L27" i="3" s="1"/>
  <c r="K27" i="15"/>
  <c r="L27" i="15" s="1"/>
  <c r="AY27" i="15"/>
  <c r="AZ27" i="15" s="1"/>
  <c r="AY27" i="12"/>
  <c r="AZ27" i="12" s="1"/>
  <c r="K27" i="12"/>
  <c r="L27" i="12" s="1"/>
  <c r="K27" i="9"/>
  <c r="L27" i="9" s="1"/>
  <c r="AY27" i="9"/>
  <c r="AZ27" i="9" s="1"/>
  <c r="AY27" i="11"/>
  <c r="AZ27" i="11" s="1"/>
  <c r="K27" i="11"/>
  <c r="L27" i="11" s="1"/>
  <c r="K27" i="21"/>
  <c r="L27" i="21" s="1"/>
  <c r="AY27" i="21"/>
  <c r="AZ27" i="21" s="1"/>
  <c r="AY27" i="2"/>
  <c r="AZ27" i="2" s="1"/>
  <c r="K27" i="2"/>
  <c r="L27" i="2" s="1"/>
  <c r="K27" i="23"/>
  <c r="L27" i="23" s="1"/>
  <c r="AY27" i="23"/>
  <c r="AZ27" i="23" s="1"/>
  <c r="K27" i="25"/>
  <c r="L27" i="25" s="1"/>
  <c r="AY27" i="25"/>
  <c r="AZ27" i="25" s="1"/>
  <c r="K27" i="4"/>
  <c r="L27" i="4" s="1"/>
  <c r="AY27" i="4"/>
  <c r="AZ27" i="4" s="1"/>
  <c r="AY27" i="1"/>
  <c r="AZ27" i="1" s="1"/>
  <c r="K27" i="1"/>
  <c r="L27" i="1" s="1"/>
  <c r="K27" i="22"/>
  <c r="L27" i="22" s="1"/>
  <c r="AY27" i="22"/>
  <c r="AZ27" i="22" s="1"/>
  <c r="K27" i="20"/>
  <c r="L27" i="20" s="1"/>
  <c r="K27" i="53"/>
  <c r="AY27" i="53"/>
  <c r="AZ27" i="53" s="1"/>
  <c r="AY27" i="20"/>
  <c r="AZ27" i="20" s="1"/>
  <c r="K27" i="14"/>
  <c r="L27" i="14" s="1"/>
  <c r="AY27" i="14"/>
  <c r="AZ27" i="14" s="1"/>
  <c r="K27" i="8"/>
  <c r="L27" i="8" s="1"/>
  <c r="AY27" i="8"/>
  <c r="AZ27" i="8" s="1"/>
  <c r="K27" i="5"/>
  <c r="L27" i="5" s="1"/>
  <c r="AY27" i="5"/>
  <c r="AZ27" i="5" s="1"/>
  <c r="K27" i="18"/>
  <c r="L27" i="18" s="1"/>
  <c r="AY27" i="18"/>
  <c r="AZ27" i="18" s="1"/>
  <c r="K27" i="16"/>
  <c r="L27" i="16" s="1"/>
  <c r="AY27" i="16"/>
  <c r="AZ27" i="16" s="1"/>
  <c r="K27" i="13"/>
  <c r="L27" i="13" s="1"/>
  <c r="AY27" i="13"/>
  <c r="AZ27" i="13" s="1"/>
  <c r="BC27" i="5" l="1"/>
  <c r="O27" i="5"/>
  <c r="L27" i="53"/>
  <c r="O27" i="16"/>
  <c r="BC27" i="8"/>
  <c r="O27" i="20"/>
  <c r="O27" i="4"/>
  <c r="BC27" i="23"/>
  <c r="BC27" i="21"/>
  <c r="O27" i="12"/>
  <c r="BC27" i="3"/>
  <c r="O27" i="17"/>
  <c r="O27" i="7"/>
  <c r="BC27" i="24"/>
  <c r="BC27" i="18"/>
  <c r="O27" i="8"/>
  <c r="BC27" i="20"/>
  <c r="BC27" i="22"/>
  <c r="O27" i="1"/>
  <c r="BC27" i="25"/>
  <c r="O27" i="23"/>
  <c r="O27" i="21"/>
  <c r="BC27" i="12"/>
  <c r="O27" i="6"/>
  <c r="BC27" i="7"/>
  <c r="O27" i="24"/>
  <c r="BC27" i="13"/>
  <c r="O27" i="18"/>
  <c r="BC27" i="53"/>
  <c r="O27" i="22"/>
  <c r="BC27" i="1"/>
  <c r="O27" i="2"/>
  <c r="O27" i="11"/>
  <c r="BC27" i="9"/>
  <c r="BC27" i="15"/>
  <c r="BC27" i="6"/>
  <c r="BC27" i="10"/>
  <c r="BC27" i="19"/>
  <c r="O27" i="13"/>
  <c r="BC27" i="14"/>
  <c r="BC27" i="16"/>
  <c r="O27" i="14"/>
  <c r="BC27" i="4"/>
  <c r="O27" i="25"/>
  <c r="BC27" i="2"/>
  <c r="BC27" i="11"/>
  <c r="O27" i="9"/>
  <c r="O27" i="15"/>
  <c r="O27" i="3"/>
  <c r="BC27" i="17"/>
  <c r="O27" i="10"/>
  <c r="O27" i="19"/>
  <c r="O27" i="53" l="1"/>
  <c r="AP34" i="50"/>
  <c r="AT34" i="50" s="1"/>
  <c r="D5" i="50" s="1"/>
  <c r="AP45" i="50"/>
  <c r="AT70" i="50"/>
  <c r="E12" i="50"/>
  <c r="AB10" i="50" s="1"/>
  <c r="AD10" i="50" s="1"/>
  <c r="AT69" i="50"/>
  <c r="D12" i="50" s="1"/>
  <c r="AB9" i="50" s="1"/>
  <c r="AD9" i="50" s="1"/>
  <c r="L6" i="50" s="1"/>
  <c r="AP74" i="50" s="1"/>
  <c r="AT74" i="50" s="1"/>
  <c r="D13" i="50" s="1"/>
  <c r="AB27" i="50" s="1"/>
  <c r="AD27" i="50" s="1"/>
  <c r="L8" i="50" s="1"/>
  <c r="AP79" i="50" s="1"/>
  <c r="AT79" i="50" s="1"/>
  <c r="D14" i="50" s="1"/>
  <c r="AP15" i="50" s="1"/>
  <c r="AR15" i="50" s="1"/>
  <c r="L10" i="50" s="1"/>
  <c r="AP84" i="50" s="1"/>
  <c r="AT84" i="50" s="1"/>
  <c r="D15" i="50" s="1"/>
  <c r="AK89" i="50" s="1"/>
  <c r="AM89" i="50" s="1"/>
  <c r="AS89" i="50" s="1"/>
  <c r="AT89" i="50" s="1"/>
  <c r="X7" i="50"/>
  <c r="O2" i="55" a="1"/>
  <c r="L7" i="50" l="1"/>
  <c r="AP75" i="50" s="1"/>
  <c r="AT75" i="50" s="1"/>
  <c r="E13" i="50" s="1"/>
  <c r="AB28" i="50" s="1"/>
  <c r="AD28" i="50" s="1"/>
  <c r="L9" i="50" s="1"/>
  <c r="AP80" i="50" s="1"/>
  <c r="AT80" i="50" s="1"/>
  <c r="E14" i="50" s="1"/>
  <c r="AK74" i="50"/>
  <c r="AM74" i="50" s="1"/>
  <c r="AS74" i="50" s="1"/>
  <c r="AK84" i="50"/>
  <c r="AM84" i="50" s="1"/>
  <c r="AS84" i="50" s="1"/>
  <c r="AK75" i="50"/>
  <c r="AM75" i="50" s="1"/>
  <c r="AS75" i="50" s="1"/>
  <c r="AK79" i="50"/>
  <c r="AM79" i="50" s="1"/>
  <c r="AS79" i="50" s="1"/>
  <c r="D19" i="50"/>
  <c r="D23" i="50"/>
  <c r="D27" i="50"/>
  <c r="D18" i="50"/>
  <c r="D22" i="50"/>
  <c r="D26" i="50"/>
  <c r="D17" i="50"/>
  <c r="D21" i="50"/>
  <c r="D25" i="50"/>
  <c r="D16" i="50"/>
  <c r="D20" i="50"/>
  <c r="D24" i="50"/>
  <c r="D28" i="50"/>
  <c r="Z39" i="50"/>
  <c r="AB39" i="50" s="1"/>
  <c r="AK39" i="50"/>
  <c r="AM39" i="50" s="1"/>
  <c r="AS39" i="50" s="1"/>
  <c r="L44" i="50"/>
  <c r="N44" i="50" s="1"/>
  <c r="AQ44" i="50" s="1"/>
  <c r="AK80" i="50" l="1"/>
  <c r="AM80" i="50" s="1"/>
  <c r="AS80" i="50" s="1"/>
  <c r="AP16" i="50"/>
  <c r="AR16" i="50" s="1"/>
  <c r="L11" i="50" s="1"/>
  <c r="AP85" i="50" s="1"/>
  <c r="AT85" i="50" s="1"/>
  <c r="E15" i="50" s="1"/>
  <c r="AK90" i="50" s="1"/>
  <c r="AM90" i="50" s="1"/>
  <c r="AS90" i="50" s="1"/>
  <c r="AT90" i="50" s="1"/>
  <c r="AK85" i="50"/>
  <c r="AM85" i="50" s="1"/>
  <c r="AS85" i="50" s="1"/>
  <c r="AK104" i="50"/>
  <c r="AM104" i="50" s="1"/>
  <c r="AS104" i="50" s="1"/>
  <c r="AT104" i="50" s="1"/>
  <c r="AK134" i="50"/>
  <c r="AM134" i="50" s="1"/>
  <c r="AS134" i="50" s="1"/>
  <c r="AT134" i="50" s="1"/>
  <c r="AK129" i="50"/>
  <c r="AM129" i="50" s="1"/>
  <c r="AS129" i="50" s="1"/>
  <c r="AT129" i="50" s="1"/>
  <c r="AK99" i="50"/>
  <c r="AM99" i="50" s="1"/>
  <c r="AS99" i="50" s="1"/>
  <c r="AT99" i="50" s="1"/>
  <c r="AK109" i="50"/>
  <c r="AM109" i="50" s="1"/>
  <c r="AS109" i="50" s="1"/>
  <c r="AT109" i="50" s="1"/>
  <c r="AK114" i="50"/>
  <c r="AM114" i="50" s="1"/>
  <c r="AS114" i="50" s="1"/>
  <c r="AT114" i="50" s="1"/>
  <c r="AK94" i="50"/>
  <c r="AM94" i="50" s="1"/>
  <c r="AS94" i="50" s="1"/>
  <c r="AT94" i="50" s="1"/>
  <c r="AK119" i="50"/>
  <c r="AM119" i="50" s="1"/>
  <c r="AS119" i="50" s="1"/>
  <c r="AT119" i="50" s="1"/>
  <c r="AK124" i="50"/>
  <c r="AM124" i="50" s="1"/>
  <c r="AS124" i="50" s="1"/>
  <c r="AT124" i="50" s="1"/>
  <c r="AK144" i="50"/>
  <c r="AM144" i="50" s="1"/>
  <c r="AS144" i="50" s="1"/>
  <c r="AT144" i="50" s="1"/>
  <c r="AK139" i="50"/>
  <c r="AM139" i="50" s="1"/>
  <c r="AS139" i="50" s="1"/>
  <c r="AT139" i="50" s="1"/>
  <c r="AK149" i="50"/>
  <c r="AM149" i="50" s="1"/>
  <c r="AS149" i="50" s="1"/>
  <c r="AT149" i="50" s="1"/>
  <c r="AR39" i="50"/>
  <c r="AT39" i="50" s="1"/>
  <c r="D6" i="50" s="1"/>
  <c r="AR40" i="50"/>
  <c r="AT40" i="50" s="1"/>
  <c r="E6" i="50" s="1"/>
  <c r="E27" i="50" l="1"/>
  <c r="E21" i="50"/>
  <c r="E25" i="50"/>
  <c r="E20" i="50"/>
  <c r="E23" i="50"/>
  <c r="E24" i="50"/>
  <c r="E22" i="50"/>
  <c r="E17" i="50"/>
  <c r="E28" i="50"/>
  <c r="E26" i="50"/>
  <c r="E16" i="50"/>
  <c r="E19" i="50"/>
  <c r="E18" i="50"/>
  <c r="Z45" i="50"/>
  <c r="AB45" i="50" s="1"/>
  <c r="Z50" i="50"/>
  <c r="AB50" i="50" s="1"/>
  <c r="AK45" i="50"/>
  <c r="AM45" i="50" s="1"/>
  <c r="AS45" i="50" s="1"/>
  <c r="L50" i="50"/>
  <c r="N50" i="50" s="1"/>
  <c r="AQ50" i="50" s="1"/>
  <c r="L55" i="50"/>
  <c r="N55" i="50" s="1"/>
  <c r="AQ55" i="50" s="1"/>
  <c r="Z44" i="50"/>
  <c r="AB44" i="50" s="1"/>
  <c r="Z49" i="50"/>
  <c r="AB49" i="50" s="1"/>
  <c r="AK44" i="50"/>
  <c r="AM44" i="50" s="1"/>
  <c r="AS44" i="50" s="1"/>
  <c r="L49" i="50"/>
  <c r="N49" i="50" s="1"/>
  <c r="AQ49" i="50" s="1"/>
  <c r="L54" i="50"/>
  <c r="N54" i="50" s="1"/>
  <c r="AQ54" i="50" s="1"/>
  <c r="AK130" i="50" l="1"/>
  <c r="AM130" i="50" s="1"/>
  <c r="AS130" i="50" s="1"/>
  <c r="AT130" i="50" s="1"/>
  <c r="AK140" i="50"/>
  <c r="AM140" i="50" s="1"/>
  <c r="AS140" i="50" s="1"/>
  <c r="AT140" i="50" s="1"/>
  <c r="AK145" i="50"/>
  <c r="AM145" i="50" s="1"/>
  <c r="AS145" i="50" s="1"/>
  <c r="AT145" i="50" s="1"/>
  <c r="AK150" i="50"/>
  <c r="AM150" i="50" s="1"/>
  <c r="AS150" i="50" s="1"/>
  <c r="AT150" i="50" s="1"/>
  <c r="AK105" i="50"/>
  <c r="AM105" i="50" s="1"/>
  <c r="AS105" i="50" s="1"/>
  <c r="AT105" i="50" s="1"/>
  <c r="AK115" i="50"/>
  <c r="AM115" i="50" s="1"/>
  <c r="AS115" i="50" s="1"/>
  <c r="AT115" i="50" s="1"/>
  <c r="AK110" i="50"/>
  <c r="AM110" i="50" s="1"/>
  <c r="AS110" i="50" s="1"/>
  <c r="AT110" i="50" s="1"/>
  <c r="AK135" i="50"/>
  <c r="AM135" i="50" s="1"/>
  <c r="AS135" i="50" s="1"/>
  <c r="AT135" i="50" s="1"/>
  <c r="AK95" i="50"/>
  <c r="AM95" i="50" s="1"/>
  <c r="AS95" i="50" s="1"/>
  <c r="AT95" i="50" s="1"/>
  <c r="AK125" i="50"/>
  <c r="AM125" i="50" s="1"/>
  <c r="AS125" i="50" s="1"/>
  <c r="AT125" i="50" s="1"/>
  <c r="AK100" i="50"/>
  <c r="AM100" i="50" s="1"/>
  <c r="AS100" i="50" s="1"/>
  <c r="AT100" i="50" s="1"/>
  <c r="AK120" i="50"/>
  <c r="AM120" i="50" s="1"/>
  <c r="AS120" i="50" s="1"/>
  <c r="AT120" i="50" s="1"/>
  <c r="AR50" i="50"/>
  <c r="AR49" i="50"/>
  <c r="AR45" i="50"/>
  <c r="AT45" i="50" s="1"/>
  <c r="E7" i="50" s="1"/>
  <c r="AR44" i="50"/>
  <c r="AT44" i="50" s="1"/>
  <c r="D7" i="50" s="1"/>
  <c r="AK50" i="50" l="1"/>
  <c r="AM50" i="50" s="1"/>
  <c r="AS50" i="50" s="1"/>
  <c r="AT50" i="50" s="1"/>
  <c r="E8" i="50" s="1"/>
  <c r="AK49" i="50"/>
  <c r="AM49" i="50" s="1"/>
  <c r="AS49" i="50" s="1"/>
  <c r="AT49" i="50" s="1"/>
  <c r="D8" i="50" s="1"/>
  <c r="L59" i="50" l="1"/>
  <c r="N59" i="50" s="1"/>
  <c r="AQ59" i="50" s="1"/>
  <c r="Z54" i="50"/>
  <c r="AB54" i="50" s="1"/>
  <c r="AK54" i="50"/>
  <c r="AM54" i="50" s="1"/>
  <c r="AS54" i="50" s="1"/>
  <c r="Z55" i="50"/>
  <c r="AB55" i="50" s="1"/>
  <c r="AK55" i="50"/>
  <c r="AM55" i="50" s="1"/>
  <c r="AS55" i="50" s="1"/>
  <c r="L60" i="50"/>
  <c r="N60" i="50" s="1"/>
  <c r="AQ60" i="50" s="1"/>
  <c r="AR55" i="50" l="1"/>
  <c r="AT55" i="50" s="1"/>
  <c r="E9" i="50" s="1"/>
  <c r="AR54" i="50"/>
  <c r="AT54" i="50" s="1"/>
  <c r="D9" i="50" s="1"/>
  <c r="AK59" i="50" l="1"/>
  <c r="AM59" i="50" s="1"/>
  <c r="AS59" i="50" s="1"/>
  <c r="L64" i="50"/>
  <c r="N64" i="50" s="1"/>
  <c r="AQ64" i="50" s="1"/>
  <c r="Z59" i="50"/>
  <c r="AB59" i="50" s="1"/>
  <c r="Z60" i="50"/>
  <c r="AB60" i="50" s="1"/>
  <c r="L65" i="50"/>
  <c r="N65" i="50" s="1"/>
  <c r="AQ65" i="50" s="1"/>
  <c r="AR60" i="50" l="1"/>
  <c r="AT60" i="50" s="1"/>
  <c r="E10" i="50" s="1"/>
  <c r="AR59" i="50"/>
  <c r="AT59" i="50" s="1"/>
  <c r="D10" i="50" s="1"/>
  <c r="AK65" i="50" l="1"/>
  <c r="AM65" i="50" s="1"/>
  <c r="AS65" i="50" s="1"/>
  <c r="Z65" i="50"/>
  <c r="AB65" i="50" s="1"/>
  <c r="L75" i="50"/>
  <c r="N75" i="50" s="1"/>
  <c r="AQ75" i="50" s="1"/>
  <c r="AK64" i="50"/>
  <c r="AM64" i="50" s="1"/>
  <c r="AS64" i="50" s="1"/>
  <c r="Z64" i="50"/>
  <c r="AB64" i="50" s="1"/>
  <c r="L74" i="50"/>
  <c r="N74" i="50" s="1"/>
  <c r="AQ74" i="50" s="1"/>
  <c r="AR65" i="50" l="1"/>
  <c r="AT65" i="50" s="1"/>
  <c r="E11" i="50" s="1"/>
  <c r="AR64" i="50"/>
  <c r="AT64" i="50" s="1"/>
  <c r="D11" i="50" s="1"/>
  <c r="Z75" i="50" l="1"/>
  <c r="AB75" i="50" s="1"/>
  <c r="L80" i="50"/>
  <c r="N80" i="50" s="1"/>
  <c r="AQ80" i="50" s="1"/>
  <c r="AK70" i="50"/>
  <c r="AM70" i="50" s="1"/>
  <c r="AS70" i="50" s="1"/>
  <c r="AC70" i="61" a="1"/>
  <c r="AK69" i="50"/>
  <c r="AM69" i="50" s="1"/>
  <c r="AS69" i="50" s="1"/>
  <c r="Z74" i="50"/>
  <c r="AB74" i="50" s="1"/>
  <c r="L79" i="50"/>
  <c r="N79" i="50" s="1"/>
  <c r="AQ79" i="50" s="1"/>
  <c r="B70" i="61" a="1"/>
  <c r="AF70" i="61" l="1"/>
  <c r="AG70" i="61"/>
  <c r="AH70" i="61"/>
  <c r="AE70" i="61"/>
  <c r="AI70" i="61"/>
  <c r="AJ70" i="61"/>
  <c r="AL70" i="61"/>
  <c r="AD70" i="61"/>
  <c r="AK70" i="61"/>
  <c r="AC70" i="61"/>
  <c r="AM70" i="61"/>
  <c r="AN70" i="61"/>
  <c r="AP70" i="61"/>
  <c r="AT70" i="61"/>
  <c r="AX70" i="61"/>
  <c r="AO70" i="61"/>
  <c r="AR70" i="61"/>
  <c r="AV70" i="61"/>
  <c r="AZ70" i="61"/>
  <c r="AY70" i="61"/>
  <c r="AQ70" i="61"/>
  <c r="AW70" i="61"/>
  <c r="AU70" i="61"/>
  <c r="AS70" i="61"/>
  <c r="BA70" i="61"/>
  <c r="E70" i="61"/>
  <c r="F70" i="61"/>
  <c r="G70" i="61"/>
  <c r="C70" i="61"/>
  <c r="H70" i="61"/>
  <c r="I70" i="61"/>
  <c r="D70" i="61"/>
  <c r="K70" i="61"/>
  <c r="J70" i="61"/>
  <c r="M70" i="61"/>
  <c r="L70" i="61"/>
  <c r="B70" i="61"/>
  <c r="N70" i="61"/>
  <c r="R70" i="61"/>
  <c r="V70" i="61"/>
  <c r="Z70" i="61"/>
  <c r="Q70" i="61"/>
  <c r="U70" i="61"/>
  <c r="Y70" i="61"/>
  <c r="P70" i="61"/>
  <c r="T70" i="61"/>
  <c r="X70" i="61"/>
  <c r="O70" i="61"/>
  <c r="S70" i="61"/>
  <c r="W70" i="61"/>
  <c r="AR75" i="50"/>
  <c r="AR74" i="50"/>
  <c r="AG3" i="54" l="1"/>
  <c r="P3" i="54"/>
  <c r="AN3" i="55"/>
  <c r="AC3" i="55"/>
  <c r="S3" i="55"/>
  <c r="AC3" i="54"/>
  <c r="AM3" i="54"/>
  <c r="AJ3" i="54"/>
  <c r="Z3" i="54"/>
  <c r="R3" i="54"/>
  <c r="U3" i="54"/>
  <c r="AF3" i="55"/>
  <c r="AL3" i="55"/>
  <c r="AB3" i="55"/>
  <c r="AA3" i="55"/>
  <c r="Q3" i="55"/>
  <c r="R3" i="55"/>
  <c r="AD3" i="54"/>
  <c r="AN3" i="54"/>
  <c r="Y3" i="54"/>
  <c r="Q3" i="54"/>
  <c r="AD3" i="55"/>
  <c r="AE3" i="55"/>
  <c r="X3" i="55"/>
  <c r="V3" i="55"/>
  <c r="AL3" i="54"/>
  <c r="AI3" i="54"/>
  <c r="AF3" i="54"/>
  <c r="AA3" i="54"/>
  <c r="W3" i="54"/>
  <c r="T3" i="54"/>
  <c r="AH3" i="55"/>
  <c r="AM3" i="55"/>
  <c r="AK3" i="55"/>
  <c r="Z3" i="55"/>
  <c r="Y3" i="55"/>
  <c r="U3" i="55"/>
  <c r="AK3" i="54"/>
  <c r="AH3" i="54"/>
  <c r="AE3" i="54"/>
  <c r="AB3" i="54"/>
  <c r="X3" i="54"/>
  <c r="V3" i="54"/>
  <c r="S3" i="54"/>
  <c r="AJ3" i="55"/>
  <c r="AI3" i="55"/>
  <c r="AG3" i="55"/>
  <c r="P3" i="55"/>
  <c r="W3" i="55"/>
  <c r="T3" i="55"/>
  <c r="K4" i="13" l="1"/>
  <c r="L4" i="13" s="1"/>
  <c r="AY4" i="13"/>
  <c r="AZ4" i="13" s="1"/>
  <c r="K4" i="14"/>
  <c r="L4" i="14" s="1"/>
  <c r="AY4" i="14"/>
  <c r="AZ4" i="14" s="1"/>
  <c r="M4" i="19"/>
  <c r="N4" i="19" s="1"/>
  <c r="BA4" i="19"/>
  <c r="BB4" i="19" s="1"/>
  <c r="M4" i="23"/>
  <c r="N4" i="23" s="1"/>
  <c r="BA4" i="23"/>
  <c r="BB4" i="23" s="1"/>
  <c r="BA4" i="3"/>
  <c r="BB4" i="3" s="1"/>
  <c r="M4" i="3"/>
  <c r="N4" i="3" s="1"/>
  <c r="K4" i="15"/>
  <c r="L4" i="15" s="1"/>
  <c r="AY4" i="15"/>
  <c r="AZ4" i="15" s="1"/>
  <c r="M4" i="22"/>
  <c r="N4" i="22" s="1"/>
  <c r="BA4" i="22"/>
  <c r="BB4" i="22" s="1"/>
  <c r="M4" i="21"/>
  <c r="N4" i="21" s="1"/>
  <c r="BA4" i="21"/>
  <c r="BB4" i="21" s="1"/>
  <c r="BA4" i="6"/>
  <c r="BB4" i="6" s="1"/>
  <c r="M4" i="6"/>
  <c r="N4" i="6" s="1"/>
  <c r="K4" i="17"/>
  <c r="L4" i="17" s="1"/>
  <c r="AY4" i="17"/>
  <c r="AZ4" i="17" s="1"/>
  <c r="K4" i="4"/>
  <c r="L4" i="4" s="1"/>
  <c r="AY4" i="4"/>
  <c r="AZ4" i="4" s="1"/>
  <c r="M4" i="4"/>
  <c r="N4" i="4" s="1"/>
  <c r="BA4" i="4"/>
  <c r="BB4" i="4" s="1"/>
  <c r="K4" i="18"/>
  <c r="L4" i="18" s="1"/>
  <c r="AY4" i="18"/>
  <c r="AZ4" i="18" s="1"/>
  <c r="K4" i="3"/>
  <c r="L4" i="3" s="1"/>
  <c r="AY4" i="3"/>
  <c r="AZ4" i="3" s="1"/>
  <c r="M4" i="10"/>
  <c r="N4" i="10" s="1"/>
  <c r="BA4" i="10"/>
  <c r="BB4" i="10" s="1"/>
  <c r="M4" i="11"/>
  <c r="N4" i="11" s="1"/>
  <c r="BA4" i="11"/>
  <c r="BB4" i="11" s="1"/>
  <c r="AY4" i="11"/>
  <c r="AZ4" i="11" s="1"/>
  <c r="K4" i="11"/>
  <c r="L4" i="11" s="1"/>
  <c r="BA4" i="13"/>
  <c r="BB4" i="13" s="1"/>
  <c r="M4" i="13"/>
  <c r="N4" i="13" s="1"/>
  <c r="K4" i="23"/>
  <c r="L4" i="23" s="1"/>
  <c r="AY4" i="23"/>
  <c r="AZ4" i="23" s="1"/>
  <c r="AY4" i="12"/>
  <c r="AZ4" i="12" s="1"/>
  <c r="K4" i="12"/>
  <c r="L4" i="12" s="1"/>
  <c r="K4" i="25"/>
  <c r="L4" i="25" s="1"/>
  <c r="AY4" i="25"/>
  <c r="AZ4" i="25" s="1"/>
  <c r="AY4" i="7"/>
  <c r="AZ4" i="7" s="1"/>
  <c r="K4" i="7"/>
  <c r="L4" i="7" s="1"/>
  <c r="M4" i="15"/>
  <c r="N4" i="15" s="1"/>
  <c r="BA4" i="15"/>
  <c r="BB4" i="15" s="1"/>
  <c r="K4" i="21"/>
  <c r="L4" i="21" s="1"/>
  <c r="AY4" i="21"/>
  <c r="AZ4" i="21" s="1"/>
  <c r="K4" i="6"/>
  <c r="L4" i="6" s="1"/>
  <c r="AY4" i="6"/>
  <c r="AZ4" i="6" s="1"/>
  <c r="AY4" i="2"/>
  <c r="AZ4" i="2" s="1"/>
  <c r="K4" i="2"/>
  <c r="L4" i="2" s="1"/>
  <c r="BA4" i="1"/>
  <c r="BB4" i="1" s="1"/>
  <c r="M4" i="1"/>
  <c r="N4" i="1" s="1"/>
  <c r="M4" i="8"/>
  <c r="N4" i="8" s="1"/>
  <c r="BA4" i="8"/>
  <c r="BB4" i="8" s="1"/>
  <c r="K4" i="19"/>
  <c r="L4" i="19" s="1"/>
  <c r="AY4" i="19"/>
  <c r="AZ4" i="19" s="1"/>
  <c r="K4" i="1"/>
  <c r="L4" i="1" s="1"/>
  <c r="AY4" i="1"/>
  <c r="AZ4" i="1" s="1"/>
  <c r="M4" i="14"/>
  <c r="N4" i="14" s="1"/>
  <c r="BA4" i="14"/>
  <c r="BB4" i="14" s="1"/>
  <c r="K4" i="20"/>
  <c r="L4" i="20" s="1"/>
  <c r="K4" i="53"/>
  <c r="AY4" i="20"/>
  <c r="AZ4" i="20" s="1"/>
  <c r="AY4" i="53"/>
  <c r="AZ4" i="53" s="1"/>
  <c r="M4" i="25"/>
  <c r="N4" i="25" s="1"/>
  <c r="BA4" i="25"/>
  <c r="BB4" i="25" s="1"/>
  <c r="K4" i="22"/>
  <c r="L4" i="22" s="1"/>
  <c r="AY4" i="22"/>
  <c r="AZ4" i="22" s="1"/>
  <c r="K4" i="10"/>
  <c r="L4" i="10" s="1"/>
  <c r="AY4" i="10"/>
  <c r="AZ4" i="10" s="1"/>
  <c r="M4" i="16"/>
  <c r="N4" i="16" s="1"/>
  <c r="BA4" i="16"/>
  <c r="BB4" i="16" s="1"/>
  <c r="BA4" i="2"/>
  <c r="BB4" i="2" s="1"/>
  <c r="M4" i="2"/>
  <c r="N4" i="2" s="1"/>
  <c r="BA4" i="7"/>
  <c r="BB4" i="7" s="1"/>
  <c r="M4" i="7"/>
  <c r="N4" i="7" s="1"/>
  <c r="AY4" i="9"/>
  <c r="AZ4" i="9" s="1"/>
  <c r="K4" i="9"/>
  <c r="L4" i="9" s="1"/>
  <c r="M4" i="17"/>
  <c r="N4" i="17" s="1"/>
  <c r="BA4" i="17"/>
  <c r="BB4" i="17" s="1"/>
  <c r="K4" i="16"/>
  <c r="L4" i="16" s="1"/>
  <c r="AY4" i="16"/>
  <c r="AZ4" i="16" s="1"/>
  <c r="M4" i="24"/>
  <c r="N4" i="24" s="1"/>
  <c r="BA4" i="24"/>
  <c r="BB4" i="24" s="1"/>
  <c r="M4" i="9"/>
  <c r="N4" i="9" s="1"/>
  <c r="BA4" i="9"/>
  <c r="BB4" i="9" s="1"/>
  <c r="AY4" i="5"/>
  <c r="AZ4" i="5" s="1"/>
  <c r="K4" i="5"/>
  <c r="L4" i="5" s="1"/>
  <c r="M4" i="12"/>
  <c r="N4" i="12" s="1"/>
  <c r="BA4" i="12"/>
  <c r="BB4" i="12" s="1"/>
  <c r="M4" i="18"/>
  <c r="N4" i="18" s="1"/>
  <c r="BA4" i="18"/>
  <c r="BB4" i="18" s="1"/>
  <c r="M4" i="5"/>
  <c r="N4" i="5" s="1"/>
  <c r="BA4" i="5"/>
  <c r="BB4" i="5" s="1"/>
  <c r="M4" i="20"/>
  <c r="N4" i="20" s="1"/>
  <c r="M4" i="53"/>
  <c r="N4" i="53" s="1"/>
  <c r="BA4" i="53"/>
  <c r="BB4" i="53" s="1"/>
  <c r="BA4" i="20"/>
  <c r="BB4" i="20" s="1"/>
  <c r="K4" i="24"/>
  <c r="L4" i="24" s="1"/>
  <c r="AY4" i="24"/>
  <c r="AZ4" i="24" s="1"/>
  <c r="D49" i="61"/>
  <c r="M4" i="51" s="1"/>
  <c r="AY4" i="8"/>
  <c r="AZ4" i="8" s="1"/>
  <c r="K4" i="8"/>
  <c r="L4" i="8" s="1"/>
  <c r="H34" i="61" l="1"/>
  <c r="BC4" i="9"/>
  <c r="BC4" i="24"/>
  <c r="O4" i="5"/>
  <c r="BC4" i="22"/>
  <c r="O4" i="20"/>
  <c r="O4" i="1"/>
  <c r="BC4" i="2"/>
  <c r="O4" i="21"/>
  <c r="BC4" i="7"/>
  <c r="O4" i="12"/>
  <c r="BC4" i="3"/>
  <c r="BC4" i="17"/>
  <c r="BC4" i="15"/>
  <c r="BC4" i="14"/>
  <c r="O4" i="8"/>
  <c r="O4" i="24"/>
  <c r="BC4" i="5"/>
  <c r="O4" i="22"/>
  <c r="BC4" i="53"/>
  <c r="BC4" i="19"/>
  <c r="BC4" i="6"/>
  <c r="BC4" i="25"/>
  <c r="BC4" i="12"/>
  <c r="O4" i="3"/>
  <c r="O4" i="17"/>
  <c r="O4" i="15"/>
  <c r="O4" i="14"/>
  <c r="BC4" i="8"/>
  <c r="BC4" i="16"/>
  <c r="O4" i="9"/>
  <c r="BC4" i="10"/>
  <c r="BC4" i="20"/>
  <c r="O4" i="19"/>
  <c r="O4" i="6"/>
  <c r="BC4" i="23"/>
  <c r="O4" i="11"/>
  <c r="BC4" i="18"/>
  <c r="BC4" i="4"/>
  <c r="BC4" i="13"/>
  <c r="O4" i="16"/>
  <c r="O4" i="10"/>
  <c r="L4" i="53"/>
  <c r="BC4" i="1"/>
  <c r="O4" i="2"/>
  <c r="BC4" i="21"/>
  <c r="O4" i="7"/>
  <c r="O4" i="25"/>
  <c r="O4" i="23"/>
  <c r="BC4" i="11"/>
  <c r="O4" i="18"/>
  <c r="O4" i="4"/>
  <c r="O4" i="13"/>
  <c r="O4" i="53" l="1"/>
  <c r="AP45" i="26" l="1"/>
  <c r="AT45" i="26" s="1"/>
  <c r="E7" i="26" s="1"/>
  <c r="AK50" i="26" s="1"/>
  <c r="AM50" i="26" s="1"/>
  <c r="AS50" i="26" s="1"/>
  <c r="AP44" i="26"/>
  <c r="AT44" i="26" s="1"/>
  <c r="D7" i="26" s="1"/>
  <c r="AK49" i="26" s="1"/>
  <c r="AM49" i="26" s="1"/>
  <c r="AS49" i="26" s="1"/>
  <c r="L70" i="26"/>
  <c r="N70" i="26" s="1"/>
  <c r="AQ70" i="26" s="1"/>
  <c r="L69" i="26"/>
  <c r="N69" i="26" s="1"/>
  <c r="AQ69" i="26" s="1"/>
  <c r="Z79" i="26"/>
  <c r="AB79" i="26" s="1"/>
  <c r="L115" i="26"/>
  <c r="N115" i="26" s="1"/>
  <c r="AQ115" i="26" s="1"/>
  <c r="Z104" i="26"/>
  <c r="AB104" i="26" s="1"/>
  <c r="AR105" i="26" l="1"/>
  <c r="AR104" i="26"/>
  <c r="AB9" i="26"/>
  <c r="AD9" i="26" s="1"/>
  <c r="L6" i="26" s="1"/>
  <c r="AP49" i="26" s="1"/>
  <c r="AT49" i="26" s="1"/>
  <c r="D8" i="26" s="1"/>
  <c r="AR80" i="26"/>
  <c r="AR79" i="26"/>
  <c r="AB10" i="26"/>
  <c r="AD10" i="26" s="1"/>
  <c r="L7" i="26" s="1"/>
  <c r="AP50" i="26" s="1"/>
  <c r="AT50" i="26" s="1"/>
  <c r="E8" i="26" s="1"/>
  <c r="AB22" i="26" l="1"/>
  <c r="AD22" i="26" s="1"/>
  <c r="AP5" i="26"/>
  <c r="AR5" i="26" s="1"/>
  <c r="L10" i="26" s="1"/>
  <c r="AP59" i="26" s="1"/>
  <c r="AT59" i="26" s="1"/>
  <c r="D10" i="26" s="1"/>
  <c r="AB27" i="26"/>
  <c r="AD27" i="26" s="1"/>
  <c r="L59" i="26"/>
  <c r="N59" i="26" s="1"/>
  <c r="AQ59" i="26" s="1"/>
  <c r="AK54" i="26"/>
  <c r="AM54" i="26" s="1"/>
  <c r="AS54" i="26" s="1"/>
  <c r="Z54" i="26"/>
  <c r="AB54" i="26" s="1"/>
  <c r="AP6" i="26"/>
  <c r="AR6" i="26" s="1"/>
  <c r="L11" i="26" s="1"/>
  <c r="AP60" i="26" s="1"/>
  <c r="AT60" i="26" s="1"/>
  <c r="E10" i="26" s="1"/>
  <c r="AB23" i="26"/>
  <c r="AD23" i="26" s="1"/>
  <c r="Z55" i="26"/>
  <c r="AB55" i="26" s="1"/>
  <c r="AK55" i="26"/>
  <c r="AM55" i="26" s="1"/>
  <c r="AS55" i="26" s="1"/>
  <c r="AB28" i="26"/>
  <c r="AD28" i="26" s="1"/>
  <c r="L60" i="26"/>
  <c r="N60" i="26" s="1"/>
  <c r="AQ60" i="26" s="1"/>
  <c r="Z65" i="26" l="1"/>
  <c r="AB65" i="26" s="1"/>
  <c r="L75" i="26"/>
  <c r="N75" i="26" s="1"/>
  <c r="AQ75" i="26" s="1"/>
  <c r="AK65" i="26"/>
  <c r="AM65" i="26" s="1"/>
  <c r="AS65" i="26" s="1"/>
  <c r="L74" i="26"/>
  <c r="N74" i="26" s="1"/>
  <c r="AQ74" i="26" s="1"/>
  <c r="Z64" i="26"/>
  <c r="AB64" i="26" s="1"/>
  <c r="AK64" i="26"/>
  <c r="AM64" i="26" s="1"/>
  <c r="AS64" i="26" s="1"/>
  <c r="AR54" i="26"/>
  <c r="AR55" i="26"/>
  <c r="X25" i="26"/>
  <c r="L9" i="26" s="1"/>
  <c r="AP55" i="26" s="1"/>
  <c r="AT55" i="26" s="1"/>
  <c r="E9" i="26" s="1"/>
  <c r="X24" i="26"/>
  <c r="L8" i="26" s="1"/>
  <c r="AP54" i="26" s="1"/>
  <c r="AT54" i="26" s="1"/>
  <c r="D9" i="26" s="1"/>
  <c r="L65" i="26" l="1"/>
  <c r="N65" i="26" s="1"/>
  <c r="AQ65" i="26" s="1"/>
  <c r="AP11" i="26"/>
  <c r="AR11" i="26" s="1"/>
  <c r="AP16" i="26"/>
  <c r="AR16" i="26" s="1"/>
  <c r="Z60" i="26"/>
  <c r="AB60" i="26" s="1"/>
  <c r="AR65" i="26"/>
  <c r="AR64" i="26"/>
  <c r="L64" i="26"/>
  <c r="N64" i="26" s="1"/>
  <c r="AQ64" i="26" s="1"/>
  <c r="AP15" i="26"/>
  <c r="AR15" i="26" s="1"/>
  <c r="AP10" i="26"/>
  <c r="AR10" i="26" s="1"/>
  <c r="AK59" i="26"/>
  <c r="AM59" i="26" s="1"/>
  <c r="AS59" i="26" s="1"/>
  <c r="Z59" i="26"/>
  <c r="AB59" i="26" s="1"/>
  <c r="AT64" i="26" l="1"/>
  <c r="D11" i="26" s="1"/>
  <c r="L79" i="26" s="1"/>
  <c r="N79" i="26" s="1"/>
  <c r="AQ79" i="26" s="1"/>
  <c r="AT65" i="26"/>
  <c r="E11" i="26" s="1"/>
  <c r="Z75" i="26" s="1"/>
  <c r="AB75" i="26" s="1"/>
  <c r="AR59" i="26"/>
  <c r="AR60" i="26"/>
  <c r="AL13" i="26"/>
  <c r="AL12" i="26"/>
  <c r="AK69" i="26" l="1"/>
  <c r="AM69" i="26" s="1"/>
  <c r="AS69" i="26" s="1"/>
  <c r="AT69" i="26" s="1"/>
  <c r="D12" i="26" s="1"/>
  <c r="AK74" i="26" s="1"/>
  <c r="AM74" i="26" s="1"/>
  <c r="AS74" i="26" s="1"/>
  <c r="Z74" i="26"/>
  <c r="AB74" i="26" s="1"/>
  <c r="AR75" i="26" s="1"/>
  <c r="AT75" i="26" s="1"/>
  <c r="E13" i="26" s="1"/>
  <c r="AK80" i="26" s="1"/>
  <c r="AM80" i="26" s="1"/>
  <c r="AS80" i="26" s="1"/>
  <c r="AT80" i="26" s="1"/>
  <c r="E14" i="26" s="1"/>
  <c r="AK85" i="26" s="1"/>
  <c r="AM85" i="26" s="1"/>
  <c r="AS85" i="26" s="1"/>
  <c r="AT85" i="26" s="1"/>
  <c r="E15" i="26" s="1"/>
  <c r="AK90" i="26" s="1"/>
  <c r="AM90" i="26" s="1"/>
  <c r="AS90" i="26" s="1"/>
  <c r="AT90" i="26" s="1"/>
  <c r="AK70" i="26"/>
  <c r="AM70" i="26" s="1"/>
  <c r="AS70" i="26" s="1"/>
  <c r="AT70" i="26" s="1"/>
  <c r="E12" i="26" s="1"/>
  <c r="AK75" i="26" s="1"/>
  <c r="AM75" i="26" s="1"/>
  <c r="AS75" i="26" s="1"/>
  <c r="L80" i="26"/>
  <c r="N80" i="26" s="1"/>
  <c r="AQ80" i="26" s="1"/>
  <c r="AR74" i="26"/>
  <c r="AT74" i="26" s="1"/>
  <c r="D13" i="26" s="1"/>
  <c r="AK79" i="26" s="1"/>
  <c r="AM79" i="26" s="1"/>
  <c r="AS79" i="26" s="1"/>
  <c r="AT79" i="26" s="1"/>
  <c r="D14" i="26" s="1"/>
  <c r="AK84" i="26" s="1"/>
  <c r="AM84" i="26" s="1"/>
  <c r="AS84" i="26" s="1"/>
  <c r="AT84" i="26" s="1"/>
  <c r="D15" i="26" s="1"/>
  <c r="AK89" i="26" s="1"/>
  <c r="AM89" i="26" s="1"/>
  <c r="AS89" i="26" s="1"/>
  <c r="AT89" i="26" s="1"/>
  <c r="E16" i="26" l="1"/>
  <c r="E20" i="26"/>
  <c r="E24" i="26"/>
  <c r="E28" i="26"/>
  <c r="E19" i="26"/>
  <c r="E23" i="26"/>
  <c r="E27" i="26"/>
  <c r="E18" i="26"/>
  <c r="E22" i="26"/>
  <c r="E26" i="26"/>
  <c r="E17" i="26"/>
  <c r="E21" i="26"/>
  <c r="E25" i="26"/>
  <c r="D16" i="26"/>
  <c r="D20" i="26"/>
  <c r="D24" i="26"/>
  <c r="D28" i="26"/>
  <c r="D19" i="26"/>
  <c r="D23" i="26"/>
  <c r="D27" i="26"/>
  <c r="D18" i="26"/>
  <c r="D22" i="26"/>
  <c r="D26" i="26"/>
  <c r="D17" i="26"/>
  <c r="D21" i="26"/>
  <c r="D25" i="26"/>
  <c r="B94" i="61" l="1" a="1"/>
  <c r="D94" i="61" s="1"/>
  <c r="AC94" i="61" a="1"/>
  <c r="AK109" i="26"/>
  <c r="AM109" i="26" s="1"/>
  <c r="AS109" i="26" s="1"/>
  <c r="AT109" i="26" s="1"/>
  <c r="AK99" i="26"/>
  <c r="AM99" i="26" s="1"/>
  <c r="AS99" i="26" s="1"/>
  <c r="AT99" i="26" s="1"/>
  <c r="AK134" i="26"/>
  <c r="AM134" i="26" s="1"/>
  <c r="AS134" i="26" s="1"/>
  <c r="AT134" i="26" s="1"/>
  <c r="AK139" i="26"/>
  <c r="AM139" i="26" s="1"/>
  <c r="AS139" i="26" s="1"/>
  <c r="AT139" i="26" s="1"/>
  <c r="AK144" i="26"/>
  <c r="AM144" i="26" s="1"/>
  <c r="AS144" i="26" s="1"/>
  <c r="AT144" i="26" s="1"/>
  <c r="AK104" i="26"/>
  <c r="AM104" i="26" s="1"/>
  <c r="AS104" i="26" s="1"/>
  <c r="AT104" i="26" s="1"/>
  <c r="AK149" i="26"/>
  <c r="AM149" i="26" s="1"/>
  <c r="AS149" i="26" s="1"/>
  <c r="AT149" i="26" s="1"/>
  <c r="AK94" i="26"/>
  <c r="AM94" i="26" s="1"/>
  <c r="AS94" i="26" s="1"/>
  <c r="AT94" i="26" s="1"/>
  <c r="AK114" i="26"/>
  <c r="AM114" i="26" s="1"/>
  <c r="AS114" i="26" s="1"/>
  <c r="AT114" i="26" s="1"/>
  <c r="AK119" i="26"/>
  <c r="AM119" i="26" s="1"/>
  <c r="AS119" i="26" s="1"/>
  <c r="AT119" i="26" s="1"/>
  <c r="AK124" i="26"/>
  <c r="AM124" i="26" s="1"/>
  <c r="AS124" i="26" s="1"/>
  <c r="AT124" i="26" s="1"/>
  <c r="AK129" i="26"/>
  <c r="AM129" i="26" s="1"/>
  <c r="AS129" i="26" s="1"/>
  <c r="AT129" i="26" s="1"/>
  <c r="AK150" i="26"/>
  <c r="AM150" i="26" s="1"/>
  <c r="AS150" i="26" s="1"/>
  <c r="AT150" i="26" s="1"/>
  <c r="AK125" i="26"/>
  <c r="AM125" i="26" s="1"/>
  <c r="AS125" i="26" s="1"/>
  <c r="AT125" i="26" s="1"/>
  <c r="AK105" i="26"/>
  <c r="AM105" i="26" s="1"/>
  <c r="AS105" i="26" s="1"/>
  <c r="AT105" i="26" s="1"/>
  <c r="AK145" i="26"/>
  <c r="AM145" i="26" s="1"/>
  <c r="AS145" i="26" s="1"/>
  <c r="AT145" i="26" s="1"/>
  <c r="AK95" i="26"/>
  <c r="AM95" i="26" s="1"/>
  <c r="AS95" i="26" s="1"/>
  <c r="AT95" i="26" s="1"/>
  <c r="AK115" i="26"/>
  <c r="AM115" i="26" s="1"/>
  <c r="AS115" i="26" s="1"/>
  <c r="AT115" i="26" s="1"/>
  <c r="AK110" i="26"/>
  <c r="AM110" i="26" s="1"/>
  <c r="AS110" i="26" s="1"/>
  <c r="AT110" i="26" s="1"/>
  <c r="AK100" i="26"/>
  <c r="AM100" i="26" s="1"/>
  <c r="AS100" i="26" s="1"/>
  <c r="AT100" i="26" s="1"/>
  <c r="AK120" i="26"/>
  <c r="AM120" i="26" s="1"/>
  <c r="AS120" i="26" s="1"/>
  <c r="AT120" i="26" s="1"/>
  <c r="AK140" i="26"/>
  <c r="AM140" i="26" s="1"/>
  <c r="AS140" i="26" s="1"/>
  <c r="AT140" i="26" s="1"/>
  <c r="AK135" i="26"/>
  <c r="AM135" i="26" s="1"/>
  <c r="AS135" i="26" s="1"/>
  <c r="AT135" i="26" s="1"/>
  <c r="AK130" i="26"/>
  <c r="AM130" i="26" s="1"/>
  <c r="AS130" i="26" s="1"/>
  <c r="AT130" i="26" s="1"/>
  <c r="N94" i="61" l="1"/>
  <c r="L94" i="61"/>
  <c r="T94" i="61"/>
  <c r="AH27" i="54" s="1"/>
  <c r="I94" i="61"/>
  <c r="W27" i="54" s="1"/>
  <c r="Q94" i="61"/>
  <c r="AE27" i="54" s="1"/>
  <c r="J94" i="61"/>
  <c r="X27" i="54" s="1"/>
  <c r="P94" i="61"/>
  <c r="AD27" i="54" s="1"/>
  <c r="Z94" i="61"/>
  <c r="AN27" i="54" s="1"/>
  <c r="W94" i="61"/>
  <c r="AK27" i="54" s="1"/>
  <c r="B94" i="61"/>
  <c r="P27" i="54" s="1"/>
  <c r="G94" i="61"/>
  <c r="U27" i="54" s="1"/>
  <c r="H94" i="61"/>
  <c r="V27" i="54" s="1"/>
  <c r="Y94" i="61"/>
  <c r="AM27" i="54" s="1"/>
  <c r="V94" i="61"/>
  <c r="AJ27" i="54" s="1"/>
  <c r="S94" i="61"/>
  <c r="AG27" i="54" s="1"/>
  <c r="M94" i="61"/>
  <c r="AA27" i="54" s="1"/>
  <c r="F94" i="61"/>
  <c r="T27" i="54" s="1"/>
  <c r="E94" i="61"/>
  <c r="S27" i="54" s="1"/>
  <c r="X94" i="61"/>
  <c r="AL27" i="54" s="1"/>
  <c r="U94" i="61"/>
  <c r="R94" i="61"/>
  <c r="AF27" i="54" s="1"/>
  <c r="O94" i="61"/>
  <c r="AC27" i="54" s="1"/>
  <c r="K94" i="61"/>
  <c r="Y27" i="54" s="1"/>
  <c r="C94" i="61"/>
  <c r="Q27" i="54" s="1"/>
  <c r="AB27" i="54"/>
  <c r="Z27" i="54"/>
  <c r="AE94" i="61"/>
  <c r="AG94" i="61"/>
  <c r="AJ94" i="61"/>
  <c r="AK94" i="61"/>
  <c r="AL94" i="61"/>
  <c r="AD94" i="61"/>
  <c r="AF94" i="61"/>
  <c r="AH94" i="61"/>
  <c r="AI94" i="61"/>
  <c r="AC94" i="61"/>
  <c r="AM94" i="61"/>
  <c r="AN94" i="61"/>
  <c r="AP94" i="61"/>
  <c r="AT94" i="61"/>
  <c r="AX94" i="61"/>
  <c r="AO94" i="61"/>
  <c r="AS94" i="61"/>
  <c r="AW94" i="61"/>
  <c r="BA94" i="61"/>
  <c r="AR94" i="61"/>
  <c r="AV94" i="61"/>
  <c r="AZ94" i="61"/>
  <c r="AQ94" i="61"/>
  <c r="AU94" i="61"/>
  <c r="AY94" i="61"/>
  <c r="AI27" i="54"/>
  <c r="R27" i="54"/>
  <c r="AY28" i="12" l="1"/>
  <c r="AZ28" i="12" s="1"/>
  <c r="BC28" i="12" s="1"/>
  <c r="K28" i="12"/>
  <c r="L28" i="12" s="1"/>
  <c r="O28" i="12" s="1"/>
  <c r="K28" i="22"/>
  <c r="L28" i="22" s="1"/>
  <c r="O28" i="22" s="1"/>
  <c r="AY28" i="22"/>
  <c r="AZ28" i="22" s="1"/>
  <c r="BC28" i="22" s="1"/>
  <c r="AY28" i="5"/>
  <c r="AZ28" i="5" s="1"/>
  <c r="BC28" i="5" s="1"/>
  <c r="K28" i="5"/>
  <c r="L28" i="5" s="1"/>
  <c r="O28" i="5" s="1"/>
  <c r="AL27" i="55"/>
  <c r="AI27" i="55"/>
  <c r="AF27" i="55"/>
  <c r="AC27" i="55"/>
  <c r="V27" i="55"/>
  <c r="Y27" i="55"/>
  <c r="R27" i="55"/>
  <c r="K28" i="4"/>
  <c r="L28" i="4" s="1"/>
  <c r="O28" i="4" s="1"/>
  <c r="AY28" i="4"/>
  <c r="AZ28" i="4" s="1"/>
  <c r="BC28" i="4" s="1"/>
  <c r="K28" i="18"/>
  <c r="L28" i="18" s="1"/>
  <c r="O28" i="18" s="1"/>
  <c r="AY28" i="18"/>
  <c r="AZ28" i="18" s="1"/>
  <c r="BC28" i="18" s="1"/>
  <c r="K28" i="7"/>
  <c r="L28" i="7" s="1"/>
  <c r="O28" i="7" s="1"/>
  <c r="AY28" i="7"/>
  <c r="AZ28" i="7" s="1"/>
  <c r="BC28" i="7" s="1"/>
  <c r="K28" i="16"/>
  <c r="L28" i="16" s="1"/>
  <c r="O28" i="16" s="1"/>
  <c r="AY28" i="16"/>
  <c r="AZ28" i="16" s="1"/>
  <c r="BC28" i="16" s="1"/>
  <c r="K28" i="3"/>
  <c r="L28" i="3" s="1"/>
  <c r="O28" i="3" s="1"/>
  <c r="AY28" i="3"/>
  <c r="AZ28" i="3" s="1"/>
  <c r="BC28" i="3" s="1"/>
  <c r="AY28" i="8"/>
  <c r="AZ28" i="8" s="1"/>
  <c r="BC28" i="8" s="1"/>
  <c r="K28" i="8"/>
  <c r="L28" i="8" s="1"/>
  <c r="O28" i="8" s="1"/>
  <c r="AH27" i="55"/>
  <c r="AE27" i="55"/>
  <c r="AB27" i="55"/>
  <c r="AA27" i="55"/>
  <c r="U27" i="55"/>
  <c r="X27" i="55"/>
  <c r="K28" i="25"/>
  <c r="L28" i="25" s="1"/>
  <c r="O28" i="25" s="1"/>
  <c r="AY28" i="25"/>
  <c r="AZ28" i="25" s="1"/>
  <c r="BC28" i="25" s="1"/>
  <c r="K28" i="17"/>
  <c r="L28" i="17" s="1"/>
  <c r="O28" i="17" s="1"/>
  <c r="AY28" i="17"/>
  <c r="AZ28" i="17" s="1"/>
  <c r="BC28" i="17" s="1"/>
  <c r="E50" i="61"/>
  <c r="T35" i="61" s="1"/>
  <c r="D50" i="61" s="1"/>
  <c r="M5" i="51" s="1"/>
  <c r="AY28" i="10"/>
  <c r="AZ28" i="10" s="1"/>
  <c r="BC28" i="10" s="1"/>
  <c r="K28" i="10"/>
  <c r="L28" i="10" s="1"/>
  <c r="O28" i="10" s="1"/>
  <c r="K28" i="24"/>
  <c r="L28" i="24" s="1"/>
  <c r="O28" i="24" s="1"/>
  <c r="AY28" i="24"/>
  <c r="AZ28" i="24" s="1"/>
  <c r="BC28" i="24" s="1"/>
  <c r="AY28" i="6"/>
  <c r="AZ28" i="6" s="1"/>
  <c r="BC28" i="6" s="1"/>
  <c r="K28" i="6"/>
  <c r="L28" i="6" s="1"/>
  <c r="O28" i="6" s="1"/>
  <c r="K28" i="14"/>
  <c r="L28" i="14" s="1"/>
  <c r="O28" i="14" s="1"/>
  <c r="AY28" i="14"/>
  <c r="AZ28" i="14" s="1"/>
  <c r="BC28" i="14" s="1"/>
  <c r="AD27" i="55"/>
  <c r="AN27" i="55"/>
  <c r="AK27" i="55"/>
  <c r="Z27" i="55"/>
  <c r="S27" i="55"/>
  <c r="W27" i="55"/>
  <c r="K28" i="20"/>
  <c r="L28" i="20" s="1"/>
  <c r="O28" i="20" s="1"/>
  <c r="K28" i="53"/>
  <c r="L28" i="53" s="1"/>
  <c r="O28" i="53" s="1"/>
  <c r="AY28" i="20"/>
  <c r="AZ28" i="20" s="1"/>
  <c r="BC28" i="20" s="1"/>
  <c r="AY28" i="53"/>
  <c r="AZ28" i="53" s="1"/>
  <c r="BC28" i="53" s="1"/>
  <c r="K28" i="11"/>
  <c r="L28" i="11" s="1"/>
  <c r="O28" i="11" s="1"/>
  <c r="AY28" i="11"/>
  <c r="AZ28" i="11" s="1"/>
  <c r="BC28" i="11" s="1"/>
  <c r="AY28" i="13"/>
  <c r="AZ28" i="13" s="1"/>
  <c r="BC28" i="13" s="1"/>
  <c r="K28" i="13"/>
  <c r="L28" i="13" s="1"/>
  <c r="O28" i="13" s="1"/>
  <c r="K28" i="23"/>
  <c r="L28" i="23" s="1"/>
  <c r="O28" i="23" s="1"/>
  <c r="AY28" i="23"/>
  <c r="AZ28" i="23" s="1"/>
  <c r="BC28" i="23" s="1"/>
  <c r="K28" i="9"/>
  <c r="L28" i="9" s="1"/>
  <c r="O28" i="9" s="1"/>
  <c r="AY28" i="9"/>
  <c r="AZ28" i="9" s="1"/>
  <c r="BC28" i="9" s="1"/>
  <c r="K28" i="21"/>
  <c r="L28" i="21" s="1"/>
  <c r="O28" i="21" s="1"/>
  <c r="AY28" i="21"/>
  <c r="AZ28" i="21" s="1"/>
  <c r="BC28" i="21" s="1"/>
  <c r="AY28" i="2"/>
  <c r="AZ28" i="2" s="1"/>
  <c r="BC28" i="2" s="1"/>
  <c r="K28" i="2"/>
  <c r="L28" i="2" s="1"/>
  <c r="O28" i="2" s="1"/>
  <c r="AM27" i="55"/>
  <c r="AJ27" i="55"/>
  <c r="AG27" i="55"/>
  <c r="P27" i="55"/>
  <c r="Q27" i="55"/>
  <c r="T27" i="55"/>
  <c r="K28" i="19"/>
  <c r="L28" i="19" s="1"/>
  <c r="O28" i="19" s="1"/>
  <c r="AY28" i="19"/>
  <c r="AZ28" i="19" s="1"/>
  <c r="BC28" i="19" s="1"/>
  <c r="AY28" i="1"/>
  <c r="AZ28" i="1" s="1"/>
  <c r="BC28" i="1" s="1"/>
  <c r="K28" i="1"/>
  <c r="L28" i="1" s="1"/>
  <c r="O28" i="1" s="1"/>
  <c r="K28" i="15"/>
  <c r="L28" i="15" s="1"/>
  <c r="O28" i="15" s="1"/>
  <c r="AY28" i="15"/>
  <c r="AZ28" i="15" s="1"/>
  <c r="BC28" i="15" s="1"/>
  <c r="M28" i="24" l="1"/>
  <c r="N28" i="24" s="1"/>
  <c r="BA28" i="24"/>
  <c r="BB28" i="24" s="1"/>
  <c r="M28" i="21"/>
  <c r="N28" i="21" s="1"/>
  <c r="BA28" i="21"/>
  <c r="BB28" i="21" s="1"/>
  <c r="BA28" i="5"/>
  <c r="BB28" i="5" s="1"/>
  <c r="M28" i="5"/>
  <c r="N28" i="5" s="1"/>
  <c r="M28" i="15"/>
  <c r="N28" i="15" s="1"/>
  <c r="BA28" i="15"/>
  <c r="BB28" i="15" s="1"/>
  <c r="M28" i="20"/>
  <c r="N28" i="20" s="1"/>
  <c r="M28" i="53"/>
  <c r="N28" i="53" s="1"/>
  <c r="BA28" i="53"/>
  <c r="BB28" i="53" s="1"/>
  <c r="BA28" i="20"/>
  <c r="BB28" i="20" s="1"/>
  <c r="M28" i="7"/>
  <c r="N28" i="7" s="1"/>
  <c r="BA28" i="7"/>
  <c r="BB28" i="7" s="1"/>
  <c r="BA28" i="12"/>
  <c r="BB28" i="12" s="1"/>
  <c r="M28" i="12"/>
  <c r="N28" i="12" s="1"/>
  <c r="BA28" i="8"/>
  <c r="BB28" i="8" s="1"/>
  <c r="M28" i="8"/>
  <c r="N28" i="8" s="1"/>
  <c r="M28" i="22"/>
  <c r="N28" i="22" s="1"/>
  <c r="BA28" i="22"/>
  <c r="BB28" i="22" s="1"/>
  <c r="BA28" i="11"/>
  <c r="BB28" i="11" s="1"/>
  <c r="M28" i="11"/>
  <c r="N28" i="11" s="1"/>
  <c r="M28" i="17"/>
  <c r="N28" i="17" s="1"/>
  <c r="BA28" i="17"/>
  <c r="BB28" i="17" s="1"/>
  <c r="M28" i="10"/>
  <c r="N28" i="10" s="1"/>
  <c r="BA28" i="10"/>
  <c r="BB28" i="10" s="1"/>
  <c r="M28" i="19"/>
  <c r="N28" i="19" s="1"/>
  <c r="BA28" i="19"/>
  <c r="BB28" i="19" s="1"/>
  <c r="M28" i="3"/>
  <c r="N28" i="3" s="1"/>
  <c r="BA28" i="3"/>
  <c r="BB28" i="3" s="1"/>
  <c r="M28" i="25"/>
  <c r="N28" i="25" s="1"/>
  <c r="BA28" i="25"/>
  <c r="BB28" i="25" s="1"/>
  <c r="M28" i="18"/>
  <c r="N28" i="18" s="1"/>
  <c r="BA28" i="18"/>
  <c r="BB28" i="18" s="1"/>
  <c r="M28" i="1"/>
  <c r="N28" i="1" s="1"/>
  <c r="BA28" i="1"/>
  <c r="BB28" i="1" s="1"/>
  <c r="M28" i="13"/>
  <c r="N28" i="13" s="1"/>
  <c r="BA28" i="13"/>
  <c r="BB28" i="13" s="1"/>
  <c r="M28" i="16"/>
  <c r="N28" i="16" s="1"/>
  <c r="BA28" i="16"/>
  <c r="BB28" i="16" s="1"/>
  <c r="M28" i="6"/>
  <c r="N28" i="6" s="1"/>
  <c r="BA28" i="6"/>
  <c r="BB28" i="6" s="1"/>
  <c r="M28" i="2"/>
  <c r="N28" i="2" s="1"/>
  <c r="BA28" i="2"/>
  <c r="BB28" i="2" s="1"/>
  <c r="BA28" i="4"/>
  <c r="BB28" i="4" s="1"/>
  <c r="M28" i="4"/>
  <c r="N28" i="4" s="1"/>
  <c r="M28" i="14"/>
  <c r="N28" i="14" s="1"/>
  <c r="BA28" i="14"/>
  <c r="BB28" i="14" s="1"/>
  <c r="M28" i="23"/>
  <c r="N28" i="23" s="1"/>
  <c r="BA28" i="23"/>
  <c r="BB28" i="23" s="1"/>
  <c r="BA28" i="9"/>
  <c r="BB28" i="9" s="1"/>
  <c r="M28" i="9"/>
  <c r="N28" i="9" s="1"/>
  <c r="AB9" i="49" l="1"/>
  <c r="AD9" i="49" s="1"/>
  <c r="L6" i="49" s="1"/>
  <c r="AP69" i="49" s="1"/>
  <c r="AT69" i="49" s="1"/>
  <c r="D12" i="49" s="1"/>
  <c r="AK74" i="49" s="1"/>
  <c r="AM74" i="49" s="1"/>
  <c r="AS74" i="49" s="1"/>
  <c r="AP89" i="49" l="1"/>
  <c r="AP144" i="49"/>
  <c r="AP134" i="49"/>
  <c r="AP99" i="49"/>
  <c r="AP114" i="49"/>
  <c r="AP94" i="49"/>
  <c r="AP139" i="49"/>
  <c r="AP119" i="49"/>
  <c r="AP129" i="49"/>
  <c r="AP124" i="49"/>
  <c r="AP109" i="49"/>
  <c r="AP104" i="49"/>
  <c r="AP149" i="49"/>
  <c r="AP100" i="49"/>
  <c r="AP125" i="49"/>
  <c r="AP90" i="49"/>
  <c r="AP150" i="49"/>
  <c r="AP110" i="49"/>
  <c r="AP135" i="49"/>
  <c r="AP115" i="49"/>
  <c r="AP130" i="49"/>
  <c r="AP105" i="49"/>
  <c r="AP120" i="49"/>
  <c r="AP145" i="49"/>
  <c r="AP140" i="49"/>
  <c r="AP95" i="49"/>
  <c r="AB27" i="49" l="1"/>
  <c r="AD27" i="49" s="1"/>
  <c r="L8" i="49" s="1"/>
  <c r="AP74" i="49" s="1"/>
  <c r="AT74" i="49" s="1"/>
  <c r="D13" i="49" s="1"/>
  <c r="AK79" i="49" s="1"/>
  <c r="AM79" i="49" s="1"/>
  <c r="AS79" i="49" s="1"/>
  <c r="AP15" i="49" l="1"/>
  <c r="AR15" i="49" s="1"/>
  <c r="L10" i="49" s="1"/>
  <c r="AP84" i="49" l="1"/>
  <c r="AP79" i="49"/>
  <c r="AT79" i="49" s="1"/>
  <c r="D14" i="49" s="1"/>
  <c r="AK84" i="49" s="1"/>
  <c r="AM84" i="49" s="1"/>
  <c r="AS84" i="49" s="1"/>
  <c r="AT84" i="49" l="1"/>
  <c r="D15" i="49" s="1"/>
  <c r="AK89" i="49" s="1"/>
  <c r="AM89" i="49" s="1"/>
  <c r="AS89" i="49" s="1"/>
  <c r="AT89" i="49" s="1"/>
  <c r="D22" i="49" s="1"/>
  <c r="D21" i="49" l="1"/>
  <c r="D23" i="49"/>
  <c r="D17" i="49"/>
  <c r="D27" i="49"/>
  <c r="D25" i="49"/>
  <c r="D16" i="49"/>
  <c r="AK124" i="49" s="1"/>
  <c r="AM124" i="49" s="1"/>
  <c r="AS124" i="49" s="1"/>
  <c r="AT124" i="49" s="1"/>
  <c r="D19" i="49"/>
  <c r="D24" i="49"/>
  <c r="D28" i="49"/>
  <c r="D20" i="49"/>
  <c r="D18" i="49"/>
  <c r="D26" i="49"/>
  <c r="AK94" i="49" l="1"/>
  <c r="AM94" i="49" s="1"/>
  <c r="AS94" i="49" s="1"/>
  <c r="AT94" i="49" s="1"/>
  <c r="AK129" i="49"/>
  <c r="AM129" i="49" s="1"/>
  <c r="AS129" i="49" s="1"/>
  <c r="AT129" i="49" s="1"/>
  <c r="AK139" i="49"/>
  <c r="AM139" i="49" s="1"/>
  <c r="AS139" i="49" s="1"/>
  <c r="AT139" i="49" s="1"/>
  <c r="AK104" i="49"/>
  <c r="AM104" i="49" s="1"/>
  <c r="AS104" i="49" s="1"/>
  <c r="AT104" i="49" s="1"/>
  <c r="AK119" i="49"/>
  <c r="AM119" i="49" s="1"/>
  <c r="AS119" i="49" s="1"/>
  <c r="AT119" i="49" s="1"/>
  <c r="AK149" i="49"/>
  <c r="AM149" i="49" s="1"/>
  <c r="AS149" i="49" s="1"/>
  <c r="AT149" i="49" s="1"/>
  <c r="AK99" i="49"/>
  <c r="AM99" i="49" s="1"/>
  <c r="AS99" i="49" s="1"/>
  <c r="AT99" i="49" s="1"/>
  <c r="AK144" i="49"/>
  <c r="AM144" i="49" s="1"/>
  <c r="AS144" i="49" s="1"/>
  <c r="AT144" i="49" s="1"/>
  <c r="AK114" i="49"/>
  <c r="AM114" i="49" s="1"/>
  <c r="AS114" i="49" s="1"/>
  <c r="AT114" i="49" s="1"/>
  <c r="AK134" i="49"/>
  <c r="AM134" i="49" s="1"/>
  <c r="AS134" i="49" s="1"/>
  <c r="AT134" i="49" s="1"/>
  <c r="B71" i="61" a="1"/>
  <c r="G71" i="61" s="1"/>
  <c r="AK109" i="49"/>
  <c r="AM109" i="49" s="1"/>
  <c r="AS109" i="49" s="1"/>
  <c r="AT109" i="49" s="1"/>
  <c r="P71" i="61" l="1"/>
  <c r="V71" i="61"/>
  <c r="F71" i="61"/>
  <c r="T4" i="54" s="1"/>
  <c r="X71" i="61"/>
  <c r="C71" i="61"/>
  <c r="R71" i="61"/>
  <c r="Z71" i="61"/>
  <c r="AN4" i="54" s="1"/>
  <c r="D71" i="61"/>
  <c r="R4" i="54" s="1"/>
  <c r="L71" i="61"/>
  <c r="Z4" i="54" s="1"/>
  <c r="I71" i="61"/>
  <c r="W71" i="61"/>
  <c r="AK4" i="54" s="1"/>
  <c r="E71" i="61"/>
  <c r="S4" i="54" s="1"/>
  <c r="J71" i="61"/>
  <c r="X4" i="54" s="1"/>
  <c r="M71" i="61"/>
  <c r="H71" i="61"/>
  <c r="V4" i="54" s="1"/>
  <c r="N71" i="61"/>
  <c r="AB4" i="54" s="1"/>
  <c r="B71" i="61"/>
  <c r="P4" i="54" s="1"/>
  <c r="U71" i="61"/>
  <c r="O71" i="61"/>
  <c r="AC4" i="54" s="1"/>
  <c r="K71" i="61"/>
  <c r="Y4" i="54" s="1"/>
  <c r="T71" i="61"/>
  <c r="AH4" i="54" s="1"/>
  <c r="S71" i="61"/>
  <c r="AG4" i="54" s="1"/>
  <c r="Q71" i="61"/>
  <c r="AE4" i="54" s="1"/>
  <c r="Y71" i="61"/>
  <c r="AM4" i="54" s="1"/>
  <c r="AD4" i="54"/>
  <c r="AJ4" i="54"/>
  <c r="AA4" i="54"/>
  <c r="AL4" i="54"/>
  <c r="Q4" i="54"/>
  <c r="AF4" i="54"/>
  <c r="AI4" i="54"/>
  <c r="W4" i="54"/>
  <c r="U4" i="54"/>
  <c r="AY5" i="2" l="1"/>
  <c r="AZ5" i="2" s="1"/>
  <c r="K5" i="2"/>
  <c r="L5" i="2" s="1"/>
  <c r="K5" i="8"/>
  <c r="L5" i="8" s="1"/>
  <c r="AY5" i="8"/>
  <c r="AZ5" i="8" s="1"/>
  <c r="AY5" i="16"/>
  <c r="AZ5" i="16" s="1"/>
  <c r="K5" i="16"/>
  <c r="L5" i="16" s="1"/>
  <c r="AY5" i="22"/>
  <c r="AZ5" i="22" s="1"/>
  <c r="K5" i="22"/>
  <c r="L5" i="22" s="1"/>
  <c r="AY5" i="18"/>
  <c r="AZ5" i="18" s="1"/>
  <c r="K5" i="18"/>
  <c r="L5" i="18" s="1"/>
  <c r="AY5" i="23"/>
  <c r="AZ5" i="23" s="1"/>
  <c r="K5" i="23"/>
  <c r="L5" i="23" s="1"/>
  <c r="K5" i="6"/>
  <c r="L5" i="6" s="1"/>
  <c r="AY5" i="6"/>
  <c r="AZ5" i="6" s="1"/>
  <c r="AY5" i="25"/>
  <c r="AZ5" i="25" s="1"/>
  <c r="K5" i="25"/>
  <c r="L5" i="25" s="1"/>
  <c r="AY5" i="13"/>
  <c r="AZ5" i="13" s="1"/>
  <c r="K5" i="13"/>
  <c r="L5" i="13" s="1"/>
  <c r="K5" i="19"/>
  <c r="L5" i="19" s="1"/>
  <c r="AY5" i="19"/>
  <c r="AZ5" i="19" s="1"/>
  <c r="K5" i="14"/>
  <c r="L5" i="14" s="1"/>
  <c r="AY5" i="14"/>
  <c r="AZ5" i="14" s="1"/>
  <c r="AY5" i="17"/>
  <c r="AZ5" i="17" s="1"/>
  <c r="K5" i="17"/>
  <c r="L5" i="17" s="1"/>
  <c r="K5" i="20"/>
  <c r="L5" i="20" s="1"/>
  <c r="AY5" i="53"/>
  <c r="AZ5" i="53" s="1"/>
  <c r="AY5" i="20"/>
  <c r="AZ5" i="20" s="1"/>
  <c r="K5" i="53"/>
  <c r="K5" i="10"/>
  <c r="L5" i="10" s="1"/>
  <c r="AY5" i="10"/>
  <c r="AZ5" i="10" s="1"/>
  <c r="AY5" i="7"/>
  <c r="AZ5" i="7" s="1"/>
  <c r="K5" i="7"/>
  <c r="L5" i="7" s="1"/>
  <c r="AY5" i="12"/>
  <c r="AZ5" i="12" s="1"/>
  <c r="K5" i="12"/>
  <c r="L5" i="12" s="1"/>
  <c r="K5" i="4"/>
  <c r="L5" i="4" s="1"/>
  <c r="AY5" i="4"/>
  <c r="AZ5" i="4" s="1"/>
  <c r="AY5" i="15"/>
  <c r="AZ5" i="15" s="1"/>
  <c r="K5" i="15"/>
  <c r="L5" i="15" s="1"/>
  <c r="K5" i="1"/>
  <c r="L5" i="1" s="1"/>
  <c r="AY5" i="1"/>
  <c r="AZ5" i="1" s="1"/>
  <c r="K5" i="9"/>
  <c r="L5" i="9" s="1"/>
  <c r="AY5" i="9"/>
  <c r="AZ5" i="9" s="1"/>
  <c r="AY5" i="24"/>
  <c r="AZ5" i="24" s="1"/>
  <c r="K5" i="24"/>
  <c r="L5" i="24" s="1"/>
  <c r="K5" i="3"/>
  <c r="L5" i="3" s="1"/>
  <c r="AY5" i="3"/>
  <c r="AZ5" i="3" s="1"/>
  <c r="AY5" i="21"/>
  <c r="AZ5" i="21" s="1"/>
  <c r="K5" i="21"/>
  <c r="L5" i="21" s="1"/>
  <c r="K5" i="5"/>
  <c r="L5" i="5" s="1"/>
  <c r="AY5" i="5"/>
  <c r="AZ5" i="5" s="1"/>
  <c r="K5" i="11"/>
  <c r="L5" i="11" s="1"/>
  <c r="AY5" i="11"/>
  <c r="AZ5" i="11" s="1"/>
  <c r="O5" i="11" l="1"/>
  <c r="BC5" i="21"/>
  <c r="BC5" i="24"/>
  <c r="O5" i="1"/>
  <c r="O5" i="4"/>
  <c r="BC5" i="7"/>
  <c r="BC5" i="20"/>
  <c r="BC5" i="17"/>
  <c r="O5" i="19"/>
  <c r="O5" i="23"/>
  <c r="O5" i="22"/>
  <c r="BC5" i="8"/>
  <c r="BC5" i="5"/>
  <c r="BC5" i="3"/>
  <c r="BC5" i="9"/>
  <c r="O5" i="15"/>
  <c r="O5" i="12"/>
  <c r="BC5" i="10"/>
  <c r="BC5" i="53"/>
  <c r="BC5" i="14"/>
  <c r="O5" i="13"/>
  <c r="BC5" i="25"/>
  <c r="BC5" i="23"/>
  <c r="BC5" i="22"/>
  <c r="O5" i="8"/>
  <c r="O5" i="5"/>
  <c r="O5" i="3"/>
  <c r="O5" i="9"/>
  <c r="BC5" i="15"/>
  <c r="BC5" i="12"/>
  <c r="O5" i="10"/>
  <c r="O5" i="20"/>
  <c r="O5" i="14"/>
  <c r="BC5" i="13"/>
  <c r="BC5" i="6"/>
  <c r="O5" i="18"/>
  <c r="O5" i="16"/>
  <c r="O5" i="2"/>
  <c r="BC5" i="11"/>
  <c r="O5" i="21"/>
  <c r="O5" i="24"/>
  <c r="BC5" i="1"/>
  <c r="BC5" i="4"/>
  <c r="O5" i="7"/>
  <c r="L5" i="53"/>
  <c r="O5" i="17"/>
  <c r="BC5" i="19"/>
  <c r="O5" i="25"/>
  <c r="O5" i="6"/>
  <c r="BC5" i="18"/>
  <c r="BC5" i="16"/>
  <c r="BC5" i="2"/>
  <c r="O5" i="53" l="1"/>
  <c r="AB10" i="49" l="1"/>
  <c r="AD10" i="49" s="1"/>
  <c r="L7" i="49" s="1"/>
  <c r="AP70" i="49" l="1"/>
  <c r="AT70" i="49" s="1"/>
  <c r="E12" i="49" s="1"/>
  <c r="AK75" i="49" s="1"/>
  <c r="AM75" i="49" s="1"/>
  <c r="AS75" i="49" s="1"/>
  <c r="AB28" i="49" l="1"/>
  <c r="AD28" i="49" s="1"/>
  <c r="L9" i="49" s="1"/>
  <c r="AP75" i="49" l="1"/>
  <c r="AT75" i="49" s="1"/>
  <c r="E13" i="49" s="1"/>
  <c r="AK80" i="49" l="1"/>
  <c r="AM80" i="49" s="1"/>
  <c r="AS80" i="49" s="1"/>
  <c r="AP16" i="49"/>
  <c r="AR16" i="49" s="1"/>
  <c r="L11" i="49" s="1"/>
  <c r="AP85" i="49" l="1"/>
  <c r="AP80" i="49"/>
  <c r="AT80" i="49" s="1"/>
  <c r="E14" i="49" s="1"/>
  <c r="AK85" i="49" l="1"/>
  <c r="AM85" i="49" s="1"/>
  <c r="AS85" i="49" s="1"/>
  <c r="AT85" i="49" s="1"/>
  <c r="E15" i="49" s="1"/>
  <c r="AK90" i="49" s="1"/>
  <c r="AM90" i="49" s="1"/>
  <c r="AS90" i="49" s="1"/>
  <c r="AT90" i="49" s="1"/>
  <c r="E28" i="49" l="1"/>
  <c r="E17" i="49"/>
  <c r="E26" i="49"/>
  <c r="E20" i="49"/>
  <c r="E21" i="49"/>
  <c r="E16" i="49"/>
  <c r="E19" i="49"/>
  <c r="E23" i="49"/>
  <c r="E25" i="49"/>
  <c r="E24" i="49"/>
  <c r="E27" i="49"/>
  <c r="E18" i="49"/>
  <c r="E22" i="49"/>
  <c r="AC71" i="61" l="1" a="1"/>
  <c r="AL71" i="61" s="1"/>
  <c r="Y4" i="55" s="1"/>
  <c r="AK100" i="49"/>
  <c r="AM100" i="49" s="1"/>
  <c r="AS100" i="49" s="1"/>
  <c r="AT100" i="49" s="1"/>
  <c r="AK130" i="49"/>
  <c r="AM130" i="49" s="1"/>
  <c r="AS130" i="49" s="1"/>
  <c r="AT130" i="49" s="1"/>
  <c r="AK135" i="49"/>
  <c r="AM135" i="49" s="1"/>
  <c r="AS135" i="49" s="1"/>
  <c r="AT135" i="49" s="1"/>
  <c r="AK150" i="49"/>
  <c r="AM150" i="49" s="1"/>
  <c r="AS150" i="49" s="1"/>
  <c r="AT150" i="49" s="1"/>
  <c r="AK95" i="49"/>
  <c r="AM95" i="49" s="1"/>
  <c r="AS95" i="49" s="1"/>
  <c r="AT95" i="49" s="1"/>
  <c r="AK110" i="49"/>
  <c r="AM110" i="49" s="1"/>
  <c r="AS110" i="49" s="1"/>
  <c r="AT110" i="49" s="1"/>
  <c r="AK120" i="49"/>
  <c r="AM120" i="49" s="1"/>
  <c r="AS120" i="49" s="1"/>
  <c r="AT120" i="49" s="1"/>
  <c r="AK115" i="49"/>
  <c r="AM115" i="49" s="1"/>
  <c r="AS115" i="49" s="1"/>
  <c r="AT115" i="49" s="1"/>
  <c r="AK105" i="49"/>
  <c r="AM105" i="49" s="1"/>
  <c r="AS105" i="49" s="1"/>
  <c r="AT105" i="49" s="1"/>
  <c r="AK140" i="49"/>
  <c r="AM140" i="49" s="1"/>
  <c r="AS140" i="49" s="1"/>
  <c r="AT140" i="49" s="1"/>
  <c r="AK125" i="49"/>
  <c r="AM125" i="49" s="1"/>
  <c r="AS125" i="49" s="1"/>
  <c r="AT125" i="49" s="1"/>
  <c r="AK145" i="49"/>
  <c r="AM145" i="49" s="1"/>
  <c r="AS145" i="49" s="1"/>
  <c r="AT145" i="49" s="1"/>
  <c r="L120" i="48"/>
  <c r="N120" i="48" s="1"/>
  <c r="AQ120" i="48" s="1"/>
  <c r="Z100" i="48"/>
  <c r="AB100" i="48" s="1"/>
  <c r="AR99" i="48" s="1"/>
  <c r="Z84" i="48"/>
  <c r="AB84" i="48" s="1"/>
  <c r="AR84" i="48" s="1"/>
  <c r="L85" i="48"/>
  <c r="N85" i="48" s="1"/>
  <c r="AQ85" i="48" s="1"/>
  <c r="AK71" i="61" l="1"/>
  <c r="X4" i="55" s="1"/>
  <c r="BA5" i="17" s="1"/>
  <c r="BB5" i="17" s="1"/>
  <c r="AT71" i="61"/>
  <c r="AG4" i="55" s="1"/>
  <c r="AF71" i="61"/>
  <c r="S4" i="55" s="1"/>
  <c r="BA5" i="22" s="1"/>
  <c r="BB5" i="22" s="1"/>
  <c r="AE71" i="61"/>
  <c r="R4" i="55" s="1"/>
  <c r="BA5" i="23" s="1"/>
  <c r="BB5" i="23" s="1"/>
  <c r="AR71" i="61"/>
  <c r="AE4" i="55" s="1"/>
  <c r="BA5" i="10" s="1"/>
  <c r="BB5" i="10" s="1"/>
  <c r="AZ71" i="61"/>
  <c r="AM4" i="55" s="1"/>
  <c r="AC71" i="61"/>
  <c r="P4" i="55" s="1"/>
  <c r="BA5" i="25" s="1"/>
  <c r="BB5" i="25" s="1"/>
  <c r="AU71" i="61"/>
  <c r="AH4" i="55" s="1"/>
  <c r="M5" i="7" s="1"/>
  <c r="N5" i="7" s="1"/>
  <c r="AJ71" i="61"/>
  <c r="W4" i="55" s="1"/>
  <c r="BA5" i="18" s="1"/>
  <c r="BB5" i="18" s="1"/>
  <c r="AQ71" i="61"/>
  <c r="AD4" i="55" s="1"/>
  <c r="AD71" i="61"/>
  <c r="Q4" i="55" s="1"/>
  <c r="BA5" i="24" s="1"/>
  <c r="BB5" i="24" s="1"/>
  <c r="AW71" i="61"/>
  <c r="AJ4" i="55" s="1"/>
  <c r="BA5" i="5" s="1"/>
  <c r="BB5" i="5" s="1"/>
  <c r="AY71" i="61"/>
  <c r="AL4" i="55" s="1"/>
  <c r="BA5" i="3" s="1"/>
  <c r="BB5" i="3" s="1"/>
  <c r="AS71" i="61"/>
  <c r="AF4" i="55" s="1"/>
  <c r="BA71" i="61"/>
  <c r="AN4" i="55" s="1"/>
  <c r="BA5" i="1" s="1"/>
  <c r="BB5" i="1" s="1"/>
  <c r="AO71" i="61"/>
  <c r="AB4" i="55" s="1"/>
  <c r="M5" i="13" s="1"/>
  <c r="N5" i="13" s="1"/>
  <c r="AP71" i="61"/>
  <c r="AC4" i="55" s="1"/>
  <c r="M5" i="12" s="1"/>
  <c r="N5" i="12" s="1"/>
  <c r="AH71" i="61"/>
  <c r="U4" i="55" s="1"/>
  <c r="AV71" i="61"/>
  <c r="AI4" i="55" s="1"/>
  <c r="BA5" i="6" s="1"/>
  <c r="BB5" i="6" s="1"/>
  <c r="AI71" i="61"/>
  <c r="V4" i="55" s="1"/>
  <c r="M5" i="19" s="1"/>
  <c r="N5" i="19" s="1"/>
  <c r="AG71" i="61"/>
  <c r="T4" i="55" s="1"/>
  <c r="BA5" i="21" s="1"/>
  <c r="BB5" i="21" s="1"/>
  <c r="AX71" i="61"/>
  <c r="AK4" i="55" s="1"/>
  <c r="AN71" i="61"/>
  <c r="AA4" i="55" s="1"/>
  <c r="M5" i="14" s="1"/>
  <c r="N5" i="14" s="1"/>
  <c r="AM71" i="61"/>
  <c r="Z4" i="55" s="1"/>
  <c r="M5" i="15" s="1"/>
  <c r="N5" i="15" s="1"/>
  <c r="M5" i="22"/>
  <c r="N5" i="22" s="1"/>
  <c r="M5" i="8"/>
  <c r="N5" i="8" s="1"/>
  <c r="BA5" i="8"/>
  <c r="BB5" i="8" s="1"/>
  <c r="M5" i="23"/>
  <c r="N5" i="23" s="1"/>
  <c r="M5" i="2"/>
  <c r="N5" i="2" s="1"/>
  <c r="BA5" i="2"/>
  <c r="BB5" i="2" s="1"/>
  <c r="BA5" i="11"/>
  <c r="BB5" i="11" s="1"/>
  <c r="M5" i="11"/>
  <c r="N5" i="11" s="1"/>
  <c r="BA5" i="9"/>
  <c r="BB5" i="9" s="1"/>
  <c r="M5" i="9"/>
  <c r="N5" i="9" s="1"/>
  <c r="BA5" i="20"/>
  <c r="BB5" i="20" s="1"/>
  <c r="BA5" i="53"/>
  <c r="BB5" i="53" s="1"/>
  <c r="M5" i="53"/>
  <c r="N5" i="53" s="1"/>
  <c r="M5" i="20"/>
  <c r="N5" i="20" s="1"/>
  <c r="M5" i="4"/>
  <c r="N5" i="4" s="1"/>
  <c r="BA5" i="4"/>
  <c r="BB5" i="4" s="1"/>
  <c r="M5" i="16"/>
  <c r="N5" i="16" s="1"/>
  <c r="BA5" i="16"/>
  <c r="BB5" i="16" s="1"/>
  <c r="AR100" i="48"/>
  <c r="AR85" i="48"/>
  <c r="BA5" i="7" l="1"/>
  <c r="BB5" i="7" s="1"/>
  <c r="M5" i="5"/>
  <c r="N5" i="5" s="1"/>
  <c r="BA5" i="13"/>
  <c r="BB5" i="13" s="1"/>
  <c r="BA5" i="15"/>
  <c r="BB5" i="15" s="1"/>
  <c r="BA5" i="19"/>
  <c r="BB5" i="19" s="1"/>
  <c r="BA5" i="12"/>
  <c r="BB5" i="12" s="1"/>
  <c r="BA5" i="14"/>
  <c r="BB5" i="14" s="1"/>
  <c r="M5" i="24"/>
  <c r="N5" i="24" s="1"/>
  <c r="M5" i="21"/>
  <c r="N5" i="21" s="1"/>
  <c r="M5" i="3"/>
  <c r="N5" i="3" s="1"/>
  <c r="M5" i="25"/>
  <c r="N5" i="25" s="1"/>
  <c r="AP10" i="48"/>
  <c r="AR10" i="48" s="1"/>
  <c r="M5" i="18"/>
  <c r="N5" i="18" s="1"/>
  <c r="AP11" i="48"/>
  <c r="AR11" i="48" s="1"/>
  <c r="M5" i="6"/>
  <c r="N5" i="6" s="1"/>
  <c r="M5" i="1"/>
  <c r="N5" i="1" s="1"/>
  <c r="M5" i="17"/>
  <c r="N5" i="17" s="1"/>
  <c r="M5" i="10"/>
  <c r="N5" i="10" s="1"/>
  <c r="AL13" i="48" l="1"/>
  <c r="AL12" i="48"/>
  <c r="AP85" i="48" l="1"/>
  <c r="AP84" i="48"/>
  <c r="AP69" i="47" l="1"/>
  <c r="AP70" i="47"/>
  <c r="L84" i="47"/>
  <c r="N84" i="47" s="1"/>
  <c r="AQ84" i="47" s="1"/>
  <c r="AP75" i="47" l="1"/>
  <c r="AP74" i="47"/>
  <c r="AP80" i="47" l="1"/>
  <c r="AP85" i="47" l="1"/>
  <c r="AP70" i="46" l="1"/>
  <c r="AP69" i="46"/>
  <c r="Z105" i="46"/>
  <c r="AB105" i="46" s="1"/>
  <c r="AR104" i="46" s="1"/>
  <c r="AR105" i="46" l="1"/>
  <c r="AP74" i="46" l="1"/>
  <c r="AP75" i="46"/>
  <c r="AB16" i="46" l="1"/>
  <c r="AD16" i="46" s="1"/>
  <c r="AB5" i="46"/>
  <c r="AD5" i="46" s="1"/>
  <c r="AB10" i="46"/>
  <c r="AD10" i="46" s="1"/>
  <c r="AB15" i="46"/>
  <c r="AD15" i="46" s="1"/>
  <c r="AB4" i="46"/>
  <c r="AD4" i="46" s="1"/>
  <c r="AB9" i="46"/>
  <c r="AD9" i="46" s="1"/>
  <c r="AP79" i="46"/>
  <c r="X6" i="46" l="1"/>
  <c r="L6" i="46" s="1"/>
  <c r="X7" i="46"/>
  <c r="L7" i="46" s="1"/>
  <c r="AP80" i="46"/>
  <c r="AP39" i="46" l="1"/>
  <c r="AT39" i="46" s="1"/>
  <c r="D6" i="46" s="1"/>
  <c r="AP40" i="46"/>
  <c r="AT40" i="46" s="1"/>
  <c r="E6" i="46" s="1"/>
  <c r="Z45" i="46" l="1"/>
  <c r="AB45" i="46" s="1"/>
  <c r="AB23" i="46"/>
  <c r="AD23" i="46" s="1"/>
  <c r="L50" i="46"/>
  <c r="N50" i="46" s="1"/>
  <c r="AQ50" i="46" s="1"/>
  <c r="Z50" i="46"/>
  <c r="AB50" i="46" s="1"/>
  <c r="AK45" i="46"/>
  <c r="AM45" i="46" s="1"/>
  <c r="AS45" i="46" s="1"/>
  <c r="L55" i="46"/>
  <c r="N55" i="46" s="1"/>
  <c r="AQ55" i="46" s="1"/>
  <c r="AP6" i="46"/>
  <c r="AR6" i="46" s="1"/>
  <c r="AB22" i="46"/>
  <c r="AD22" i="46" s="1"/>
  <c r="Z44" i="46"/>
  <c r="AB44" i="46" s="1"/>
  <c r="L49" i="46"/>
  <c r="N49" i="46" s="1"/>
  <c r="AQ49" i="46" s="1"/>
  <c r="L54" i="46"/>
  <c r="N54" i="46" s="1"/>
  <c r="AQ54" i="46" s="1"/>
  <c r="AK44" i="46"/>
  <c r="AM44" i="46" s="1"/>
  <c r="AS44" i="46" s="1"/>
  <c r="AP5" i="46"/>
  <c r="AR5" i="46" s="1"/>
  <c r="Z49" i="46"/>
  <c r="AB49" i="46" s="1"/>
  <c r="AP84" i="46"/>
  <c r="AR44" i="46" l="1"/>
  <c r="AR45" i="46"/>
  <c r="X25" i="46"/>
  <c r="X24" i="46"/>
  <c r="AR50" i="46"/>
  <c r="AR49" i="46"/>
  <c r="AP10" i="46"/>
  <c r="AR10" i="46" s="1"/>
  <c r="AP85" i="46"/>
  <c r="AP11" i="46" l="1"/>
  <c r="AR11" i="46" s="1"/>
  <c r="AL12" i="46" s="1"/>
  <c r="AL13" i="46" l="1"/>
  <c r="Z90" i="45"/>
  <c r="AB90" i="45" s="1"/>
  <c r="AR89" i="45" s="1"/>
  <c r="AP69" i="45"/>
  <c r="AP64" i="45"/>
  <c r="AP70" i="45"/>
  <c r="L90" i="45"/>
  <c r="N90" i="45" s="1"/>
  <c r="AQ90" i="45" s="1"/>
  <c r="AP65" i="45"/>
  <c r="Z110" i="45"/>
  <c r="AB110" i="45" s="1"/>
  <c r="AR110" i="45" l="1"/>
  <c r="AR109" i="45"/>
  <c r="AR90" i="45"/>
  <c r="AB15" i="47" l="1"/>
  <c r="AD15" i="47" s="1"/>
  <c r="L70" i="47"/>
  <c r="N70" i="47" s="1"/>
  <c r="AQ70" i="47" s="1"/>
  <c r="AP79" i="47"/>
  <c r="AP84" i="47"/>
  <c r="AP45" i="47"/>
  <c r="AT45" i="47" s="1"/>
  <c r="E7" i="47" s="1"/>
  <c r="AK50" i="47" s="1"/>
  <c r="AM50" i="47" s="1"/>
  <c r="AS50" i="47" s="1"/>
  <c r="AP44" i="47"/>
  <c r="AT44" i="47" s="1"/>
  <c r="D7" i="47" s="1"/>
  <c r="AK49" i="47" s="1"/>
  <c r="AM49" i="47" s="1"/>
  <c r="AS49" i="47" s="1"/>
  <c r="AB9" i="47" l="1"/>
  <c r="AD9" i="47" s="1"/>
  <c r="L6" i="47" s="1"/>
  <c r="AP49" i="47" s="1"/>
  <c r="AT49" i="47" s="1"/>
  <c r="D8" i="47" s="1"/>
  <c r="AB10" i="47"/>
  <c r="AD10" i="47" s="1"/>
  <c r="L7" i="47" s="1"/>
  <c r="AP50" i="47" s="1"/>
  <c r="AT50" i="47" s="1"/>
  <c r="E8" i="47" s="1"/>
  <c r="AB23" i="47" l="1"/>
  <c r="AD23" i="47" s="1"/>
  <c r="AP6" i="47"/>
  <c r="AR6" i="47" s="1"/>
  <c r="L11" i="47" s="1"/>
  <c r="AP60" i="47" s="1"/>
  <c r="AT60" i="47" s="1"/>
  <c r="E10" i="47" s="1"/>
  <c r="Z55" i="47"/>
  <c r="AB55" i="47" s="1"/>
  <c r="AK55" i="47"/>
  <c r="AM55" i="47" s="1"/>
  <c r="AS55" i="47" s="1"/>
  <c r="L60" i="47"/>
  <c r="N60" i="47" s="1"/>
  <c r="AQ60" i="47" s="1"/>
  <c r="AB28" i="47"/>
  <c r="AD28" i="47" s="1"/>
  <c r="AP5" i="47"/>
  <c r="AR5" i="47" s="1"/>
  <c r="L10" i="47" s="1"/>
  <c r="AP59" i="47" s="1"/>
  <c r="AT59" i="47" s="1"/>
  <c r="D10" i="47" s="1"/>
  <c r="AB22" i="47"/>
  <c r="AD22" i="47" s="1"/>
  <c r="L59" i="47"/>
  <c r="N59" i="47" s="1"/>
  <c r="AQ59" i="47" s="1"/>
  <c r="Z54" i="47"/>
  <c r="AB54" i="47" s="1"/>
  <c r="AB27" i="47"/>
  <c r="AD27" i="47" s="1"/>
  <c r="AK54" i="47"/>
  <c r="AM54" i="47" s="1"/>
  <c r="AS54" i="47" s="1"/>
  <c r="L74" i="47" l="1"/>
  <c r="N74" i="47" s="1"/>
  <c r="AQ74" i="47" s="1"/>
  <c r="AT74" i="47" s="1"/>
  <c r="D13" i="47" s="1"/>
  <c r="AK79" i="47" s="1"/>
  <c r="AM79" i="47" s="1"/>
  <c r="AS79" i="47" s="1"/>
  <c r="AK64" i="47"/>
  <c r="AM64" i="47" s="1"/>
  <c r="AS64" i="47" s="1"/>
  <c r="Z64" i="47"/>
  <c r="AB64" i="47" s="1"/>
  <c r="AR55" i="47"/>
  <c r="AR54" i="47"/>
  <c r="L75" i="47"/>
  <c r="N75" i="47" s="1"/>
  <c r="AQ75" i="47" s="1"/>
  <c r="AT75" i="47" s="1"/>
  <c r="E13" i="47" s="1"/>
  <c r="AK80" i="47" s="1"/>
  <c r="AM80" i="47" s="1"/>
  <c r="AS80" i="47" s="1"/>
  <c r="AK65" i="47"/>
  <c r="AM65" i="47" s="1"/>
  <c r="AS65" i="47" s="1"/>
  <c r="Z65" i="47"/>
  <c r="AB65" i="47" s="1"/>
  <c r="X25" i="47"/>
  <c r="L9" i="47" s="1"/>
  <c r="AP55" i="47" s="1"/>
  <c r="AT55" i="47" s="1"/>
  <c r="E9" i="47" s="1"/>
  <c r="X24" i="47"/>
  <c r="L8" i="47" s="1"/>
  <c r="AP54" i="47" s="1"/>
  <c r="AT54" i="47" s="1"/>
  <c r="D9" i="47" s="1"/>
  <c r="L64" i="47" l="1"/>
  <c r="N64" i="47" s="1"/>
  <c r="AQ64" i="47" s="1"/>
  <c r="AT64" i="47" s="1"/>
  <c r="D11" i="47" s="1"/>
  <c r="Z59" i="47"/>
  <c r="AB59" i="47" s="1"/>
  <c r="AP10" i="47"/>
  <c r="AR10" i="47" s="1"/>
  <c r="AK59" i="47"/>
  <c r="AM59" i="47" s="1"/>
  <c r="AS59" i="47" s="1"/>
  <c r="AP15" i="47"/>
  <c r="AR15" i="47" s="1"/>
  <c r="L65" i="47"/>
  <c r="N65" i="47" s="1"/>
  <c r="AQ65" i="47" s="1"/>
  <c r="AT65" i="47" s="1"/>
  <c r="E11" i="47" s="1"/>
  <c r="Z60" i="47"/>
  <c r="AB60" i="47" s="1"/>
  <c r="AP11" i="47"/>
  <c r="AR11" i="47" s="1"/>
  <c r="AP16" i="47"/>
  <c r="AR16" i="47" s="1"/>
  <c r="AR64" i="47"/>
  <c r="AR65" i="47"/>
  <c r="AK70" i="47" l="1"/>
  <c r="AM70" i="47" s="1"/>
  <c r="AS70" i="47" s="1"/>
  <c r="AT70" i="47" s="1"/>
  <c r="E12" i="47" s="1"/>
  <c r="L80" i="47"/>
  <c r="N80" i="47" s="1"/>
  <c r="AQ80" i="47" s="1"/>
  <c r="AT80" i="47" s="1"/>
  <c r="E14" i="47" s="1"/>
  <c r="AK85" i="47" s="1"/>
  <c r="AM85" i="47" s="1"/>
  <c r="AS85" i="47" s="1"/>
  <c r="AT85" i="47" s="1"/>
  <c r="E15" i="47" s="1"/>
  <c r="AK90" i="47" s="1"/>
  <c r="AM90" i="47" s="1"/>
  <c r="AS90" i="47" s="1"/>
  <c r="AT90" i="47" s="1"/>
  <c r="Z75" i="47"/>
  <c r="AB75" i="47" s="1"/>
  <c r="AL13" i="47"/>
  <c r="AL12" i="47"/>
  <c r="AR59" i="47"/>
  <c r="AR60" i="47"/>
  <c r="AK69" i="47"/>
  <c r="AM69" i="47" s="1"/>
  <c r="AS69" i="47" s="1"/>
  <c r="AT69" i="47" s="1"/>
  <c r="D12" i="47" s="1"/>
  <c r="AK74" i="47" s="1"/>
  <c r="AM74" i="47" s="1"/>
  <c r="AS74" i="47" s="1"/>
  <c r="L79" i="47"/>
  <c r="N79" i="47" s="1"/>
  <c r="AQ79" i="47" s="1"/>
  <c r="AT79" i="47" s="1"/>
  <c r="D14" i="47" s="1"/>
  <c r="AK84" i="47" s="1"/>
  <c r="AM84" i="47" s="1"/>
  <c r="AS84" i="47" s="1"/>
  <c r="AT84" i="47" s="1"/>
  <c r="D15" i="47" s="1"/>
  <c r="AK89" i="47" s="1"/>
  <c r="AM89" i="47" s="1"/>
  <c r="AS89" i="47" s="1"/>
  <c r="AT89" i="47" s="1"/>
  <c r="Z74" i="47"/>
  <c r="AB74" i="47" s="1"/>
  <c r="AR74" i="47" l="1"/>
  <c r="AR75" i="47"/>
  <c r="E18" i="47"/>
  <c r="E22" i="47"/>
  <c r="E26" i="47"/>
  <c r="E17" i="47"/>
  <c r="E21" i="47"/>
  <c r="E25" i="47"/>
  <c r="E16" i="47"/>
  <c r="E20" i="47"/>
  <c r="E24" i="47"/>
  <c r="E28" i="47"/>
  <c r="E19" i="47"/>
  <c r="E23" i="47"/>
  <c r="E27" i="47"/>
  <c r="D17" i="47"/>
  <c r="D21" i="47"/>
  <c r="D25" i="47"/>
  <c r="D16" i="47"/>
  <c r="D20" i="47"/>
  <c r="D24" i="47"/>
  <c r="D28" i="47"/>
  <c r="D19" i="47"/>
  <c r="D23" i="47"/>
  <c r="D27" i="47"/>
  <c r="D18" i="47"/>
  <c r="D22" i="47"/>
  <c r="D26" i="47"/>
  <c r="AK75" i="47"/>
  <c r="AM75" i="47" s="1"/>
  <c r="AS75" i="47" s="1"/>
  <c r="AC73" i="61" l="1" a="1"/>
  <c r="AF73" i="61" s="1"/>
  <c r="AK99" i="47"/>
  <c r="AM99" i="47" s="1"/>
  <c r="AS99" i="47" s="1"/>
  <c r="AT99" i="47" s="1"/>
  <c r="AK139" i="47"/>
  <c r="AM139" i="47" s="1"/>
  <c r="AS139" i="47" s="1"/>
  <c r="AT139" i="47" s="1"/>
  <c r="AK104" i="47"/>
  <c r="AM104" i="47" s="1"/>
  <c r="AS104" i="47" s="1"/>
  <c r="AT104" i="47" s="1"/>
  <c r="AK114" i="47"/>
  <c r="AM114" i="47" s="1"/>
  <c r="AS114" i="47" s="1"/>
  <c r="AT114" i="47" s="1"/>
  <c r="AK94" i="47"/>
  <c r="AM94" i="47" s="1"/>
  <c r="AS94" i="47" s="1"/>
  <c r="AT94" i="47" s="1"/>
  <c r="AK124" i="47"/>
  <c r="AM124" i="47" s="1"/>
  <c r="AS124" i="47" s="1"/>
  <c r="AT124" i="47" s="1"/>
  <c r="AK119" i="47"/>
  <c r="AM119" i="47" s="1"/>
  <c r="AS119" i="47" s="1"/>
  <c r="AT119" i="47" s="1"/>
  <c r="AK144" i="47"/>
  <c r="AM144" i="47" s="1"/>
  <c r="AS144" i="47" s="1"/>
  <c r="AT144" i="47" s="1"/>
  <c r="AK149" i="47"/>
  <c r="AM149" i="47" s="1"/>
  <c r="AS149" i="47" s="1"/>
  <c r="AT149" i="47" s="1"/>
  <c r="AK134" i="47"/>
  <c r="AM134" i="47" s="1"/>
  <c r="AS134" i="47" s="1"/>
  <c r="AT134" i="47" s="1"/>
  <c r="AK109" i="47"/>
  <c r="AM109" i="47" s="1"/>
  <c r="AS109" i="47" s="1"/>
  <c r="AT109" i="47" s="1"/>
  <c r="AK129" i="47"/>
  <c r="AM129" i="47" s="1"/>
  <c r="AS129" i="47" s="1"/>
  <c r="AT129" i="47" s="1"/>
  <c r="B73" i="61" a="1"/>
  <c r="AK150" i="47"/>
  <c r="AM150" i="47" s="1"/>
  <c r="AS150" i="47" s="1"/>
  <c r="AT150" i="47" s="1"/>
  <c r="AK130" i="47"/>
  <c r="AM130" i="47" s="1"/>
  <c r="AS130" i="47" s="1"/>
  <c r="AT130" i="47" s="1"/>
  <c r="AK145" i="47"/>
  <c r="AM145" i="47" s="1"/>
  <c r="AS145" i="47" s="1"/>
  <c r="AT145" i="47" s="1"/>
  <c r="AK125" i="47"/>
  <c r="AM125" i="47" s="1"/>
  <c r="AS125" i="47" s="1"/>
  <c r="AT125" i="47" s="1"/>
  <c r="AK110" i="47"/>
  <c r="AM110" i="47" s="1"/>
  <c r="AS110" i="47" s="1"/>
  <c r="AT110" i="47" s="1"/>
  <c r="AK100" i="47"/>
  <c r="AM100" i="47" s="1"/>
  <c r="AS100" i="47" s="1"/>
  <c r="AT100" i="47" s="1"/>
  <c r="AK115" i="47"/>
  <c r="AM115" i="47" s="1"/>
  <c r="AS115" i="47" s="1"/>
  <c r="AT115" i="47" s="1"/>
  <c r="AK135" i="47"/>
  <c r="AM135" i="47" s="1"/>
  <c r="AS135" i="47" s="1"/>
  <c r="AT135" i="47" s="1"/>
  <c r="AK120" i="47"/>
  <c r="AM120" i="47" s="1"/>
  <c r="AS120" i="47" s="1"/>
  <c r="AT120" i="47" s="1"/>
  <c r="AK95" i="47"/>
  <c r="AM95" i="47" s="1"/>
  <c r="AS95" i="47" s="1"/>
  <c r="AT95" i="47" s="1"/>
  <c r="AK140" i="47"/>
  <c r="AM140" i="47" s="1"/>
  <c r="AS140" i="47" s="1"/>
  <c r="AT140" i="47" s="1"/>
  <c r="AK105" i="47"/>
  <c r="AM105" i="47" s="1"/>
  <c r="AS105" i="47" s="1"/>
  <c r="AT105" i="47" s="1"/>
  <c r="AQ73" i="61" l="1"/>
  <c r="AD6" i="55" s="1"/>
  <c r="AG73" i="61"/>
  <c r="AW73" i="61"/>
  <c r="AL73" i="61"/>
  <c r="Y6" i="55" s="1"/>
  <c r="AT73" i="61"/>
  <c r="AG6" i="55" s="1"/>
  <c r="AI73" i="61"/>
  <c r="AS73" i="61"/>
  <c r="AF6" i="55" s="1"/>
  <c r="AP73" i="61"/>
  <c r="AC6" i="55" s="1"/>
  <c r="AZ73" i="61"/>
  <c r="AM6" i="55" s="1"/>
  <c r="AE73" i="61"/>
  <c r="AK73" i="61"/>
  <c r="X6" i="55" s="1"/>
  <c r="AD73" i="61"/>
  <c r="Q6" i="55" s="1"/>
  <c r="AO73" i="61"/>
  <c r="AB6" i="55" s="1"/>
  <c r="AY73" i="61"/>
  <c r="AV73" i="61"/>
  <c r="AN73" i="61"/>
  <c r="AA6" i="55" s="1"/>
  <c r="AJ73" i="61"/>
  <c r="W6" i="55" s="1"/>
  <c r="AH73" i="61"/>
  <c r="BA73" i="61"/>
  <c r="AN6" i="55" s="1"/>
  <c r="AX73" i="61"/>
  <c r="AK6" i="55" s="1"/>
  <c r="AU73" i="61"/>
  <c r="AH6" i="55" s="1"/>
  <c r="AR73" i="61"/>
  <c r="AM73" i="61"/>
  <c r="Z6" i="55" s="1"/>
  <c r="AC73" i="61"/>
  <c r="P6" i="55" s="1"/>
  <c r="AJ6" i="55"/>
  <c r="T6" i="55"/>
  <c r="V6" i="55"/>
  <c r="R6" i="55"/>
  <c r="C73" i="61"/>
  <c r="F73" i="61"/>
  <c r="G73" i="61"/>
  <c r="B73" i="61"/>
  <c r="D73" i="61"/>
  <c r="E73" i="61"/>
  <c r="H73" i="61"/>
  <c r="I73" i="61"/>
  <c r="J73" i="61"/>
  <c r="K73" i="61"/>
  <c r="L73" i="61"/>
  <c r="M73" i="61"/>
  <c r="P73" i="61"/>
  <c r="T73" i="61"/>
  <c r="X73" i="61"/>
  <c r="O73" i="61"/>
  <c r="S73" i="61"/>
  <c r="W73" i="61"/>
  <c r="N73" i="61"/>
  <c r="R73" i="61"/>
  <c r="V73" i="61"/>
  <c r="Z73" i="61"/>
  <c r="Q73" i="61"/>
  <c r="U73" i="61"/>
  <c r="Y73" i="61"/>
  <c r="AL6" i="55"/>
  <c r="AI6" i="55"/>
  <c r="U6" i="55"/>
  <c r="AE6" i="55"/>
  <c r="S6" i="55"/>
  <c r="M7" i="15" l="1"/>
  <c r="N7" i="15" s="1"/>
  <c r="BA7" i="15"/>
  <c r="BB7" i="15" s="1"/>
  <c r="M7" i="1"/>
  <c r="N7" i="1" s="1"/>
  <c r="BA7" i="1"/>
  <c r="BB7" i="1" s="1"/>
  <c r="BA7" i="6"/>
  <c r="BB7" i="6" s="1"/>
  <c r="M7" i="6"/>
  <c r="N7" i="6" s="1"/>
  <c r="AI6" i="54"/>
  <c r="AF6" i="54"/>
  <c r="AC6" i="54"/>
  <c r="AA6" i="54"/>
  <c r="W6" i="54"/>
  <c r="P6" i="54"/>
  <c r="M7" i="23"/>
  <c r="N7" i="23" s="1"/>
  <c r="BA7" i="23"/>
  <c r="BB7" i="23" s="1"/>
  <c r="M7" i="19"/>
  <c r="N7" i="19" s="1"/>
  <c r="BA7" i="19"/>
  <c r="BB7" i="19" s="1"/>
  <c r="M7" i="8"/>
  <c r="N7" i="8" s="1"/>
  <c r="BA7" i="8"/>
  <c r="BB7" i="8" s="1"/>
  <c r="M7" i="25"/>
  <c r="N7" i="25" s="1"/>
  <c r="BA7" i="25"/>
  <c r="BB7" i="25" s="1"/>
  <c r="BA7" i="4"/>
  <c r="BB7" i="4" s="1"/>
  <c r="M7" i="4"/>
  <c r="N7" i="4" s="1"/>
  <c r="M7" i="14"/>
  <c r="N7" i="14" s="1"/>
  <c r="BA7" i="14"/>
  <c r="BB7" i="14" s="1"/>
  <c r="AE6" i="54"/>
  <c r="AB6" i="54"/>
  <c r="AL6" i="54"/>
  <c r="Z6" i="54"/>
  <c r="V6" i="54"/>
  <c r="U6" i="54"/>
  <c r="M7" i="17"/>
  <c r="N7" i="17" s="1"/>
  <c r="BA7" i="17"/>
  <c r="BB7" i="17" s="1"/>
  <c r="BA7" i="9"/>
  <c r="BB7" i="9" s="1"/>
  <c r="M7" i="9"/>
  <c r="N7" i="9" s="1"/>
  <c r="M7" i="11"/>
  <c r="N7" i="11" s="1"/>
  <c r="BA7" i="11"/>
  <c r="BB7" i="11" s="1"/>
  <c r="BA7" i="7"/>
  <c r="BB7" i="7" s="1"/>
  <c r="M7" i="7"/>
  <c r="N7" i="7" s="1"/>
  <c r="M7" i="18"/>
  <c r="N7" i="18" s="1"/>
  <c r="BA7" i="18"/>
  <c r="BB7" i="18" s="1"/>
  <c r="BA7" i="13"/>
  <c r="BB7" i="13" s="1"/>
  <c r="M7" i="13"/>
  <c r="N7" i="13" s="1"/>
  <c r="AN6" i="54"/>
  <c r="AK6" i="54"/>
  <c r="AH6" i="54"/>
  <c r="Y6" i="54"/>
  <c r="S6" i="54"/>
  <c r="T6" i="54"/>
  <c r="M7" i="24"/>
  <c r="N7" i="24" s="1"/>
  <c r="BA7" i="24"/>
  <c r="BB7" i="24" s="1"/>
  <c r="M7" i="12"/>
  <c r="N7" i="12" s="1"/>
  <c r="BA7" i="12"/>
  <c r="BB7" i="12" s="1"/>
  <c r="M7" i="21"/>
  <c r="N7" i="21" s="1"/>
  <c r="BA7" i="21"/>
  <c r="BB7" i="21" s="1"/>
  <c r="M7" i="22"/>
  <c r="N7" i="22" s="1"/>
  <c r="BA7" i="22"/>
  <c r="BB7" i="22" s="1"/>
  <c r="M7" i="10"/>
  <c r="N7" i="10" s="1"/>
  <c r="BA7" i="10"/>
  <c r="BB7" i="10" s="1"/>
  <c r="M7" i="20"/>
  <c r="N7" i="20" s="1"/>
  <c r="M7" i="53"/>
  <c r="N7" i="53" s="1"/>
  <c r="BA7" i="53"/>
  <c r="BB7" i="53" s="1"/>
  <c r="BA7" i="20"/>
  <c r="BB7" i="20" s="1"/>
  <c r="BA7" i="3"/>
  <c r="BB7" i="3" s="1"/>
  <c r="M7" i="3"/>
  <c r="N7" i="3" s="1"/>
  <c r="AM6" i="54"/>
  <c r="AJ6" i="54"/>
  <c r="AG6" i="54"/>
  <c r="AD6" i="54"/>
  <c r="X6" i="54"/>
  <c r="R6" i="54"/>
  <c r="Q6" i="54"/>
  <c r="BA7" i="2"/>
  <c r="BB7" i="2" s="1"/>
  <c r="M7" i="2"/>
  <c r="N7" i="2" s="1"/>
  <c r="M7" i="16"/>
  <c r="N7" i="16" s="1"/>
  <c r="BA7" i="16"/>
  <c r="BB7" i="16" s="1"/>
  <c r="BA7" i="5"/>
  <c r="BB7" i="5" s="1"/>
  <c r="M7" i="5"/>
  <c r="N7" i="5" s="1"/>
  <c r="K7" i="24" l="1"/>
  <c r="L7" i="24" s="1"/>
  <c r="AY7" i="24"/>
  <c r="AZ7" i="24" s="1"/>
  <c r="K7" i="8"/>
  <c r="L7" i="8" s="1"/>
  <c r="AY7" i="8"/>
  <c r="AZ7" i="8" s="1"/>
  <c r="K7" i="22"/>
  <c r="L7" i="22" s="1"/>
  <c r="AY7" i="22"/>
  <c r="AZ7" i="22" s="1"/>
  <c r="K7" i="1"/>
  <c r="L7" i="1" s="1"/>
  <c r="AY7" i="1"/>
  <c r="AZ7" i="1" s="1"/>
  <c r="AY7" i="3"/>
  <c r="AZ7" i="3" s="1"/>
  <c r="K7" i="3"/>
  <c r="L7" i="3" s="1"/>
  <c r="K7" i="14"/>
  <c r="L7" i="14" s="1"/>
  <c r="AY7" i="14"/>
  <c r="AZ7" i="14" s="1"/>
  <c r="K7" i="11"/>
  <c r="L7" i="11" s="1"/>
  <c r="AY7" i="11"/>
  <c r="AZ7" i="11" s="1"/>
  <c r="K7" i="21"/>
  <c r="L7" i="21" s="1"/>
  <c r="AY7" i="21"/>
  <c r="AZ7" i="21" s="1"/>
  <c r="K7" i="4"/>
  <c r="L7" i="4" s="1"/>
  <c r="AY7" i="4"/>
  <c r="AZ7" i="4" s="1"/>
  <c r="K7" i="15"/>
  <c r="L7" i="15" s="1"/>
  <c r="AY7" i="15"/>
  <c r="AZ7" i="15" s="1"/>
  <c r="K7" i="18"/>
  <c r="L7" i="18" s="1"/>
  <c r="AY7" i="18"/>
  <c r="AZ7" i="18" s="1"/>
  <c r="AY7" i="6"/>
  <c r="AZ7" i="6" s="1"/>
  <c r="K7" i="6"/>
  <c r="L7" i="6" s="1"/>
  <c r="K7" i="17"/>
  <c r="L7" i="17" s="1"/>
  <c r="AY7" i="17"/>
  <c r="AZ7" i="17" s="1"/>
  <c r="AY7" i="2"/>
  <c r="AZ7" i="2" s="1"/>
  <c r="K7" i="2"/>
  <c r="L7" i="2" s="1"/>
  <c r="K7" i="7"/>
  <c r="L7" i="7" s="1"/>
  <c r="AY7" i="7"/>
  <c r="AZ7" i="7" s="1"/>
  <c r="K7" i="19"/>
  <c r="L7" i="19" s="1"/>
  <c r="AY7" i="19"/>
  <c r="AZ7" i="19" s="1"/>
  <c r="K7" i="10"/>
  <c r="L7" i="10" s="1"/>
  <c r="AY7" i="10"/>
  <c r="AZ7" i="10" s="1"/>
  <c r="K7" i="25"/>
  <c r="L7" i="25" s="1"/>
  <c r="AY7" i="25"/>
  <c r="AZ7" i="25" s="1"/>
  <c r="K7" i="9"/>
  <c r="L7" i="9" s="1"/>
  <c r="AY7" i="9"/>
  <c r="AZ7" i="9" s="1"/>
  <c r="K7" i="23"/>
  <c r="L7" i="23" s="1"/>
  <c r="AY7" i="23"/>
  <c r="AZ7" i="23" s="1"/>
  <c r="AY7" i="5"/>
  <c r="AZ7" i="5" s="1"/>
  <c r="K7" i="5"/>
  <c r="L7" i="5" s="1"/>
  <c r="K7" i="16"/>
  <c r="L7" i="16" s="1"/>
  <c r="AY7" i="16"/>
  <c r="AZ7" i="16" s="1"/>
  <c r="K7" i="20"/>
  <c r="L7" i="20" s="1"/>
  <c r="K7" i="53"/>
  <c r="AY7" i="53"/>
  <c r="AZ7" i="53" s="1"/>
  <c r="AY7" i="20"/>
  <c r="AZ7" i="20" s="1"/>
  <c r="K7" i="13"/>
  <c r="L7" i="13" s="1"/>
  <c r="AY7" i="13"/>
  <c r="AZ7" i="13" s="1"/>
  <c r="AY7" i="12"/>
  <c r="AZ7" i="12" s="1"/>
  <c r="K7" i="12"/>
  <c r="L7" i="12" s="1"/>
  <c r="BC7" i="13" l="1"/>
  <c r="BC7" i="19"/>
  <c r="BC7" i="9"/>
  <c r="O7" i="18"/>
  <c r="O7" i="15"/>
  <c r="BC7" i="20"/>
  <c r="BC7" i="16"/>
  <c r="O7" i="5"/>
  <c r="O7" i="9"/>
  <c r="BC7" i="10"/>
  <c r="BC7" i="7"/>
  <c r="O7" i="2"/>
  <c r="O7" i="6"/>
  <c r="BC7" i="4"/>
  <c r="BC7" i="11"/>
  <c r="BC7" i="22"/>
  <c r="BC7" i="8"/>
  <c r="BC7" i="12"/>
  <c r="BC7" i="23"/>
  <c r="O7" i="20"/>
  <c r="O7" i="23"/>
  <c r="O7" i="19"/>
  <c r="O7" i="12"/>
  <c r="BC7" i="53"/>
  <c r="O7" i="16"/>
  <c r="BC7" i="5"/>
  <c r="BC7" i="25"/>
  <c r="O7" i="10"/>
  <c r="O7" i="7"/>
  <c r="BC7" i="2"/>
  <c r="BC7" i="6"/>
  <c r="O7" i="4"/>
  <c r="O7" i="11"/>
  <c r="O7" i="22"/>
  <c r="O7" i="8"/>
  <c r="BC7" i="17"/>
  <c r="BC7" i="18"/>
  <c r="BC7" i="15"/>
  <c r="BC7" i="21"/>
  <c r="BC7" i="14"/>
  <c r="O7" i="3"/>
  <c r="BC7" i="1"/>
  <c r="BC7" i="24"/>
  <c r="L7" i="53"/>
  <c r="O7" i="13"/>
  <c r="O7" i="25"/>
  <c r="O7" i="17"/>
  <c r="O7" i="21"/>
  <c r="O7" i="14"/>
  <c r="BC7" i="3"/>
  <c r="O7" i="1"/>
  <c r="O7" i="24"/>
  <c r="O7" i="53" l="1"/>
  <c r="L70" i="45"/>
  <c r="N70" i="45" s="1"/>
  <c r="AQ70" i="45" s="1"/>
  <c r="AP75" i="45"/>
  <c r="AP74" i="45"/>
  <c r="AP80" i="45"/>
  <c r="AP79" i="45"/>
  <c r="AP85" i="45"/>
  <c r="AP84" i="45"/>
  <c r="AB10" i="45"/>
  <c r="AD10" i="45" s="1"/>
  <c r="L7" i="45" s="1"/>
  <c r="AP35" i="45" s="1"/>
  <c r="AT35" i="45" s="1"/>
  <c r="E5" i="45" s="1"/>
  <c r="AB9" i="45"/>
  <c r="AD9" i="45" s="1"/>
  <c r="L6" i="45" s="1"/>
  <c r="AP34" i="45" s="1"/>
  <c r="AT34" i="45" s="1"/>
  <c r="D5" i="45" s="1"/>
  <c r="AK39" i="45" s="1"/>
  <c r="AM39" i="45" s="1"/>
  <c r="AS39" i="45" s="1"/>
  <c r="L44" i="45" l="1"/>
  <c r="N44" i="45" s="1"/>
  <c r="AQ44" i="45" s="1"/>
  <c r="Z39" i="45"/>
  <c r="AB39" i="45" s="1"/>
  <c r="AB27" i="45"/>
  <c r="AD27" i="45" s="1"/>
  <c r="AB22" i="45"/>
  <c r="AD22" i="45" s="1"/>
  <c r="AK40" i="45"/>
  <c r="AM40" i="45" s="1"/>
  <c r="AS40" i="45" s="1"/>
  <c r="Z40" i="45"/>
  <c r="AB40" i="45" s="1"/>
  <c r="AR40" i="45" s="1"/>
  <c r="L45" i="45"/>
  <c r="N45" i="45" s="1"/>
  <c r="AQ45" i="45" s="1"/>
  <c r="AB28" i="45"/>
  <c r="AD28" i="45" s="1"/>
  <c r="AB23" i="45"/>
  <c r="AD23" i="45" s="1"/>
  <c r="AP5" i="45"/>
  <c r="AR5" i="45" s="1"/>
  <c r="AP6" i="45"/>
  <c r="AR6" i="45" s="1"/>
  <c r="X24" i="45" l="1"/>
  <c r="L8" i="45" s="1"/>
  <c r="AP39" i="45" s="1"/>
  <c r="AT39" i="45" s="1"/>
  <c r="D6" i="45" s="1"/>
  <c r="AP10" i="45" s="1"/>
  <c r="AR10" i="45" s="1"/>
  <c r="AR39" i="45"/>
  <c r="X25" i="45"/>
  <c r="L9" i="45" s="1"/>
  <c r="AP40" i="45" s="1"/>
  <c r="AT40" i="45" s="1"/>
  <c r="E6" i="45" s="1"/>
  <c r="AP11" i="45" s="1"/>
  <c r="AR11" i="45" s="1"/>
  <c r="AL13" i="45" s="1"/>
  <c r="AL12" i="45" l="1"/>
  <c r="AP15" i="45"/>
  <c r="AR15" i="45" s="1"/>
  <c r="Z44" i="45"/>
  <c r="AB44" i="45" s="1"/>
  <c r="L49" i="45"/>
  <c r="N49" i="45" s="1"/>
  <c r="AQ49" i="45" s="1"/>
  <c r="AT49" i="45" s="1"/>
  <c r="D8" i="45" s="1"/>
  <c r="Z49" i="45"/>
  <c r="AB49" i="45" s="1"/>
  <c r="L54" i="45"/>
  <c r="N54" i="45" s="1"/>
  <c r="AQ54" i="45" s="1"/>
  <c r="AT54" i="45" s="1"/>
  <c r="D9" i="45" s="1"/>
  <c r="AK44" i="45"/>
  <c r="AM44" i="45" s="1"/>
  <c r="AS44" i="45" s="1"/>
  <c r="AP16" i="45"/>
  <c r="AR16" i="45" s="1"/>
  <c r="L11" i="45" s="1"/>
  <c r="AP45" i="45" s="1"/>
  <c r="AT45" i="45" s="1"/>
  <c r="E7" i="45" s="1"/>
  <c r="AK50" i="45" s="1"/>
  <c r="AM50" i="45" s="1"/>
  <c r="AS50" i="45" s="1"/>
  <c r="AK45" i="45"/>
  <c r="AM45" i="45" s="1"/>
  <c r="AS45" i="45" s="1"/>
  <c r="Z45" i="45"/>
  <c r="AB45" i="45" s="1"/>
  <c r="L50" i="45"/>
  <c r="N50" i="45" s="1"/>
  <c r="AQ50" i="45" s="1"/>
  <c r="AT50" i="45" s="1"/>
  <c r="E8" i="45" s="1"/>
  <c r="Z50" i="45"/>
  <c r="AB50" i="45" s="1"/>
  <c r="L55" i="45"/>
  <c r="N55" i="45" s="1"/>
  <c r="AQ55" i="45" s="1"/>
  <c r="AT55" i="45" s="1"/>
  <c r="E9" i="45" s="1"/>
  <c r="L10" i="45" l="1"/>
  <c r="AP44" i="45" s="1"/>
  <c r="AT44" i="45" s="1"/>
  <c r="D7" i="45" s="1"/>
  <c r="AK49" i="45" s="1"/>
  <c r="AM49" i="45" s="1"/>
  <c r="AS49" i="45" s="1"/>
  <c r="Z54" i="45"/>
  <c r="AB54" i="45" s="1"/>
  <c r="AK54" i="45"/>
  <c r="AM54" i="45" s="1"/>
  <c r="AS54" i="45" s="1"/>
  <c r="L59" i="45"/>
  <c r="N59" i="45" s="1"/>
  <c r="AQ59" i="45" s="1"/>
  <c r="AT59" i="45" s="1"/>
  <c r="D10" i="45" s="1"/>
  <c r="Z55" i="45"/>
  <c r="AB55" i="45" s="1"/>
  <c r="L60" i="45"/>
  <c r="N60" i="45" s="1"/>
  <c r="AQ60" i="45" s="1"/>
  <c r="AT60" i="45" s="1"/>
  <c r="E10" i="45" s="1"/>
  <c r="AK55" i="45"/>
  <c r="AM55" i="45" s="1"/>
  <c r="AS55" i="45" s="1"/>
  <c r="AR45" i="45"/>
  <c r="AR44" i="45"/>
  <c r="Z59" i="45"/>
  <c r="AB59" i="45" s="1"/>
  <c r="AK59" i="45"/>
  <c r="AM59" i="45" s="1"/>
  <c r="AS59" i="45" s="1"/>
  <c r="L64" i="45"/>
  <c r="N64" i="45" s="1"/>
  <c r="AQ64" i="45" s="1"/>
  <c r="AT64" i="45" s="1"/>
  <c r="D11" i="45" s="1"/>
  <c r="L65" i="45"/>
  <c r="N65" i="45" s="1"/>
  <c r="AQ65" i="45" s="1"/>
  <c r="AT65" i="45" s="1"/>
  <c r="E11" i="45" s="1"/>
  <c r="Z60" i="45"/>
  <c r="AB60" i="45" s="1"/>
  <c r="AR49" i="45"/>
  <c r="AR50" i="45"/>
  <c r="L80" i="45" l="1"/>
  <c r="N80" i="45" s="1"/>
  <c r="AQ80" i="45" s="1"/>
  <c r="AT80" i="45" s="1"/>
  <c r="E14" i="45" s="1"/>
  <c r="AK85" i="45" s="1"/>
  <c r="AM85" i="45" s="1"/>
  <c r="AS85" i="45" s="1"/>
  <c r="AT85" i="45" s="1"/>
  <c r="E15" i="45" s="1"/>
  <c r="AK90" i="45" s="1"/>
  <c r="AM90" i="45" s="1"/>
  <c r="AS90" i="45" s="1"/>
  <c r="AT90" i="45" s="1"/>
  <c r="AK70" i="45"/>
  <c r="AM70" i="45" s="1"/>
  <c r="AS70" i="45" s="1"/>
  <c r="AT70" i="45" s="1"/>
  <c r="E12" i="45" s="1"/>
  <c r="AK75" i="45" s="1"/>
  <c r="AM75" i="45" s="1"/>
  <c r="AS75" i="45" s="1"/>
  <c r="Z75" i="45"/>
  <c r="AB75" i="45" s="1"/>
  <c r="L79" i="45"/>
  <c r="N79" i="45" s="1"/>
  <c r="AQ79" i="45" s="1"/>
  <c r="AT79" i="45" s="1"/>
  <c r="D14" i="45" s="1"/>
  <c r="AK84" i="45" s="1"/>
  <c r="AM84" i="45" s="1"/>
  <c r="AS84" i="45" s="1"/>
  <c r="AT84" i="45" s="1"/>
  <c r="D15" i="45" s="1"/>
  <c r="AK89" i="45" s="1"/>
  <c r="AM89" i="45" s="1"/>
  <c r="AS89" i="45" s="1"/>
  <c r="AT89" i="45" s="1"/>
  <c r="Z74" i="45"/>
  <c r="AB74" i="45" s="1"/>
  <c r="AK69" i="45"/>
  <c r="AM69" i="45" s="1"/>
  <c r="AS69" i="45" s="1"/>
  <c r="AT69" i="45" s="1"/>
  <c r="D12" i="45" s="1"/>
  <c r="AK74" i="45" s="1"/>
  <c r="AM74" i="45" s="1"/>
  <c r="AS74" i="45" s="1"/>
  <c r="Z64" i="45"/>
  <c r="AB64" i="45" s="1"/>
  <c r="AK64" i="45"/>
  <c r="AM64" i="45" s="1"/>
  <c r="AS64" i="45" s="1"/>
  <c r="L74" i="45"/>
  <c r="N74" i="45" s="1"/>
  <c r="AQ74" i="45" s="1"/>
  <c r="AT74" i="45" s="1"/>
  <c r="D13" i="45" s="1"/>
  <c r="AK79" i="45" s="1"/>
  <c r="AM79" i="45" s="1"/>
  <c r="AS79" i="45" s="1"/>
  <c r="AR60" i="45"/>
  <c r="AR59" i="45"/>
  <c r="L75" i="45"/>
  <c r="N75" i="45" s="1"/>
  <c r="AQ75" i="45" s="1"/>
  <c r="AT75" i="45" s="1"/>
  <c r="E13" i="45" s="1"/>
  <c r="AK80" i="45" s="1"/>
  <c r="AM80" i="45" s="1"/>
  <c r="AS80" i="45" s="1"/>
  <c r="AK65" i="45"/>
  <c r="AM65" i="45" s="1"/>
  <c r="AS65" i="45" s="1"/>
  <c r="Z65" i="45"/>
  <c r="AB65" i="45" s="1"/>
  <c r="AR54" i="45"/>
  <c r="AR55" i="45"/>
  <c r="D18" i="45" l="1"/>
  <c r="D24" i="45"/>
  <c r="D21" i="45"/>
  <c r="D22" i="45"/>
  <c r="D17" i="45"/>
  <c r="D25" i="45"/>
  <c r="D19" i="45"/>
  <c r="D16" i="45"/>
  <c r="D26" i="45"/>
  <c r="D28" i="45"/>
  <c r="D20" i="45"/>
  <c r="D23" i="45"/>
  <c r="D27" i="45"/>
  <c r="B75" i="61" s="1" a="1"/>
  <c r="AR64" i="45"/>
  <c r="AR65" i="45"/>
  <c r="AR75" i="45"/>
  <c r="AR74" i="45"/>
  <c r="E20" i="45"/>
  <c r="E23" i="45"/>
  <c r="E21" i="45"/>
  <c r="E24" i="45"/>
  <c r="E18" i="45"/>
  <c r="E25" i="45"/>
  <c r="E28" i="45"/>
  <c r="E22" i="45"/>
  <c r="E17" i="45"/>
  <c r="E16" i="45"/>
  <c r="E19" i="45"/>
  <c r="E26" i="45"/>
  <c r="E27" i="45"/>
  <c r="B75" i="61" l="1"/>
  <c r="P8" i="54" s="1"/>
  <c r="M75" i="61"/>
  <c r="AA8" i="54" s="1"/>
  <c r="C75" i="61"/>
  <c r="Q8" i="54" s="1"/>
  <c r="L75" i="61"/>
  <c r="Z8" i="54" s="1"/>
  <c r="V75" i="61"/>
  <c r="AJ8" i="54" s="1"/>
  <c r="D75" i="61"/>
  <c r="R8" i="54" s="1"/>
  <c r="Q75" i="61"/>
  <c r="AE8" i="54" s="1"/>
  <c r="N75" i="61"/>
  <c r="AB8" i="54" s="1"/>
  <c r="U75" i="61"/>
  <c r="AI8" i="54" s="1"/>
  <c r="J75" i="61"/>
  <c r="X8" i="54" s="1"/>
  <c r="O75" i="61"/>
  <c r="AC8" i="54" s="1"/>
  <c r="Z75" i="61"/>
  <c r="AN8" i="54" s="1"/>
  <c r="H75" i="61"/>
  <c r="V8" i="54" s="1"/>
  <c r="G75" i="61"/>
  <c r="U8" i="54" s="1"/>
  <c r="Y75" i="61"/>
  <c r="AM8" i="54" s="1"/>
  <c r="K75" i="61"/>
  <c r="Y8" i="54" s="1"/>
  <c r="I75" i="61"/>
  <c r="W8" i="54" s="1"/>
  <c r="X75" i="61"/>
  <c r="AL8" i="54" s="1"/>
  <c r="E75" i="61"/>
  <c r="S8" i="54" s="1"/>
  <c r="W75" i="61"/>
  <c r="AK8" i="54" s="1"/>
  <c r="R75" i="61"/>
  <c r="AF8" i="54" s="1"/>
  <c r="S75" i="61"/>
  <c r="AG8" i="54" s="1"/>
  <c r="P75" i="61"/>
  <c r="AD8" i="54" s="1"/>
  <c r="F75" i="61"/>
  <c r="T8" i="54" s="1"/>
  <c r="T75" i="61"/>
  <c r="AH8" i="54" s="1"/>
  <c r="AC75" i="61" a="1"/>
  <c r="AK95" i="45"/>
  <c r="AM95" i="45" s="1"/>
  <c r="AS95" i="45" s="1"/>
  <c r="AT95" i="45" s="1"/>
  <c r="AK125" i="45"/>
  <c r="AM125" i="45" s="1"/>
  <c r="AS125" i="45" s="1"/>
  <c r="AT125" i="45" s="1"/>
  <c r="AK120" i="45"/>
  <c r="AM120" i="45" s="1"/>
  <c r="AS120" i="45" s="1"/>
  <c r="AT120" i="45" s="1"/>
  <c r="AK100" i="45"/>
  <c r="AM100" i="45" s="1"/>
  <c r="AS100" i="45" s="1"/>
  <c r="AT100" i="45" s="1"/>
  <c r="AK105" i="45"/>
  <c r="AM105" i="45" s="1"/>
  <c r="AS105" i="45" s="1"/>
  <c r="AT105" i="45" s="1"/>
  <c r="AK115" i="45"/>
  <c r="AM115" i="45" s="1"/>
  <c r="AS115" i="45" s="1"/>
  <c r="AT115" i="45" s="1"/>
  <c r="AK110" i="45"/>
  <c r="AM110" i="45" s="1"/>
  <c r="AS110" i="45" s="1"/>
  <c r="AT110" i="45" s="1"/>
  <c r="AK135" i="45"/>
  <c r="AM135" i="45" s="1"/>
  <c r="AS135" i="45" s="1"/>
  <c r="AT135" i="45" s="1"/>
  <c r="AK150" i="45"/>
  <c r="AM150" i="45" s="1"/>
  <c r="AS150" i="45" s="1"/>
  <c r="AT150" i="45" s="1"/>
  <c r="AK140" i="45"/>
  <c r="AM140" i="45" s="1"/>
  <c r="AS140" i="45" s="1"/>
  <c r="AT140" i="45" s="1"/>
  <c r="AK130" i="45"/>
  <c r="AM130" i="45" s="1"/>
  <c r="AS130" i="45" s="1"/>
  <c r="AT130" i="45" s="1"/>
  <c r="AK145" i="45"/>
  <c r="AM145" i="45" s="1"/>
  <c r="AS145" i="45" s="1"/>
  <c r="AT145" i="45" s="1"/>
  <c r="AK149" i="45"/>
  <c r="AM149" i="45" s="1"/>
  <c r="AS149" i="45" s="1"/>
  <c r="AT149" i="45" s="1"/>
  <c r="AK94" i="45"/>
  <c r="AM94" i="45" s="1"/>
  <c r="AS94" i="45" s="1"/>
  <c r="AT94" i="45" s="1"/>
  <c r="AK119" i="45"/>
  <c r="AM119" i="45" s="1"/>
  <c r="AS119" i="45" s="1"/>
  <c r="AT119" i="45" s="1"/>
  <c r="AK144" i="45"/>
  <c r="AM144" i="45" s="1"/>
  <c r="AS144" i="45" s="1"/>
  <c r="AT144" i="45" s="1"/>
  <c r="AK104" i="45"/>
  <c r="AM104" i="45" s="1"/>
  <c r="AS104" i="45" s="1"/>
  <c r="AT104" i="45" s="1"/>
  <c r="AK114" i="45"/>
  <c r="AM114" i="45" s="1"/>
  <c r="AS114" i="45" s="1"/>
  <c r="AT114" i="45" s="1"/>
  <c r="AK109" i="45"/>
  <c r="AM109" i="45" s="1"/>
  <c r="AS109" i="45" s="1"/>
  <c r="AT109" i="45" s="1"/>
  <c r="AK124" i="45"/>
  <c r="AM124" i="45" s="1"/>
  <c r="AS124" i="45" s="1"/>
  <c r="AT124" i="45" s="1"/>
  <c r="AK99" i="45"/>
  <c r="AM99" i="45" s="1"/>
  <c r="AS99" i="45" s="1"/>
  <c r="AT99" i="45" s="1"/>
  <c r="AK139" i="45"/>
  <c r="AM139" i="45" s="1"/>
  <c r="AS139" i="45" s="1"/>
  <c r="AT139" i="45" s="1"/>
  <c r="AK129" i="45"/>
  <c r="AM129" i="45" s="1"/>
  <c r="AS129" i="45" s="1"/>
  <c r="AT129" i="45" s="1"/>
  <c r="AK134" i="45"/>
  <c r="AM134" i="45" s="1"/>
  <c r="AS134" i="45" s="1"/>
  <c r="AT134" i="45" s="1"/>
  <c r="K9" i="22"/>
  <c r="L9" i="22" s="1"/>
  <c r="AY9" i="22"/>
  <c r="AZ9" i="22" s="1"/>
  <c r="K9" i="23"/>
  <c r="L9" i="23" s="1"/>
  <c r="AY9" i="23"/>
  <c r="AZ9" i="23" s="1"/>
  <c r="K9" i="5"/>
  <c r="L9" i="5" s="1"/>
  <c r="AY9" i="5"/>
  <c r="AZ9" i="5" s="1"/>
  <c r="K9" i="4"/>
  <c r="L9" i="4" s="1"/>
  <c r="AY9" i="4"/>
  <c r="AZ9" i="4" s="1"/>
  <c r="K9" i="25"/>
  <c r="L9" i="25" s="1"/>
  <c r="AY9" i="25"/>
  <c r="AZ9" i="25" s="1"/>
  <c r="K9" i="7"/>
  <c r="L9" i="7" s="1"/>
  <c r="AY9" i="7"/>
  <c r="AZ9" i="7" s="1"/>
  <c r="K9" i="12"/>
  <c r="L9" i="12" s="1"/>
  <c r="AY9" i="12"/>
  <c r="AZ9" i="12" s="1"/>
  <c r="K9" i="15"/>
  <c r="L9" i="15" s="1"/>
  <c r="AY9" i="15"/>
  <c r="AZ9" i="15" s="1"/>
  <c r="K9" i="14"/>
  <c r="L9" i="14" s="1"/>
  <c r="AY9" i="14"/>
  <c r="AZ9" i="14" s="1"/>
  <c r="AY9" i="6"/>
  <c r="AZ9" i="6" s="1"/>
  <c r="K9" i="6"/>
  <c r="L9" i="6" s="1"/>
  <c r="AY9" i="10"/>
  <c r="AZ9" i="10" s="1"/>
  <c r="K9" i="10"/>
  <c r="L9" i="10" s="1"/>
  <c r="K9" i="18"/>
  <c r="L9" i="18" s="1"/>
  <c r="AY9" i="18"/>
  <c r="AZ9" i="18" s="1"/>
  <c r="K9" i="17"/>
  <c r="L9" i="17" s="1"/>
  <c r="AY9" i="17"/>
  <c r="AZ9" i="17" s="1"/>
  <c r="K9" i="53"/>
  <c r="K9" i="20"/>
  <c r="L9" i="20" s="1"/>
  <c r="AY9" i="20"/>
  <c r="AZ9" i="20" s="1"/>
  <c r="AY9" i="53"/>
  <c r="AZ9" i="53" s="1"/>
  <c r="AY9" i="13"/>
  <c r="AZ9" i="13" s="1"/>
  <c r="K9" i="13"/>
  <c r="L9" i="13" s="1"/>
  <c r="K9" i="19"/>
  <c r="L9" i="19" s="1"/>
  <c r="AY9" i="19"/>
  <c r="AZ9" i="19" s="1"/>
  <c r="K9" i="3"/>
  <c r="L9" i="3" s="1"/>
  <c r="AY9" i="3"/>
  <c r="AZ9" i="3" s="1"/>
  <c r="AY9" i="1"/>
  <c r="AZ9" i="1" s="1"/>
  <c r="K9" i="1"/>
  <c r="L9" i="1" s="1"/>
  <c r="K9" i="21"/>
  <c r="L9" i="21" s="1"/>
  <c r="AY9" i="21"/>
  <c r="AZ9" i="21" s="1"/>
  <c r="AY9" i="11"/>
  <c r="AZ9" i="11" s="1"/>
  <c r="K9" i="11"/>
  <c r="L9" i="11" s="1"/>
  <c r="K9" i="16"/>
  <c r="L9" i="16" s="1"/>
  <c r="AY9" i="16"/>
  <c r="AZ9" i="16" s="1"/>
  <c r="K9" i="2"/>
  <c r="L9" i="2" s="1"/>
  <c r="AY9" i="2"/>
  <c r="AZ9" i="2" s="1"/>
  <c r="K9" i="24"/>
  <c r="L9" i="24" s="1"/>
  <c r="AY9" i="24"/>
  <c r="AZ9" i="24" s="1"/>
  <c r="AY9" i="9"/>
  <c r="AZ9" i="9" s="1"/>
  <c r="K9" i="9"/>
  <c r="L9" i="9" s="1"/>
  <c r="K9" i="8"/>
  <c r="L9" i="8" s="1"/>
  <c r="AY9" i="8"/>
  <c r="AZ9" i="8" s="1"/>
  <c r="AZ75" i="61" l="1"/>
  <c r="AM8" i="55" s="1"/>
  <c r="AX75" i="61"/>
  <c r="AK8" i="55" s="1"/>
  <c r="AN75" i="61"/>
  <c r="AA8" i="55" s="1"/>
  <c r="AF75" i="61"/>
  <c r="S8" i="55" s="1"/>
  <c r="AL75" i="61"/>
  <c r="Y8" i="55" s="1"/>
  <c r="AU75" i="61"/>
  <c r="AH8" i="55" s="1"/>
  <c r="AH75" i="61"/>
  <c r="U8" i="55" s="1"/>
  <c r="AI75" i="61"/>
  <c r="V8" i="55" s="1"/>
  <c r="AG75" i="61"/>
  <c r="T8" i="55" s="1"/>
  <c r="BA75" i="61"/>
  <c r="AN8" i="55" s="1"/>
  <c r="AK75" i="61"/>
  <c r="X8" i="55" s="1"/>
  <c r="AS75" i="61"/>
  <c r="AF8" i="55" s="1"/>
  <c r="AC75" i="61"/>
  <c r="P8" i="55" s="1"/>
  <c r="AD75" i="61"/>
  <c r="Q8" i="55" s="1"/>
  <c r="AV75" i="61"/>
  <c r="AI8" i="55" s="1"/>
  <c r="AR75" i="61"/>
  <c r="AE8" i="55" s="1"/>
  <c r="AE75" i="61"/>
  <c r="R8" i="55" s="1"/>
  <c r="AP75" i="61"/>
  <c r="AC8" i="55" s="1"/>
  <c r="AY75" i="61"/>
  <c r="AL8" i="55" s="1"/>
  <c r="AO75" i="61"/>
  <c r="AB8" i="55" s="1"/>
  <c r="AQ75" i="61"/>
  <c r="AD8" i="55" s="1"/>
  <c r="AM75" i="61"/>
  <c r="Z8" i="55" s="1"/>
  <c r="AT75" i="61"/>
  <c r="AG8" i="55" s="1"/>
  <c r="AW75" i="61"/>
  <c r="AJ8" i="55" s="1"/>
  <c r="AJ75" i="61"/>
  <c r="W8" i="55" s="1"/>
  <c r="BC9" i="9"/>
  <c r="O9" i="16"/>
  <c r="BC9" i="24"/>
  <c r="BC9" i="2"/>
  <c r="BC9" i="21"/>
  <c r="O9" i="1"/>
  <c r="BC9" i="19"/>
  <c r="O9" i="13"/>
  <c r="O9" i="20"/>
  <c r="BC9" i="17"/>
  <c r="O9" i="10"/>
  <c r="O9" i="14"/>
  <c r="O9" i="15"/>
  <c r="O9" i="12"/>
  <c r="BC9" i="4"/>
  <c r="BC9" i="5"/>
  <c r="O9" i="24"/>
  <c r="O9" i="2"/>
  <c r="O9" i="21"/>
  <c r="BC9" i="1"/>
  <c r="O9" i="19"/>
  <c r="BC9" i="13"/>
  <c r="L9" i="53"/>
  <c r="O9" i="17"/>
  <c r="BC9" i="10"/>
  <c r="BC9" i="7"/>
  <c r="O9" i="25"/>
  <c r="O9" i="4"/>
  <c r="O9" i="5"/>
  <c r="O9" i="8"/>
  <c r="BC9" i="8"/>
  <c r="O9" i="9"/>
  <c r="BC9" i="16"/>
  <c r="O9" i="11"/>
  <c r="BC9" i="3"/>
  <c r="BC9" i="53"/>
  <c r="BC9" i="18"/>
  <c r="O9" i="6"/>
  <c r="O9" i="7"/>
  <c r="BC9" i="23"/>
  <c r="BC9" i="22"/>
  <c r="BC9" i="11"/>
  <c r="O9" i="3"/>
  <c r="BC9" i="20"/>
  <c r="O9" i="18"/>
  <c r="BC9" i="6"/>
  <c r="BC9" i="14"/>
  <c r="BC9" i="15"/>
  <c r="BC9" i="12"/>
  <c r="BC9" i="25"/>
  <c r="O9" i="23"/>
  <c r="O9" i="22"/>
  <c r="M9" i="5" l="1"/>
  <c r="N9" i="5" s="1"/>
  <c r="BA9" i="5"/>
  <c r="BB9" i="5" s="1"/>
  <c r="M9" i="13"/>
  <c r="N9" i="13" s="1"/>
  <c r="BA9" i="13"/>
  <c r="BB9" i="13" s="1"/>
  <c r="BA9" i="10"/>
  <c r="BB9" i="10" s="1"/>
  <c r="M9" i="10"/>
  <c r="N9" i="10" s="1"/>
  <c r="BA9" i="9"/>
  <c r="BB9" i="9" s="1"/>
  <c r="M9" i="9"/>
  <c r="N9" i="9" s="1"/>
  <c r="M9" i="19"/>
  <c r="N9" i="19" s="1"/>
  <c r="BA9" i="19"/>
  <c r="BB9" i="19" s="1"/>
  <c r="M9" i="22"/>
  <c r="N9" i="22" s="1"/>
  <c r="BA9" i="22"/>
  <c r="BB9" i="22" s="1"/>
  <c r="BA9" i="8"/>
  <c r="BB9" i="8" s="1"/>
  <c r="M9" i="8"/>
  <c r="N9" i="8" s="1"/>
  <c r="M9" i="3"/>
  <c r="N9" i="3" s="1"/>
  <c r="BA9" i="3"/>
  <c r="BB9" i="3" s="1"/>
  <c r="BA9" i="6"/>
  <c r="BB9" i="6" s="1"/>
  <c r="M9" i="6"/>
  <c r="N9" i="6" s="1"/>
  <c r="M9" i="17"/>
  <c r="N9" i="17" s="1"/>
  <c r="BA9" i="17"/>
  <c r="BB9" i="17" s="1"/>
  <c r="BA9" i="53"/>
  <c r="BB9" i="53" s="1"/>
  <c r="BA9" i="20"/>
  <c r="BB9" i="20" s="1"/>
  <c r="M9" i="20"/>
  <c r="N9" i="20" s="1"/>
  <c r="M9" i="53"/>
  <c r="N9" i="53" s="1"/>
  <c r="M9" i="14"/>
  <c r="N9" i="14" s="1"/>
  <c r="BA9" i="14"/>
  <c r="BB9" i="14" s="1"/>
  <c r="M9" i="15"/>
  <c r="N9" i="15" s="1"/>
  <c r="BA9" i="15"/>
  <c r="BB9" i="15" s="1"/>
  <c r="BA9" i="12"/>
  <c r="BB9" i="12" s="1"/>
  <c r="M9" i="12"/>
  <c r="N9" i="12" s="1"/>
  <c r="M9" i="24"/>
  <c r="N9" i="24" s="1"/>
  <c r="BA9" i="24"/>
  <c r="BB9" i="24" s="1"/>
  <c r="BA9" i="1"/>
  <c r="BB9" i="1" s="1"/>
  <c r="M9" i="1"/>
  <c r="N9" i="1" s="1"/>
  <c r="BA9" i="7"/>
  <c r="BB9" i="7" s="1"/>
  <c r="M9" i="7"/>
  <c r="N9" i="7" s="1"/>
  <c r="BA9" i="4"/>
  <c r="BB9" i="4" s="1"/>
  <c r="M9" i="4"/>
  <c r="N9" i="4" s="1"/>
  <c r="M9" i="18"/>
  <c r="N9" i="18" s="1"/>
  <c r="BA9" i="18"/>
  <c r="BB9" i="18" s="1"/>
  <c r="BA9" i="11"/>
  <c r="BB9" i="11" s="1"/>
  <c r="M9" i="11"/>
  <c r="N9" i="11" s="1"/>
  <c r="M9" i="23"/>
  <c r="N9" i="23" s="1"/>
  <c r="BA9" i="23"/>
  <c r="BB9" i="23" s="1"/>
  <c r="M9" i="25"/>
  <c r="N9" i="25" s="1"/>
  <c r="BA9" i="25"/>
  <c r="BB9" i="25" s="1"/>
  <c r="M9" i="21"/>
  <c r="N9" i="21" s="1"/>
  <c r="BA9" i="21"/>
  <c r="BB9" i="21" s="1"/>
  <c r="M9" i="16"/>
  <c r="N9" i="16" s="1"/>
  <c r="BA9" i="16"/>
  <c r="BB9" i="16" s="1"/>
  <c r="M9" i="2"/>
  <c r="N9" i="2" s="1"/>
  <c r="BA9" i="2"/>
  <c r="BB9" i="2" s="1"/>
  <c r="O9" i="53"/>
  <c r="AP65" i="48"/>
  <c r="AT65" i="48" s="1"/>
  <c r="E11" i="48" s="1"/>
  <c r="L80" i="48" s="1"/>
  <c r="N80" i="48" s="1"/>
  <c r="AQ80" i="48" s="1"/>
  <c r="AP64" i="48"/>
  <c r="AT64" i="48" s="1"/>
  <c r="D11" i="48" s="1"/>
  <c r="L79" i="48" s="1"/>
  <c r="N79" i="48" s="1"/>
  <c r="AQ79" i="48" s="1"/>
  <c r="Z75" i="48" l="1"/>
  <c r="AB75" i="48" s="1"/>
  <c r="AK70" i="48"/>
  <c r="AM70" i="48" s="1"/>
  <c r="AS70" i="48" s="1"/>
  <c r="AK69" i="48"/>
  <c r="AM69" i="48" s="1"/>
  <c r="AS69" i="48" s="1"/>
  <c r="Z74" i="48"/>
  <c r="AB74" i="48" s="1"/>
  <c r="AB9" i="48"/>
  <c r="AD9" i="48" s="1"/>
  <c r="L6" i="48" s="1"/>
  <c r="AP69" i="48" s="1"/>
  <c r="AT69" i="48" s="1"/>
  <c r="D12" i="48" s="1"/>
  <c r="AB22" i="48"/>
  <c r="AD22" i="48" s="1"/>
  <c r="AP5" i="48"/>
  <c r="AR5" i="48" s="1"/>
  <c r="L10" i="48" s="1"/>
  <c r="AP79" i="48" s="1"/>
  <c r="AT79" i="48" s="1"/>
  <c r="D14" i="48" s="1"/>
  <c r="AK84" i="48" s="1"/>
  <c r="AM84" i="48" s="1"/>
  <c r="AS84" i="48" s="1"/>
  <c r="AT84" i="48" s="1"/>
  <c r="D15" i="48" s="1"/>
  <c r="AK89" i="48" s="1"/>
  <c r="AM89" i="48" s="1"/>
  <c r="AS89" i="48" s="1"/>
  <c r="AT89" i="48" s="1"/>
  <c r="AP6" i="48"/>
  <c r="AR6" i="48" s="1"/>
  <c r="L11" i="48" s="1"/>
  <c r="AP80" i="48" s="1"/>
  <c r="AT80" i="48" s="1"/>
  <c r="E14" i="48" s="1"/>
  <c r="AK85" i="48" s="1"/>
  <c r="AM85" i="48" s="1"/>
  <c r="AS85" i="48" s="1"/>
  <c r="AT85" i="48" s="1"/>
  <c r="E15" i="48" s="1"/>
  <c r="AK90" i="48" s="1"/>
  <c r="AM90" i="48" s="1"/>
  <c r="AS90" i="48" s="1"/>
  <c r="AT90" i="48" s="1"/>
  <c r="AB10" i="48"/>
  <c r="AD10" i="48" s="1"/>
  <c r="L7" i="48" s="1"/>
  <c r="AP70" i="48" s="1"/>
  <c r="AT70" i="48" s="1"/>
  <c r="E12" i="48" s="1"/>
  <c r="AB23" i="48"/>
  <c r="AD23" i="48" s="1"/>
  <c r="AR75" i="48" l="1"/>
  <c r="AR74" i="48"/>
  <c r="E19" i="48"/>
  <c r="E23" i="48"/>
  <c r="E27" i="48"/>
  <c r="E18" i="48"/>
  <c r="E22" i="48"/>
  <c r="E26" i="48"/>
  <c r="E17" i="48"/>
  <c r="E21" i="48"/>
  <c r="E25" i="48"/>
  <c r="E16" i="48"/>
  <c r="E20" i="48"/>
  <c r="E24" i="48"/>
  <c r="E28" i="48"/>
  <c r="AB28" i="48"/>
  <c r="AD28" i="48" s="1"/>
  <c r="AK75" i="48"/>
  <c r="AM75" i="48" s="1"/>
  <c r="AS75" i="48" s="1"/>
  <c r="X25" i="48"/>
  <c r="L9" i="48" s="1"/>
  <c r="AP75" i="48" s="1"/>
  <c r="AT75" i="48" s="1"/>
  <c r="E13" i="48" s="1"/>
  <c r="X24" i="48"/>
  <c r="L8" i="48" s="1"/>
  <c r="AP74" i="48" s="1"/>
  <c r="AT74" i="48" s="1"/>
  <c r="D13" i="48" s="1"/>
  <c r="AK74" i="48"/>
  <c r="AM74" i="48" s="1"/>
  <c r="AS74" i="48" s="1"/>
  <c r="AB27" i="48"/>
  <c r="AD27" i="48" s="1"/>
  <c r="D17" i="48"/>
  <c r="D21" i="48"/>
  <c r="D25" i="48"/>
  <c r="D16" i="48"/>
  <c r="D20" i="48"/>
  <c r="D24" i="48"/>
  <c r="D28" i="48"/>
  <c r="D19" i="48"/>
  <c r="D23" i="48"/>
  <c r="D27" i="48"/>
  <c r="D18" i="48"/>
  <c r="D22" i="48"/>
  <c r="D26" i="48"/>
  <c r="AK114" i="48" l="1"/>
  <c r="AM114" i="48" s="1"/>
  <c r="AS114" i="48" s="1"/>
  <c r="AT114" i="48" s="1"/>
  <c r="AK134" i="48"/>
  <c r="AM134" i="48" s="1"/>
  <c r="AS134" i="48" s="1"/>
  <c r="AT134" i="48" s="1"/>
  <c r="AK139" i="48"/>
  <c r="AM139" i="48" s="1"/>
  <c r="AS139" i="48" s="1"/>
  <c r="AT139" i="48" s="1"/>
  <c r="AK109" i="48"/>
  <c r="AM109" i="48" s="1"/>
  <c r="AS109" i="48" s="1"/>
  <c r="AT109" i="48" s="1"/>
  <c r="AK144" i="48"/>
  <c r="AM144" i="48" s="1"/>
  <c r="AS144" i="48" s="1"/>
  <c r="AT144" i="48" s="1"/>
  <c r="AK104" i="48"/>
  <c r="AM104" i="48" s="1"/>
  <c r="AS104" i="48" s="1"/>
  <c r="AT104" i="48" s="1"/>
  <c r="AK124" i="48"/>
  <c r="AM124" i="48" s="1"/>
  <c r="AS124" i="48" s="1"/>
  <c r="AT124" i="48" s="1"/>
  <c r="AK119" i="48"/>
  <c r="AM119" i="48" s="1"/>
  <c r="AS119" i="48" s="1"/>
  <c r="AT119" i="48" s="1"/>
  <c r="AK149" i="48"/>
  <c r="AM149" i="48" s="1"/>
  <c r="AS149" i="48" s="1"/>
  <c r="AT149" i="48" s="1"/>
  <c r="AK129" i="48"/>
  <c r="AM129" i="48" s="1"/>
  <c r="AS129" i="48" s="1"/>
  <c r="AT129" i="48" s="1"/>
  <c r="AK94" i="48"/>
  <c r="AM94" i="48" s="1"/>
  <c r="AS94" i="48" s="1"/>
  <c r="AT94" i="48" s="1"/>
  <c r="AK99" i="48"/>
  <c r="AM99" i="48" s="1"/>
  <c r="AS99" i="48" s="1"/>
  <c r="AT99" i="48" s="1"/>
  <c r="AK115" i="48"/>
  <c r="AM115" i="48" s="1"/>
  <c r="AS115" i="48" s="1"/>
  <c r="AT115" i="48" s="1"/>
  <c r="AK125" i="48"/>
  <c r="AM125" i="48" s="1"/>
  <c r="AS125" i="48" s="1"/>
  <c r="AT125" i="48" s="1"/>
  <c r="AK150" i="48"/>
  <c r="AM150" i="48" s="1"/>
  <c r="AS150" i="48" s="1"/>
  <c r="AT150" i="48" s="1"/>
  <c r="AK120" i="48"/>
  <c r="AM120" i="48" s="1"/>
  <c r="AS120" i="48" s="1"/>
  <c r="AT120" i="48" s="1"/>
  <c r="AK95" i="48"/>
  <c r="AM95" i="48" s="1"/>
  <c r="AS95" i="48" s="1"/>
  <c r="AT95" i="48" s="1"/>
  <c r="AK145" i="48"/>
  <c r="AM145" i="48" s="1"/>
  <c r="AS145" i="48" s="1"/>
  <c r="AT145" i="48" s="1"/>
  <c r="AK100" i="48"/>
  <c r="AM100" i="48" s="1"/>
  <c r="AS100" i="48" s="1"/>
  <c r="AT100" i="48" s="1"/>
  <c r="AK140" i="48"/>
  <c r="AM140" i="48" s="1"/>
  <c r="AS140" i="48" s="1"/>
  <c r="AT140" i="48" s="1"/>
  <c r="AK110" i="48"/>
  <c r="AM110" i="48" s="1"/>
  <c r="AS110" i="48" s="1"/>
  <c r="AT110" i="48" s="1"/>
  <c r="AK135" i="48"/>
  <c r="AM135" i="48" s="1"/>
  <c r="AS135" i="48" s="1"/>
  <c r="AT135" i="48" s="1"/>
  <c r="AK105" i="48"/>
  <c r="AM105" i="48" s="1"/>
  <c r="AS105" i="48" s="1"/>
  <c r="AT105" i="48" s="1"/>
  <c r="AK130" i="48"/>
  <c r="AM130" i="48" s="1"/>
  <c r="AS130" i="48" s="1"/>
  <c r="AT130" i="48" s="1"/>
  <c r="AK79" i="48"/>
  <c r="AM79" i="48" s="1"/>
  <c r="AS79" i="48" s="1"/>
  <c r="AP15" i="48"/>
  <c r="AR15" i="48" s="1"/>
  <c r="AK80" i="48"/>
  <c r="AM80" i="48" s="1"/>
  <c r="AS80" i="48" s="1"/>
  <c r="AP16" i="48"/>
  <c r="AR16" i="48" s="1"/>
  <c r="AC72" i="61" a="1"/>
  <c r="B72" i="61" a="1"/>
  <c r="AN72" i="61" l="1"/>
  <c r="AC72" i="61"/>
  <c r="AE72" i="61"/>
  <c r="AG72" i="61"/>
  <c r="AI72" i="61"/>
  <c r="AK72" i="61"/>
  <c r="AD72" i="61"/>
  <c r="AJ72" i="61"/>
  <c r="AL72" i="61"/>
  <c r="AF72" i="61"/>
  <c r="AH72" i="61"/>
  <c r="AM72" i="61"/>
  <c r="AO72" i="61"/>
  <c r="AS72" i="61"/>
  <c r="AW72" i="61"/>
  <c r="BA72" i="61"/>
  <c r="AR72" i="61"/>
  <c r="AV72" i="61"/>
  <c r="AZ72" i="61"/>
  <c r="AQ72" i="61"/>
  <c r="AU72" i="61"/>
  <c r="AY72" i="61"/>
  <c r="AP72" i="61"/>
  <c r="AT72" i="61"/>
  <c r="AX72" i="61"/>
  <c r="D72" i="61"/>
  <c r="F72" i="61"/>
  <c r="H72" i="61"/>
  <c r="I72" i="61"/>
  <c r="L72" i="61"/>
  <c r="M72" i="61"/>
  <c r="C72" i="61"/>
  <c r="E72" i="61"/>
  <c r="G72" i="61"/>
  <c r="J72" i="61"/>
  <c r="K72" i="61"/>
  <c r="B72" i="61"/>
  <c r="P72" i="61"/>
  <c r="T72" i="61"/>
  <c r="X72" i="61"/>
  <c r="O72" i="61"/>
  <c r="S72" i="61"/>
  <c r="W72" i="61"/>
  <c r="N72" i="61"/>
  <c r="R72" i="61"/>
  <c r="V72" i="61"/>
  <c r="Z72" i="61"/>
  <c r="Q72" i="61"/>
  <c r="U72" i="61"/>
  <c r="Y72" i="61"/>
  <c r="AI5" i="54" l="1"/>
  <c r="AC5" i="54"/>
  <c r="P5" i="54"/>
  <c r="S5" i="54"/>
  <c r="W5" i="54"/>
  <c r="AK5" i="55"/>
  <c r="AH5" i="55"/>
  <c r="AE5" i="55"/>
  <c r="AB5" i="55"/>
  <c r="Y5" i="55"/>
  <c r="AA5" i="55"/>
  <c r="AE5" i="54"/>
  <c r="AB5" i="54"/>
  <c r="AL5" i="54"/>
  <c r="Y5" i="54"/>
  <c r="Q5" i="54"/>
  <c r="V5" i="54"/>
  <c r="AG5" i="55"/>
  <c r="AD5" i="55"/>
  <c r="AN5" i="55"/>
  <c r="Z5" i="55"/>
  <c r="W5" i="55"/>
  <c r="T5" i="55"/>
  <c r="AK5" i="54"/>
  <c r="U5" i="55"/>
  <c r="AN5" i="54"/>
  <c r="AH5" i="54"/>
  <c r="X5" i="54"/>
  <c r="AA5" i="54"/>
  <c r="T5" i="54"/>
  <c r="AC5" i="55"/>
  <c r="AM5" i="55"/>
  <c r="AJ5" i="55"/>
  <c r="Q5" i="55"/>
  <c r="R5" i="55"/>
  <c r="AM5" i="54"/>
  <c r="AJ5" i="54"/>
  <c r="AG5" i="54"/>
  <c r="AD5" i="54"/>
  <c r="U5" i="54"/>
  <c r="Z5" i="54"/>
  <c r="R5" i="54"/>
  <c r="AL5" i="55"/>
  <c r="AI5" i="55"/>
  <c r="AF5" i="55"/>
  <c r="S5" i="55"/>
  <c r="X5" i="55"/>
  <c r="P5" i="55"/>
  <c r="AF5" i="54"/>
  <c r="V5" i="55"/>
  <c r="AY6" i="9" l="1"/>
  <c r="AZ6" i="9" s="1"/>
  <c r="K6" i="9"/>
  <c r="L6" i="9" s="1"/>
  <c r="M6" i="19"/>
  <c r="N6" i="19" s="1"/>
  <c r="BA6" i="19"/>
  <c r="BB6" i="19" s="1"/>
  <c r="M6" i="22"/>
  <c r="N6" i="22" s="1"/>
  <c r="BA6" i="22"/>
  <c r="BB6" i="22" s="1"/>
  <c r="K6" i="23"/>
  <c r="L6" i="23" s="1"/>
  <c r="AY6" i="23"/>
  <c r="AZ6" i="23" s="1"/>
  <c r="K6" i="8"/>
  <c r="L6" i="8" s="1"/>
  <c r="AY6" i="8"/>
  <c r="AZ6" i="8" s="1"/>
  <c r="M6" i="24"/>
  <c r="N6" i="24" s="1"/>
  <c r="BA6" i="24"/>
  <c r="BB6" i="24" s="1"/>
  <c r="K6" i="21"/>
  <c r="L6" i="21" s="1"/>
  <c r="AY6" i="21"/>
  <c r="AZ6" i="21" s="1"/>
  <c r="AY6" i="1"/>
  <c r="AZ6" i="1" s="1"/>
  <c r="K6" i="1"/>
  <c r="L6" i="1" s="1"/>
  <c r="M6" i="18"/>
  <c r="N6" i="18" s="1"/>
  <c r="BA6" i="18"/>
  <c r="BB6" i="18" s="1"/>
  <c r="BA6" i="8"/>
  <c r="BB6" i="8" s="1"/>
  <c r="M6" i="8"/>
  <c r="N6" i="8" s="1"/>
  <c r="K6" i="3"/>
  <c r="L6" i="3" s="1"/>
  <c r="AY6" i="3"/>
  <c r="AZ6" i="3" s="1"/>
  <c r="M6" i="16"/>
  <c r="N6" i="16" s="1"/>
  <c r="BA6" i="16"/>
  <c r="BB6" i="16" s="1"/>
  <c r="M6" i="4"/>
  <c r="N6" i="4" s="1"/>
  <c r="BA6" i="4"/>
  <c r="BB6" i="4" s="1"/>
  <c r="K6" i="12"/>
  <c r="L6" i="12" s="1"/>
  <c r="AY6" i="12"/>
  <c r="AZ6" i="12" s="1"/>
  <c r="M6" i="17"/>
  <c r="N6" i="17" s="1"/>
  <c r="BA6" i="17"/>
  <c r="BB6" i="17" s="1"/>
  <c r="M6" i="3"/>
  <c r="N6" i="3" s="1"/>
  <c r="BA6" i="3"/>
  <c r="BB6" i="3" s="1"/>
  <c r="AY6" i="11"/>
  <c r="AZ6" i="11" s="1"/>
  <c r="K6" i="11"/>
  <c r="L6" i="11" s="1"/>
  <c r="M6" i="23"/>
  <c r="N6" i="23" s="1"/>
  <c r="BA6" i="23"/>
  <c r="BB6" i="23" s="1"/>
  <c r="M6" i="12"/>
  <c r="N6" i="12" s="1"/>
  <c r="BA6" i="12"/>
  <c r="BB6" i="12" s="1"/>
  <c r="K6" i="7"/>
  <c r="L6" i="7" s="1"/>
  <c r="AY6" i="7"/>
  <c r="AZ6" i="7" s="1"/>
  <c r="M6" i="21"/>
  <c r="N6" i="21" s="1"/>
  <c r="BA6" i="21"/>
  <c r="BB6" i="21" s="1"/>
  <c r="BA6" i="11"/>
  <c r="BB6" i="11" s="1"/>
  <c r="M6" i="11"/>
  <c r="N6" i="11" s="1"/>
  <c r="K6" i="16"/>
  <c r="L6" i="16" s="1"/>
  <c r="AY6" i="16"/>
  <c r="AZ6" i="16" s="1"/>
  <c r="M6" i="14"/>
  <c r="N6" i="14" s="1"/>
  <c r="BA6" i="14"/>
  <c r="BB6" i="14" s="1"/>
  <c r="BA6" i="7"/>
  <c r="BB6" i="7" s="1"/>
  <c r="M6" i="7"/>
  <c r="N6" i="7" s="1"/>
  <c r="K6" i="25"/>
  <c r="L6" i="25" s="1"/>
  <c r="AY6" i="25"/>
  <c r="AZ6" i="25" s="1"/>
  <c r="M6" i="25"/>
  <c r="N6" i="25" s="1"/>
  <c r="BA6" i="25"/>
  <c r="BB6" i="25" s="1"/>
  <c r="M6" i="6"/>
  <c r="N6" i="6" s="1"/>
  <c r="BA6" i="6"/>
  <c r="BB6" i="6" s="1"/>
  <c r="K6" i="20"/>
  <c r="L6" i="20" s="1"/>
  <c r="K6" i="53"/>
  <c r="AY6" i="53"/>
  <c r="AZ6" i="53" s="1"/>
  <c r="AY6" i="20"/>
  <c r="AZ6" i="20" s="1"/>
  <c r="AY6" i="2"/>
  <c r="AZ6" i="2" s="1"/>
  <c r="K6" i="2"/>
  <c r="L6" i="2" s="1"/>
  <c r="BA6" i="2"/>
  <c r="BB6" i="2" s="1"/>
  <c r="M6" i="2"/>
  <c r="N6" i="2" s="1"/>
  <c r="K6" i="17"/>
  <c r="L6" i="17" s="1"/>
  <c r="AY6" i="17"/>
  <c r="AZ6" i="17" s="1"/>
  <c r="K6" i="4"/>
  <c r="L6" i="4" s="1"/>
  <c r="AY6" i="4"/>
  <c r="AZ6" i="4" s="1"/>
  <c r="BA6" i="1"/>
  <c r="BB6" i="1" s="1"/>
  <c r="M6" i="1"/>
  <c r="N6" i="1" s="1"/>
  <c r="K6" i="24"/>
  <c r="L6" i="24" s="1"/>
  <c r="AY6" i="24"/>
  <c r="AZ6" i="24" s="1"/>
  <c r="AY6" i="10"/>
  <c r="AZ6" i="10" s="1"/>
  <c r="K6" i="10"/>
  <c r="L6" i="10" s="1"/>
  <c r="BA6" i="10"/>
  <c r="BB6" i="10" s="1"/>
  <c r="M6" i="10"/>
  <c r="N6" i="10" s="1"/>
  <c r="K6" i="22"/>
  <c r="L6" i="22" s="1"/>
  <c r="AY6" i="22"/>
  <c r="AZ6" i="22" s="1"/>
  <c r="BA6" i="9"/>
  <c r="BB6" i="9" s="1"/>
  <c r="M6" i="9"/>
  <c r="N6" i="9" s="1"/>
  <c r="K6" i="15"/>
  <c r="L6" i="15" s="1"/>
  <c r="AY6" i="15"/>
  <c r="AZ6" i="15" s="1"/>
  <c r="K6" i="5"/>
  <c r="L6" i="5" s="1"/>
  <c r="AY6" i="5"/>
  <c r="AZ6" i="5" s="1"/>
  <c r="BA6" i="5"/>
  <c r="BB6" i="5" s="1"/>
  <c r="M6" i="5"/>
  <c r="N6" i="5" s="1"/>
  <c r="K6" i="14"/>
  <c r="L6" i="14" s="1"/>
  <c r="AY6" i="14"/>
  <c r="AZ6" i="14" s="1"/>
  <c r="M6" i="20"/>
  <c r="N6" i="20" s="1"/>
  <c r="M6" i="53"/>
  <c r="N6" i="53" s="1"/>
  <c r="BA6" i="53"/>
  <c r="BB6" i="53" s="1"/>
  <c r="BA6" i="20"/>
  <c r="BB6" i="20" s="1"/>
  <c r="M6" i="15"/>
  <c r="N6" i="15" s="1"/>
  <c r="BA6" i="15"/>
  <c r="BB6" i="15" s="1"/>
  <c r="K6" i="19"/>
  <c r="L6" i="19" s="1"/>
  <c r="AY6" i="19"/>
  <c r="AZ6" i="19" s="1"/>
  <c r="AY6" i="13"/>
  <c r="AZ6" i="13" s="1"/>
  <c r="K6" i="13"/>
  <c r="L6" i="13" s="1"/>
  <c r="M6" i="13"/>
  <c r="N6" i="13" s="1"/>
  <c r="BA6" i="13"/>
  <c r="BB6" i="13" s="1"/>
  <c r="K6" i="18"/>
  <c r="L6" i="18" s="1"/>
  <c r="AY6" i="18"/>
  <c r="AZ6" i="18" s="1"/>
  <c r="AY6" i="6"/>
  <c r="AZ6" i="6" s="1"/>
  <c r="K6" i="6"/>
  <c r="L6" i="6" s="1"/>
  <c r="O6" i="18" l="1"/>
  <c r="BC6" i="6"/>
  <c r="BC6" i="18"/>
  <c r="O6" i="13"/>
  <c r="BC6" i="15"/>
  <c r="BC6" i="22"/>
  <c r="O6" i="10"/>
  <c r="BC6" i="17"/>
  <c r="O6" i="2"/>
  <c r="L6" i="53"/>
  <c r="BC6" i="7"/>
  <c r="BC6" i="12"/>
  <c r="O6" i="1"/>
  <c r="BC6" i="23"/>
  <c r="BC6" i="13"/>
  <c r="O6" i="15"/>
  <c r="O6" i="22"/>
  <c r="BC6" i="10"/>
  <c r="O6" i="17"/>
  <c r="BC6" i="2"/>
  <c r="O6" i="20"/>
  <c r="O6" i="25"/>
  <c r="O6" i="7"/>
  <c r="O6" i="12"/>
  <c r="BC6" i="1"/>
  <c r="O6" i="23"/>
  <c r="O6" i="6"/>
  <c r="BC6" i="19"/>
  <c r="BC6" i="14"/>
  <c r="BC6" i="5"/>
  <c r="BC6" i="24"/>
  <c r="BC6" i="4"/>
  <c r="BC6" i="20"/>
  <c r="BC6" i="16"/>
  <c r="O6" i="11"/>
  <c r="BC6" i="3"/>
  <c r="BC6" i="21"/>
  <c r="BC6" i="8"/>
  <c r="O6" i="9"/>
  <c r="O6" i="19"/>
  <c r="O6" i="14"/>
  <c r="O6" i="5"/>
  <c r="O6" i="24"/>
  <c r="O6" i="4"/>
  <c r="BC6" i="53"/>
  <c r="BC6" i="25"/>
  <c r="O6" i="16"/>
  <c r="BC6" i="11"/>
  <c r="O6" i="3"/>
  <c r="O6" i="21"/>
  <c r="O6" i="8"/>
  <c r="BC6" i="9"/>
  <c r="O6" i="53" l="1"/>
  <c r="L9" i="46"/>
  <c r="AP45" i="46" s="1"/>
  <c r="AT45" i="46" s="1"/>
  <c r="E7" i="46" s="1"/>
  <c r="L8" i="46"/>
  <c r="AP44" i="46" s="1"/>
  <c r="AT44" i="46" s="1"/>
  <c r="D7" i="46" s="1"/>
  <c r="AP15" i="46" s="1"/>
  <c r="AR15" i="46" s="1"/>
  <c r="L11" i="46"/>
  <c r="AP50" i="46" s="1"/>
  <c r="AT50" i="46" s="1"/>
  <c r="E8" i="46" s="1"/>
  <c r="L60" i="46" s="1"/>
  <c r="N60" i="46" s="1"/>
  <c r="AQ60" i="46" s="1"/>
  <c r="AT60" i="46" s="1"/>
  <c r="E10" i="46" s="1"/>
  <c r="L75" i="46" s="1"/>
  <c r="N75" i="46" s="1"/>
  <c r="AQ75" i="46" s="1"/>
  <c r="AT75" i="46" s="1"/>
  <c r="E13" i="46" s="1"/>
  <c r="AK80" i="46" s="1"/>
  <c r="AM80" i="46" s="1"/>
  <c r="AS80" i="46" s="1"/>
  <c r="L10" i="46"/>
  <c r="AP49" i="46" s="1"/>
  <c r="AT49" i="46" s="1"/>
  <c r="D8" i="46" s="1"/>
  <c r="AP55" i="46"/>
  <c r="AT55" i="46" s="1"/>
  <c r="E9" i="46" s="1"/>
  <c r="L65" i="46" s="1"/>
  <c r="N65" i="46" s="1"/>
  <c r="AQ65" i="46" s="1"/>
  <c r="AT65" i="46" s="1"/>
  <c r="E11" i="46" s="1"/>
  <c r="AK70" i="46" s="1"/>
  <c r="AM70" i="46" s="1"/>
  <c r="AS70" i="46" s="1"/>
  <c r="AT70" i="46" s="1"/>
  <c r="E12" i="46" s="1"/>
  <c r="AK75" i="46" s="1"/>
  <c r="AM75" i="46" s="1"/>
  <c r="AS75" i="46" s="1"/>
  <c r="AP54" i="46"/>
  <c r="AT54" i="46" s="1"/>
  <c r="D9" i="46" s="1"/>
  <c r="L64" i="46" s="1"/>
  <c r="N64" i="46" s="1"/>
  <c r="AQ64" i="46" s="1"/>
  <c r="AT64" i="46" s="1"/>
  <c r="D11" i="46" s="1"/>
  <c r="AK69" i="46" s="1"/>
  <c r="AM69" i="46" s="1"/>
  <c r="AS69" i="46" s="1"/>
  <c r="AT69" i="46" s="1"/>
  <c r="D12" i="46" s="1"/>
  <c r="AK74" i="46" s="1"/>
  <c r="AM74" i="46" s="1"/>
  <c r="AS74" i="46" s="1"/>
  <c r="AB27" i="46"/>
  <c r="AD27" i="46" s="1"/>
  <c r="AB28" i="46"/>
  <c r="AD28" i="46" s="1"/>
  <c r="AK49" i="46" l="1"/>
  <c r="AM49" i="46" s="1"/>
  <c r="AS49" i="46" s="1"/>
  <c r="L80" i="46"/>
  <c r="N80" i="46" s="1"/>
  <c r="AQ80" i="46" s="1"/>
  <c r="AT80" i="46" s="1"/>
  <c r="E14" i="46" s="1"/>
  <c r="AK85" i="46" s="1"/>
  <c r="AM85" i="46" s="1"/>
  <c r="AS85" i="46" s="1"/>
  <c r="AT85" i="46" s="1"/>
  <c r="E15" i="46" s="1"/>
  <c r="AK90" i="46" s="1"/>
  <c r="AM90" i="46" s="1"/>
  <c r="AS90" i="46" s="1"/>
  <c r="AT90" i="46" s="1"/>
  <c r="E23" i="46" s="1"/>
  <c r="Z55" i="46"/>
  <c r="AB55" i="46" s="1"/>
  <c r="Z60" i="46"/>
  <c r="AB60" i="46" s="1"/>
  <c r="AK55" i="46"/>
  <c r="AM55" i="46" s="1"/>
  <c r="AS55" i="46" s="1"/>
  <c r="Z65" i="46"/>
  <c r="AB65" i="46" s="1"/>
  <c r="Z75" i="46"/>
  <c r="AB75" i="46" s="1"/>
  <c r="AK50" i="46"/>
  <c r="AM50" i="46" s="1"/>
  <c r="AS50" i="46" s="1"/>
  <c r="AP16" i="46"/>
  <c r="AR16" i="46" s="1"/>
  <c r="L59" i="46"/>
  <c r="N59" i="46" s="1"/>
  <c r="AQ59" i="46" s="1"/>
  <c r="AT59" i="46" s="1"/>
  <c r="D10" i="46" s="1"/>
  <c r="Z54" i="46"/>
  <c r="AB54" i="46" s="1"/>
  <c r="AR55" i="46" s="1"/>
  <c r="AK54" i="46"/>
  <c r="AM54" i="46" s="1"/>
  <c r="AS54" i="46" s="1"/>
  <c r="Z74" i="46"/>
  <c r="AB74" i="46" s="1"/>
  <c r="Z59" i="46"/>
  <c r="AB59" i="46" s="1"/>
  <c r="AR60" i="46" s="1"/>
  <c r="AK59" i="46"/>
  <c r="AM59" i="46" s="1"/>
  <c r="AS59" i="46" s="1"/>
  <c r="AK65" i="46"/>
  <c r="AM65" i="46" s="1"/>
  <c r="AS65" i="46" s="1"/>
  <c r="L79" i="46"/>
  <c r="N79" i="46" s="1"/>
  <c r="AQ79" i="46" s="1"/>
  <c r="AT79" i="46" s="1"/>
  <c r="D14" i="46" s="1"/>
  <c r="AK84" i="46" s="1"/>
  <c r="AM84" i="46" s="1"/>
  <c r="AS84" i="46" s="1"/>
  <c r="AT84" i="46" s="1"/>
  <c r="D15" i="46" s="1"/>
  <c r="AK89" i="46" s="1"/>
  <c r="AM89" i="46" s="1"/>
  <c r="AS89" i="46" s="1"/>
  <c r="AT89" i="46" s="1"/>
  <c r="AR54" i="46" l="1"/>
  <c r="AR75" i="46"/>
  <c r="E19" i="46"/>
  <c r="E28" i="46"/>
  <c r="E24" i="46"/>
  <c r="E20" i="46"/>
  <c r="E16" i="46"/>
  <c r="AK95" i="46" s="1"/>
  <c r="AM95" i="46" s="1"/>
  <c r="AS95" i="46" s="1"/>
  <c r="AT95" i="46" s="1"/>
  <c r="E25" i="46"/>
  <c r="E21" i="46"/>
  <c r="E17" i="46"/>
  <c r="E26" i="46"/>
  <c r="E22" i="46"/>
  <c r="E18" i="46"/>
  <c r="E27" i="46"/>
  <c r="AR74" i="46"/>
  <c r="AR59" i="46"/>
  <c r="L74" i="46"/>
  <c r="N74" i="46" s="1"/>
  <c r="AQ74" i="46" s="1"/>
  <c r="AT74" i="46" s="1"/>
  <c r="D13" i="46" s="1"/>
  <c r="AK79" i="46" s="1"/>
  <c r="AM79" i="46" s="1"/>
  <c r="AS79" i="46" s="1"/>
  <c r="Z64" i="46"/>
  <c r="AB64" i="46" s="1"/>
  <c r="AK64" i="46"/>
  <c r="AM64" i="46" s="1"/>
  <c r="AS64" i="46" s="1"/>
  <c r="D19" i="46"/>
  <c r="D23" i="46"/>
  <c r="D27" i="46"/>
  <c r="D18" i="46"/>
  <c r="D22" i="46"/>
  <c r="D26" i="46"/>
  <c r="D17" i="46"/>
  <c r="D21" i="46"/>
  <c r="D25" i="46"/>
  <c r="D16" i="46"/>
  <c r="D20" i="46"/>
  <c r="D24" i="46"/>
  <c r="D28" i="46"/>
  <c r="AK125" i="46"/>
  <c r="AM125" i="46" s="1"/>
  <c r="AS125" i="46" s="1"/>
  <c r="AT125" i="46" s="1"/>
  <c r="AK140" i="46" l="1"/>
  <c r="AM140" i="46" s="1"/>
  <c r="AS140" i="46" s="1"/>
  <c r="AT140" i="46" s="1"/>
  <c r="AK135" i="46"/>
  <c r="AM135" i="46" s="1"/>
  <c r="AS135" i="46" s="1"/>
  <c r="AT135" i="46" s="1"/>
  <c r="AK145" i="46"/>
  <c r="AM145" i="46" s="1"/>
  <c r="AS145" i="46" s="1"/>
  <c r="AT145" i="46" s="1"/>
  <c r="AK150" i="46"/>
  <c r="AM150" i="46" s="1"/>
  <c r="AS150" i="46" s="1"/>
  <c r="AT150" i="46" s="1"/>
  <c r="AK120" i="46"/>
  <c r="AM120" i="46" s="1"/>
  <c r="AS120" i="46" s="1"/>
  <c r="AT120" i="46" s="1"/>
  <c r="AK115" i="46"/>
  <c r="AM115" i="46" s="1"/>
  <c r="AS115" i="46" s="1"/>
  <c r="AT115" i="46" s="1"/>
  <c r="AK100" i="46"/>
  <c r="AM100" i="46" s="1"/>
  <c r="AS100" i="46" s="1"/>
  <c r="AT100" i="46" s="1"/>
  <c r="AK110" i="46"/>
  <c r="AM110" i="46" s="1"/>
  <c r="AS110" i="46" s="1"/>
  <c r="AT110" i="46" s="1"/>
  <c r="AK105" i="46"/>
  <c r="AM105" i="46" s="1"/>
  <c r="AS105" i="46" s="1"/>
  <c r="AT105" i="46" s="1"/>
  <c r="AK130" i="46"/>
  <c r="AM130" i="46" s="1"/>
  <c r="AS130" i="46" s="1"/>
  <c r="AT130" i="46" s="1"/>
  <c r="AC74" i="61" a="1"/>
  <c r="AI74" i="61" s="1"/>
  <c r="V7" i="55" s="1"/>
  <c r="AR65" i="46"/>
  <c r="AR64" i="46"/>
  <c r="AK124" i="46"/>
  <c r="AM124" i="46" s="1"/>
  <c r="AS124" i="46" s="1"/>
  <c r="AT124" i="46" s="1"/>
  <c r="AK134" i="46"/>
  <c r="AM134" i="46" s="1"/>
  <c r="AS134" i="46" s="1"/>
  <c r="AT134" i="46" s="1"/>
  <c r="AK144" i="46"/>
  <c r="AM144" i="46" s="1"/>
  <c r="AS144" i="46" s="1"/>
  <c r="AT144" i="46" s="1"/>
  <c r="AK129" i="46"/>
  <c r="AM129" i="46" s="1"/>
  <c r="AS129" i="46" s="1"/>
  <c r="AT129" i="46" s="1"/>
  <c r="AK94" i="46"/>
  <c r="AM94" i="46" s="1"/>
  <c r="AS94" i="46" s="1"/>
  <c r="AT94" i="46" s="1"/>
  <c r="AK99" i="46"/>
  <c r="AM99" i="46" s="1"/>
  <c r="AS99" i="46" s="1"/>
  <c r="AT99" i="46" s="1"/>
  <c r="AK149" i="46"/>
  <c r="AM149" i="46" s="1"/>
  <c r="AS149" i="46" s="1"/>
  <c r="AT149" i="46" s="1"/>
  <c r="AK104" i="46"/>
  <c r="AM104" i="46" s="1"/>
  <c r="AS104" i="46" s="1"/>
  <c r="AT104" i="46" s="1"/>
  <c r="AK139" i="46"/>
  <c r="AM139" i="46" s="1"/>
  <c r="AS139" i="46" s="1"/>
  <c r="AT139" i="46" s="1"/>
  <c r="AK119" i="46"/>
  <c r="AM119" i="46" s="1"/>
  <c r="AS119" i="46" s="1"/>
  <c r="AT119" i="46" s="1"/>
  <c r="AK109" i="46"/>
  <c r="AM109" i="46" s="1"/>
  <c r="AS109" i="46" s="1"/>
  <c r="AT109" i="46" s="1"/>
  <c r="AK114" i="46"/>
  <c r="AM114" i="46" s="1"/>
  <c r="AS114" i="46" s="1"/>
  <c r="AT114" i="46" s="1"/>
  <c r="B74" i="61" a="1"/>
  <c r="AW74" i="61" l="1"/>
  <c r="AJ7" i="55" s="1"/>
  <c r="M8" i="5" s="1"/>
  <c r="N8" i="5" s="1"/>
  <c r="AG74" i="61"/>
  <c r="T7" i="55" s="1"/>
  <c r="AN74" i="61"/>
  <c r="AA7" i="55" s="1"/>
  <c r="M8" i="14" s="1"/>
  <c r="N8" i="14" s="1"/>
  <c r="AX74" i="61"/>
  <c r="AK7" i="55" s="1"/>
  <c r="AV74" i="61"/>
  <c r="AI7" i="55" s="1"/>
  <c r="BA8" i="6" s="1"/>
  <c r="BB8" i="6" s="1"/>
  <c r="BA74" i="61"/>
  <c r="AN7" i="55" s="1"/>
  <c r="AO74" i="61"/>
  <c r="AB7" i="55" s="1"/>
  <c r="M8" i="13" s="1"/>
  <c r="N8" i="13" s="1"/>
  <c r="AK74" i="61"/>
  <c r="X7" i="55" s="1"/>
  <c r="AZ74" i="61"/>
  <c r="AM7" i="55" s="1"/>
  <c r="M8" i="2" s="1"/>
  <c r="N8" i="2" s="1"/>
  <c r="AE74" i="61"/>
  <c r="R7" i="55" s="1"/>
  <c r="AQ74" i="61"/>
  <c r="AD7" i="55" s="1"/>
  <c r="M8" i="11" s="1"/>
  <c r="N8" i="11" s="1"/>
  <c r="AD74" i="61"/>
  <c r="Q7" i="55" s="1"/>
  <c r="AR74" i="61"/>
  <c r="AE7" i="55" s="1"/>
  <c r="BA8" i="10" s="1"/>
  <c r="BB8" i="10" s="1"/>
  <c r="AC74" i="61"/>
  <c r="P7" i="55" s="1"/>
  <c r="AP74" i="61"/>
  <c r="AC7" i="55" s="1"/>
  <c r="M8" i="12" s="1"/>
  <c r="N8" i="12" s="1"/>
  <c r="AY74" i="61"/>
  <c r="AL7" i="55" s="1"/>
  <c r="AF74" i="61"/>
  <c r="S7" i="55" s="1"/>
  <c r="BA8" i="22" s="1"/>
  <c r="BB8" i="22" s="1"/>
  <c r="AJ74" i="61"/>
  <c r="W7" i="55" s="1"/>
  <c r="AM74" i="61"/>
  <c r="Z7" i="55" s="1"/>
  <c r="BA8" i="15" s="1"/>
  <c r="BB8" i="15" s="1"/>
  <c r="AU74" i="61"/>
  <c r="AH7" i="55" s="1"/>
  <c r="AH74" i="61"/>
  <c r="U7" i="55" s="1"/>
  <c r="M8" i="20" s="1"/>
  <c r="N8" i="20" s="1"/>
  <c r="AT74" i="61"/>
  <c r="AG7" i="55" s="1"/>
  <c r="AS74" i="61"/>
  <c r="AF7" i="55" s="1"/>
  <c r="M8" i="9" s="1"/>
  <c r="N8" i="9" s="1"/>
  <c r="AL74" i="61"/>
  <c r="Y7" i="55" s="1"/>
  <c r="BA8" i="13"/>
  <c r="BB8" i="13" s="1"/>
  <c r="M8" i="18"/>
  <c r="N8" i="18" s="1"/>
  <c r="BA8" i="18"/>
  <c r="BB8" i="18" s="1"/>
  <c r="M8" i="21"/>
  <c r="N8" i="21" s="1"/>
  <c r="BA8" i="21"/>
  <c r="BB8" i="21" s="1"/>
  <c r="BA8" i="4"/>
  <c r="BB8" i="4" s="1"/>
  <c r="M8" i="4"/>
  <c r="N8" i="4" s="1"/>
  <c r="M8" i="16"/>
  <c r="N8" i="16" s="1"/>
  <c r="BA8" i="16"/>
  <c r="BB8" i="16" s="1"/>
  <c r="M8" i="7"/>
  <c r="N8" i="7" s="1"/>
  <c r="BA8" i="7"/>
  <c r="BB8" i="7" s="1"/>
  <c r="M8" i="24"/>
  <c r="N8" i="24" s="1"/>
  <c r="BA8" i="24"/>
  <c r="BB8" i="24" s="1"/>
  <c r="M8" i="25"/>
  <c r="N8" i="25" s="1"/>
  <c r="BA8" i="25"/>
  <c r="BB8" i="25" s="1"/>
  <c r="M8" i="1"/>
  <c r="N8" i="1" s="1"/>
  <c r="BA8" i="1"/>
  <c r="BB8" i="1" s="1"/>
  <c r="M8" i="19"/>
  <c r="N8" i="19" s="1"/>
  <c r="BA8" i="19"/>
  <c r="BB8" i="19" s="1"/>
  <c r="M8" i="3"/>
  <c r="N8" i="3" s="1"/>
  <c r="BA8" i="3"/>
  <c r="BB8" i="3" s="1"/>
  <c r="M8" i="17"/>
  <c r="N8" i="17" s="1"/>
  <c r="BA8" i="17"/>
  <c r="BB8" i="17" s="1"/>
  <c r="D74" i="61"/>
  <c r="F74" i="61"/>
  <c r="G74" i="61"/>
  <c r="H74" i="61"/>
  <c r="I74" i="61"/>
  <c r="J74" i="61"/>
  <c r="K74" i="61"/>
  <c r="L74" i="61"/>
  <c r="M74" i="61"/>
  <c r="C74" i="61"/>
  <c r="E74" i="61"/>
  <c r="B74" i="61"/>
  <c r="N74" i="61"/>
  <c r="R74" i="61"/>
  <c r="V74" i="61"/>
  <c r="Z74" i="61"/>
  <c r="Q74" i="61"/>
  <c r="U74" i="61"/>
  <c r="Y74" i="61"/>
  <c r="P74" i="61"/>
  <c r="T74" i="61"/>
  <c r="X74" i="61"/>
  <c r="O74" i="61"/>
  <c r="S74" i="61"/>
  <c r="W74" i="61"/>
  <c r="BA8" i="5"/>
  <c r="BB8" i="5" s="1"/>
  <c r="M8" i="23"/>
  <c r="N8" i="23" s="1"/>
  <c r="BA8" i="23"/>
  <c r="BB8" i="23" s="1"/>
  <c r="BA8" i="8"/>
  <c r="BB8" i="8" s="1"/>
  <c r="M8" i="8"/>
  <c r="N8" i="8" s="1"/>
  <c r="BA8" i="14" l="1"/>
  <c r="BB8" i="14" s="1"/>
  <c r="BA8" i="2"/>
  <c r="BB8" i="2" s="1"/>
  <c r="M8" i="22"/>
  <c r="N8" i="22" s="1"/>
  <c r="M8" i="10"/>
  <c r="N8" i="10" s="1"/>
  <c r="BA8" i="12"/>
  <c r="BB8" i="12" s="1"/>
  <c r="M8" i="15"/>
  <c r="N8" i="15" s="1"/>
  <c r="BA8" i="11"/>
  <c r="BB8" i="11" s="1"/>
  <c r="M8" i="53"/>
  <c r="N8" i="53" s="1"/>
  <c r="BA8" i="9"/>
  <c r="BB8" i="9" s="1"/>
  <c r="BA8" i="53"/>
  <c r="BB8" i="53" s="1"/>
  <c r="BA8" i="20"/>
  <c r="BB8" i="20" s="1"/>
  <c r="M8" i="6"/>
  <c r="N8" i="6" s="1"/>
  <c r="AC7" i="54"/>
  <c r="AM7" i="54"/>
  <c r="AJ7" i="54"/>
  <c r="S7" i="54"/>
  <c r="Y7" i="54"/>
  <c r="U7" i="54"/>
  <c r="AL7" i="54"/>
  <c r="AI7" i="54"/>
  <c r="AF7" i="54"/>
  <c r="Q7" i="54"/>
  <c r="X7" i="54"/>
  <c r="T7" i="54"/>
  <c r="AK7" i="54"/>
  <c r="AH7" i="54"/>
  <c r="AE7" i="54"/>
  <c r="AB7" i="54"/>
  <c r="AA7" i="54"/>
  <c r="W7" i="54"/>
  <c r="R7" i="54"/>
  <c r="AG7" i="54"/>
  <c r="AD7" i="54"/>
  <c r="AN7" i="54"/>
  <c r="P7" i="54"/>
  <c r="Z7" i="54"/>
  <c r="V7" i="54"/>
  <c r="K8" i="15" l="1"/>
  <c r="L8" i="15" s="1"/>
  <c r="AY8" i="15"/>
  <c r="AZ8" i="15" s="1"/>
  <c r="AY8" i="8"/>
  <c r="AZ8" i="8" s="1"/>
  <c r="K8" i="8"/>
  <c r="L8" i="8" s="1"/>
  <c r="K8" i="18"/>
  <c r="L8" i="18" s="1"/>
  <c r="AY8" i="18"/>
  <c r="AZ8" i="18" s="1"/>
  <c r="K8" i="7"/>
  <c r="L8" i="7" s="1"/>
  <c r="AY8" i="7"/>
  <c r="AZ8" i="7" s="1"/>
  <c r="K8" i="24"/>
  <c r="L8" i="24" s="1"/>
  <c r="AY8" i="24"/>
  <c r="AZ8" i="24" s="1"/>
  <c r="K8" i="20"/>
  <c r="L8" i="20" s="1"/>
  <c r="K8" i="53"/>
  <c r="AY8" i="53"/>
  <c r="AZ8" i="53" s="1"/>
  <c r="AY8" i="20"/>
  <c r="AZ8" i="20" s="1"/>
  <c r="K8" i="2"/>
  <c r="L8" i="2" s="1"/>
  <c r="AY8" i="2"/>
  <c r="AZ8" i="2" s="1"/>
  <c r="K8" i="19"/>
  <c r="L8" i="19" s="1"/>
  <c r="AY8" i="19"/>
  <c r="AZ8" i="19" s="1"/>
  <c r="K8" i="11"/>
  <c r="L8" i="11" s="1"/>
  <c r="AY8" i="11"/>
  <c r="AZ8" i="11" s="1"/>
  <c r="K8" i="23"/>
  <c r="L8" i="23" s="1"/>
  <c r="AY8" i="23"/>
  <c r="AZ8" i="23" s="1"/>
  <c r="K8" i="10"/>
  <c r="L8" i="10" s="1"/>
  <c r="AY8" i="10"/>
  <c r="AZ8" i="10" s="1"/>
  <c r="K8" i="17"/>
  <c r="L8" i="17" s="1"/>
  <c r="AY8" i="17"/>
  <c r="AZ8" i="17" s="1"/>
  <c r="K8" i="3"/>
  <c r="L8" i="3" s="1"/>
  <c r="AY8" i="3"/>
  <c r="AZ8" i="3" s="1"/>
  <c r="AY8" i="5"/>
  <c r="AZ8" i="5" s="1"/>
  <c r="K8" i="5"/>
  <c r="L8" i="5" s="1"/>
  <c r="K8" i="1"/>
  <c r="L8" i="1" s="1"/>
  <c r="AY8" i="1"/>
  <c r="AZ8" i="1" s="1"/>
  <c r="AY8" i="13"/>
  <c r="AZ8" i="13" s="1"/>
  <c r="K8" i="13"/>
  <c r="L8" i="13" s="1"/>
  <c r="K8" i="21"/>
  <c r="L8" i="21" s="1"/>
  <c r="AY8" i="21"/>
  <c r="AZ8" i="21" s="1"/>
  <c r="AY8" i="6"/>
  <c r="AZ8" i="6" s="1"/>
  <c r="K8" i="6"/>
  <c r="L8" i="6" s="1"/>
  <c r="K8" i="22"/>
  <c r="L8" i="22" s="1"/>
  <c r="AY8" i="22"/>
  <c r="AZ8" i="22" s="1"/>
  <c r="K8" i="25"/>
  <c r="L8" i="25" s="1"/>
  <c r="AY8" i="25"/>
  <c r="AZ8" i="25" s="1"/>
  <c r="K8" i="14"/>
  <c r="L8" i="14" s="1"/>
  <c r="AY8" i="14"/>
  <c r="AZ8" i="14" s="1"/>
  <c r="K8" i="4"/>
  <c r="L8" i="4" s="1"/>
  <c r="AY8" i="4"/>
  <c r="AZ8" i="4" s="1"/>
  <c r="K8" i="9"/>
  <c r="L8" i="9" s="1"/>
  <c r="AY8" i="9"/>
  <c r="AZ8" i="9" s="1"/>
  <c r="K8" i="16"/>
  <c r="L8" i="16" s="1"/>
  <c r="AY8" i="16"/>
  <c r="AZ8" i="16" s="1"/>
  <c r="AY8" i="12"/>
  <c r="AZ8" i="12" s="1"/>
  <c r="K8" i="12"/>
  <c r="L8" i="12" s="1"/>
  <c r="O8" i="4" l="1"/>
  <c r="BC8" i="9"/>
  <c r="O8" i="25"/>
  <c r="BC8" i="12"/>
  <c r="O8" i="9"/>
  <c r="O8" i="14"/>
  <c r="BC8" i="22"/>
  <c r="BC8" i="21"/>
  <c r="BC8" i="1"/>
  <c r="BC8" i="3"/>
  <c r="BC8" i="10"/>
  <c r="BC8" i="11"/>
  <c r="O8" i="2"/>
  <c r="O8" i="20"/>
  <c r="O8" i="7"/>
  <c r="BC8" i="8"/>
  <c r="BC8" i="4"/>
  <c r="BC8" i="25"/>
  <c r="O8" i="22"/>
  <c r="O8" i="21"/>
  <c r="O8" i="1"/>
  <c r="O8" i="3"/>
  <c r="O8" i="10"/>
  <c r="O8" i="11"/>
  <c r="BC8" i="20"/>
  <c r="BC8" i="24"/>
  <c r="BC8" i="18"/>
  <c r="BC8" i="15"/>
  <c r="O8" i="6"/>
  <c r="O8" i="13"/>
  <c r="O8" i="5"/>
  <c r="BC8" i="17"/>
  <c r="BC8" i="23"/>
  <c r="BC8" i="19"/>
  <c r="BC8" i="53"/>
  <c r="O8" i="24"/>
  <c r="O8" i="18"/>
  <c r="O8" i="15"/>
  <c r="BC8" i="16"/>
  <c r="O8" i="16"/>
  <c r="O8" i="12"/>
  <c r="BC8" i="14"/>
  <c r="BC8" i="6"/>
  <c r="BC8" i="13"/>
  <c r="BC8" i="5"/>
  <c r="O8" i="17"/>
  <c r="O8" i="23"/>
  <c r="O8" i="19"/>
  <c r="BC8" i="2"/>
  <c r="L8" i="53"/>
  <c r="BC8" i="7"/>
  <c r="O8" i="8"/>
  <c r="O8" i="53" l="1"/>
  <c r="AB4" i="29"/>
  <c r="AD4" i="29" s="1"/>
  <c r="AB5" i="29"/>
  <c r="AD5" i="29" s="1"/>
  <c r="AP54" i="29"/>
  <c r="AP55" i="29"/>
  <c r="AB16" i="29"/>
  <c r="AD16" i="29" s="1"/>
  <c r="L9" i="29" s="1"/>
  <c r="AP45" i="29" s="1"/>
  <c r="AT45" i="29" s="1"/>
  <c r="E7" i="29" s="1"/>
  <c r="AP60" i="29"/>
  <c r="AB15" i="29"/>
  <c r="AD15" i="29" s="1"/>
  <c r="L8" i="29" s="1"/>
  <c r="AP44" i="29" s="1"/>
  <c r="AT44" i="29" s="1"/>
  <c r="D7" i="29" s="1"/>
  <c r="AP15" i="29" s="1"/>
  <c r="AR15" i="29" s="1"/>
  <c r="AP59" i="29"/>
  <c r="AP65" i="29"/>
  <c r="AP64" i="29"/>
  <c r="L70" i="29"/>
  <c r="N70" i="29" s="1"/>
  <c r="AQ70" i="29" s="1"/>
  <c r="L69" i="29"/>
  <c r="N69" i="29" s="1"/>
  <c r="AQ69" i="29" s="1"/>
  <c r="AB9" i="29"/>
  <c r="AD9" i="29" s="1"/>
  <c r="AB10" i="29"/>
  <c r="AD10" i="29" s="1"/>
  <c r="AK49" i="29" l="1"/>
  <c r="AM49" i="29" s="1"/>
  <c r="AS49" i="29" s="1"/>
  <c r="AP16" i="29"/>
  <c r="AR16" i="29" s="1"/>
  <c r="AK50" i="29"/>
  <c r="AM50" i="29" s="1"/>
  <c r="AS50" i="29" s="1"/>
  <c r="X6" i="29"/>
  <c r="L6" i="29" s="1"/>
  <c r="AP39" i="29" s="1"/>
  <c r="AT39" i="29" s="1"/>
  <c r="D6" i="29" s="1"/>
  <c r="X7" i="29"/>
  <c r="L7" i="29" s="1"/>
  <c r="AP40" i="29" s="1"/>
  <c r="AT40" i="29" s="1"/>
  <c r="E6" i="29" s="1"/>
  <c r="AP6" i="29" l="1"/>
  <c r="AR6" i="29" s="1"/>
  <c r="L11" i="29" s="1"/>
  <c r="AP50" i="29" s="1"/>
  <c r="AT50" i="29" s="1"/>
  <c r="E8" i="29" s="1"/>
  <c r="AB23" i="29"/>
  <c r="AD23" i="29" s="1"/>
  <c r="L55" i="29"/>
  <c r="N55" i="29" s="1"/>
  <c r="AQ55" i="29" s="1"/>
  <c r="AT55" i="29" s="1"/>
  <c r="E9" i="29" s="1"/>
  <c r="L50" i="29"/>
  <c r="N50" i="29" s="1"/>
  <c r="AQ50" i="29" s="1"/>
  <c r="AK45" i="29"/>
  <c r="AM45" i="29" s="1"/>
  <c r="AS45" i="29" s="1"/>
  <c r="Z45" i="29"/>
  <c r="AB45" i="29" s="1"/>
  <c r="Z50" i="29"/>
  <c r="AB50" i="29" s="1"/>
  <c r="AP11" i="29"/>
  <c r="AR11" i="29" s="1"/>
  <c r="AB28" i="29"/>
  <c r="AD28" i="29" s="1"/>
  <c r="AP5" i="29"/>
  <c r="AR5" i="29" s="1"/>
  <c r="L10" i="29" s="1"/>
  <c r="AP49" i="29" s="1"/>
  <c r="AT49" i="29" s="1"/>
  <c r="D8" i="29" s="1"/>
  <c r="Z44" i="29"/>
  <c r="AB44" i="29" s="1"/>
  <c r="Z49" i="29"/>
  <c r="AB49" i="29" s="1"/>
  <c r="AP10" i="29"/>
  <c r="AR10" i="29" s="1"/>
  <c r="AB22" i="29"/>
  <c r="AD22" i="29" s="1"/>
  <c r="AK44" i="29"/>
  <c r="AM44" i="29" s="1"/>
  <c r="AS44" i="29" s="1"/>
  <c r="AB27" i="29"/>
  <c r="AD27" i="29" s="1"/>
  <c r="L54" i="29"/>
  <c r="N54" i="29" s="1"/>
  <c r="AQ54" i="29" s="1"/>
  <c r="AT54" i="29" s="1"/>
  <c r="D9" i="29" s="1"/>
  <c r="L49" i="29"/>
  <c r="N49" i="29" s="1"/>
  <c r="AQ49" i="29" s="1"/>
  <c r="AK54" i="29" l="1"/>
  <c r="AM54" i="29" s="1"/>
  <c r="AS54" i="29" s="1"/>
  <c r="Z54" i="29"/>
  <c r="AB54" i="29" s="1"/>
  <c r="L59" i="29"/>
  <c r="N59" i="29" s="1"/>
  <c r="AQ59" i="29" s="1"/>
  <c r="AT59" i="29" s="1"/>
  <c r="D10" i="29" s="1"/>
  <c r="L65" i="29"/>
  <c r="N65" i="29" s="1"/>
  <c r="AQ65" i="29" s="1"/>
  <c r="AT65" i="29" s="1"/>
  <c r="E11" i="29" s="1"/>
  <c r="Z60" i="29"/>
  <c r="AB60" i="29" s="1"/>
  <c r="L64" i="29"/>
  <c r="N64" i="29" s="1"/>
  <c r="AQ64" i="29" s="1"/>
  <c r="AT64" i="29" s="1"/>
  <c r="D11" i="29" s="1"/>
  <c r="Z59" i="29"/>
  <c r="AB59" i="29" s="1"/>
  <c r="AK59" i="29"/>
  <c r="AM59" i="29" s="1"/>
  <c r="AS59" i="29" s="1"/>
  <c r="AL13" i="29"/>
  <c r="AL12" i="29"/>
  <c r="L60" i="29"/>
  <c r="N60" i="29" s="1"/>
  <c r="AQ60" i="29" s="1"/>
  <c r="AT60" i="29" s="1"/>
  <c r="E10" i="29" s="1"/>
  <c r="Z55" i="29"/>
  <c r="AB55" i="29" s="1"/>
  <c r="AK55" i="29"/>
  <c r="AM55" i="29" s="1"/>
  <c r="AS55" i="29" s="1"/>
  <c r="X24" i="29"/>
  <c r="X25" i="29"/>
  <c r="AR49" i="29"/>
  <c r="AR50" i="29"/>
  <c r="AR45" i="29"/>
  <c r="AR44" i="29"/>
  <c r="L75" i="29" l="1"/>
  <c r="N75" i="29" s="1"/>
  <c r="AQ75" i="29" s="1"/>
  <c r="AT75" i="29" s="1"/>
  <c r="E13" i="29" s="1"/>
  <c r="AK80" i="29" s="1"/>
  <c r="AM80" i="29" s="1"/>
  <c r="AS80" i="29" s="1"/>
  <c r="Z65" i="29"/>
  <c r="AB65" i="29" s="1"/>
  <c r="AK65" i="29"/>
  <c r="AM65" i="29" s="1"/>
  <c r="AS65" i="29" s="1"/>
  <c r="L80" i="29"/>
  <c r="N80" i="29" s="1"/>
  <c r="AQ80" i="29" s="1"/>
  <c r="AT80" i="29" s="1"/>
  <c r="E14" i="29" s="1"/>
  <c r="AK85" i="29" s="1"/>
  <c r="AM85" i="29" s="1"/>
  <c r="AS85" i="29" s="1"/>
  <c r="AT85" i="29" s="1"/>
  <c r="E15" i="29" s="1"/>
  <c r="AK90" i="29" s="1"/>
  <c r="AM90" i="29" s="1"/>
  <c r="AS90" i="29" s="1"/>
  <c r="AT90" i="29" s="1"/>
  <c r="AK70" i="29"/>
  <c r="AM70" i="29" s="1"/>
  <c r="AS70" i="29" s="1"/>
  <c r="AT70" i="29" s="1"/>
  <c r="E12" i="29" s="1"/>
  <c r="AK75" i="29" s="1"/>
  <c r="AM75" i="29" s="1"/>
  <c r="AS75" i="29" s="1"/>
  <c r="Z75" i="29"/>
  <c r="AB75" i="29" s="1"/>
  <c r="AR60" i="29"/>
  <c r="AR59" i="29"/>
  <c r="L74" i="29"/>
  <c r="N74" i="29" s="1"/>
  <c r="AQ74" i="29" s="1"/>
  <c r="AT74" i="29" s="1"/>
  <c r="D13" i="29" s="1"/>
  <c r="AK79" i="29" s="1"/>
  <c r="AM79" i="29" s="1"/>
  <c r="AS79" i="29" s="1"/>
  <c r="Z64" i="29"/>
  <c r="AB64" i="29" s="1"/>
  <c r="AK64" i="29"/>
  <c r="AM64" i="29" s="1"/>
  <c r="AS64" i="29" s="1"/>
  <c r="AK69" i="29"/>
  <c r="AM69" i="29" s="1"/>
  <c r="AS69" i="29" s="1"/>
  <c r="AT69" i="29" s="1"/>
  <c r="D12" i="29" s="1"/>
  <c r="L79" i="29"/>
  <c r="N79" i="29" s="1"/>
  <c r="AQ79" i="29" s="1"/>
  <c r="AT79" i="29" s="1"/>
  <c r="D14" i="29" s="1"/>
  <c r="AK84" i="29" s="1"/>
  <c r="AM84" i="29" s="1"/>
  <c r="AS84" i="29" s="1"/>
  <c r="AT84" i="29" s="1"/>
  <c r="D15" i="29" s="1"/>
  <c r="AK89" i="29" s="1"/>
  <c r="AM89" i="29" s="1"/>
  <c r="AS89" i="29" s="1"/>
  <c r="AT89" i="29" s="1"/>
  <c r="Z74" i="29"/>
  <c r="AB74" i="29" s="1"/>
  <c r="AR55" i="29"/>
  <c r="AR54" i="29"/>
  <c r="E16" i="29" l="1"/>
  <c r="E20" i="29"/>
  <c r="E24" i="29"/>
  <c r="E28" i="29"/>
  <c r="E19" i="29"/>
  <c r="E23" i="29"/>
  <c r="E27" i="29"/>
  <c r="E18" i="29"/>
  <c r="E22" i="29"/>
  <c r="E26" i="29"/>
  <c r="E17" i="29"/>
  <c r="E21" i="29"/>
  <c r="E25" i="29"/>
  <c r="D16" i="29"/>
  <c r="D20" i="29"/>
  <c r="D24" i="29"/>
  <c r="D28" i="29"/>
  <c r="D19" i="29"/>
  <c r="D23" i="29"/>
  <c r="D27" i="29"/>
  <c r="D18" i="29"/>
  <c r="D22" i="29"/>
  <c r="D26" i="29"/>
  <c r="D17" i="29"/>
  <c r="D21" i="29"/>
  <c r="D25" i="29"/>
  <c r="AK74" i="29"/>
  <c r="AM74" i="29" s="1"/>
  <c r="AS74" i="29" s="1"/>
  <c r="AR75" i="29"/>
  <c r="AR74" i="29"/>
  <c r="AR65" i="29"/>
  <c r="AR64" i="29"/>
  <c r="B91" i="61" l="1" a="1"/>
  <c r="G91" i="61" s="1"/>
  <c r="AK114" i="29"/>
  <c r="AM114" i="29" s="1"/>
  <c r="AS114" i="29" s="1"/>
  <c r="AT114" i="29" s="1"/>
  <c r="AK109" i="29"/>
  <c r="AM109" i="29" s="1"/>
  <c r="AS109" i="29" s="1"/>
  <c r="AT109" i="29" s="1"/>
  <c r="AK104" i="29"/>
  <c r="AM104" i="29" s="1"/>
  <c r="AS104" i="29" s="1"/>
  <c r="AT104" i="29" s="1"/>
  <c r="AK99" i="29"/>
  <c r="AM99" i="29" s="1"/>
  <c r="AS99" i="29" s="1"/>
  <c r="AT99" i="29" s="1"/>
  <c r="AK144" i="29"/>
  <c r="AM144" i="29" s="1"/>
  <c r="AS144" i="29" s="1"/>
  <c r="AT144" i="29" s="1"/>
  <c r="AK139" i="29"/>
  <c r="AM139" i="29" s="1"/>
  <c r="AS139" i="29" s="1"/>
  <c r="AT139" i="29" s="1"/>
  <c r="AK149" i="29"/>
  <c r="AM149" i="29" s="1"/>
  <c r="AS149" i="29" s="1"/>
  <c r="AT149" i="29" s="1"/>
  <c r="AK134" i="29"/>
  <c r="AM134" i="29" s="1"/>
  <c r="AS134" i="29" s="1"/>
  <c r="AT134" i="29" s="1"/>
  <c r="AK119" i="29"/>
  <c r="AM119" i="29" s="1"/>
  <c r="AS119" i="29" s="1"/>
  <c r="AT119" i="29" s="1"/>
  <c r="AK124" i="29"/>
  <c r="AM124" i="29" s="1"/>
  <c r="AS124" i="29" s="1"/>
  <c r="AT124" i="29" s="1"/>
  <c r="AK129" i="29"/>
  <c r="AM129" i="29" s="1"/>
  <c r="AS129" i="29" s="1"/>
  <c r="AT129" i="29" s="1"/>
  <c r="AK94" i="29"/>
  <c r="AM94" i="29" s="1"/>
  <c r="AS94" i="29" s="1"/>
  <c r="AT94" i="29" s="1"/>
  <c r="AK115" i="29"/>
  <c r="AM115" i="29" s="1"/>
  <c r="AS115" i="29" s="1"/>
  <c r="AT115" i="29" s="1"/>
  <c r="AK110" i="29"/>
  <c r="AM110" i="29" s="1"/>
  <c r="AS110" i="29" s="1"/>
  <c r="AT110" i="29" s="1"/>
  <c r="AK105" i="29"/>
  <c r="AM105" i="29" s="1"/>
  <c r="AS105" i="29" s="1"/>
  <c r="AT105" i="29" s="1"/>
  <c r="AK100" i="29"/>
  <c r="AM100" i="29" s="1"/>
  <c r="AS100" i="29" s="1"/>
  <c r="AT100" i="29" s="1"/>
  <c r="AK140" i="29"/>
  <c r="AM140" i="29" s="1"/>
  <c r="AS140" i="29" s="1"/>
  <c r="AT140" i="29" s="1"/>
  <c r="AK145" i="29"/>
  <c r="AM145" i="29" s="1"/>
  <c r="AS145" i="29" s="1"/>
  <c r="AT145" i="29" s="1"/>
  <c r="AK150" i="29"/>
  <c r="AM150" i="29" s="1"/>
  <c r="AS150" i="29" s="1"/>
  <c r="AT150" i="29" s="1"/>
  <c r="AK135" i="29"/>
  <c r="AM135" i="29" s="1"/>
  <c r="AS135" i="29" s="1"/>
  <c r="AT135" i="29" s="1"/>
  <c r="AK120" i="29"/>
  <c r="AM120" i="29" s="1"/>
  <c r="AS120" i="29" s="1"/>
  <c r="AT120" i="29" s="1"/>
  <c r="AK125" i="29"/>
  <c r="AM125" i="29" s="1"/>
  <c r="AS125" i="29" s="1"/>
  <c r="AT125" i="29" s="1"/>
  <c r="AK130" i="29"/>
  <c r="AM130" i="29" s="1"/>
  <c r="AS130" i="29" s="1"/>
  <c r="AT130" i="29" s="1"/>
  <c r="AK95" i="29"/>
  <c r="AM95" i="29" s="1"/>
  <c r="AS95" i="29" s="1"/>
  <c r="AT95" i="29" s="1"/>
  <c r="AC91" i="61" a="1"/>
  <c r="T91" i="61" l="1"/>
  <c r="N91" i="61"/>
  <c r="J91" i="61"/>
  <c r="U91" i="61"/>
  <c r="AI24" i="54" s="1"/>
  <c r="O91" i="61"/>
  <c r="D91" i="61"/>
  <c r="Q91" i="61"/>
  <c r="AE24" i="54" s="1"/>
  <c r="B91" i="61"/>
  <c r="P24" i="54" s="1"/>
  <c r="C91" i="61"/>
  <c r="Q24" i="54" s="1"/>
  <c r="X91" i="61"/>
  <c r="R91" i="61"/>
  <c r="AF24" i="54" s="1"/>
  <c r="K91" i="61"/>
  <c r="Y24" i="54" s="1"/>
  <c r="F91" i="61"/>
  <c r="T24" i="54" s="1"/>
  <c r="P91" i="61"/>
  <c r="AD24" i="54" s="1"/>
  <c r="Z91" i="61"/>
  <c r="AN24" i="54" s="1"/>
  <c r="W91" i="61"/>
  <c r="AK24" i="54" s="1"/>
  <c r="M91" i="61"/>
  <c r="AA24" i="54" s="1"/>
  <c r="H91" i="61"/>
  <c r="V24" i="54" s="1"/>
  <c r="I91" i="61"/>
  <c r="W24" i="54" s="1"/>
  <c r="Y91" i="61"/>
  <c r="AM24" i="54" s="1"/>
  <c r="V91" i="61"/>
  <c r="AJ24" i="54" s="1"/>
  <c r="S91" i="61"/>
  <c r="AG24" i="54" s="1"/>
  <c r="L91" i="61"/>
  <c r="Z24" i="54" s="1"/>
  <c r="E91" i="61"/>
  <c r="S24" i="54" s="1"/>
  <c r="AH24" i="54"/>
  <c r="AB24" i="54"/>
  <c r="X24" i="54"/>
  <c r="U24" i="54"/>
  <c r="AE91" i="61"/>
  <c r="AF91" i="61"/>
  <c r="AH91" i="61"/>
  <c r="AJ91" i="61"/>
  <c r="AK91" i="61"/>
  <c r="AG91" i="61"/>
  <c r="AI91" i="61"/>
  <c r="AD91" i="61"/>
  <c r="AL91" i="61"/>
  <c r="AM91" i="61"/>
  <c r="AN91" i="61"/>
  <c r="AC91" i="61"/>
  <c r="AP91" i="61"/>
  <c r="AT91" i="61"/>
  <c r="AX91" i="61"/>
  <c r="AO91" i="61"/>
  <c r="AS91" i="61"/>
  <c r="AW91" i="61"/>
  <c r="BA91" i="61"/>
  <c r="AR91" i="61"/>
  <c r="AV91" i="61"/>
  <c r="AZ91" i="61"/>
  <c r="AQ91" i="61"/>
  <c r="AU91" i="61"/>
  <c r="AY91" i="61"/>
  <c r="AL24" i="54"/>
  <c r="AC24" i="54"/>
  <c r="R24" i="54"/>
  <c r="AY25" i="12" l="1"/>
  <c r="AZ25" i="12" s="1"/>
  <c r="K25" i="12"/>
  <c r="L25" i="12" s="1"/>
  <c r="AD24" i="55"/>
  <c r="AN24" i="55"/>
  <c r="AK24" i="55"/>
  <c r="AA24" i="55"/>
  <c r="V24" i="55"/>
  <c r="U24" i="55"/>
  <c r="K25" i="22"/>
  <c r="L25" i="22" s="1"/>
  <c r="AY25" i="22"/>
  <c r="AZ25" i="22" s="1"/>
  <c r="K25" i="2"/>
  <c r="L25" i="2" s="1"/>
  <c r="AY25" i="2"/>
  <c r="AZ25" i="2" s="1"/>
  <c r="AY25" i="4"/>
  <c r="AZ25" i="4" s="1"/>
  <c r="K25" i="4"/>
  <c r="L25" i="4" s="1"/>
  <c r="K25" i="17"/>
  <c r="L25" i="17" s="1"/>
  <c r="AY25" i="17"/>
  <c r="AZ25" i="17" s="1"/>
  <c r="K25" i="7"/>
  <c r="L25" i="7" s="1"/>
  <c r="AY25" i="7"/>
  <c r="AZ25" i="7" s="1"/>
  <c r="K25" i="16"/>
  <c r="L25" i="16" s="1"/>
  <c r="AY25" i="16"/>
  <c r="AZ25" i="16" s="1"/>
  <c r="K25" i="3"/>
  <c r="L25" i="3" s="1"/>
  <c r="AY25" i="3"/>
  <c r="AZ25" i="3" s="1"/>
  <c r="AM24" i="55"/>
  <c r="AJ24" i="55"/>
  <c r="AG24" i="55"/>
  <c r="Z24" i="55"/>
  <c r="T24" i="55"/>
  <c r="S24" i="55"/>
  <c r="K25" i="53"/>
  <c r="K25" i="20"/>
  <c r="L25" i="20" s="1"/>
  <c r="AY25" i="20"/>
  <c r="AZ25" i="20" s="1"/>
  <c r="AY25" i="53"/>
  <c r="AZ25" i="53" s="1"/>
  <c r="K25" i="14"/>
  <c r="L25" i="14" s="1"/>
  <c r="AY25" i="14"/>
  <c r="AZ25" i="14" s="1"/>
  <c r="K25" i="24"/>
  <c r="L25" i="24" s="1"/>
  <c r="AY25" i="24"/>
  <c r="AZ25" i="24" s="1"/>
  <c r="K25" i="13"/>
  <c r="L25" i="13" s="1"/>
  <c r="AY25" i="13"/>
  <c r="AZ25" i="13" s="1"/>
  <c r="K25" i="10"/>
  <c r="L25" i="10" s="1"/>
  <c r="AY25" i="10"/>
  <c r="AZ25" i="10" s="1"/>
  <c r="K25" i="9"/>
  <c r="L25" i="9" s="1"/>
  <c r="AY25" i="9"/>
  <c r="AZ25" i="9" s="1"/>
  <c r="K25" i="23"/>
  <c r="L25" i="23" s="1"/>
  <c r="AY25" i="23"/>
  <c r="AZ25" i="23" s="1"/>
  <c r="K25" i="6"/>
  <c r="L25" i="6" s="1"/>
  <c r="AY25" i="6"/>
  <c r="AZ25" i="6" s="1"/>
  <c r="AL24" i="55"/>
  <c r="AI24" i="55"/>
  <c r="AF24" i="55"/>
  <c r="AC24" i="55"/>
  <c r="Y24" i="55"/>
  <c r="X24" i="55"/>
  <c r="R24" i="55"/>
  <c r="K25" i="8"/>
  <c r="L25" i="8" s="1"/>
  <c r="AY25" i="8"/>
  <c r="AZ25" i="8" s="1"/>
  <c r="K25" i="19"/>
  <c r="L25" i="19" s="1"/>
  <c r="AY25" i="19"/>
  <c r="AZ25" i="19" s="1"/>
  <c r="AY25" i="1"/>
  <c r="AZ25" i="1" s="1"/>
  <c r="K25" i="1"/>
  <c r="L25" i="1" s="1"/>
  <c r="K25" i="11"/>
  <c r="L25" i="11" s="1"/>
  <c r="AY25" i="11"/>
  <c r="AZ25" i="11" s="1"/>
  <c r="K25" i="21"/>
  <c r="L25" i="21" s="1"/>
  <c r="AY25" i="21"/>
  <c r="AZ25" i="21" s="1"/>
  <c r="AH24" i="55"/>
  <c r="AE24" i="55"/>
  <c r="AB24" i="55"/>
  <c r="P24" i="55"/>
  <c r="Q24" i="55"/>
  <c r="W24" i="55"/>
  <c r="K25" i="15"/>
  <c r="L25" i="15" s="1"/>
  <c r="AY25" i="15"/>
  <c r="AZ25" i="15" s="1"/>
  <c r="K25" i="18"/>
  <c r="L25" i="18" s="1"/>
  <c r="AY25" i="18"/>
  <c r="AZ25" i="18" s="1"/>
  <c r="K25" i="25"/>
  <c r="L25" i="25" s="1"/>
  <c r="AY25" i="25"/>
  <c r="AZ25" i="25" s="1"/>
  <c r="K25" i="5"/>
  <c r="L25" i="5" s="1"/>
  <c r="AY25" i="5"/>
  <c r="AZ25" i="5" s="1"/>
  <c r="M25" i="18" l="1"/>
  <c r="N25" i="18" s="1"/>
  <c r="BA25" i="18"/>
  <c r="BB25" i="18" s="1"/>
  <c r="BC25" i="8"/>
  <c r="O25" i="6"/>
  <c r="BC25" i="5"/>
  <c r="O25" i="25"/>
  <c r="O25" i="15"/>
  <c r="M25" i="13"/>
  <c r="N25" i="13" s="1"/>
  <c r="BA25" i="13"/>
  <c r="BB25" i="13" s="1"/>
  <c r="O25" i="21"/>
  <c r="BC25" i="1"/>
  <c r="O25" i="8"/>
  <c r="BC25" i="23"/>
  <c r="BC25" i="10"/>
  <c r="BC25" i="24"/>
  <c r="BC25" i="53"/>
  <c r="M25" i="15"/>
  <c r="N25" i="15" s="1"/>
  <c r="BA25" i="15"/>
  <c r="BB25" i="15" s="1"/>
  <c r="M25" i="2"/>
  <c r="N25" i="2" s="1"/>
  <c r="BA25" i="2"/>
  <c r="BB25" i="2" s="1"/>
  <c r="BC25" i="16"/>
  <c r="BC25" i="17"/>
  <c r="BC25" i="2"/>
  <c r="M25" i="14"/>
  <c r="N25" i="14" s="1"/>
  <c r="BA25" i="14"/>
  <c r="BB25" i="14" s="1"/>
  <c r="O25" i="5"/>
  <c r="BC25" i="18"/>
  <c r="M25" i="25"/>
  <c r="N25" i="25" s="1"/>
  <c r="BA25" i="25"/>
  <c r="BB25" i="25" s="1"/>
  <c r="BC25" i="11"/>
  <c r="BC25" i="19"/>
  <c r="M25" i="16"/>
  <c r="N25" i="16" s="1"/>
  <c r="BA25" i="16"/>
  <c r="BB25" i="16" s="1"/>
  <c r="M25" i="6"/>
  <c r="N25" i="6" s="1"/>
  <c r="BA25" i="6"/>
  <c r="BB25" i="6" s="1"/>
  <c r="BA25" i="3"/>
  <c r="BB25" i="3" s="1"/>
  <c r="M25" i="3"/>
  <c r="N25" i="3" s="1"/>
  <c r="O25" i="23"/>
  <c r="O25" i="10"/>
  <c r="O25" i="24"/>
  <c r="BC25" i="20"/>
  <c r="M25" i="21"/>
  <c r="N25" i="21" s="1"/>
  <c r="BA25" i="21"/>
  <c r="BB25" i="21" s="1"/>
  <c r="O25" i="16"/>
  <c r="O25" i="17"/>
  <c r="O25" i="2"/>
  <c r="M25" i="19"/>
  <c r="N25" i="19" s="1"/>
  <c r="BA25" i="19"/>
  <c r="BB25" i="19" s="1"/>
  <c r="M25" i="11"/>
  <c r="N25" i="11" s="1"/>
  <c r="BA25" i="11"/>
  <c r="BB25" i="11" s="1"/>
  <c r="BC25" i="15"/>
  <c r="BC25" i="25"/>
  <c r="O25" i="18"/>
  <c r="M25" i="24"/>
  <c r="N25" i="24" s="1"/>
  <c r="BA25" i="24"/>
  <c r="BB25" i="24" s="1"/>
  <c r="BA25" i="10"/>
  <c r="BB25" i="10" s="1"/>
  <c r="M25" i="10"/>
  <c r="N25" i="10" s="1"/>
  <c r="BA25" i="7"/>
  <c r="BB25" i="7" s="1"/>
  <c r="M25" i="7"/>
  <c r="N25" i="7" s="1"/>
  <c r="O25" i="11"/>
  <c r="O25" i="19"/>
  <c r="M25" i="17"/>
  <c r="N25" i="17" s="1"/>
  <c r="BA25" i="17"/>
  <c r="BB25" i="17" s="1"/>
  <c r="BC25" i="6"/>
  <c r="BC25" i="9"/>
  <c r="BC25" i="13"/>
  <c r="BC25" i="14"/>
  <c r="O25" i="20"/>
  <c r="M25" i="22"/>
  <c r="N25" i="22" s="1"/>
  <c r="BA25" i="22"/>
  <c r="BB25" i="22" s="1"/>
  <c r="M25" i="8"/>
  <c r="N25" i="8" s="1"/>
  <c r="BA25" i="8"/>
  <c r="BB25" i="8" s="1"/>
  <c r="BA25" i="5"/>
  <c r="BB25" i="5" s="1"/>
  <c r="M25" i="5"/>
  <c r="N25" i="5" s="1"/>
  <c r="BC25" i="3"/>
  <c r="BC25" i="7"/>
  <c r="O25" i="4"/>
  <c r="BC25" i="22"/>
  <c r="M25" i="20"/>
  <c r="N25" i="20" s="1"/>
  <c r="M25" i="53"/>
  <c r="N25" i="53" s="1"/>
  <c r="BA25" i="53"/>
  <c r="BB25" i="53" s="1"/>
  <c r="BA25" i="20"/>
  <c r="BB25" i="20" s="1"/>
  <c r="BA25" i="4"/>
  <c r="BB25" i="4" s="1"/>
  <c r="M25" i="4"/>
  <c r="N25" i="4" s="1"/>
  <c r="BA25" i="1"/>
  <c r="BB25" i="1" s="1"/>
  <c r="M25" i="1"/>
  <c r="N25" i="1" s="1"/>
  <c r="O25" i="12"/>
  <c r="BC25" i="21"/>
  <c r="O25" i="1"/>
  <c r="M25" i="23"/>
  <c r="N25" i="23" s="1"/>
  <c r="BA25" i="23"/>
  <c r="BB25" i="23" s="1"/>
  <c r="M25" i="12"/>
  <c r="N25" i="12" s="1"/>
  <c r="BA25" i="12"/>
  <c r="BB25" i="12" s="1"/>
  <c r="BA25" i="9"/>
  <c r="BB25" i="9" s="1"/>
  <c r="M25" i="9"/>
  <c r="N25" i="9" s="1"/>
  <c r="O25" i="9"/>
  <c r="O25" i="13"/>
  <c r="O25" i="14"/>
  <c r="L25" i="53"/>
  <c r="O25" i="3"/>
  <c r="O25" i="7"/>
  <c r="BC25" i="4"/>
  <c r="O25" i="22"/>
  <c r="BC25" i="12"/>
  <c r="O25" i="53" l="1"/>
  <c r="AP54" i="28"/>
  <c r="AP55" i="28"/>
  <c r="AP69" i="30" l="1"/>
  <c r="AP70" i="30"/>
  <c r="Z79" i="30"/>
  <c r="AB79" i="30" s="1"/>
  <c r="L70" i="30"/>
  <c r="N70" i="30" s="1"/>
  <c r="AQ70" i="30" s="1"/>
  <c r="L69" i="30"/>
  <c r="N69" i="30" s="1"/>
  <c r="AQ69" i="30" s="1"/>
  <c r="AR80" i="30" l="1"/>
  <c r="AR79" i="30"/>
  <c r="AB4" i="28" l="1"/>
  <c r="AD4" i="28" s="1"/>
  <c r="AB5" i="28"/>
  <c r="AD5" i="28" s="1"/>
  <c r="AP60" i="28"/>
  <c r="AP59" i="28"/>
  <c r="AB16" i="28"/>
  <c r="AD16" i="28" s="1"/>
  <c r="L9" i="28" s="1"/>
  <c r="AP45" i="28" s="1"/>
  <c r="AT45" i="28" s="1"/>
  <c r="E7" i="28" s="1"/>
  <c r="AP16" i="28" s="1"/>
  <c r="AR16" i="28" s="1"/>
  <c r="AP65" i="28"/>
  <c r="AB15" i="28"/>
  <c r="AD15" i="28" s="1"/>
  <c r="L8" i="28" s="1"/>
  <c r="AP44" i="28" s="1"/>
  <c r="AT44" i="28" s="1"/>
  <c r="D7" i="28" s="1"/>
  <c r="AP15" i="28" s="1"/>
  <c r="AR15" i="28" s="1"/>
  <c r="AP64" i="28"/>
  <c r="AP70" i="28"/>
  <c r="AP69" i="28"/>
  <c r="AB10" i="28"/>
  <c r="AD10" i="28" s="1"/>
  <c r="AB9" i="28"/>
  <c r="AD9" i="28" s="1"/>
  <c r="AK49" i="28" l="1"/>
  <c r="AM49" i="28" s="1"/>
  <c r="AS49" i="28" s="1"/>
  <c r="AK50" i="28"/>
  <c r="AM50" i="28" s="1"/>
  <c r="AS50" i="28" s="1"/>
  <c r="X7" i="28"/>
  <c r="L7" i="28" s="1"/>
  <c r="AP40" i="28" s="1"/>
  <c r="AT40" i="28" s="1"/>
  <c r="E6" i="28" s="1"/>
  <c r="X6" i="28"/>
  <c r="L6" i="28" s="1"/>
  <c r="AP39" i="28" s="1"/>
  <c r="AT39" i="28" s="1"/>
  <c r="D6" i="28" s="1"/>
  <c r="AP11" i="28" l="1"/>
  <c r="AR11" i="28" s="1"/>
  <c r="AP6" i="28"/>
  <c r="AR6" i="28" s="1"/>
  <c r="L11" i="28" s="1"/>
  <c r="AP50" i="28" s="1"/>
  <c r="AT50" i="28" s="1"/>
  <c r="E8" i="28" s="1"/>
  <c r="L50" i="28"/>
  <c r="N50" i="28" s="1"/>
  <c r="AQ50" i="28" s="1"/>
  <c r="AB28" i="28"/>
  <c r="AD28" i="28" s="1"/>
  <c r="Z45" i="28"/>
  <c r="AB45" i="28" s="1"/>
  <c r="AK45" i="28"/>
  <c r="AM45" i="28" s="1"/>
  <c r="AS45" i="28" s="1"/>
  <c r="L55" i="28"/>
  <c r="N55" i="28" s="1"/>
  <c r="AQ55" i="28" s="1"/>
  <c r="AT55" i="28" s="1"/>
  <c r="E9" i="28" s="1"/>
  <c r="AB23" i="28"/>
  <c r="AD23" i="28" s="1"/>
  <c r="Z50" i="28"/>
  <c r="AB50" i="28" s="1"/>
  <c r="AP10" i="28"/>
  <c r="AR10" i="28" s="1"/>
  <c r="AP5" i="28"/>
  <c r="AR5" i="28" s="1"/>
  <c r="L10" i="28" s="1"/>
  <c r="AP49" i="28" s="1"/>
  <c r="AT49" i="28" s="1"/>
  <c r="D8" i="28" s="1"/>
  <c r="L49" i="28"/>
  <c r="N49" i="28" s="1"/>
  <c r="AQ49" i="28" s="1"/>
  <c r="AB22" i="28"/>
  <c r="AD22" i="28" s="1"/>
  <c r="AB27" i="28"/>
  <c r="AD27" i="28" s="1"/>
  <c r="Z44" i="28"/>
  <c r="AB44" i="28" s="1"/>
  <c r="Z49" i="28"/>
  <c r="AB49" i="28" s="1"/>
  <c r="AK44" i="28"/>
  <c r="AM44" i="28" s="1"/>
  <c r="AS44" i="28" s="1"/>
  <c r="L54" i="28"/>
  <c r="N54" i="28" s="1"/>
  <c r="AQ54" i="28" s="1"/>
  <c r="AT54" i="28" s="1"/>
  <c r="D9" i="28" s="1"/>
  <c r="L59" i="28" l="1"/>
  <c r="N59" i="28" s="1"/>
  <c r="AQ59" i="28" s="1"/>
  <c r="AT59" i="28" s="1"/>
  <c r="D10" i="28" s="1"/>
  <c r="Z54" i="28"/>
  <c r="AB54" i="28" s="1"/>
  <c r="AK54" i="28"/>
  <c r="AM54" i="28" s="1"/>
  <c r="AS54" i="28" s="1"/>
  <c r="Z60" i="28"/>
  <c r="AB60" i="28" s="1"/>
  <c r="L65" i="28"/>
  <c r="N65" i="28" s="1"/>
  <c r="AQ65" i="28" s="1"/>
  <c r="AT65" i="28" s="1"/>
  <c r="E11" i="28" s="1"/>
  <c r="Z59" i="28"/>
  <c r="AB59" i="28" s="1"/>
  <c r="AK59" i="28"/>
  <c r="AM59" i="28" s="1"/>
  <c r="AS59" i="28" s="1"/>
  <c r="L64" i="28"/>
  <c r="N64" i="28" s="1"/>
  <c r="AQ64" i="28" s="1"/>
  <c r="AT64" i="28" s="1"/>
  <c r="D11" i="28" s="1"/>
  <c r="X24" i="28"/>
  <c r="X25" i="28"/>
  <c r="AL12" i="28"/>
  <c r="AL13" i="28"/>
  <c r="AR50" i="28"/>
  <c r="AR49" i="28"/>
  <c r="Z55" i="28"/>
  <c r="AB55" i="28" s="1"/>
  <c r="AK55" i="28"/>
  <c r="AM55" i="28" s="1"/>
  <c r="AS55" i="28" s="1"/>
  <c r="L60" i="28"/>
  <c r="N60" i="28" s="1"/>
  <c r="AQ60" i="28" s="1"/>
  <c r="AT60" i="28" s="1"/>
  <c r="E10" i="28" s="1"/>
  <c r="AR44" i="28"/>
  <c r="AR45" i="28"/>
  <c r="L75" i="28" l="1"/>
  <c r="N75" i="28" s="1"/>
  <c r="AQ75" i="28" s="1"/>
  <c r="AT75" i="28" s="1"/>
  <c r="E13" i="28" s="1"/>
  <c r="AK80" i="28" s="1"/>
  <c r="AM80" i="28" s="1"/>
  <c r="AS80" i="28" s="1"/>
  <c r="AK65" i="28"/>
  <c r="AM65" i="28" s="1"/>
  <c r="AS65" i="28" s="1"/>
  <c r="Z65" i="28"/>
  <c r="AB65" i="28" s="1"/>
  <c r="AR60" i="28"/>
  <c r="AR59" i="28"/>
  <c r="AR54" i="28"/>
  <c r="AR55" i="28"/>
  <c r="L80" i="28"/>
  <c r="N80" i="28" s="1"/>
  <c r="AQ80" i="28" s="1"/>
  <c r="AT80" i="28" s="1"/>
  <c r="E14" i="28" s="1"/>
  <c r="AK85" i="28" s="1"/>
  <c r="AM85" i="28" s="1"/>
  <c r="AS85" i="28" s="1"/>
  <c r="AT85" i="28" s="1"/>
  <c r="E15" i="28" s="1"/>
  <c r="AK90" i="28" s="1"/>
  <c r="AM90" i="28" s="1"/>
  <c r="AS90" i="28" s="1"/>
  <c r="AT90" i="28" s="1"/>
  <c r="Z75" i="28"/>
  <c r="AB75" i="28" s="1"/>
  <c r="AK70" i="28"/>
  <c r="AM70" i="28" s="1"/>
  <c r="AS70" i="28" s="1"/>
  <c r="AT70" i="28" s="1"/>
  <c r="E12" i="28" s="1"/>
  <c r="AK75" i="28" s="1"/>
  <c r="AM75" i="28" s="1"/>
  <c r="AS75" i="28" s="1"/>
  <c r="L74" i="28"/>
  <c r="N74" i="28" s="1"/>
  <c r="AQ74" i="28" s="1"/>
  <c r="AT74" i="28" s="1"/>
  <c r="D13" i="28" s="1"/>
  <c r="AK79" i="28" s="1"/>
  <c r="AM79" i="28" s="1"/>
  <c r="AS79" i="28" s="1"/>
  <c r="AK64" i="28"/>
  <c r="AM64" i="28" s="1"/>
  <c r="AS64" i="28" s="1"/>
  <c r="Z64" i="28"/>
  <c r="AB64" i="28" s="1"/>
  <c r="L79" i="28"/>
  <c r="N79" i="28" s="1"/>
  <c r="AQ79" i="28" s="1"/>
  <c r="AT79" i="28" s="1"/>
  <c r="D14" i="28" s="1"/>
  <c r="AK84" i="28" s="1"/>
  <c r="AM84" i="28" s="1"/>
  <c r="AS84" i="28" s="1"/>
  <c r="AT84" i="28" s="1"/>
  <c r="D15" i="28" s="1"/>
  <c r="AK89" i="28" s="1"/>
  <c r="AM89" i="28" s="1"/>
  <c r="AS89" i="28" s="1"/>
  <c r="AT89" i="28" s="1"/>
  <c r="Z74" i="28"/>
  <c r="AB74" i="28" s="1"/>
  <c r="AK69" i="28"/>
  <c r="AM69" i="28" s="1"/>
  <c r="AS69" i="28" s="1"/>
  <c r="AT69" i="28" s="1"/>
  <c r="D12" i="28" s="1"/>
  <c r="AK74" i="28" s="1"/>
  <c r="AM74" i="28" s="1"/>
  <c r="AS74" i="28" s="1"/>
  <c r="AR74" i="28" l="1"/>
  <c r="AR75" i="28"/>
  <c r="D18" i="28"/>
  <c r="D22" i="28"/>
  <c r="D26" i="28"/>
  <c r="D17" i="28"/>
  <c r="D21" i="28"/>
  <c r="D25" i="28"/>
  <c r="D16" i="28"/>
  <c r="D20" i="28"/>
  <c r="D24" i="28"/>
  <c r="D28" i="28"/>
  <c r="D19" i="28"/>
  <c r="D23" i="28"/>
  <c r="D27" i="28"/>
  <c r="AR64" i="28"/>
  <c r="AR65" i="28"/>
  <c r="E18" i="28"/>
  <c r="E22" i="28"/>
  <c r="E26" i="28"/>
  <c r="E17" i="28"/>
  <c r="E21" i="28"/>
  <c r="E25" i="28"/>
  <c r="E16" i="28"/>
  <c r="E20" i="28"/>
  <c r="E24" i="28"/>
  <c r="E28" i="28"/>
  <c r="E19" i="28"/>
  <c r="E23" i="28"/>
  <c r="E27" i="28"/>
  <c r="B92" i="61" a="1"/>
  <c r="AC92" i="61" l="1" a="1"/>
  <c r="AD92" i="61" s="1"/>
  <c r="G92" i="61"/>
  <c r="B92" i="61"/>
  <c r="F92" i="61"/>
  <c r="I92" i="61"/>
  <c r="J92" i="61"/>
  <c r="K92" i="61"/>
  <c r="L92" i="61"/>
  <c r="C92" i="61"/>
  <c r="D92" i="61"/>
  <c r="E92" i="61"/>
  <c r="H92" i="61"/>
  <c r="M92" i="61"/>
  <c r="Q92" i="61"/>
  <c r="U92" i="61"/>
  <c r="Y92" i="61"/>
  <c r="P92" i="61"/>
  <c r="T92" i="61"/>
  <c r="X92" i="61"/>
  <c r="O92" i="61"/>
  <c r="S92" i="61"/>
  <c r="W92" i="61"/>
  <c r="N92" i="61"/>
  <c r="R92" i="61"/>
  <c r="V92" i="61"/>
  <c r="Z92" i="61"/>
  <c r="AK100" i="28"/>
  <c r="AM100" i="28" s="1"/>
  <c r="AS100" i="28" s="1"/>
  <c r="AT100" i="28" s="1"/>
  <c r="AK150" i="28"/>
  <c r="AM150" i="28" s="1"/>
  <c r="AS150" i="28" s="1"/>
  <c r="AT150" i="28" s="1"/>
  <c r="AK105" i="28"/>
  <c r="AM105" i="28" s="1"/>
  <c r="AS105" i="28" s="1"/>
  <c r="AT105" i="28" s="1"/>
  <c r="AK120" i="28"/>
  <c r="AM120" i="28" s="1"/>
  <c r="AS120" i="28" s="1"/>
  <c r="AT120" i="28" s="1"/>
  <c r="AK135" i="28"/>
  <c r="AM135" i="28" s="1"/>
  <c r="AS135" i="28" s="1"/>
  <c r="AT135" i="28" s="1"/>
  <c r="AK110" i="28"/>
  <c r="AM110" i="28" s="1"/>
  <c r="AS110" i="28" s="1"/>
  <c r="AT110" i="28" s="1"/>
  <c r="AK115" i="28"/>
  <c r="AM115" i="28" s="1"/>
  <c r="AS115" i="28" s="1"/>
  <c r="AT115" i="28" s="1"/>
  <c r="AK140" i="28"/>
  <c r="AM140" i="28" s="1"/>
  <c r="AS140" i="28" s="1"/>
  <c r="AT140" i="28" s="1"/>
  <c r="AK95" i="28"/>
  <c r="AM95" i="28" s="1"/>
  <c r="AS95" i="28" s="1"/>
  <c r="AT95" i="28" s="1"/>
  <c r="AK145" i="28"/>
  <c r="AM145" i="28" s="1"/>
  <c r="AS145" i="28" s="1"/>
  <c r="AT145" i="28" s="1"/>
  <c r="AK130" i="28"/>
  <c r="AM130" i="28" s="1"/>
  <c r="AS130" i="28" s="1"/>
  <c r="AT130" i="28" s="1"/>
  <c r="AK125" i="28"/>
  <c r="AM125" i="28" s="1"/>
  <c r="AS125" i="28" s="1"/>
  <c r="AT125" i="28" s="1"/>
  <c r="AK109" i="28"/>
  <c r="AM109" i="28" s="1"/>
  <c r="AS109" i="28" s="1"/>
  <c r="AT109" i="28" s="1"/>
  <c r="AK144" i="28"/>
  <c r="AM144" i="28" s="1"/>
  <c r="AS144" i="28" s="1"/>
  <c r="AT144" i="28" s="1"/>
  <c r="AK134" i="28"/>
  <c r="AM134" i="28" s="1"/>
  <c r="AS134" i="28" s="1"/>
  <c r="AT134" i="28" s="1"/>
  <c r="AK104" i="28"/>
  <c r="AM104" i="28" s="1"/>
  <c r="AS104" i="28" s="1"/>
  <c r="AT104" i="28" s="1"/>
  <c r="AK114" i="28"/>
  <c r="AM114" i="28" s="1"/>
  <c r="AS114" i="28" s="1"/>
  <c r="AT114" i="28" s="1"/>
  <c r="AK129" i="28"/>
  <c r="AM129" i="28" s="1"/>
  <c r="AS129" i="28" s="1"/>
  <c r="AT129" i="28" s="1"/>
  <c r="AK119" i="28"/>
  <c r="AM119" i="28" s="1"/>
  <c r="AS119" i="28" s="1"/>
  <c r="AT119" i="28" s="1"/>
  <c r="AK94" i="28"/>
  <c r="AM94" i="28" s="1"/>
  <c r="AS94" i="28" s="1"/>
  <c r="AT94" i="28" s="1"/>
  <c r="AK124" i="28"/>
  <c r="AM124" i="28" s="1"/>
  <c r="AS124" i="28" s="1"/>
  <c r="AT124" i="28" s="1"/>
  <c r="AK139" i="28"/>
  <c r="AM139" i="28" s="1"/>
  <c r="AS139" i="28" s="1"/>
  <c r="AT139" i="28" s="1"/>
  <c r="AK149" i="28"/>
  <c r="AM149" i="28" s="1"/>
  <c r="AS149" i="28" s="1"/>
  <c r="AT149" i="28" s="1"/>
  <c r="AK99" i="28"/>
  <c r="AM99" i="28" s="1"/>
  <c r="AS99" i="28" s="1"/>
  <c r="AT99" i="28" s="1"/>
  <c r="AQ92" i="61" l="1"/>
  <c r="AD25" i="55" s="1"/>
  <c r="AI92" i="61"/>
  <c r="V25" i="55" s="1"/>
  <c r="AM92" i="61"/>
  <c r="Z25" i="55" s="1"/>
  <c r="AT92" i="61"/>
  <c r="AG25" i="55" s="1"/>
  <c r="AK92" i="61"/>
  <c r="AW92" i="61"/>
  <c r="AJ25" i="55" s="1"/>
  <c r="AS92" i="61"/>
  <c r="AF25" i="55" s="1"/>
  <c r="AP92" i="61"/>
  <c r="AC25" i="55" s="1"/>
  <c r="AZ92" i="61"/>
  <c r="AM25" i="55" s="1"/>
  <c r="AH92" i="61"/>
  <c r="U25" i="55" s="1"/>
  <c r="AL92" i="61"/>
  <c r="Y25" i="55" s="1"/>
  <c r="AJ92" i="61"/>
  <c r="W25" i="55" s="1"/>
  <c r="AO92" i="61"/>
  <c r="AB25" i="55" s="1"/>
  <c r="AY92" i="61"/>
  <c r="AL25" i="55" s="1"/>
  <c r="AV92" i="61"/>
  <c r="AI25" i="55" s="1"/>
  <c r="AC92" i="61"/>
  <c r="P25" i="55" s="1"/>
  <c r="AF92" i="61"/>
  <c r="S25" i="55" s="1"/>
  <c r="AG92" i="61"/>
  <c r="T25" i="55" s="1"/>
  <c r="BA92" i="61"/>
  <c r="AN25" i="55" s="1"/>
  <c r="AX92" i="61"/>
  <c r="AK25" i="55" s="1"/>
  <c r="AU92" i="61"/>
  <c r="AH25" i="55" s="1"/>
  <c r="AR92" i="61"/>
  <c r="AE25" i="55" s="1"/>
  <c r="AN92" i="61"/>
  <c r="AA25" i="55" s="1"/>
  <c r="AE92" i="61"/>
  <c r="R25" i="55" s="1"/>
  <c r="AF25" i="54"/>
  <c r="AC25" i="54"/>
  <c r="AM25" i="54"/>
  <c r="V25" i="54"/>
  <c r="Z25" i="54"/>
  <c r="T25" i="54"/>
  <c r="X25" i="55"/>
  <c r="AB25" i="54"/>
  <c r="AL25" i="54"/>
  <c r="AI25" i="54"/>
  <c r="S25" i="54"/>
  <c r="Y25" i="54"/>
  <c r="P25" i="54"/>
  <c r="AN25" i="54"/>
  <c r="AK25" i="54"/>
  <c r="AH25" i="54"/>
  <c r="AE25" i="54"/>
  <c r="R25" i="54"/>
  <c r="X25" i="54"/>
  <c r="U25" i="54"/>
  <c r="AJ25" i="54"/>
  <c r="AG25" i="54"/>
  <c r="AD25" i="54"/>
  <c r="AA25" i="54"/>
  <c r="Q25" i="54"/>
  <c r="W25" i="54"/>
  <c r="Q25" i="55"/>
  <c r="M26" i="23" l="1"/>
  <c r="N26" i="23" s="1"/>
  <c r="BA26" i="23"/>
  <c r="BB26" i="23" s="1"/>
  <c r="BA26" i="4"/>
  <c r="BB26" i="4" s="1"/>
  <c r="M26" i="4"/>
  <c r="N26" i="4" s="1"/>
  <c r="K26" i="14"/>
  <c r="L26" i="14" s="1"/>
  <c r="AY26" i="14"/>
  <c r="AZ26" i="14" s="1"/>
  <c r="M26" i="21"/>
  <c r="N26" i="21" s="1"/>
  <c r="BA26" i="21"/>
  <c r="BB26" i="21" s="1"/>
  <c r="K26" i="23"/>
  <c r="L26" i="23" s="1"/>
  <c r="AY26" i="23"/>
  <c r="AZ26" i="23" s="1"/>
  <c r="K26" i="1"/>
  <c r="L26" i="1" s="1"/>
  <c r="AY26" i="1"/>
  <c r="AZ26" i="1" s="1"/>
  <c r="BA26" i="2"/>
  <c r="BB26" i="2" s="1"/>
  <c r="M26" i="2"/>
  <c r="N26" i="2" s="1"/>
  <c r="K26" i="16"/>
  <c r="L26" i="16" s="1"/>
  <c r="AY26" i="16"/>
  <c r="AZ26" i="16" s="1"/>
  <c r="AY26" i="13"/>
  <c r="AZ26" i="13" s="1"/>
  <c r="K26" i="13"/>
  <c r="L26" i="13" s="1"/>
  <c r="M26" i="24"/>
  <c r="N26" i="24" s="1"/>
  <c r="BA26" i="24"/>
  <c r="BB26" i="24" s="1"/>
  <c r="K26" i="24"/>
  <c r="L26" i="24" s="1"/>
  <c r="AY26" i="24"/>
  <c r="AZ26" i="24" s="1"/>
  <c r="K26" i="5"/>
  <c r="L26" i="5" s="1"/>
  <c r="AY26" i="5"/>
  <c r="AZ26" i="5" s="1"/>
  <c r="BA26" i="6"/>
  <c r="BB26" i="6" s="1"/>
  <c r="M26" i="6"/>
  <c r="N26" i="6" s="1"/>
  <c r="K26" i="17"/>
  <c r="L26" i="17" s="1"/>
  <c r="AY26" i="17"/>
  <c r="AZ26" i="17" s="1"/>
  <c r="AY26" i="4"/>
  <c r="AZ26" i="4" s="1"/>
  <c r="K26" i="4"/>
  <c r="L26" i="4" s="1"/>
  <c r="M26" i="20"/>
  <c r="N26" i="20" s="1"/>
  <c r="M26" i="53"/>
  <c r="N26" i="53" s="1"/>
  <c r="BA26" i="20"/>
  <c r="BB26" i="20" s="1"/>
  <c r="BA26" i="53"/>
  <c r="BB26" i="53" s="1"/>
  <c r="K26" i="25"/>
  <c r="L26" i="25" s="1"/>
  <c r="AY26" i="25"/>
  <c r="AZ26" i="25" s="1"/>
  <c r="K26" i="3"/>
  <c r="L26" i="3" s="1"/>
  <c r="AY26" i="3"/>
  <c r="AZ26" i="3" s="1"/>
  <c r="M26" i="19"/>
  <c r="N26" i="19" s="1"/>
  <c r="BA26" i="19"/>
  <c r="BB26" i="19" s="1"/>
  <c r="K26" i="21"/>
  <c r="L26" i="21" s="1"/>
  <c r="AY26" i="21"/>
  <c r="AZ26" i="21" s="1"/>
  <c r="K26" i="12"/>
  <c r="L26" i="12" s="1"/>
  <c r="AY26" i="12"/>
  <c r="AZ26" i="12" s="1"/>
  <c r="K26" i="8"/>
  <c r="L26" i="8" s="1"/>
  <c r="AY26" i="8"/>
  <c r="AZ26" i="8" s="1"/>
  <c r="K26" i="7"/>
  <c r="L26" i="7" s="1"/>
  <c r="AY26" i="7"/>
  <c r="AZ26" i="7" s="1"/>
  <c r="M26" i="16"/>
  <c r="N26" i="16" s="1"/>
  <c r="BA26" i="16"/>
  <c r="BB26" i="16" s="1"/>
  <c r="BA26" i="5"/>
  <c r="BB26" i="5" s="1"/>
  <c r="M26" i="5"/>
  <c r="N26" i="5" s="1"/>
  <c r="K26" i="2"/>
  <c r="L26" i="2" s="1"/>
  <c r="AY26" i="2"/>
  <c r="AZ26" i="2" s="1"/>
  <c r="M26" i="10"/>
  <c r="N26" i="10" s="1"/>
  <c r="BA26" i="10"/>
  <c r="BB26" i="10" s="1"/>
  <c r="K26" i="18"/>
  <c r="L26" i="18" s="1"/>
  <c r="AY26" i="18"/>
  <c r="AZ26" i="18" s="1"/>
  <c r="M26" i="25"/>
  <c r="N26" i="25" s="1"/>
  <c r="BA26" i="25"/>
  <c r="BB26" i="25" s="1"/>
  <c r="K26" i="20"/>
  <c r="L26" i="20" s="1"/>
  <c r="K26" i="53"/>
  <c r="AY26" i="20"/>
  <c r="AZ26" i="20" s="1"/>
  <c r="AY26" i="53"/>
  <c r="AZ26" i="53" s="1"/>
  <c r="M26" i="9"/>
  <c r="N26" i="9" s="1"/>
  <c r="BA26" i="9"/>
  <c r="BB26" i="9" s="1"/>
  <c r="AY26" i="6"/>
  <c r="AZ26" i="6" s="1"/>
  <c r="K26" i="6"/>
  <c r="L26" i="6" s="1"/>
  <c r="M26" i="15"/>
  <c r="N26" i="15" s="1"/>
  <c r="BA26" i="15"/>
  <c r="BB26" i="15" s="1"/>
  <c r="M26" i="14"/>
  <c r="N26" i="14" s="1"/>
  <c r="BA26" i="14"/>
  <c r="BB26" i="14" s="1"/>
  <c r="M26" i="1"/>
  <c r="N26" i="1" s="1"/>
  <c r="BA26" i="1"/>
  <c r="BB26" i="1" s="1"/>
  <c r="AY26" i="11"/>
  <c r="AZ26" i="11" s="1"/>
  <c r="K26" i="11"/>
  <c r="L26" i="11" s="1"/>
  <c r="M26" i="22"/>
  <c r="N26" i="22" s="1"/>
  <c r="BA26" i="22"/>
  <c r="BB26" i="22" s="1"/>
  <c r="BA26" i="3"/>
  <c r="BB26" i="3" s="1"/>
  <c r="M26" i="3"/>
  <c r="N26" i="3" s="1"/>
  <c r="M26" i="13"/>
  <c r="N26" i="13" s="1"/>
  <c r="BA26" i="13"/>
  <c r="BB26" i="13" s="1"/>
  <c r="AY26" i="10"/>
  <c r="AZ26" i="10" s="1"/>
  <c r="K26" i="10"/>
  <c r="L26" i="10" s="1"/>
  <c r="M26" i="18"/>
  <c r="N26" i="18" s="1"/>
  <c r="BA26" i="18"/>
  <c r="BB26" i="18" s="1"/>
  <c r="BA26" i="12"/>
  <c r="BB26" i="12" s="1"/>
  <c r="M26" i="12"/>
  <c r="N26" i="12" s="1"/>
  <c r="K26" i="22"/>
  <c r="L26" i="22" s="1"/>
  <c r="AY26" i="22"/>
  <c r="AZ26" i="22" s="1"/>
  <c r="M26" i="17"/>
  <c r="N26" i="17" s="1"/>
  <c r="BA26" i="17"/>
  <c r="BB26" i="17" s="1"/>
  <c r="M26" i="11"/>
  <c r="N26" i="11" s="1"/>
  <c r="BA26" i="11"/>
  <c r="BB26" i="11" s="1"/>
  <c r="BA26" i="8"/>
  <c r="BB26" i="8" s="1"/>
  <c r="M26" i="8"/>
  <c r="N26" i="8" s="1"/>
  <c r="K26" i="19"/>
  <c r="L26" i="19" s="1"/>
  <c r="AY26" i="19"/>
  <c r="AZ26" i="19" s="1"/>
  <c r="BA26" i="7"/>
  <c r="BB26" i="7" s="1"/>
  <c r="M26" i="7"/>
  <c r="N26" i="7" s="1"/>
  <c r="K26" i="15"/>
  <c r="L26" i="15" s="1"/>
  <c r="AY26" i="15"/>
  <c r="AZ26" i="15" s="1"/>
  <c r="K26" i="9"/>
  <c r="L26" i="9" s="1"/>
  <c r="AY26" i="9"/>
  <c r="AZ26" i="9" s="1"/>
  <c r="BC26" i="15" l="1"/>
  <c r="L26" i="53"/>
  <c r="O26" i="7"/>
  <c r="O26" i="12"/>
  <c r="BC26" i="17"/>
  <c r="BC26" i="5"/>
  <c r="BC26" i="16"/>
  <c r="BC26" i="1"/>
  <c r="O26" i="9"/>
  <c r="BC26" i="19"/>
  <c r="BC26" i="22"/>
  <c r="O26" i="19"/>
  <c r="O26" i="22"/>
  <c r="O26" i="20"/>
  <c r="BC26" i="18"/>
  <c r="BC26" i="2"/>
  <c r="BC26" i="8"/>
  <c r="BC26" i="21"/>
  <c r="BC26" i="3"/>
  <c r="O26" i="25"/>
  <c r="O26" i="17"/>
  <c r="O26" i="5"/>
  <c r="O26" i="16"/>
  <c r="O26" i="1"/>
  <c r="O26" i="15"/>
  <c r="BC26" i="9"/>
  <c r="O26" i="10"/>
  <c r="O26" i="11"/>
  <c r="O26" i="6"/>
  <c r="BC26" i="53"/>
  <c r="O26" i="18"/>
  <c r="O26" i="2"/>
  <c r="O26" i="8"/>
  <c r="O26" i="21"/>
  <c r="O26" i="3"/>
  <c r="O26" i="4"/>
  <c r="BC26" i="24"/>
  <c r="O26" i="13"/>
  <c r="BC26" i="23"/>
  <c r="BC26" i="14"/>
  <c r="BC26" i="10"/>
  <c r="BC26" i="11"/>
  <c r="BC26" i="6"/>
  <c r="BC26" i="20"/>
  <c r="BC26" i="7"/>
  <c r="BC26" i="12"/>
  <c r="BC26" i="25"/>
  <c r="BC26" i="4"/>
  <c r="O26" i="24"/>
  <c r="BC26" i="13"/>
  <c r="O26" i="23"/>
  <c r="O26" i="14"/>
  <c r="O26" i="53" l="1"/>
  <c r="AB5" i="30" l="1"/>
  <c r="AD5" i="30" s="1"/>
  <c r="AB16" i="30"/>
  <c r="AD16" i="30" s="1"/>
  <c r="AB10" i="30"/>
  <c r="AD10" i="30" s="1"/>
  <c r="AB4" i="30"/>
  <c r="AD4" i="30" s="1"/>
  <c r="AB15" i="30"/>
  <c r="AD15" i="30" s="1"/>
  <c r="AB9" i="30"/>
  <c r="AD9" i="30" s="1"/>
  <c r="AP60" i="30" l="1"/>
  <c r="AP50" i="30"/>
  <c r="AP59" i="30"/>
  <c r="AP49" i="30"/>
  <c r="AP16" i="30"/>
  <c r="AR16" i="30" s="1"/>
  <c r="AP11" i="30"/>
  <c r="AR11" i="30" s="1"/>
  <c r="X6" i="30"/>
  <c r="L6" i="30" s="1"/>
  <c r="AP34" i="30" s="1"/>
  <c r="AT34" i="30" s="1"/>
  <c r="D5" i="30" s="1"/>
  <c r="X7" i="30"/>
  <c r="L7" i="30" s="1"/>
  <c r="AP35" i="30" s="1"/>
  <c r="AT35" i="30" s="1"/>
  <c r="E5" i="30" s="1"/>
  <c r="Z40" i="30" l="1"/>
  <c r="AB40" i="30" s="1"/>
  <c r="L45" i="30"/>
  <c r="N45" i="30" s="1"/>
  <c r="AQ45" i="30" s="1"/>
  <c r="AK40" i="30"/>
  <c r="AM40" i="30" s="1"/>
  <c r="AS40" i="30" s="1"/>
  <c r="Z39" i="30"/>
  <c r="AB39" i="30" s="1"/>
  <c r="AK39" i="30"/>
  <c r="AM39" i="30" s="1"/>
  <c r="AS39" i="30" s="1"/>
  <c r="L44" i="30"/>
  <c r="N44" i="30" s="1"/>
  <c r="AQ44" i="30" s="1"/>
  <c r="AB22" i="30"/>
  <c r="AD22" i="30" s="1"/>
  <c r="AP5" i="30"/>
  <c r="AR5" i="30" s="1"/>
  <c r="AB23" i="30"/>
  <c r="AD23" i="30" s="1"/>
  <c r="AP6" i="30"/>
  <c r="AR6" i="30" s="1"/>
  <c r="AB28" i="30"/>
  <c r="AD28" i="30" s="1"/>
  <c r="AP45" i="30" l="1"/>
  <c r="AT45" i="30" s="1"/>
  <c r="E7" i="30" s="1"/>
  <c r="AK50" i="30" s="1"/>
  <c r="AM50" i="30" s="1"/>
  <c r="AS50" i="30" s="1"/>
  <c r="AP44" i="30"/>
  <c r="AT44" i="30" s="1"/>
  <c r="D7" i="30" s="1"/>
  <c r="AK49" i="30" s="1"/>
  <c r="AM49" i="30" s="1"/>
  <c r="AS49" i="30" s="1"/>
  <c r="AR40" i="30"/>
  <c r="AR39" i="30"/>
  <c r="AB27" i="30"/>
  <c r="AD27" i="30" s="1"/>
  <c r="AP54" i="30"/>
  <c r="AP55" i="30"/>
  <c r="X24" i="30"/>
  <c r="X25" i="30"/>
  <c r="L9" i="30" s="1"/>
  <c r="AP40" i="30" s="1"/>
  <c r="L8" i="30" l="1"/>
  <c r="AP39" i="30" s="1"/>
  <c r="AT39" i="30" s="1"/>
  <c r="D6" i="30" s="1"/>
  <c r="AT40" i="30"/>
  <c r="E6" i="30" s="1"/>
  <c r="AP15" i="30"/>
  <c r="AR15" i="30" s="1"/>
  <c r="AP10" i="30"/>
  <c r="AR10" i="30" s="1"/>
  <c r="Z44" i="30" l="1"/>
  <c r="AB44" i="30" s="1"/>
  <c r="AK44" i="30"/>
  <c r="AM44" i="30" s="1"/>
  <c r="AS44" i="30" s="1"/>
  <c r="Z49" i="30"/>
  <c r="AB49" i="30" s="1"/>
  <c r="L49" i="30"/>
  <c r="N49" i="30" s="1"/>
  <c r="AQ49" i="30" s="1"/>
  <c r="AT49" i="30" s="1"/>
  <c r="D8" i="30" s="1"/>
  <c r="AK45" i="30"/>
  <c r="AM45" i="30" s="1"/>
  <c r="AS45" i="30" s="1"/>
  <c r="L50" i="30"/>
  <c r="N50" i="30" s="1"/>
  <c r="AQ50" i="30" s="1"/>
  <c r="AT50" i="30" s="1"/>
  <c r="E8" i="30" s="1"/>
  <c r="L55" i="30"/>
  <c r="N55" i="30" s="1"/>
  <c r="AQ55" i="30" s="1"/>
  <c r="AT55" i="30" s="1"/>
  <c r="E9" i="30" s="1"/>
  <c r="Z50" i="30"/>
  <c r="AB50" i="30" s="1"/>
  <c r="Z45" i="30"/>
  <c r="AB45" i="30" s="1"/>
  <c r="AR44" i="30" s="1"/>
  <c r="L54" i="30"/>
  <c r="N54" i="30" s="1"/>
  <c r="AQ54" i="30" s="1"/>
  <c r="AT54" i="30" s="1"/>
  <c r="D9" i="30" s="1"/>
  <c r="Z59" i="30" s="1"/>
  <c r="AB59" i="30" s="1"/>
  <c r="AL12" i="30"/>
  <c r="L10" i="30" s="1"/>
  <c r="AP64" i="30" s="1"/>
  <c r="AL13" i="30"/>
  <c r="L11" i="30" s="1"/>
  <c r="AP65" i="30" s="1"/>
  <c r="Z54" i="30"/>
  <c r="AB54" i="30" s="1"/>
  <c r="AK54" i="30"/>
  <c r="AM54" i="30" s="1"/>
  <c r="AS54" i="30" s="1"/>
  <c r="L59" i="30"/>
  <c r="N59" i="30" s="1"/>
  <c r="AQ59" i="30" s="1"/>
  <c r="AT59" i="30" s="1"/>
  <c r="D10" i="30" s="1"/>
  <c r="AK59" i="30" l="1"/>
  <c r="AM59" i="30" s="1"/>
  <c r="AS59" i="30" s="1"/>
  <c r="AR49" i="30"/>
  <c r="AR45" i="30"/>
  <c r="AR50" i="30"/>
  <c r="L64" i="30"/>
  <c r="N64" i="30" s="1"/>
  <c r="AQ64" i="30" s="1"/>
  <c r="AT64" i="30" s="1"/>
  <c r="D11" i="30" s="1"/>
  <c r="L79" i="30" s="1"/>
  <c r="N79" i="30" s="1"/>
  <c r="AQ79" i="30" s="1"/>
  <c r="AT79" i="30" s="1"/>
  <c r="D14" i="30" s="1"/>
  <c r="AK84" i="30" s="1"/>
  <c r="AM84" i="30" s="1"/>
  <c r="AS84" i="30" s="1"/>
  <c r="AT84" i="30" s="1"/>
  <c r="D15" i="30" s="1"/>
  <c r="AK89" i="30" s="1"/>
  <c r="AM89" i="30" s="1"/>
  <c r="AS89" i="30" s="1"/>
  <c r="AT89" i="30" s="1"/>
  <c r="D26" i="30" s="1"/>
  <c r="Z60" i="30"/>
  <c r="AB60" i="30" s="1"/>
  <c r="AR59" i="30" s="1"/>
  <c r="L65" i="30"/>
  <c r="N65" i="30" s="1"/>
  <c r="AQ65" i="30" s="1"/>
  <c r="AT65" i="30" s="1"/>
  <c r="E11" i="30" s="1"/>
  <c r="L60" i="30"/>
  <c r="N60" i="30" s="1"/>
  <c r="AQ60" i="30" s="1"/>
  <c r="AT60" i="30" s="1"/>
  <c r="E10" i="30" s="1"/>
  <c r="Z55" i="30"/>
  <c r="AB55" i="30" s="1"/>
  <c r="AR55" i="30" s="1"/>
  <c r="AK55" i="30"/>
  <c r="AM55" i="30" s="1"/>
  <c r="AS55" i="30" s="1"/>
  <c r="L74" i="30"/>
  <c r="N74" i="30" s="1"/>
  <c r="AQ74" i="30" s="1"/>
  <c r="AT74" i="30" s="1"/>
  <c r="D13" i="30" s="1"/>
  <c r="AK79" i="30" s="1"/>
  <c r="AM79" i="30" s="1"/>
  <c r="AS79" i="30" s="1"/>
  <c r="AK64" i="30"/>
  <c r="AM64" i="30" s="1"/>
  <c r="AS64" i="30" s="1"/>
  <c r="Z64" i="30"/>
  <c r="AB64" i="30" s="1"/>
  <c r="AK69" i="30" l="1"/>
  <c r="AM69" i="30" s="1"/>
  <c r="AS69" i="30" s="1"/>
  <c r="AT69" i="30" s="1"/>
  <c r="D12" i="30" s="1"/>
  <c r="AK74" i="30" s="1"/>
  <c r="AM74" i="30" s="1"/>
  <c r="AS74" i="30" s="1"/>
  <c r="D19" i="30"/>
  <c r="D25" i="30"/>
  <c r="AR54" i="30"/>
  <c r="Z74" i="30"/>
  <c r="AB74" i="30" s="1"/>
  <c r="D17" i="30"/>
  <c r="D18" i="30"/>
  <c r="D24" i="30"/>
  <c r="D23" i="30"/>
  <c r="D28" i="30"/>
  <c r="D27" i="30"/>
  <c r="D21" i="30"/>
  <c r="D16" i="30"/>
  <c r="AK94" i="30" s="1"/>
  <c r="AM94" i="30" s="1"/>
  <c r="AS94" i="30" s="1"/>
  <c r="AT94" i="30" s="1"/>
  <c r="D22" i="30"/>
  <c r="D20" i="30"/>
  <c r="AK70" i="30"/>
  <c r="AM70" i="30" s="1"/>
  <c r="AS70" i="30" s="1"/>
  <c r="AT70" i="30" s="1"/>
  <c r="E12" i="30" s="1"/>
  <c r="AK75" i="30" s="1"/>
  <c r="AM75" i="30" s="1"/>
  <c r="AS75" i="30" s="1"/>
  <c r="Z75" i="30"/>
  <c r="AB75" i="30" s="1"/>
  <c r="L80" i="30"/>
  <c r="N80" i="30" s="1"/>
  <c r="AQ80" i="30" s="1"/>
  <c r="AT80" i="30" s="1"/>
  <c r="E14" i="30" s="1"/>
  <c r="AK85" i="30" s="1"/>
  <c r="AM85" i="30" s="1"/>
  <c r="AS85" i="30" s="1"/>
  <c r="AT85" i="30" s="1"/>
  <c r="E15" i="30" s="1"/>
  <c r="AK90" i="30" s="1"/>
  <c r="AM90" i="30" s="1"/>
  <c r="AS90" i="30" s="1"/>
  <c r="AT90" i="30" s="1"/>
  <c r="AR60" i="30"/>
  <c r="AK65" i="30"/>
  <c r="AM65" i="30" s="1"/>
  <c r="AS65" i="30" s="1"/>
  <c r="L75" i="30"/>
  <c r="N75" i="30" s="1"/>
  <c r="AQ75" i="30" s="1"/>
  <c r="AT75" i="30" s="1"/>
  <c r="E13" i="30" s="1"/>
  <c r="AK80" i="30" s="1"/>
  <c r="AM80" i="30" s="1"/>
  <c r="AS80" i="30" s="1"/>
  <c r="Z65" i="30"/>
  <c r="AB65" i="30" s="1"/>
  <c r="AR65" i="30" s="1"/>
  <c r="AK114" i="30"/>
  <c r="AM114" i="30" s="1"/>
  <c r="AS114" i="30" s="1"/>
  <c r="AT114" i="30" s="1"/>
  <c r="AK144" i="30"/>
  <c r="AM144" i="30" s="1"/>
  <c r="AS144" i="30" s="1"/>
  <c r="AT144" i="30" s="1"/>
  <c r="AK99" i="30"/>
  <c r="AM99" i="30" s="1"/>
  <c r="AS99" i="30" s="1"/>
  <c r="AT99" i="30" s="1"/>
  <c r="AK104" i="30"/>
  <c r="AM104" i="30" s="1"/>
  <c r="AS104" i="30" s="1"/>
  <c r="AT104" i="30" s="1"/>
  <c r="AK119" i="30"/>
  <c r="AM119" i="30" s="1"/>
  <c r="AS119" i="30" s="1"/>
  <c r="AT119" i="30" s="1"/>
  <c r="AK149" i="30" l="1"/>
  <c r="AM149" i="30" s="1"/>
  <c r="AS149" i="30" s="1"/>
  <c r="AT149" i="30" s="1"/>
  <c r="AK134" i="30"/>
  <c r="AM134" i="30" s="1"/>
  <c r="AS134" i="30" s="1"/>
  <c r="AT134" i="30" s="1"/>
  <c r="B90" i="61" a="1"/>
  <c r="AK109" i="30"/>
  <c r="AM109" i="30" s="1"/>
  <c r="AS109" i="30" s="1"/>
  <c r="AT109" i="30" s="1"/>
  <c r="AK124" i="30"/>
  <c r="AM124" i="30" s="1"/>
  <c r="AS124" i="30" s="1"/>
  <c r="AT124" i="30" s="1"/>
  <c r="AR75" i="30"/>
  <c r="AR64" i="30"/>
  <c r="AK129" i="30"/>
  <c r="AM129" i="30" s="1"/>
  <c r="AS129" i="30" s="1"/>
  <c r="AT129" i="30" s="1"/>
  <c r="AK139" i="30"/>
  <c r="AM139" i="30" s="1"/>
  <c r="AS139" i="30" s="1"/>
  <c r="AT139" i="30" s="1"/>
  <c r="AR74" i="30"/>
  <c r="E25" i="30"/>
  <c r="E26" i="30"/>
  <c r="E24" i="30"/>
  <c r="E20" i="30"/>
  <c r="E28" i="30"/>
  <c r="E23" i="30"/>
  <c r="E22" i="30"/>
  <c r="E16" i="30"/>
  <c r="E19" i="30"/>
  <c r="E21" i="30"/>
  <c r="E27" i="30"/>
  <c r="E18" i="30"/>
  <c r="E17" i="30"/>
  <c r="B90" i="61"/>
  <c r="P23" i="54" s="1"/>
  <c r="G90" i="61"/>
  <c r="U23" i="54" s="1"/>
  <c r="AY24" i="53" s="1"/>
  <c r="AZ24" i="53" s="1"/>
  <c r="J90" i="61"/>
  <c r="X23" i="54" s="1"/>
  <c r="Q90" i="61"/>
  <c r="AE23" i="54" s="1"/>
  <c r="T90" i="61"/>
  <c r="AH23" i="54" s="1"/>
  <c r="AY24" i="7" s="1"/>
  <c r="AZ24" i="7" s="1"/>
  <c r="W90" i="61"/>
  <c r="AK23" i="54" s="1"/>
  <c r="K24" i="4" s="1"/>
  <c r="L24" i="4" s="1"/>
  <c r="Z90" i="61"/>
  <c r="AN23" i="54" s="1"/>
  <c r="K24" i="1" s="1"/>
  <c r="L24" i="1" s="1"/>
  <c r="L90" i="61"/>
  <c r="Z23" i="54" s="1"/>
  <c r="O90" i="61"/>
  <c r="AC23" i="54" s="1"/>
  <c r="AY24" i="12" s="1"/>
  <c r="AZ24" i="12" s="1"/>
  <c r="E90" i="61"/>
  <c r="S23" i="54" s="1"/>
  <c r="AY24" i="22" s="1"/>
  <c r="AZ24" i="22" s="1"/>
  <c r="C90" i="61"/>
  <c r="Q23" i="54" s="1"/>
  <c r="K24" i="24" s="1"/>
  <c r="L24" i="24" s="1"/>
  <c r="K90" i="61"/>
  <c r="Y23" i="54" s="1"/>
  <c r="U90" i="61"/>
  <c r="AI23" i="54" s="1"/>
  <c r="K24" i="6" s="1"/>
  <c r="L24" i="6" s="1"/>
  <c r="X90" i="61"/>
  <c r="AL23" i="54" s="1"/>
  <c r="AY24" i="3" s="1"/>
  <c r="AZ24" i="3" s="1"/>
  <c r="N90" i="61"/>
  <c r="AB23" i="54" s="1"/>
  <c r="F90" i="61"/>
  <c r="T23" i="54" s="1"/>
  <c r="H90" i="61"/>
  <c r="V23" i="54" s="1"/>
  <c r="Y90" i="61"/>
  <c r="AM23" i="54" s="1"/>
  <c r="K24" i="2" s="1"/>
  <c r="L24" i="2" s="1"/>
  <c r="R90" i="61"/>
  <c r="AF23" i="54" s="1"/>
  <c r="AY24" i="9" s="1"/>
  <c r="AZ24" i="9" s="1"/>
  <c r="D90" i="61"/>
  <c r="R23" i="54" s="1"/>
  <c r="I90" i="61"/>
  <c r="W23" i="54" s="1"/>
  <c r="K24" i="18" s="1"/>
  <c r="L24" i="18" s="1"/>
  <c r="M90" i="61"/>
  <c r="AA23" i="54" s="1"/>
  <c r="K24" i="14" s="1"/>
  <c r="L24" i="14" s="1"/>
  <c r="P90" i="61"/>
  <c r="AD23" i="54" s="1"/>
  <c r="K24" i="11" s="1"/>
  <c r="L24" i="11" s="1"/>
  <c r="S90" i="61"/>
  <c r="AG23" i="54" s="1"/>
  <c r="V90" i="61"/>
  <c r="AJ23" i="54" s="1"/>
  <c r="AY24" i="5" s="1"/>
  <c r="AZ24" i="5" s="1"/>
  <c r="K24" i="22"/>
  <c r="L24" i="22" s="1"/>
  <c r="K24" i="21"/>
  <c r="L24" i="21" s="1"/>
  <c r="AY24" i="21"/>
  <c r="AZ24" i="21" s="1"/>
  <c r="K24" i="23"/>
  <c r="L24" i="23" s="1"/>
  <c r="AY24" i="23"/>
  <c r="AZ24" i="23" s="1"/>
  <c r="AY24" i="8"/>
  <c r="AZ24" i="8" s="1"/>
  <c r="K24" i="8"/>
  <c r="L24" i="8" s="1"/>
  <c r="AY24" i="6"/>
  <c r="AZ24" i="6" s="1"/>
  <c r="AY24" i="2"/>
  <c r="AZ24" i="2" s="1"/>
  <c r="AY24" i="11"/>
  <c r="AZ24" i="11" s="1"/>
  <c r="AY24" i="20"/>
  <c r="AZ24" i="20" s="1"/>
  <c r="K24" i="25"/>
  <c r="L24" i="25" s="1"/>
  <c r="AY24" i="25"/>
  <c r="AZ24" i="25" s="1"/>
  <c r="K24" i="7"/>
  <c r="L24" i="7" s="1"/>
  <c r="K24" i="16"/>
  <c r="L24" i="16" s="1"/>
  <c r="AY24" i="16"/>
  <c r="AZ24" i="16" s="1"/>
  <c r="K24" i="15"/>
  <c r="L24" i="15" s="1"/>
  <c r="AY24" i="15"/>
  <c r="AZ24" i="15" s="1"/>
  <c r="K24" i="17"/>
  <c r="L24" i="17" s="1"/>
  <c r="AY24" i="17"/>
  <c r="AZ24" i="17" s="1"/>
  <c r="AY24" i="1"/>
  <c r="AZ24" i="1" s="1"/>
  <c r="K24" i="10"/>
  <c r="L24" i="10" s="1"/>
  <c r="AY24" i="10"/>
  <c r="AZ24" i="10" s="1"/>
  <c r="AY24" i="24"/>
  <c r="AZ24" i="24" s="1"/>
  <c r="AY24" i="13"/>
  <c r="AZ24" i="13" s="1"/>
  <c r="K24" i="13"/>
  <c r="L24" i="13" s="1"/>
  <c r="K24" i="19"/>
  <c r="L24" i="19" s="1"/>
  <c r="AY24" i="19"/>
  <c r="AZ24" i="19" s="1"/>
  <c r="K24" i="9"/>
  <c r="L24" i="9" s="1"/>
  <c r="AY24" i="18"/>
  <c r="AZ24" i="18" s="1"/>
  <c r="K24" i="5"/>
  <c r="L24" i="5" s="1"/>
  <c r="AK145" i="30" l="1"/>
  <c r="AM145" i="30" s="1"/>
  <c r="AS145" i="30" s="1"/>
  <c r="AT145" i="30" s="1"/>
  <c r="AK135" i="30"/>
  <c r="AM135" i="30" s="1"/>
  <c r="AS135" i="30" s="1"/>
  <c r="AT135" i="30" s="1"/>
  <c r="AK105" i="30"/>
  <c r="AM105" i="30" s="1"/>
  <c r="AS105" i="30" s="1"/>
  <c r="AT105" i="30" s="1"/>
  <c r="AK120" i="30"/>
  <c r="AM120" i="30" s="1"/>
  <c r="AS120" i="30" s="1"/>
  <c r="AT120" i="30" s="1"/>
  <c r="AK140" i="30"/>
  <c r="AM140" i="30" s="1"/>
  <c r="AS140" i="30" s="1"/>
  <c r="AT140" i="30" s="1"/>
  <c r="AK130" i="30"/>
  <c r="AM130" i="30" s="1"/>
  <c r="AS130" i="30" s="1"/>
  <c r="AT130" i="30" s="1"/>
  <c r="AK100" i="30"/>
  <c r="AM100" i="30" s="1"/>
  <c r="AS100" i="30" s="1"/>
  <c r="AT100" i="30" s="1"/>
  <c r="AK95" i="30"/>
  <c r="AM95" i="30" s="1"/>
  <c r="AS95" i="30" s="1"/>
  <c r="AT95" i="30" s="1"/>
  <c r="AK150" i="30"/>
  <c r="AM150" i="30" s="1"/>
  <c r="AS150" i="30" s="1"/>
  <c r="AT150" i="30" s="1"/>
  <c r="AK115" i="30"/>
  <c r="AM115" i="30" s="1"/>
  <c r="AS115" i="30" s="1"/>
  <c r="AT115" i="30" s="1"/>
  <c r="AK125" i="30"/>
  <c r="AM125" i="30" s="1"/>
  <c r="AS125" i="30" s="1"/>
  <c r="AT125" i="30" s="1"/>
  <c r="AK110" i="30"/>
  <c r="AM110" i="30" s="1"/>
  <c r="AS110" i="30" s="1"/>
  <c r="AT110" i="30" s="1"/>
  <c r="AC90" i="61" a="1"/>
  <c r="AY24" i="4"/>
  <c r="AZ24" i="4" s="1"/>
  <c r="BC24" i="4" s="1"/>
  <c r="BC29" i="4" s="1"/>
  <c r="K24" i="53"/>
  <c r="K24" i="3"/>
  <c r="L24" i="3" s="1"/>
  <c r="L29" i="3" s="1"/>
  <c r="AY24" i="14"/>
  <c r="AZ24" i="14" s="1"/>
  <c r="AZ29" i="14" s="1"/>
  <c r="BG18" i="14" s="1"/>
  <c r="K24" i="20"/>
  <c r="L24" i="20" s="1"/>
  <c r="L31" i="61"/>
  <c r="M31" i="61" s="1"/>
  <c r="N31" i="61" s="1"/>
  <c r="K24" i="12"/>
  <c r="L24" i="12" s="1"/>
  <c r="O24" i="12" s="1"/>
  <c r="O29" i="12" s="1"/>
  <c r="AZ29" i="18"/>
  <c r="BG18" i="18" s="1"/>
  <c r="BC24" i="18"/>
  <c r="BC29" i="18" s="1"/>
  <c r="BG21" i="18" s="1"/>
  <c r="O24" i="1"/>
  <c r="O29" i="1" s="1"/>
  <c r="L29" i="1"/>
  <c r="L29" i="18"/>
  <c r="I41" i="18" s="1"/>
  <c r="S17" i="18" s="1"/>
  <c r="O24" i="18"/>
  <c r="O29" i="18" s="1"/>
  <c r="I44" i="18" s="1"/>
  <c r="S20" i="18" s="1"/>
  <c r="L29" i="19"/>
  <c r="I41" i="19" s="1"/>
  <c r="S17" i="19" s="1"/>
  <c r="O24" i="19"/>
  <c r="O29" i="19" s="1"/>
  <c r="I44" i="19" s="1"/>
  <c r="S20" i="19" s="1"/>
  <c r="O24" i="13"/>
  <c r="O29" i="13" s="1"/>
  <c r="L29" i="13"/>
  <c r="AZ29" i="1"/>
  <c r="BC24" i="1"/>
  <c r="BC29" i="1" s="1"/>
  <c r="L29" i="14"/>
  <c r="I41" i="14" s="1"/>
  <c r="S17" i="14" s="1"/>
  <c r="O24" i="14"/>
  <c r="O29" i="14" s="1"/>
  <c r="I44" i="14" s="1"/>
  <c r="S20" i="14" s="1"/>
  <c r="L29" i="16"/>
  <c r="I41" i="16" s="1"/>
  <c r="S17" i="16" s="1"/>
  <c r="O24" i="16"/>
  <c r="O29" i="16" s="1"/>
  <c r="I44" i="16" s="1"/>
  <c r="S20" i="16" s="1"/>
  <c r="BC24" i="7"/>
  <c r="BC29" i="7" s="1"/>
  <c r="AZ29" i="7"/>
  <c r="L29" i="25"/>
  <c r="I41" i="25" s="1"/>
  <c r="S17" i="25" s="1"/>
  <c r="O24" i="25"/>
  <c r="O29" i="25" s="1"/>
  <c r="I44" i="25" s="1"/>
  <c r="S20" i="25" s="1"/>
  <c r="AZ29" i="20"/>
  <c r="BG18" i="20" s="1"/>
  <c r="BC24" i="20"/>
  <c r="BC29" i="20" s="1"/>
  <c r="BG21" i="20" s="1"/>
  <c r="BC24" i="6"/>
  <c r="BC29" i="6" s="1"/>
  <c r="AZ29" i="6"/>
  <c r="O24" i="8"/>
  <c r="O29" i="8" s="1"/>
  <c r="L29" i="8"/>
  <c r="L29" i="12"/>
  <c r="AZ29" i="9"/>
  <c r="BC24" i="9"/>
  <c r="BC29" i="9" s="1"/>
  <c r="AZ29" i="10"/>
  <c r="BC24" i="10"/>
  <c r="BC29" i="10" s="1"/>
  <c r="BC24" i="15"/>
  <c r="BC29" i="15" s="1"/>
  <c r="BG21" i="15" s="1"/>
  <c r="AZ29" i="15"/>
  <c r="BG18" i="15" s="1"/>
  <c r="L29" i="7"/>
  <c r="O24" i="7"/>
  <c r="O29" i="7" s="1"/>
  <c r="AZ29" i="4"/>
  <c r="L24" i="53"/>
  <c r="L29" i="2"/>
  <c r="O24" i="2"/>
  <c r="O29" i="2" s="1"/>
  <c r="O24" i="6"/>
  <c r="O29" i="6" s="1"/>
  <c r="L29" i="6"/>
  <c r="AZ29" i="8"/>
  <c r="BC24" i="8"/>
  <c r="BC29" i="8" s="1"/>
  <c r="AZ29" i="12"/>
  <c r="BC24" i="12"/>
  <c r="BC29" i="12" s="1"/>
  <c r="AZ29" i="3"/>
  <c r="BC24" i="3"/>
  <c r="BC29" i="3" s="1"/>
  <c r="AZ29" i="5"/>
  <c r="BC24" i="5"/>
  <c r="BC29" i="5" s="1"/>
  <c r="BC24" i="13"/>
  <c r="BC29" i="13" s="1"/>
  <c r="AZ29" i="13"/>
  <c r="BC24" i="17"/>
  <c r="BC29" i="17" s="1"/>
  <c r="BG21" i="17" s="1"/>
  <c r="AZ29" i="17"/>
  <c r="BG18" i="17" s="1"/>
  <c r="L29" i="5"/>
  <c r="O24" i="5"/>
  <c r="O29" i="5" s="1"/>
  <c r="L29" i="9"/>
  <c r="O24" i="9"/>
  <c r="O29" i="9" s="1"/>
  <c r="AZ29" i="24"/>
  <c r="BG18" i="24" s="1"/>
  <c r="BC24" i="24"/>
  <c r="BC29" i="24" s="1"/>
  <c r="BG21" i="24" s="1"/>
  <c r="L29" i="10"/>
  <c r="O24" i="10"/>
  <c r="O29" i="10" s="1"/>
  <c r="L29" i="17"/>
  <c r="I41" i="17" s="1"/>
  <c r="S17" i="17" s="1"/>
  <c r="O24" i="17"/>
  <c r="O29" i="17" s="1"/>
  <c r="I44" i="17" s="1"/>
  <c r="S20" i="17" s="1"/>
  <c r="L29" i="15"/>
  <c r="I41" i="15" s="1"/>
  <c r="S17" i="15" s="1"/>
  <c r="O24" i="15"/>
  <c r="O29" i="15" s="1"/>
  <c r="I44" i="15" s="1"/>
  <c r="S20" i="15" s="1"/>
  <c r="AZ29" i="25"/>
  <c r="BG18" i="25" s="1"/>
  <c r="BC24" i="25"/>
  <c r="BC29" i="25" s="1"/>
  <c r="BG21" i="25" s="1"/>
  <c r="O24" i="4"/>
  <c r="O29" i="4" s="1"/>
  <c r="L29" i="4"/>
  <c r="L29" i="20"/>
  <c r="I41" i="20" s="1"/>
  <c r="S17" i="20" s="1"/>
  <c r="O24" i="20"/>
  <c r="O29" i="20" s="1"/>
  <c r="I44" i="20" s="1"/>
  <c r="S20" i="20" s="1"/>
  <c r="BC24" i="11"/>
  <c r="BC29" i="11" s="1"/>
  <c r="AZ29" i="11"/>
  <c r="BC24" i="2"/>
  <c r="BC29" i="2" s="1"/>
  <c r="AZ29" i="2"/>
  <c r="BC24" i="23"/>
  <c r="BC29" i="23" s="1"/>
  <c r="BG21" i="23" s="1"/>
  <c r="AZ29" i="23"/>
  <c r="BG18" i="23" s="1"/>
  <c r="AZ29" i="21"/>
  <c r="BG18" i="21" s="1"/>
  <c r="BC24" i="21"/>
  <c r="BC29" i="21" s="1"/>
  <c r="BG21" i="21" s="1"/>
  <c r="AZ29" i="22"/>
  <c r="BG18" i="22" s="1"/>
  <c r="BC24" i="22"/>
  <c r="BC29" i="22" s="1"/>
  <c r="BG21" i="22" s="1"/>
  <c r="AZ29" i="19"/>
  <c r="BG18" i="19" s="1"/>
  <c r="BC24" i="19"/>
  <c r="BC29" i="19" s="1"/>
  <c r="BG21" i="19" s="1"/>
  <c r="L29" i="24"/>
  <c r="I41" i="24" s="1"/>
  <c r="S17" i="24" s="1"/>
  <c r="O24" i="24"/>
  <c r="O29" i="24" s="1"/>
  <c r="I44" i="24" s="1"/>
  <c r="S20" i="24" s="1"/>
  <c r="AZ29" i="16"/>
  <c r="BG18" i="16" s="1"/>
  <c r="BC24" i="16"/>
  <c r="BC29" i="16" s="1"/>
  <c r="BG21" i="16" s="1"/>
  <c r="M2" i="62"/>
  <c r="C154" i="61" s="1"/>
  <c r="CL22" i="61"/>
  <c r="CN8" i="61"/>
  <c r="CU6" i="61"/>
  <c r="DA11" i="61"/>
  <c r="CO11" i="61"/>
  <c r="CL16" i="61"/>
  <c r="DD6" i="61"/>
  <c r="DG13" i="61"/>
  <c r="CT21" i="61"/>
  <c r="DE16" i="61"/>
  <c r="DI12" i="61"/>
  <c r="CY21" i="61"/>
  <c r="CR20" i="61"/>
  <c r="DD10" i="61"/>
  <c r="DC29" i="61"/>
  <c r="CN24" i="61"/>
  <c r="DA16" i="61"/>
  <c r="DC14" i="61"/>
  <c r="DE28" i="61"/>
  <c r="DI5" i="61"/>
  <c r="CQ24" i="61"/>
  <c r="DC13" i="61"/>
  <c r="CZ24" i="61"/>
  <c r="DB6" i="61"/>
  <c r="CV28" i="61"/>
  <c r="DA24" i="61"/>
  <c r="DC19" i="61"/>
  <c r="DF21" i="61"/>
  <c r="DD15" i="61"/>
  <c r="CX15" i="61"/>
  <c r="CL9" i="61"/>
  <c r="CS15" i="61"/>
  <c r="CW16" i="61"/>
  <c r="CV6" i="61"/>
  <c r="CY26" i="61"/>
  <c r="CS26" i="61"/>
  <c r="CM24" i="61"/>
  <c r="CW24" i="61"/>
  <c r="CO22" i="61"/>
  <c r="DG5" i="61"/>
  <c r="CP16" i="61"/>
  <c r="CN29" i="61"/>
  <c r="CN5" i="61"/>
  <c r="CN13" i="61"/>
  <c r="CT13" i="61"/>
  <c r="CM21" i="61"/>
  <c r="DE9" i="61"/>
  <c r="CY17" i="61"/>
  <c r="CU23" i="61"/>
  <c r="CM22" i="61"/>
  <c r="DC6" i="61"/>
  <c r="DA19" i="61"/>
  <c r="DA29" i="61"/>
  <c r="DA5" i="61"/>
  <c r="DC21" i="61"/>
  <c r="DE15" i="61"/>
  <c r="CX12" i="61"/>
  <c r="CU28" i="61"/>
  <c r="CR6" i="61"/>
  <c r="CT18" i="61"/>
  <c r="CW17" i="61"/>
  <c r="CU20" i="61"/>
  <c r="DD12" i="61"/>
  <c r="DH6" i="61"/>
  <c r="CO16" i="61"/>
  <c r="CW15" i="61"/>
  <c r="DJ13" i="61"/>
  <c r="CM17" i="61"/>
  <c r="CS29" i="61"/>
  <c r="CN26" i="61"/>
  <c r="DH13" i="61"/>
  <c r="CW26" i="61"/>
  <c r="CT16" i="61"/>
  <c r="DC10" i="61"/>
  <c r="DD14" i="61"/>
  <c r="CQ19" i="61"/>
  <c r="DD18" i="61"/>
  <c r="CU18" i="61"/>
  <c r="CM14" i="61"/>
  <c r="CM11" i="61"/>
  <c r="DJ15" i="61"/>
  <c r="CN17" i="61"/>
  <c r="CY16" i="61"/>
  <c r="CY19" i="61"/>
  <c r="CZ8" i="61"/>
  <c r="CP19" i="61"/>
  <c r="CM19" i="61"/>
  <c r="CL5" i="61"/>
  <c r="DB16" i="61"/>
  <c r="DJ9" i="61"/>
  <c r="CS27" i="61"/>
  <c r="DA10" i="61"/>
  <c r="DH24" i="61"/>
  <c r="DJ7" i="61"/>
  <c r="CX26" i="61"/>
  <c r="DC27" i="61"/>
  <c r="CR10" i="61"/>
  <c r="CL7" i="61"/>
  <c r="DI15" i="61"/>
  <c r="DH23" i="61"/>
  <c r="CX8" i="61"/>
  <c r="CM26" i="61"/>
  <c r="CW27" i="61"/>
  <c r="CU11" i="61"/>
  <c r="CV17" i="61"/>
  <c r="CR13" i="61"/>
  <c r="DG19" i="61"/>
  <c r="DJ12" i="61"/>
  <c r="CV10" i="61"/>
  <c r="CY23" i="61"/>
  <c r="CO8" i="61"/>
  <c r="CM23" i="61"/>
  <c r="CO13" i="61"/>
  <c r="DG27" i="61"/>
  <c r="DC9" i="61"/>
  <c r="CV9" i="61"/>
  <c r="CR7" i="61"/>
  <c r="CP29" i="61"/>
  <c r="CX24" i="61"/>
  <c r="CW9" i="61"/>
  <c r="DA14" i="61"/>
  <c r="DH28" i="61"/>
  <c r="DI18" i="61"/>
  <c r="DD21" i="61"/>
  <c r="CM9" i="61"/>
  <c r="DI21" i="61"/>
  <c r="CX21" i="61"/>
  <c r="CV20" i="61"/>
  <c r="CV13" i="61"/>
  <c r="DD29" i="61"/>
  <c r="CV21" i="61"/>
  <c r="DD20" i="61"/>
  <c r="CT26" i="61"/>
  <c r="DE13" i="61"/>
  <c r="DC20" i="61"/>
  <c r="DF14" i="61"/>
  <c r="CT14" i="61"/>
  <c r="CP12" i="61"/>
  <c r="DD27" i="61"/>
  <c r="DI16" i="61"/>
  <c r="DE18" i="61"/>
  <c r="DD13" i="61"/>
  <c r="DE5" i="61"/>
  <c r="CV12" i="61"/>
  <c r="CU8" i="61"/>
  <c r="CM8" i="61"/>
  <c r="DB11" i="61"/>
  <c r="DA6" i="61"/>
  <c r="CQ9" i="61"/>
  <c r="CT29" i="61"/>
  <c r="CR23" i="61"/>
  <c r="CU10" i="61"/>
  <c r="DA7" i="61"/>
  <c r="CP26" i="61"/>
  <c r="CP20" i="61"/>
  <c r="DG12" i="61"/>
  <c r="CU24" i="61"/>
  <c r="DB20" i="61"/>
  <c r="CQ5" i="61"/>
  <c r="CR26" i="61"/>
  <c r="CZ17" i="61"/>
  <c r="CS10" i="61"/>
  <c r="CQ15" i="61"/>
  <c r="DA9" i="61"/>
  <c r="DI24" i="61"/>
  <c r="CO26" i="61"/>
  <c r="CX10" i="61"/>
  <c r="DA12" i="61"/>
  <c r="CS17" i="61"/>
  <c r="DH8" i="61"/>
  <c r="DA17" i="61"/>
  <c r="DE19" i="61"/>
  <c r="DF6" i="61"/>
  <c r="DJ11" i="61"/>
  <c r="DJ22" i="61"/>
  <c r="CN16" i="61"/>
  <c r="DF11" i="61"/>
  <c r="CX20" i="61"/>
  <c r="DB21" i="61"/>
  <c r="CY22" i="61"/>
  <c r="CP18" i="61"/>
  <c r="CX29" i="61"/>
  <c r="DF15" i="61"/>
  <c r="CY24" i="61"/>
  <c r="CS9" i="61"/>
  <c r="CW28" i="61"/>
  <c r="CX9" i="61"/>
  <c r="DF26" i="61"/>
  <c r="DB24" i="61"/>
  <c r="CY10" i="61"/>
  <c r="CT24" i="61"/>
  <c r="CO17" i="61"/>
  <c r="CZ29" i="61"/>
  <c r="CT8" i="61"/>
  <c r="CW5" i="61"/>
  <c r="CL28" i="61"/>
  <c r="DI26" i="61"/>
  <c r="CP15" i="61"/>
  <c r="CL17" i="61"/>
  <c r="CV19" i="61"/>
  <c r="DH14" i="61"/>
  <c r="DI28" i="61"/>
  <c r="CL12" i="61"/>
  <c r="CP8" i="61"/>
  <c r="CQ6" i="61"/>
  <c r="CR11" i="61"/>
  <c r="CZ11" i="61"/>
  <c r="DB15" i="61"/>
  <c r="CU9" i="61"/>
  <c r="DD5" i="61"/>
  <c r="CR9" i="61"/>
  <c r="DD7" i="61"/>
  <c r="CQ17" i="61"/>
  <c r="CV8" i="61"/>
  <c r="CM29" i="61"/>
  <c r="DB22" i="61"/>
  <c r="DJ14" i="61"/>
  <c r="DA8" i="61"/>
  <c r="DE22" i="61"/>
  <c r="DF28" i="61"/>
  <c r="CV23" i="61"/>
  <c r="DE26" i="61"/>
  <c r="CQ12" i="61"/>
  <c r="CT19" i="61"/>
  <c r="CT10" i="61"/>
  <c r="CZ5" i="61"/>
  <c r="CR28" i="61"/>
  <c r="CT6" i="61"/>
  <c r="DH5" i="61"/>
  <c r="DI27" i="61"/>
  <c r="CX11" i="61"/>
  <c r="CY9" i="61"/>
  <c r="CQ26" i="61"/>
  <c r="DF23" i="61"/>
  <c r="CT7" i="61"/>
  <c r="CU16" i="61"/>
  <c r="CW10" i="61"/>
  <c r="CZ10" i="61"/>
  <c r="CL23" i="61"/>
  <c r="CY28" i="61"/>
  <c r="CV27" i="61"/>
  <c r="DJ27" i="61"/>
  <c r="CS7" i="61"/>
  <c r="CM6" i="61"/>
  <c r="DI9" i="61"/>
  <c r="DG9" i="61"/>
  <c r="DJ28" i="61"/>
  <c r="CN15" i="61"/>
  <c r="CQ16" i="61"/>
  <c r="DF19" i="61"/>
  <c r="DF22" i="61"/>
  <c r="CV16" i="61"/>
  <c r="CM18" i="61"/>
  <c r="DJ5" i="61"/>
  <c r="CR21" i="61"/>
  <c r="DJ23" i="61"/>
  <c r="DB12" i="61"/>
  <c r="DD9" i="61"/>
  <c r="CT9" i="61"/>
  <c r="DJ29" i="61"/>
  <c r="CX5" i="61"/>
  <c r="CU21" i="61"/>
  <c r="CR29" i="61"/>
  <c r="CV11" i="61"/>
  <c r="DI8" i="61"/>
  <c r="CS14" i="61"/>
  <c r="DA21" i="61"/>
  <c r="CV26" i="61"/>
  <c r="DE7" i="61"/>
  <c r="CR16" i="61"/>
  <c r="CR27" i="61"/>
  <c r="CL8" i="61"/>
  <c r="DH7" i="61"/>
  <c r="CO14" i="61"/>
  <c r="CO23" i="61"/>
  <c r="DB23" i="61"/>
  <c r="DJ18" i="61"/>
  <c r="CO27" i="61"/>
  <c r="DB17" i="61"/>
  <c r="DA15" i="61"/>
  <c r="CL6" i="61"/>
  <c r="CN11" i="61"/>
  <c r="CL19" i="61"/>
  <c r="CM15" i="61"/>
  <c r="CP9" i="61"/>
  <c r="DD19" i="61"/>
  <c r="CZ16" i="61"/>
  <c r="CN12" i="61"/>
  <c r="CT27" i="61"/>
  <c r="CT20" i="61"/>
  <c r="DB7" i="61"/>
  <c r="DH22" i="61"/>
  <c r="DE23" i="61"/>
  <c r="DA13" i="61"/>
  <c r="DH20" i="61"/>
  <c r="DJ26" i="61"/>
  <c r="CL24" i="61"/>
  <c r="DD28" i="61"/>
  <c r="CR5" i="61"/>
  <c r="CR12" i="61"/>
  <c r="CY12" i="61"/>
  <c r="DG7" i="61"/>
  <c r="CM27" i="61"/>
  <c r="CL20" i="61"/>
  <c r="CY5" i="61"/>
  <c r="DH27" i="61"/>
  <c r="CT5" i="61"/>
  <c r="DF17" i="61"/>
  <c r="CL18" i="61"/>
  <c r="CV5" i="61"/>
  <c r="DA22" i="61"/>
  <c r="CY8" i="61"/>
  <c r="M3" i="62"/>
  <c r="CS5" i="61"/>
  <c r="CM10" i="61"/>
  <c r="CT23" i="61"/>
  <c r="CN7" i="61"/>
  <c r="CV29" i="61"/>
  <c r="CL14" i="61"/>
  <c r="DG15" i="61"/>
  <c r="DD8" i="61"/>
  <c r="CS21" i="61"/>
  <c r="DG29" i="61"/>
  <c r="DH21" i="61"/>
  <c r="DF8" i="61"/>
  <c r="CQ28" i="61"/>
  <c r="DA23" i="61"/>
  <c r="DE20" i="61"/>
  <c r="CL21" i="61"/>
  <c r="CP22" i="61"/>
  <c r="DC17" i="61"/>
  <c r="CO19" i="61"/>
  <c r="DA26" i="61"/>
  <c r="DF9" i="61"/>
  <c r="CX6" i="61"/>
  <c r="DC15" i="61"/>
  <c r="CZ13" i="61"/>
  <c r="CP7" i="61"/>
  <c r="DJ19" i="61"/>
  <c r="CN10" i="61"/>
  <c r="CP13" i="61"/>
  <c r="CN28" i="61"/>
  <c r="CQ11" i="61"/>
  <c r="DH16" i="61"/>
  <c r="CP5" i="61"/>
  <c r="CU17" i="61"/>
  <c r="CW29" i="61"/>
  <c r="DC11" i="61"/>
  <c r="DB14" i="61"/>
  <c r="CN9" i="61"/>
  <c r="CN22" i="61"/>
  <c r="CQ20" i="61"/>
  <c r="DE29" i="61"/>
  <c r="DF5" i="61"/>
  <c r="CO12" i="61"/>
  <c r="CS22" i="61"/>
  <c r="DF7" i="61"/>
  <c r="DI11" i="61"/>
  <c r="DC18" i="61"/>
  <c r="CO15" i="61"/>
  <c r="CV7" i="61"/>
  <c r="CZ7" i="61"/>
  <c r="DI6" i="61"/>
  <c r="CQ23" i="61"/>
  <c r="CN23" i="61"/>
  <c r="DH11" i="61"/>
  <c r="CS23" i="61"/>
  <c r="DE21" i="61"/>
  <c r="CQ13" i="61"/>
  <c r="DB27" i="61"/>
  <c r="CS20" i="61"/>
  <c r="DI14" i="61"/>
  <c r="CS6" i="61"/>
  <c r="DG17" i="61"/>
  <c r="CP17" i="61"/>
  <c r="CT15" i="61"/>
  <c r="CZ27" i="61"/>
  <c r="DJ20" i="61"/>
  <c r="CT28" i="61"/>
  <c r="CL26" i="61"/>
  <c r="CP6" i="61"/>
  <c r="CS8" i="61"/>
  <c r="CO7" i="61"/>
  <c r="CY18" i="61"/>
  <c r="CV24" i="61"/>
  <c r="DB18" i="61"/>
  <c r="CU29" i="61"/>
  <c r="CX27" i="61"/>
  <c r="DF18" i="61"/>
  <c r="DH19" i="61"/>
  <c r="CS11" i="61"/>
  <c r="DG26" i="61"/>
  <c r="CZ6" i="61"/>
  <c r="CQ14" i="61"/>
  <c r="CZ18" i="61"/>
  <c r="DI17" i="61"/>
  <c r="CQ22" i="61"/>
  <c r="DG22" i="61"/>
  <c r="CR15" i="61"/>
  <c r="DF29" i="61"/>
  <c r="DG21" i="61"/>
  <c r="DE24" i="61"/>
  <c r="CU14" i="61"/>
  <c r="CV14" i="61"/>
  <c r="DC12" i="61"/>
  <c r="DD24" i="61"/>
  <c r="DJ8" i="61"/>
  <c r="DB10" i="61"/>
  <c r="CP11" i="61"/>
  <c r="CL11" i="61"/>
  <c r="CW19" i="61"/>
  <c r="DC24" i="61"/>
  <c r="CY6" i="61"/>
  <c r="DB28" i="61"/>
  <c r="CL29" i="61"/>
  <c r="CY14" i="61"/>
  <c r="DI29" i="61"/>
  <c r="CN27" i="61"/>
  <c r="CV18" i="61"/>
  <c r="CW22" i="61"/>
  <c r="DC5" i="61"/>
  <c r="DB5" i="61"/>
  <c r="CR18" i="61"/>
  <c r="DI19" i="61"/>
  <c r="DG18" i="61"/>
  <c r="CS18" i="61"/>
  <c r="CP10" i="61"/>
  <c r="CO18" i="61"/>
  <c r="DF12" i="61"/>
  <c r="DJ16" i="61"/>
  <c r="CS13" i="61"/>
  <c r="DG10" i="61"/>
  <c r="DE14" i="61"/>
  <c r="CS16" i="61"/>
  <c r="DF13" i="61"/>
  <c r="CX17" i="61"/>
  <c r="DC7" i="61"/>
  <c r="DG20" i="61"/>
  <c r="DB8" i="61"/>
  <c r="DI13" i="61"/>
  <c r="CU26" i="61"/>
  <c r="DF16" i="61"/>
  <c r="CL27" i="61"/>
  <c r="CZ22" i="61"/>
  <c r="DH26" i="61"/>
  <c r="CP23" i="61"/>
  <c r="CW11" i="61"/>
  <c r="DF24" i="61"/>
  <c r="CL13" i="61"/>
  <c r="CQ27" i="61"/>
  <c r="DD16" i="61"/>
  <c r="CZ23" i="61"/>
  <c r="CZ21" i="61"/>
  <c r="CM16" i="61"/>
  <c r="CW21" i="61"/>
  <c r="DF20" i="61"/>
  <c r="CR24" i="61"/>
  <c r="DE6" i="61"/>
  <c r="CR22" i="61"/>
  <c r="CZ20" i="61"/>
  <c r="CW12" i="61"/>
  <c r="CM5" i="61"/>
  <c r="DC22" i="61"/>
  <c r="CP24" i="61"/>
  <c r="CW6" i="61"/>
  <c r="DH18" i="61"/>
  <c r="DD23" i="61"/>
  <c r="DJ17" i="61"/>
  <c r="DB29" i="61"/>
  <c r="CY11" i="61"/>
  <c r="CN19" i="61"/>
  <c r="CY29" i="61"/>
  <c r="CZ26" i="61"/>
  <c r="DG6" i="61"/>
  <c r="CO9" i="61"/>
  <c r="DC8" i="61"/>
  <c r="CP28" i="61"/>
  <c r="CO21" i="61"/>
  <c r="DJ21" i="61"/>
  <c r="DH12" i="61"/>
  <c r="CS12" i="61"/>
  <c r="DG11" i="61"/>
  <c r="DB19" i="61"/>
  <c r="CM7" i="61"/>
  <c r="DG23" i="61"/>
  <c r="CU15" i="61"/>
  <c r="CR8" i="61"/>
  <c r="DI10" i="61"/>
  <c r="CQ29" i="61"/>
  <c r="DD26" i="61"/>
  <c r="CO28" i="61"/>
  <c r="CW8" i="61"/>
  <c r="DJ24" i="61"/>
  <c r="CN21" i="61"/>
  <c r="DD22" i="61"/>
  <c r="CS24" i="61"/>
  <c r="DB9" i="61"/>
  <c r="CP21" i="61"/>
  <c r="DE17" i="61"/>
  <c r="CL15" i="61"/>
  <c r="DJ10" i="61"/>
  <c r="CZ12" i="61"/>
  <c r="CQ18" i="61"/>
  <c r="CU7" i="61"/>
  <c r="DD11" i="61"/>
  <c r="CX18" i="61"/>
  <c r="CY13" i="61"/>
  <c r="DA28" i="61"/>
  <c r="DG14" i="61"/>
  <c r="DH29" i="61"/>
  <c r="DE10" i="61"/>
  <c r="CP14" i="61"/>
  <c r="CX14" i="61"/>
  <c r="CP27" i="61"/>
  <c r="CR19" i="61"/>
  <c r="CV22" i="61"/>
  <c r="DI20" i="61"/>
  <c r="DE8" i="61"/>
  <c r="CS28" i="61"/>
  <c r="DH17" i="61"/>
  <c r="CX28" i="61"/>
  <c r="DE12" i="61"/>
  <c r="CU13" i="61"/>
  <c r="CX16" i="61"/>
  <c r="CU19" i="61"/>
  <c r="CT12" i="61"/>
  <c r="DB13" i="61"/>
  <c r="DC23" i="61"/>
  <c r="CQ8" i="61"/>
  <c r="CT11" i="61"/>
  <c r="CU5" i="61"/>
  <c r="DD17" i="61"/>
  <c r="DI23" i="61"/>
  <c r="DJ6" i="61"/>
  <c r="CW14" i="61"/>
  <c r="CZ15" i="61"/>
  <c r="CW20" i="61"/>
  <c r="DC16" i="61"/>
  <c r="DG24" i="61"/>
  <c r="CW18" i="61"/>
  <c r="DI22" i="61"/>
  <c r="CY20" i="61"/>
  <c r="CQ10" i="61"/>
  <c r="CZ9" i="61"/>
  <c r="CY27" i="61"/>
  <c r="DA20" i="61"/>
  <c r="CU12" i="61"/>
  <c r="DE11" i="61"/>
  <c r="DE27" i="61"/>
  <c r="CR17" i="61"/>
  <c r="CN18" i="61"/>
  <c r="CZ14" i="61"/>
  <c r="CO6" i="61"/>
  <c r="CL10" i="61"/>
  <c r="CZ19" i="61"/>
  <c r="CX13" i="61"/>
  <c r="DH10" i="61"/>
  <c r="DG8" i="61"/>
  <c r="CX22" i="61"/>
  <c r="CU22" i="61"/>
  <c r="DA18" i="61"/>
  <c r="CO20" i="61"/>
  <c r="CW13" i="61"/>
  <c r="DI7" i="61"/>
  <c r="CN6" i="61"/>
  <c r="CW7" i="61"/>
  <c r="CM13" i="61"/>
  <c r="CT22" i="61"/>
  <c r="CZ28" i="61"/>
  <c r="CO29" i="61"/>
  <c r="CX19" i="61"/>
  <c r="DB26" i="61"/>
  <c r="CY7" i="61"/>
  <c r="CM12" i="61"/>
  <c r="DG16" i="61"/>
  <c r="DF10" i="61"/>
  <c r="CO10" i="61"/>
  <c r="CR14" i="61"/>
  <c r="CY15" i="61"/>
  <c r="CX7" i="61"/>
  <c r="CN14" i="61"/>
  <c r="DH15" i="61"/>
  <c r="CU27" i="61"/>
  <c r="CS19" i="61"/>
  <c r="DC28" i="61"/>
  <c r="CW23" i="61"/>
  <c r="CM28" i="61"/>
  <c r="CX23" i="61"/>
  <c r="CO24" i="61"/>
  <c r="DA27" i="61"/>
  <c r="CQ7" i="61"/>
  <c r="CT17" i="61"/>
  <c r="CQ21" i="61"/>
  <c r="CV15" i="61"/>
  <c r="DH9" i="61"/>
  <c r="DC26" i="61"/>
  <c r="CM20" i="61"/>
  <c r="CN20" i="61"/>
  <c r="CO5" i="61"/>
  <c r="DG28" i="61"/>
  <c r="DF27" i="61"/>
  <c r="CZ25" i="61"/>
  <c r="DI25" i="61"/>
  <c r="DE25" i="61"/>
  <c r="DG25" i="61"/>
  <c r="CQ25" i="61"/>
  <c r="DD25" i="61"/>
  <c r="CL25" i="61"/>
  <c r="DC25" i="61"/>
  <c r="CN25" i="61"/>
  <c r="CY25" i="61"/>
  <c r="CP25" i="61"/>
  <c r="DH25" i="61"/>
  <c r="CO25" i="61"/>
  <c r="DJ25" i="61"/>
  <c r="CT25" i="61"/>
  <c r="DA25" i="61"/>
  <c r="DF25" i="61"/>
  <c r="CS25" i="61"/>
  <c r="DB25" i="61"/>
  <c r="CR25" i="61"/>
  <c r="CX25" i="61"/>
  <c r="CM25" i="61"/>
  <c r="CW25" i="61"/>
  <c r="CV25" i="61"/>
  <c r="CU25" i="61"/>
  <c r="AZ29" i="53"/>
  <c r="BG19" i="53" s="1"/>
  <c r="BC24" i="53"/>
  <c r="BC29" i="53" s="1"/>
  <c r="BG22" i="53" s="1"/>
  <c r="L29" i="11"/>
  <c r="O24" i="11"/>
  <c r="O29" i="11" s="1"/>
  <c r="L29" i="23"/>
  <c r="I41" i="23" s="1"/>
  <c r="S17" i="23" s="1"/>
  <c r="O24" i="23"/>
  <c r="O29" i="23" s="1"/>
  <c r="I44" i="23" s="1"/>
  <c r="S20" i="23" s="1"/>
  <c r="L29" i="21"/>
  <c r="I41" i="21" s="1"/>
  <c r="S17" i="21" s="1"/>
  <c r="O24" i="21"/>
  <c r="O29" i="21" s="1"/>
  <c r="I44" i="21" s="1"/>
  <c r="S20" i="21" s="1"/>
  <c r="L29" i="22"/>
  <c r="I41" i="22" s="1"/>
  <c r="S17" i="22" s="1"/>
  <c r="O24" i="22"/>
  <c r="O29" i="22" s="1"/>
  <c r="I44" i="22" s="1"/>
  <c r="S20" i="22" s="1"/>
  <c r="O24" i="3" l="1"/>
  <c r="O29" i="3" s="1"/>
  <c r="AE90" i="61"/>
  <c r="R23" i="55" s="1"/>
  <c r="AU90" i="61"/>
  <c r="AH23" i="55" s="1"/>
  <c r="AY90" i="61"/>
  <c r="AL23" i="55" s="1"/>
  <c r="BA90" i="61"/>
  <c r="AN23" i="55" s="1"/>
  <c r="AL90" i="61"/>
  <c r="Y23" i="55" s="1"/>
  <c r="AH90" i="61"/>
  <c r="U23" i="55" s="1"/>
  <c r="AF90" i="61"/>
  <c r="S23" i="55" s="1"/>
  <c r="AR90" i="61"/>
  <c r="AE23" i="55" s="1"/>
  <c r="AP90" i="61"/>
  <c r="AC23" i="55" s="1"/>
  <c r="AQ90" i="61"/>
  <c r="AD23" i="55" s="1"/>
  <c r="AM90" i="61"/>
  <c r="Z23" i="55" s="1"/>
  <c r="AJ90" i="61"/>
  <c r="W23" i="55" s="1"/>
  <c r="AI90" i="61"/>
  <c r="V23" i="55" s="1"/>
  <c r="AG90" i="61"/>
  <c r="T23" i="55" s="1"/>
  <c r="AV90" i="61"/>
  <c r="AI23" i="55" s="1"/>
  <c r="AS90" i="61"/>
  <c r="AF23" i="55" s="1"/>
  <c r="AN90" i="61"/>
  <c r="AA23" i="55" s="1"/>
  <c r="AC90" i="61"/>
  <c r="P23" i="55" s="1"/>
  <c r="AD90" i="61"/>
  <c r="Q23" i="55" s="1"/>
  <c r="AX90" i="61"/>
  <c r="AK23" i="55" s="1"/>
  <c r="AZ90" i="61"/>
  <c r="AM23" i="55" s="1"/>
  <c r="AK90" i="61"/>
  <c r="X23" i="55" s="1"/>
  <c r="AW90" i="61"/>
  <c r="AJ23" i="55" s="1"/>
  <c r="AO90" i="61"/>
  <c r="AB23" i="55" s="1"/>
  <c r="AT90" i="61"/>
  <c r="AG23" i="55" s="1"/>
  <c r="BC24" i="14"/>
  <c r="BC29" i="14" s="1"/>
  <c r="BG21" i="14" s="1"/>
  <c r="I42" i="21"/>
  <c r="S18" i="21" s="1"/>
  <c r="I45" i="21"/>
  <c r="S21" i="21" s="1"/>
  <c r="BH80" i="61" s="1"/>
  <c r="F13" i="56" s="1"/>
  <c r="I55" i="21"/>
  <c r="S31" i="21" s="1"/>
  <c r="I46" i="21"/>
  <c r="S22" i="21" s="1"/>
  <c r="BH81" i="61" s="1"/>
  <c r="F14" i="56" s="1"/>
  <c r="BH76" i="61"/>
  <c r="F9" i="56" s="1"/>
  <c r="BG23" i="21"/>
  <c r="BG19" i="21"/>
  <c r="BG22" i="21"/>
  <c r="BG32" i="21"/>
  <c r="I42" i="20"/>
  <c r="S18" i="20" s="1"/>
  <c r="I45" i="20"/>
  <c r="S21" i="20" s="1"/>
  <c r="BI80" i="61" s="1"/>
  <c r="G13" i="56" s="1"/>
  <c r="I55" i="20"/>
  <c r="S31" i="20" s="1"/>
  <c r="I46" i="20"/>
  <c r="S22" i="20" s="1"/>
  <c r="BI81" i="61" s="1"/>
  <c r="G14" i="56" s="1"/>
  <c r="BI76" i="61"/>
  <c r="G9" i="56" s="1"/>
  <c r="BG23" i="20"/>
  <c r="BG32" i="20"/>
  <c r="BG19" i="20"/>
  <c r="BG22" i="20"/>
  <c r="I45" i="17"/>
  <c r="S21" i="17" s="1"/>
  <c r="BL80" i="61" s="1"/>
  <c r="J13" i="56" s="1"/>
  <c r="I42" i="17"/>
  <c r="S18" i="17" s="1"/>
  <c r="I55" i="17"/>
  <c r="S31" i="17" s="1"/>
  <c r="I46" i="17"/>
  <c r="S22" i="17" s="1"/>
  <c r="BL81" i="61" s="1"/>
  <c r="J14" i="56" s="1"/>
  <c r="BL76" i="61"/>
  <c r="J9" i="56" s="1"/>
  <c r="D51" i="61" s="1"/>
  <c r="M6" i="51" s="1"/>
  <c r="BG22" i="17"/>
  <c r="BG32" i="17"/>
  <c r="BG23" i="17"/>
  <c r="BG19" i="17"/>
  <c r="BO79" i="61"/>
  <c r="M12" i="56" s="1"/>
  <c r="I51" i="14"/>
  <c r="S27" i="14" s="1"/>
  <c r="BO86" i="61" s="1"/>
  <c r="M19" i="56" s="1"/>
  <c r="BG28" i="14"/>
  <c r="BK79" i="61"/>
  <c r="I12" i="56" s="1"/>
  <c r="I51" i="18"/>
  <c r="S27" i="18" s="1"/>
  <c r="BK86" i="61" s="1"/>
  <c r="I19" i="56" s="1"/>
  <c r="BG28" i="18"/>
  <c r="BF79" i="61"/>
  <c r="D12" i="56" s="1"/>
  <c r="I51" i="23"/>
  <c r="S27" i="23" s="1"/>
  <c r="BF86" i="61" s="1"/>
  <c r="D19" i="56" s="1"/>
  <c r="BG28" i="23"/>
  <c r="D156" i="61"/>
  <c r="H156" i="61"/>
  <c r="L156" i="61"/>
  <c r="P156" i="61"/>
  <c r="T156" i="61"/>
  <c r="X156" i="61"/>
  <c r="B160" i="61"/>
  <c r="F160" i="61"/>
  <c r="J160" i="61"/>
  <c r="N160" i="61"/>
  <c r="R160" i="61"/>
  <c r="V160" i="61"/>
  <c r="Z160" i="61"/>
  <c r="D178" i="61"/>
  <c r="H178" i="61"/>
  <c r="L178" i="61"/>
  <c r="P178" i="61"/>
  <c r="T178" i="61"/>
  <c r="X178" i="61"/>
  <c r="B161" i="61"/>
  <c r="F161" i="61"/>
  <c r="J161" i="61"/>
  <c r="N161" i="61"/>
  <c r="R161" i="61"/>
  <c r="V161" i="61"/>
  <c r="Z161" i="61"/>
  <c r="D180" i="61"/>
  <c r="H180" i="61"/>
  <c r="L180" i="61"/>
  <c r="P180" i="61"/>
  <c r="T180" i="61"/>
  <c r="X180" i="61"/>
  <c r="B168" i="61"/>
  <c r="F168" i="61"/>
  <c r="J168" i="61"/>
  <c r="N168" i="61"/>
  <c r="R168" i="61"/>
  <c r="V168" i="61"/>
  <c r="Z168" i="61"/>
  <c r="D158" i="61"/>
  <c r="H158" i="61"/>
  <c r="L158" i="61"/>
  <c r="P158" i="61"/>
  <c r="T158" i="61"/>
  <c r="X158" i="61"/>
  <c r="B171" i="61"/>
  <c r="F171" i="61"/>
  <c r="J171" i="61"/>
  <c r="E156" i="61"/>
  <c r="I156" i="61"/>
  <c r="M156" i="61"/>
  <c r="Q156" i="61"/>
  <c r="U156" i="61"/>
  <c r="Y156" i="61"/>
  <c r="C160" i="61"/>
  <c r="G160" i="61"/>
  <c r="K160" i="61"/>
  <c r="O160" i="61"/>
  <c r="S160" i="61"/>
  <c r="W160" i="61"/>
  <c r="E178" i="61"/>
  <c r="I178" i="61"/>
  <c r="M178" i="61"/>
  <c r="Q178" i="61"/>
  <c r="U178" i="61"/>
  <c r="Y178" i="61"/>
  <c r="C161" i="61"/>
  <c r="G161" i="61"/>
  <c r="K161" i="61"/>
  <c r="O161" i="61"/>
  <c r="S161" i="61"/>
  <c r="W161" i="61"/>
  <c r="E180" i="61"/>
  <c r="I180" i="61"/>
  <c r="M180" i="61"/>
  <c r="Q180" i="61"/>
  <c r="U180" i="61"/>
  <c r="Y180" i="61"/>
  <c r="C168" i="61"/>
  <c r="G168" i="61"/>
  <c r="K168" i="61"/>
  <c r="O168" i="61"/>
  <c r="S168" i="61"/>
  <c r="W168" i="61"/>
  <c r="E158" i="61"/>
  <c r="I158" i="61"/>
  <c r="M158" i="61"/>
  <c r="Q158" i="61"/>
  <c r="U158" i="61"/>
  <c r="Y158" i="61"/>
  <c r="C171" i="61"/>
  <c r="G171" i="61"/>
  <c r="K171" i="61"/>
  <c r="O171" i="61"/>
  <c r="S171" i="61"/>
  <c r="W171" i="61"/>
  <c r="E165" i="61"/>
  <c r="I165" i="61"/>
  <c r="M165" i="61"/>
  <c r="Q165" i="61"/>
  <c r="U165" i="61"/>
  <c r="Y165" i="61"/>
  <c r="C164" i="61"/>
  <c r="G164" i="61"/>
  <c r="K164" i="61"/>
  <c r="B156" i="61"/>
  <c r="F156" i="61"/>
  <c r="J156" i="61"/>
  <c r="N156" i="61"/>
  <c r="R156" i="61"/>
  <c r="V156" i="61"/>
  <c r="Z156" i="61"/>
  <c r="D160" i="61"/>
  <c r="H160" i="61"/>
  <c r="L160" i="61"/>
  <c r="P160" i="61"/>
  <c r="T160" i="61"/>
  <c r="X160" i="61"/>
  <c r="B178" i="61"/>
  <c r="F178" i="61"/>
  <c r="J178" i="61"/>
  <c r="N178" i="61"/>
  <c r="R178" i="61"/>
  <c r="V178" i="61"/>
  <c r="Z178" i="61"/>
  <c r="D161" i="61"/>
  <c r="H161" i="61"/>
  <c r="L161" i="61"/>
  <c r="P161" i="61"/>
  <c r="T161" i="61"/>
  <c r="X161" i="61"/>
  <c r="B180" i="61"/>
  <c r="F180" i="61"/>
  <c r="J180" i="61"/>
  <c r="N180" i="61"/>
  <c r="R180" i="61"/>
  <c r="V180" i="61"/>
  <c r="Z180" i="61"/>
  <c r="D168" i="61"/>
  <c r="H168" i="61"/>
  <c r="L168" i="61"/>
  <c r="P168" i="61"/>
  <c r="T168" i="61"/>
  <c r="X168" i="61"/>
  <c r="B158" i="61"/>
  <c r="F158" i="61"/>
  <c r="J158" i="61"/>
  <c r="N158" i="61"/>
  <c r="R158" i="61"/>
  <c r="V158" i="61"/>
  <c r="Z158" i="61"/>
  <c r="D171" i="61"/>
  <c r="C156" i="61"/>
  <c r="G156" i="61"/>
  <c r="K156" i="61"/>
  <c r="O156" i="61"/>
  <c r="S156" i="61"/>
  <c r="W156" i="61"/>
  <c r="E160" i="61"/>
  <c r="I160" i="61"/>
  <c r="M160" i="61"/>
  <c r="Q160" i="61"/>
  <c r="U160" i="61"/>
  <c r="Y160" i="61"/>
  <c r="C178" i="61"/>
  <c r="G178" i="61"/>
  <c r="K178" i="61"/>
  <c r="O178" i="61"/>
  <c r="S178" i="61"/>
  <c r="W178" i="61"/>
  <c r="E161" i="61"/>
  <c r="I161" i="61"/>
  <c r="M161" i="61"/>
  <c r="Q161" i="61"/>
  <c r="U161" i="61"/>
  <c r="Y161" i="61"/>
  <c r="C180" i="61"/>
  <c r="G180" i="61"/>
  <c r="K180" i="61"/>
  <c r="O180" i="61"/>
  <c r="S180" i="61"/>
  <c r="W180" i="61"/>
  <c r="E168" i="61"/>
  <c r="I168" i="61"/>
  <c r="M168" i="61"/>
  <c r="Q168" i="61"/>
  <c r="U168" i="61"/>
  <c r="Y168" i="61"/>
  <c r="C158" i="61"/>
  <c r="G158" i="61"/>
  <c r="K158" i="61"/>
  <c r="O158" i="61"/>
  <c r="S158" i="61"/>
  <c r="W158" i="61"/>
  <c r="E171" i="61"/>
  <c r="I171" i="61"/>
  <c r="M171" i="61"/>
  <c r="Q171" i="61"/>
  <c r="U171" i="61"/>
  <c r="Y171" i="61"/>
  <c r="C165" i="61"/>
  <c r="G165" i="61"/>
  <c r="K165" i="61"/>
  <c r="O165" i="61"/>
  <c r="S165" i="61"/>
  <c r="W165" i="61"/>
  <c r="E164" i="61"/>
  <c r="I164" i="61"/>
  <c r="M164" i="61"/>
  <c r="Q164" i="61"/>
  <c r="U164" i="61"/>
  <c r="Y164" i="61"/>
  <c r="B167" i="61"/>
  <c r="F167" i="61"/>
  <c r="J167" i="61"/>
  <c r="N167" i="61"/>
  <c r="R167" i="61"/>
  <c r="V167" i="61"/>
  <c r="Z167" i="61"/>
  <c r="C179" i="61"/>
  <c r="H171" i="61"/>
  <c r="R171" i="61"/>
  <c r="Z171" i="61"/>
  <c r="H165" i="61"/>
  <c r="P165" i="61"/>
  <c r="X165" i="61"/>
  <c r="F164" i="61"/>
  <c r="N164" i="61"/>
  <c r="S164" i="61"/>
  <c r="X164" i="61"/>
  <c r="E167" i="61"/>
  <c r="K167" i="61"/>
  <c r="P167" i="61"/>
  <c r="U167" i="61"/>
  <c r="F179" i="61"/>
  <c r="J179" i="61"/>
  <c r="N179" i="61"/>
  <c r="R179" i="61"/>
  <c r="V179" i="61"/>
  <c r="Z179" i="61"/>
  <c r="B166" i="61"/>
  <c r="F166" i="61"/>
  <c r="J166" i="61"/>
  <c r="N166" i="61"/>
  <c r="R166" i="61"/>
  <c r="V166" i="61"/>
  <c r="Z166" i="61"/>
  <c r="D177" i="61"/>
  <c r="H177" i="61"/>
  <c r="L177" i="61"/>
  <c r="P177" i="61"/>
  <c r="T177" i="61"/>
  <c r="X177" i="61"/>
  <c r="D174" i="61"/>
  <c r="H174" i="61"/>
  <c r="L174" i="61"/>
  <c r="P174" i="61"/>
  <c r="T174" i="61"/>
  <c r="X174" i="61"/>
  <c r="B175" i="61"/>
  <c r="F175" i="61"/>
  <c r="J175" i="61"/>
  <c r="N175" i="61"/>
  <c r="R175" i="61"/>
  <c r="V175" i="61"/>
  <c r="Z175" i="61"/>
  <c r="D162" i="61"/>
  <c r="H162" i="61"/>
  <c r="L162" i="61"/>
  <c r="P162" i="61"/>
  <c r="T162" i="61"/>
  <c r="X162" i="61"/>
  <c r="B159" i="61"/>
  <c r="F159" i="61"/>
  <c r="J159" i="61"/>
  <c r="N159" i="61"/>
  <c r="R159" i="61"/>
  <c r="V159" i="61"/>
  <c r="Z159" i="61"/>
  <c r="B163" i="61"/>
  <c r="F163" i="61"/>
  <c r="J163" i="61"/>
  <c r="N163" i="61"/>
  <c r="R163" i="61"/>
  <c r="V163" i="61"/>
  <c r="Z163" i="61"/>
  <c r="E169" i="61"/>
  <c r="I169" i="61"/>
  <c r="M169" i="61"/>
  <c r="Q169" i="61"/>
  <c r="U169" i="61"/>
  <c r="Y169" i="61"/>
  <c r="C173" i="61"/>
  <c r="G173" i="61"/>
  <c r="K173" i="61"/>
  <c r="O173" i="61"/>
  <c r="S173" i="61"/>
  <c r="W173" i="61"/>
  <c r="B157" i="61"/>
  <c r="F157" i="61"/>
  <c r="J157" i="61"/>
  <c r="N157" i="61"/>
  <c r="R157" i="61"/>
  <c r="V157" i="61"/>
  <c r="Z157" i="61"/>
  <c r="B170" i="61"/>
  <c r="F170" i="61"/>
  <c r="J170" i="61"/>
  <c r="N170" i="61"/>
  <c r="R170" i="61"/>
  <c r="V170" i="61"/>
  <c r="Z170" i="61"/>
  <c r="D172" i="61"/>
  <c r="H172" i="61"/>
  <c r="L172" i="61"/>
  <c r="P172" i="61"/>
  <c r="T172" i="61"/>
  <c r="X172" i="61"/>
  <c r="L171" i="61"/>
  <c r="T171" i="61"/>
  <c r="B165" i="61"/>
  <c r="J165" i="61"/>
  <c r="R165" i="61"/>
  <c r="Z165" i="61"/>
  <c r="H164" i="61"/>
  <c r="O164" i="61"/>
  <c r="T164" i="61"/>
  <c r="Z164" i="61"/>
  <c r="G167" i="61"/>
  <c r="L167" i="61"/>
  <c r="Q167" i="61"/>
  <c r="W167" i="61"/>
  <c r="B179" i="61"/>
  <c r="G179" i="61"/>
  <c r="K179" i="61"/>
  <c r="O179" i="61"/>
  <c r="S179" i="61"/>
  <c r="W179" i="61"/>
  <c r="C166" i="61"/>
  <c r="G166" i="61"/>
  <c r="K166" i="61"/>
  <c r="O166" i="61"/>
  <c r="S166" i="61"/>
  <c r="W166" i="61"/>
  <c r="E177" i="61"/>
  <c r="I177" i="61"/>
  <c r="M177" i="61"/>
  <c r="Q177" i="61"/>
  <c r="U177" i="61"/>
  <c r="Y177" i="61"/>
  <c r="E174" i="61"/>
  <c r="I174" i="61"/>
  <c r="M174" i="61"/>
  <c r="Q174" i="61"/>
  <c r="U174" i="61"/>
  <c r="Y174" i="61"/>
  <c r="C175" i="61"/>
  <c r="G175" i="61"/>
  <c r="K175" i="61"/>
  <c r="O175" i="61"/>
  <c r="S175" i="61"/>
  <c r="W175" i="61"/>
  <c r="E162" i="61"/>
  <c r="I162" i="61"/>
  <c r="M162" i="61"/>
  <c r="Q162" i="61"/>
  <c r="U162" i="61"/>
  <c r="Y162" i="61"/>
  <c r="C159" i="61"/>
  <c r="G159" i="61"/>
  <c r="K159" i="61"/>
  <c r="O159" i="61"/>
  <c r="S159" i="61"/>
  <c r="W159" i="61"/>
  <c r="C163" i="61"/>
  <c r="G163" i="61"/>
  <c r="K163" i="61"/>
  <c r="O163" i="61"/>
  <c r="S163" i="61"/>
  <c r="W163" i="61"/>
  <c r="B169" i="61"/>
  <c r="F169" i="61"/>
  <c r="J169" i="61"/>
  <c r="N169" i="61"/>
  <c r="R169" i="61"/>
  <c r="V169" i="61"/>
  <c r="Z169" i="61"/>
  <c r="D173" i="61"/>
  <c r="H173" i="61"/>
  <c r="L173" i="61"/>
  <c r="P173" i="61"/>
  <c r="T173" i="61"/>
  <c r="X173" i="61"/>
  <c r="C157" i="61"/>
  <c r="G157" i="61"/>
  <c r="K157" i="61"/>
  <c r="O157" i="61"/>
  <c r="S157" i="61"/>
  <c r="W157" i="61"/>
  <c r="C170" i="61"/>
  <c r="G170" i="61"/>
  <c r="K170" i="61"/>
  <c r="O170" i="61"/>
  <c r="S170" i="61"/>
  <c r="W170" i="61"/>
  <c r="E172" i="61"/>
  <c r="I172" i="61"/>
  <c r="M172" i="61"/>
  <c r="Q172" i="61"/>
  <c r="U172" i="61"/>
  <c r="Y172" i="61"/>
  <c r="N171" i="61"/>
  <c r="V171" i="61"/>
  <c r="D165" i="61"/>
  <c r="L165" i="61"/>
  <c r="T165" i="61"/>
  <c r="B164" i="61"/>
  <c r="J164" i="61"/>
  <c r="P164" i="61"/>
  <c r="V164" i="61"/>
  <c r="C167" i="61"/>
  <c r="H167" i="61"/>
  <c r="M167" i="61"/>
  <c r="S167" i="61"/>
  <c r="X167" i="61"/>
  <c r="D179" i="61"/>
  <c r="H179" i="61"/>
  <c r="L179" i="61"/>
  <c r="P179" i="61"/>
  <c r="T179" i="61"/>
  <c r="X179" i="61"/>
  <c r="D166" i="61"/>
  <c r="H166" i="61"/>
  <c r="L166" i="61"/>
  <c r="P166" i="61"/>
  <c r="T166" i="61"/>
  <c r="X166" i="61"/>
  <c r="B177" i="61"/>
  <c r="F177" i="61"/>
  <c r="J177" i="61"/>
  <c r="N177" i="61"/>
  <c r="R177" i="61"/>
  <c r="V177" i="61"/>
  <c r="Z177" i="61"/>
  <c r="B174" i="61"/>
  <c r="F174" i="61"/>
  <c r="J174" i="61"/>
  <c r="N174" i="61"/>
  <c r="R174" i="61"/>
  <c r="V174" i="61"/>
  <c r="Z174" i="61"/>
  <c r="D175" i="61"/>
  <c r="H175" i="61"/>
  <c r="L175" i="61"/>
  <c r="P175" i="61"/>
  <c r="T175" i="61"/>
  <c r="X175" i="61"/>
  <c r="B162" i="61"/>
  <c r="F162" i="61"/>
  <c r="J162" i="61"/>
  <c r="N162" i="61"/>
  <c r="R162" i="61"/>
  <c r="V162" i="61"/>
  <c r="Z162" i="61"/>
  <c r="D159" i="61"/>
  <c r="H159" i="61"/>
  <c r="L159" i="61"/>
  <c r="P159" i="61"/>
  <c r="T159" i="61"/>
  <c r="X159" i="61"/>
  <c r="D163" i="61"/>
  <c r="H163" i="61"/>
  <c r="L163" i="61"/>
  <c r="P163" i="61"/>
  <c r="T163" i="61"/>
  <c r="X163" i="61"/>
  <c r="C169" i="61"/>
  <c r="G169" i="61"/>
  <c r="K169" i="61"/>
  <c r="O169" i="61"/>
  <c r="S169" i="61"/>
  <c r="W169" i="61"/>
  <c r="E173" i="61"/>
  <c r="I173" i="61"/>
  <c r="M173" i="61"/>
  <c r="Q173" i="61"/>
  <c r="U173" i="61"/>
  <c r="Y173" i="61"/>
  <c r="D157" i="61"/>
  <c r="H157" i="61"/>
  <c r="L157" i="61"/>
  <c r="P157" i="61"/>
  <c r="T157" i="61"/>
  <c r="X157" i="61"/>
  <c r="D170" i="61"/>
  <c r="H170" i="61"/>
  <c r="L170" i="61"/>
  <c r="P170" i="61"/>
  <c r="T170" i="61"/>
  <c r="X170" i="61"/>
  <c r="B172" i="61"/>
  <c r="F172" i="61"/>
  <c r="J172" i="61"/>
  <c r="N172" i="61"/>
  <c r="R172" i="61"/>
  <c r="V172" i="61"/>
  <c r="Z172" i="61"/>
  <c r="P171" i="61"/>
  <c r="X171" i="61"/>
  <c r="F165" i="61"/>
  <c r="N165" i="61"/>
  <c r="V165" i="61"/>
  <c r="D164" i="61"/>
  <c r="L164" i="61"/>
  <c r="R164" i="61"/>
  <c r="W164" i="61"/>
  <c r="D167" i="61"/>
  <c r="I167" i="61"/>
  <c r="O167" i="61"/>
  <c r="T167" i="61"/>
  <c r="Y167" i="61"/>
  <c r="E179" i="61"/>
  <c r="I179" i="61"/>
  <c r="M179" i="61"/>
  <c r="Q179" i="61"/>
  <c r="U179" i="61"/>
  <c r="Y179" i="61"/>
  <c r="E166" i="61"/>
  <c r="I166" i="61"/>
  <c r="M166" i="61"/>
  <c r="Q166" i="61"/>
  <c r="U166" i="61"/>
  <c r="Y166" i="61"/>
  <c r="C177" i="61"/>
  <c r="G177" i="61"/>
  <c r="K177" i="61"/>
  <c r="O177" i="61"/>
  <c r="S177" i="61"/>
  <c r="W177" i="61"/>
  <c r="C174" i="61"/>
  <c r="G174" i="61"/>
  <c r="K174" i="61"/>
  <c r="O174" i="61"/>
  <c r="S174" i="61"/>
  <c r="W174" i="61"/>
  <c r="E175" i="61"/>
  <c r="I175" i="61"/>
  <c r="M175" i="61"/>
  <c r="Q175" i="61"/>
  <c r="U175" i="61"/>
  <c r="Y175" i="61"/>
  <c r="C162" i="61"/>
  <c r="G162" i="61"/>
  <c r="K162" i="61"/>
  <c r="O162" i="61"/>
  <c r="S162" i="61"/>
  <c r="W162" i="61"/>
  <c r="E159" i="61"/>
  <c r="I159" i="61"/>
  <c r="M159" i="61"/>
  <c r="Q159" i="61"/>
  <c r="U159" i="61"/>
  <c r="Y159" i="61"/>
  <c r="E163" i="61"/>
  <c r="I163" i="61"/>
  <c r="M163" i="61"/>
  <c r="Q163" i="61"/>
  <c r="U163" i="61"/>
  <c r="Y163" i="61"/>
  <c r="D169" i="61"/>
  <c r="H169" i="61"/>
  <c r="L169" i="61"/>
  <c r="P169" i="61"/>
  <c r="T169" i="61"/>
  <c r="X169" i="61"/>
  <c r="B173" i="61"/>
  <c r="F173" i="61"/>
  <c r="J173" i="61"/>
  <c r="N173" i="61"/>
  <c r="R173" i="61"/>
  <c r="V173" i="61"/>
  <c r="Z173" i="61"/>
  <c r="E157" i="61"/>
  <c r="I157" i="61"/>
  <c r="M157" i="61"/>
  <c r="Q157" i="61"/>
  <c r="U157" i="61"/>
  <c r="Y157" i="61"/>
  <c r="E170" i="61"/>
  <c r="I170" i="61"/>
  <c r="M170" i="61"/>
  <c r="Q170" i="61"/>
  <c r="U170" i="61"/>
  <c r="Y170" i="61"/>
  <c r="C172" i="61"/>
  <c r="G172" i="61"/>
  <c r="K172" i="61"/>
  <c r="O172" i="61"/>
  <c r="S172" i="61"/>
  <c r="W172" i="61"/>
  <c r="S176" i="61"/>
  <c r="D176" i="61"/>
  <c r="O176" i="61"/>
  <c r="F176" i="61"/>
  <c r="X176" i="61"/>
  <c r="E176" i="61"/>
  <c r="Z176" i="61"/>
  <c r="J176" i="61"/>
  <c r="V176" i="61"/>
  <c r="I176" i="61"/>
  <c r="R176" i="61"/>
  <c r="H176" i="61"/>
  <c r="N176" i="61"/>
  <c r="C176" i="61"/>
  <c r="Q176" i="61"/>
  <c r="T176" i="61"/>
  <c r="B176" i="61"/>
  <c r="M176" i="61"/>
  <c r="L176" i="61"/>
  <c r="K176" i="61"/>
  <c r="P176" i="61"/>
  <c r="Y176" i="61"/>
  <c r="U176" i="61"/>
  <c r="W176" i="61"/>
  <c r="G176" i="61"/>
  <c r="BE79" i="61"/>
  <c r="C12" i="56" s="1"/>
  <c r="I51" i="24"/>
  <c r="S27" i="24" s="1"/>
  <c r="BE86" i="61" s="1"/>
  <c r="C19" i="56" s="1"/>
  <c r="BG28" i="24"/>
  <c r="BN79" i="61"/>
  <c r="L12" i="56" s="1"/>
  <c r="I51" i="15"/>
  <c r="S27" i="15" s="1"/>
  <c r="BN86" i="61" s="1"/>
  <c r="L19" i="56" s="1"/>
  <c r="BG28" i="15"/>
  <c r="L29" i="53"/>
  <c r="S19" i="53" s="1"/>
  <c r="O24" i="53"/>
  <c r="O29" i="53" s="1"/>
  <c r="S22" i="53" s="1"/>
  <c r="S49" i="53" s="1"/>
  <c r="I45" i="14"/>
  <c r="S21" i="14" s="1"/>
  <c r="BO80" i="61" s="1"/>
  <c r="M13" i="56" s="1"/>
  <c r="I42" i="14"/>
  <c r="S18" i="14" s="1"/>
  <c r="I55" i="14"/>
  <c r="S31" i="14" s="1"/>
  <c r="BO76" i="61"/>
  <c r="M9" i="56" s="1"/>
  <c r="I46" i="14"/>
  <c r="S22" i="14" s="1"/>
  <c r="BO81" i="61" s="1"/>
  <c r="M14" i="56" s="1"/>
  <c r="BG22" i="14"/>
  <c r="BG23" i="14"/>
  <c r="BG32" i="14"/>
  <c r="BG19" i="14"/>
  <c r="I45" i="18"/>
  <c r="S21" i="18" s="1"/>
  <c r="BK80" i="61" s="1"/>
  <c r="I13" i="56" s="1"/>
  <c r="I42" i="18"/>
  <c r="S18" i="18" s="1"/>
  <c r="I55" i="18"/>
  <c r="S31" i="18" s="1"/>
  <c r="BK76" i="61"/>
  <c r="I9" i="56" s="1"/>
  <c r="I46" i="18"/>
  <c r="S22" i="18" s="1"/>
  <c r="BK81" i="61" s="1"/>
  <c r="I14" i="56" s="1"/>
  <c r="BG23" i="18"/>
  <c r="BG22" i="18"/>
  <c r="BG19" i="18"/>
  <c r="BG32" i="18"/>
  <c r="BG79" i="61"/>
  <c r="E12" i="56" s="1"/>
  <c r="I51" i="22"/>
  <c r="S27" i="22" s="1"/>
  <c r="BG86" i="61" s="1"/>
  <c r="E19" i="56" s="1"/>
  <c r="BG28" i="22"/>
  <c r="I45" i="22"/>
  <c r="S21" i="22" s="1"/>
  <c r="BG80" i="61" s="1"/>
  <c r="E13" i="56" s="1"/>
  <c r="I42" i="22"/>
  <c r="S18" i="22" s="1"/>
  <c r="I55" i="22"/>
  <c r="S31" i="22" s="1"/>
  <c r="I46" i="22"/>
  <c r="S22" i="22" s="1"/>
  <c r="BG81" i="61" s="1"/>
  <c r="E14" i="56" s="1"/>
  <c r="BG76" i="61"/>
  <c r="E9" i="56" s="1"/>
  <c r="BG19" i="22"/>
  <c r="BG22" i="22"/>
  <c r="BG23" i="22"/>
  <c r="BG32" i="22"/>
  <c r="I42" i="23"/>
  <c r="S18" i="23" s="1"/>
  <c r="I45" i="23"/>
  <c r="S21" i="23" s="1"/>
  <c r="BF80" i="61" s="1"/>
  <c r="D13" i="56" s="1"/>
  <c r="I55" i="23"/>
  <c r="S31" i="23" s="1"/>
  <c r="I46" i="23"/>
  <c r="S22" i="23" s="1"/>
  <c r="BF81" i="61" s="1"/>
  <c r="D14" i="56" s="1"/>
  <c r="BF76" i="61"/>
  <c r="D9" i="56" s="1"/>
  <c r="BG19" i="23"/>
  <c r="BG23" i="23"/>
  <c r="BG32" i="23"/>
  <c r="BG22" i="23"/>
  <c r="I45" i="24"/>
  <c r="S21" i="24" s="1"/>
  <c r="BE80" i="61" s="1"/>
  <c r="C13" i="56" s="1"/>
  <c r="I42" i="24"/>
  <c r="S18" i="24" s="1"/>
  <c r="I55" i="24"/>
  <c r="S31" i="24" s="1"/>
  <c r="I46" i="24"/>
  <c r="S22" i="24" s="1"/>
  <c r="BE81" i="61" s="1"/>
  <c r="C14" i="56" s="1"/>
  <c r="BE76" i="61"/>
  <c r="C9" i="56" s="1"/>
  <c r="BG32" i="24"/>
  <c r="BG23" i="24"/>
  <c r="BG22" i="24"/>
  <c r="BG19" i="24"/>
  <c r="I45" i="15"/>
  <c r="S21" i="15" s="1"/>
  <c r="BN80" i="61" s="1"/>
  <c r="L13" i="56" s="1"/>
  <c r="I42" i="15"/>
  <c r="S18" i="15" s="1"/>
  <c r="I55" i="15"/>
  <c r="S31" i="15" s="1"/>
  <c r="I46" i="15"/>
  <c r="S22" i="15" s="1"/>
  <c r="BN81" i="61" s="1"/>
  <c r="L14" i="56" s="1"/>
  <c r="BN76" i="61"/>
  <c r="L9" i="56" s="1"/>
  <c r="BG22" i="15"/>
  <c r="BG32" i="15"/>
  <c r="BG23" i="15"/>
  <c r="BG19" i="15"/>
  <c r="BD79" i="61"/>
  <c r="B12" i="56" s="1"/>
  <c r="I51" i="25"/>
  <c r="S27" i="25" s="1"/>
  <c r="BD86" i="61" s="1"/>
  <c r="B19" i="56" s="1"/>
  <c r="BG28" i="25"/>
  <c r="BM79" i="61"/>
  <c r="K12" i="56" s="1"/>
  <c r="I51" i="16"/>
  <c r="S27" i="16" s="1"/>
  <c r="BM86" i="61" s="1"/>
  <c r="K19" i="56" s="1"/>
  <c r="BG28" i="16"/>
  <c r="BJ79" i="61"/>
  <c r="H12" i="56" s="1"/>
  <c r="I51" i="19"/>
  <c r="S27" i="19" s="1"/>
  <c r="BJ86" i="61" s="1"/>
  <c r="H19" i="56" s="1"/>
  <c r="BG28" i="19"/>
  <c r="BH79" i="61"/>
  <c r="F12" i="56" s="1"/>
  <c r="I51" i="21"/>
  <c r="S27" i="21" s="1"/>
  <c r="BH86" i="61" s="1"/>
  <c r="F19" i="56" s="1"/>
  <c r="BG28" i="21"/>
  <c r="BI79" i="61"/>
  <c r="G12" i="56" s="1"/>
  <c r="I51" i="20"/>
  <c r="S27" i="20" s="1"/>
  <c r="BI86" i="61" s="1"/>
  <c r="G19" i="56" s="1"/>
  <c r="BG28" i="20"/>
  <c r="BL79" i="61"/>
  <c r="J12" i="56" s="1"/>
  <c r="I51" i="17"/>
  <c r="S27" i="17" s="1"/>
  <c r="BL86" i="61" s="1"/>
  <c r="J19" i="56" s="1"/>
  <c r="D55" i="61" s="1"/>
  <c r="M10" i="51" s="1"/>
  <c r="BG28" i="17"/>
  <c r="I45" i="25"/>
  <c r="S21" i="25" s="1"/>
  <c r="BD80" i="61" s="1"/>
  <c r="B13" i="56" s="1"/>
  <c r="I42" i="25"/>
  <c r="S18" i="25" s="1"/>
  <c r="I55" i="25"/>
  <c r="S31" i="25" s="1"/>
  <c r="I46" i="25"/>
  <c r="S22" i="25" s="1"/>
  <c r="BD81" i="61" s="1"/>
  <c r="B14" i="56" s="1"/>
  <c r="BD76" i="61"/>
  <c r="B9" i="56" s="1"/>
  <c r="BG19" i="25"/>
  <c r="BG22" i="25"/>
  <c r="BG23" i="25"/>
  <c r="BG32" i="25"/>
  <c r="I45" i="16"/>
  <c r="S21" i="16" s="1"/>
  <c r="BM80" i="61" s="1"/>
  <c r="K13" i="56" s="1"/>
  <c r="I42" i="16"/>
  <c r="S18" i="16" s="1"/>
  <c r="I55" i="16"/>
  <c r="S31" i="16" s="1"/>
  <c r="BM76" i="61"/>
  <c r="K9" i="56" s="1"/>
  <c r="I46" i="16"/>
  <c r="S22" i="16" s="1"/>
  <c r="BM81" i="61" s="1"/>
  <c r="K14" i="56" s="1"/>
  <c r="BG22" i="16"/>
  <c r="BG19" i="16"/>
  <c r="BG23" i="16"/>
  <c r="BG32" i="16"/>
  <c r="I45" i="19"/>
  <c r="S21" i="19" s="1"/>
  <c r="BJ80" i="61" s="1"/>
  <c r="H13" i="56" s="1"/>
  <c r="I42" i="19"/>
  <c r="S18" i="19" s="1"/>
  <c r="I55" i="19"/>
  <c r="S31" i="19" s="1"/>
  <c r="I46" i="19"/>
  <c r="S22" i="19" s="1"/>
  <c r="BJ81" i="61" s="1"/>
  <c r="H14" i="56" s="1"/>
  <c r="BJ76" i="61"/>
  <c r="H9" i="56" s="1"/>
  <c r="BG19" i="19"/>
  <c r="BG22" i="19"/>
  <c r="BG23" i="19"/>
  <c r="BG32" i="19"/>
  <c r="M24" i="13" l="1"/>
  <c r="N24" i="13" s="1"/>
  <c r="N29" i="13" s="1"/>
  <c r="BA24" i="13"/>
  <c r="BB24" i="13" s="1"/>
  <c r="BB29" i="13" s="1"/>
  <c r="BA24" i="4"/>
  <c r="BB24" i="4" s="1"/>
  <c r="BB29" i="4" s="1"/>
  <c r="M24" i="4"/>
  <c r="N24" i="4" s="1"/>
  <c r="N29" i="4" s="1"/>
  <c r="M24" i="9"/>
  <c r="N24" i="9" s="1"/>
  <c r="N29" i="9" s="1"/>
  <c r="BA24" i="9"/>
  <c r="BB24" i="9" s="1"/>
  <c r="BB29" i="9" s="1"/>
  <c r="M24" i="18"/>
  <c r="N24" i="18" s="1"/>
  <c r="N29" i="18" s="1"/>
  <c r="I43" i="18" s="1"/>
  <c r="S19" i="18" s="1"/>
  <c r="BA24" i="18"/>
  <c r="BB24" i="18" s="1"/>
  <c r="BB29" i="18" s="1"/>
  <c r="BG20" i="18" s="1"/>
  <c r="M24" i="10"/>
  <c r="N24" i="10" s="1"/>
  <c r="N29" i="10" s="1"/>
  <c r="BA24" i="10"/>
  <c r="BB24" i="10" s="1"/>
  <c r="BB29" i="10" s="1"/>
  <c r="BA24" i="1"/>
  <c r="BB24" i="1" s="1"/>
  <c r="BB29" i="1" s="1"/>
  <c r="M24" i="1"/>
  <c r="N24" i="1" s="1"/>
  <c r="N29" i="1" s="1"/>
  <c r="M24" i="5"/>
  <c r="N24" i="5" s="1"/>
  <c r="N29" i="5" s="1"/>
  <c r="BA24" i="5"/>
  <c r="BB24" i="5" s="1"/>
  <c r="BB29" i="5" s="1"/>
  <c r="M24" i="24"/>
  <c r="N24" i="24" s="1"/>
  <c r="N29" i="24" s="1"/>
  <c r="I43" i="24" s="1"/>
  <c r="S19" i="24" s="1"/>
  <c r="BA24" i="24"/>
  <c r="BB24" i="24" s="1"/>
  <c r="BB29" i="24" s="1"/>
  <c r="BG20" i="24" s="1"/>
  <c r="M24" i="6"/>
  <c r="N24" i="6" s="1"/>
  <c r="N29" i="6" s="1"/>
  <c r="BA24" i="6"/>
  <c r="BB24" i="6" s="1"/>
  <c r="BB29" i="6" s="1"/>
  <c r="M24" i="15"/>
  <c r="N24" i="15" s="1"/>
  <c r="N29" i="15" s="1"/>
  <c r="I43" i="15" s="1"/>
  <c r="S19" i="15" s="1"/>
  <c r="BA24" i="15"/>
  <c r="BB24" i="15" s="1"/>
  <c r="BB29" i="15" s="1"/>
  <c r="BG20" i="15" s="1"/>
  <c r="M24" i="22"/>
  <c r="N24" i="22" s="1"/>
  <c r="N29" i="22" s="1"/>
  <c r="I43" i="22" s="1"/>
  <c r="S19" i="22" s="1"/>
  <c r="BA24" i="22"/>
  <c r="BB24" i="22" s="1"/>
  <c r="BB29" i="22" s="1"/>
  <c r="BG20" i="22" s="1"/>
  <c r="M24" i="3"/>
  <c r="N24" i="3" s="1"/>
  <c r="N29" i="3" s="1"/>
  <c r="BA24" i="3"/>
  <c r="BB24" i="3" s="1"/>
  <c r="BB29" i="3" s="1"/>
  <c r="M24" i="17"/>
  <c r="N24" i="17" s="1"/>
  <c r="N29" i="17" s="1"/>
  <c r="I43" i="17" s="1"/>
  <c r="S19" i="17" s="1"/>
  <c r="BA24" i="17"/>
  <c r="BB24" i="17" s="1"/>
  <c r="BB29" i="17" s="1"/>
  <c r="BG20" i="17" s="1"/>
  <c r="BA24" i="25"/>
  <c r="BB24" i="25" s="1"/>
  <c r="BB29" i="25" s="1"/>
  <c r="BG20" i="25" s="1"/>
  <c r="M24" i="25"/>
  <c r="N24" i="25" s="1"/>
  <c r="N29" i="25" s="1"/>
  <c r="I43" i="25" s="1"/>
  <c r="S19" i="25" s="1"/>
  <c r="L32" i="61"/>
  <c r="M32" i="61" s="1"/>
  <c r="N32" i="61" s="1"/>
  <c r="M24" i="21"/>
  <c r="N24" i="21" s="1"/>
  <c r="N29" i="21" s="1"/>
  <c r="I43" i="21" s="1"/>
  <c r="S19" i="21" s="1"/>
  <c r="BA24" i="21"/>
  <c r="BB24" i="21" s="1"/>
  <c r="BB29" i="21" s="1"/>
  <c r="BG20" i="21" s="1"/>
  <c r="BA24" i="11"/>
  <c r="BB24" i="11" s="1"/>
  <c r="BB29" i="11" s="1"/>
  <c r="M24" i="11"/>
  <c r="N24" i="11" s="1"/>
  <c r="N29" i="11" s="1"/>
  <c r="M24" i="53"/>
  <c r="N24" i="53" s="1"/>
  <c r="N29" i="53" s="1"/>
  <c r="S21" i="53" s="1"/>
  <c r="S48" i="53" s="1"/>
  <c r="BA24" i="20"/>
  <c r="BB24" i="20" s="1"/>
  <c r="BB29" i="20" s="1"/>
  <c r="BG20" i="20" s="1"/>
  <c r="M24" i="20"/>
  <c r="N24" i="20" s="1"/>
  <c r="N29" i="20" s="1"/>
  <c r="I43" i="20" s="1"/>
  <c r="S19" i="20" s="1"/>
  <c r="BA24" i="53"/>
  <c r="BB24" i="53" s="1"/>
  <c r="BB29" i="53" s="1"/>
  <c r="BG21" i="53" s="1"/>
  <c r="M24" i="7"/>
  <c r="N24" i="7" s="1"/>
  <c r="N29" i="7" s="1"/>
  <c r="BA24" i="7"/>
  <c r="BB24" i="7" s="1"/>
  <c r="BB29" i="7" s="1"/>
  <c r="BA24" i="8"/>
  <c r="BB24" i="8" s="1"/>
  <c r="BB29" i="8" s="1"/>
  <c r="M24" i="8"/>
  <c r="N24" i="8" s="1"/>
  <c r="N29" i="8" s="1"/>
  <c r="BA24" i="2"/>
  <c r="BB24" i="2" s="1"/>
  <c r="BB29" i="2" s="1"/>
  <c r="M24" i="2"/>
  <c r="N24" i="2" s="1"/>
  <c r="N29" i="2" s="1"/>
  <c r="BA24" i="14"/>
  <c r="BB24" i="14" s="1"/>
  <c r="BB29" i="14" s="1"/>
  <c r="BG20" i="14" s="1"/>
  <c r="M24" i="14"/>
  <c r="N24" i="14" s="1"/>
  <c r="N29" i="14" s="1"/>
  <c r="I43" i="14" s="1"/>
  <c r="S19" i="14" s="1"/>
  <c r="M24" i="19"/>
  <c r="N24" i="19" s="1"/>
  <c r="N29" i="19" s="1"/>
  <c r="I43" i="19" s="1"/>
  <c r="S19" i="19" s="1"/>
  <c r="BA24" i="19"/>
  <c r="BB24" i="19" s="1"/>
  <c r="BB29" i="19" s="1"/>
  <c r="BG20" i="19" s="1"/>
  <c r="M24" i="12"/>
  <c r="N24" i="12" s="1"/>
  <c r="N29" i="12" s="1"/>
  <c r="BA24" i="12"/>
  <c r="BB24" i="12" s="1"/>
  <c r="BB29" i="12" s="1"/>
  <c r="M24" i="16"/>
  <c r="N24" i="16" s="1"/>
  <c r="N29" i="16" s="1"/>
  <c r="I43" i="16" s="1"/>
  <c r="S19" i="16" s="1"/>
  <c r="BA24" i="16"/>
  <c r="BB24" i="16" s="1"/>
  <c r="BB29" i="16" s="1"/>
  <c r="BG20" i="16" s="1"/>
  <c r="M24" i="23"/>
  <c r="N24" i="23" s="1"/>
  <c r="N29" i="23" s="1"/>
  <c r="I43" i="23" s="1"/>
  <c r="S19" i="23" s="1"/>
  <c r="BA24" i="23"/>
  <c r="BB24" i="23" s="1"/>
  <c r="BB29" i="23" s="1"/>
  <c r="BG20" i="23" s="1"/>
  <c r="I57" i="25"/>
  <c r="S33" i="25" s="1"/>
  <c r="BD92" i="61" s="1"/>
  <c r="B25" i="56" s="1"/>
  <c r="BD90" i="61"/>
  <c r="B23" i="56" s="1"/>
  <c r="BG34" i="25"/>
  <c r="I57" i="16"/>
  <c r="S33" i="16" s="1"/>
  <c r="BM92" i="61" s="1"/>
  <c r="K25" i="56" s="1"/>
  <c r="BM90" i="61"/>
  <c r="K23" i="56" s="1"/>
  <c r="BG34" i="16"/>
  <c r="I57" i="24"/>
  <c r="S33" i="24" s="1"/>
  <c r="BE92" i="61" s="1"/>
  <c r="C25" i="56" s="1"/>
  <c r="BE90" i="61"/>
  <c r="C23" i="56" s="1"/>
  <c r="BG34" i="24"/>
  <c r="I57" i="22"/>
  <c r="S33" i="22" s="1"/>
  <c r="BG92" i="61" s="1"/>
  <c r="E25" i="56" s="1"/>
  <c r="BG90" i="61"/>
  <c r="E23" i="56" s="1"/>
  <c r="BG34" i="22"/>
  <c r="L8" i="62"/>
  <c r="L29" i="62"/>
  <c r="L11" i="62"/>
  <c r="I57" i="17"/>
  <c r="S33" i="17" s="1"/>
  <c r="BL92" i="61" s="1"/>
  <c r="J25" i="56" s="1"/>
  <c r="BL90" i="61"/>
  <c r="J23" i="56" s="1"/>
  <c r="D57" i="61" s="1"/>
  <c r="M12" i="51" s="1"/>
  <c r="BG34" i="17"/>
  <c r="I57" i="21"/>
  <c r="S33" i="21" s="1"/>
  <c r="BH92" i="61" s="1"/>
  <c r="F25" i="56" s="1"/>
  <c r="BH90" i="61"/>
  <c r="F23" i="56" s="1"/>
  <c r="BG34" i="21"/>
  <c r="I52" i="25"/>
  <c r="S28" i="25" s="1"/>
  <c r="BD87" i="61" s="1"/>
  <c r="B20" i="56" s="1"/>
  <c r="BD77" i="61"/>
  <c r="B10" i="56" s="1"/>
  <c r="BG29" i="25"/>
  <c r="I57" i="19"/>
  <c r="S33" i="19" s="1"/>
  <c r="BJ92" i="61" s="1"/>
  <c r="H25" i="56" s="1"/>
  <c r="BJ90" i="61"/>
  <c r="H23" i="56" s="1"/>
  <c r="BG34" i="19"/>
  <c r="I52" i="16"/>
  <c r="S28" i="16" s="1"/>
  <c r="BM87" i="61" s="1"/>
  <c r="K20" i="56" s="1"/>
  <c r="BM77" i="61"/>
  <c r="K10" i="56" s="1"/>
  <c r="BG29" i="16"/>
  <c r="C193" i="61"/>
  <c r="C197" i="61"/>
  <c r="C203" i="61"/>
  <c r="I57" i="15"/>
  <c r="S33" i="15" s="1"/>
  <c r="BN92" i="61" s="1"/>
  <c r="L25" i="56" s="1"/>
  <c r="BN90" i="61"/>
  <c r="L23" i="56" s="1"/>
  <c r="BG34" i="15"/>
  <c r="I52" i="24"/>
  <c r="S28" i="24" s="1"/>
  <c r="BE87" i="61" s="1"/>
  <c r="C20" i="56" s="1"/>
  <c r="BE77" i="61"/>
  <c r="C10" i="56" s="1"/>
  <c r="BG29" i="24"/>
  <c r="I57" i="23"/>
  <c r="S33" i="23" s="1"/>
  <c r="BF92" i="61" s="1"/>
  <c r="D25" i="56" s="1"/>
  <c r="BF90" i="61"/>
  <c r="D23" i="56" s="1"/>
  <c r="BG34" i="23"/>
  <c r="I52" i="22"/>
  <c r="S28" i="22" s="1"/>
  <c r="BG87" i="61" s="1"/>
  <c r="E20" i="56" s="1"/>
  <c r="BG77" i="61"/>
  <c r="E10" i="56" s="1"/>
  <c r="BG29" i="22"/>
  <c r="I57" i="14"/>
  <c r="S33" i="14" s="1"/>
  <c r="BO92" i="61" s="1"/>
  <c r="M25" i="56" s="1"/>
  <c r="BO90" i="61"/>
  <c r="M23" i="56" s="1"/>
  <c r="BG34" i="14"/>
  <c r="S46" i="53"/>
  <c r="L13" i="62"/>
  <c r="L28" i="62"/>
  <c r="L21" i="62"/>
  <c r="L7" i="62"/>
  <c r="L22" i="62"/>
  <c r="I52" i="17"/>
  <c r="S28" i="17" s="1"/>
  <c r="BL87" i="61" s="1"/>
  <c r="J20" i="56" s="1"/>
  <c r="BL77" i="61"/>
  <c r="J10" i="56" s="1"/>
  <c r="D52" i="61" s="1"/>
  <c r="M7" i="51" s="1"/>
  <c r="BG29" i="17"/>
  <c r="I52" i="20"/>
  <c r="S28" i="20" s="1"/>
  <c r="BI87" i="61" s="1"/>
  <c r="G20" i="56" s="1"/>
  <c r="BI77" i="61"/>
  <c r="G10" i="56" s="1"/>
  <c r="BG29" i="20"/>
  <c r="I52" i="19"/>
  <c r="S28" i="19" s="1"/>
  <c r="BJ87" i="61" s="1"/>
  <c r="H20" i="56" s="1"/>
  <c r="BJ77" i="61"/>
  <c r="H10" i="56" s="1"/>
  <c r="BG29" i="19"/>
  <c r="C198" i="61"/>
  <c r="C196" i="61"/>
  <c r="I52" i="15"/>
  <c r="S28" i="15" s="1"/>
  <c r="BN87" i="61" s="1"/>
  <c r="L20" i="56" s="1"/>
  <c r="BN77" i="61"/>
  <c r="L10" i="56" s="1"/>
  <c r="BG29" i="15"/>
  <c r="B193" i="61"/>
  <c r="A193" i="61"/>
  <c r="B197" i="61"/>
  <c r="A197" i="61"/>
  <c r="BK90" i="61"/>
  <c r="I23" i="56" s="1"/>
  <c r="I57" i="18"/>
  <c r="S33" i="18" s="1"/>
  <c r="BK92" i="61" s="1"/>
  <c r="I25" i="56" s="1"/>
  <c r="BG34" i="18"/>
  <c r="I52" i="14"/>
  <c r="S28" i="14" s="1"/>
  <c r="BO87" i="61" s="1"/>
  <c r="M20" i="56" s="1"/>
  <c r="BO77" i="61"/>
  <c r="M10" i="56" s="1"/>
  <c r="BG29" i="14"/>
  <c r="B203" i="61"/>
  <c r="A203" i="61"/>
  <c r="L27" i="62"/>
  <c r="L23" i="62"/>
  <c r="L25" i="62"/>
  <c r="L15" i="62"/>
  <c r="L20" i="62"/>
  <c r="L30" i="62"/>
  <c r="L16" i="62"/>
  <c r="L10" i="62"/>
  <c r="L17" i="62"/>
  <c r="L18" i="62"/>
  <c r="L9" i="62"/>
  <c r="L19" i="62"/>
  <c r="I52" i="21"/>
  <c r="S28" i="21" s="1"/>
  <c r="BH87" i="61" s="1"/>
  <c r="F20" i="56" s="1"/>
  <c r="BH77" i="61"/>
  <c r="F10" i="56" s="1"/>
  <c r="BG29" i="21"/>
  <c r="B198" i="61"/>
  <c r="A198" i="61"/>
  <c r="I52" i="23"/>
  <c r="S28" i="23" s="1"/>
  <c r="BF87" i="61" s="1"/>
  <c r="D20" i="56" s="1"/>
  <c r="BF77" i="61"/>
  <c r="D10" i="56" s="1"/>
  <c r="BG29" i="23"/>
  <c r="I52" i="18"/>
  <c r="S28" i="18" s="1"/>
  <c r="BK87" i="61" s="1"/>
  <c r="I20" i="56" s="1"/>
  <c r="BK77" i="61"/>
  <c r="I10" i="56" s="1"/>
  <c r="BG29" i="18"/>
  <c r="B196" i="61"/>
  <c r="A196" i="61"/>
  <c r="L24" i="62"/>
  <c r="L14" i="62"/>
  <c r="L26" i="62"/>
  <c r="L31" i="62"/>
  <c r="L12" i="62"/>
  <c r="I57" i="20"/>
  <c r="S33" i="20" s="1"/>
  <c r="BI92" i="61" s="1"/>
  <c r="G25" i="56" s="1"/>
  <c r="BI90" i="61"/>
  <c r="G23" i="56" s="1"/>
  <c r="BG34" i="20"/>
  <c r="A5" i="60" a="1"/>
  <c r="BF78" i="61" l="1"/>
  <c r="D11" i="56" s="1"/>
  <c r="BG24" i="23"/>
  <c r="I47" i="23"/>
  <c r="S23" i="23" s="1"/>
  <c r="BI78" i="61"/>
  <c r="G11" i="56" s="1"/>
  <c r="BG24" i="20"/>
  <c r="I47" i="20"/>
  <c r="S23" i="20" s="1"/>
  <c r="BD78" i="61"/>
  <c r="B11" i="56" s="1"/>
  <c r="I47" i="25"/>
  <c r="S23" i="25" s="1"/>
  <c r="BG24" i="25"/>
  <c r="BN78" i="61"/>
  <c r="L11" i="56" s="1"/>
  <c r="BG24" i="15"/>
  <c r="I47" i="15"/>
  <c r="S23" i="15" s="1"/>
  <c r="BE78" i="61"/>
  <c r="C11" i="56" s="1"/>
  <c r="BG24" i="24"/>
  <c r="I47" i="24"/>
  <c r="S23" i="24" s="1"/>
  <c r="BK78" i="61"/>
  <c r="I11" i="56" s="1"/>
  <c r="BG24" i="18"/>
  <c r="I47" i="18"/>
  <c r="S23" i="18" s="1"/>
  <c r="BM78" i="61"/>
  <c r="K11" i="56" s="1"/>
  <c r="BG24" i="16"/>
  <c r="I47" i="16"/>
  <c r="S23" i="16" s="1"/>
  <c r="BJ78" i="61"/>
  <c r="H11" i="56" s="1"/>
  <c r="BG24" i="19"/>
  <c r="I47" i="19"/>
  <c r="S23" i="19" s="1"/>
  <c r="BH78" i="61"/>
  <c r="F11" i="56" s="1"/>
  <c r="BG24" i="21"/>
  <c r="I47" i="21"/>
  <c r="S23" i="21" s="1"/>
  <c r="BO78" i="61"/>
  <c r="M11" i="56" s="1"/>
  <c r="BG24" i="14"/>
  <c r="I47" i="14"/>
  <c r="S23" i="14" s="1"/>
  <c r="DE43" i="61"/>
  <c r="CL36" i="61"/>
  <c r="CM37" i="61"/>
  <c r="CM31" i="61"/>
  <c r="DF40" i="61"/>
  <c r="CN30" i="61"/>
  <c r="CO52" i="61"/>
  <c r="CL33" i="61"/>
  <c r="CZ30" i="61"/>
  <c r="CR31" i="61"/>
  <c r="CT38" i="61"/>
  <c r="DC38" i="61"/>
  <c r="CM38" i="61"/>
  <c r="CS40" i="61"/>
  <c r="CR54" i="61"/>
  <c r="DH43" i="61"/>
  <c r="DA30" i="61"/>
  <c r="CQ49" i="61"/>
  <c r="DG32" i="61"/>
  <c r="DF38" i="61"/>
  <c r="CZ32" i="61"/>
  <c r="DF45" i="61"/>
  <c r="DI34" i="61"/>
  <c r="CS45" i="61"/>
  <c r="CR44" i="61"/>
  <c r="CT43" i="61"/>
  <c r="CY43" i="61"/>
  <c r="DB43" i="61"/>
  <c r="CW46" i="61"/>
  <c r="DC32" i="61"/>
  <c r="DH34" i="61"/>
  <c r="CQ32" i="61"/>
  <c r="CN32" i="61"/>
  <c r="DI30" i="61"/>
  <c r="CL34" i="61"/>
  <c r="DB31" i="61"/>
  <c r="CS53" i="61"/>
  <c r="DJ39" i="61"/>
  <c r="CO48" i="61"/>
  <c r="DF42" i="61"/>
  <c r="CV36" i="61"/>
  <c r="CP37" i="61"/>
  <c r="DD35" i="61"/>
  <c r="DE33" i="61"/>
  <c r="CX40" i="61"/>
  <c r="CO49" i="61"/>
  <c r="DI45" i="61"/>
  <c r="CV48" i="61"/>
  <c r="CN41" i="61"/>
  <c r="DE37" i="61"/>
  <c r="DC51" i="61"/>
  <c r="CU33" i="61"/>
  <c r="CX36" i="61"/>
  <c r="DF46" i="61"/>
  <c r="CT34" i="61"/>
  <c r="CT31" i="61"/>
  <c r="DE54" i="61"/>
  <c r="DH53" i="61"/>
  <c r="CW37" i="61"/>
  <c r="DB51" i="61"/>
  <c r="DJ54" i="61"/>
  <c r="CM47" i="61"/>
  <c r="CW54" i="61"/>
  <c r="CR37" i="61"/>
  <c r="CQ44" i="61"/>
  <c r="DJ53" i="61"/>
  <c r="CY37" i="61"/>
  <c r="CO32" i="61"/>
  <c r="CY48" i="61"/>
  <c r="DA54" i="61"/>
  <c r="DG54" i="61"/>
  <c r="CU51" i="61"/>
  <c r="CV32" i="61"/>
  <c r="DJ36" i="61"/>
  <c r="CT41" i="61"/>
  <c r="R2" i="62"/>
  <c r="AD154" i="61" s="1"/>
  <c r="CO38" i="61"/>
  <c r="CO41" i="61"/>
  <c r="CL54" i="61"/>
  <c r="DI41" i="61"/>
  <c r="CS48" i="61"/>
  <c r="DD39" i="61"/>
  <c r="DF51" i="61"/>
  <c r="CW31" i="61"/>
  <c r="CN35" i="61"/>
  <c r="CQ42" i="61"/>
  <c r="CW53" i="61"/>
  <c r="CM36" i="61"/>
  <c r="CZ44" i="61"/>
  <c r="CW38" i="61"/>
  <c r="DI51" i="61"/>
  <c r="CO37" i="61"/>
  <c r="CO33" i="61"/>
  <c r="CO44" i="61"/>
  <c r="DH47" i="61"/>
  <c r="DG49" i="61"/>
  <c r="CM52" i="61"/>
  <c r="DA34" i="61"/>
  <c r="DJ30" i="61"/>
  <c r="CT45" i="61"/>
  <c r="CX46" i="61"/>
  <c r="CW52" i="61"/>
  <c r="CO36" i="61"/>
  <c r="CP32" i="61"/>
  <c r="CL31" i="61"/>
  <c r="DJ43" i="61"/>
  <c r="DJ40" i="61"/>
  <c r="CM32" i="61"/>
  <c r="CV35" i="61"/>
  <c r="CQ30" i="61"/>
  <c r="CN31" i="61"/>
  <c r="CS44" i="61"/>
  <c r="CN47" i="61"/>
  <c r="CX45" i="61"/>
  <c r="CP46" i="61"/>
  <c r="CT37" i="61"/>
  <c r="CY30" i="61"/>
  <c r="CS47" i="61"/>
  <c r="CM39" i="61"/>
  <c r="DG47" i="61"/>
  <c r="CW42" i="61"/>
  <c r="DC46" i="61"/>
  <c r="DC54" i="61"/>
  <c r="DC35" i="61"/>
  <c r="CM53" i="61"/>
  <c r="DB46" i="61"/>
  <c r="CY34" i="61"/>
  <c r="DF31" i="61"/>
  <c r="DH49" i="61"/>
  <c r="CQ41" i="61"/>
  <c r="CX34" i="61"/>
  <c r="CQ33" i="61"/>
  <c r="CN49" i="61"/>
  <c r="CR34" i="61"/>
  <c r="DF48" i="61"/>
  <c r="DG37" i="61"/>
  <c r="DG44" i="61"/>
  <c r="CU38" i="61"/>
  <c r="CQ43" i="61"/>
  <c r="DC53" i="61"/>
  <c r="DC45" i="61"/>
  <c r="CR51" i="61"/>
  <c r="DE49" i="61"/>
  <c r="CQ54" i="61"/>
  <c r="DE30" i="61"/>
  <c r="CQ36" i="61"/>
  <c r="CP38" i="61"/>
  <c r="DE36" i="61"/>
  <c r="CU40" i="61"/>
  <c r="CR53" i="61"/>
  <c r="DH33" i="61"/>
  <c r="CP41" i="61"/>
  <c r="CQ31" i="61"/>
  <c r="CP33" i="61"/>
  <c r="CO42" i="61"/>
  <c r="CX37" i="61"/>
  <c r="DI35" i="61"/>
  <c r="DA37" i="61"/>
  <c r="CV53" i="61"/>
  <c r="CS41" i="61"/>
  <c r="CT33" i="61"/>
  <c r="CS39" i="61"/>
  <c r="DB33" i="61"/>
  <c r="DC48" i="61"/>
  <c r="CV47" i="61"/>
  <c r="CP51" i="61"/>
  <c r="DF33" i="61"/>
  <c r="CN51" i="61"/>
  <c r="CQ46" i="61"/>
  <c r="CT42" i="61"/>
  <c r="DB34" i="61"/>
  <c r="DH38" i="61"/>
  <c r="DG33" i="61"/>
  <c r="CO45" i="61"/>
  <c r="CR46" i="61"/>
  <c r="CL51" i="61"/>
  <c r="CL37" i="61"/>
  <c r="CU31" i="61"/>
  <c r="CQ48" i="61"/>
  <c r="DA41" i="61"/>
  <c r="DB49" i="61"/>
  <c r="CM45" i="61"/>
  <c r="CY38" i="61"/>
  <c r="CQ47" i="61"/>
  <c r="CX54" i="61"/>
  <c r="CX39" i="61"/>
  <c r="CO30" i="61"/>
  <c r="CY33" i="61"/>
  <c r="DA40" i="61"/>
  <c r="CR47" i="61"/>
  <c r="R3" i="62"/>
  <c r="CT36" i="61"/>
  <c r="DD31" i="61"/>
  <c r="DC36" i="61"/>
  <c r="DC41" i="61"/>
  <c r="DA36" i="61"/>
  <c r="DB41" i="61"/>
  <c r="CL42" i="61"/>
  <c r="DF54" i="61"/>
  <c r="CZ35" i="61"/>
  <c r="DJ41" i="61"/>
  <c r="CU52" i="61"/>
  <c r="DI33" i="61"/>
  <c r="CN39" i="61"/>
  <c r="DB45" i="61"/>
  <c r="CM51" i="61"/>
  <c r="DG43" i="61"/>
  <c r="CZ36" i="61"/>
  <c r="CW47" i="61"/>
  <c r="CP54" i="61"/>
  <c r="CW44" i="61"/>
  <c r="CT47" i="61"/>
  <c r="DJ47" i="61"/>
  <c r="CW49" i="61"/>
  <c r="CU45" i="61"/>
  <c r="DC30" i="61"/>
  <c r="CZ45" i="61"/>
  <c r="DB35" i="61"/>
  <c r="CU39" i="61"/>
  <c r="CT35" i="61"/>
  <c r="DC33" i="61"/>
  <c r="DE35" i="61"/>
  <c r="CW35" i="61"/>
  <c r="DA42" i="61"/>
  <c r="DD41" i="61"/>
  <c r="CT53" i="61"/>
  <c r="CY40" i="61"/>
  <c r="CO51" i="61"/>
  <c r="CT44" i="61"/>
  <c r="CM40" i="61"/>
  <c r="DB54" i="61"/>
  <c r="DH32" i="61"/>
  <c r="CS49" i="61"/>
  <c r="DE31" i="61"/>
  <c r="CN45" i="61"/>
  <c r="DG38" i="61"/>
  <c r="DA31" i="61"/>
  <c r="CL44" i="61"/>
  <c r="DG46" i="61"/>
  <c r="DA43" i="61"/>
  <c r="CL35" i="61"/>
  <c r="CQ51" i="61"/>
  <c r="CZ53" i="61"/>
  <c r="DC43" i="61"/>
  <c r="CU47" i="61"/>
  <c r="CV44" i="61"/>
  <c r="CQ45" i="61"/>
  <c r="CS54" i="61"/>
  <c r="DH52" i="61"/>
  <c r="CP39" i="61"/>
  <c r="CS51" i="61"/>
  <c r="DJ42" i="61"/>
  <c r="DI39" i="61"/>
  <c r="CW39" i="61"/>
  <c r="CL30" i="61"/>
  <c r="CW30" i="61"/>
  <c r="CS33" i="61"/>
  <c r="CN38" i="61"/>
  <c r="DA52" i="61"/>
  <c r="CN53" i="61"/>
  <c r="DF47" i="61"/>
  <c r="CO40" i="61"/>
  <c r="DF52" i="61"/>
  <c r="DD30" i="61"/>
  <c r="DI32" i="61"/>
  <c r="CP43" i="61"/>
  <c r="DB32" i="61"/>
  <c r="CR32" i="61"/>
  <c r="DJ33" i="61"/>
  <c r="DD34" i="61"/>
  <c r="DI47" i="61"/>
  <c r="DC39" i="61"/>
  <c r="CZ48" i="61"/>
  <c r="CR38" i="61"/>
  <c r="CZ38" i="61"/>
  <c r="DB38" i="61"/>
  <c r="DA33" i="61"/>
  <c r="DA39" i="61"/>
  <c r="DJ52" i="61"/>
  <c r="DI40" i="61"/>
  <c r="CM42" i="61"/>
  <c r="CL47" i="61"/>
  <c r="CS38" i="61"/>
  <c r="DC47" i="61"/>
  <c r="CY44" i="61"/>
  <c r="CT32" i="61"/>
  <c r="CL38" i="61"/>
  <c r="DE34" i="61"/>
  <c r="CV39" i="61"/>
  <c r="CO54" i="61"/>
  <c r="CY39" i="61"/>
  <c r="CT52" i="61"/>
  <c r="DH46" i="61"/>
  <c r="CP53" i="61"/>
  <c r="DF35" i="61"/>
  <c r="CR43" i="61"/>
  <c r="DD53" i="61"/>
  <c r="CN44" i="61"/>
  <c r="CL40" i="61"/>
  <c r="CZ43" i="61"/>
  <c r="DJ46" i="61"/>
  <c r="CV46" i="61"/>
  <c r="DH44" i="61"/>
  <c r="DB48" i="61"/>
  <c r="DJ38" i="61"/>
  <c r="CQ53" i="61"/>
  <c r="CU43" i="61"/>
  <c r="CR39" i="61"/>
  <c r="CM35" i="61"/>
  <c r="DH48" i="61"/>
  <c r="DH51" i="61"/>
  <c r="DE45" i="61"/>
  <c r="CN52" i="61"/>
  <c r="CS32" i="61"/>
  <c r="DD37" i="61"/>
  <c r="DD49" i="61"/>
  <c r="DA48" i="61"/>
  <c r="CL45" i="61"/>
  <c r="CS43" i="61"/>
  <c r="CP52" i="61"/>
  <c r="CR45" i="61"/>
  <c r="CR48" i="61"/>
  <c r="CP42" i="61"/>
  <c r="CV37" i="61"/>
  <c r="DI48" i="61"/>
  <c r="CX42" i="61"/>
  <c r="DD54" i="61"/>
  <c r="CU32" i="61"/>
  <c r="CZ31" i="61"/>
  <c r="DG40" i="61"/>
  <c r="CS36" i="61"/>
  <c r="CV34" i="61"/>
  <c r="CN40" i="61"/>
  <c r="CZ41" i="61"/>
  <c r="DI49" i="61"/>
  <c r="DA38" i="61"/>
  <c r="DB36" i="61"/>
  <c r="CR40" i="61"/>
  <c r="DF37" i="61"/>
  <c r="CM48" i="61"/>
  <c r="DE50" i="61"/>
  <c r="DH40" i="61"/>
  <c r="CS42" i="61"/>
  <c r="DC31" i="61"/>
  <c r="CV45" i="61"/>
  <c r="CP48" i="61"/>
  <c r="DI37" i="61"/>
  <c r="CY31" i="61"/>
  <c r="CT40" i="61"/>
  <c r="DD48" i="61"/>
  <c r="CX53" i="61"/>
  <c r="CS31" i="61"/>
  <c r="CX35" i="61"/>
  <c r="CX38" i="61"/>
  <c r="DH35" i="61"/>
  <c r="DB50" i="61"/>
  <c r="DD33" i="61"/>
  <c r="CV38" i="61"/>
  <c r="CM43" i="61"/>
  <c r="DE39" i="61"/>
  <c r="CQ52" i="61"/>
  <c r="CQ40" i="61"/>
  <c r="DG39" i="61"/>
  <c r="DB44" i="61"/>
  <c r="CY49" i="61"/>
  <c r="CO47" i="61"/>
  <c r="DE32" i="61"/>
  <c r="DA44" i="61"/>
  <c r="CQ34" i="61"/>
  <c r="DA35" i="61"/>
  <c r="CY50" i="61"/>
  <c r="CN50" i="61"/>
  <c r="CR42" i="61"/>
  <c r="CM33" i="61"/>
  <c r="CR52" i="61"/>
  <c r="DJ35" i="61"/>
  <c r="DG53" i="61"/>
  <c r="DC34" i="61"/>
  <c r="DA46" i="61"/>
  <c r="DE40" i="61"/>
  <c r="CW32" i="61"/>
  <c r="CY32" i="61"/>
  <c r="CO39" i="61"/>
  <c r="CM46" i="61"/>
  <c r="CX30" i="61"/>
  <c r="CX52" i="61"/>
  <c r="DD50" i="61"/>
  <c r="CY52" i="61"/>
  <c r="CW50" i="61"/>
  <c r="CV40" i="61"/>
  <c r="CM30" i="61"/>
  <c r="CS37" i="61"/>
  <c r="CN48" i="61"/>
  <c r="CX51" i="61"/>
  <c r="CU49" i="61"/>
  <c r="CU37" i="61"/>
  <c r="DG36" i="61"/>
  <c r="CL52" i="61"/>
  <c r="CV41" i="61"/>
  <c r="DF43" i="61"/>
  <c r="DG52" i="61"/>
  <c r="DG30" i="61"/>
  <c r="CX43" i="61"/>
  <c r="CY47" i="61"/>
  <c r="CW48" i="61"/>
  <c r="DE41" i="61"/>
  <c r="DH45" i="61"/>
  <c r="CN43" i="61"/>
  <c r="CS30" i="61"/>
  <c r="DF39" i="61"/>
  <c r="CV33" i="61"/>
  <c r="DA32" i="61"/>
  <c r="DI44" i="61"/>
  <c r="DB39" i="61"/>
  <c r="DJ48" i="61"/>
  <c r="CQ37" i="61"/>
  <c r="CL46" i="61"/>
  <c r="DH41" i="61"/>
  <c r="DB30" i="61"/>
  <c r="DI50" i="61"/>
  <c r="DH30" i="61"/>
  <c r="DB42" i="61"/>
  <c r="DI46" i="61"/>
  <c r="CQ39" i="61"/>
  <c r="CY54" i="61"/>
  <c r="CX33" i="61"/>
  <c r="CT48" i="61"/>
  <c r="CU30" i="61"/>
  <c r="CP40" i="61"/>
  <c r="CW51" i="61"/>
  <c r="DG48" i="61"/>
  <c r="DI42" i="61"/>
  <c r="DA47" i="61"/>
  <c r="DD38" i="61"/>
  <c r="CT50" i="61"/>
  <c r="CY45" i="61"/>
  <c r="CV42" i="61"/>
  <c r="DJ51" i="61"/>
  <c r="CP49" i="61"/>
  <c r="DG42" i="61"/>
  <c r="DB37" i="61"/>
  <c r="DJ34" i="61"/>
  <c r="CP35" i="61"/>
  <c r="CV49" i="61"/>
  <c r="CM54" i="61"/>
  <c r="CW40" i="61"/>
  <c r="CZ40" i="61"/>
  <c r="CX41" i="61"/>
  <c r="CU36" i="61"/>
  <c r="DG50" i="61"/>
  <c r="CY53" i="61"/>
  <c r="DH37" i="61"/>
  <c r="CO35" i="61"/>
  <c r="DF34" i="61"/>
  <c r="CY51" i="61"/>
  <c r="DI36" i="61"/>
  <c r="CZ51" i="61"/>
  <c r="CL43" i="61"/>
  <c r="DE44" i="61"/>
  <c r="DA53" i="61"/>
  <c r="CU42" i="61"/>
  <c r="CV43" i="61"/>
  <c r="CX48" i="61"/>
  <c r="DH42" i="61"/>
  <c r="CV50" i="61"/>
  <c r="DH50" i="61"/>
  <c r="CU41" i="61"/>
  <c r="CQ50" i="61"/>
  <c r="DC52" i="61"/>
  <c r="DE48" i="61"/>
  <c r="CV51" i="61"/>
  <c r="DE47" i="61"/>
  <c r="CU54" i="61"/>
  <c r="DI54" i="61"/>
  <c r="CP34" i="61"/>
  <c r="CR41" i="61"/>
  <c r="DJ37" i="61"/>
  <c r="DD47" i="61"/>
  <c r="CO53" i="61"/>
  <c r="CW36" i="61"/>
  <c r="DJ31" i="61"/>
  <c r="DE42" i="61"/>
  <c r="CW34" i="61"/>
  <c r="CW33" i="61"/>
  <c r="DC37" i="61"/>
  <c r="DC49" i="61"/>
  <c r="DF30" i="61"/>
  <c r="CT49" i="61"/>
  <c r="CU44" i="61"/>
  <c r="CS46" i="61"/>
  <c r="CY42" i="61"/>
  <c r="DF49" i="61"/>
  <c r="DF44" i="61"/>
  <c r="CO31" i="61"/>
  <c r="DC42" i="61"/>
  <c r="DH31" i="61"/>
  <c r="CZ42" i="61"/>
  <c r="CN33" i="61"/>
  <c r="CL49" i="61"/>
  <c r="CP50" i="61"/>
  <c r="CV52" i="61"/>
  <c r="CR30" i="61"/>
  <c r="CN54" i="61"/>
  <c r="CY41" i="61"/>
  <c r="CZ46" i="61"/>
  <c r="CU46" i="61"/>
  <c r="CT46" i="61"/>
  <c r="DI31" i="61"/>
  <c r="DC40" i="61"/>
  <c r="CO43" i="61"/>
  <c r="CZ52" i="61"/>
  <c r="CX49" i="61"/>
  <c r="DD51" i="61"/>
  <c r="DA50" i="61"/>
  <c r="CX50" i="61"/>
  <c r="DE51" i="61"/>
  <c r="CU48" i="61"/>
  <c r="CT39" i="61"/>
  <c r="CX31" i="61"/>
  <c r="DF53" i="61"/>
  <c r="DD40" i="61"/>
  <c r="CU34" i="61"/>
  <c r="CN46" i="61"/>
  <c r="DF36" i="61"/>
  <c r="DI53" i="61"/>
  <c r="CU35" i="61"/>
  <c r="CR36" i="61"/>
  <c r="CR49" i="61"/>
  <c r="CL48" i="61"/>
  <c r="DF50" i="61"/>
  <c r="CS35" i="61"/>
  <c r="CP47" i="61"/>
  <c r="CL32" i="61"/>
  <c r="CZ39" i="61"/>
  <c r="DG34" i="61"/>
  <c r="CO34" i="61"/>
  <c r="CL41" i="61"/>
  <c r="CT30" i="61"/>
  <c r="CM44" i="61"/>
  <c r="DE38" i="61"/>
  <c r="DI52" i="61"/>
  <c r="CS34" i="61"/>
  <c r="CY35" i="61"/>
  <c r="DD45" i="61"/>
  <c r="CR50" i="61"/>
  <c r="CZ50" i="61"/>
  <c r="DE46" i="61"/>
  <c r="CO50" i="61"/>
  <c r="DG51" i="61"/>
  <c r="CV31" i="61"/>
  <c r="CS52" i="61"/>
  <c r="CP45" i="61"/>
  <c r="CY46" i="61"/>
  <c r="CW41" i="61"/>
  <c r="CZ37" i="61"/>
  <c r="CV30" i="61"/>
  <c r="DH36" i="61"/>
  <c r="DE52" i="61"/>
  <c r="CQ38" i="61"/>
  <c r="DD42" i="61"/>
  <c r="CL39" i="61"/>
  <c r="DG31" i="61"/>
  <c r="CN34" i="61"/>
  <c r="CT54" i="61"/>
  <c r="CL53" i="61"/>
  <c r="DC44" i="61"/>
  <c r="DF41" i="61"/>
  <c r="DD36" i="61"/>
  <c r="DJ44" i="61"/>
  <c r="DD32" i="61"/>
  <c r="CT51" i="61"/>
  <c r="CW45" i="61"/>
  <c r="DG41" i="61"/>
  <c r="CP36" i="61"/>
  <c r="DI38" i="61"/>
  <c r="CV54" i="61"/>
  <c r="CX32" i="61"/>
  <c r="CX44" i="61"/>
  <c r="CZ33" i="61"/>
  <c r="CX47" i="61"/>
  <c r="DJ49" i="61"/>
  <c r="DJ45" i="61"/>
  <c r="CP31" i="61"/>
  <c r="CW43" i="61"/>
  <c r="DD46" i="61"/>
  <c r="DB52" i="61"/>
  <c r="CZ49" i="61"/>
  <c r="CQ35" i="61"/>
  <c r="DA49" i="61"/>
  <c r="DB47" i="61"/>
  <c r="CM49" i="61"/>
  <c r="DA51" i="61"/>
  <c r="CO46" i="61"/>
  <c r="CM50" i="61"/>
  <c r="DC50" i="61"/>
  <c r="CZ47" i="61"/>
  <c r="CP30" i="61"/>
  <c r="DG35" i="61"/>
  <c r="CZ54" i="61"/>
  <c r="DB53" i="61"/>
  <c r="DH39" i="61"/>
  <c r="CR35" i="61"/>
  <c r="DD44" i="61"/>
  <c r="DE53" i="61"/>
  <c r="DB40" i="61"/>
  <c r="DJ32" i="61"/>
  <c r="DF32" i="61"/>
  <c r="CZ34" i="61"/>
  <c r="CS50" i="61"/>
  <c r="CL50" i="61"/>
  <c r="DD43" i="61"/>
  <c r="CY36" i="61"/>
  <c r="CP44" i="61"/>
  <c r="DG45" i="61"/>
  <c r="DH54" i="61"/>
  <c r="DA45" i="61"/>
  <c r="CN42" i="61"/>
  <c r="DD52" i="61"/>
  <c r="CR33" i="61"/>
  <c r="CU53" i="61"/>
  <c r="DI43" i="61"/>
  <c r="CM34" i="61"/>
  <c r="CN37" i="61"/>
  <c r="CN36" i="61"/>
  <c r="CU50" i="61"/>
  <c r="CM41" i="61"/>
  <c r="DJ50" i="61"/>
  <c r="BL78" i="61"/>
  <c r="J11" i="56" s="1"/>
  <c r="BG24" i="17"/>
  <c r="I47" i="17"/>
  <c r="S23" i="17" s="1"/>
  <c r="BG78" i="61"/>
  <c r="E11" i="56" s="1"/>
  <c r="BG24" i="22"/>
  <c r="I47" i="22"/>
  <c r="S23" i="22" s="1"/>
  <c r="D60" i="61"/>
  <c r="M3" i="51" s="1"/>
  <c r="I196" i="61"/>
  <c r="M196" i="61"/>
  <c r="Q196" i="61"/>
  <c r="U196" i="61"/>
  <c r="Y196" i="61"/>
  <c r="AC196" i="61"/>
  <c r="G196" i="61"/>
  <c r="J196" i="61"/>
  <c r="N196" i="61"/>
  <c r="R196" i="61"/>
  <c r="V196" i="61"/>
  <c r="Z196" i="61"/>
  <c r="AD196" i="61"/>
  <c r="H196" i="61"/>
  <c r="K196" i="61"/>
  <c r="O196" i="61"/>
  <c r="S196" i="61"/>
  <c r="W196" i="61"/>
  <c r="AA196" i="61"/>
  <c r="AE196" i="61"/>
  <c r="L196" i="61"/>
  <c r="P196" i="61"/>
  <c r="T196" i="61"/>
  <c r="X196" i="61"/>
  <c r="AB196" i="61"/>
  <c r="W220" i="61"/>
  <c r="J220" i="61"/>
  <c r="O220" i="61"/>
  <c r="L220" i="61"/>
  <c r="G220" i="61"/>
  <c r="Y220" i="61"/>
  <c r="AC220" i="61"/>
  <c r="AB220" i="61"/>
  <c r="E220" i="61"/>
  <c r="AA220" i="61"/>
  <c r="V220" i="61"/>
  <c r="K220" i="61"/>
  <c r="Z220" i="61"/>
  <c r="T220" i="61"/>
  <c r="X220" i="61"/>
  <c r="Q220" i="61"/>
  <c r="H220" i="61"/>
  <c r="M220" i="61"/>
  <c r="S220" i="61"/>
  <c r="N220" i="61"/>
  <c r="R220" i="61"/>
  <c r="F220" i="61"/>
  <c r="U220" i="61"/>
  <c r="I220" i="61"/>
  <c r="P220" i="61"/>
  <c r="L198" i="61"/>
  <c r="P198" i="61"/>
  <c r="T198" i="61"/>
  <c r="X198" i="61"/>
  <c r="AB198" i="61"/>
  <c r="I198" i="61"/>
  <c r="M198" i="61"/>
  <c r="Q198" i="61"/>
  <c r="U198" i="61"/>
  <c r="Y198" i="61"/>
  <c r="AC198" i="61"/>
  <c r="G198" i="61"/>
  <c r="J198" i="61"/>
  <c r="N198" i="61"/>
  <c r="R198" i="61"/>
  <c r="V198" i="61"/>
  <c r="Z198" i="61"/>
  <c r="AD198" i="61"/>
  <c r="H198" i="61"/>
  <c r="K198" i="61"/>
  <c r="O198" i="61"/>
  <c r="S198" i="61"/>
  <c r="W198" i="61"/>
  <c r="AA198" i="61"/>
  <c r="AE198" i="61"/>
  <c r="M222" i="61"/>
  <c r="W222" i="61"/>
  <c r="AB222" i="61"/>
  <c r="T222" i="61"/>
  <c r="R222" i="61"/>
  <c r="X222" i="61"/>
  <c r="AA222" i="61"/>
  <c r="U222" i="61"/>
  <c r="I222" i="61"/>
  <c r="J222" i="61"/>
  <c r="G222" i="61"/>
  <c r="H222" i="61"/>
  <c r="V222" i="61"/>
  <c r="L222" i="61"/>
  <c r="Z222" i="61"/>
  <c r="K222" i="61"/>
  <c r="Y222" i="61"/>
  <c r="F222" i="61"/>
  <c r="Q222" i="61"/>
  <c r="O222" i="61"/>
  <c r="S222" i="61"/>
  <c r="P222" i="61"/>
  <c r="N222" i="61"/>
  <c r="E222" i="61"/>
  <c r="AC222" i="61"/>
  <c r="H197" i="61"/>
  <c r="L197" i="61"/>
  <c r="P197" i="61"/>
  <c r="T197" i="61"/>
  <c r="X197" i="61"/>
  <c r="AB197" i="61"/>
  <c r="I197" i="61"/>
  <c r="M197" i="61"/>
  <c r="Q197" i="61"/>
  <c r="U197" i="61"/>
  <c r="Y197" i="61"/>
  <c r="AC197" i="61"/>
  <c r="G197" i="61"/>
  <c r="F197" i="61" s="1"/>
  <c r="J197" i="61"/>
  <c r="N197" i="61"/>
  <c r="R197" i="61"/>
  <c r="V197" i="61"/>
  <c r="Z197" i="61"/>
  <c r="AD197" i="61"/>
  <c r="K197" i="61"/>
  <c r="AA197" i="61"/>
  <c r="Q221" i="61"/>
  <c r="J221" i="61"/>
  <c r="AA221" i="61"/>
  <c r="U221" i="61"/>
  <c r="I221" i="61"/>
  <c r="E221" i="61"/>
  <c r="O197" i="61"/>
  <c r="AE197" i="61"/>
  <c r="Z221" i="61"/>
  <c r="F221" i="61"/>
  <c r="L221" i="61"/>
  <c r="AC221" i="61"/>
  <c r="P221" i="61"/>
  <c r="N221" i="61"/>
  <c r="S197" i="61"/>
  <c r="T221" i="61"/>
  <c r="O221" i="61"/>
  <c r="H221" i="61"/>
  <c r="X221" i="61"/>
  <c r="AB221" i="61"/>
  <c r="K221" i="61"/>
  <c r="R221" i="61"/>
  <c r="W197" i="61"/>
  <c r="S221" i="61"/>
  <c r="Y221" i="61"/>
  <c r="V221" i="61"/>
  <c r="M221" i="61"/>
  <c r="G221" i="61"/>
  <c r="W221" i="61"/>
  <c r="S20" i="53"/>
  <c r="S23" i="53"/>
  <c r="S50" i="53" s="1"/>
  <c r="S33" i="53"/>
  <c r="S60" i="53" s="1"/>
  <c r="S24" i="53"/>
  <c r="S51" i="53" s="1"/>
  <c r="BG24" i="53"/>
  <c r="BG20" i="53"/>
  <c r="BG23" i="53"/>
  <c r="BG33" i="53"/>
  <c r="BG25" i="53"/>
  <c r="S25" i="53"/>
  <c r="S52" i="53" s="1"/>
  <c r="A204" i="61"/>
  <c r="C194" i="61"/>
  <c r="S29" i="53"/>
  <c r="S56" i="53" s="1"/>
  <c r="A209" i="61"/>
  <c r="N33" i="60"/>
  <c r="P29" i="60"/>
  <c r="C24" i="60"/>
  <c r="M36" i="60"/>
  <c r="O11" i="60"/>
  <c r="F27" i="60"/>
  <c r="C20" i="60"/>
  <c r="K37" i="60"/>
  <c r="D33" i="60"/>
  <c r="M20" i="60"/>
  <c r="L18" i="60"/>
  <c r="H25" i="60"/>
  <c r="B15" i="60"/>
  <c r="N22" i="60"/>
  <c r="H10" i="60"/>
  <c r="G21" i="60"/>
  <c r="G23" i="60"/>
  <c r="J36" i="60"/>
  <c r="J12" i="60"/>
  <c r="F13" i="60"/>
  <c r="M24" i="60"/>
  <c r="B17" i="60"/>
  <c r="N14" i="60"/>
  <c r="P22" i="60"/>
  <c r="N25" i="60"/>
  <c r="A36" i="60"/>
  <c r="I15" i="60"/>
  <c r="D35" i="60"/>
  <c r="B16" i="60"/>
  <c r="J15" i="60"/>
  <c r="F14" i="60"/>
  <c r="J35" i="60"/>
  <c r="M12" i="60"/>
  <c r="N31" i="60"/>
  <c r="N30" i="60"/>
  <c r="G24" i="60"/>
  <c r="D37" i="60"/>
  <c r="P25" i="60"/>
  <c r="A28" i="60"/>
  <c r="F8" i="60"/>
  <c r="B5" i="60"/>
  <c r="N28" i="60"/>
  <c r="A20" i="60"/>
  <c r="C19" i="60"/>
  <c r="A37" i="60"/>
  <c r="J21" i="60"/>
  <c r="N35" i="60"/>
  <c r="L19" i="60"/>
  <c r="I32" i="60"/>
  <c r="G29" i="60"/>
  <c r="A27" i="60"/>
  <c r="H16" i="60"/>
  <c r="A19" i="60"/>
  <c r="D5" i="60"/>
  <c r="A25" i="60"/>
  <c r="F11" i="60"/>
  <c r="O12" i="60"/>
  <c r="G11" i="60"/>
  <c r="J29" i="60"/>
  <c r="J20" i="60"/>
  <c r="C34" i="60"/>
  <c r="M23" i="60"/>
  <c r="C12" i="60"/>
  <c r="E21" i="60"/>
  <c r="K35" i="60"/>
  <c r="A6" i="60"/>
  <c r="G34" i="60"/>
  <c r="O9" i="60"/>
  <c r="B19" i="60"/>
  <c r="F18" i="60"/>
  <c r="B20" i="60"/>
  <c r="H27" i="60"/>
  <c r="J25" i="60"/>
  <c r="K29" i="60"/>
  <c r="F20" i="60"/>
  <c r="K30" i="60"/>
  <c r="K36" i="60"/>
  <c r="E6" i="60"/>
  <c r="H22" i="60"/>
  <c r="P32" i="60"/>
  <c r="P5" i="60"/>
  <c r="L14" i="60"/>
  <c r="A22" i="60"/>
  <c r="A14" i="60"/>
  <c r="D10" i="60"/>
  <c r="H20" i="60"/>
  <c r="K9" i="60"/>
  <c r="J27" i="60"/>
  <c r="C21" i="60"/>
  <c r="G10" i="60"/>
  <c r="E23" i="60"/>
  <c r="C14" i="60"/>
  <c r="G30" i="60"/>
  <c r="F28" i="60"/>
  <c r="I25" i="60"/>
  <c r="M30" i="60"/>
  <c r="L34" i="60"/>
  <c r="K28" i="60"/>
  <c r="E17" i="60"/>
  <c r="D26" i="60"/>
  <c r="A9" i="60"/>
  <c r="K7" i="60"/>
  <c r="A33" i="60"/>
  <c r="G17" i="60"/>
  <c r="A11" i="60"/>
  <c r="G12" i="60"/>
  <c r="E35" i="60"/>
  <c r="D15" i="60"/>
  <c r="N23" i="60"/>
  <c r="L11" i="60"/>
  <c r="P11" i="60"/>
  <c r="L25" i="60"/>
  <c r="A10" i="60"/>
  <c r="M19" i="60"/>
  <c r="I23" i="60"/>
  <c r="L36" i="60"/>
  <c r="P27" i="60"/>
  <c r="K13" i="60"/>
  <c r="O31" i="60"/>
  <c r="O15" i="60"/>
  <c r="A17" i="60"/>
  <c r="D9" i="60"/>
  <c r="O13" i="60"/>
  <c r="L24" i="60"/>
  <c r="H13" i="60"/>
  <c r="I26" i="60"/>
  <c r="K15" i="60"/>
  <c r="E24" i="60"/>
  <c r="H14" i="60"/>
  <c r="A34" i="60"/>
  <c r="L10" i="60"/>
  <c r="M29" i="60"/>
  <c r="I28" i="60"/>
  <c r="N21" i="60"/>
  <c r="P34" i="60"/>
  <c r="I27" i="60"/>
  <c r="K34" i="60"/>
  <c r="P13" i="60"/>
  <c r="M22" i="60"/>
  <c r="C31" i="60"/>
  <c r="F30" i="60"/>
  <c r="M15" i="60"/>
  <c r="O18" i="60"/>
  <c r="B22" i="60"/>
  <c r="P12" i="60"/>
  <c r="B36" i="60"/>
  <c r="P9" i="60"/>
  <c r="D29" i="60"/>
  <c r="J33" i="60"/>
  <c r="L33" i="60"/>
  <c r="P28" i="60"/>
  <c r="E11" i="60"/>
  <c r="E27" i="60"/>
  <c r="E10" i="60"/>
  <c r="J18" i="60"/>
  <c r="E22" i="60"/>
  <c r="D30" i="60"/>
  <c r="H32" i="60"/>
  <c r="L6" i="60"/>
  <c r="K6" i="60"/>
  <c r="O28" i="60"/>
  <c r="O21" i="60"/>
  <c r="L35" i="60"/>
  <c r="G25" i="60"/>
  <c r="C32" i="60"/>
  <c r="M28" i="60"/>
  <c r="N13" i="60"/>
  <c r="C18" i="60"/>
  <c r="H26" i="60"/>
  <c r="E31" i="60"/>
  <c r="D12" i="60"/>
  <c r="B6" i="60"/>
  <c r="K10" i="60"/>
  <c r="I24" i="60"/>
  <c r="E13" i="60"/>
  <c r="K12" i="60"/>
  <c r="C5" i="60"/>
  <c r="G35" i="60"/>
  <c r="G15" i="60"/>
  <c r="J9" i="60"/>
  <c r="J30" i="60"/>
  <c r="H12" i="60"/>
  <c r="I21" i="60"/>
  <c r="N27" i="60"/>
  <c r="L26" i="60"/>
  <c r="I31" i="60"/>
  <c r="C36" i="60"/>
  <c r="D23" i="60"/>
  <c r="P7" i="60"/>
  <c r="K32" i="60"/>
  <c r="P17" i="60"/>
  <c r="D11" i="60"/>
  <c r="L7" i="60"/>
  <c r="H36" i="60"/>
  <c r="J31" i="60"/>
  <c r="J17" i="60"/>
  <c r="C26" i="60"/>
  <c r="D8" i="60"/>
  <c r="L17" i="60"/>
  <c r="L5" i="60"/>
  <c r="N20" i="60"/>
  <c r="C8" i="60"/>
  <c r="L16" i="60"/>
  <c r="D7" i="60"/>
  <c r="L28" i="60"/>
  <c r="I14" i="60"/>
  <c r="F15" i="60"/>
  <c r="D13" i="60"/>
  <c r="H33" i="60"/>
  <c r="I33" i="60"/>
  <c r="P37" i="60"/>
  <c r="K31" i="60"/>
  <c r="B28" i="60"/>
  <c r="O30" i="60"/>
  <c r="M14" i="60"/>
  <c r="F23" i="60"/>
  <c r="A7" i="60"/>
  <c r="A30" i="60"/>
  <c r="L30" i="60"/>
  <c r="M6" i="60"/>
  <c r="L23" i="60"/>
  <c r="D22" i="60"/>
  <c r="M32" i="60"/>
  <c r="N12" i="60"/>
  <c r="I8" i="60"/>
  <c r="G9" i="60"/>
  <c r="F32" i="60"/>
  <c r="F6" i="60"/>
  <c r="B25" i="60"/>
  <c r="M8" i="60"/>
  <c r="K23" i="60"/>
  <c r="G26" i="60"/>
  <c r="B12" i="60"/>
  <c r="K26" i="60"/>
  <c r="N16" i="60"/>
  <c r="B13" i="60"/>
  <c r="C37" i="60"/>
  <c r="A35" i="60"/>
  <c r="E14" i="60"/>
  <c r="E32" i="60"/>
  <c r="P31" i="60"/>
  <c r="H35" i="60"/>
  <c r="B7" i="60"/>
  <c r="B34" i="60"/>
  <c r="L29" i="60"/>
  <c r="A8" i="60"/>
  <c r="H17" i="60"/>
  <c r="H11" i="60"/>
  <c r="G8" i="60"/>
  <c r="O36" i="60"/>
  <c r="B32" i="60"/>
  <c r="O10" i="60"/>
  <c r="K27" i="60"/>
  <c r="L13" i="60"/>
  <c r="A13" i="60"/>
  <c r="F16" i="60"/>
  <c r="H29" i="60"/>
  <c r="F17" i="60"/>
  <c r="E9" i="60"/>
  <c r="F35" i="60"/>
  <c r="A24" i="60"/>
  <c r="K24" i="60"/>
  <c r="I20" i="60"/>
  <c r="E12" i="60"/>
  <c r="N17" i="60"/>
  <c r="B33" i="60"/>
  <c r="E26" i="60"/>
  <c r="E30" i="60"/>
  <c r="F10" i="60"/>
  <c r="G36" i="60"/>
  <c r="C7" i="60"/>
  <c r="F22" i="60"/>
  <c r="D36" i="60"/>
  <c r="C15" i="60"/>
  <c r="E34" i="60"/>
  <c r="P20" i="60"/>
  <c r="O6" i="60"/>
  <c r="E15" i="60"/>
  <c r="M31" i="60"/>
  <c r="G28" i="60"/>
  <c r="M34" i="60"/>
  <c r="B35" i="60"/>
  <c r="A26" i="60"/>
  <c r="L27" i="60"/>
  <c r="I11" i="60"/>
  <c r="N9" i="60"/>
  <c r="F19" i="60"/>
  <c r="N32" i="60"/>
  <c r="C28" i="60"/>
  <c r="L20" i="60"/>
  <c r="K25" i="60"/>
  <c r="I19" i="60"/>
  <c r="O20" i="60"/>
  <c r="G27" i="60"/>
  <c r="D32" i="60"/>
  <c r="J34" i="60"/>
  <c r="L31" i="60"/>
  <c r="P15" i="60"/>
  <c r="I13" i="60"/>
  <c r="M18" i="60"/>
  <c r="N26" i="60"/>
  <c r="D24" i="60"/>
  <c r="L32" i="60"/>
  <c r="K14" i="60"/>
  <c r="P23" i="60"/>
  <c r="G33" i="60"/>
  <c r="B30" i="60"/>
  <c r="M33" i="60"/>
  <c r="O17" i="60"/>
  <c r="H37" i="60"/>
  <c r="J37" i="60"/>
  <c r="K21" i="60"/>
  <c r="K18" i="60"/>
  <c r="J14" i="60"/>
  <c r="I9" i="60"/>
  <c r="J23" i="60"/>
  <c r="K33" i="60"/>
  <c r="C11" i="60"/>
  <c r="C25" i="60"/>
  <c r="M35" i="60"/>
  <c r="E29" i="60"/>
  <c r="B9" i="60"/>
  <c r="I18" i="60"/>
  <c r="L37" i="60"/>
  <c r="D20" i="60"/>
  <c r="B31" i="60"/>
  <c r="P35" i="60"/>
  <c r="N36" i="60"/>
  <c r="P6" i="60"/>
  <c r="A21" i="60"/>
  <c r="P36" i="60"/>
  <c r="P26" i="60"/>
  <c r="O8" i="60"/>
  <c r="O16" i="60"/>
  <c r="B18" i="60"/>
  <c r="B27" i="60"/>
  <c r="O5" i="60"/>
  <c r="N29" i="60"/>
  <c r="E28" i="60"/>
  <c r="C13" i="60"/>
  <c r="B37" i="60"/>
  <c r="K17" i="60"/>
  <c r="L22" i="60"/>
  <c r="J8" i="60"/>
  <c r="I7" i="60"/>
  <c r="N11" i="60"/>
  <c r="N18" i="60"/>
  <c r="M27" i="60"/>
  <c r="N37" i="60"/>
  <c r="I17" i="60"/>
  <c r="I22" i="60"/>
  <c r="J24" i="60"/>
  <c r="J16" i="60"/>
  <c r="L12" i="60"/>
  <c r="G37" i="60"/>
  <c r="M21" i="60"/>
  <c r="I37" i="60"/>
  <c r="N10" i="60"/>
  <c r="B26" i="60"/>
  <c r="O26" i="60"/>
  <c r="P21" i="60"/>
  <c r="P16" i="60"/>
  <c r="J11" i="60"/>
  <c r="I6" i="60"/>
  <c r="H34" i="60"/>
  <c r="D14" i="60"/>
  <c r="D27" i="60"/>
  <c r="N6" i="60"/>
  <c r="A32" i="60"/>
  <c r="B8" i="60"/>
  <c r="O35" i="60"/>
  <c r="I35" i="60"/>
  <c r="C27" i="60"/>
  <c r="J26" i="60"/>
  <c r="F29" i="60"/>
  <c r="C22" i="60"/>
  <c r="N7" i="60"/>
  <c r="G20" i="60"/>
  <c r="P14" i="60"/>
  <c r="G6" i="60"/>
  <c r="G32" i="60"/>
  <c r="O22" i="60"/>
  <c r="F12" i="60"/>
  <c r="J10" i="60"/>
  <c r="C23" i="60"/>
  <c r="E18" i="60"/>
  <c r="M13" i="60"/>
  <c r="O19" i="60"/>
  <c r="C9" i="60"/>
  <c r="O25" i="60"/>
  <c r="I34" i="60"/>
  <c r="A12" i="60"/>
  <c r="F34" i="60"/>
  <c r="F26" i="60"/>
  <c r="F21" i="60"/>
  <c r="M10" i="60"/>
  <c r="G7" i="60"/>
  <c r="B23" i="60"/>
  <c r="P24" i="60"/>
  <c r="M26" i="60"/>
  <c r="A18" i="60"/>
  <c r="P8" i="60"/>
  <c r="L21" i="60"/>
  <c r="D6" i="60"/>
  <c r="A16" i="60"/>
  <c r="H24" i="60"/>
  <c r="K20" i="60"/>
  <c r="G18" i="60"/>
  <c r="D17" i="60"/>
  <c r="G16" i="60"/>
  <c r="I30" i="60"/>
  <c r="E25" i="60"/>
  <c r="B10" i="60"/>
  <c r="C17" i="60"/>
  <c r="N34" i="60"/>
  <c r="C35" i="60"/>
  <c r="H9" i="60"/>
  <c r="O27" i="60"/>
  <c r="C6" i="60"/>
  <c r="H7" i="60"/>
  <c r="H18" i="60"/>
  <c r="H19" i="60"/>
  <c r="J22" i="60"/>
  <c r="J13" i="60"/>
  <c r="C16" i="60"/>
  <c r="G22" i="60"/>
  <c r="O34" i="60"/>
  <c r="H21" i="60"/>
  <c r="F7" i="60"/>
  <c r="E33" i="60"/>
  <c r="E16" i="60"/>
  <c r="E5" i="60"/>
  <c r="F9" i="60"/>
  <c r="D28" i="60"/>
  <c r="A15" i="60"/>
  <c r="H31" i="60"/>
  <c r="H6" i="60"/>
  <c r="K8" i="60"/>
  <c r="E20" i="60"/>
  <c r="O33" i="60"/>
  <c r="A31" i="60"/>
  <c r="N19" i="60"/>
  <c r="O24" i="60"/>
  <c r="K19" i="60"/>
  <c r="P10" i="60"/>
  <c r="B21" i="60"/>
  <c r="L9" i="60"/>
  <c r="O29" i="60"/>
  <c r="H8" i="60"/>
  <c r="D19" i="60"/>
  <c r="I29" i="60"/>
  <c r="C33" i="60"/>
  <c r="M16" i="60"/>
  <c r="M9" i="60"/>
  <c r="A5" i="60"/>
  <c r="I5" i="60"/>
  <c r="C10" i="60"/>
  <c r="C29" i="60"/>
  <c r="K22" i="60"/>
  <c r="E36" i="60"/>
  <c r="K11" i="60"/>
  <c r="P33" i="60"/>
  <c r="I10" i="60"/>
  <c r="N8" i="60"/>
  <c r="B14" i="60"/>
  <c r="F36" i="60"/>
  <c r="N5" i="60"/>
  <c r="P18" i="60"/>
  <c r="D25" i="60"/>
  <c r="J7" i="60"/>
  <c r="F33" i="60"/>
  <c r="I12" i="60"/>
  <c r="B29" i="60"/>
  <c r="F24" i="60"/>
  <c r="F37" i="60"/>
  <c r="G13" i="60"/>
  <c r="E37" i="60"/>
  <c r="D34" i="60"/>
  <c r="M37" i="60"/>
  <c r="O37" i="60"/>
  <c r="P30" i="60"/>
  <c r="G5" i="60"/>
  <c r="J6" i="60"/>
  <c r="L15" i="60"/>
  <c r="B24" i="60"/>
  <c r="K5" i="60"/>
  <c r="H15" i="60"/>
  <c r="O7" i="60"/>
  <c r="J32" i="60"/>
  <c r="F25" i="60"/>
  <c r="I36" i="60"/>
  <c r="C30" i="60"/>
  <c r="F5" i="60"/>
  <c r="H30" i="60"/>
  <c r="O23" i="60"/>
  <c r="B11" i="60"/>
  <c r="H5" i="60"/>
  <c r="I16" i="60"/>
  <c r="E8" i="60"/>
  <c r="O14" i="60"/>
  <c r="M7" i="60"/>
  <c r="D18" i="60"/>
  <c r="G31" i="60"/>
  <c r="F31" i="60"/>
  <c r="J19" i="60"/>
  <c r="J28" i="60"/>
  <c r="K16" i="60"/>
  <c r="A23" i="60"/>
  <c r="D16" i="60"/>
  <c r="E19" i="60"/>
  <c r="H23" i="60"/>
  <c r="G14" i="60"/>
  <c r="L8" i="60"/>
  <c r="P19" i="60"/>
  <c r="O32" i="60"/>
  <c r="E7" i="60"/>
  <c r="H28" i="60"/>
  <c r="G19" i="60"/>
  <c r="A29" i="60"/>
  <c r="N24" i="60"/>
  <c r="M25" i="60"/>
  <c r="D21" i="60"/>
  <c r="J5" i="60"/>
  <c r="N15" i="60"/>
  <c r="D31" i="60"/>
  <c r="M17" i="60"/>
  <c r="M5" i="60"/>
  <c r="M11" i="60"/>
  <c r="L203" i="61"/>
  <c r="P203" i="61"/>
  <c r="T203" i="61"/>
  <c r="X203" i="61"/>
  <c r="AB203" i="61"/>
  <c r="K227" i="61"/>
  <c r="J227" i="61"/>
  <c r="AC227" i="61"/>
  <c r="O227" i="61"/>
  <c r="Z227" i="61"/>
  <c r="AA227" i="61"/>
  <c r="I203" i="61"/>
  <c r="M203" i="61"/>
  <c r="Q203" i="61"/>
  <c r="U203" i="61"/>
  <c r="Y203" i="61"/>
  <c r="AC203" i="61"/>
  <c r="G227" i="61"/>
  <c r="L227" i="61"/>
  <c r="AB227" i="61"/>
  <c r="I227" i="61"/>
  <c r="H227" i="61"/>
  <c r="X227" i="61"/>
  <c r="G203" i="61"/>
  <c r="J203" i="61"/>
  <c r="N203" i="61"/>
  <c r="R203" i="61"/>
  <c r="V203" i="61"/>
  <c r="Z203" i="61"/>
  <c r="AD203" i="61"/>
  <c r="V227" i="61"/>
  <c r="Y227" i="61"/>
  <c r="S227" i="61"/>
  <c r="W227" i="61"/>
  <c r="P227" i="61"/>
  <c r="R227" i="61"/>
  <c r="H203" i="61"/>
  <c r="K203" i="61"/>
  <c r="O203" i="61"/>
  <c r="S203" i="61"/>
  <c r="W203" i="61"/>
  <c r="AA203" i="61"/>
  <c r="AE203" i="61"/>
  <c r="U227" i="61"/>
  <c r="E227" i="61"/>
  <c r="F227" i="61"/>
  <c r="M227" i="61"/>
  <c r="N227" i="61"/>
  <c r="T227" i="61"/>
  <c r="Q227" i="61"/>
  <c r="D56" i="61"/>
  <c r="M11" i="51" s="1"/>
  <c r="C204" i="61"/>
  <c r="P228" i="61" s="1"/>
  <c r="BG29" i="53"/>
  <c r="H193" i="61"/>
  <c r="K193" i="61"/>
  <c r="O193" i="61"/>
  <c r="S193" i="61"/>
  <c r="W193" i="61"/>
  <c r="AA193" i="61"/>
  <c r="AE193" i="61"/>
  <c r="L193" i="61"/>
  <c r="P193" i="61"/>
  <c r="T193" i="61"/>
  <c r="X193" i="61"/>
  <c r="AB193" i="61"/>
  <c r="M193" i="61"/>
  <c r="U193" i="61"/>
  <c r="AC193" i="61"/>
  <c r="G193" i="61"/>
  <c r="N193" i="61"/>
  <c r="V193" i="61"/>
  <c r="AD193" i="61"/>
  <c r="I193" i="61"/>
  <c r="Q193" i="61"/>
  <c r="Y193" i="61"/>
  <c r="J193" i="61"/>
  <c r="R193" i="61"/>
  <c r="Z193" i="61"/>
  <c r="F217" i="61"/>
  <c r="E217" i="61"/>
  <c r="P217" i="61"/>
  <c r="Q217" i="61"/>
  <c r="M217" i="61"/>
  <c r="T217" i="61"/>
  <c r="AC217" i="61"/>
  <c r="O217" i="61"/>
  <c r="H217" i="61"/>
  <c r="Z217" i="61"/>
  <c r="G217" i="61"/>
  <c r="AA217" i="61"/>
  <c r="U217" i="61"/>
  <c r="Y217" i="61"/>
  <c r="W217" i="61"/>
  <c r="R217" i="61"/>
  <c r="AB217" i="61"/>
  <c r="L217" i="61"/>
  <c r="S217" i="61"/>
  <c r="K217" i="61"/>
  <c r="X217" i="61"/>
  <c r="N217" i="61"/>
  <c r="J217" i="61"/>
  <c r="V217" i="61"/>
  <c r="I217" i="61"/>
  <c r="J228" i="61"/>
  <c r="C207" i="61"/>
  <c r="B194" i="61"/>
  <c r="A194" i="61"/>
  <c r="D59" i="61"/>
  <c r="M14" i="51" s="1"/>
  <c r="B207" i="61"/>
  <c r="A207" i="61"/>
  <c r="C209" i="61"/>
  <c r="F233" i="61" s="1"/>
  <c r="K204" i="61" l="1"/>
  <c r="N228" i="61"/>
  <c r="K228" i="61"/>
  <c r="L228" i="61"/>
  <c r="P204" i="61"/>
  <c r="N204" i="61"/>
  <c r="H228" i="61"/>
  <c r="M204" i="61"/>
  <c r="I228" i="61"/>
  <c r="J204" i="61"/>
  <c r="BL82" i="61"/>
  <c r="J15" i="56" s="1"/>
  <c r="D53" i="61" s="1"/>
  <c r="M8" i="51" s="1"/>
  <c r="BG26" i="17"/>
  <c r="I49" i="17"/>
  <c r="S25" i="17" s="1"/>
  <c r="BL84" i="61" s="1"/>
  <c r="J17" i="56" s="1"/>
  <c r="I48" i="17"/>
  <c r="S24" i="17" s="1"/>
  <c r="BL83" i="61" s="1"/>
  <c r="J16" i="56" s="1"/>
  <c r="BG25" i="17"/>
  <c r="I48" i="19"/>
  <c r="S24" i="19" s="1"/>
  <c r="BJ83" i="61" s="1"/>
  <c r="H16" i="56" s="1"/>
  <c r="BG25" i="19"/>
  <c r="I49" i="19"/>
  <c r="S25" i="19" s="1"/>
  <c r="BJ84" i="61" s="1"/>
  <c r="H17" i="56" s="1"/>
  <c r="BJ82" i="61"/>
  <c r="H15" i="56" s="1"/>
  <c r="BG26" i="19"/>
  <c r="BN82" i="61"/>
  <c r="L15" i="56" s="1"/>
  <c r="BG25" i="15"/>
  <c r="I49" i="15"/>
  <c r="S25" i="15" s="1"/>
  <c r="BN84" i="61" s="1"/>
  <c r="L17" i="56" s="1"/>
  <c r="BG26" i="15"/>
  <c r="I48" i="15"/>
  <c r="S24" i="15" s="1"/>
  <c r="BN83" i="61" s="1"/>
  <c r="L16" i="56" s="1"/>
  <c r="I48" i="25"/>
  <c r="S24" i="25" s="1"/>
  <c r="BD83" i="61" s="1"/>
  <c r="B16" i="56" s="1"/>
  <c r="BG25" i="25"/>
  <c r="I49" i="25"/>
  <c r="S25" i="25" s="1"/>
  <c r="BD84" i="61" s="1"/>
  <c r="B17" i="56" s="1"/>
  <c r="BD82" i="61"/>
  <c r="B15" i="56" s="1"/>
  <c r="BG26" i="25"/>
  <c r="BG26" i="22"/>
  <c r="BG82" i="61"/>
  <c r="E15" i="56" s="1"/>
  <c r="BG25" i="22"/>
  <c r="I49" i="22"/>
  <c r="S25" i="22" s="1"/>
  <c r="BG84" i="61" s="1"/>
  <c r="E17" i="56" s="1"/>
  <c r="I48" i="22"/>
  <c r="S24" i="22" s="1"/>
  <c r="BG83" i="61" s="1"/>
  <c r="E16" i="56" s="1"/>
  <c r="BG26" i="21"/>
  <c r="BH82" i="61"/>
  <c r="F15" i="56" s="1"/>
  <c r="BG25" i="21"/>
  <c r="I48" i="21"/>
  <c r="S24" i="21" s="1"/>
  <c r="BH83" i="61" s="1"/>
  <c r="F16" i="56" s="1"/>
  <c r="I49" i="21"/>
  <c r="S25" i="21" s="1"/>
  <c r="BH84" i="61" s="1"/>
  <c r="F17" i="56" s="1"/>
  <c r="BG25" i="24"/>
  <c r="BE82" i="61"/>
  <c r="C15" i="56" s="1"/>
  <c r="BG26" i="24"/>
  <c r="I49" i="24"/>
  <c r="S25" i="24" s="1"/>
  <c r="BE84" i="61" s="1"/>
  <c r="C17" i="56" s="1"/>
  <c r="I48" i="24"/>
  <c r="S24" i="24" s="1"/>
  <c r="BE83" i="61" s="1"/>
  <c r="C16" i="56" s="1"/>
  <c r="C195" i="61"/>
  <c r="BF82" i="61"/>
  <c r="D15" i="56" s="1"/>
  <c r="BG25" i="23"/>
  <c r="I49" i="23"/>
  <c r="S25" i="23" s="1"/>
  <c r="BF84" i="61" s="1"/>
  <c r="D17" i="56" s="1"/>
  <c r="I48" i="23"/>
  <c r="S24" i="23" s="1"/>
  <c r="BF83" i="61" s="1"/>
  <c r="D16" i="56" s="1"/>
  <c r="BG26" i="23"/>
  <c r="AL159" i="61"/>
  <c r="AU159" i="61"/>
  <c r="AI166" i="61"/>
  <c r="AU169" i="61"/>
  <c r="AN165" i="61"/>
  <c r="AD167" i="61"/>
  <c r="AT160" i="61"/>
  <c r="AN163" i="61"/>
  <c r="AF158" i="61"/>
  <c r="AG171" i="61"/>
  <c r="AL179" i="61"/>
  <c r="AF169" i="61"/>
  <c r="AQ164" i="61"/>
  <c r="AC177" i="61"/>
  <c r="AO180" i="61"/>
  <c r="BA161" i="61"/>
  <c r="AM170" i="61"/>
  <c r="AW158" i="61"/>
  <c r="AG178" i="61"/>
  <c r="AO157" i="61"/>
  <c r="BA166" i="61"/>
  <c r="AX171" i="61"/>
  <c r="AE159" i="61"/>
  <c r="AW179" i="61"/>
  <c r="AI169" i="61"/>
  <c r="AX164" i="61"/>
  <c r="AR177" i="61"/>
  <c r="AH160" i="61"/>
  <c r="AX174" i="61"/>
  <c r="AR156" i="61"/>
  <c r="AJ173" i="61"/>
  <c r="AZ157" i="61"/>
  <c r="AP168" i="61"/>
  <c r="AE164" i="61"/>
  <c r="AQ175" i="61"/>
  <c r="AC180" i="61"/>
  <c r="AO161" i="61"/>
  <c r="BA163" i="61"/>
  <c r="AK158" i="61"/>
  <c r="AW173" i="61"/>
  <c r="AC157" i="61"/>
  <c r="AO166" i="61"/>
  <c r="BA169" i="61"/>
  <c r="AP165" i="61"/>
  <c r="AT159" i="61"/>
  <c r="AE157" i="61"/>
  <c r="AQ166" i="61"/>
  <c r="AF172" i="61"/>
  <c r="AV165" i="61"/>
  <c r="AL167" i="61"/>
  <c r="AF161" i="61"/>
  <c r="AV163" i="61"/>
  <c r="AN158" i="61"/>
  <c r="AW171" i="61"/>
  <c r="AT179" i="61"/>
  <c r="AN169" i="61"/>
  <c r="AY164" i="61"/>
  <c r="AK177" i="61"/>
  <c r="AW180" i="61"/>
  <c r="AI174" i="61"/>
  <c r="AU170" i="61"/>
  <c r="AE162" i="61"/>
  <c r="AF171" i="61"/>
  <c r="AM157" i="61"/>
  <c r="AY166" i="61"/>
  <c r="AN172" i="61"/>
  <c r="AD175" i="61"/>
  <c r="AT167" i="61"/>
  <c r="AN161" i="61"/>
  <c r="AD170" i="61"/>
  <c r="AV158" i="61"/>
  <c r="AK159" i="61"/>
  <c r="AF166" i="61"/>
  <c r="AV169" i="61"/>
  <c r="AG165" i="61"/>
  <c r="AS177" i="61"/>
  <c r="AE160" i="61"/>
  <c r="AQ174" i="61"/>
  <c r="AC156" i="61"/>
  <c r="AM162" i="61"/>
  <c r="AW178" i="61"/>
  <c r="AE179" i="61"/>
  <c r="AQ168" i="61"/>
  <c r="AP159" i="61"/>
  <c r="AZ159" i="61"/>
  <c r="AM166" i="61"/>
  <c r="AY169" i="61"/>
  <c r="AR165" i="61"/>
  <c r="AH167" i="61"/>
  <c r="AX160" i="61"/>
  <c r="AR163" i="61"/>
  <c r="AJ158" i="61"/>
  <c r="AO171" i="61"/>
  <c r="AP179" i="61"/>
  <c r="AJ169" i="61"/>
  <c r="AU164" i="61"/>
  <c r="AG177" i="61"/>
  <c r="AS180" i="61"/>
  <c r="AE174" i="61"/>
  <c r="AQ170" i="61"/>
  <c r="BA158" i="61"/>
  <c r="AK178" i="61"/>
  <c r="AS157" i="61"/>
  <c r="AE168" i="61"/>
  <c r="AP172" i="61"/>
  <c r="AJ175" i="61"/>
  <c r="AN171" i="61"/>
  <c r="AU157" i="61"/>
  <c r="AG168" i="61"/>
  <c r="AV172" i="61"/>
  <c r="AL175" i="61"/>
  <c r="AF180" i="61"/>
  <c r="AV161" i="61"/>
  <c r="AL170" i="61"/>
  <c r="AD162" i="61"/>
  <c r="AV159" i="61"/>
  <c r="AN166" i="61"/>
  <c r="AC172" i="61"/>
  <c r="AO165" i="61"/>
  <c r="BA177" i="61"/>
  <c r="AM160" i="61"/>
  <c r="AY174" i="61"/>
  <c r="AK156" i="61"/>
  <c r="AU162" i="61"/>
  <c r="AI171" i="61"/>
  <c r="AM179" i="61"/>
  <c r="AY168" i="61"/>
  <c r="AX159" i="61"/>
  <c r="AI157" i="61"/>
  <c r="AU166" i="61"/>
  <c r="AJ172" i="61"/>
  <c r="AZ165" i="61"/>
  <c r="AP167" i="61"/>
  <c r="AJ161" i="61"/>
  <c r="AZ163" i="61"/>
  <c r="AR158" i="61"/>
  <c r="AF159" i="61"/>
  <c r="AX179" i="61"/>
  <c r="AR169" i="61"/>
  <c r="AC165" i="61"/>
  <c r="AO177" i="61"/>
  <c r="BA180" i="61"/>
  <c r="AM174" i="61"/>
  <c r="AY170" i="61"/>
  <c r="AI162" i="61"/>
  <c r="AD171" i="61"/>
  <c r="AV171" i="61"/>
  <c r="AC179" i="61"/>
  <c r="AO168" i="61"/>
  <c r="AD164" i="61"/>
  <c r="AT175" i="61"/>
  <c r="AN180" i="61"/>
  <c r="AD174" i="61"/>
  <c r="AT170" i="61"/>
  <c r="AL162" i="61"/>
  <c r="AF157" i="61"/>
  <c r="AV166" i="61"/>
  <c r="AK172" i="61"/>
  <c r="AW165" i="61"/>
  <c r="AI167" i="61"/>
  <c r="AU160" i="61"/>
  <c r="AG163" i="61"/>
  <c r="AS156" i="61"/>
  <c r="AC173" i="61"/>
  <c r="AY171" i="61"/>
  <c r="AU179" i="61"/>
  <c r="AG169" i="61"/>
  <c r="AJ171" i="61"/>
  <c r="AQ157" i="61"/>
  <c r="AC168" i="61"/>
  <c r="AR172" i="61"/>
  <c r="AH175" i="61"/>
  <c r="AX167" i="61"/>
  <c r="AR161" i="61"/>
  <c r="AH170" i="61"/>
  <c r="AZ158" i="61"/>
  <c r="AQ159" i="61"/>
  <c r="AJ166" i="61"/>
  <c r="AZ169" i="61"/>
  <c r="AK165" i="61"/>
  <c r="AW177" i="61"/>
  <c r="AI160" i="61"/>
  <c r="AU174" i="61"/>
  <c r="AG156" i="61"/>
  <c r="AQ162" i="61"/>
  <c r="BA178" i="61"/>
  <c r="AI179" i="61"/>
  <c r="AU168" i="61"/>
  <c r="AJ164" i="61"/>
  <c r="AL171" i="61"/>
  <c r="AE171" i="61"/>
  <c r="AK179" i="61"/>
  <c r="AW168" i="61"/>
  <c r="AL164" i="61"/>
  <c r="AF177" i="61"/>
  <c r="AV180" i="61"/>
  <c r="AL174" i="61"/>
  <c r="AF156" i="61"/>
  <c r="AT162" i="61"/>
  <c r="AN157" i="61"/>
  <c r="AD168" i="61"/>
  <c r="AS172" i="61"/>
  <c r="AE175" i="61"/>
  <c r="AQ167" i="61"/>
  <c r="AC161" i="61"/>
  <c r="AO163" i="61"/>
  <c r="BA156" i="61"/>
  <c r="AK173" i="61"/>
  <c r="AM159" i="61"/>
  <c r="AC166" i="61"/>
  <c r="AO169" i="61"/>
  <c r="AR171" i="61"/>
  <c r="AY157" i="61"/>
  <c r="AK168" i="61"/>
  <c r="AZ172" i="61"/>
  <c r="AP175" i="61"/>
  <c r="AT171" i="61"/>
  <c r="AU171" i="61"/>
  <c r="AS179" i="61"/>
  <c r="AE169" i="61"/>
  <c r="AT164" i="61"/>
  <c r="AN177" i="61"/>
  <c r="AD160" i="61"/>
  <c r="AT174" i="61"/>
  <c r="AN156" i="61"/>
  <c r="AF173" i="61"/>
  <c r="AV157" i="61"/>
  <c r="AL168" i="61"/>
  <c r="BA172" i="61"/>
  <c r="AM175" i="61"/>
  <c r="AY167" i="61"/>
  <c r="AK161" i="61"/>
  <c r="AW163" i="61"/>
  <c r="AG158" i="61"/>
  <c r="AS173" i="61"/>
  <c r="AW159" i="61"/>
  <c r="AK166" i="61"/>
  <c r="AH171" i="61"/>
  <c r="AZ171" i="61"/>
  <c r="AG179" i="61"/>
  <c r="AS168" i="61"/>
  <c r="AH164" i="61"/>
  <c r="AX175" i="61"/>
  <c r="AR180" i="61"/>
  <c r="AH174" i="61"/>
  <c r="AX170" i="61"/>
  <c r="AP162" i="61"/>
  <c r="AJ157" i="61"/>
  <c r="AZ166" i="61"/>
  <c r="AO172" i="61"/>
  <c r="BA165" i="61"/>
  <c r="AM167" i="61"/>
  <c r="AY160" i="61"/>
  <c r="AK163" i="61"/>
  <c r="AW156" i="61"/>
  <c r="AG173" i="61"/>
  <c r="AG159" i="61"/>
  <c r="AY179" i="61"/>
  <c r="AK169" i="61"/>
  <c r="AZ164" i="61"/>
  <c r="AD159" i="61"/>
  <c r="AJ159" i="61"/>
  <c r="BA179" i="61"/>
  <c r="AM169" i="61"/>
  <c r="AF165" i="61"/>
  <c r="AV177" i="61"/>
  <c r="AL160" i="61"/>
  <c r="AF163" i="61"/>
  <c r="AV156" i="61"/>
  <c r="AN173" i="61"/>
  <c r="AD179" i="61"/>
  <c r="AT168" i="61"/>
  <c r="AI164" i="61"/>
  <c r="AU175" i="61"/>
  <c r="AG180" i="61"/>
  <c r="AS161" i="61"/>
  <c r="AE170" i="61"/>
  <c r="AO158" i="61"/>
  <c r="BA173" i="61"/>
  <c r="AG157" i="61"/>
  <c r="AS166" i="61"/>
  <c r="AP171" i="61"/>
  <c r="AM171" i="61"/>
  <c r="AO179" i="61"/>
  <c r="BA168" i="61"/>
  <c r="AP164" i="61"/>
  <c r="AJ177" i="61"/>
  <c r="AZ180" i="61"/>
  <c r="AP174" i="61"/>
  <c r="AJ156" i="61"/>
  <c r="AX162" i="61"/>
  <c r="AR157" i="61"/>
  <c r="AH168" i="61"/>
  <c r="AW172" i="61"/>
  <c r="AI175" i="61"/>
  <c r="AU167" i="61"/>
  <c r="AG161" i="61"/>
  <c r="AS163" i="61"/>
  <c r="AC158" i="61"/>
  <c r="AO173" i="61"/>
  <c r="AR159" i="61"/>
  <c r="AG166" i="61"/>
  <c r="AS169" i="61"/>
  <c r="AH159" i="61"/>
  <c r="AJ165" i="61"/>
  <c r="AZ161" i="61"/>
  <c r="AH162" i="61"/>
  <c r="AR166" i="61"/>
  <c r="AS165" i="61"/>
  <c r="AQ160" i="61"/>
  <c r="AO156" i="61"/>
  <c r="AS178" i="61"/>
  <c r="AQ179" i="61"/>
  <c r="AH172" i="61"/>
  <c r="AX165" i="61"/>
  <c r="AR167" i="61"/>
  <c r="AH161" i="61"/>
  <c r="AX163" i="61"/>
  <c r="AP158" i="61"/>
  <c r="AV175" i="61"/>
  <c r="AJ160" i="61"/>
  <c r="AT163" i="61"/>
  <c r="AJ162" i="61"/>
  <c r="AN159" i="61"/>
  <c r="AH166" i="61"/>
  <c r="AX169" i="61"/>
  <c r="AM165" i="61"/>
  <c r="AY177" i="61"/>
  <c r="AK160" i="61"/>
  <c r="AW174" i="61"/>
  <c r="AI156" i="61"/>
  <c r="AW162" i="61"/>
  <c r="AN178" i="61"/>
  <c r="AN176" i="61"/>
  <c r="AG176" i="61"/>
  <c r="AT165" i="61"/>
  <c r="AP180" i="61"/>
  <c r="AD163" i="61"/>
  <c r="AT158" i="61"/>
  <c r="BA171" i="61"/>
  <c r="AV179" i="61"/>
  <c r="AL169" i="61"/>
  <c r="BA164" i="61"/>
  <c r="AM177" i="61"/>
  <c r="AY180" i="61"/>
  <c r="AK174" i="61"/>
  <c r="AW170" i="61"/>
  <c r="AK162" i="61"/>
  <c r="AY178" i="61"/>
  <c r="AZ176" i="61"/>
  <c r="AE176" i="61"/>
  <c r="AV164" i="61"/>
  <c r="AZ167" i="61"/>
  <c r="AN174" i="61"/>
  <c r="AD158" i="61"/>
  <c r="AC171" i="61"/>
  <c r="AJ179" i="61"/>
  <c r="AZ168" i="61"/>
  <c r="AO164" i="61"/>
  <c r="BA175" i="61"/>
  <c r="AM180" i="61"/>
  <c r="AY161" i="61"/>
  <c r="AK170" i="61"/>
  <c r="AY158" i="61"/>
  <c r="AM178" i="61"/>
  <c r="AD178" i="61"/>
  <c r="AR176" i="61"/>
  <c r="AD165" i="61"/>
  <c r="AD180" i="61"/>
  <c r="AV174" i="61"/>
  <c r="AH158" i="61"/>
  <c r="AK171" i="61"/>
  <c r="AN179" i="61"/>
  <c r="AD169" i="61"/>
  <c r="AS164" i="61"/>
  <c r="AE177" i="61"/>
  <c r="AQ180" i="61"/>
  <c r="AC174" i="61"/>
  <c r="AO170" i="61"/>
  <c r="AC162" i="61"/>
  <c r="AQ178" i="61"/>
  <c r="AL178" i="61"/>
  <c r="AF176" i="61"/>
  <c r="AO178" i="61"/>
  <c r="AO159" i="61"/>
  <c r="AZ177" i="61"/>
  <c r="AJ163" i="61"/>
  <c r="AR173" i="61"/>
  <c r="AX168" i="61"/>
  <c r="AY175" i="61"/>
  <c r="AW161" i="61"/>
  <c r="AS158" i="61"/>
  <c r="AQ171" i="61"/>
  <c r="AW166" i="61"/>
  <c r="AX172" i="61"/>
  <c r="AR175" i="61"/>
  <c r="AH180" i="61"/>
  <c r="AX161" i="61"/>
  <c r="AR170" i="61"/>
  <c r="AW169" i="61"/>
  <c r="AP177" i="61"/>
  <c r="AD161" i="61"/>
  <c r="AV170" i="61"/>
  <c r="AZ162" i="61"/>
  <c r="AH157" i="61"/>
  <c r="AX166" i="61"/>
  <c r="AQ172" i="61"/>
  <c r="AC175" i="61"/>
  <c r="AO167" i="61"/>
  <c r="BA160" i="61"/>
  <c r="AM163" i="61"/>
  <c r="AY156" i="61"/>
  <c r="AM173" i="61"/>
  <c r="AP178" i="61"/>
  <c r="AK176" i="61"/>
  <c r="AD176" i="61"/>
  <c r="AZ175" i="61"/>
  <c r="AN160" i="61"/>
  <c r="AF170" i="61"/>
  <c r="AN162" i="61"/>
  <c r="AS159" i="61"/>
  <c r="AL166" i="61"/>
  <c r="AE172" i="61"/>
  <c r="AQ165" i="61"/>
  <c r="AC167" i="61"/>
  <c r="AO160" i="61"/>
  <c r="BA174" i="61"/>
  <c r="AM156" i="61"/>
  <c r="BA162" i="61"/>
  <c r="AV178" i="61"/>
  <c r="AU176" i="61"/>
  <c r="BA176" i="61"/>
  <c r="AF175" i="61"/>
  <c r="AT180" i="61"/>
  <c r="AL163" i="61"/>
  <c r="AX158" i="61"/>
  <c r="AC159" i="61"/>
  <c r="AZ179" i="61"/>
  <c r="AP169" i="61"/>
  <c r="AE165" i="61"/>
  <c r="AQ177" i="61"/>
  <c r="AC160" i="61"/>
  <c r="AO174" i="61"/>
  <c r="BA170" i="61"/>
  <c r="AO162" i="61"/>
  <c r="AV173" i="61"/>
  <c r="AP176" i="61"/>
  <c r="AV176" i="61"/>
  <c r="AN175" i="61"/>
  <c r="AF160" i="61"/>
  <c r="AP163" i="61"/>
  <c r="AF162" i="61"/>
  <c r="AI159" i="61"/>
  <c r="AD166" i="61"/>
  <c r="AT169" i="61"/>
  <c r="AI165" i="61"/>
  <c r="AU177" i="61"/>
  <c r="AG160" i="61"/>
  <c r="AS174" i="61"/>
  <c r="AE156" i="61"/>
  <c r="AS162" i="61"/>
  <c r="AF178" i="61"/>
  <c r="AI176" i="61"/>
  <c r="AQ176" i="61"/>
  <c r="AW157" i="61"/>
  <c r="AE166" i="61"/>
  <c r="AJ180" i="61"/>
  <c r="AP170" i="61"/>
  <c r="BA159" i="61"/>
  <c r="AG172" i="61"/>
  <c r="AE167" i="61"/>
  <c r="AC163" i="61"/>
  <c r="AY162" i="61"/>
  <c r="AK157" i="61"/>
  <c r="AM168" i="61"/>
  <c r="AR164" i="61"/>
  <c r="AH177" i="61"/>
  <c r="AX180" i="61"/>
  <c r="AR174" i="61"/>
  <c r="AH156" i="61"/>
  <c r="AF164" i="61"/>
  <c r="AN167" i="61"/>
  <c r="AF174" i="61"/>
  <c r="AP156" i="61"/>
  <c r="AP173" i="61"/>
  <c r="AX157" i="61"/>
  <c r="AR168" i="61"/>
  <c r="AG164" i="61"/>
  <c r="AS175" i="61"/>
  <c r="AE180" i="61"/>
  <c r="AQ161" i="61"/>
  <c r="AC170" i="61"/>
  <c r="AQ158" i="61"/>
  <c r="AE178" i="61"/>
  <c r="AR178" i="61"/>
  <c r="AO176" i="61"/>
  <c r="AD172" i="61"/>
  <c r="AT177" i="61"/>
  <c r="AL161" i="61"/>
  <c r="AZ170" i="61"/>
  <c r="AD173" i="61"/>
  <c r="AL157" i="61"/>
  <c r="AF168" i="61"/>
  <c r="AU172" i="61"/>
  <c r="AG175" i="61"/>
  <c r="AS167" i="61"/>
  <c r="AE161" i="61"/>
  <c r="AQ163" i="61"/>
  <c r="AE158" i="61"/>
  <c r="AQ173" i="61"/>
  <c r="AX178" i="61"/>
  <c r="AY176" i="61"/>
  <c r="AL176" i="61"/>
  <c r="AD177" i="61"/>
  <c r="AV160" i="61"/>
  <c r="AJ170" i="61"/>
  <c r="AR162" i="61"/>
  <c r="AY159" i="61"/>
  <c r="AP166" i="61"/>
  <c r="AI172" i="61"/>
  <c r="AU165" i="61"/>
  <c r="AG167" i="61"/>
  <c r="AS160" i="61"/>
  <c r="AE163" i="61"/>
  <c r="AQ156" i="61"/>
  <c r="AE173" i="61"/>
  <c r="AX173" i="61"/>
  <c r="AS176" i="61"/>
  <c r="AJ176" i="61"/>
  <c r="AL177" i="61"/>
  <c r="AZ160" i="61"/>
  <c r="AN170" i="61"/>
  <c r="AV162" i="61"/>
  <c r="AD157" i="61"/>
  <c r="AT166" i="61"/>
  <c r="AM172" i="61"/>
  <c r="AY165" i="61"/>
  <c r="AK167" i="61"/>
  <c r="AW160" i="61"/>
  <c r="AI163" i="61"/>
  <c r="AU156" i="61"/>
  <c r="AI173" i="61"/>
  <c r="AH178" i="61"/>
  <c r="AX176" i="61"/>
  <c r="AM176" i="61"/>
  <c r="AI168" i="61"/>
  <c r="AQ169" i="61"/>
  <c r="AP160" i="61"/>
  <c r="AZ156" i="61"/>
  <c r="AH179" i="61"/>
  <c r="AM164" i="61"/>
  <c r="AK180" i="61"/>
  <c r="AI170" i="61"/>
  <c r="AC178" i="61"/>
  <c r="BA157" i="61"/>
  <c r="AC169" i="61"/>
  <c r="AH165" i="61"/>
  <c r="AX177" i="61"/>
  <c r="AR160" i="61"/>
  <c r="AH163" i="61"/>
  <c r="AX156" i="61"/>
  <c r="AL165" i="61"/>
  <c r="AL180" i="61"/>
  <c r="AZ174" i="61"/>
  <c r="AL158" i="61"/>
  <c r="AS171" i="61"/>
  <c r="AR179" i="61"/>
  <c r="AH169" i="61"/>
  <c r="AW164" i="61"/>
  <c r="AI177" i="61"/>
  <c r="AU180" i="61"/>
  <c r="AG174" i="61"/>
  <c r="AS170" i="61"/>
  <c r="AG162" i="61"/>
  <c r="AU178" i="61"/>
  <c r="AT178" i="61"/>
  <c r="AT176" i="61"/>
  <c r="AN164" i="61"/>
  <c r="AV167" i="61"/>
  <c r="AJ174" i="61"/>
  <c r="AT156" i="61"/>
  <c r="AT173" i="61"/>
  <c r="AF179" i="61"/>
  <c r="AV168" i="61"/>
  <c r="AK164" i="61"/>
  <c r="AW175" i="61"/>
  <c r="AI180" i="61"/>
  <c r="AU161" i="61"/>
  <c r="AG170" i="61"/>
  <c r="AU158" i="61"/>
  <c r="AI178" i="61"/>
  <c r="AZ178" i="61"/>
  <c r="AC176" i="61"/>
  <c r="AL172" i="61"/>
  <c r="AF167" i="61"/>
  <c r="AP161" i="61"/>
  <c r="AD156" i="61"/>
  <c r="AH173" i="61"/>
  <c r="AP157" i="61"/>
  <c r="AJ168" i="61"/>
  <c r="AY172" i="61"/>
  <c r="AK175" i="61"/>
  <c r="AW167" i="61"/>
  <c r="AI161" i="61"/>
  <c r="AU163" i="61"/>
  <c r="AI158" i="61"/>
  <c r="AU173" i="61"/>
  <c r="AZ173" i="61"/>
  <c r="AW176" i="61"/>
  <c r="AT172" i="61"/>
  <c r="AJ167" i="61"/>
  <c r="AT161" i="61"/>
  <c r="AL156" i="61"/>
  <c r="AL173" i="61"/>
  <c r="AT157" i="61"/>
  <c r="AN168" i="61"/>
  <c r="AC164" i="61"/>
  <c r="P15" i="62" s="1"/>
  <c r="AO175" i="61"/>
  <c r="BA167" i="61"/>
  <c r="AM161" i="61"/>
  <c r="AY163" i="61"/>
  <c r="AM158" i="61"/>
  <c r="AY173" i="61"/>
  <c r="AJ178" i="61"/>
  <c r="AH176" i="61"/>
  <c r="I49" i="14"/>
  <c r="S25" i="14" s="1"/>
  <c r="BO84" i="61" s="1"/>
  <c r="M17" i="56" s="1"/>
  <c r="I48" i="14"/>
  <c r="S24" i="14" s="1"/>
  <c r="BO83" i="61" s="1"/>
  <c r="M16" i="56" s="1"/>
  <c r="BG26" i="14"/>
  <c r="BO82" i="61"/>
  <c r="M15" i="56" s="1"/>
  <c r="BG25" i="14"/>
  <c r="I49" i="18"/>
  <c r="S25" i="18" s="1"/>
  <c r="BK84" i="61" s="1"/>
  <c r="I17" i="56" s="1"/>
  <c r="I48" i="18"/>
  <c r="S24" i="18" s="1"/>
  <c r="BK83" i="61" s="1"/>
  <c r="I16" i="56" s="1"/>
  <c r="BG25" i="18"/>
  <c r="BK82" i="61"/>
  <c r="I15" i="56" s="1"/>
  <c r="BG26" i="18"/>
  <c r="BI82" i="61"/>
  <c r="G15" i="56" s="1"/>
  <c r="BG26" i="20"/>
  <c r="I48" i="20"/>
  <c r="S24" i="20" s="1"/>
  <c r="BI83" i="61" s="1"/>
  <c r="G16" i="56" s="1"/>
  <c r="I49" i="20"/>
  <c r="S25" i="20" s="1"/>
  <c r="BI84" i="61" s="1"/>
  <c r="G17" i="56" s="1"/>
  <c r="BG25" i="20"/>
  <c r="BG25" i="16"/>
  <c r="BM82" i="61"/>
  <c r="K15" i="56" s="1"/>
  <c r="BG26" i="16"/>
  <c r="I48" i="16"/>
  <c r="S24" i="16" s="1"/>
  <c r="BM83" i="61" s="1"/>
  <c r="K16" i="56" s="1"/>
  <c r="I49" i="16"/>
  <c r="S25" i="16" s="1"/>
  <c r="BM84" i="61" s="1"/>
  <c r="K17" i="56" s="1"/>
  <c r="B195" i="61"/>
  <c r="A195" i="61"/>
  <c r="L204" i="61"/>
  <c r="E228" i="61"/>
  <c r="F193" i="61"/>
  <c r="G228" i="61"/>
  <c r="I204" i="61"/>
  <c r="M228" i="61"/>
  <c r="O209" i="61"/>
  <c r="E233" i="61"/>
  <c r="R209" i="61"/>
  <c r="G204" i="61"/>
  <c r="O204" i="61"/>
  <c r="O233" i="61"/>
  <c r="G209" i="61"/>
  <c r="L194" i="61"/>
  <c r="I194" i="61"/>
  <c r="N194" i="61"/>
  <c r="R194" i="61"/>
  <c r="V194" i="61"/>
  <c r="Z194" i="61"/>
  <c r="AD194" i="61"/>
  <c r="J194" i="61"/>
  <c r="O194" i="61"/>
  <c r="S194" i="61"/>
  <c r="W194" i="61"/>
  <c r="AA194" i="61"/>
  <c r="AE194" i="61"/>
  <c r="G194" i="61"/>
  <c r="K194" i="61"/>
  <c r="P194" i="61"/>
  <c r="T194" i="61"/>
  <c r="X194" i="61"/>
  <c r="AB194" i="61"/>
  <c r="H194" i="61"/>
  <c r="M194" i="61"/>
  <c r="Q194" i="61"/>
  <c r="U194" i="61"/>
  <c r="Y194" i="61"/>
  <c r="AC194" i="61"/>
  <c r="G218" i="61"/>
  <c r="N218" i="61"/>
  <c r="R218" i="61"/>
  <c r="P218" i="61"/>
  <c r="AC218" i="61"/>
  <c r="S218" i="61"/>
  <c r="T218" i="61"/>
  <c r="AB218" i="61"/>
  <c r="V218" i="61"/>
  <c r="Q218" i="61"/>
  <c r="E218" i="61"/>
  <c r="X218" i="61"/>
  <c r="M218" i="61"/>
  <c r="AA218" i="61"/>
  <c r="J218" i="61"/>
  <c r="O218" i="61"/>
  <c r="Z218" i="61"/>
  <c r="K218" i="61"/>
  <c r="Y218" i="61"/>
  <c r="I218" i="61"/>
  <c r="F218" i="61"/>
  <c r="W218" i="61"/>
  <c r="H218" i="61"/>
  <c r="U218" i="61"/>
  <c r="L218" i="61"/>
  <c r="N209" i="61"/>
  <c r="K233" i="61"/>
  <c r="Q204" i="61"/>
  <c r="L209" i="61"/>
  <c r="H233" i="61"/>
  <c r="BG27" i="53"/>
  <c r="BG26" i="53"/>
  <c r="S27" i="53"/>
  <c r="S54" i="53" s="1"/>
  <c r="S26" i="53"/>
  <c r="S53" i="53" s="1"/>
  <c r="G207" i="61"/>
  <c r="J207" i="61"/>
  <c r="N207" i="61"/>
  <c r="R207" i="61"/>
  <c r="V207" i="61"/>
  <c r="Z207" i="61"/>
  <c r="AD207" i="61"/>
  <c r="I207" i="61"/>
  <c r="M207" i="61"/>
  <c r="Q207" i="61"/>
  <c r="U207" i="61"/>
  <c r="Y207" i="61"/>
  <c r="AC207" i="61"/>
  <c r="H207" i="61"/>
  <c r="O207" i="61"/>
  <c r="W207" i="61"/>
  <c r="AE207" i="61"/>
  <c r="P207" i="61"/>
  <c r="X207" i="61"/>
  <c r="K207" i="61"/>
  <c r="S207" i="61"/>
  <c r="AA207" i="61"/>
  <c r="L207" i="61"/>
  <c r="T207" i="61"/>
  <c r="AB207" i="61"/>
  <c r="M231" i="61"/>
  <c r="S231" i="61"/>
  <c r="R231" i="61"/>
  <c r="X231" i="61"/>
  <c r="V231" i="61"/>
  <c r="AC231" i="61"/>
  <c r="AB231" i="61"/>
  <c r="AA231" i="61"/>
  <c r="T231" i="61"/>
  <c r="G231" i="61"/>
  <c r="E231" i="61"/>
  <c r="P231" i="61"/>
  <c r="U231" i="61"/>
  <c r="Y231" i="61"/>
  <c r="Q231" i="61"/>
  <c r="Z231" i="61"/>
  <c r="N231" i="61"/>
  <c r="W231" i="61"/>
  <c r="J231" i="61"/>
  <c r="L231" i="61"/>
  <c r="O231" i="61"/>
  <c r="K231" i="61"/>
  <c r="F231" i="61"/>
  <c r="H231" i="61"/>
  <c r="I231" i="61"/>
  <c r="M233" i="61"/>
  <c r="Q209" i="61"/>
  <c r="P233" i="61"/>
  <c r="M209" i="61"/>
  <c r="N233" i="61"/>
  <c r="J209" i="61"/>
  <c r="S47" i="53"/>
  <c r="F196" i="61"/>
  <c r="CD82" i="61" s="1"/>
  <c r="I233" i="61"/>
  <c r="G233" i="61"/>
  <c r="P209" i="61"/>
  <c r="F228" i="61"/>
  <c r="F198" i="61"/>
  <c r="CE72" i="61" s="1"/>
  <c r="S209" i="61"/>
  <c r="W209" i="61"/>
  <c r="AA209" i="61"/>
  <c r="AE209" i="61"/>
  <c r="V209" i="61"/>
  <c r="Z209" i="61"/>
  <c r="AD209" i="61"/>
  <c r="T209" i="61"/>
  <c r="AB209" i="61"/>
  <c r="U209" i="61"/>
  <c r="AC209" i="61"/>
  <c r="X209" i="61"/>
  <c r="Y209" i="61"/>
  <c r="R233" i="61"/>
  <c r="Q233" i="61"/>
  <c r="X233" i="61"/>
  <c r="U233" i="61"/>
  <c r="T233" i="61"/>
  <c r="S233" i="61"/>
  <c r="Z233" i="61"/>
  <c r="W233" i="61"/>
  <c r="AC233" i="61"/>
  <c r="V233" i="61"/>
  <c r="Y233" i="61"/>
  <c r="AB233" i="61"/>
  <c r="AA233" i="61"/>
  <c r="L233" i="61"/>
  <c r="K209" i="61"/>
  <c r="CD79" i="61"/>
  <c r="S204" i="61"/>
  <c r="W204" i="61"/>
  <c r="AA204" i="61"/>
  <c r="AE204" i="61"/>
  <c r="T204" i="61"/>
  <c r="X204" i="61"/>
  <c r="AB204" i="61"/>
  <c r="V204" i="61"/>
  <c r="Z204" i="61"/>
  <c r="AD204" i="61"/>
  <c r="Y204" i="61"/>
  <c r="AC204" i="61"/>
  <c r="U204" i="61"/>
  <c r="AB228" i="61"/>
  <c r="Y228" i="61"/>
  <c r="W228" i="61"/>
  <c r="R228" i="61"/>
  <c r="Q228" i="61"/>
  <c r="AC228" i="61"/>
  <c r="S228" i="61"/>
  <c r="Z228" i="61"/>
  <c r="T228" i="61"/>
  <c r="U228" i="61"/>
  <c r="X228" i="61"/>
  <c r="V228" i="61"/>
  <c r="AA228" i="61"/>
  <c r="I209" i="61"/>
  <c r="O228" i="61"/>
  <c r="F203" i="61"/>
  <c r="CE77" i="61" s="1"/>
  <c r="J233" i="61"/>
  <c r="H209" i="61"/>
  <c r="H204" i="61"/>
  <c r="F204" i="61" s="1"/>
  <c r="BG35" i="53"/>
  <c r="S35" i="53"/>
  <c r="S62" i="53" s="1"/>
  <c r="CD83" i="61"/>
  <c r="R204" i="61"/>
  <c r="P9" i="62" l="1"/>
  <c r="P7" i="62"/>
  <c r="A199" i="61"/>
  <c r="B199" i="61"/>
  <c r="C200" i="61"/>
  <c r="M224" i="61" s="1"/>
  <c r="K195" i="61"/>
  <c r="S195" i="61"/>
  <c r="L195" i="61"/>
  <c r="AB195" i="61"/>
  <c r="U195" i="61"/>
  <c r="J195" i="61"/>
  <c r="Z195" i="61"/>
  <c r="J219" i="61"/>
  <c r="R219" i="61"/>
  <c r="X219" i="61"/>
  <c r="S219" i="61"/>
  <c r="F219" i="61"/>
  <c r="Q219" i="61"/>
  <c r="W195" i="61"/>
  <c r="I195" i="61"/>
  <c r="Y195" i="61"/>
  <c r="N195" i="61"/>
  <c r="AD195" i="61"/>
  <c r="AB219" i="61"/>
  <c r="K219" i="61"/>
  <c r="E219" i="61"/>
  <c r="G219" i="61"/>
  <c r="M195" i="61"/>
  <c r="I219" i="61"/>
  <c r="T219" i="61"/>
  <c r="U219" i="61"/>
  <c r="P195" i="61"/>
  <c r="L219" i="61"/>
  <c r="O219" i="61"/>
  <c r="AA195" i="61"/>
  <c r="T195" i="61"/>
  <c r="R195" i="61"/>
  <c r="M219" i="61"/>
  <c r="AA219" i="61"/>
  <c r="H195" i="61"/>
  <c r="AC195" i="61"/>
  <c r="H219" i="61"/>
  <c r="AC219" i="61"/>
  <c r="O195" i="61"/>
  <c r="AE195" i="61"/>
  <c r="X195" i="61"/>
  <c r="Q195" i="61"/>
  <c r="G195" i="61"/>
  <c r="F195" i="61" s="1"/>
  <c r="V195" i="61"/>
  <c r="P219" i="61"/>
  <c r="W219" i="61"/>
  <c r="Y219" i="61"/>
  <c r="N219" i="61"/>
  <c r="Z219" i="61"/>
  <c r="V219" i="61"/>
  <c r="J224" i="61"/>
  <c r="P29" i="62"/>
  <c r="P11" i="62"/>
  <c r="P25" i="62"/>
  <c r="P17" i="62"/>
  <c r="P19" i="62"/>
  <c r="P23" i="62"/>
  <c r="P28" i="62"/>
  <c r="F224" i="61"/>
  <c r="H200" i="61"/>
  <c r="A200" i="61"/>
  <c r="C199" i="61"/>
  <c r="Q200" i="61"/>
  <c r="O224" i="61"/>
  <c r="P27" i="62"/>
  <c r="P10" i="62"/>
  <c r="P18" i="62"/>
  <c r="P12" i="62"/>
  <c r="P8" i="62"/>
  <c r="A201" i="61"/>
  <c r="B201" i="61"/>
  <c r="C201" i="61"/>
  <c r="P200" i="61"/>
  <c r="N224" i="61"/>
  <c r="L224" i="61"/>
  <c r="N200" i="61"/>
  <c r="P20" i="62"/>
  <c r="P21" i="62"/>
  <c r="P14" i="62"/>
  <c r="P26" i="62"/>
  <c r="P13" i="62"/>
  <c r="P22" i="62"/>
  <c r="P24" i="62"/>
  <c r="P30" i="62"/>
  <c r="P16" i="62"/>
  <c r="P31" i="62"/>
  <c r="K200" i="61"/>
  <c r="I224" i="61"/>
  <c r="H224" i="61"/>
  <c r="J200" i="61"/>
  <c r="CE78" i="61"/>
  <c r="BG30" i="53"/>
  <c r="S30" i="53"/>
  <c r="F194" i="61"/>
  <c r="CD80" i="61" s="1"/>
  <c r="F207" i="61"/>
  <c r="CE81" i="61" s="1"/>
  <c r="F209" i="61"/>
  <c r="CE83" i="61" s="1"/>
  <c r="L200" i="61" l="1"/>
  <c r="CD81" i="61"/>
  <c r="I200" i="61"/>
  <c r="T224" i="61"/>
  <c r="U224" i="61"/>
  <c r="AC224" i="61"/>
  <c r="T200" i="61"/>
  <c r="Z224" i="61"/>
  <c r="AC200" i="61"/>
  <c r="W200" i="61"/>
  <c r="E224" i="61"/>
  <c r="K224" i="61"/>
  <c r="S224" i="61"/>
  <c r="Z200" i="61"/>
  <c r="V224" i="61"/>
  <c r="R224" i="61"/>
  <c r="X200" i="61"/>
  <c r="W224" i="61"/>
  <c r="Q224" i="61"/>
  <c r="G200" i="61"/>
  <c r="F200" i="61" s="1"/>
  <c r="AA200" i="61"/>
  <c r="AA224" i="61"/>
  <c r="AD200" i="61"/>
  <c r="AE200" i="61"/>
  <c r="U200" i="61"/>
  <c r="AB200" i="61"/>
  <c r="M200" i="61"/>
  <c r="X224" i="61"/>
  <c r="V200" i="61"/>
  <c r="AB224" i="61"/>
  <c r="Y200" i="61"/>
  <c r="S200" i="61"/>
  <c r="Y224" i="61"/>
  <c r="G224" i="61"/>
  <c r="O199" i="61"/>
  <c r="AE199" i="61"/>
  <c r="X199" i="61"/>
  <c r="Q199" i="61"/>
  <c r="G199" i="61"/>
  <c r="V199" i="61"/>
  <c r="Y223" i="61"/>
  <c r="T223" i="61"/>
  <c r="S223" i="61"/>
  <c r="W223" i="61"/>
  <c r="AB223" i="61"/>
  <c r="J223" i="61"/>
  <c r="S199" i="61"/>
  <c r="L199" i="61"/>
  <c r="AB199" i="61"/>
  <c r="U199" i="61"/>
  <c r="J199" i="61"/>
  <c r="Z199" i="61"/>
  <c r="V223" i="61"/>
  <c r="Q223" i="61"/>
  <c r="E223" i="61"/>
  <c r="AC223" i="61"/>
  <c r="P223" i="61"/>
  <c r="I223" i="61"/>
  <c r="H199" i="61"/>
  <c r="W199" i="61"/>
  <c r="P199" i="61"/>
  <c r="I199" i="61"/>
  <c r="Y199" i="61"/>
  <c r="N199" i="61"/>
  <c r="AD199" i="61"/>
  <c r="N223" i="61"/>
  <c r="AA223" i="61"/>
  <c r="U223" i="61"/>
  <c r="L223" i="61"/>
  <c r="X223" i="61"/>
  <c r="G223" i="61"/>
  <c r="K199" i="61"/>
  <c r="AA199" i="61"/>
  <c r="T199" i="61"/>
  <c r="M199" i="61"/>
  <c r="AC199" i="61"/>
  <c r="R199" i="61"/>
  <c r="R223" i="61"/>
  <c r="K223" i="61"/>
  <c r="Z223" i="61"/>
  <c r="H223" i="61"/>
  <c r="O223" i="61"/>
  <c r="F223" i="61"/>
  <c r="M223" i="61"/>
  <c r="P224" i="61"/>
  <c r="M201" i="61"/>
  <c r="AC201" i="61"/>
  <c r="R201" i="61"/>
  <c r="H201" i="61"/>
  <c r="W201" i="61"/>
  <c r="P201" i="61"/>
  <c r="H225" i="61"/>
  <c r="AA225" i="61"/>
  <c r="P225" i="61"/>
  <c r="E225" i="61"/>
  <c r="Z225" i="61"/>
  <c r="R225" i="61"/>
  <c r="M225" i="61"/>
  <c r="Q201" i="61"/>
  <c r="G201" i="61"/>
  <c r="V201" i="61"/>
  <c r="K201" i="61"/>
  <c r="AA201" i="61"/>
  <c r="T201" i="61"/>
  <c r="N225" i="61"/>
  <c r="T225" i="61"/>
  <c r="U225" i="61"/>
  <c r="AC225" i="61"/>
  <c r="V225" i="61"/>
  <c r="W225" i="61"/>
  <c r="U201" i="61"/>
  <c r="J201" i="61"/>
  <c r="Z201" i="61"/>
  <c r="O201" i="61"/>
  <c r="AE201" i="61"/>
  <c r="X201" i="61"/>
  <c r="S225" i="61"/>
  <c r="O225" i="61"/>
  <c r="I225" i="61"/>
  <c r="Y225" i="61"/>
  <c r="J225" i="61"/>
  <c r="AB225" i="61"/>
  <c r="I201" i="61"/>
  <c r="Y201" i="61"/>
  <c r="N201" i="61"/>
  <c r="AD201" i="61"/>
  <c r="S201" i="61"/>
  <c r="L201" i="61"/>
  <c r="AB201" i="61"/>
  <c r="L225" i="61"/>
  <c r="X225" i="61"/>
  <c r="G225" i="61"/>
  <c r="Q225" i="61"/>
  <c r="F225" i="61"/>
  <c r="K225" i="61"/>
  <c r="O200" i="61"/>
  <c r="R200" i="61"/>
  <c r="S57" i="53"/>
  <c r="S15" i="60" a="1"/>
  <c r="F201" i="61" l="1"/>
  <c r="CE75" i="61" s="1"/>
  <c r="CE74" i="61"/>
  <c r="F199" i="61"/>
  <c r="CE73" i="61" s="1"/>
  <c r="S20" i="60"/>
  <c r="S37" i="60"/>
  <c r="S34" i="60"/>
  <c r="S29" i="60"/>
  <c r="S27" i="60"/>
  <c r="S24" i="60"/>
  <c r="S15" i="60"/>
  <c r="S32" i="60"/>
  <c r="S19" i="60"/>
  <c r="S33" i="60"/>
  <c r="S25" i="60"/>
  <c r="S26" i="60"/>
  <c r="S35" i="60"/>
  <c r="S16" i="60"/>
  <c r="S22" i="60"/>
  <c r="S23" i="60"/>
  <c r="S21" i="60"/>
  <c r="S36" i="60"/>
  <c r="S17" i="60"/>
  <c r="S31" i="60"/>
  <c r="S28" i="60"/>
  <c r="S18" i="60"/>
  <c r="S30" i="60"/>
</calcChain>
</file>

<file path=xl/comments1.xml><?xml version="1.0" encoding="utf-8"?>
<comments xmlns="http://schemas.openxmlformats.org/spreadsheetml/2006/main">
  <authors>
    <author>Abdul Rahim Ovingal</author>
  </authors>
  <commentList>
    <comment ref="E4" authorId="0">
      <text>
        <r>
          <rPr>
            <b/>
            <sz val="9"/>
            <color indexed="81"/>
            <rFont val="Tahoma"/>
            <family val="2"/>
          </rPr>
          <t>Breadth:</t>
        </r>
        <r>
          <rPr>
            <sz val="9"/>
            <color indexed="81"/>
            <rFont val="Tahoma"/>
            <family val="2"/>
          </rPr>
          <t xml:space="preserve">
(Automatically adjusted with offset)</t>
        </r>
      </text>
    </comment>
  </commentList>
</comments>
</file>

<file path=xl/sharedStrings.xml><?xml version="1.0" encoding="utf-8"?>
<sst xmlns="http://schemas.openxmlformats.org/spreadsheetml/2006/main" count="20035" uniqueCount="396">
  <si>
    <t>WL</t>
  </si>
  <si>
    <t>WL Count</t>
  </si>
  <si>
    <t>UPPER</t>
  </si>
  <si>
    <t>LOWER(FWD)</t>
  </si>
  <si>
    <t>Full</t>
  </si>
  <si>
    <t>Table 1</t>
  </si>
  <si>
    <t>Table 2</t>
  </si>
  <si>
    <t>Waterline Spacing (t)</t>
  </si>
  <si>
    <t>m</t>
  </si>
  <si>
    <t>STN</t>
  </si>
  <si>
    <t>1/2 Ord</t>
  </si>
  <si>
    <t>SM</t>
  </si>
  <si>
    <t>f(A)</t>
  </si>
  <si>
    <t>Lever</t>
  </si>
  <si>
    <t>f(M)</t>
  </si>
  <si>
    <t>f(IL)</t>
  </si>
  <si>
    <r>
      <t>(1/2 Ord)</t>
    </r>
    <r>
      <rPr>
        <b/>
        <sz val="11"/>
        <color theme="1"/>
        <rFont val="Calibri"/>
        <family val="2"/>
      </rPr>
      <t>³</t>
    </r>
  </si>
  <si>
    <r>
      <t>f(I</t>
    </r>
    <r>
      <rPr>
        <b/>
        <sz val="6"/>
        <color theme="1"/>
        <rFont val="Calibri"/>
        <family val="2"/>
        <scheme val="minor"/>
      </rPr>
      <t>T</t>
    </r>
    <r>
      <rPr>
        <b/>
        <sz val="11"/>
        <color theme="1"/>
        <rFont val="Calibri"/>
        <family val="2"/>
        <scheme val="minor"/>
      </rPr>
      <t>)</t>
    </r>
  </si>
  <si>
    <t>Area</t>
  </si>
  <si>
    <t>f(V)</t>
  </si>
  <si>
    <t>Moment</t>
  </si>
  <si>
    <t>f(MT)</t>
  </si>
  <si>
    <t>f(ML)</t>
  </si>
  <si>
    <t>Station Spacing (h)</t>
  </si>
  <si>
    <t>Half</t>
  </si>
  <si>
    <t>1/2 STNS</t>
  </si>
  <si>
    <t>LBP</t>
  </si>
  <si>
    <t>B</t>
  </si>
  <si>
    <t>D</t>
  </si>
  <si>
    <t>Current B</t>
  </si>
  <si>
    <r>
      <t>L</t>
    </r>
    <r>
      <rPr>
        <b/>
        <vertAlign val="subscript"/>
        <sz val="8"/>
        <rFont val="Arial"/>
        <family val="2"/>
      </rPr>
      <t>WL</t>
    </r>
  </si>
  <si>
    <t>Particulars</t>
  </si>
  <si>
    <t>Formula</t>
  </si>
  <si>
    <t>Value</t>
  </si>
  <si>
    <r>
      <t>A</t>
    </r>
    <r>
      <rPr>
        <sz val="8"/>
        <color theme="1"/>
        <rFont val="Calibri"/>
        <family val="2"/>
        <scheme val="minor"/>
      </rPr>
      <t>WP</t>
    </r>
  </si>
  <si>
    <r>
      <t>2/3*h*</t>
    </r>
    <r>
      <rPr>
        <sz val="9"/>
        <color indexed="8"/>
        <rFont val="Calibri"/>
        <family val="2"/>
      </rPr>
      <t>∑F</t>
    </r>
    <r>
      <rPr>
        <sz val="9"/>
        <color indexed="8"/>
        <rFont val="Calibri"/>
        <family val="2"/>
      </rPr>
      <t>(A)</t>
    </r>
  </si>
  <si>
    <r>
      <t>M</t>
    </r>
    <r>
      <rPr>
        <sz val="8"/>
        <color theme="1"/>
        <rFont val="Calibri"/>
        <family val="2"/>
        <scheme val="minor"/>
      </rPr>
      <t>mid</t>
    </r>
  </si>
  <si>
    <r>
      <t>2/3*h</t>
    </r>
    <r>
      <rPr>
        <vertAlign val="superscript"/>
        <sz val="9"/>
        <color indexed="8"/>
        <rFont val="Calibri"/>
        <family val="2"/>
      </rPr>
      <t>2</t>
    </r>
    <r>
      <rPr>
        <sz val="9"/>
        <color indexed="8"/>
        <rFont val="Calibri"/>
        <family val="2"/>
      </rPr>
      <t>*</t>
    </r>
    <r>
      <rPr>
        <sz val="9"/>
        <color indexed="8"/>
        <rFont val="Calibri"/>
        <family val="2"/>
      </rPr>
      <t>∑</t>
    </r>
    <r>
      <rPr>
        <sz val="9"/>
        <color indexed="8"/>
        <rFont val="Calibri"/>
        <family val="2"/>
      </rPr>
      <t>F(M)</t>
    </r>
  </si>
  <si>
    <r>
      <t>2*h*</t>
    </r>
    <r>
      <rPr>
        <sz val="9"/>
        <color indexed="8"/>
        <rFont val="Calibri"/>
        <family val="2"/>
      </rPr>
      <t>∑F</t>
    </r>
    <r>
      <rPr>
        <sz val="9"/>
        <color indexed="8"/>
        <rFont val="Calibri"/>
        <family val="2"/>
      </rPr>
      <t>(A)</t>
    </r>
  </si>
  <si>
    <t>LCF (FROM MIDSHIP)</t>
  </si>
  <si>
    <t>M mid / Awp</t>
  </si>
  <si>
    <r>
      <t>2*h</t>
    </r>
    <r>
      <rPr>
        <vertAlign val="superscript"/>
        <sz val="9"/>
        <color indexed="8"/>
        <rFont val="Calibri"/>
        <family val="2"/>
      </rPr>
      <t>2</t>
    </r>
    <r>
      <rPr>
        <sz val="9"/>
        <color indexed="8"/>
        <rFont val="Calibri"/>
        <family val="2"/>
      </rPr>
      <t>*</t>
    </r>
    <r>
      <rPr>
        <sz val="9"/>
        <color indexed="8"/>
        <rFont val="Calibri"/>
        <family val="2"/>
      </rPr>
      <t>∑</t>
    </r>
    <r>
      <rPr>
        <sz val="9"/>
        <color indexed="8"/>
        <rFont val="Calibri"/>
        <family val="2"/>
      </rPr>
      <t>F(M)</t>
    </r>
  </si>
  <si>
    <r>
      <t>I</t>
    </r>
    <r>
      <rPr>
        <b/>
        <vertAlign val="subscript"/>
        <sz val="8"/>
        <rFont val="Arial"/>
        <family val="2"/>
      </rPr>
      <t>L</t>
    </r>
  </si>
  <si>
    <r>
      <t>2/3*h</t>
    </r>
    <r>
      <rPr>
        <vertAlign val="superscript"/>
        <sz val="9"/>
        <color indexed="8"/>
        <rFont val="Calibri"/>
        <family val="2"/>
      </rPr>
      <t>3</t>
    </r>
    <r>
      <rPr>
        <sz val="9"/>
        <color indexed="8"/>
        <rFont val="Calibri"/>
        <family val="2"/>
      </rPr>
      <t>*</t>
    </r>
    <r>
      <rPr>
        <sz val="9"/>
        <color indexed="8"/>
        <rFont val="Calibri"/>
        <family val="2"/>
      </rPr>
      <t>∑</t>
    </r>
    <r>
      <rPr>
        <sz val="9"/>
        <color indexed="8"/>
        <rFont val="Calibri"/>
        <family val="2"/>
      </rPr>
      <t>F(I</t>
    </r>
    <r>
      <rPr>
        <vertAlign val="subscript"/>
        <sz val="9"/>
        <color indexed="8"/>
        <rFont val="Calibri"/>
        <family val="2"/>
      </rPr>
      <t>L</t>
    </r>
    <r>
      <rPr>
        <sz val="9"/>
        <color indexed="8"/>
        <rFont val="Calibri"/>
        <family val="2"/>
      </rPr>
      <t>)</t>
    </r>
  </si>
  <si>
    <r>
      <rPr>
        <b/>
        <sz val="8"/>
        <rFont val="Arial"/>
        <family val="2"/>
      </rPr>
      <t>I</t>
    </r>
    <r>
      <rPr>
        <b/>
        <vertAlign val="subscript"/>
        <sz val="8"/>
        <rFont val="Arial"/>
        <family val="2"/>
      </rPr>
      <t>T</t>
    </r>
  </si>
  <si>
    <r>
      <t>2/9*h*</t>
    </r>
    <r>
      <rPr>
        <sz val="9"/>
        <color indexed="8"/>
        <rFont val="Calibri"/>
        <family val="2"/>
      </rPr>
      <t>∑</t>
    </r>
    <r>
      <rPr>
        <sz val="9"/>
        <color indexed="8"/>
        <rFont val="Calibri"/>
        <family val="2"/>
      </rPr>
      <t>F(I</t>
    </r>
    <r>
      <rPr>
        <vertAlign val="subscript"/>
        <sz val="9"/>
        <color indexed="8"/>
        <rFont val="Calibri"/>
        <family val="2"/>
      </rPr>
      <t>T</t>
    </r>
    <r>
      <rPr>
        <sz val="9"/>
        <color indexed="8"/>
        <rFont val="Calibri"/>
        <family val="2"/>
      </rPr>
      <t>)</t>
    </r>
  </si>
  <si>
    <r>
      <t>2*h</t>
    </r>
    <r>
      <rPr>
        <vertAlign val="superscript"/>
        <sz val="9"/>
        <color indexed="8"/>
        <rFont val="Calibri"/>
        <family val="2"/>
      </rPr>
      <t>3</t>
    </r>
    <r>
      <rPr>
        <sz val="9"/>
        <color indexed="8"/>
        <rFont val="Calibri"/>
        <family val="2"/>
      </rPr>
      <t>*</t>
    </r>
    <r>
      <rPr>
        <sz val="9"/>
        <color indexed="8"/>
        <rFont val="Calibri"/>
        <family val="2"/>
      </rPr>
      <t>∑</t>
    </r>
    <r>
      <rPr>
        <sz val="9"/>
        <color indexed="8"/>
        <rFont val="Calibri"/>
        <family val="2"/>
      </rPr>
      <t>F(I</t>
    </r>
    <r>
      <rPr>
        <vertAlign val="subscript"/>
        <sz val="9"/>
        <color indexed="8"/>
        <rFont val="Calibri"/>
        <family val="2"/>
      </rPr>
      <t>L</t>
    </r>
    <r>
      <rPr>
        <sz val="9"/>
        <color indexed="8"/>
        <rFont val="Calibri"/>
        <family val="2"/>
      </rPr>
      <t>)</t>
    </r>
  </si>
  <si>
    <r>
      <t>I</t>
    </r>
    <r>
      <rPr>
        <b/>
        <vertAlign val="subscript"/>
        <sz val="8"/>
        <rFont val="Arial"/>
        <family val="2"/>
      </rPr>
      <t>F</t>
    </r>
  </si>
  <si>
    <r>
      <t>I</t>
    </r>
    <r>
      <rPr>
        <vertAlign val="subscript"/>
        <sz val="9"/>
        <color indexed="8"/>
        <rFont val="Calibri"/>
        <family val="2"/>
      </rPr>
      <t>L</t>
    </r>
    <r>
      <rPr>
        <sz val="9"/>
        <color indexed="8"/>
        <rFont val="Calibri"/>
        <family val="2"/>
      </rPr>
      <t>- Awp *(LCF)</t>
    </r>
    <r>
      <rPr>
        <vertAlign val="superscript"/>
        <sz val="9"/>
        <color indexed="8"/>
        <rFont val="Calibri"/>
        <family val="2"/>
      </rPr>
      <t>2</t>
    </r>
  </si>
  <si>
    <r>
      <t>2/3*h*</t>
    </r>
    <r>
      <rPr>
        <sz val="9"/>
        <color indexed="8"/>
        <rFont val="Calibri"/>
        <family val="2"/>
      </rPr>
      <t>∑F(I</t>
    </r>
    <r>
      <rPr>
        <vertAlign val="subscript"/>
        <sz val="9"/>
        <color indexed="8"/>
        <rFont val="Calibri"/>
        <family val="2"/>
      </rPr>
      <t>T</t>
    </r>
    <r>
      <rPr>
        <sz val="9"/>
        <color indexed="8"/>
        <rFont val="Calibri"/>
        <family val="2"/>
      </rPr>
      <t>)</t>
    </r>
  </si>
  <si>
    <t>▼</t>
  </si>
  <si>
    <r>
      <t>1/3*h*</t>
    </r>
    <r>
      <rPr>
        <sz val="9"/>
        <color indexed="8"/>
        <rFont val="Calibri"/>
        <family val="2"/>
      </rPr>
      <t>∑</t>
    </r>
    <r>
      <rPr>
        <sz val="9"/>
        <color indexed="8"/>
        <rFont val="Calibri"/>
        <family val="2"/>
      </rPr>
      <t>F(V)</t>
    </r>
  </si>
  <si>
    <t>▲</t>
  </si>
  <si>
    <t>▼*1.006*1.025</t>
  </si>
  <si>
    <r>
      <t>h*</t>
    </r>
    <r>
      <rPr>
        <sz val="9"/>
        <color indexed="8"/>
        <rFont val="Calibri"/>
        <family val="2"/>
      </rPr>
      <t>∑</t>
    </r>
    <r>
      <rPr>
        <sz val="9"/>
        <color indexed="8"/>
        <rFont val="Calibri"/>
        <family val="2"/>
      </rPr>
      <t>F(V)</t>
    </r>
  </si>
  <si>
    <r>
      <t>M</t>
    </r>
    <r>
      <rPr>
        <b/>
        <vertAlign val="subscript"/>
        <sz val="8"/>
        <rFont val="Arial"/>
        <family val="2"/>
      </rPr>
      <t>T</t>
    </r>
  </si>
  <si>
    <r>
      <t>1/3*h*</t>
    </r>
    <r>
      <rPr>
        <sz val="9"/>
        <color indexed="8"/>
        <rFont val="Calibri"/>
        <family val="2"/>
      </rPr>
      <t>∑</t>
    </r>
    <r>
      <rPr>
        <sz val="9"/>
        <color indexed="8"/>
        <rFont val="Calibri"/>
        <family val="2"/>
      </rPr>
      <t>F(M</t>
    </r>
    <r>
      <rPr>
        <vertAlign val="subscript"/>
        <sz val="9"/>
        <color indexed="8"/>
        <rFont val="Calibri"/>
        <family val="2"/>
      </rPr>
      <t>T</t>
    </r>
    <r>
      <rPr>
        <sz val="9"/>
        <color indexed="8"/>
        <rFont val="Calibri"/>
        <family val="2"/>
      </rPr>
      <t>)</t>
    </r>
  </si>
  <si>
    <r>
      <t>M</t>
    </r>
    <r>
      <rPr>
        <b/>
        <vertAlign val="subscript"/>
        <sz val="8"/>
        <rFont val="Arial"/>
        <family val="2"/>
      </rPr>
      <t>L</t>
    </r>
  </si>
  <si>
    <r>
      <t>1/3*h</t>
    </r>
    <r>
      <rPr>
        <vertAlign val="superscript"/>
        <sz val="9"/>
        <color indexed="8"/>
        <rFont val="Calibri"/>
        <family val="2"/>
      </rPr>
      <t>2</t>
    </r>
    <r>
      <rPr>
        <sz val="9"/>
        <color indexed="8"/>
        <rFont val="Calibri"/>
        <family val="2"/>
      </rPr>
      <t>*</t>
    </r>
    <r>
      <rPr>
        <sz val="9"/>
        <color indexed="8"/>
        <rFont val="Calibri"/>
        <family val="2"/>
      </rPr>
      <t>∑</t>
    </r>
    <r>
      <rPr>
        <sz val="9"/>
        <color indexed="8"/>
        <rFont val="Calibri"/>
        <family val="2"/>
      </rPr>
      <t>F(M</t>
    </r>
    <r>
      <rPr>
        <vertAlign val="subscript"/>
        <sz val="9"/>
        <color indexed="8"/>
        <rFont val="Calibri"/>
        <family val="2"/>
      </rPr>
      <t>L</t>
    </r>
    <r>
      <rPr>
        <sz val="9"/>
        <color indexed="8"/>
        <rFont val="Calibri"/>
        <family val="2"/>
      </rPr>
      <t>)</t>
    </r>
  </si>
  <si>
    <r>
      <t>h*</t>
    </r>
    <r>
      <rPr>
        <sz val="9"/>
        <color indexed="8"/>
        <rFont val="Calibri"/>
        <family val="2"/>
      </rPr>
      <t>∑</t>
    </r>
    <r>
      <rPr>
        <sz val="9"/>
        <color indexed="8"/>
        <rFont val="Calibri"/>
        <family val="2"/>
      </rPr>
      <t>F(M</t>
    </r>
    <r>
      <rPr>
        <vertAlign val="subscript"/>
        <sz val="9"/>
        <color indexed="8"/>
        <rFont val="Calibri"/>
        <family val="2"/>
      </rPr>
      <t>T</t>
    </r>
    <r>
      <rPr>
        <sz val="9"/>
        <color indexed="8"/>
        <rFont val="Calibri"/>
        <family val="2"/>
      </rPr>
      <t>)</t>
    </r>
  </si>
  <si>
    <r>
      <t>BM</t>
    </r>
    <r>
      <rPr>
        <b/>
        <vertAlign val="subscript"/>
        <sz val="8"/>
        <rFont val="Arial"/>
        <family val="2"/>
      </rPr>
      <t>L</t>
    </r>
  </si>
  <si>
    <r>
      <t>I</t>
    </r>
    <r>
      <rPr>
        <vertAlign val="subscript"/>
        <sz val="9"/>
        <color indexed="8"/>
        <rFont val="Calibri"/>
        <family val="2"/>
      </rPr>
      <t>F</t>
    </r>
    <r>
      <rPr>
        <sz val="9"/>
        <color indexed="8"/>
        <rFont val="Calibri"/>
        <family val="2"/>
      </rPr>
      <t>/▼</t>
    </r>
  </si>
  <si>
    <r>
      <t>h</t>
    </r>
    <r>
      <rPr>
        <vertAlign val="superscript"/>
        <sz val="9"/>
        <color indexed="8"/>
        <rFont val="Calibri"/>
        <family val="2"/>
      </rPr>
      <t>2</t>
    </r>
    <r>
      <rPr>
        <sz val="9"/>
        <color indexed="8"/>
        <rFont val="Calibri"/>
        <family val="2"/>
      </rPr>
      <t>*</t>
    </r>
    <r>
      <rPr>
        <sz val="9"/>
        <color indexed="8"/>
        <rFont val="Calibri"/>
        <family val="2"/>
      </rPr>
      <t>∑</t>
    </r>
    <r>
      <rPr>
        <sz val="9"/>
        <color indexed="8"/>
        <rFont val="Calibri"/>
        <family val="2"/>
      </rPr>
      <t>F(M</t>
    </r>
    <r>
      <rPr>
        <vertAlign val="subscript"/>
        <sz val="9"/>
        <color indexed="8"/>
        <rFont val="Calibri"/>
        <family val="2"/>
      </rPr>
      <t>L</t>
    </r>
    <r>
      <rPr>
        <sz val="9"/>
        <color indexed="8"/>
        <rFont val="Calibri"/>
        <family val="2"/>
      </rPr>
      <t>)</t>
    </r>
  </si>
  <si>
    <r>
      <t>BM</t>
    </r>
    <r>
      <rPr>
        <b/>
        <vertAlign val="subscript"/>
        <sz val="8"/>
        <rFont val="Arial"/>
        <family val="2"/>
      </rPr>
      <t>T</t>
    </r>
  </si>
  <si>
    <r>
      <t>I</t>
    </r>
    <r>
      <rPr>
        <vertAlign val="subscript"/>
        <sz val="9"/>
        <color indexed="8"/>
        <rFont val="Calibri"/>
        <family val="2"/>
      </rPr>
      <t>T</t>
    </r>
    <r>
      <rPr>
        <sz val="9"/>
        <color indexed="8"/>
        <rFont val="Calibri"/>
        <family val="2"/>
      </rPr>
      <t>/▼</t>
    </r>
  </si>
  <si>
    <t xml:space="preserve">KB </t>
  </si>
  <si>
    <r>
      <t>M</t>
    </r>
    <r>
      <rPr>
        <vertAlign val="subscript"/>
        <sz val="9"/>
        <color indexed="8"/>
        <rFont val="Calibri"/>
        <family val="2"/>
      </rPr>
      <t>T</t>
    </r>
    <r>
      <rPr>
        <sz val="9"/>
        <color indexed="8"/>
        <rFont val="Calibri"/>
        <family val="2"/>
      </rPr>
      <t>/▼</t>
    </r>
  </si>
  <si>
    <r>
      <t>KM</t>
    </r>
    <r>
      <rPr>
        <b/>
        <vertAlign val="subscript"/>
        <sz val="8"/>
        <rFont val="Arial"/>
        <family val="2"/>
      </rPr>
      <t>T</t>
    </r>
  </si>
  <si>
    <r>
      <t>KB+BM</t>
    </r>
    <r>
      <rPr>
        <vertAlign val="subscript"/>
        <sz val="9"/>
        <color indexed="8"/>
        <rFont val="Calibri"/>
        <family val="2"/>
      </rPr>
      <t>T</t>
    </r>
  </si>
  <si>
    <r>
      <t>KM</t>
    </r>
    <r>
      <rPr>
        <b/>
        <vertAlign val="subscript"/>
        <sz val="8"/>
        <rFont val="Arial"/>
        <family val="2"/>
      </rPr>
      <t>L</t>
    </r>
  </si>
  <si>
    <r>
      <t>KB+BM</t>
    </r>
    <r>
      <rPr>
        <vertAlign val="subscript"/>
        <sz val="9"/>
        <color indexed="8"/>
        <rFont val="Calibri"/>
        <family val="2"/>
      </rPr>
      <t>L</t>
    </r>
  </si>
  <si>
    <t>TPC</t>
  </si>
  <si>
    <r>
      <t>A</t>
    </r>
    <r>
      <rPr>
        <vertAlign val="subscript"/>
        <sz val="9"/>
        <color indexed="8"/>
        <rFont val="Calibri"/>
        <family val="2"/>
      </rPr>
      <t>WP</t>
    </r>
    <r>
      <rPr>
        <sz val="9"/>
        <color indexed="8"/>
        <rFont val="Calibri"/>
        <family val="2"/>
      </rPr>
      <t>*ρ/100</t>
    </r>
  </si>
  <si>
    <t>LCB</t>
  </si>
  <si>
    <r>
      <t>M</t>
    </r>
    <r>
      <rPr>
        <vertAlign val="subscript"/>
        <sz val="9"/>
        <color indexed="8"/>
        <rFont val="Calibri"/>
        <family val="2"/>
      </rPr>
      <t>L</t>
    </r>
    <r>
      <rPr>
        <sz val="9"/>
        <color indexed="8"/>
        <rFont val="Calibri"/>
        <family val="2"/>
      </rPr>
      <t>/▼</t>
    </r>
  </si>
  <si>
    <r>
      <t>MCT</t>
    </r>
    <r>
      <rPr>
        <b/>
        <vertAlign val="subscript"/>
        <sz val="10"/>
        <rFont val="Arial"/>
        <family val="2"/>
      </rPr>
      <t>1cm</t>
    </r>
  </si>
  <si>
    <r>
      <t>▲*BM</t>
    </r>
    <r>
      <rPr>
        <vertAlign val="subscript"/>
        <sz val="8"/>
        <color indexed="8"/>
        <rFont val="Calibri"/>
        <family val="2"/>
      </rPr>
      <t>L</t>
    </r>
    <r>
      <rPr>
        <sz val="8"/>
        <color indexed="8"/>
        <rFont val="Calibri"/>
        <family val="2"/>
      </rPr>
      <t>/100*LBP</t>
    </r>
  </si>
  <si>
    <t>Total</t>
  </si>
  <si>
    <t>T</t>
  </si>
  <si>
    <t>t*w</t>
  </si>
  <si>
    <r>
      <t>C</t>
    </r>
    <r>
      <rPr>
        <b/>
        <vertAlign val="subscript"/>
        <sz val="8"/>
        <rFont val="Arial"/>
        <family val="2"/>
      </rPr>
      <t>W</t>
    </r>
  </si>
  <si>
    <r>
      <t>A</t>
    </r>
    <r>
      <rPr>
        <vertAlign val="subscript"/>
        <sz val="9"/>
        <color indexed="8"/>
        <rFont val="Calibri"/>
        <family val="2"/>
      </rPr>
      <t>wp</t>
    </r>
    <r>
      <rPr>
        <sz val="9"/>
        <color indexed="8"/>
        <rFont val="Calibri"/>
        <family val="2"/>
      </rPr>
      <t xml:space="preserve"> /LBP*B</t>
    </r>
  </si>
  <si>
    <r>
      <t>C</t>
    </r>
    <r>
      <rPr>
        <b/>
        <vertAlign val="subscript"/>
        <sz val="8"/>
        <rFont val="Arial"/>
        <family val="2"/>
      </rPr>
      <t>B</t>
    </r>
  </si>
  <si>
    <t>▼/(LBP*B*T)</t>
  </si>
  <si>
    <t>Aft Blank:</t>
  </si>
  <si>
    <r>
      <t>C</t>
    </r>
    <r>
      <rPr>
        <b/>
        <vertAlign val="subscript"/>
        <sz val="8"/>
        <rFont val="Arial"/>
        <family val="2"/>
      </rPr>
      <t>M</t>
    </r>
  </si>
  <si>
    <r>
      <t>A</t>
    </r>
    <r>
      <rPr>
        <vertAlign val="subscript"/>
        <sz val="9"/>
        <color indexed="8"/>
        <rFont val="Calibri"/>
        <family val="2"/>
      </rPr>
      <t>mid</t>
    </r>
    <r>
      <rPr>
        <sz val="9"/>
        <color indexed="8"/>
        <rFont val="Calibri"/>
        <family val="2"/>
      </rPr>
      <t xml:space="preserve"> /B*T</t>
    </r>
  </si>
  <si>
    <t>Fwd Blank:</t>
  </si>
  <si>
    <r>
      <t>C</t>
    </r>
    <r>
      <rPr>
        <b/>
        <vertAlign val="subscript"/>
        <sz val="8"/>
        <rFont val="Arial"/>
        <family val="2"/>
      </rPr>
      <t>P</t>
    </r>
  </si>
  <si>
    <r>
      <t>C</t>
    </r>
    <r>
      <rPr>
        <vertAlign val="subscript"/>
        <sz val="9"/>
        <color indexed="8"/>
        <rFont val="Calibri"/>
        <family val="2"/>
      </rPr>
      <t>B</t>
    </r>
    <r>
      <rPr>
        <sz val="9"/>
        <color indexed="8"/>
        <rFont val="Calibri"/>
        <family val="2"/>
      </rPr>
      <t>/C</t>
    </r>
    <r>
      <rPr>
        <vertAlign val="subscript"/>
        <sz val="9"/>
        <color indexed="8"/>
        <rFont val="Calibri"/>
        <family val="2"/>
      </rPr>
      <t>M</t>
    </r>
  </si>
  <si>
    <t>Station No:</t>
  </si>
  <si>
    <t>Rise of keel:</t>
  </si>
  <si>
    <t>Station_Count:</t>
  </si>
  <si>
    <t>h=</t>
  </si>
  <si>
    <t>UPTO 4TH UWL</t>
  </si>
  <si>
    <t>y</t>
  </si>
  <si>
    <t>Rise of keel calculations</t>
  </si>
  <si>
    <t>Current only</t>
  </si>
  <si>
    <t>Previous</t>
  </si>
  <si>
    <t>Upto current</t>
  </si>
  <si>
    <t>Rise</t>
  </si>
  <si>
    <t>1st_UWL</t>
  </si>
  <si>
    <t>2nd_UWL</t>
  </si>
  <si>
    <t>IF-ve-&gt;trapezoidal</t>
  </si>
  <si>
    <t>3rd_UWL</t>
  </si>
  <si>
    <t>4th_UWL</t>
  </si>
  <si>
    <t>5th_UWL</t>
  </si>
  <si>
    <t>6th_UWL</t>
  </si>
  <si>
    <t>7th_UWL</t>
  </si>
  <si>
    <t>Upto 3rd UWL</t>
  </si>
  <si>
    <t>Area below Ist UWL</t>
  </si>
  <si>
    <t>Area below 2nd UWL</t>
  </si>
  <si>
    <t>Rise….</t>
  </si>
  <si>
    <t>1,4,1 rule</t>
  </si>
  <si>
    <t>5,8,-1 rule</t>
  </si>
  <si>
    <t>Trapezoid</t>
  </si>
  <si>
    <t>Final</t>
  </si>
  <si>
    <t>-</t>
  </si>
  <si>
    <t>Main particulars</t>
  </si>
  <si>
    <t>Rise of Keel</t>
  </si>
  <si>
    <t>Station:</t>
  </si>
  <si>
    <t>Rise (in meters)</t>
  </si>
  <si>
    <t>STN SPACING</t>
  </si>
  <si>
    <t>S</t>
  </si>
  <si>
    <r>
      <t>A</t>
    </r>
    <r>
      <rPr>
        <vertAlign val="subscript"/>
        <sz val="11"/>
        <color theme="1"/>
        <rFont val="Calibri"/>
        <family val="2"/>
        <scheme val="minor"/>
      </rPr>
      <t>MID</t>
    </r>
  </si>
  <si>
    <r>
      <t>A</t>
    </r>
    <r>
      <rPr>
        <vertAlign val="subscript"/>
        <sz val="11"/>
        <color theme="1"/>
        <rFont val="Calibri"/>
        <family val="2"/>
        <scheme val="minor"/>
      </rPr>
      <t>BT</t>
    </r>
  </si>
  <si>
    <t>WL SPACING</t>
  </si>
  <si>
    <t>MCT1cm</t>
  </si>
  <si>
    <r>
      <t>C</t>
    </r>
    <r>
      <rPr>
        <vertAlign val="subscript"/>
        <sz val="11"/>
        <color theme="1"/>
        <rFont val="Calibri"/>
        <family val="2"/>
        <scheme val="minor"/>
      </rPr>
      <t>B</t>
    </r>
  </si>
  <si>
    <r>
      <t>C</t>
    </r>
    <r>
      <rPr>
        <vertAlign val="subscript"/>
        <sz val="11"/>
        <color theme="1"/>
        <rFont val="Calibri"/>
        <family val="2"/>
        <scheme val="minor"/>
      </rPr>
      <t>M</t>
    </r>
  </si>
  <si>
    <r>
      <t>C</t>
    </r>
    <r>
      <rPr>
        <vertAlign val="subscript"/>
        <sz val="11"/>
        <color theme="1"/>
        <rFont val="Calibri"/>
        <family val="2"/>
        <scheme val="minor"/>
      </rPr>
      <t>P</t>
    </r>
  </si>
  <si>
    <t>This workbook may contain errors</t>
  </si>
  <si>
    <t>Please help to correct mistakes, if any</t>
  </si>
  <si>
    <t>STN/WL</t>
  </si>
  <si>
    <t>LWL</t>
  </si>
  <si>
    <t>MDK</t>
  </si>
  <si>
    <t xml:space="preserve">     </t>
  </si>
  <si>
    <t>Hydros</t>
  </si>
  <si>
    <r>
      <t>Select calculation method:</t>
    </r>
    <r>
      <rPr>
        <b/>
        <sz val="9"/>
        <rFont val="Calibri"/>
        <family val="2"/>
      </rPr>
      <t>→</t>
    </r>
  </si>
  <si>
    <t>Use 141 rule only</t>
  </si>
  <si>
    <t>Lines plan Grid</t>
  </si>
  <si>
    <t>Bonjean Grid</t>
  </si>
  <si>
    <t>Bonjean Area</t>
  </si>
  <si>
    <t>Bonjean Moment</t>
  </si>
  <si>
    <t>Hydrostatic Curves</t>
  </si>
  <si>
    <t>No. of buttocks:</t>
  </si>
  <si>
    <t>Station Scale in x:</t>
  </si>
  <si>
    <t>*Station Spacing</t>
  </si>
  <si>
    <t xml:space="preserve">Bonjean Area  Scale:  </t>
  </si>
  <si>
    <t>/</t>
  </si>
  <si>
    <t xml:space="preserve">Bonjean Moment Scale:  </t>
  </si>
  <si>
    <t>Horz. Length:=20x</t>
  </si>
  <si>
    <t>Y-scale of WL:</t>
  </si>
  <si>
    <t>*WL Spacing</t>
  </si>
  <si>
    <t xml:space="preserve">(Preferred/default scale:)  </t>
  </si>
  <si>
    <t xml:space="preserve">Clearance (in %): </t>
  </si>
  <si>
    <t>%</t>
  </si>
  <si>
    <t>Half-breadth splines</t>
  </si>
  <si>
    <t>Body plan splines</t>
  </si>
  <si>
    <t xml:space="preserve"> </t>
  </si>
  <si>
    <t>Hydros Grid</t>
  </si>
  <si>
    <t>X axis: *</t>
  </si>
  <si>
    <t>Select Station:</t>
  </si>
  <si>
    <t>Enter required station number above</t>
  </si>
  <si>
    <r>
      <t>SM</t>
    </r>
    <r>
      <rPr>
        <vertAlign val="subscript"/>
        <sz val="11"/>
        <color theme="1"/>
        <rFont val="Calibri"/>
        <family val="2"/>
        <scheme val="minor"/>
      </rPr>
      <t>1</t>
    </r>
  </si>
  <si>
    <r>
      <t>f(a)=y*SM</t>
    </r>
    <r>
      <rPr>
        <vertAlign val="subscript"/>
        <sz val="11"/>
        <color theme="1"/>
        <rFont val="Calibri"/>
        <family val="2"/>
        <scheme val="minor"/>
      </rPr>
      <t>1</t>
    </r>
  </si>
  <si>
    <r>
      <t>SM</t>
    </r>
    <r>
      <rPr>
        <vertAlign val="subscript"/>
        <sz val="11"/>
        <color theme="1"/>
        <rFont val="Calibri"/>
        <family val="2"/>
        <scheme val="minor"/>
      </rPr>
      <t>2</t>
    </r>
  </si>
  <si>
    <r>
      <t>f(m)=y*SM</t>
    </r>
    <r>
      <rPr>
        <vertAlign val="subscript"/>
        <sz val="11"/>
        <color theme="1"/>
        <rFont val="Calibri"/>
        <family val="2"/>
        <scheme val="minor"/>
      </rPr>
      <t>2</t>
    </r>
  </si>
  <si>
    <t xml:space="preserve">    </t>
  </si>
  <si>
    <t>f(a)*lever</t>
  </si>
  <si>
    <t>Rise to 1st</t>
  </si>
  <si>
    <t>Current</t>
  </si>
  <si>
    <t>Σ=</t>
  </si>
  <si>
    <r>
      <t>TM</t>
    </r>
    <r>
      <rPr>
        <vertAlign val="subscript"/>
        <sz val="11"/>
        <color theme="1"/>
        <rFont val="Calibri"/>
        <family val="2"/>
        <scheme val="minor"/>
      </rPr>
      <t>1</t>
    </r>
  </si>
  <si>
    <r>
      <t>y*TM</t>
    </r>
    <r>
      <rPr>
        <vertAlign val="subscript"/>
        <sz val="11"/>
        <color theme="1"/>
        <rFont val="Calibri"/>
        <family val="2"/>
        <scheme val="minor"/>
      </rPr>
      <t>1</t>
    </r>
  </si>
  <si>
    <r>
      <t>TM</t>
    </r>
    <r>
      <rPr>
        <vertAlign val="subscript"/>
        <sz val="11"/>
        <color theme="1"/>
        <rFont val="Calibri"/>
        <family val="2"/>
        <scheme val="minor"/>
      </rPr>
      <t>2</t>
    </r>
  </si>
  <si>
    <r>
      <t>y*TM</t>
    </r>
    <r>
      <rPr>
        <vertAlign val="subscript"/>
        <sz val="11"/>
        <color theme="1"/>
        <rFont val="Calibri"/>
        <family val="2"/>
        <scheme val="minor"/>
      </rPr>
      <t>2</t>
    </r>
  </si>
  <si>
    <t>Rise to 2nd</t>
  </si>
  <si>
    <t>Rise to 3rd</t>
  </si>
  <si>
    <t>Rise to 4th</t>
  </si>
  <si>
    <t>1st 141</t>
  </si>
  <si>
    <t>1st 58-1</t>
  </si>
  <si>
    <t>1st trapezoid</t>
  </si>
  <si>
    <r>
      <t>f(a)=y*TM</t>
    </r>
    <r>
      <rPr>
        <vertAlign val="subscript"/>
        <sz val="11"/>
        <color theme="1"/>
        <rFont val="Calibri"/>
        <family val="2"/>
        <scheme val="minor"/>
      </rPr>
      <t>1</t>
    </r>
  </si>
  <si>
    <r>
      <t>f(m)=y*TM</t>
    </r>
    <r>
      <rPr>
        <vertAlign val="subscript"/>
        <sz val="11"/>
        <color theme="1"/>
        <rFont val="Calibri"/>
        <family val="2"/>
        <scheme val="minor"/>
      </rPr>
      <t>2</t>
    </r>
  </si>
  <si>
    <t>Hydros Calculations</t>
  </si>
  <si>
    <t>Use 141 and 1331 rules</t>
  </si>
  <si>
    <t>AWP</t>
  </si>
  <si>
    <t>Mmid</t>
  </si>
  <si>
    <r>
      <t>I</t>
    </r>
    <r>
      <rPr>
        <b/>
        <vertAlign val="subscript"/>
        <sz val="8"/>
        <rFont val="Calibri"/>
        <family val="2"/>
        <scheme val="minor"/>
      </rPr>
      <t>L</t>
    </r>
  </si>
  <si>
    <r>
      <rPr>
        <b/>
        <sz val="8"/>
        <rFont val="Calibri"/>
        <family val="2"/>
        <scheme val="minor"/>
      </rPr>
      <t>I</t>
    </r>
    <r>
      <rPr>
        <b/>
        <vertAlign val="subscript"/>
        <sz val="8"/>
        <rFont val="Calibri"/>
        <family val="2"/>
        <scheme val="minor"/>
      </rPr>
      <t>T</t>
    </r>
  </si>
  <si>
    <r>
      <t>I</t>
    </r>
    <r>
      <rPr>
        <b/>
        <vertAlign val="subscript"/>
        <sz val="8"/>
        <rFont val="Calibri"/>
        <family val="2"/>
        <scheme val="minor"/>
      </rPr>
      <t>F</t>
    </r>
  </si>
  <si>
    <r>
      <t>M</t>
    </r>
    <r>
      <rPr>
        <b/>
        <vertAlign val="subscript"/>
        <sz val="8"/>
        <rFont val="Calibri"/>
        <family val="2"/>
        <scheme val="minor"/>
      </rPr>
      <t>T</t>
    </r>
  </si>
  <si>
    <r>
      <t>M</t>
    </r>
    <r>
      <rPr>
        <b/>
        <vertAlign val="subscript"/>
        <sz val="8"/>
        <rFont val="Calibri"/>
        <family val="2"/>
        <scheme val="minor"/>
      </rPr>
      <t>L</t>
    </r>
  </si>
  <si>
    <r>
      <t>BM</t>
    </r>
    <r>
      <rPr>
        <b/>
        <vertAlign val="subscript"/>
        <sz val="8"/>
        <rFont val="Calibri"/>
        <family val="2"/>
        <scheme val="minor"/>
      </rPr>
      <t>L</t>
    </r>
  </si>
  <si>
    <r>
      <t>I</t>
    </r>
    <r>
      <rPr>
        <vertAlign val="subscript"/>
        <sz val="8"/>
        <color indexed="8"/>
        <rFont val="Calibri"/>
        <family val="2"/>
      </rPr>
      <t>F</t>
    </r>
    <r>
      <rPr>
        <sz val="8"/>
        <color indexed="8"/>
        <rFont val="Calibri"/>
        <family val="2"/>
      </rPr>
      <t>/▼</t>
    </r>
  </si>
  <si>
    <r>
      <t>BM</t>
    </r>
    <r>
      <rPr>
        <b/>
        <vertAlign val="subscript"/>
        <sz val="8"/>
        <rFont val="Calibri"/>
        <family val="2"/>
        <scheme val="minor"/>
      </rPr>
      <t>T</t>
    </r>
  </si>
  <si>
    <r>
      <t>I</t>
    </r>
    <r>
      <rPr>
        <vertAlign val="subscript"/>
        <sz val="8"/>
        <color indexed="8"/>
        <rFont val="Calibri"/>
        <family val="2"/>
      </rPr>
      <t>T</t>
    </r>
    <r>
      <rPr>
        <sz val="8"/>
        <color indexed="8"/>
        <rFont val="Calibri"/>
        <family val="2"/>
      </rPr>
      <t>/▼</t>
    </r>
  </si>
  <si>
    <r>
      <t>M</t>
    </r>
    <r>
      <rPr>
        <vertAlign val="subscript"/>
        <sz val="8"/>
        <color indexed="8"/>
        <rFont val="Calibri"/>
        <family val="2"/>
      </rPr>
      <t>T</t>
    </r>
    <r>
      <rPr>
        <sz val="8"/>
        <color indexed="8"/>
        <rFont val="Calibri"/>
        <family val="2"/>
      </rPr>
      <t>/▼</t>
    </r>
  </si>
  <si>
    <r>
      <t>KM</t>
    </r>
    <r>
      <rPr>
        <b/>
        <vertAlign val="subscript"/>
        <sz val="8"/>
        <rFont val="Calibri"/>
        <family val="2"/>
        <scheme val="minor"/>
      </rPr>
      <t>T</t>
    </r>
  </si>
  <si>
    <r>
      <t>KB+BM</t>
    </r>
    <r>
      <rPr>
        <vertAlign val="subscript"/>
        <sz val="8"/>
        <color indexed="8"/>
        <rFont val="Calibri"/>
        <family val="2"/>
      </rPr>
      <t>T</t>
    </r>
  </si>
  <si>
    <r>
      <t>KM</t>
    </r>
    <r>
      <rPr>
        <b/>
        <vertAlign val="subscript"/>
        <sz val="8"/>
        <rFont val="Calibri"/>
        <family val="2"/>
        <scheme val="minor"/>
      </rPr>
      <t>L</t>
    </r>
  </si>
  <si>
    <r>
      <t>KB+BM</t>
    </r>
    <r>
      <rPr>
        <vertAlign val="subscript"/>
        <sz val="8"/>
        <color indexed="8"/>
        <rFont val="Calibri"/>
        <family val="2"/>
      </rPr>
      <t>L</t>
    </r>
  </si>
  <si>
    <r>
      <t>A</t>
    </r>
    <r>
      <rPr>
        <vertAlign val="subscript"/>
        <sz val="8"/>
        <color indexed="8"/>
        <rFont val="Calibri"/>
        <family val="2"/>
      </rPr>
      <t>WP</t>
    </r>
    <r>
      <rPr>
        <sz val="8"/>
        <color indexed="8"/>
        <rFont val="Calibri"/>
        <family val="2"/>
      </rPr>
      <t>*ρ/100</t>
    </r>
  </si>
  <si>
    <r>
      <t>M</t>
    </r>
    <r>
      <rPr>
        <vertAlign val="subscript"/>
        <sz val="8"/>
        <color indexed="8"/>
        <rFont val="Calibri"/>
        <family val="2"/>
      </rPr>
      <t>L</t>
    </r>
    <r>
      <rPr>
        <sz val="8"/>
        <color indexed="8"/>
        <rFont val="Calibri"/>
        <family val="2"/>
      </rPr>
      <t>/▼</t>
    </r>
  </si>
  <si>
    <r>
      <t>MCT</t>
    </r>
    <r>
      <rPr>
        <b/>
        <vertAlign val="subscript"/>
        <sz val="8"/>
        <rFont val="Calibri"/>
        <family val="2"/>
        <scheme val="minor"/>
      </rPr>
      <t>1cm</t>
    </r>
  </si>
  <si>
    <r>
      <t>C</t>
    </r>
    <r>
      <rPr>
        <b/>
        <vertAlign val="subscript"/>
        <sz val="8"/>
        <rFont val="Calibri"/>
        <family val="2"/>
        <scheme val="minor"/>
      </rPr>
      <t>W</t>
    </r>
  </si>
  <si>
    <r>
      <t>A</t>
    </r>
    <r>
      <rPr>
        <vertAlign val="subscript"/>
        <sz val="8"/>
        <color indexed="8"/>
        <rFont val="Calibri"/>
        <family val="2"/>
      </rPr>
      <t>wp</t>
    </r>
    <r>
      <rPr>
        <sz val="8"/>
        <color indexed="8"/>
        <rFont val="Calibri"/>
        <family val="2"/>
      </rPr>
      <t xml:space="preserve"> /LBP*B</t>
    </r>
  </si>
  <si>
    <r>
      <t>C</t>
    </r>
    <r>
      <rPr>
        <b/>
        <vertAlign val="subscript"/>
        <sz val="8"/>
        <rFont val="Calibri"/>
        <family val="2"/>
        <scheme val="minor"/>
      </rPr>
      <t>B</t>
    </r>
  </si>
  <si>
    <r>
      <t>C</t>
    </r>
    <r>
      <rPr>
        <b/>
        <vertAlign val="subscript"/>
        <sz val="8"/>
        <rFont val="Calibri"/>
        <family val="2"/>
        <scheme val="minor"/>
      </rPr>
      <t>M</t>
    </r>
  </si>
  <si>
    <r>
      <t>A</t>
    </r>
    <r>
      <rPr>
        <vertAlign val="subscript"/>
        <sz val="8"/>
        <color indexed="8"/>
        <rFont val="Calibri"/>
        <family val="2"/>
      </rPr>
      <t>mid</t>
    </r>
    <r>
      <rPr>
        <sz val="8"/>
        <color indexed="8"/>
        <rFont val="Calibri"/>
        <family val="2"/>
      </rPr>
      <t xml:space="preserve"> /B*T</t>
    </r>
  </si>
  <si>
    <r>
      <t>C</t>
    </r>
    <r>
      <rPr>
        <b/>
        <vertAlign val="subscript"/>
        <sz val="8"/>
        <rFont val="Calibri"/>
        <family val="2"/>
        <scheme val="minor"/>
      </rPr>
      <t>P</t>
    </r>
  </si>
  <si>
    <r>
      <t>C</t>
    </r>
    <r>
      <rPr>
        <vertAlign val="subscript"/>
        <sz val="8"/>
        <color indexed="8"/>
        <rFont val="Calibri"/>
        <family val="2"/>
      </rPr>
      <t>B</t>
    </r>
    <r>
      <rPr>
        <sz val="8"/>
        <color indexed="8"/>
        <rFont val="Calibri"/>
        <family val="2"/>
      </rPr>
      <t>/C</t>
    </r>
    <r>
      <rPr>
        <vertAlign val="subscript"/>
        <sz val="8"/>
        <color indexed="8"/>
        <rFont val="Calibri"/>
        <family val="2"/>
      </rPr>
      <t>M</t>
    </r>
  </si>
  <si>
    <t>Lwl, mdk corrected-----&gt;</t>
  </si>
  <si>
    <t>12751 IS THE MAX CONCATENATED TEXT</t>
  </si>
  <si>
    <t>(Entry check)</t>
  </si>
  <si>
    <t>Shallow-water resistance calculations</t>
  </si>
  <si>
    <t>Splines Bonjean/Scale Calculation</t>
  </si>
  <si>
    <t>Bulbous bow:</t>
  </si>
  <si>
    <t>Offset</t>
  </si>
  <si>
    <t>Velocity (in knots)</t>
  </si>
  <si>
    <t xml:space="preserve">LBP, </t>
  </si>
  <si>
    <t>Shallow water depth</t>
  </si>
  <si>
    <t xml:space="preserve">Breadth, </t>
  </si>
  <si>
    <t xml:space="preserve">Depth, </t>
  </si>
  <si>
    <t>Entry check statement:</t>
  </si>
  <si>
    <t>Total Grids To Concatenate</t>
  </si>
  <si>
    <t>half breadth</t>
  </si>
  <si>
    <t xml:space="preserve">Draft, </t>
  </si>
  <si>
    <t>y shift:</t>
  </si>
  <si>
    <t>body plan</t>
  </si>
  <si>
    <t/>
  </si>
  <si>
    <t xml:space="preserve">Waterline Spacing, </t>
  </si>
  <si>
    <t>Horizontal lines</t>
  </si>
  <si>
    <t>Diagonal</t>
  </si>
  <si>
    <t>X SHIFT:</t>
  </si>
  <si>
    <t>Vertical</t>
  </si>
  <si>
    <t>profile</t>
  </si>
  <si>
    <t>Central</t>
  </si>
  <si>
    <t>CL:</t>
  </si>
  <si>
    <t>KEEL</t>
  </si>
  <si>
    <t>No. of Buttocks(excluding CL and endline)</t>
  </si>
  <si>
    <t>n=</t>
  </si>
  <si>
    <t>Transpose of wl  No.s</t>
  </si>
  <si>
    <t>Vertical lines</t>
  </si>
  <si>
    <t>Left</t>
  </si>
  <si>
    <t>Right</t>
  </si>
  <si>
    <t>Horizontal Lines</t>
  </si>
  <si>
    <t>Main Particulars</t>
  </si>
  <si>
    <t>Form Controls</t>
  </si>
  <si>
    <t>No. of long. Divisions</t>
  </si>
  <si>
    <t>Max. WL count</t>
  </si>
  <si>
    <t>Max. STN count</t>
  </si>
  <si>
    <t xml:space="preserve">   </t>
  </si>
  <si>
    <t>CL</t>
  </si>
  <si>
    <t>x</t>
  </si>
  <si>
    <t>Hydros scaled</t>
  </si>
  <si>
    <t>Scale Factor</t>
  </si>
  <si>
    <t>Box:</t>
  </si>
  <si>
    <t>x origin</t>
  </si>
  <si>
    <t>Draft</t>
  </si>
  <si>
    <r>
      <t>A</t>
    </r>
    <r>
      <rPr>
        <vertAlign val="subscript"/>
        <sz val="11"/>
        <color rgb="FF000000"/>
        <rFont val="Calibri"/>
        <family val="2"/>
        <scheme val="minor"/>
      </rPr>
      <t>WP</t>
    </r>
  </si>
  <si>
    <r>
      <t>M</t>
    </r>
    <r>
      <rPr>
        <vertAlign val="subscript"/>
        <sz val="11"/>
        <color rgb="FF000000"/>
        <rFont val="Calibri"/>
        <family val="2"/>
        <scheme val="minor"/>
      </rPr>
      <t>Mid</t>
    </r>
  </si>
  <si>
    <r>
      <t>I</t>
    </r>
    <r>
      <rPr>
        <vertAlign val="subscript"/>
        <sz val="8"/>
        <color theme="1"/>
        <rFont val="Arial"/>
        <family val="2"/>
      </rPr>
      <t>L</t>
    </r>
  </si>
  <si>
    <t>Body plan</t>
  </si>
  <si>
    <t>Body plan Splines</t>
  </si>
  <si>
    <r>
      <t>I</t>
    </r>
    <r>
      <rPr>
        <vertAlign val="subscript"/>
        <sz val="8"/>
        <color theme="1"/>
        <rFont val="Arial"/>
        <family val="2"/>
      </rPr>
      <t>T</t>
    </r>
  </si>
  <si>
    <r>
      <t>I</t>
    </r>
    <r>
      <rPr>
        <vertAlign val="subscript"/>
        <sz val="8"/>
        <color theme="1"/>
        <rFont val="Arial"/>
        <family val="2"/>
      </rPr>
      <t>F</t>
    </r>
  </si>
  <si>
    <r>
      <t>M</t>
    </r>
    <r>
      <rPr>
        <vertAlign val="subscript"/>
        <sz val="8"/>
        <color theme="1"/>
        <rFont val="Arial"/>
        <family val="2"/>
      </rPr>
      <t>T</t>
    </r>
  </si>
  <si>
    <r>
      <t>M</t>
    </r>
    <r>
      <rPr>
        <vertAlign val="subscript"/>
        <sz val="8"/>
        <color theme="1"/>
        <rFont val="Arial"/>
        <family val="2"/>
      </rPr>
      <t>L</t>
    </r>
  </si>
  <si>
    <r>
      <t>BM</t>
    </r>
    <r>
      <rPr>
        <vertAlign val="subscript"/>
        <sz val="8"/>
        <color theme="1"/>
        <rFont val="Arial"/>
        <family val="2"/>
      </rPr>
      <t>L</t>
    </r>
  </si>
  <si>
    <r>
      <t>BM</t>
    </r>
    <r>
      <rPr>
        <vertAlign val="subscript"/>
        <sz val="8"/>
        <color theme="1"/>
        <rFont val="Arial"/>
        <family val="2"/>
      </rPr>
      <t>T</t>
    </r>
  </si>
  <si>
    <r>
      <t>KM</t>
    </r>
    <r>
      <rPr>
        <vertAlign val="subscript"/>
        <sz val="8"/>
        <color theme="1"/>
        <rFont val="Arial"/>
        <family val="2"/>
      </rPr>
      <t>T</t>
    </r>
  </si>
  <si>
    <r>
      <t>KM</t>
    </r>
    <r>
      <rPr>
        <vertAlign val="subscript"/>
        <sz val="8"/>
        <color theme="1"/>
        <rFont val="Arial"/>
        <family val="2"/>
      </rPr>
      <t>L</t>
    </r>
  </si>
  <si>
    <r>
      <t>MCT</t>
    </r>
    <r>
      <rPr>
        <vertAlign val="subscript"/>
        <sz val="8"/>
        <color theme="1"/>
        <rFont val="Arial"/>
        <family val="2"/>
      </rPr>
      <t>1cm</t>
    </r>
  </si>
  <si>
    <r>
      <t>C</t>
    </r>
    <r>
      <rPr>
        <vertAlign val="subscript"/>
        <sz val="8"/>
        <color theme="1"/>
        <rFont val="Arial"/>
        <family val="2"/>
      </rPr>
      <t>W</t>
    </r>
  </si>
  <si>
    <r>
      <t>C</t>
    </r>
    <r>
      <rPr>
        <vertAlign val="subscript"/>
        <sz val="8"/>
        <color theme="1"/>
        <rFont val="Arial"/>
        <family val="2"/>
      </rPr>
      <t>B</t>
    </r>
  </si>
  <si>
    <r>
      <t>C</t>
    </r>
    <r>
      <rPr>
        <vertAlign val="subscript"/>
        <sz val="8"/>
        <color theme="1"/>
        <rFont val="Arial"/>
        <family val="2"/>
      </rPr>
      <t>M</t>
    </r>
  </si>
  <si>
    <r>
      <t>C</t>
    </r>
    <r>
      <rPr>
        <vertAlign val="subscript"/>
        <sz val="8"/>
        <color theme="1"/>
        <rFont val="Arial"/>
        <family val="2"/>
      </rPr>
      <t>P</t>
    </r>
  </si>
  <si>
    <t>IL</t>
  </si>
  <si>
    <t>IT</t>
  </si>
  <si>
    <t>IF</t>
  </si>
  <si>
    <t>MT</t>
  </si>
  <si>
    <t>Half Breadth Plan</t>
  </si>
  <si>
    <t>Half breadth Plan Splines</t>
  </si>
  <si>
    <t>ML</t>
  </si>
  <si>
    <t>BML</t>
  </si>
  <si>
    <t>BMT</t>
  </si>
  <si>
    <t>KMT</t>
  </si>
  <si>
    <t>KML</t>
  </si>
  <si>
    <t>CW</t>
  </si>
  <si>
    <t>CB</t>
  </si>
  <si>
    <t>CM</t>
  </si>
  <si>
    <t>CP</t>
  </si>
  <si>
    <t>2nd Origin</t>
  </si>
  <si>
    <t>end</t>
  </si>
  <si>
    <t>RISE CALCULATIONS</t>
  </si>
  <si>
    <t>Bonjean Area Spline</t>
  </si>
  <si>
    <t>Bonjean Moment Spline</t>
  </si>
  <si>
    <t>Bonjean Area Scale:</t>
  </si>
  <si>
    <t>*</t>
  </si>
  <si>
    <t>Bonjean Moment Scale:</t>
  </si>
  <si>
    <t xml:space="preserve">Choose method: </t>
  </si>
  <si>
    <t>Enter offset here: (in blue cells)</t>
  </si>
  <si>
    <t xml:space="preserve">#RoyalShippies </t>
  </si>
  <si>
    <t>#CUSAT</t>
  </si>
  <si>
    <t>Max of wl=</t>
  </si>
  <si>
    <t xml:space="preserve">1. Paste offset in the "Offset" tab, in the blue cells, with columns representing each waterline and rows for each stations. </t>
  </si>
  <si>
    <t xml:space="preserve">2. Enter main particulars in the "Main" tab. </t>
  </si>
  <si>
    <t>Fairing/correction of offset data</t>
  </si>
  <si>
    <t>Hydrostatic &amp; Bonjean data tables &amp; charts</t>
  </si>
  <si>
    <t xml:space="preserve">Tables of Bonjean area, Bonjean moment and Hydrostatic data are shown in "Area", "Moment" and "Hydros" tabs respectively, with concerned curve charts. </t>
  </si>
  <si>
    <t>Display of calculations</t>
  </si>
  <si>
    <t>Auto-CAD</t>
  </si>
  <si>
    <t xml:space="preserve">Bonjean calculation for each station and Hydrostatic calculations for each waterlines can be seen from "Bonjean Calc" and </t>
  </si>
  <si>
    <t xml:space="preserve"> "Hydros Calc" tabs respectively, by choosing required station/waterline from drop-down menu. </t>
  </si>
  <si>
    <t xml:space="preserve">#  Number of buttocks and scales of each plans/charts are to be given. </t>
  </si>
  <si>
    <t>Please forward your valuable suggestions/corrections.</t>
  </si>
  <si>
    <t>←Click here for drop-down menu</t>
  </si>
  <si>
    <t>Choose Waterline:</t>
  </si>
  <si>
    <t xml:space="preserve">    (LBP,B, WL spacing, D and then T)</t>
  </si>
  <si>
    <t>1. Enter offset first</t>
  </si>
  <si>
    <t>2. Then enter the main particulars in order</t>
  </si>
  <si>
    <t>3. Don’t forget to update/clear Rise of keel data</t>
  </si>
  <si>
    <t>Just removed</t>
  </si>
  <si>
    <t xml:space="preserve">   Plans may not be smooth enough as available in CAD.</t>
  </si>
  <si>
    <t xml:space="preserve">Body plan and halfbreadth plan are displayed in the "Offset" tab, which may be helpful to correct offset data or fairing it to a little extent. </t>
  </si>
  <si>
    <t>Long. Pos. m</t>
  </si>
  <si>
    <t>Offset m</t>
  </si>
  <si>
    <t>Height m</t>
  </si>
  <si>
    <t>No. of markers:</t>
  </si>
  <si>
    <t>Station Ind</t>
  </si>
  <si>
    <t>Abdul Rahim O M</t>
  </si>
  <si>
    <t>Maxsurf</t>
  </si>
  <si>
    <t>Total no. of markers is also displayed there (required in Maxsurf.)</t>
  </si>
  <si>
    <t>Buttons to copy</t>
  </si>
  <si>
    <t xml:space="preserve">Buttons to copy each set of commands (to paste it directly in CAD command box) are available in the same CAD tab, under "Copy links" section. </t>
  </si>
  <si>
    <t>abdulrahimom@outlook.com</t>
  </si>
  <si>
    <t>Concatenated</t>
  </si>
  <si>
    <t xml:space="preserve">0,-0.9,8 0,-2.59,9.7 0,-2.82,10 0,-3.82,12 0,-4.24,13 </t>
  </si>
  <si>
    <t>Spline 0,4.24,13 0,3.82,12 0,2.82,10 0,2.59,9.7 0,0.9,8 0,0,7</t>
  </si>
  <si>
    <t xml:space="preserve">Spline -10,0,0 -20,0,0 t  </t>
  </si>
  <si>
    <t>Use 141 and 1331 rules, Autoadjust LWL</t>
  </si>
  <si>
    <t>Use 141 rule only, Take LBP for LWL</t>
  </si>
  <si>
    <t>Stern offset</t>
  </si>
  <si>
    <t>Stn</t>
  </si>
  <si>
    <t>by rise</t>
  </si>
  <si>
    <t>offsetdirct</t>
  </si>
  <si>
    <t>tool</t>
  </si>
  <si>
    <t>final</t>
  </si>
  <si>
    <t>Stem</t>
  </si>
  <si>
    <t>Stern</t>
  </si>
  <si>
    <t>WLs</t>
  </si>
  <si>
    <t>Stem Offset</t>
  </si>
  <si>
    <t>Stem &amp; Stern offset</t>
  </si>
  <si>
    <t># CAD tab shows spline/line commands to use in Autocad to draw Hull in 3D, Linesplan grid, Body plan, Halfbreadth plan, Bonjean curves and the grid for that, etc..</t>
  </si>
  <si>
    <t>#  Copy the required set of cells and paste it in the command box in Auto-CAD or use buttons.</t>
  </si>
  <si>
    <t># Hull 3D button can be used to build a 3D hull from offset data. (doesnot include data/hull from stem and stern offset)</t>
  </si>
  <si>
    <t>#  Splines for hydrostatic curves may not be helpful, so removed in this version. ( as each curves are drawn without labels, making it undistinguishable, and less pleasing in look. )</t>
  </si>
  <si>
    <t>Credits</t>
  </si>
  <si>
    <t>Kiran S</t>
  </si>
  <si>
    <t>Najih C H</t>
  </si>
  <si>
    <t>Abdul Basith K P</t>
  </si>
  <si>
    <t>Mohamed Rashid P</t>
  </si>
  <si>
    <t>ABDUL RAHIM O M</t>
  </si>
  <si>
    <t>Reference:</t>
  </si>
  <si>
    <t>PNA</t>
  </si>
  <si>
    <t>and AlL others</t>
  </si>
  <si>
    <t>Teachers and classmates</t>
  </si>
  <si>
    <t>Make red dots(Rise of keel points) to blue line(stem/stern offset data)</t>
  </si>
  <si>
    <t>CREATED BY,</t>
  </si>
  <si>
    <t>#Shippiez</t>
  </si>
  <si>
    <t>#Siberia</t>
  </si>
  <si>
    <t>#CommonShippiez</t>
  </si>
  <si>
    <t>Related excel workbooks created by seniors</t>
  </si>
  <si>
    <t>Max</t>
  </si>
  <si>
    <t>Stem(-ve)</t>
  </si>
  <si>
    <t>Min</t>
  </si>
  <si>
    <t>AutoCAD Copy Links:</t>
  </si>
  <si>
    <t>Rhinoceros Copy Links:</t>
  </si>
  <si>
    <t>SelAll Loft SelAll Mirror x</t>
  </si>
  <si>
    <t>(Works only in perspective mode)</t>
  </si>
  <si>
    <t>Degree of curves:</t>
  </si>
  <si>
    <t>(Preferred degree=3)</t>
  </si>
  <si>
    <t>Rhinoceros</t>
  </si>
  <si>
    <t>Really, Royal is an old term. Too late ….</t>
  </si>
  <si>
    <t>Directions for use:</t>
  </si>
  <si>
    <t xml:space="preserve">3. If necessary, enter the rise of keel for each stations (in meters), in the concerned table in "Offset" tab. Leave blank otherwise. </t>
  </si>
  <si>
    <t xml:space="preserve">(Note: Always remember to clear/update rise of keel data when required.) </t>
  </si>
  <si>
    <t xml:space="preserve">4. Try to use the initial copy of excel sheet each time, to avoid change of format of cells on copy/cut&amp;paste. </t>
  </si>
  <si>
    <t># CAD tab shows command button to use in Rhinoceros to draw Hull in 3D.</t>
  </si>
  <si>
    <t># Degree of curves should be entered in the cellprovided. (below the button)</t>
  </si>
  <si>
    <t># Degree of 3 is preferred, higher degrees cause less smooth/faired curves.</t>
  </si>
  <si>
    <t>Maxsurf tab shows the table of marker points (to be copied to Maxsurf Modeller.)</t>
  </si>
  <si>
    <t>Red dots represent rise of keel data, while blue curves represent the stem and stern offsets provided.</t>
  </si>
  <si>
    <t>Rise of keel can be compared with the stem and stern offsets, by the help of stem &amp; stern profile diagrams.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</si>
</sst>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11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theme="1"/>
      <name val="Calibri"/>
      <family val="2"/>
    </font>
    <font>
      <b/>
      <sz val="6"/>
      <color theme="1"/>
      <name val="Calibri"/>
      <family val="2"/>
      <scheme val="minor"/>
    </font>
    <font>
      <b/>
      <sz val="10"/>
      <name val="Arial"/>
      <family val="2"/>
    </font>
    <font>
      <sz val="10"/>
      <name val="Calibri"/>
      <family val="2"/>
    </font>
    <font>
      <sz val="11"/>
      <color theme="1"/>
      <name val="Times New Roman"/>
      <family val="1"/>
    </font>
    <font>
      <b/>
      <sz val="11"/>
      <color rgb="FFC00000"/>
      <name val="Calibri"/>
      <family val="2"/>
      <scheme val="minor"/>
    </font>
    <font>
      <sz val="11"/>
      <color rgb="FFC00000"/>
      <name val="Calibri"/>
      <family val="2"/>
      <scheme val="minor"/>
    </font>
    <font>
      <b/>
      <vertAlign val="subscript"/>
      <sz val="8"/>
      <name val="Arial"/>
      <family val="2"/>
    </font>
    <font>
      <sz val="8"/>
      <color theme="1"/>
      <name val="Calibri"/>
      <family val="2"/>
      <scheme val="minor"/>
    </font>
    <font>
      <sz val="9"/>
      <color theme="1"/>
      <name val="Calibri"/>
      <family val="2"/>
      <scheme val="minor"/>
    </font>
    <font>
      <sz val="9"/>
      <color indexed="8"/>
      <name val="Calibri"/>
      <family val="2"/>
    </font>
    <font>
      <vertAlign val="superscript"/>
      <sz val="9"/>
      <color indexed="8"/>
      <name val="Calibri"/>
      <family val="2"/>
    </font>
    <font>
      <b/>
      <sz val="8"/>
      <name val="Arial"/>
      <family val="2"/>
    </font>
    <font>
      <vertAlign val="subscript"/>
      <sz val="9"/>
      <color indexed="8"/>
      <name val="Calibri"/>
      <family val="2"/>
    </font>
    <font>
      <b/>
      <vertAlign val="superscript"/>
      <sz val="8"/>
      <name val="Arial"/>
      <family val="2"/>
    </font>
    <font>
      <b/>
      <vertAlign val="subscript"/>
      <sz val="10"/>
      <name val="Arial"/>
      <family val="2"/>
    </font>
    <font>
      <vertAlign val="subscript"/>
      <sz val="8"/>
      <color indexed="8"/>
      <name val="Calibri"/>
      <family val="2"/>
    </font>
    <font>
      <sz val="8"/>
      <color indexed="8"/>
      <name val="Calibri"/>
      <family val="2"/>
    </font>
    <font>
      <sz val="11"/>
      <name val="Calibri"/>
      <family val="2"/>
      <scheme val="minor"/>
    </font>
    <font>
      <sz val="11"/>
      <color theme="3"/>
      <name val="Calibri"/>
      <family val="2"/>
      <scheme val="minor"/>
    </font>
    <font>
      <sz val="11"/>
      <color theme="4" tint="-0.249977111117893"/>
      <name val="Calibri"/>
      <family val="2"/>
      <scheme val="minor"/>
    </font>
    <font>
      <sz val="11"/>
      <color rgb="FF00B050"/>
      <name val="Calibri"/>
      <family val="2"/>
      <scheme val="minor"/>
    </font>
    <font>
      <sz val="11"/>
      <color theme="4" tint="0.39997558519241921"/>
      <name val="Calibri"/>
      <family val="2"/>
      <scheme val="minor"/>
    </font>
    <font>
      <sz val="11"/>
      <color rgb="FF00B0F0"/>
      <name val="Calibri"/>
      <family val="2"/>
      <scheme val="minor"/>
    </font>
    <font>
      <i/>
      <vertAlign val="superscript"/>
      <sz val="10"/>
      <color rgb="FF16365C"/>
      <name val="Calibri"/>
      <family val="2"/>
    </font>
    <font>
      <sz val="20"/>
      <color theme="1"/>
      <name val="Calibri"/>
      <family val="2"/>
      <scheme val="minor"/>
    </font>
    <font>
      <sz val="11"/>
      <name val="Calibri"/>
      <family val="2"/>
    </font>
    <font>
      <vertAlign val="subscript"/>
      <sz val="11"/>
      <color theme="1"/>
      <name val="Calibri"/>
      <family val="2"/>
      <scheme val="minor"/>
    </font>
    <font>
      <sz val="11"/>
      <color theme="1"/>
      <name val="Berlin Sans FB"/>
      <family val="2"/>
    </font>
    <font>
      <sz val="11"/>
      <color theme="1"/>
      <name val="Calibri"/>
      <family val="2"/>
    </font>
    <font>
      <sz val="8"/>
      <color theme="1"/>
      <name val="Cambria"/>
      <family val="1"/>
      <scheme val="major"/>
    </font>
    <font>
      <sz val="11"/>
      <color theme="1"/>
      <name val="BankGothic Lt BT"/>
      <family val="2"/>
    </font>
    <font>
      <sz val="11"/>
      <color theme="1"/>
      <name val="Goudy Old Style"/>
      <family val="1"/>
    </font>
    <font>
      <i/>
      <sz val="10"/>
      <color rgb="FF16365C"/>
      <name val="Calibri"/>
      <family val="2"/>
      <scheme val="minor"/>
    </font>
    <font>
      <b/>
      <sz val="11"/>
      <color rgb="FF000000"/>
      <name val="Calibri"/>
      <family val="2"/>
    </font>
    <font>
      <b/>
      <sz val="18"/>
      <color theme="1"/>
      <name val="Calibri"/>
      <family val="2"/>
      <scheme val="minor"/>
    </font>
    <font>
      <b/>
      <sz val="18"/>
      <color rgb="FFFF0000"/>
      <name val="Calibri"/>
      <family val="2"/>
      <scheme val="minor"/>
    </font>
    <font>
      <b/>
      <sz val="9"/>
      <color theme="1"/>
      <name val="Calibri"/>
      <family val="2"/>
      <scheme val="minor"/>
    </font>
    <font>
      <b/>
      <sz val="9"/>
      <color rgb="FFFF0000"/>
      <name val="Calibri"/>
      <family val="2"/>
      <scheme val="minor"/>
    </font>
    <font>
      <b/>
      <sz val="9"/>
      <name val="Calibri"/>
      <family val="2"/>
      <scheme val="minor"/>
    </font>
    <font>
      <b/>
      <sz val="9"/>
      <name val="Calibri"/>
      <family val="2"/>
    </font>
    <font>
      <sz val="8"/>
      <color rgb="FF000000"/>
      <name val="Calibri"/>
      <family val="2"/>
      <scheme val="minor"/>
    </font>
    <font>
      <sz val="8"/>
      <color theme="1"/>
      <name val="Arial"/>
      <family val="2"/>
    </font>
    <font>
      <b/>
      <sz val="12"/>
      <color theme="4" tint="-0.249977111117893"/>
      <name val="Calibri"/>
      <family val="2"/>
      <scheme val="minor"/>
    </font>
    <font>
      <sz val="12"/>
      <color theme="1"/>
      <name val="Calibri"/>
      <family val="2"/>
      <scheme val="minor"/>
    </font>
    <font>
      <sz val="14"/>
      <color theme="1"/>
      <name val="Calibri"/>
      <family val="2"/>
      <scheme val="minor"/>
    </font>
    <font>
      <sz val="12"/>
      <color theme="0" tint="-0.499984740745262"/>
      <name val="Calibri"/>
      <family val="2"/>
      <scheme val="minor"/>
    </font>
    <font>
      <b/>
      <sz val="11"/>
      <name val="Calibri"/>
      <family val="2"/>
      <scheme val="minor"/>
    </font>
    <font>
      <b/>
      <sz val="16"/>
      <color theme="4" tint="-0.249977111117893"/>
      <name val="Calibri"/>
      <family val="2"/>
      <scheme val="minor"/>
    </font>
    <font>
      <b/>
      <sz val="14"/>
      <color theme="1"/>
      <name val="Calibri"/>
      <family val="2"/>
      <scheme val="minor"/>
    </font>
    <font>
      <sz val="11"/>
      <color rgb="FFFFC000"/>
      <name val="Calibri"/>
      <family val="2"/>
      <scheme val="minor"/>
    </font>
    <font>
      <b/>
      <u/>
      <sz val="14"/>
      <color theme="1"/>
      <name val="Calibri"/>
      <family val="2"/>
      <scheme val="minor"/>
    </font>
    <font>
      <sz val="8"/>
      <color theme="2" tint="-0.499984740745262"/>
      <name val="Calibri"/>
      <family val="2"/>
      <scheme val="minor"/>
    </font>
    <font>
      <b/>
      <sz val="10"/>
      <color theme="1"/>
      <name val="Calibri"/>
      <family val="2"/>
      <scheme val="minor"/>
    </font>
    <font>
      <b/>
      <sz val="8"/>
      <color theme="1"/>
      <name val="Calibri"/>
      <family val="2"/>
      <scheme val="minor"/>
    </font>
    <font>
      <b/>
      <sz val="8"/>
      <name val="Calibri"/>
      <family val="2"/>
      <scheme val="minor"/>
    </font>
    <font>
      <sz val="8"/>
      <name val="Calibri"/>
      <family val="2"/>
      <scheme val="minor"/>
    </font>
    <font>
      <b/>
      <vertAlign val="subscript"/>
      <sz val="8"/>
      <name val="Calibri"/>
      <family val="2"/>
      <scheme val="minor"/>
    </font>
    <font>
      <b/>
      <vertAlign val="superscript"/>
      <sz val="8"/>
      <name val="Calibri"/>
      <family val="2"/>
      <scheme val="minor"/>
    </font>
    <font>
      <b/>
      <u/>
      <sz val="11"/>
      <color theme="1"/>
      <name val="Calibri"/>
      <family val="2"/>
      <scheme val="minor"/>
    </font>
    <font>
      <b/>
      <sz val="11"/>
      <color rgb="FF00B050"/>
      <name val="Calibri"/>
      <family val="2"/>
      <scheme val="minor"/>
    </font>
    <font>
      <b/>
      <sz val="22"/>
      <color theme="1"/>
      <name val="Calibri"/>
      <family val="2"/>
      <scheme val="minor"/>
    </font>
    <font>
      <b/>
      <sz val="20"/>
      <color rgb="FFFF0000"/>
      <name val="Calibri"/>
      <family val="2"/>
      <scheme val="minor"/>
    </font>
    <font>
      <b/>
      <sz val="20"/>
      <color theme="1"/>
      <name val="Calibri"/>
      <family val="2"/>
      <scheme val="minor"/>
    </font>
    <font>
      <sz val="11"/>
      <color rgb="FF000000"/>
      <name val="Calibri"/>
      <family val="2"/>
      <scheme val="minor"/>
    </font>
    <font>
      <vertAlign val="subscript"/>
      <sz val="11"/>
      <color rgb="FF000000"/>
      <name val="Calibri"/>
      <family val="2"/>
      <scheme val="minor"/>
    </font>
    <font>
      <vertAlign val="subscript"/>
      <sz val="8"/>
      <color theme="1"/>
      <name val="Arial"/>
      <family val="2"/>
    </font>
    <font>
      <b/>
      <sz val="18"/>
      <color theme="4" tint="-0.499984740745262"/>
      <name val="Calibri"/>
      <family val="2"/>
      <scheme val="minor"/>
    </font>
    <font>
      <b/>
      <sz val="18"/>
      <color theme="4" tint="-0.249977111117893"/>
      <name val="Calibri"/>
      <family val="2"/>
      <scheme val="minor"/>
    </font>
    <font>
      <b/>
      <sz val="9"/>
      <color theme="2" tint="-0.749992370372631"/>
      <name val="Calibri"/>
      <family val="2"/>
      <scheme val="minor"/>
    </font>
    <font>
      <sz val="8"/>
      <color theme="1" tint="0.34998626667073579"/>
      <name val="Goudy Old Style"/>
      <family val="1"/>
    </font>
    <font>
      <u/>
      <sz val="11"/>
      <color theme="10"/>
      <name val="Calibri"/>
      <family val="2"/>
      <scheme val="minor"/>
    </font>
    <font>
      <i/>
      <sz val="8"/>
      <color theme="1" tint="0.34998626667073579"/>
      <name val="Calibri"/>
      <family val="2"/>
      <scheme val="minor"/>
    </font>
    <font>
      <i/>
      <sz val="11"/>
      <color theme="1" tint="0.34998626667073579"/>
      <name val="Goudy Old Style"/>
      <family val="1"/>
    </font>
    <font>
      <b/>
      <u/>
      <sz val="12"/>
      <color theme="1"/>
      <name val="Calibri"/>
      <family val="2"/>
      <scheme val="minor"/>
    </font>
    <font>
      <sz val="8"/>
      <color theme="1" tint="0.34998626667073579"/>
      <name val="Calibri"/>
      <family val="2"/>
    </font>
    <font>
      <sz val="9"/>
      <color theme="1" tint="0.499984740745262"/>
      <name val="Calibri"/>
      <family val="2"/>
    </font>
    <font>
      <b/>
      <u/>
      <sz val="12"/>
      <color theme="3"/>
      <name val="Calibri"/>
      <family val="2"/>
      <scheme val="minor"/>
    </font>
    <font>
      <sz val="11"/>
      <color rgb="FF000000"/>
      <name val="Calibri"/>
      <family val="2"/>
    </font>
    <font>
      <sz val="9"/>
      <color indexed="81"/>
      <name val="Tahoma"/>
      <family val="2"/>
    </font>
    <font>
      <b/>
      <sz val="9"/>
      <color indexed="81"/>
      <name val="Tahoma"/>
      <family val="2"/>
    </font>
    <font>
      <sz val="14"/>
      <color theme="0"/>
      <name val="Calibri"/>
      <family val="2"/>
      <scheme val="minor"/>
    </font>
    <font>
      <sz val="7"/>
      <color theme="1" tint="0.34998626667073579"/>
      <name val="Calibri"/>
      <family val="2"/>
      <scheme val="minor"/>
    </font>
    <font>
      <sz val="7"/>
      <color theme="1" tint="0.34998626667073579"/>
      <name val="Cambria"/>
      <family val="1"/>
      <scheme val="major"/>
    </font>
    <font>
      <sz val="10"/>
      <color theme="0" tint="-0.499984740745262"/>
      <name val="Bodoni MT Black"/>
      <family val="1"/>
    </font>
    <font>
      <b/>
      <sz val="16"/>
      <color rgb="FF000000"/>
      <name val="Calibri"/>
      <family val="2"/>
    </font>
    <font>
      <b/>
      <u/>
      <sz val="7"/>
      <color theme="1" tint="0.34998626667073579"/>
      <name val="Calibri"/>
      <family val="2"/>
      <scheme val="minor"/>
    </font>
    <font>
      <b/>
      <u/>
      <sz val="10"/>
      <color theme="4" tint="-0.249977111117893"/>
      <name val="Calibri"/>
      <family val="2"/>
      <scheme val="minor"/>
    </font>
    <font>
      <sz val="8"/>
      <color theme="6" tint="-0.249977111117893"/>
      <name val="Calibri"/>
      <family val="2"/>
      <scheme val="minor"/>
    </font>
    <font>
      <u/>
      <sz val="11"/>
      <color theme="1"/>
      <name val="Calibri"/>
      <family val="2"/>
      <scheme val="minor"/>
    </font>
    <font>
      <sz val="16"/>
      <color theme="1"/>
      <name val="Calibri"/>
      <family val="2"/>
      <scheme val="minor"/>
    </font>
    <font>
      <sz val="8"/>
      <color theme="1" tint="0.34998626667073579"/>
      <name val="Calibri"/>
      <family val="2"/>
      <scheme val="minor"/>
    </font>
    <font>
      <b/>
      <u/>
      <sz val="10"/>
      <color theme="6" tint="-0.499984740745262"/>
      <name val="Calibri"/>
      <family val="2"/>
      <scheme val="minor"/>
    </font>
    <font>
      <sz val="10"/>
      <color theme="6" tint="-0.499984740745262"/>
      <name val="Calibri"/>
      <family val="2"/>
      <scheme val="minor"/>
    </font>
    <font>
      <sz val="10"/>
      <color theme="1"/>
      <name val="BankGothic Lt BT"/>
      <family val="2"/>
    </font>
    <font>
      <b/>
      <u/>
      <sz val="10"/>
      <color theme="1"/>
      <name val="BankGothic Lt BT"/>
      <family val="2"/>
    </font>
    <font>
      <sz val="8"/>
      <color theme="1"/>
      <name val="BankGothic Lt BT"/>
      <family val="2"/>
    </font>
    <font>
      <b/>
      <u val="double"/>
      <sz val="12"/>
      <color theme="1"/>
      <name val="BankGothic Lt BT"/>
      <family val="2"/>
    </font>
    <font>
      <b/>
      <sz val="10"/>
      <color theme="1" tint="4.9989318521683403E-2"/>
      <name val="BankGothic Lt BT"/>
      <family val="2"/>
    </font>
    <font>
      <b/>
      <sz val="11"/>
      <color theme="1" tint="4.9989318521683403E-2"/>
      <name val="BankGothic Lt BT"/>
      <family val="2"/>
    </font>
    <font>
      <sz val="10"/>
      <color theme="1" tint="4.9989318521683403E-2"/>
      <name val="BankGothic Lt BT"/>
      <family val="2"/>
    </font>
    <font>
      <sz val="12"/>
      <color theme="1" tint="0.34998626667073579"/>
      <name val="Arial"/>
      <family val="2"/>
    </font>
    <font>
      <sz val="11"/>
      <color theme="1" tint="0.34998626667073579"/>
      <name val="Calibri"/>
      <family val="2"/>
      <scheme val="minor"/>
    </font>
    <font>
      <sz val="12"/>
      <color theme="1" tint="0.34998626667073579"/>
      <name val="Bodoni MT Black"/>
      <family val="1"/>
    </font>
    <font>
      <b/>
      <strike/>
      <sz val="12"/>
      <color theme="1" tint="0.34998626667073579"/>
      <name val="Bodoni MT Black"/>
      <family val="1"/>
    </font>
    <font>
      <i/>
      <sz val="11"/>
      <color theme="1" tint="0.34998626667073579"/>
      <name val="Calibri"/>
      <family val="2"/>
      <scheme val="minor"/>
    </font>
    <font>
      <b/>
      <sz val="8"/>
      <color rgb="FFC00000"/>
      <name val="Calibri"/>
      <family val="2"/>
      <scheme val="minor"/>
    </font>
    <font>
      <sz val="10"/>
      <color theme="1"/>
      <name val="Calibri"/>
      <family val="2"/>
      <scheme val="minor"/>
    </font>
    <font>
      <sz val="9"/>
      <color theme="3" tint="-0.499984740745262"/>
      <name val="Calibri"/>
      <family val="2"/>
      <scheme val="minor"/>
    </font>
  </fonts>
  <fills count="32">
    <fill>
      <patternFill patternType="none"/>
    </fill>
    <fill>
      <patternFill patternType="gray125"/>
    </fill>
    <fill>
      <patternFill patternType="solid">
        <fgColor theme="8" tint="0.59999389629810485"/>
        <bgColor indexed="65"/>
      </patternFill>
    </fill>
    <fill>
      <patternFill patternType="solid">
        <fgColor theme="4" tint="0.79998168889431442"/>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1" tint="4.9989318521683403E-2"/>
        <bgColor indexed="64"/>
      </patternFill>
    </fill>
    <fill>
      <patternFill patternType="solid">
        <fgColor theme="0"/>
        <bgColor indexed="64"/>
      </patternFill>
    </fill>
    <fill>
      <patternFill patternType="solid">
        <fgColor rgb="FFC4BD97"/>
        <bgColor indexed="64"/>
      </patternFill>
    </fill>
    <fill>
      <patternFill patternType="solid">
        <fgColor theme="5"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6"/>
        <bgColor indexed="64"/>
      </patternFill>
    </fill>
    <fill>
      <patternFill patternType="solid">
        <fgColor theme="0" tint="-0.249977111117893"/>
        <bgColor indexed="64"/>
      </patternFill>
    </fill>
  </fills>
  <borders count="49">
    <border>
      <left/>
      <right/>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thin">
        <color theme="6" tint="-0.499984740745262"/>
      </left>
      <right/>
      <top style="thin">
        <color theme="6" tint="-0.499984740745262"/>
      </top>
      <bottom style="thin">
        <color theme="6" tint="-0.499984740745262"/>
      </bottom>
      <diagonal/>
    </border>
    <border>
      <left/>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style="thin">
        <color indexed="64"/>
      </left>
      <right style="thin">
        <color indexed="64"/>
      </right>
      <top style="thin">
        <color indexed="64"/>
      </top>
      <bottom style="thin">
        <color indexed="64"/>
      </bottom>
      <diagonal/>
    </border>
    <border>
      <left style="thin">
        <color theme="6" tint="-0.249977111117893"/>
      </left>
      <right style="thin">
        <color theme="6" tint="-0.249977111117893"/>
      </right>
      <top/>
      <bottom/>
      <diagonal/>
    </border>
    <border>
      <left/>
      <right style="thin">
        <color indexed="64"/>
      </right>
      <top/>
      <bottom/>
      <diagonal/>
    </border>
    <border>
      <left style="thin">
        <color indexed="64"/>
      </left>
      <right style="thin">
        <color indexed="64"/>
      </right>
      <top/>
      <bottom/>
      <diagonal/>
    </border>
    <border>
      <left style="thin">
        <color theme="6" tint="-0.249977111117893"/>
      </left>
      <right/>
      <top style="thin">
        <color theme="6" tint="-0.249977111117893"/>
      </top>
      <bottom style="thin">
        <color theme="6" tint="-0.249977111117893"/>
      </bottom>
      <diagonal/>
    </border>
    <border>
      <left style="thin">
        <color theme="6" tint="-0.249977111117893"/>
      </left>
      <right style="thin">
        <color theme="6" tint="-0.249977111117893"/>
      </right>
      <top style="thin">
        <color theme="6" tint="-0.249977111117893"/>
      </top>
      <bottom/>
      <diagonal/>
    </border>
    <border>
      <left/>
      <right style="thin">
        <color theme="6" tint="-0.249977111117893"/>
      </right>
      <top style="thin">
        <color theme="6" tint="-0.249977111117893"/>
      </top>
      <bottom style="thin">
        <color theme="6" tint="-0.249977111117893"/>
      </bottom>
      <diagonal/>
    </border>
    <border>
      <left style="thin">
        <color theme="6" tint="-0.249977111117893"/>
      </left>
      <right style="thin">
        <color theme="6" tint="-0.249977111117893"/>
      </right>
      <top style="thin">
        <color theme="6" tint="-0.249977111117893"/>
      </top>
      <bottom style="thin">
        <color theme="6" tint="-0.249977111117893"/>
      </bottom>
      <diagonal/>
    </border>
    <border>
      <left style="thin">
        <color theme="6" tint="-0.249977111117893"/>
      </left>
      <right/>
      <top style="thin">
        <color theme="6" tint="-0.249977111117893"/>
      </top>
      <bottom/>
      <diagonal/>
    </border>
    <border>
      <left/>
      <right style="thin">
        <color theme="6" tint="-0.249977111117893"/>
      </right>
      <top style="thin">
        <color theme="6" tint="-0.249977111117893"/>
      </top>
      <bottom/>
      <diagonal/>
    </border>
    <border>
      <left style="thin">
        <color theme="6" tint="-0.249977111117893"/>
      </left>
      <right/>
      <top/>
      <bottom style="thin">
        <color theme="6" tint="-0.249977111117893"/>
      </bottom>
      <diagonal/>
    </border>
    <border>
      <left/>
      <right style="thin">
        <color theme="6" tint="-0.249977111117893"/>
      </right>
      <top/>
      <bottom style="thin">
        <color theme="6" tint="-0.249977111117893"/>
      </bottom>
      <diagonal/>
    </border>
    <border>
      <left style="thin">
        <color theme="6" tint="-0.249977111117893"/>
      </left>
      <right/>
      <top/>
      <bottom/>
      <diagonal/>
    </border>
    <border>
      <left/>
      <right style="thin">
        <color theme="6" tint="-0.249977111117893"/>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6" tint="-0.249977111117893"/>
      </left>
      <right style="thin">
        <color theme="6" tint="-0.249977111117893"/>
      </right>
      <top/>
      <bottom style="thin">
        <color theme="6" tint="-0.249977111117893"/>
      </bottom>
      <diagonal/>
    </border>
    <border>
      <left style="medium">
        <color theme="6" tint="-0.249977111117893"/>
      </left>
      <right style="medium">
        <color theme="6" tint="-0.249977111117893"/>
      </right>
      <top style="medium">
        <color theme="6" tint="-0.249977111117893"/>
      </top>
      <bottom style="medium">
        <color theme="6" tint="-0.249977111117893"/>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thin">
        <color theme="6"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style="hair">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s>
  <cellStyleXfs count="4">
    <xf numFmtId="0" fontId="0" fillId="0" borderId="0"/>
    <xf numFmtId="0" fontId="1" fillId="2" borderId="0" applyNumberFormat="0" applyBorder="0" applyAlignment="0" applyProtection="0"/>
    <xf numFmtId="0" fontId="8" fillId="0" borderId="0">
      <alignment vertical="center"/>
    </xf>
    <xf numFmtId="0" fontId="76" fillId="0" borderId="0" applyNumberFormat="0" applyFill="0" applyBorder="0" applyAlignment="0" applyProtection="0"/>
  </cellStyleXfs>
  <cellXfs count="544">
    <xf numFmtId="0" fontId="0" fillId="0" borderId="0" xfId="0"/>
    <xf numFmtId="164" fontId="3" fillId="0" borderId="1" xfId="0" applyNumberFormat="1" applyFont="1" applyBorder="1" applyAlignment="1">
      <alignment horizontal="left"/>
    </xf>
    <xf numFmtId="0" fontId="3" fillId="0" borderId="0" xfId="0" applyNumberFormat="1" applyFont="1" applyFill="1" applyBorder="1" applyAlignment="1" applyProtection="1">
      <alignment horizontal="left"/>
    </xf>
    <xf numFmtId="164" fontId="2" fillId="0" borderId="0" xfId="0" applyNumberFormat="1" applyFont="1" applyAlignment="1">
      <alignment horizontal="left"/>
    </xf>
    <xf numFmtId="164" fontId="0" fillId="0" borderId="0" xfId="0" applyNumberFormat="1" applyAlignment="1">
      <alignment horizontal="left"/>
    </xf>
    <xf numFmtId="0" fontId="2" fillId="3" borderId="2" xfId="0" applyNumberFormat="1" applyFont="1" applyFill="1" applyBorder="1" applyAlignment="1" applyProtection="1">
      <alignment horizontal="left"/>
      <protection locked="0"/>
    </xf>
    <xf numFmtId="0" fontId="0" fillId="0" borderId="0" xfId="0" applyAlignment="1">
      <alignment horizontal="right"/>
    </xf>
    <xf numFmtId="0" fontId="0" fillId="0" borderId="0" xfId="0" applyAlignment="1">
      <alignment horizontal="center"/>
    </xf>
    <xf numFmtId="164" fontId="3" fillId="4" borderId="6" xfId="0" applyNumberFormat="1" applyFont="1" applyFill="1" applyBorder="1" applyAlignment="1">
      <alignment horizontal="left"/>
    </xf>
    <xf numFmtId="164" fontId="0" fillId="5" borderId="6" xfId="0" applyNumberFormat="1" applyFont="1" applyFill="1" applyBorder="1" applyAlignment="1">
      <alignment horizontal="left"/>
    </xf>
    <xf numFmtId="164" fontId="0" fillId="0" borderId="6" xfId="0" applyNumberFormat="1" applyFont="1" applyBorder="1" applyAlignment="1">
      <alignment horizontal="left"/>
    </xf>
    <xf numFmtId="164" fontId="3" fillId="4" borderId="4" xfId="0" applyNumberFormat="1" applyFont="1" applyFill="1" applyBorder="1" applyAlignment="1"/>
    <xf numFmtId="164" fontId="3" fillId="6" borderId="7" xfId="0" applyNumberFormat="1" applyFont="1" applyFill="1" applyBorder="1" applyAlignment="1">
      <alignment horizontal="left"/>
    </xf>
    <xf numFmtId="164" fontId="3" fillId="6" borderId="8" xfId="0" applyNumberFormat="1" applyFont="1" applyFill="1" applyBorder="1" applyAlignment="1">
      <alignment horizontal="left"/>
    </xf>
    <xf numFmtId="164" fontId="3" fillId="6" borderId="9" xfId="0" applyNumberFormat="1" applyFont="1" applyFill="1" applyBorder="1" applyAlignment="1">
      <alignment horizontal="left"/>
    </xf>
    <xf numFmtId="164" fontId="3" fillId="0" borderId="0" xfId="0" applyNumberFormat="1" applyFont="1" applyAlignment="1">
      <alignment horizontal="left"/>
    </xf>
    <xf numFmtId="164" fontId="7" fillId="4" borderId="6" xfId="0" applyNumberFormat="1" applyFont="1" applyFill="1" applyBorder="1" applyAlignment="1">
      <alignment horizontal="left"/>
    </xf>
    <xf numFmtId="164" fontId="3" fillId="7" borderId="9" xfId="0" applyNumberFormat="1" applyFont="1" applyFill="1" applyBorder="1" applyAlignment="1">
      <alignment horizontal="left"/>
    </xf>
    <xf numFmtId="164" fontId="3" fillId="8" borderId="9" xfId="0" applyNumberFormat="1" applyFont="1" applyFill="1" applyBorder="1" applyAlignment="1">
      <alignment horizontal="left"/>
    </xf>
    <xf numFmtId="164" fontId="3" fillId="6" borderId="8" xfId="0" applyNumberFormat="1" applyFont="1" applyFill="1" applyBorder="1" applyAlignment="1">
      <alignment horizontal="center"/>
    </xf>
    <xf numFmtId="0" fontId="3" fillId="9" borderId="10" xfId="0" applyNumberFormat="1" applyFont="1" applyFill="1" applyBorder="1" applyAlignment="1">
      <alignment horizontal="left"/>
    </xf>
    <xf numFmtId="0" fontId="0" fillId="9" borderId="11" xfId="0" applyFill="1" applyBorder="1"/>
    <xf numFmtId="0" fontId="0" fillId="9" borderId="12" xfId="0" applyNumberFormat="1" applyFill="1" applyBorder="1" applyAlignment="1">
      <alignment horizontal="center"/>
    </xf>
    <xf numFmtId="164" fontId="0" fillId="9" borderId="13" xfId="0" applyNumberFormat="1" applyFill="1" applyBorder="1" applyAlignment="1">
      <alignment horizontal="left"/>
    </xf>
    <xf numFmtId="0" fontId="0" fillId="9" borderId="13" xfId="0" applyNumberFormat="1" applyFill="1" applyBorder="1" applyAlignment="1">
      <alignment horizontal="center"/>
    </xf>
    <xf numFmtId="0" fontId="0" fillId="9" borderId="14" xfId="0" applyFont="1" applyFill="1" applyBorder="1"/>
    <xf numFmtId="0" fontId="8" fillId="9" borderId="15" xfId="0" applyNumberFormat="1" applyFont="1" applyFill="1" applyBorder="1" applyAlignment="1">
      <alignment vertical="center"/>
    </xf>
    <xf numFmtId="164" fontId="0" fillId="9" borderId="12" xfId="0" applyNumberFormat="1" applyFill="1" applyBorder="1" applyAlignment="1">
      <alignment horizontal="left"/>
    </xf>
    <xf numFmtId="0" fontId="9" fillId="0" borderId="6" xfId="0" applyFont="1" applyBorder="1" applyAlignment="1">
      <alignment horizontal="left"/>
    </xf>
    <xf numFmtId="0" fontId="0" fillId="10" borderId="12" xfId="0" applyNumberFormat="1" applyFill="1" applyBorder="1" applyAlignment="1">
      <alignment horizontal="center"/>
    </xf>
    <xf numFmtId="0" fontId="0" fillId="10" borderId="12" xfId="0" applyNumberFormat="1" applyFill="1" applyBorder="1" applyAlignment="1">
      <alignment horizontal="left"/>
    </xf>
    <xf numFmtId="0" fontId="0" fillId="10" borderId="12" xfId="0" applyNumberFormat="1" applyFill="1" applyBorder="1" applyAlignment="1">
      <alignment horizontal="right"/>
    </xf>
    <xf numFmtId="0" fontId="0" fillId="8" borderId="12" xfId="0" applyNumberFormat="1" applyFill="1" applyBorder="1" applyAlignment="1">
      <alignment horizontal="center"/>
    </xf>
    <xf numFmtId="0" fontId="0" fillId="9" borderId="7" xfId="0" applyFill="1" applyBorder="1"/>
    <xf numFmtId="0" fontId="0" fillId="9" borderId="7" xfId="0" applyFill="1" applyBorder="1" applyAlignment="1">
      <alignment horizontal="center"/>
    </xf>
    <xf numFmtId="0" fontId="0" fillId="9" borderId="16" xfId="0" applyFont="1" applyFill="1" applyBorder="1"/>
    <xf numFmtId="0" fontId="8" fillId="9" borderId="17" xfId="0" applyNumberFormat="1" applyFont="1" applyFill="1" applyBorder="1" applyAlignment="1">
      <alignment vertical="center"/>
    </xf>
    <xf numFmtId="0" fontId="0" fillId="9" borderId="18" xfId="0" applyFont="1" applyFill="1" applyBorder="1"/>
    <xf numFmtId="0" fontId="8" fillId="9" borderId="19" xfId="0" applyNumberFormat="1" applyFont="1" applyFill="1" applyBorder="1" applyAlignment="1">
      <alignment vertical="center"/>
    </xf>
    <xf numFmtId="164" fontId="10" fillId="4" borderId="0" xfId="0" applyNumberFormat="1" applyFont="1" applyFill="1" applyBorder="1" applyAlignment="1">
      <alignment horizontal="left"/>
    </xf>
    <xf numFmtId="164" fontId="10" fillId="5" borderId="0" xfId="0" applyNumberFormat="1" applyFont="1" applyFill="1" applyBorder="1" applyAlignment="1">
      <alignment horizontal="left"/>
    </xf>
    <xf numFmtId="164" fontId="11" fillId="0" borderId="0" xfId="0" applyNumberFormat="1" applyFont="1" applyBorder="1" applyAlignment="1">
      <alignment horizontal="left"/>
    </xf>
    <xf numFmtId="164" fontId="0" fillId="0" borderId="0" xfId="0" applyNumberFormat="1" applyBorder="1" applyAlignment="1">
      <alignment horizontal="left"/>
    </xf>
    <xf numFmtId="164" fontId="7" fillId="4" borderId="20" xfId="0" applyNumberFormat="1" applyFont="1" applyFill="1" applyBorder="1" applyAlignment="1">
      <alignment horizontal="center" vertical="center"/>
    </xf>
    <xf numFmtId="164" fontId="3" fillId="4" borderId="20" xfId="0" applyNumberFormat="1" applyFont="1" applyFill="1" applyBorder="1" applyAlignment="1">
      <alignment horizontal="center" vertical="center"/>
    </xf>
    <xf numFmtId="164" fontId="7" fillId="4" borderId="21" xfId="0" applyNumberFormat="1" applyFont="1" applyFill="1" applyBorder="1" applyAlignment="1">
      <alignment horizontal="center" vertical="center"/>
    </xf>
    <xf numFmtId="164" fontId="3" fillId="4" borderId="21" xfId="0" applyNumberFormat="1" applyFont="1" applyFill="1" applyBorder="1" applyAlignment="1">
      <alignment horizontal="center" vertical="center"/>
    </xf>
    <xf numFmtId="0" fontId="0" fillId="6" borderId="6" xfId="1" applyFont="1" applyFill="1" applyBorder="1"/>
    <xf numFmtId="164" fontId="14" fillId="5" borderId="6" xfId="0" applyNumberFormat="1" applyFont="1" applyFill="1" applyBorder="1" applyAlignment="1">
      <alignment horizontal="left"/>
    </xf>
    <xf numFmtId="164" fontId="0" fillId="0" borderId="6" xfId="0" applyNumberFormat="1" applyBorder="1" applyAlignment="1">
      <alignment horizontal="left"/>
    </xf>
    <xf numFmtId="164" fontId="17" fillId="6" borderId="6" xfId="0" applyNumberFormat="1" applyFont="1" applyFill="1" applyBorder="1" applyAlignment="1">
      <alignment horizontal="left"/>
    </xf>
    <xf numFmtId="164" fontId="19" fillId="6" borderId="6" xfId="0" applyNumberFormat="1" applyFont="1" applyFill="1" applyBorder="1" applyAlignment="1">
      <alignment horizontal="left"/>
    </xf>
    <xf numFmtId="0" fontId="0" fillId="9" borderId="22" xfId="0" applyFill="1" applyBorder="1"/>
    <xf numFmtId="164" fontId="0" fillId="9" borderId="11" xfId="0" applyNumberFormat="1" applyFill="1" applyBorder="1" applyAlignment="1">
      <alignment horizontal="left"/>
    </xf>
    <xf numFmtId="164" fontId="0" fillId="9" borderId="15" xfId="0" applyNumberFormat="1" applyFill="1" applyBorder="1" applyAlignment="1">
      <alignment horizontal="left"/>
    </xf>
    <xf numFmtId="164" fontId="13" fillId="5" borderId="6" xfId="0" applyNumberFormat="1" applyFont="1" applyFill="1" applyBorder="1" applyAlignment="1">
      <alignment horizontal="left"/>
    </xf>
    <xf numFmtId="164" fontId="3" fillId="0" borderId="0" xfId="0" applyNumberFormat="1" applyFont="1" applyBorder="1" applyAlignment="1">
      <alignment horizontal="left"/>
    </xf>
    <xf numFmtId="164" fontId="0" fillId="0" borderId="23" xfId="0" applyNumberFormat="1" applyFont="1" applyBorder="1" applyAlignment="1">
      <alignment horizontal="left"/>
    </xf>
    <xf numFmtId="164" fontId="0" fillId="0" borderId="23" xfId="0" applyNumberFormat="1" applyBorder="1" applyAlignment="1">
      <alignment horizontal="left"/>
    </xf>
    <xf numFmtId="164" fontId="3" fillId="0" borderId="0" xfId="0" applyNumberFormat="1" applyFont="1" applyBorder="1" applyAlignment="1">
      <alignment horizontal="center"/>
    </xf>
    <xf numFmtId="0" fontId="0" fillId="9" borderId="0" xfId="0" applyNumberFormat="1" applyFill="1" applyBorder="1" applyAlignment="1">
      <alignment horizontal="center"/>
    </xf>
    <xf numFmtId="0" fontId="0" fillId="11" borderId="0" xfId="0" applyFill="1" applyAlignment="1">
      <alignment horizontal="right"/>
    </xf>
    <xf numFmtId="0" fontId="0" fillId="11" borderId="0" xfId="0" applyFill="1" applyAlignment="1">
      <alignment horizontal="center"/>
    </xf>
    <xf numFmtId="0" fontId="0" fillId="11" borderId="0" xfId="0" applyFill="1"/>
    <xf numFmtId="0" fontId="0" fillId="0" borderId="0" xfId="0" applyNumberFormat="1" applyAlignment="1">
      <alignment horizontal="left"/>
    </xf>
    <xf numFmtId="164" fontId="23" fillId="0" borderId="6" xfId="0" applyNumberFormat="1" applyFont="1" applyFill="1" applyBorder="1" applyAlignment="1">
      <alignment horizontal="left"/>
    </xf>
    <xf numFmtId="0" fontId="24" fillId="0" borderId="24" xfId="0" applyFont="1" applyBorder="1"/>
    <xf numFmtId="0" fontId="24" fillId="0" borderId="0" xfId="0" applyFont="1" applyBorder="1"/>
    <xf numFmtId="0" fontId="0" fillId="0" borderId="20" xfId="0" applyBorder="1"/>
    <xf numFmtId="0" fontId="0" fillId="0" borderId="25" xfId="0" applyBorder="1"/>
    <xf numFmtId="0" fontId="0" fillId="0" borderId="0" xfId="0" applyAlignment="1">
      <alignment horizontal="left"/>
    </xf>
    <xf numFmtId="0" fontId="3" fillId="0" borderId="0" xfId="0" applyFont="1"/>
    <xf numFmtId="0" fontId="3" fillId="0" borderId="26" xfId="0" applyFont="1" applyBorder="1"/>
    <xf numFmtId="0" fontId="3" fillId="0" borderId="27" xfId="0" applyFont="1" applyBorder="1"/>
    <xf numFmtId="0" fontId="3" fillId="0" borderId="28" xfId="0" applyFont="1" applyBorder="1"/>
    <xf numFmtId="0" fontId="0" fillId="0" borderId="0" xfId="0" applyFont="1" applyFill="1" applyBorder="1"/>
    <xf numFmtId="0" fontId="0" fillId="0" borderId="9" xfId="0" applyBorder="1"/>
    <xf numFmtId="0" fontId="0" fillId="0" borderId="8" xfId="0" applyBorder="1"/>
    <xf numFmtId="0" fontId="25" fillId="0" borderId="0" xfId="0" applyFont="1" applyAlignment="1">
      <alignment horizontal="center"/>
    </xf>
    <xf numFmtId="0" fontId="0" fillId="0" borderId="1" xfId="0" applyBorder="1"/>
    <xf numFmtId="0" fontId="0" fillId="0" borderId="24" xfId="0" applyBorder="1"/>
    <xf numFmtId="0" fontId="0" fillId="0" borderId="0" xfId="0" applyBorder="1"/>
    <xf numFmtId="0" fontId="0" fillId="0" borderId="21" xfId="0" applyBorder="1"/>
    <xf numFmtId="0" fontId="0" fillId="0" borderId="29" xfId="0" applyBorder="1"/>
    <xf numFmtId="0" fontId="25" fillId="0" borderId="0" xfId="0" applyFont="1"/>
    <xf numFmtId="0" fontId="25" fillId="0" borderId="0" xfId="0" applyFont="1" applyFill="1"/>
    <xf numFmtId="0" fontId="0" fillId="0" borderId="6" xfId="0" applyFill="1" applyBorder="1"/>
    <xf numFmtId="0" fontId="23" fillId="0" borderId="6" xfId="0" applyFont="1" applyFill="1" applyBorder="1"/>
    <xf numFmtId="0" fontId="0" fillId="0" borderId="30" xfId="0" applyBorder="1"/>
    <xf numFmtId="0" fontId="0" fillId="0" borderId="6" xfId="0" applyBorder="1"/>
    <xf numFmtId="0" fontId="3" fillId="0" borderId="24" xfId="0" applyFont="1" applyBorder="1"/>
    <xf numFmtId="0" fontId="24" fillId="0" borderId="0" xfId="0" applyFont="1"/>
    <xf numFmtId="0" fontId="0" fillId="0" borderId="31" xfId="0" applyBorder="1"/>
    <xf numFmtId="0" fontId="23" fillId="0" borderId="0" xfId="0" applyFont="1"/>
    <xf numFmtId="0" fontId="26" fillId="0" borderId="0" xfId="0" applyFont="1"/>
    <xf numFmtId="0" fontId="23" fillId="0" borderId="1" xfId="0" applyFont="1" applyBorder="1"/>
    <xf numFmtId="0" fontId="0" fillId="0" borderId="26" xfId="0" applyFill="1" applyBorder="1"/>
    <xf numFmtId="0" fontId="3" fillId="0" borderId="0" xfId="0" applyFont="1" applyFill="1" applyBorder="1"/>
    <xf numFmtId="0" fontId="0" fillId="0" borderId="0" xfId="0" applyFill="1" applyBorder="1"/>
    <xf numFmtId="0" fontId="27" fillId="0" borderId="0" xfId="0" applyFont="1"/>
    <xf numFmtId="0" fontId="23" fillId="0" borderId="30" xfId="0" applyFont="1" applyBorder="1"/>
    <xf numFmtId="0" fontId="2" fillId="0" borderId="0" xfId="0" applyFont="1"/>
    <xf numFmtId="0" fontId="0" fillId="0" borderId="32" xfId="0" applyBorder="1"/>
    <xf numFmtId="0" fontId="0" fillId="0" borderId="0" xfId="0" applyBorder="1" applyAlignment="1">
      <alignment horizontal="right"/>
    </xf>
    <xf numFmtId="0" fontId="25" fillId="0" borderId="0" xfId="0" applyFont="1" applyBorder="1" applyAlignment="1">
      <alignment horizontal="center"/>
    </xf>
    <xf numFmtId="0" fontId="25" fillId="0" borderId="0" xfId="0" applyFont="1" applyBorder="1"/>
    <xf numFmtId="0" fontId="28" fillId="0" borderId="0" xfId="0" applyFont="1"/>
    <xf numFmtId="0" fontId="29" fillId="3" borderId="0" xfId="0" applyFont="1" applyFill="1" applyBorder="1" applyAlignment="1">
      <alignment vertical="top"/>
    </xf>
    <xf numFmtId="0" fontId="0" fillId="3" borderId="0" xfId="0" applyFill="1"/>
    <xf numFmtId="0" fontId="31" fillId="0" borderId="0" xfId="0" applyFont="1" applyAlignment="1" applyProtection="1">
      <alignment vertical="center"/>
      <protection locked="0"/>
    </xf>
    <xf numFmtId="164" fontId="0" fillId="3" borderId="0" xfId="0" applyNumberFormat="1" applyFill="1" applyProtection="1">
      <protection hidden="1"/>
    </xf>
    <xf numFmtId="0" fontId="3" fillId="14" borderId="0" xfId="0" applyFont="1" applyFill="1" applyBorder="1" applyProtection="1">
      <protection hidden="1"/>
    </xf>
    <xf numFmtId="164" fontId="0" fillId="3" borderId="0" xfId="0" applyNumberFormat="1" applyFill="1" applyAlignment="1" applyProtection="1">
      <alignment shrinkToFit="1"/>
      <protection hidden="1"/>
    </xf>
    <xf numFmtId="0" fontId="33" fillId="3" borderId="0" xfId="0" applyFont="1" applyFill="1" applyAlignment="1">
      <alignment textRotation="45"/>
    </xf>
    <xf numFmtId="0" fontId="33" fillId="3" borderId="0" xfId="0" applyFont="1" applyFill="1" applyAlignment="1">
      <alignment textRotation="20"/>
    </xf>
    <xf numFmtId="0" fontId="34" fillId="3" borderId="0" xfId="0" applyFont="1" applyFill="1"/>
    <xf numFmtId="0" fontId="33" fillId="3" borderId="0" xfId="0" applyFont="1" applyFill="1" applyAlignment="1"/>
    <xf numFmtId="0" fontId="33" fillId="3" borderId="0" xfId="0" applyFont="1" applyFill="1"/>
    <xf numFmtId="0" fontId="35" fillId="3" borderId="0" xfId="0" applyFont="1" applyFill="1" applyAlignment="1"/>
    <xf numFmtId="14" fontId="35" fillId="3" borderId="0" xfId="0" applyNumberFormat="1" applyFont="1" applyFill="1" applyAlignment="1"/>
    <xf numFmtId="0" fontId="37" fillId="3" borderId="0" xfId="0" applyFont="1" applyFill="1"/>
    <xf numFmtId="0" fontId="38" fillId="3" borderId="0" xfId="0" applyFont="1" applyFill="1" applyBorder="1" applyAlignment="1">
      <alignment vertical="center"/>
    </xf>
    <xf numFmtId="0" fontId="3" fillId="15" borderId="0" xfId="0" applyNumberFormat="1" applyFont="1" applyFill="1" applyAlignment="1" applyProtection="1">
      <alignment shrinkToFit="1"/>
      <protection locked="0"/>
    </xf>
    <xf numFmtId="0" fontId="0" fillId="16" borderId="0" xfId="0" applyFill="1" applyProtection="1"/>
    <xf numFmtId="0" fontId="0" fillId="0" borderId="0" xfId="0" applyAlignment="1" applyProtection="1">
      <alignment vertical="center"/>
      <protection locked="0"/>
    </xf>
    <xf numFmtId="0" fontId="0" fillId="15" borderId="0" xfId="0" applyNumberFormat="1" applyFill="1" applyAlignment="1" applyProtection="1">
      <alignment shrinkToFit="1"/>
      <protection locked="0"/>
    </xf>
    <xf numFmtId="164" fontId="3" fillId="4" borderId="20" xfId="0" applyNumberFormat="1" applyFont="1" applyFill="1" applyBorder="1" applyAlignment="1">
      <alignment vertical="center"/>
    </xf>
    <xf numFmtId="0" fontId="0" fillId="17" borderId="0" xfId="0" applyFill="1" applyProtection="1">
      <protection hidden="1"/>
    </xf>
    <xf numFmtId="0" fontId="3" fillId="17" borderId="0" xfId="0" applyFont="1" applyFill="1" applyProtection="1">
      <protection hidden="1"/>
    </xf>
    <xf numFmtId="0" fontId="0" fillId="0" borderId="0" xfId="0" applyProtection="1">
      <protection hidden="1"/>
    </xf>
    <xf numFmtId="0" fontId="3" fillId="0" borderId="0" xfId="0" applyFont="1" applyFill="1" applyProtection="1">
      <protection hidden="1"/>
    </xf>
    <xf numFmtId="0" fontId="3" fillId="0" borderId="0" xfId="0" applyFont="1" applyProtection="1">
      <protection hidden="1"/>
    </xf>
    <xf numFmtId="0" fontId="43" fillId="17" borderId="0" xfId="0" applyFont="1" applyFill="1" applyAlignment="1" applyProtection="1">
      <protection hidden="1"/>
    </xf>
    <xf numFmtId="0" fontId="14" fillId="0" borderId="0" xfId="0" applyFont="1" applyProtection="1">
      <protection hidden="1"/>
    </xf>
    <xf numFmtId="0" fontId="44" fillId="17" borderId="0" xfId="0" applyFont="1" applyFill="1" applyAlignment="1" applyProtection="1">
      <alignment horizontal="right" vertical="center"/>
      <protection hidden="1"/>
    </xf>
    <xf numFmtId="2" fontId="14" fillId="0" borderId="0" xfId="0" applyNumberFormat="1" applyFont="1" applyAlignment="1" applyProtection="1">
      <protection hidden="1"/>
    </xf>
    <xf numFmtId="2" fontId="13" fillId="0" borderId="29" xfId="0" applyNumberFormat="1" applyFont="1" applyBorder="1" applyAlignment="1" applyProtection="1">
      <protection hidden="1"/>
    </xf>
    <xf numFmtId="0" fontId="13" fillId="0" borderId="0" xfId="0" applyNumberFormat="1" applyFont="1" applyAlignment="1" applyProtection="1">
      <protection hidden="1"/>
    </xf>
    <xf numFmtId="2" fontId="46" fillId="18" borderId="6" xfId="0" applyNumberFormat="1" applyFont="1" applyFill="1" applyBorder="1" applyAlignment="1" applyProtection="1">
      <alignment vertical="center"/>
      <protection hidden="1"/>
    </xf>
    <xf numFmtId="2" fontId="13" fillId="0" borderId="0" xfId="0" applyNumberFormat="1" applyFont="1" applyAlignment="1" applyProtection="1">
      <alignment shrinkToFit="1"/>
      <protection hidden="1"/>
    </xf>
    <xf numFmtId="2" fontId="47" fillId="18" borderId="6" xfId="0" applyNumberFormat="1" applyFont="1" applyFill="1" applyBorder="1" applyAlignment="1" applyProtection="1">
      <alignment vertical="center"/>
      <protection hidden="1"/>
    </xf>
    <xf numFmtId="0" fontId="48" fillId="17" borderId="0" xfId="0" applyFont="1" applyFill="1" applyAlignment="1" applyProtection="1">
      <protection hidden="1"/>
    </xf>
    <xf numFmtId="0" fontId="49" fillId="17" borderId="0" xfId="0" applyFont="1" applyFill="1" applyAlignment="1" applyProtection="1">
      <protection hidden="1"/>
    </xf>
    <xf numFmtId="0" fontId="0" fillId="17" borderId="0" xfId="0" applyFill="1" applyAlignment="1" applyProtection="1">
      <protection hidden="1"/>
    </xf>
    <xf numFmtId="0" fontId="0" fillId="17" borderId="0" xfId="0" applyFill="1" applyBorder="1" applyAlignment="1" applyProtection="1">
      <alignment horizontal="right"/>
      <protection hidden="1"/>
    </xf>
    <xf numFmtId="0" fontId="0" fillId="17" borderId="24" xfId="0" applyFill="1" applyBorder="1" applyAlignment="1" applyProtection="1">
      <protection hidden="1"/>
    </xf>
    <xf numFmtId="0" fontId="0" fillId="0" borderId="0" xfId="0" applyAlignment="1" applyProtection="1">
      <protection hidden="1"/>
    </xf>
    <xf numFmtId="0" fontId="48" fillId="17" borderId="0" xfId="0" applyFont="1" applyFill="1" applyProtection="1">
      <protection hidden="1"/>
    </xf>
    <xf numFmtId="0" fontId="49" fillId="17" borderId="0" xfId="0" applyFont="1" applyFill="1" applyProtection="1">
      <protection hidden="1"/>
    </xf>
    <xf numFmtId="0" fontId="0" fillId="17" borderId="0" xfId="0" applyFill="1" applyBorder="1" applyAlignment="1" applyProtection="1">
      <protection hidden="1"/>
    </xf>
    <xf numFmtId="0" fontId="0" fillId="0" borderId="0" xfId="0" applyBorder="1" applyAlignment="1" applyProtection="1">
      <protection hidden="1"/>
    </xf>
    <xf numFmtId="0" fontId="49" fillId="17" borderId="0" xfId="0" applyFont="1" applyFill="1" applyAlignment="1" applyProtection="1">
      <alignment horizontal="right"/>
      <protection hidden="1"/>
    </xf>
    <xf numFmtId="0" fontId="0" fillId="14" borderId="6" xfId="0" applyFill="1" applyBorder="1" applyAlignment="1" applyProtection="1">
      <protection locked="0" hidden="1"/>
    </xf>
    <xf numFmtId="0" fontId="3" fillId="17" borderId="0" xfId="0" applyFont="1" applyFill="1" applyAlignment="1" applyProtection="1">
      <alignment horizontal="left"/>
      <protection hidden="1"/>
    </xf>
    <xf numFmtId="0" fontId="50" fillId="17" borderId="0" xfId="0" applyFont="1" applyFill="1" applyProtection="1">
      <protection hidden="1"/>
    </xf>
    <xf numFmtId="0" fontId="51" fillId="17" borderId="0" xfId="0" applyFont="1" applyFill="1" applyAlignment="1" applyProtection="1">
      <alignment horizontal="right"/>
      <protection hidden="1"/>
    </xf>
    <xf numFmtId="0" fontId="51" fillId="17" borderId="0" xfId="0" applyFont="1" applyFill="1" applyProtection="1">
      <protection hidden="1"/>
    </xf>
    <xf numFmtId="0" fontId="0" fillId="17" borderId="30" xfId="0" applyFill="1" applyBorder="1" applyAlignment="1" applyProtection="1">
      <protection hidden="1"/>
    </xf>
    <xf numFmtId="0" fontId="3" fillId="17" borderId="0" xfId="0" applyFont="1" applyFill="1" applyAlignment="1" applyProtection="1">
      <alignment horizontal="right"/>
      <protection hidden="1"/>
    </xf>
    <xf numFmtId="0" fontId="0" fillId="15" borderId="1" xfId="0" applyFill="1" applyBorder="1" applyAlignment="1" applyProtection="1">
      <alignment horizontal="left"/>
      <protection hidden="1"/>
    </xf>
    <xf numFmtId="0" fontId="0" fillId="15" borderId="25" xfId="0" applyFill="1" applyBorder="1" applyAlignment="1" applyProtection="1">
      <alignment horizontal="right"/>
      <protection hidden="1"/>
    </xf>
    <xf numFmtId="0" fontId="0" fillId="17" borderId="0" xfId="0" applyFill="1" applyAlignment="1" applyProtection="1">
      <alignment horizontal="right"/>
      <protection hidden="1"/>
    </xf>
    <xf numFmtId="0" fontId="0" fillId="15" borderId="24" xfId="0" applyFill="1" applyBorder="1" applyAlignment="1" applyProtection="1">
      <alignment horizontal="left"/>
      <protection hidden="1"/>
    </xf>
    <xf numFmtId="0" fontId="0" fillId="15" borderId="8" xfId="0" applyFill="1" applyBorder="1" applyAlignment="1" applyProtection="1">
      <alignment horizontal="right"/>
      <protection hidden="1"/>
    </xf>
    <xf numFmtId="0" fontId="52" fillId="17" borderId="0" xfId="0" applyFont="1" applyFill="1" applyBorder="1" applyAlignment="1" applyProtection="1">
      <protection hidden="1"/>
    </xf>
    <xf numFmtId="0" fontId="0" fillId="17" borderId="1" xfId="0" applyFill="1" applyBorder="1" applyAlignment="1" applyProtection="1">
      <protection hidden="1"/>
    </xf>
    <xf numFmtId="0" fontId="0" fillId="15" borderId="25" xfId="0" applyFill="1" applyBorder="1" applyAlignment="1" applyProtection="1">
      <alignment horizontal="left"/>
      <protection hidden="1"/>
    </xf>
    <xf numFmtId="0" fontId="0" fillId="15" borderId="20" xfId="0" applyFill="1" applyBorder="1" applyAlignment="1" applyProtection="1">
      <alignment horizontal="left"/>
      <protection hidden="1"/>
    </xf>
    <xf numFmtId="0" fontId="0" fillId="15" borderId="1" xfId="0" applyFill="1" applyBorder="1" applyProtection="1">
      <protection hidden="1"/>
    </xf>
    <xf numFmtId="0" fontId="0" fillId="15" borderId="8" xfId="0" applyFill="1" applyBorder="1" applyAlignment="1" applyProtection="1">
      <alignment horizontal="left"/>
      <protection hidden="1"/>
    </xf>
    <xf numFmtId="0" fontId="0" fillId="15" borderId="9" xfId="0" applyFill="1" applyBorder="1" applyAlignment="1" applyProtection="1">
      <alignment horizontal="left"/>
      <protection hidden="1"/>
    </xf>
    <xf numFmtId="0" fontId="0" fillId="15" borderId="24" xfId="0" applyFill="1" applyBorder="1" applyProtection="1">
      <protection hidden="1"/>
    </xf>
    <xf numFmtId="0" fontId="0" fillId="15" borderId="24" xfId="0" applyFill="1" applyBorder="1" applyAlignment="1" applyProtection="1">
      <alignment horizontal="right"/>
      <protection hidden="1"/>
    </xf>
    <xf numFmtId="0" fontId="0" fillId="15" borderId="30" xfId="0" applyFill="1" applyBorder="1" applyAlignment="1" applyProtection="1">
      <alignment horizontal="right"/>
      <protection hidden="1"/>
    </xf>
    <xf numFmtId="0" fontId="0" fillId="15" borderId="29" xfId="0" applyFill="1" applyBorder="1" applyAlignment="1" applyProtection="1">
      <alignment horizontal="right"/>
      <protection hidden="1"/>
    </xf>
    <xf numFmtId="0" fontId="0" fillId="15" borderId="30" xfId="0" applyFill="1" applyBorder="1" applyAlignment="1" applyProtection="1">
      <alignment horizontal="left"/>
      <protection hidden="1"/>
    </xf>
    <xf numFmtId="0" fontId="0" fillId="15" borderId="30" xfId="0" applyFill="1" applyBorder="1" applyProtection="1">
      <protection hidden="1"/>
    </xf>
    <xf numFmtId="0" fontId="53" fillId="17" borderId="0" xfId="0" applyFont="1" applyFill="1" applyAlignment="1" applyProtection="1">
      <protection hidden="1"/>
    </xf>
    <xf numFmtId="0" fontId="0" fillId="17" borderId="0" xfId="0" applyFill="1" applyAlignment="1" applyProtection="1">
      <alignment horizontal="left"/>
      <protection hidden="1"/>
    </xf>
    <xf numFmtId="0" fontId="0" fillId="15" borderId="1" xfId="0" applyFill="1" applyBorder="1" applyAlignment="1" applyProtection="1">
      <protection hidden="1"/>
    </xf>
    <xf numFmtId="0" fontId="0" fillId="15" borderId="32" xfId="0" applyFill="1" applyBorder="1" applyAlignment="1" applyProtection="1">
      <protection hidden="1"/>
    </xf>
    <xf numFmtId="0" fontId="0" fillId="15" borderId="30" xfId="0" applyFill="1" applyBorder="1" applyAlignment="1" applyProtection="1">
      <protection hidden="1"/>
    </xf>
    <xf numFmtId="0" fontId="0" fillId="15" borderId="31" xfId="0" applyFill="1" applyBorder="1" applyAlignment="1" applyProtection="1">
      <protection hidden="1"/>
    </xf>
    <xf numFmtId="0" fontId="0" fillId="15" borderId="29" xfId="0" applyFill="1" applyBorder="1" applyAlignment="1" applyProtection="1">
      <protection hidden="1"/>
    </xf>
    <xf numFmtId="0" fontId="0" fillId="15" borderId="29" xfId="0" applyFill="1" applyBorder="1" applyAlignment="1" applyProtection="1">
      <alignment horizontal="left"/>
      <protection hidden="1"/>
    </xf>
    <xf numFmtId="0" fontId="0" fillId="15" borderId="21" xfId="0" applyFill="1" applyBorder="1" applyAlignment="1" applyProtection="1">
      <alignment horizontal="left"/>
      <protection hidden="1"/>
    </xf>
    <xf numFmtId="0" fontId="0" fillId="0" borderId="0" xfId="0" applyAlignment="1" applyProtection="1">
      <alignment horizontal="right"/>
      <protection hidden="1"/>
    </xf>
    <xf numFmtId="0" fontId="0" fillId="17" borderId="0" xfId="0" applyFill="1" applyBorder="1" applyAlignment="1" applyProtection="1">
      <protection locked="0" hidden="1"/>
    </xf>
    <xf numFmtId="0" fontId="54" fillId="19" borderId="6" xfId="0" applyFont="1" applyFill="1" applyBorder="1" applyAlignment="1" applyProtection="1">
      <protection locked="0" hidden="1"/>
    </xf>
    <xf numFmtId="0" fontId="0" fillId="17" borderId="0" xfId="0" applyFill="1" applyAlignment="1" applyProtection="1">
      <alignment horizontal="center"/>
      <protection hidden="1"/>
    </xf>
    <xf numFmtId="0" fontId="0" fillId="3" borderId="36" xfId="0" applyFill="1" applyBorder="1" applyProtection="1">
      <protection locked="0"/>
    </xf>
    <xf numFmtId="0" fontId="55" fillId="0" borderId="0" xfId="0" applyFont="1"/>
    <xf numFmtId="0" fontId="25" fillId="0" borderId="1" xfId="0" applyFont="1" applyBorder="1" applyAlignment="1"/>
    <xf numFmtId="0" fontId="55" fillId="0" borderId="32" xfId="0" applyFont="1" applyBorder="1"/>
    <xf numFmtId="0" fontId="25" fillId="0" borderId="32" xfId="0" applyFont="1" applyBorder="1" applyAlignment="1">
      <alignment horizontal="center"/>
    </xf>
    <xf numFmtId="0" fontId="55" fillId="0" borderId="25" xfId="0" applyFont="1" applyBorder="1"/>
    <xf numFmtId="0" fontId="25" fillId="0" borderId="24" xfId="0" applyFont="1" applyBorder="1"/>
    <xf numFmtId="0" fontId="25" fillId="0" borderId="8" xfId="0" applyFont="1" applyBorder="1"/>
    <xf numFmtId="0" fontId="25" fillId="0" borderId="30" xfId="0" applyFont="1" applyBorder="1"/>
    <xf numFmtId="0" fontId="25" fillId="0" borderId="31" xfId="0" applyFont="1" applyBorder="1"/>
    <xf numFmtId="0" fontId="25" fillId="0" borderId="29" xfId="0" applyFont="1" applyBorder="1"/>
    <xf numFmtId="0" fontId="25" fillId="0" borderId="24" xfId="0" applyFont="1" applyBorder="1" applyAlignment="1"/>
    <xf numFmtId="0" fontId="0" fillId="20" borderId="20" xfId="0" applyFill="1" applyBorder="1"/>
    <xf numFmtId="0" fontId="0" fillId="20" borderId="9" xfId="0" applyFill="1" applyBorder="1"/>
    <xf numFmtId="0" fontId="0" fillId="20" borderId="21" xfId="0" applyFill="1" applyBorder="1"/>
    <xf numFmtId="0" fontId="56" fillId="17" borderId="0" xfId="0" applyFont="1" applyFill="1" applyProtection="1">
      <protection hidden="1"/>
    </xf>
    <xf numFmtId="0" fontId="14" fillId="17" borderId="0" xfId="0" applyFont="1" applyFill="1" applyProtection="1">
      <protection hidden="1"/>
    </xf>
    <xf numFmtId="0" fontId="0" fillId="17" borderId="0" xfId="0" applyFont="1" applyFill="1" applyAlignment="1" applyProtection="1">
      <alignment horizontal="right"/>
      <protection hidden="1"/>
    </xf>
    <xf numFmtId="0" fontId="14" fillId="17" borderId="0" xfId="0" applyFont="1" applyFill="1" applyAlignment="1" applyProtection="1">
      <protection hidden="1"/>
    </xf>
    <xf numFmtId="0" fontId="14" fillId="17" borderId="0" xfId="0" applyFont="1" applyFill="1" applyBorder="1" applyProtection="1">
      <protection hidden="1"/>
    </xf>
    <xf numFmtId="0" fontId="57" fillId="17" borderId="0" xfId="0" applyFont="1" applyFill="1" applyAlignment="1" applyProtection="1">
      <alignment vertical="top"/>
      <protection hidden="1"/>
    </xf>
    <xf numFmtId="2" fontId="0" fillId="17" borderId="0" xfId="0" applyNumberFormat="1" applyFont="1" applyFill="1" applyBorder="1" applyAlignment="1" applyProtection="1">
      <alignment horizontal="center"/>
      <protection hidden="1"/>
    </xf>
    <xf numFmtId="0" fontId="13" fillId="0" borderId="0" xfId="0" applyFont="1" applyProtection="1">
      <protection hidden="1"/>
    </xf>
    <xf numFmtId="0" fontId="13" fillId="17" borderId="0" xfId="0" applyFont="1" applyFill="1" applyProtection="1">
      <protection hidden="1"/>
    </xf>
    <xf numFmtId="0" fontId="13" fillId="6" borderId="0" xfId="0" applyFont="1" applyFill="1" applyAlignment="1" applyProtection="1">
      <alignment horizontal="left"/>
      <protection hidden="1"/>
    </xf>
    <xf numFmtId="0" fontId="13" fillId="6" borderId="0" xfId="0" applyFont="1" applyFill="1" applyAlignment="1" applyProtection="1">
      <alignment horizontal="center"/>
      <protection hidden="1"/>
    </xf>
    <xf numFmtId="0" fontId="13" fillId="17" borderId="0" xfId="0" applyFont="1" applyFill="1" applyAlignment="1" applyProtection="1">
      <alignment horizontal="center"/>
      <protection hidden="1"/>
    </xf>
    <xf numFmtId="0" fontId="59" fillId="9" borderId="10" xfId="0" applyNumberFormat="1" applyFont="1" applyFill="1" applyBorder="1" applyAlignment="1" applyProtection="1">
      <alignment horizontal="left"/>
      <protection hidden="1"/>
    </xf>
    <xf numFmtId="0" fontId="13" fillId="9" borderId="7" xfId="0" applyFont="1" applyFill="1" applyBorder="1" applyProtection="1">
      <protection hidden="1"/>
    </xf>
    <xf numFmtId="0" fontId="13" fillId="9" borderId="13" xfId="0" applyNumberFormat="1" applyFont="1" applyFill="1" applyBorder="1" applyAlignment="1" applyProtection="1">
      <alignment horizontal="center"/>
      <protection hidden="1"/>
    </xf>
    <xf numFmtId="164" fontId="13" fillId="9" borderId="13" xfId="0" applyNumberFormat="1" applyFont="1" applyFill="1" applyBorder="1" applyAlignment="1" applyProtection="1">
      <alignment horizontal="right"/>
      <protection hidden="1"/>
    </xf>
    <xf numFmtId="0" fontId="13" fillId="9" borderId="13" xfId="0" applyNumberFormat="1" applyFont="1" applyFill="1" applyBorder="1" applyAlignment="1" applyProtection="1">
      <alignment horizontal="right"/>
      <protection hidden="1"/>
    </xf>
    <xf numFmtId="164" fontId="13" fillId="9" borderId="11" xfId="0" applyNumberFormat="1" applyFont="1" applyFill="1" applyBorder="1" applyAlignment="1" applyProtection="1">
      <alignment horizontal="right"/>
      <protection hidden="1"/>
    </xf>
    <xf numFmtId="164" fontId="59" fillId="0" borderId="0" xfId="0" applyNumberFormat="1" applyFont="1" applyBorder="1" applyAlignment="1" applyProtection="1">
      <alignment horizontal="left"/>
      <protection hidden="1"/>
    </xf>
    <xf numFmtId="164" fontId="13" fillId="0" borderId="23" xfId="0" applyNumberFormat="1" applyFont="1" applyBorder="1" applyAlignment="1" applyProtection="1">
      <alignment horizontal="right"/>
      <protection hidden="1"/>
    </xf>
    <xf numFmtId="164" fontId="59" fillId="4" borderId="6" xfId="0" applyNumberFormat="1" applyFont="1" applyFill="1" applyBorder="1" applyAlignment="1" applyProtection="1">
      <alignment horizontal="left"/>
      <protection hidden="1"/>
    </xf>
    <xf numFmtId="164" fontId="13" fillId="5" borderId="6" xfId="0" applyNumberFormat="1" applyFont="1" applyFill="1" applyBorder="1" applyAlignment="1" applyProtection="1">
      <alignment horizontal="left"/>
      <protection hidden="1"/>
    </xf>
    <xf numFmtId="0" fontId="13" fillId="9" borderId="6" xfId="0" applyNumberFormat="1" applyFont="1" applyFill="1" applyBorder="1" applyAlignment="1" applyProtection="1">
      <alignment horizontal="right"/>
      <protection hidden="1"/>
    </xf>
    <xf numFmtId="164" fontId="60" fillId="4" borderId="6" xfId="0" applyNumberFormat="1" applyFont="1" applyFill="1" applyBorder="1" applyAlignment="1" applyProtection="1">
      <alignment horizontal="left"/>
      <protection hidden="1"/>
    </xf>
    <xf numFmtId="164" fontId="60" fillId="4" borderId="20" xfId="0" applyNumberFormat="1" applyFont="1" applyFill="1" applyBorder="1" applyAlignment="1" applyProtection="1">
      <alignment horizontal="center" vertical="center"/>
      <protection hidden="1"/>
    </xf>
    <xf numFmtId="0" fontId="59" fillId="6" borderId="6" xfId="1" applyFont="1" applyFill="1" applyBorder="1" applyProtection="1">
      <protection hidden="1"/>
    </xf>
    <xf numFmtId="164" fontId="13" fillId="9" borderId="6" xfId="0" applyNumberFormat="1" applyFont="1" applyFill="1" applyBorder="1" applyAlignment="1" applyProtection="1">
      <alignment horizontal="right"/>
      <protection hidden="1"/>
    </xf>
    <xf numFmtId="164" fontId="61" fillId="9" borderId="6" xfId="0" applyNumberFormat="1" applyFont="1" applyFill="1" applyBorder="1" applyAlignment="1" applyProtection="1">
      <alignment horizontal="right"/>
      <protection hidden="1"/>
    </xf>
    <xf numFmtId="164" fontId="60" fillId="6" borderId="6" xfId="0" applyNumberFormat="1" applyFont="1" applyFill="1" applyBorder="1" applyAlignment="1" applyProtection="1">
      <alignment horizontal="left"/>
      <protection hidden="1"/>
    </xf>
    <xf numFmtId="164" fontId="63" fillId="6" borderId="6" xfId="0" applyNumberFormat="1" applyFont="1" applyFill="1" applyBorder="1" applyAlignment="1" applyProtection="1">
      <alignment horizontal="left"/>
      <protection hidden="1"/>
    </xf>
    <xf numFmtId="164" fontId="13" fillId="5" borderId="6" xfId="0" applyNumberFormat="1" applyFont="1" applyFill="1" applyBorder="1" applyAlignment="1" applyProtection="1">
      <alignment horizontal="left" vertical="center"/>
      <protection hidden="1"/>
    </xf>
    <xf numFmtId="0" fontId="3" fillId="15" borderId="1" xfId="0" applyFont="1" applyFill="1" applyBorder="1" applyProtection="1">
      <protection hidden="1"/>
    </xf>
    <xf numFmtId="0" fontId="3" fillId="15" borderId="32" xfId="0" applyFont="1" applyFill="1" applyBorder="1" applyProtection="1">
      <protection hidden="1"/>
    </xf>
    <xf numFmtId="0" fontId="3" fillId="15" borderId="25" xfId="0" applyFont="1" applyFill="1" applyBorder="1" applyProtection="1">
      <protection hidden="1"/>
    </xf>
    <xf numFmtId="0" fontId="3" fillId="15" borderId="24" xfId="0" applyFont="1" applyFill="1" applyBorder="1" applyProtection="1">
      <protection hidden="1"/>
    </xf>
    <xf numFmtId="0" fontId="0" fillId="15" borderId="0" xfId="0" applyFill="1" applyBorder="1" applyProtection="1">
      <protection hidden="1"/>
    </xf>
    <xf numFmtId="0" fontId="0" fillId="15" borderId="8" xfId="0" applyFill="1" applyBorder="1" applyProtection="1">
      <protection hidden="1"/>
    </xf>
    <xf numFmtId="0" fontId="3" fillId="15" borderId="30" xfId="0" applyFont="1" applyFill="1" applyBorder="1" applyProtection="1">
      <protection hidden="1"/>
    </xf>
    <xf numFmtId="0" fontId="0" fillId="15" borderId="31" xfId="0" applyFill="1" applyBorder="1" applyProtection="1">
      <protection hidden="1"/>
    </xf>
    <xf numFmtId="0" fontId="0" fillId="15" borderId="29" xfId="0" applyFill="1" applyBorder="1" applyProtection="1">
      <protection hidden="1"/>
    </xf>
    <xf numFmtId="0" fontId="0" fillId="15" borderId="0" xfId="0" applyFill="1" applyProtection="1">
      <protection hidden="1"/>
    </xf>
    <xf numFmtId="0" fontId="0" fillId="21" borderId="0" xfId="0" applyFill="1" applyProtection="1">
      <protection hidden="1"/>
    </xf>
    <xf numFmtId="0" fontId="0" fillId="22" borderId="38" xfId="0" applyFill="1" applyBorder="1" applyProtection="1">
      <protection hidden="1"/>
    </xf>
    <xf numFmtId="0" fontId="3" fillId="22" borderId="39" xfId="0" applyFont="1" applyFill="1" applyBorder="1" applyProtection="1">
      <protection hidden="1"/>
    </xf>
    <xf numFmtId="0" fontId="3" fillId="22" borderId="40" xfId="0" applyFont="1" applyFill="1" applyBorder="1" applyProtection="1">
      <protection hidden="1"/>
    </xf>
    <xf numFmtId="0" fontId="3" fillId="21" borderId="1" xfId="0" applyFont="1" applyFill="1" applyBorder="1" applyProtection="1">
      <protection hidden="1"/>
    </xf>
    <xf numFmtId="0" fontId="3" fillId="21" borderId="32" xfId="0" applyFont="1" applyFill="1" applyBorder="1" applyProtection="1">
      <protection hidden="1"/>
    </xf>
    <xf numFmtId="0" fontId="3" fillId="22" borderId="41" xfId="0" applyFont="1" applyFill="1" applyBorder="1" applyProtection="1">
      <protection hidden="1"/>
    </xf>
    <xf numFmtId="0" fontId="3" fillId="22" borderId="0" xfId="0" applyFont="1" applyFill="1" applyBorder="1" applyProtection="1">
      <protection hidden="1"/>
    </xf>
    <xf numFmtId="0" fontId="3" fillId="22" borderId="42" xfId="0" applyFont="1" applyFill="1" applyBorder="1" applyProtection="1">
      <protection hidden="1"/>
    </xf>
    <xf numFmtId="0" fontId="0" fillId="22" borderId="0" xfId="0" applyFill="1" applyBorder="1" applyProtection="1">
      <protection hidden="1"/>
    </xf>
    <xf numFmtId="0" fontId="0" fillId="22" borderId="42" xfId="0" applyFill="1" applyBorder="1" applyProtection="1">
      <protection hidden="1"/>
    </xf>
    <xf numFmtId="0" fontId="3" fillId="22" borderId="43" xfId="0" applyFont="1" applyFill="1" applyBorder="1" applyProtection="1">
      <protection hidden="1"/>
    </xf>
    <xf numFmtId="0" fontId="0" fillId="22" borderId="44" xfId="0" applyFill="1" applyBorder="1" applyProtection="1">
      <protection hidden="1"/>
    </xf>
    <xf numFmtId="0" fontId="0" fillId="22" borderId="45" xfId="0" applyFill="1" applyBorder="1" applyProtection="1">
      <protection hidden="1"/>
    </xf>
    <xf numFmtId="0" fontId="3" fillId="21" borderId="24" xfId="0" applyFont="1" applyFill="1" applyBorder="1" applyProtection="1">
      <protection hidden="1"/>
    </xf>
    <xf numFmtId="0" fontId="0" fillId="21" borderId="0" xfId="0" applyFill="1" applyBorder="1" applyProtection="1">
      <protection hidden="1"/>
    </xf>
    <xf numFmtId="0" fontId="0" fillId="19" borderId="0" xfId="0" applyFill="1" applyProtection="1">
      <protection hidden="1"/>
    </xf>
    <xf numFmtId="0" fontId="0" fillId="19" borderId="1" xfId="0" applyFill="1" applyBorder="1" applyProtection="1">
      <protection hidden="1"/>
    </xf>
    <xf numFmtId="0" fontId="0" fillId="19" borderId="32" xfId="0" applyFill="1" applyBorder="1" applyProtection="1">
      <protection hidden="1"/>
    </xf>
    <xf numFmtId="0" fontId="0" fillId="19" borderId="24" xfId="0" applyFill="1" applyBorder="1" applyProtection="1">
      <protection hidden="1"/>
    </xf>
    <xf numFmtId="0" fontId="0" fillId="19" borderId="0" xfId="0" applyFill="1" applyBorder="1" applyProtection="1">
      <protection hidden="1"/>
    </xf>
    <xf numFmtId="0" fontId="3" fillId="21" borderId="30" xfId="0" applyFont="1" applyFill="1" applyBorder="1" applyProtection="1">
      <protection hidden="1"/>
    </xf>
    <xf numFmtId="0" fontId="3" fillId="21" borderId="0" xfId="0" applyFont="1" applyFill="1" applyBorder="1" applyProtection="1">
      <protection hidden="1"/>
    </xf>
    <xf numFmtId="0" fontId="54" fillId="0" borderId="1" xfId="0" applyFont="1" applyBorder="1" applyProtection="1">
      <protection hidden="1"/>
    </xf>
    <xf numFmtId="0" fontId="0" fillId="0" borderId="32" xfId="0" applyBorder="1" applyProtection="1">
      <protection hidden="1"/>
    </xf>
    <xf numFmtId="0" fontId="0" fillId="0" borderId="25" xfId="0" applyBorder="1" applyProtection="1">
      <protection hidden="1"/>
    </xf>
    <xf numFmtId="0" fontId="56" fillId="0" borderId="1" xfId="0" applyFont="1" applyBorder="1" applyProtection="1">
      <protection hidden="1"/>
    </xf>
    <xf numFmtId="0" fontId="3" fillId="0" borderId="1" xfId="0" applyFont="1" applyBorder="1" applyProtection="1">
      <protection hidden="1"/>
    </xf>
    <xf numFmtId="0" fontId="0" fillId="0" borderId="24" xfId="0" applyBorder="1" applyProtection="1">
      <protection hidden="1"/>
    </xf>
    <xf numFmtId="0" fontId="0" fillId="11" borderId="20" xfId="0" applyFill="1" applyBorder="1" applyProtection="1">
      <protection hidden="1"/>
    </xf>
    <xf numFmtId="0" fontId="0" fillId="0" borderId="8" xfId="0" applyBorder="1" applyProtection="1">
      <protection hidden="1"/>
    </xf>
    <xf numFmtId="0" fontId="0" fillId="0" borderId="0" xfId="0" applyBorder="1" applyProtection="1">
      <protection hidden="1"/>
    </xf>
    <xf numFmtId="0" fontId="0" fillId="23" borderId="8" xfId="0" applyFill="1" applyBorder="1" applyProtection="1">
      <protection hidden="1"/>
    </xf>
    <xf numFmtId="0" fontId="0" fillId="0" borderId="1" xfId="0" applyBorder="1" applyProtection="1">
      <protection hidden="1"/>
    </xf>
    <xf numFmtId="0" fontId="0" fillId="11" borderId="9" xfId="0" applyFill="1" applyBorder="1" applyProtection="1">
      <protection hidden="1"/>
    </xf>
    <xf numFmtId="0" fontId="0" fillId="0" borderId="30" xfId="0" applyBorder="1" applyProtection="1">
      <protection hidden="1"/>
    </xf>
    <xf numFmtId="0" fontId="0" fillId="0" borderId="31" xfId="0" applyBorder="1" applyProtection="1">
      <protection hidden="1"/>
    </xf>
    <xf numFmtId="0" fontId="0" fillId="23" borderId="29" xfId="0" applyFill="1" applyBorder="1" applyProtection="1">
      <protection hidden="1"/>
    </xf>
    <xf numFmtId="0" fontId="0" fillId="0" borderId="31" xfId="0" applyBorder="1" applyAlignment="1" applyProtection="1">
      <alignment horizontal="right"/>
      <protection hidden="1"/>
    </xf>
    <xf numFmtId="0" fontId="0" fillId="11" borderId="31" xfId="0" applyFill="1" applyBorder="1" applyProtection="1">
      <protection hidden="1"/>
    </xf>
    <xf numFmtId="0" fontId="0" fillId="11" borderId="29" xfId="0" applyFill="1" applyBorder="1" applyProtection="1">
      <protection hidden="1"/>
    </xf>
    <xf numFmtId="0" fontId="3" fillId="19" borderId="32" xfId="0" applyFont="1" applyFill="1" applyBorder="1" applyProtection="1">
      <protection hidden="1"/>
    </xf>
    <xf numFmtId="14" fontId="0" fillId="0" borderId="25" xfId="0" applyNumberFormat="1" applyBorder="1" applyProtection="1">
      <protection hidden="1"/>
    </xf>
    <xf numFmtId="0" fontId="0" fillId="0" borderId="8" xfId="0" applyBorder="1" applyAlignment="1">
      <alignment horizontal="right"/>
    </xf>
    <xf numFmtId="0" fontId="0" fillId="0" borderId="29" xfId="0" applyBorder="1" applyProtection="1">
      <protection hidden="1"/>
    </xf>
    <xf numFmtId="0" fontId="3" fillId="0" borderId="0" xfId="0" applyFont="1" applyBorder="1" applyProtection="1">
      <protection hidden="1"/>
    </xf>
    <xf numFmtId="0" fontId="3" fillId="19" borderId="0" xfId="0" applyFont="1" applyFill="1" applyBorder="1" applyProtection="1">
      <protection hidden="1"/>
    </xf>
    <xf numFmtId="0" fontId="0" fillId="11" borderId="21" xfId="0" applyFill="1" applyBorder="1" applyProtection="1">
      <protection hidden="1"/>
    </xf>
    <xf numFmtId="0" fontId="0" fillId="19" borderId="0" xfId="0" applyFill="1" applyBorder="1" applyAlignment="1" applyProtection="1">
      <alignment horizontal="right"/>
      <protection hidden="1"/>
    </xf>
    <xf numFmtId="0" fontId="0" fillId="11" borderId="8" xfId="0" applyFill="1" applyBorder="1" applyProtection="1">
      <protection hidden="1"/>
    </xf>
    <xf numFmtId="0" fontId="64" fillId="24" borderId="0" xfId="0" applyFont="1" applyFill="1" applyBorder="1" applyProtection="1">
      <protection hidden="1"/>
    </xf>
    <xf numFmtId="0" fontId="0" fillId="24" borderId="0" xfId="0" applyFill="1" applyBorder="1" applyProtection="1">
      <protection hidden="1"/>
    </xf>
    <xf numFmtId="0" fontId="64" fillId="0" borderId="0" xfId="0" applyFont="1" applyBorder="1" applyProtection="1">
      <protection hidden="1"/>
    </xf>
    <xf numFmtId="0" fontId="0" fillId="0" borderId="6" xfId="0" applyBorder="1" applyProtection="1">
      <protection hidden="1"/>
    </xf>
    <xf numFmtId="0" fontId="3" fillId="19" borderId="24" xfId="0" applyFont="1" applyFill="1" applyBorder="1" applyProtection="1">
      <protection hidden="1"/>
    </xf>
    <xf numFmtId="0" fontId="3" fillId="24" borderId="0" xfId="0" applyFont="1" applyFill="1" applyBorder="1" applyProtection="1">
      <protection hidden="1"/>
    </xf>
    <xf numFmtId="0" fontId="0" fillId="8" borderId="0" xfId="0" applyFont="1" applyFill="1" applyBorder="1" applyProtection="1">
      <protection hidden="1"/>
    </xf>
    <xf numFmtId="0" fontId="0" fillId="8" borderId="0" xfId="0" applyFont="1" applyFill="1" applyBorder="1" applyAlignment="1" applyProtection="1">
      <alignment horizontal="right"/>
      <protection hidden="1"/>
    </xf>
    <xf numFmtId="0" fontId="0" fillId="0" borderId="20" xfId="0" applyBorder="1" applyProtection="1">
      <protection hidden="1"/>
    </xf>
    <xf numFmtId="0" fontId="0" fillId="0" borderId="9" xfId="0" applyBorder="1" applyProtection="1">
      <protection hidden="1"/>
    </xf>
    <xf numFmtId="0" fontId="0" fillId="0" borderId="21" xfId="0" applyBorder="1" applyProtection="1">
      <protection hidden="1"/>
    </xf>
    <xf numFmtId="0" fontId="0" fillId="19" borderId="24" xfId="0" applyFill="1" applyBorder="1"/>
    <xf numFmtId="0" fontId="0" fillId="19" borderId="0" xfId="0" applyFill="1" applyBorder="1"/>
    <xf numFmtId="0" fontId="0" fillId="24" borderId="0" xfId="0" applyFill="1" applyBorder="1"/>
    <xf numFmtId="0" fontId="0" fillId="24" borderId="0" xfId="0" applyFill="1" applyBorder="1" applyAlignment="1" applyProtection="1">
      <alignment horizontal="right"/>
      <protection hidden="1"/>
    </xf>
    <xf numFmtId="0" fontId="0" fillId="6" borderId="0" xfId="0" applyFont="1" applyFill="1" applyBorder="1" applyProtection="1">
      <protection hidden="1"/>
    </xf>
    <xf numFmtId="0" fontId="0" fillId="6" borderId="0" xfId="0" applyFill="1" applyBorder="1" applyProtection="1">
      <protection hidden="1"/>
    </xf>
    <xf numFmtId="0" fontId="0" fillId="6" borderId="8" xfId="0" applyFont="1" applyFill="1" applyBorder="1" applyAlignment="1" applyProtection="1">
      <alignment horizontal="right"/>
      <protection hidden="1"/>
    </xf>
    <xf numFmtId="14" fontId="0" fillId="0" borderId="0" xfId="0" applyNumberFormat="1" applyProtection="1">
      <protection hidden="1"/>
    </xf>
    <xf numFmtId="0" fontId="3" fillId="0" borderId="6" xfId="0" applyFont="1" applyBorder="1" applyAlignment="1" applyProtection="1">
      <protection locked="0"/>
    </xf>
    <xf numFmtId="0" fontId="3" fillId="0" borderId="0" xfId="0" applyFont="1" applyBorder="1" applyAlignment="1" applyProtection="1">
      <protection locked="0"/>
    </xf>
    <xf numFmtId="0" fontId="0" fillId="3" borderId="0" xfId="0" applyFill="1" applyAlignment="1"/>
    <xf numFmtId="0" fontId="0" fillId="0" borderId="6" xfId="0" applyBorder="1" applyAlignment="1" applyProtection="1">
      <protection locked="0"/>
    </xf>
    <xf numFmtId="0" fontId="0" fillId="0" borderId="0" xfId="0" applyBorder="1" applyAlignment="1" applyProtection="1">
      <protection locked="0"/>
    </xf>
    <xf numFmtId="0" fontId="0" fillId="0" borderId="0" xfId="0" applyFill="1" applyProtection="1">
      <protection locked="0"/>
    </xf>
    <xf numFmtId="14" fontId="0" fillId="19" borderId="0" xfId="0" applyNumberFormat="1" applyFill="1" applyProtection="1">
      <protection hidden="1"/>
    </xf>
    <xf numFmtId="0" fontId="0" fillId="19" borderId="30" xfId="0" applyFill="1" applyBorder="1" applyProtection="1">
      <protection hidden="1"/>
    </xf>
    <xf numFmtId="0" fontId="0" fillId="0" borderId="0" xfId="0" applyBorder="1" applyAlignment="1">
      <alignment vertical="center" wrapText="1"/>
    </xf>
    <xf numFmtId="0" fontId="0" fillId="6" borderId="8" xfId="0" applyFill="1" applyBorder="1" applyAlignment="1" applyProtection="1">
      <alignment horizontal="right"/>
      <protection hidden="1"/>
    </xf>
    <xf numFmtId="0" fontId="3" fillId="19" borderId="0" xfId="0" applyFont="1" applyFill="1" applyProtection="1">
      <protection hidden="1"/>
    </xf>
    <xf numFmtId="0" fontId="0" fillId="19" borderId="30" xfId="0" applyFill="1" applyBorder="1"/>
    <xf numFmtId="0" fontId="0" fillId="19" borderId="31" xfId="0" applyFill="1" applyBorder="1" applyProtection="1">
      <protection hidden="1"/>
    </xf>
    <xf numFmtId="0" fontId="0" fillId="19" borderId="31" xfId="0" applyFill="1" applyBorder="1" applyAlignment="1" applyProtection="1">
      <alignment horizontal="right"/>
      <protection hidden="1"/>
    </xf>
    <xf numFmtId="0" fontId="0" fillId="19" borderId="31" xfId="0" applyFill="1" applyBorder="1"/>
    <xf numFmtId="0" fontId="0" fillId="24" borderId="31" xfId="0" applyFill="1" applyBorder="1"/>
    <xf numFmtId="0" fontId="0" fillId="24" borderId="31" xfId="0" applyFill="1" applyBorder="1" applyProtection="1">
      <protection hidden="1"/>
    </xf>
    <xf numFmtId="0" fontId="0" fillId="24" borderId="31" xfId="0" applyFill="1" applyBorder="1" applyAlignment="1" applyProtection="1">
      <alignment horizontal="right"/>
      <protection hidden="1"/>
    </xf>
    <xf numFmtId="0" fontId="0" fillId="6" borderId="31" xfId="0" applyFill="1" applyBorder="1" applyProtection="1">
      <protection hidden="1"/>
    </xf>
    <xf numFmtId="0" fontId="0" fillId="6" borderId="29" xfId="0" applyFill="1" applyBorder="1" applyAlignment="1" applyProtection="1">
      <alignment horizontal="right"/>
      <protection hidden="1"/>
    </xf>
    <xf numFmtId="0" fontId="64" fillId="25" borderId="0" xfId="0" applyFont="1" applyFill="1" applyProtection="1">
      <protection hidden="1"/>
    </xf>
    <xf numFmtId="0" fontId="0" fillId="25" borderId="0" xfId="0" applyFill="1" applyProtection="1">
      <protection hidden="1"/>
    </xf>
    <xf numFmtId="0" fontId="3" fillId="24" borderId="0" xfId="0" applyFont="1" applyFill="1" applyProtection="1">
      <protection hidden="1"/>
    </xf>
    <xf numFmtId="0" fontId="0" fillId="24" borderId="0" xfId="0" applyFill="1" applyProtection="1">
      <protection hidden="1"/>
    </xf>
    <xf numFmtId="0" fontId="65" fillId="22" borderId="0" xfId="0" applyFont="1" applyFill="1" applyProtection="1">
      <protection hidden="1"/>
    </xf>
    <xf numFmtId="0" fontId="0" fillId="22" borderId="0" xfId="0" applyFill="1" applyProtection="1">
      <protection hidden="1"/>
    </xf>
    <xf numFmtId="0" fontId="3" fillId="25" borderId="0" xfId="0" applyFont="1" applyFill="1" applyProtection="1">
      <protection hidden="1"/>
    </xf>
    <xf numFmtId="0" fontId="0" fillId="22" borderId="29" xfId="0" applyFill="1" applyBorder="1" applyProtection="1">
      <protection hidden="1"/>
    </xf>
    <xf numFmtId="0" fontId="3" fillId="22" borderId="27" xfId="0" applyFont="1" applyFill="1" applyBorder="1" applyProtection="1">
      <protection hidden="1"/>
    </xf>
    <xf numFmtId="0" fontId="0" fillId="22" borderId="21" xfId="1" applyFont="1" applyFill="1" applyBorder="1" applyProtection="1">
      <protection hidden="1"/>
    </xf>
    <xf numFmtId="0" fontId="0" fillId="22" borderId="0" xfId="0" applyFill="1" applyBorder="1" applyAlignment="1" applyProtection="1">
      <alignment horizontal="center"/>
      <protection hidden="1"/>
    </xf>
    <xf numFmtId="0" fontId="0" fillId="22" borderId="6" xfId="1" applyFont="1" applyFill="1" applyBorder="1" applyProtection="1">
      <protection hidden="1"/>
    </xf>
    <xf numFmtId="164" fontId="17" fillId="22" borderId="6" xfId="0" applyNumberFormat="1" applyFont="1" applyFill="1" applyBorder="1" applyAlignment="1" applyProtection="1">
      <alignment horizontal="left"/>
      <protection hidden="1"/>
    </xf>
    <xf numFmtId="164" fontId="19" fillId="22" borderId="6" xfId="0" applyNumberFormat="1" applyFont="1" applyFill="1" applyBorder="1" applyAlignment="1" applyProtection="1">
      <alignment horizontal="left"/>
      <protection hidden="1"/>
    </xf>
    <xf numFmtId="0" fontId="0" fillId="17" borderId="1" xfId="0" applyFill="1" applyBorder="1" applyProtection="1">
      <protection hidden="1"/>
    </xf>
    <xf numFmtId="0" fontId="0" fillId="17" borderId="32" xfId="0" applyFill="1" applyBorder="1" applyProtection="1">
      <protection hidden="1"/>
    </xf>
    <xf numFmtId="0" fontId="67" fillId="17" borderId="32" xfId="0" applyFont="1" applyFill="1" applyBorder="1" applyProtection="1">
      <protection hidden="1"/>
    </xf>
    <xf numFmtId="0" fontId="30" fillId="17" borderId="32" xfId="0" applyFont="1" applyFill="1" applyBorder="1" applyProtection="1">
      <protection hidden="1"/>
    </xf>
    <xf numFmtId="0" fontId="68" fillId="17" borderId="32" xfId="0" applyFont="1" applyFill="1" applyBorder="1" applyProtection="1">
      <protection hidden="1"/>
    </xf>
    <xf numFmtId="0" fontId="0" fillId="17" borderId="25" xfId="0" applyFill="1" applyBorder="1" applyProtection="1">
      <protection hidden="1"/>
    </xf>
    <xf numFmtId="0" fontId="0" fillId="17" borderId="24" xfId="0" applyFill="1" applyBorder="1" applyProtection="1">
      <protection hidden="1"/>
    </xf>
    <xf numFmtId="0" fontId="66" fillId="17" borderId="0" xfId="0" applyFont="1" applyFill="1" applyBorder="1" applyProtection="1">
      <protection hidden="1"/>
    </xf>
    <xf numFmtId="0" fontId="0" fillId="17" borderId="0" xfId="0" applyFill="1" applyBorder="1" applyProtection="1">
      <protection hidden="1"/>
    </xf>
    <xf numFmtId="0" fontId="54" fillId="17" borderId="0" xfId="0" applyFont="1" applyFill="1" applyBorder="1" applyProtection="1">
      <protection hidden="1"/>
    </xf>
    <xf numFmtId="0" fontId="2" fillId="17" borderId="0" xfId="0" applyFont="1" applyFill="1" applyBorder="1" applyProtection="1">
      <protection hidden="1"/>
    </xf>
    <xf numFmtId="0" fontId="3" fillId="17" borderId="0" xfId="0" applyFont="1" applyFill="1" applyBorder="1" applyProtection="1">
      <protection hidden="1"/>
    </xf>
    <xf numFmtId="0" fontId="0" fillId="17" borderId="8" xfId="0" applyFill="1" applyBorder="1" applyProtection="1">
      <protection hidden="1"/>
    </xf>
    <xf numFmtId="0" fontId="0" fillId="23" borderId="24" xfId="0" applyFill="1" applyBorder="1" applyProtection="1">
      <protection hidden="1"/>
    </xf>
    <xf numFmtId="0" fontId="3" fillId="23" borderId="0" xfId="0" applyFont="1" applyFill="1" applyBorder="1" applyAlignment="1" applyProtection="1">
      <alignment horizontal="left"/>
      <protection hidden="1"/>
    </xf>
    <xf numFmtId="0" fontId="3" fillId="23" borderId="0" xfId="0" applyFont="1" applyFill="1" applyBorder="1" applyProtection="1">
      <protection hidden="1"/>
    </xf>
    <xf numFmtId="0" fontId="4" fillId="23" borderId="0" xfId="0" applyFont="1" applyFill="1" applyBorder="1" applyProtection="1">
      <protection hidden="1"/>
    </xf>
    <xf numFmtId="0" fontId="3" fillId="17" borderId="8" xfId="0" applyFont="1" applyFill="1" applyBorder="1" applyProtection="1">
      <protection hidden="1"/>
    </xf>
    <xf numFmtId="0" fontId="0" fillId="17" borderId="0" xfId="0" applyFill="1" applyBorder="1" applyProtection="1">
      <protection locked="0"/>
    </xf>
    <xf numFmtId="0" fontId="0" fillId="17" borderId="0" xfId="0" applyFill="1" applyBorder="1" applyAlignment="1" applyProtection="1">
      <alignment horizontal="left"/>
      <protection hidden="1"/>
    </xf>
    <xf numFmtId="0" fontId="69" fillId="26" borderId="0" xfId="0" applyFont="1" applyFill="1" applyBorder="1" applyAlignment="1" applyProtection="1">
      <alignment vertical="center"/>
      <protection hidden="1"/>
    </xf>
    <xf numFmtId="0" fontId="69" fillId="17" borderId="0" xfId="0" applyFont="1" applyFill="1" applyBorder="1" applyAlignment="1" applyProtection="1">
      <alignment vertical="center"/>
      <protection hidden="1"/>
    </xf>
    <xf numFmtId="0" fontId="47" fillId="26" borderId="0" xfId="0" applyFont="1" applyFill="1" applyBorder="1" applyAlignment="1" applyProtection="1">
      <alignment vertical="center"/>
      <protection hidden="1"/>
    </xf>
    <xf numFmtId="0" fontId="47" fillId="17" borderId="0" xfId="0" applyFont="1" applyFill="1" applyBorder="1" applyAlignment="1" applyProtection="1">
      <alignment vertical="center"/>
      <protection hidden="1"/>
    </xf>
    <xf numFmtId="0" fontId="72" fillId="0" borderId="0" xfId="0" applyFont="1"/>
    <xf numFmtId="0" fontId="3" fillId="5" borderId="0" xfId="0" applyFont="1" applyFill="1" applyProtection="1">
      <protection hidden="1"/>
    </xf>
    <xf numFmtId="0" fontId="73" fillId="0" borderId="0" xfId="0" applyFont="1"/>
    <xf numFmtId="0" fontId="0" fillId="25" borderId="0" xfId="0" applyFill="1"/>
    <xf numFmtId="0" fontId="0" fillId="5" borderId="0" xfId="0" applyFill="1" applyProtection="1">
      <protection hidden="1"/>
    </xf>
    <xf numFmtId="0" fontId="0" fillId="17" borderId="30" xfId="0" applyFill="1" applyBorder="1" applyProtection="1">
      <protection hidden="1"/>
    </xf>
    <xf numFmtId="0" fontId="0" fillId="17" borderId="31" xfId="0" applyFill="1" applyBorder="1" applyProtection="1">
      <protection locked="0"/>
    </xf>
    <xf numFmtId="0" fontId="0" fillId="17" borderId="31" xfId="0" applyFill="1" applyBorder="1" applyAlignment="1" applyProtection="1">
      <alignment horizontal="left"/>
      <protection hidden="1"/>
    </xf>
    <xf numFmtId="0" fontId="47" fillId="26" borderId="31" xfId="0" applyFont="1" applyFill="1" applyBorder="1" applyAlignment="1" applyProtection="1">
      <alignment vertical="center"/>
      <protection hidden="1"/>
    </xf>
    <xf numFmtId="0" fontId="47" fillId="17" borderId="31" xfId="0" applyFont="1" applyFill="1" applyBorder="1" applyAlignment="1" applyProtection="1">
      <alignment vertical="center"/>
      <protection hidden="1"/>
    </xf>
    <xf numFmtId="0" fontId="69" fillId="17" borderId="31" xfId="0" applyFont="1" applyFill="1" applyBorder="1" applyAlignment="1" applyProtection="1">
      <alignment vertical="center"/>
      <protection hidden="1"/>
    </xf>
    <xf numFmtId="0" fontId="0" fillId="17" borderId="31" xfId="0" applyFill="1" applyBorder="1" applyProtection="1">
      <protection hidden="1"/>
    </xf>
    <xf numFmtId="0" fontId="0" fillId="17" borderId="29" xfId="0" applyFill="1" applyBorder="1" applyProtection="1">
      <protection hidden="1"/>
    </xf>
    <xf numFmtId="0" fontId="3" fillId="17" borderId="1" xfId="0" applyFont="1" applyFill="1" applyBorder="1" applyProtection="1">
      <protection hidden="1"/>
    </xf>
    <xf numFmtId="0" fontId="3" fillId="27" borderId="32" xfId="0" applyFont="1" applyFill="1" applyBorder="1" applyProtection="1">
      <protection hidden="1"/>
    </xf>
    <xf numFmtId="0" fontId="0" fillId="26" borderId="24" xfId="0" applyFill="1" applyBorder="1" applyProtection="1">
      <protection hidden="1"/>
    </xf>
    <xf numFmtId="0" fontId="0" fillId="27" borderId="0" xfId="0" applyFill="1" applyBorder="1" applyProtection="1">
      <protection hidden="1"/>
    </xf>
    <xf numFmtId="0" fontId="0" fillId="0" borderId="0" xfId="0" applyProtection="1"/>
    <xf numFmtId="0" fontId="73" fillId="0" borderId="0" xfId="0" applyFont="1" applyProtection="1"/>
    <xf numFmtId="0" fontId="0" fillId="0" borderId="0" xfId="0" applyAlignment="1" applyProtection="1">
      <alignment horizontal="right"/>
    </xf>
    <xf numFmtId="0" fontId="3" fillId="5" borderId="0" xfId="0" applyFont="1" applyFill="1" applyAlignment="1" applyProtection="1">
      <alignment horizontal="right"/>
      <protection hidden="1"/>
    </xf>
    <xf numFmtId="0" fontId="3" fillId="0" borderId="0" xfId="0" applyFont="1" applyProtection="1"/>
    <xf numFmtId="0" fontId="0" fillId="5" borderId="0" xfId="0" applyFill="1" applyAlignment="1" applyProtection="1">
      <alignment horizontal="right"/>
      <protection hidden="1"/>
    </xf>
    <xf numFmtId="0" fontId="0" fillId="15" borderId="0" xfId="0" applyFill="1" applyAlignment="1" applyProtection="1">
      <alignment horizontal="right"/>
      <protection hidden="1"/>
    </xf>
    <xf numFmtId="0" fontId="0" fillId="0" borderId="0" xfId="0" applyFill="1" applyProtection="1">
      <protection hidden="1"/>
    </xf>
    <xf numFmtId="0" fontId="0" fillId="26" borderId="30" xfId="0" applyFill="1" applyBorder="1" applyProtection="1">
      <protection hidden="1"/>
    </xf>
    <xf numFmtId="0" fontId="0" fillId="0" borderId="0" xfId="0" applyFill="1" applyBorder="1" applyProtection="1">
      <protection hidden="1"/>
    </xf>
    <xf numFmtId="0" fontId="0" fillId="0" borderId="31" xfId="0" applyFill="1" applyBorder="1" applyProtection="1">
      <protection hidden="1"/>
    </xf>
    <xf numFmtId="0" fontId="3" fillId="0" borderId="32" xfId="0" applyFont="1" applyBorder="1" applyProtection="1">
      <protection hidden="1"/>
    </xf>
    <xf numFmtId="0" fontId="64" fillId="0" borderId="0" xfId="0" applyFont="1" applyProtection="1">
      <protection hidden="1"/>
    </xf>
    <xf numFmtId="0" fontId="3" fillId="0" borderId="0" xfId="0" applyFont="1" applyAlignment="1" applyProtection="1">
      <alignment horizontal="right"/>
      <protection hidden="1"/>
    </xf>
    <xf numFmtId="0" fontId="0" fillId="0" borderId="0" xfId="0" applyFont="1" applyAlignment="1" applyProtection="1">
      <alignment horizontal="right"/>
      <protection hidden="1"/>
    </xf>
    <xf numFmtId="0" fontId="3" fillId="0" borderId="6" xfId="0" applyFont="1" applyBorder="1" applyProtection="1">
      <protection hidden="1"/>
    </xf>
    <xf numFmtId="0" fontId="3" fillId="28" borderId="0" xfId="0" applyFont="1" applyFill="1" applyProtection="1">
      <protection hidden="1"/>
    </xf>
    <xf numFmtId="0" fontId="3" fillId="28" borderId="0" xfId="0" applyFont="1" applyFill="1" applyAlignment="1" applyProtection="1">
      <protection hidden="1"/>
    </xf>
    <xf numFmtId="0" fontId="0" fillId="28" borderId="0" xfId="0" applyFont="1" applyFill="1" applyProtection="1">
      <protection hidden="1"/>
    </xf>
    <xf numFmtId="0" fontId="0" fillId="14" borderId="0" xfId="0" applyFill="1" applyProtection="1">
      <protection hidden="1"/>
    </xf>
    <xf numFmtId="0" fontId="0" fillId="0" borderId="0" xfId="0" applyProtection="1">
      <protection locked="0" hidden="1"/>
    </xf>
    <xf numFmtId="0" fontId="0" fillId="0" borderId="24" xfId="0" applyBorder="1" applyProtection="1">
      <protection locked="0" hidden="1"/>
    </xf>
    <xf numFmtId="0" fontId="74" fillId="3" borderId="0" xfId="0" applyFont="1" applyFill="1"/>
    <xf numFmtId="0" fontId="39" fillId="0" borderId="0" xfId="0" applyFont="1" applyAlignment="1" applyProtection="1">
      <protection locked="0"/>
    </xf>
    <xf numFmtId="0" fontId="36" fillId="3" borderId="0" xfId="0" applyFont="1" applyFill="1" applyAlignment="1">
      <alignment horizontal="center" vertical="center"/>
    </xf>
    <xf numFmtId="0" fontId="75" fillId="3" borderId="0" xfId="3" applyFont="1" applyFill="1"/>
    <xf numFmtId="0" fontId="77" fillId="3" borderId="0" xfId="3" applyFont="1" applyFill="1" applyAlignment="1">
      <alignment horizontal="left"/>
    </xf>
    <xf numFmtId="0" fontId="0" fillId="17" borderId="0" xfId="0" applyFill="1"/>
    <xf numFmtId="0" fontId="3" fillId="17" borderId="0" xfId="0" applyFont="1" applyFill="1" applyAlignment="1" applyProtection="1">
      <protection hidden="1"/>
    </xf>
    <xf numFmtId="0" fontId="78" fillId="3" borderId="0" xfId="3" applyFont="1" applyFill="1"/>
    <xf numFmtId="0" fontId="78" fillId="3" borderId="0" xfId="3" applyFont="1" applyFill="1" applyAlignment="1">
      <alignment horizontal="left"/>
    </xf>
    <xf numFmtId="0" fontId="80" fillId="17" borderId="0" xfId="0" applyFont="1" applyFill="1" applyProtection="1">
      <protection hidden="1"/>
    </xf>
    <xf numFmtId="0" fontId="81" fillId="17" borderId="0" xfId="0" applyFont="1" applyFill="1" applyProtection="1">
      <protection hidden="1"/>
    </xf>
    <xf numFmtId="0" fontId="0" fillId="29" borderId="0" xfId="0" applyFill="1"/>
    <xf numFmtId="0" fontId="82" fillId="0" borderId="0" xfId="0" applyFont="1"/>
    <xf numFmtId="0" fontId="0" fillId="6" borderId="0" xfId="0" applyFill="1" applyProtection="1">
      <protection hidden="1"/>
    </xf>
    <xf numFmtId="0" fontId="0" fillId="30" borderId="0" xfId="0" applyFill="1" applyProtection="1">
      <protection hidden="1"/>
    </xf>
    <xf numFmtId="0" fontId="0" fillId="9" borderId="6" xfId="0" applyFill="1" applyBorder="1"/>
    <xf numFmtId="0" fontId="58" fillId="9" borderId="6" xfId="0" applyFont="1" applyFill="1" applyBorder="1"/>
    <xf numFmtId="0" fontId="58" fillId="9" borderId="6" xfId="0" applyFont="1" applyFill="1" applyBorder="1" applyAlignment="1">
      <alignment horizontal="center" vertical="center" wrapText="1"/>
    </xf>
    <xf numFmtId="0" fontId="0" fillId="17" borderId="47" xfId="0" applyFill="1" applyBorder="1"/>
    <xf numFmtId="0" fontId="0" fillId="17" borderId="46" xfId="0" applyFill="1" applyBorder="1"/>
    <xf numFmtId="0" fontId="0" fillId="9" borderId="21" xfId="0" applyFill="1" applyBorder="1"/>
    <xf numFmtId="0" fontId="0" fillId="17" borderId="48" xfId="0" applyFill="1" applyBorder="1"/>
    <xf numFmtId="0" fontId="50" fillId="16" borderId="0" xfId="0" applyFont="1" applyFill="1" applyProtection="1"/>
    <xf numFmtId="0" fontId="86" fillId="16" borderId="0" xfId="0" applyFont="1" applyFill="1" applyProtection="1"/>
    <xf numFmtId="0" fontId="87" fillId="3" borderId="0" xfId="3" applyFont="1" applyFill="1" applyAlignment="1"/>
    <xf numFmtId="0" fontId="88" fillId="3" borderId="0" xfId="3" applyFont="1" applyFill="1" applyAlignment="1"/>
    <xf numFmtId="0" fontId="89" fillId="3" borderId="0" xfId="0" applyFont="1" applyFill="1" applyAlignment="1"/>
    <xf numFmtId="0" fontId="56" fillId="31" borderId="0" xfId="0" applyFont="1" applyFill="1"/>
    <xf numFmtId="0" fontId="0" fillId="31" borderId="0" xfId="0" applyFill="1"/>
    <xf numFmtId="0" fontId="79" fillId="31" borderId="0" xfId="0" applyFont="1" applyFill="1"/>
    <xf numFmtId="0" fontId="3" fillId="31" borderId="0" xfId="0" applyFont="1" applyFill="1"/>
    <xf numFmtId="0" fontId="76" fillId="31" borderId="0" xfId="3" applyFill="1"/>
    <xf numFmtId="0" fontId="58" fillId="9" borderId="6" xfId="0" applyFont="1" applyFill="1" applyBorder="1" applyProtection="1">
      <protection hidden="1"/>
    </xf>
    <xf numFmtId="0" fontId="58" fillId="9" borderId="6" xfId="0" applyFont="1" applyFill="1" applyBorder="1" applyAlignment="1" applyProtection="1">
      <alignment horizontal="center" vertical="center" wrapText="1"/>
      <protection hidden="1"/>
    </xf>
    <xf numFmtId="0" fontId="0" fillId="9" borderId="0" xfId="0" applyFill="1" applyProtection="1">
      <protection hidden="1"/>
    </xf>
    <xf numFmtId="0" fontId="0" fillId="9" borderId="21" xfId="0" applyFill="1" applyBorder="1" applyProtection="1">
      <protection hidden="1"/>
    </xf>
    <xf numFmtId="0" fontId="0" fillId="17" borderId="47" xfId="0" applyFill="1" applyBorder="1" applyProtection="1">
      <protection hidden="1"/>
    </xf>
    <xf numFmtId="0" fontId="0" fillId="9" borderId="6" xfId="0" applyFill="1" applyBorder="1" applyProtection="1">
      <protection hidden="1"/>
    </xf>
    <xf numFmtId="0" fontId="3" fillId="9" borderId="0" xfId="0" applyFont="1" applyFill="1" applyAlignment="1" applyProtection="1">
      <alignment horizontal="right"/>
      <protection hidden="1"/>
    </xf>
    <xf numFmtId="0" fontId="3" fillId="9" borderId="0" xfId="0" applyFont="1" applyFill="1" applyProtection="1"/>
    <xf numFmtId="0" fontId="91" fillId="3" borderId="0" xfId="3" applyFont="1" applyFill="1" applyAlignment="1"/>
    <xf numFmtId="0" fontId="92" fillId="31" borderId="0" xfId="3" applyFont="1" applyFill="1"/>
    <xf numFmtId="0" fontId="0" fillId="11" borderId="0" xfId="0" applyFill="1" applyProtection="1">
      <protection hidden="1"/>
    </xf>
    <xf numFmtId="0" fontId="3" fillId="11" borderId="0" xfId="0" applyFont="1" applyFill="1" applyProtection="1">
      <protection hidden="1"/>
    </xf>
    <xf numFmtId="0" fontId="3" fillId="6" borderId="0" xfId="0" applyFont="1" applyFill="1" applyProtection="1">
      <protection hidden="1"/>
    </xf>
    <xf numFmtId="0" fontId="0" fillId="0" borderId="8" xfId="0" applyBorder="1" applyAlignment="1" applyProtection="1">
      <alignment horizontal="left"/>
      <protection hidden="1"/>
    </xf>
    <xf numFmtId="0" fontId="0" fillId="27" borderId="0" xfId="0" applyFill="1" applyProtection="1">
      <protection hidden="1"/>
    </xf>
    <xf numFmtId="0" fontId="3" fillId="27" borderId="0" xfId="0" applyFont="1" applyFill="1" applyProtection="1">
      <protection hidden="1"/>
    </xf>
    <xf numFmtId="0" fontId="0" fillId="7" borderId="0" xfId="0" applyFill="1" applyProtection="1">
      <protection hidden="1"/>
    </xf>
    <xf numFmtId="0" fontId="0" fillId="0" borderId="8" xfId="0" applyBorder="1" applyAlignment="1" applyProtection="1">
      <alignment horizontal="right"/>
      <protection hidden="1"/>
    </xf>
    <xf numFmtId="2" fontId="93" fillId="0" borderId="0" xfId="0" applyNumberFormat="1" applyFont="1" applyAlignment="1" applyProtection="1">
      <alignment vertical="center"/>
      <protection hidden="1"/>
    </xf>
    <xf numFmtId="0" fontId="64" fillId="3" borderId="0" xfId="0" applyFont="1" applyFill="1" applyAlignment="1"/>
    <xf numFmtId="0" fontId="2" fillId="11" borderId="0" xfId="0" applyFont="1" applyFill="1"/>
    <xf numFmtId="0" fontId="3" fillId="11" borderId="0" xfId="0" applyFont="1" applyFill="1"/>
    <xf numFmtId="0" fontId="0" fillId="3" borderId="42" xfId="0" applyFill="1" applyBorder="1"/>
    <xf numFmtId="0" fontId="0" fillId="6" borderId="0" xfId="0" applyFill="1"/>
    <xf numFmtId="0" fontId="3" fillId="6" borderId="0" xfId="0" applyFont="1" applyFill="1"/>
    <xf numFmtId="0" fontId="0" fillId="6" borderId="0" xfId="0" applyFont="1" applyFill="1"/>
    <xf numFmtId="0" fontId="0" fillId="3" borderId="0" xfId="0" applyFill="1" applyBorder="1"/>
    <xf numFmtId="0" fontId="94" fillId="3" borderId="0" xfId="0" applyFont="1" applyFill="1" applyAlignment="1"/>
    <xf numFmtId="0" fontId="31" fillId="3" borderId="0" xfId="0" applyFont="1" applyFill="1" applyAlignment="1" applyProtection="1">
      <alignment vertical="center"/>
      <protection locked="0"/>
    </xf>
    <xf numFmtId="0" fontId="3" fillId="14" borderId="0" xfId="0" applyFont="1" applyFill="1" applyBorder="1" applyAlignment="1" applyProtection="1">
      <alignment horizontal="right"/>
      <protection hidden="1"/>
    </xf>
    <xf numFmtId="0" fontId="31" fillId="3" borderId="8" xfId="0" applyFont="1" applyFill="1" applyBorder="1" applyAlignment="1" applyProtection="1">
      <alignment vertical="center"/>
      <protection locked="0"/>
    </xf>
    <xf numFmtId="0" fontId="3" fillId="12" borderId="6" xfId="0" applyFont="1" applyFill="1" applyBorder="1" applyAlignment="1" applyProtection="1">
      <alignment horizontal="center"/>
      <protection hidden="1"/>
    </xf>
    <xf numFmtId="0" fontId="3" fillId="12" borderId="6" xfId="0" applyFont="1" applyFill="1" applyBorder="1" applyAlignment="1" applyProtection="1">
      <alignment horizontal="center" vertical="center" wrapText="1"/>
      <protection hidden="1"/>
    </xf>
    <xf numFmtId="0" fontId="95" fillId="12" borderId="6" xfId="0" applyFont="1" applyFill="1" applyBorder="1" applyAlignment="1" applyProtection="1">
      <alignment horizontal="center" wrapText="1"/>
      <protection hidden="1"/>
    </xf>
    <xf numFmtId="0" fontId="54" fillId="12" borderId="6" xfId="0" applyFont="1" applyFill="1" applyBorder="1" applyAlignment="1" applyProtection="1">
      <alignment horizontal="center" vertical="center"/>
      <protection hidden="1"/>
    </xf>
    <xf numFmtId="0" fontId="96" fillId="31" borderId="0" xfId="0" applyFont="1" applyFill="1"/>
    <xf numFmtId="0" fontId="97" fillId="31" borderId="0" xfId="0" applyFont="1" applyFill="1"/>
    <xf numFmtId="0" fontId="98" fillId="31" borderId="0" xfId="0" applyFont="1" applyFill="1"/>
    <xf numFmtId="0" fontId="99" fillId="31" borderId="0" xfId="0" applyFont="1" applyFill="1" applyAlignment="1">
      <alignment horizontal="left" indent="1"/>
    </xf>
    <xf numFmtId="0" fontId="100" fillId="31" borderId="0" xfId="0" applyFont="1" applyFill="1" applyAlignment="1">
      <alignment horizontal="left" indent="1"/>
    </xf>
    <xf numFmtId="0" fontId="101" fillId="31" borderId="0" xfId="0" applyFont="1" applyFill="1" applyAlignment="1">
      <alignment horizontal="left"/>
    </xf>
    <xf numFmtId="0" fontId="102" fillId="31" borderId="0" xfId="0" applyFont="1" applyFill="1" applyAlignment="1">
      <alignment horizontal="left" indent="1"/>
    </xf>
    <xf numFmtId="0" fontId="103" fillId="31" borderId="0" xfId="0" applyFont="1" applyFill="1" applyAlignment="1">
      <alignment horizontal="left" indent="1"/>
    </xf>
    <xf numFmtId="0" fontId="103" fillId="31" borderId="0" xfId="0" applyFont="1" applyFill="1" applyAlignment="1"/>
    <xf numFmtId="0" fontId="104" fillId="31" borderId="0" xfId="0" applyFont="1" applyFill="1" applyAlignment="1"/>
    <xf numFmtId="0" fontId="47" fillId="31" borderId="0" xfId="0" applyFont="1" applyFill="1" applyAlignment="1">
      <alignment horizontal="left" indent="1"/>
    </xf>
    <xf numFmtId="0" fontId="105" fillId="31" borderId="0" xfId="0" applyFont="1" applyFill="1" applyAlignment="1">
      <alignment horizontal="left" indent="1"/>
    </xf>
    <xf numFmtId="0" fontId="106" fillId="9" borderId="0" xfId="0" applyFont="1" applyFill="1" applyProtection="1">
      <protection hidden="1"/>
    </xf>
    <xf numFmtId="0" fontId="107" fillId="31" borderId="0" xfId="0" applyFont="1" applyFill="1"/>
    <xf numFmtId="0" fontId="108" fillId="31" borderId="0" xfId="0" applyFont="1" applyFill="1" applyAlignment="1"/>
    <xf numFmtId="0" fontId="109" fillId="31" borderId="0" xfId="0" applyFont="1" applyFill="1" applyAlignment="1"/>
    <xf numFmtId="0" fontId="110" fillId="31" borderId="0" xfId="0" applyFont="1" applyFill="1"/>
    <xf numFmtId="0" fontId="0" fillId="7" borderId="0" xfId="0" applyFill="1"/>
    <xf numFmtId="0" fontId="31" fillId="3" borderId="8" xfId="0" applyFont="1" applyFill="1" applyBorder="1" applyAlignment="1" applyProtection="1">
      <alignment vertical="center"/>
    </xf>
    <xf numFmtId="0" fontId="31" fillId="3" borderId="0" xfId="0" applyFont="1" applyFill="1" applyAlignment="1" applyProtection="1">
      <alignment vertical="center"/>
    </xf>
    <xf numFmtId="0" fontId="31" fillId="0" borderId="0" xfId="0" applyFont="1" applyAlignment="1" applyProtection="1">
      <alignment vertical="center"/>
      <protection hidden="1"/>
    </xf>
    <xf numFmtId="0" fontId="0" fillId="29" borderId="6" xfId="0" applyFill="1" applyBorder="1"/>
    <xf numFmtId="0" fontId="0" fillId="29" borderId="8" xfId="0" applyFill="1" applyBorder="1" applyProtection="1">
      <protection hidden="1"/>
    </xf>
    <xf numFmtId="0" fontId="82" fillId="17" borderId="0" xfId="0" applyFont="1" applyFill="1"/>
    <xf numFmtId="0" fontId="111" fillId="17" borderId="0" xfId="0" applyFont="1" applyFill="1"/>
    <xf numFmtId="0" fontId="113" fillId="17" borderId="0" xfId="0" applyFont="1" applyFill="1" applyAlignment="1">
      <alignment vertical="top"/>
    </xf>
    <xf numFmtId="0" fontId="112" fillId="31" borderId="0" xfId="0" applyFont="1" applyFill="1"/>
    <xf numFmtId="164" fontId="3" fillId="4" borderId="20" xfId="0" applyNumberFormat="1" applyFont="1" applyFill="1" applyBorder="1" applyAlignment="1">
      <alignment horizontal="center" vertical="center"/>
    </xf>
    <xf numFmtId="164" fontId="3" fillId="4" borderId="21" xfId="0" applyNumberFormat="1" applyFont="1" applyFill="1" applyBorder="1" applyAlignment="1">
      <alignment horizontal="center" vertical="center"/>
    </xf>
    <xf numFmtId="164" fontId="3" fillId="4" borderId="3" xfId="0" applyNumberFormat="1" applyFont="1" applyFill="1" applyBorder="1" applyAlignment="1">
      <alignment horizontal="center"/>
    </xf>
    <xf numFmtId="164" fontId="3" fillId="4" borderId="4" xfId="0" applyNumberFormat="1" applyFont="1" applyFill="1" applyBorder="1" applyAlignment="1">
      <alignment horizontal="center"/>
    </xf>
    <xf numFmtId="164" fontId="3" fillId="4" borderId="5" xfId="0" applyNumberFormat="1" applyFont="1" applyFill="1" applyBorder="1" applyAlignment="1">
      <alignment horizontal="center"/>
    </xf>
    <xf numFmtId="0" fontId="0" fillId="0" borderId="0" xfId="0" applyAlignment="1">
      <alignment horizontal="center"/>
    </xf>
    <xf numFmtId="0" fontId="25" fillId="0" borderId="24" xfId="0" applyFont="1" applyBorder="1" applyAlignment="1">
      <alignment horizontal="center"/>
    </xf>
    <xf numFmtId="0" fontId="25" fillId="0" borderId="0" xfId="0" applyFont="1" applyAlignment="1">
      <alignment horizontal="center"/>
    </xf>
    <xf numFmtId="0" fontId="0" fillId="3" borderId="0" xfId="0" applyFill="1" applyAlignment="1">
      <alignment horizontal="center"/>
    </xf>
    <xf numFmtId="0" fontId="30" fillId="12" borderId="0" xfId="0" applyFont="1" applyFill="1" applyBorder="1" applyAlignment="1">
      <alignment horizontal="center"/>
    </xf>
    <xf numFmtId="0" fontId="54" fillId="13" borderId="31" xfId="0" applyFont="1" applyFill="1" applyBorder="1" applyAlignment="1" applyProtection="1">
      <alignment horizontal="center"/>
      <protection hidden="1"/>
    </xf>
    <xf numFmtId="0" fontId="40" fillId="17" borderId="0" xfId="0" applyFont="1" applyFill="1" applyAlignment="1" applyProtection="1">
      <alignment horizontal="center"/>
      <protection hidden="1"/>
    </xf>
    <xf numFmtId="0" fontId="41" fillId="17" borderId="0" xfId="0" applyFont="1" applyFill="1" applyAlignment="1" applyProtection="1">
      <alignment horizontal="left"/>
      <protection hidden="1"/>
    </xf>
    <xf numFmtId="0" fontId="36" fillId="17" borderId="0" xfId="0" applyFont="1" applyFill="1" applyAlignment="1" applyProtection="1">
      <alignment horizontal="center" vertical="center"/>
      <protection hidden="1"/>
    </xf>
    <xf numFmtId="2" fontId="42" fillId="17" borderId="0" xfId="0" applyNumberFormat="1" applyFont="1" applyFill="1" applyAlignment="1" applyProtection="1">
      <alignment horizontal="left"/>
      <protection hidden="1"/>
    </xf>
    <xf numFmtId="0" fontId="54" fillId="17" borderId="0" xfId="0" applyFont="1" applyFill="1" applyAlignment="1" applyProtection="1">
      <alignment horizontal="right"/>
      <protection hidden="1"/>
    </xf>
    <xf numFmtId="0" fontId="49" fillId="14" borderId="33" xfId="0" applyFont="1" applyFill="1" applyBorder="1" applyAlignment="1" applyProtection="1">
      <alignment horizontal="center"/>
      <protection locked="0" hidden="1"/>
    </xf>
    <xf numFmtId="0" fontId="49" fillId="14" borderId="35" xfId="0" applyFont="1" applyFill="1" applyBorder="1" applyAlignment="1" applyProtection="1">
      <alignment horizontal="center"/>
      <protection locked="0" hidden="1"/>
    </xf>
    <xf numFmtId="164" fontId="58" fillId="4" borderId="3" xfId="0" applyNumberFormat="1" applyFont="1" applyFill="1" applyBorder="1" applyAlignment="1" applyProtection="1">
      <alignment horizontal="center" vertical="center"/>
      <protection hidden="1"/>
    </xf>
    <xf numFmtId="164" fontId="58" fillId="4" borderId="4" xfId="0" applyNumberFormat="1" applyFont="1" applyFill="1" applyBorder="1" applyAlignment="1" applyProtection="1">
      <alignment horizontal="center" vertical="center"/>
      <protection hidden="1"/>
    </xf>
    <xf numFmtId="164" fontId="58" fillId="4" borderId="37" xfId="0" applyNumberFormat="1" applyFont="1" applyFill="1" applyBorder="1" applyAlignment="1" applyProtection="1">
      <alignment horizontal="center" vertical="center"/>
      <protection hidden="1"/>
    </xf>
    <xf numFmtId="164" fontId="58" fillId="4" borderId="5" xfId="0" applyNumberFormat="1" applyFont="1" applyFill="1" applyBorder="1" applyAlignment="1" applyProtection="1">
      <alignment horizontal="center" vertical="center"/>
      <protection hidden="1"/>
    </xf>
    <xf numFmtId="164" fontId="42" fillId="4" borderId="3" xfId="0" applyNumberFormat="1" applyFont="1" applyFill="1" applyBorder="1" applyAlignment="1" applyProtection="1">
      <alignment horizontal="center" vertical="center"/>
      <protection hidden="1"/>
    </xf>
    <xf numFmtId="164" fontId="42" fillId="4" borderId="37" xfId="0" applyNumberFormat="1" applyFont="1" applyFill="1" applyBorder="1" applyAlignment="1" applyProtection="1">
      <alignment horizontal="center" vertical="center"/>
      <protection hidden="1"/>
    </xf>
    <xf numFmtId="164" fontId="42" fillId="4" borderId="5" xfId="0" applyNumberFormat="1" applyFont="1" applyFill="1" applyBorder="1" applyAlignment="1" applyProtection="1">
      <alignment horizontal="center" vertical="center"/>
      <protection hidden="1"/>
    </xf>
    <xf numFmtId="0" fontId="66" fillId="17" borderId="32" xfId="0" applyFont="1" applyFill="1" applyBorder="1" applyAlignment="1" applyProtection="1">
      <alignment horizontal="center"/>
      <protection hidden="1"/>
    </xf>
    <xf numFmtId="0" fontId="3" fillId="23" borderId="0" xfId="0" applyFont="1" applyFill="1" applyBorder="1" applyAlignment="1" applyProtection="1">
      <alignment horizontal="center" wrapText="1"/>
      <protection hidden="1"/>
    </xf>
    <xf numFmtId="2" fontId="42" fillId="14" borderId="33" xfId="0" applyNumberFormat="1" applyFont="1" applyFill="1" applyBorder="1" applyAlignment="1" applyProtection="1">
      <alignment horizontal="left"/>
      <protection locked="0" hidden="1"/>
    </xf>
    <xf numFmtId="2" fontId="42" fillId="14" borderId="34" xfId="0" applyNumberFormat="1" applyFont="1" applyFill="1" applyBorder="1" applyAlignment="1" applyProtection="1">
      <alignment horizontal="left"/>
      <protection locked="0" hidden="1"/>
    </xf>
    <xf numFmtId="2" fontId="42" fillId="14" borderId="35" xfId="0" applyNumberFormat="1" applyFont="1" applyFill="1" applyBorder="1" applyAlignment="1" applyProtection="1">
      <alignment horizontal="left"/>
      <protection locked="0" hidden="1"/>
    </xf>
    <xf numFmtId="0" fontId="3" fillId="17" borderId="31" xfId="0" applyFont="1" applyFill="1" applyBorder="1" applyAlignment="1" applyProtection="1">
      <alignment horizontal="center"/>
      <protection hidden="1"/>
    </xf>
    <xf numFmtId="0" fontId="3" fillId="17" borderId="0" xfId="0" applyFont="1" applyFill="1" applyBorder="1" applyAlignment="1" applyProtection="1">
      <alignment horizontal="center"/>
      <protection hidden="1"/>
    </xf>
    <xf numFmtId="0" fontId="0" fillId="15" borderId="1" xfId="0" applyFill="1" applyBorder="1" applyAlignment="1" applyProtection="1">
      <alignment horizontal="left"/>
      <protection hidden="1"/>
    </xf>
    <xf numFmtId="0" fontId="0" fillId="15" borderId="25" xfId="0" applyFill="1" applyBorder="1" applyAlignment="1" applyProtection="1">
      <alignment horizontal="left"/>
      <protection hidden="1"/>
    </xf>
    <xf numFmtId="0" fontId="0" fillId="15" borderId="24" xfId="0" applyFill="1" applyBorder="1" applyAlignment="1" applyProtection="1">
      <alignment horizontal="left"/>
      <protection hidden="1"/>
    </xf>
    <xf numFmtId="0" fontId="0" fillId="15" borderId="8" xfId="0" applyFill="1" applyBorder="1" applyAlignment="1" applyProtection="1">
      <alignment horizontal="left"/>
      <protection hidden="1"/>
    </xf>
    <xf numFmtId="0" fontId="0" fillId="15" borderId="30" xfId="0" applyFill="1" applyBorder="1" applyAlignment="1" applyProtection="1">
      <alignment horizontal="left"/>
      <protection hidden="1"/>
    </xf>
    <xf numFmtId="0" fontId="0" fillId="15" borderId="29" xfId="0" applyFill="1" applyBorder="1" applyAlignment="1" applyProtection="1">
      <alignment horizontal="left"/>
      <protection hidden="1"/>
    </xf>
  </cellXfs>
  <cellStyles count="4">
    <cellStyle name="40% - Accent5" xfId="1" builtinId="47"/>
    <cellStyle name="Hyperlink" xfId="3" builtinId="8"/>
    <cellStyle name="Normal" xfId="0" builtinId="0"/>
    <cellStyle name="Normal 2" xfId="2"/>
  </cellStyles>
  <dxfs count="466">
    <dxf>
      <font>
        <b/>
        <i val="0"/>
        <color theme="0"/>
      </font>
      <fill>
        <patternFill>
          <bgColor rgb="FFFF0000"/>
        </patternFill>
      </fill>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6" tint="0.79998168889431442"/>
        </patternFill>
      </fill>
      <border>
        <left/>
        <right/>
        <top style="thin">
          <color theme="6" tint="0.39994506668294322"/>
        </top>
        <bottom style="thin">
          <color theme="6" tint="0.39994506668294322"/>
        </bottom>
        <vertical/>
        <horizontal/>
      </border>
    </dxf>
    <dxf>
      <fill>
        <patternFill>
          <bgColor theme="3" tint="0.59996337778862885"/>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39994506668294322"/>
        </patternFill>
      </fill>
    </dxf>
    <dxf>
      <font>
        <color rgb="FF00B050"/>
      </font>
      <fill>
        <patternFill>
          <bgColor rgb="FF00B050"/>
        </patternFill>
      </fill>
    </dxf>
    <dxf>
      <border>
        <top style="thin">
          <color auto="1"/>
        </top>
        <vertical/>
        <horizontal/>
      </border>
    </dxf>
    <dxf>
      <fill>
        <patternFill>
          <bgColor theme="5" tint="0.59996337778862885"/>
        </patternFill>
      </fill>
    </dxf>
    <dxf>
      <font>
        <color theme="0"/>
      </font>
      <fill>
        <patternFill>
          <bgColor theme="0"/>
        </patternFill>
      </fill>
    </dxf>
    <dxf>
      <fill>
        <patternFill>
          <bgColor theme="6" tint="0.79998168889431442"/>
        </patternFill>
      </fill>
    </dxf>
    <dxf>
      <fill>
        <patternFill>
          <bgColor theme="2" tint="-0.24994659260841701"/>
        </patternFill>
      </fill>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6" tint="0.79998168889431442"/>
        </patternFill>
      </fill>
    </dxf>
    <dxf>
      <fill>
        <patternFill>
          <bgColor theme="2" tint="-0.24994659260841701"/>
        </patternFill>
      </fill>
    </dxf>
    <dxf>
      <fill>
        <patternFill>
          <bgColor theme="0"/>
        </patternFill>
      </fill>
      <border>
        <vertical/>
        <horizontal/>
      </border>
    </dxf>
    <dxf>
      <fill>
        <patternFill>
          <bgColor theme="2" tint="-0.24994659260841701"/>
        </patternFill>
      </fill>
      <border>
        <left/>
        <right/>
        <top/>
        <bottom/>
        <vertical/>
        <horizontal/>
      </border>
    </dxf>
    <dxf>
      <fill>
        <patternFill>
          <bgColor theme="0"/>
        </patternFill>
      </fill>
      <border>
        <vertical/>
        <horizontal/>
      </border>
    </dxf>
    <dxf>
      <fill>
        <patternFill>
          <bgColor theme="6" tint="0.79998168889431442"/>
        </patternFill>
      </fill>
    </dxf>
    <dxf>
      <fill>
        <patternFill>
          <bgColor theme="2" tint="-0.24994659260841701"/>
        </patternFill>
      </fill>
    </dxf>
    <dxf>
      <fill>
        <patternFill>
          <bgColor theme="2" tint="-0.24994659260841701"/>
        </patternFill>
      </fill>
    </dxf>
    <dxf>
      <fill>
        <patternFill>
          <bgColor theme="0"/>
        </patternFill>
      </fill>
      <border>
        <vertical/>
        <horizontal/>
      </border>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3" tint="0.79998168889431442"/>
        </patternFill>
      </fill>
    </dxf>
    <dxf>
      <fill>
        <patternFill>
          <bgColor theme="3" tint="0.59996337778862885"/>
        </patternFill>
      </fill>
      <border>
        <vertical/>
        <horizontal/>
      </border>
    </dxf>
    <dxf>
      <fill>
        <patternFill>
          <bgColor theme="0" tint="-4.9989318521683403E-2"/>
        </patternFill>
      </fill>
      <border>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5744925213675215E-2"/>
          <c:y val="2.9481493765216402E-2"/>
          <c:w val="0.80844383182797019"/>
          <c:h val="0.81813332636139624"/>
        </c:manualLayout>
      </c:layout>
      <c:scatterChart>
        <c:scatterStyle val="smoothMarker"/>
        <c:varyColors val="0"/>
        <c:ser>
          <c:idx val="0"/>
          <c:order val="0"/>
          <c:tx>
            <c:strRef>
              <c:f>Tools!$CP$62</c:f>
              <c:strCache>
                <c:ptCount val="1"/>
                <c:pt idx="0">
                  <c:v>WL 0</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c:f>
              <c:numCache>
                <c:formatCode>General</c:formatCode>
                <c:ptCount val="25"/>
                <c:pt idx="0">
                  <c:v>0</c:v>
                </c:pt>
                <c:pt idx="1">
                  <c:v>0</c:v>
                </c:pt>
                <c:pt idx="2">
                  <c:v>0</c:v>
                </c:pt>
                <c:pt idx="3">
                  <c:v>0</c:v>
                </c:pt>
                <c:pt idx="4">
                  <c:v>0</c:v>
                </c:pt>
                <c:pt idx="5">
                  <c:v>0.3</c:v>
                </c:pt>
                <c:pt idx="6">
                  <c:v>1</c:v>
                </c:pt>
                <c:pt idx="7">
                  <c:v>1.62</c:v>
                </c:pt>
                <c:pt idx="8">
                  <c:v>2.2000000000000002</c:v>
                </c:pt>
                <c:pt idx="9">
                  <c:v>3.71</c:v>
                </c:pt>
                <c:pt idx="10">
                  <c:v>5.9</c:v>
                </c:pt>
                <c:pt idx="11">
                  <c:v>7.2</c:v>
                </c:pt>
                <c:pt idx="12">
                  <c:v>8.25</c:v>
                </c:pt>
                <c:pt idx="13">
                  <c:v>8.6</c:v>
                </c:pt>
                <c:pt idx="14">
                  <c:v>7.85</c:v>
                </c:pt>
                <c:pt idx="15">
                  <c:v>6.7</c:v>
                </c:pt>
                <c:pt idx="16">
                  <c:v>5.35</c:v>
                </c:pt>
                <c:pt idx="17">
                  <c:v>3.8</c:v>
                </c:pt>
                <c:pt idx="18">
                  <c:v>2.2200000000000002</c:v>
                </c:pt>
                <c:pt idx="19">
                  <c:v>0.65</c:v>
                </c:pt>
                <c:pt idx="20">
                  <c:v>0</c:v>
                </c:pt>
                <c:pt idx="21">
                  <c:v>0</c:v>
                </c:pt>
                <c:pt idx="22">
                  <c:v>0</c:v>
                </c:pt>
                <c:pt idx="23">
                  <c:v>0</c:v>
                </c:pt>
                <c:pt idx="24">
                  <c:v>0</c:v>
                </c:pt>
              </c:numCache>
            </c:numRef>
          </c:yVal>
          <c:smooth val="1"/>
        </c:ser>
        <c:ser>
          <c:idx val="1"/>
          <c:order val="1"/>
          <c:tx>
            <c:strRef>
              <c:f>Tools!$CP$63</c:f>
              <c:strCache>
                <c:ptCount val="1"/>
                <c:pt idx="0">
                  <c:v>WL 0.5</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c:f>
              <c:numCache>
                <c:formatCode>General</c:formatCode>
                <c:ptCount val="25"/>
                <c:pt idx="0">
                  <c:v>0</c:v>
                </c:pt>
                <c:pt idx="1">
                  <c:v>0</c:v>
                </c:pt>
                <c:pt idx="2">
                  <c:v>0</c:v>
                </c:pt>
                <c:pt idx="3">
                  <c:v>0</c:v>
                </c:pt>
                <c:pt idx="4">
                  <c:v>0.4</c:v>
                </c:pt>
                <c:pt idx="5">
                  <c:v>1.67</c:v>
                </c:pt>
                <c:pt idx="6">
                  <c:v>3.17</c:v>
                </c:pt>
                <c:pt idx="7">
                  <c:v>4.8099999999999996</c:v>
                </c:pt>
                <c:pt idx="8">
                  <c:v>6.59</c:v>
                </c:pt>
                <c:pt idx="9">
                  <c:v>8.58</c:v>
                </c:pt>
                <c:pt idx="10">
                  <c:v>10.16</c:v>
                </c:pt>
                <c:pt idx="11">
                  <c:v>10.78</c:v>
                </c:pt>
                <c:pt idx="12">
                  <c:v>10.84</c:v>
                </c:pt>
                <c:pt idx="13">
                  <c:v>10.65</c:v>
                </c:pt>
                <c:pt idx="14">
                  <c:v>10.02</c:v>
                </c:pt>
                <c:pt idx="15">
                  <c:v>8.84</c:v>
                </c:pt>
                <c:pt idx="16">
                  <c:v>7.29</c:v>
                </c:pt>
                <c:pt idx="17">
                  <c:v>5.65</c:v>
                </c:pt>
                <c:pt idx="18">
                  <c:v>4.05</c:v>
                </c:pt>
                <c:pt idx="19">
                  <c:v>2.63</c:v>
                </c:pt>
                <c:pt idx="20">
                  <c:v>1.49</c:v>
                </c:pt>
                <c:pt idx="21">
                  <c:v>1.04</c:v>
                </c:pt>
                <c:pt idx="22">
                  <c:v>0.64</c:v>
                </c:pt>
                <c:pt idx="23">
                  <c:v>0</c:v>
                </c:pt>
                <c:pt idx="24">
                  <c:v>0</c:v>
                </c:pt>
              </c:numCache>
            </c:numRef>
          </c:yVal>
          <c:smooth val="1"/>
        </c:ser>
        <c:ser>
          <c:idx val="2"/>
          <c:order val="2"/>
          <c:tx>
            <c:strRef>
              <c:f>Tools!$CP$64</c:f>
              <c:strCache>
                <c:ptCount val="1"/>
                <c:pt idx="0">
                  <c:v>WL 1</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Tools!HB_3</c:f>
              <c:numCache>
                <c:formatCode>General</c:formatCode>
                <c:ptCount val="25"/>
                <c:pt idx="0">
                  <c:v>0</c:v>
                </c:pt>
                <c:pt idx="1">
                  <c:v>0</c:v>
                </c:pt>
                <c:pt idx="2">
                  <c:v>0</c:v>
                </c:pt>
                <c:pt idx="3">
                  <c:v>0</c:v>
                </c:pt>
                <c:pt idx="4">
                  <c:v>1.04</c:v>
                </c:pt>
                <c:pt idx="5">
                  <c:v>2.2999999999999998</c:v>
                </c:pt>
                <c:pt idx="6">
                  <c:v>4.08</c:v>
                </c:pt>
                <c:pt idx="7">
                  <c:v>6.09</c:v>
                </c:pt>
                <c:pt idx="8">
                  <c:v>8.34</c:v>
                </c:pt>
                <c:pt idx="9">
                  <c:v>10.26</c:v>
                </c:pt>
                <c:pt idx="10">
                  <c:v>11.35</c:v>
                </c:pt>
                <c:pt idx="11">
                  <c:v>11.72</c:v>
                </c:pt>
                <c:pt idx="12">
                  <c:v>11.76</c:v>
                </c:pt>
                <c:pt idx="13">
                  <c:v>11.62</c:v>
                </c:pt>
                <c:pt idx="14">
                  <c:v>11.1</c:v>
                </c:pt>
                <c:pt idx="15">
                  <c:v>10.029999999999999</c:v>
                </c:pt>
                <c:pt idx="16">
                  <c:v>8.15</c:v>
                </c:pt>
                <c:pt idx="17">
                  <c:v>6.8</c:v>
                </c:pt>
                <c:pt idx="18">
                  <c:v>5.0999999999999996</c:v>
                </c:pt>
                <c:pt idx="19">
                  <c:v>3.52</c:v>
                </c:pt>
                <c:pt idx="20">
                  <c:v>2.23</c:v>
                </c:pt>
                <c:pt idx="21">
                  <c:v>1.7</c:v>
                </c:pt>
                <c:pt idx="22">
                  <c:v>1.27</c:v>
                </c:pt>
                <c:pt idx="23">
                  <c:v>0.86</c:v>
                </c:pt>
                <c:pt idx="24">
                  <c:v>0</c:v>
                </c:pt>
              </c:numCache>
            </c:numRef>
          </c:yVal>
          <c:smooth val="1"/>
        </c:ser>
        <c:ser>
          <c:idx val="3"/>
          <c:order val="3"/>
          <c:tx>
            <c:strRef>
              <c:f>Tools!$CP$65</c:f>
              <c:strCache>
                <c:ptCount val="1"/>
                <c:pt idx="0">
                  <c:v>WL 1.5</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Tools!HB_4</c:f>
              <c:numCache>
                <c:formatCode>General</c:formatCode>
                <c:ptCount val="25"/>
                <c:pt idx="0">
                  <c:v>0</c:v>
                </c:pt>
                <c:pt idx="1">
                  <c:v>0</c:v>
                </c:pt>
                <c:pt idx="2">
                  <c:v>0</c:v>
                </c:pt>
                <c:pt idx="3">
                  <c:v>0.4</c:v>
                </c:pt>
                <c:pt idx="4">
                  <c:v>1.5</c:v>
                </c:pt>
                <c:pt idx="5">
                  <c:v>2.7</c:v>
                </c:pt>
                <c:pt idx="6">
                  <c:v>4.8</c:v>
                </c:pt>
                <c:pt idx="7">
                  <c:v>7.37</c:v>
                </c:pt>
                <c:pt idx="8">
                  <c:v>9.82</c:v>
                </c:pt>
                <c:pt idx="9">
                  <c:v>11.25</c:v>
                </c:pt>
                <c:pt idx="10">
                  <c:v>11.9</c:v>
                </c:pt>
                <c:pt idx="11">
                  <c:v>12.12</c:v>
                </c:pt>
                <c:pt idx="12">
                  <c:v>12.14</c:v>
                </c:pt>
                <c:pt idx="13">
                  <c:v>12.04</c:v>
                </c:pt>
                <c:pt idx="14">
                  <c:v>11.63</c:v>
                </c:pt>
                <c:pt idx="15">
                  <c:v>10.68</c:v>
                </c:pt>
                <c:pt idx="16">
                  <c:v>9.25</c:v>
                </c:pt>
                <c:pt idx="17">
                  <c:v>7.54</c:v>
                </c:pt>
                <c:pt idx="18">
                  <c:v>5.74</c:v>
                </c:pt>
                <c:pt idx="19">
                  <c:v>4.0599999999999996</c:v>
                </c:pt>
                <c:pt idx="20">
                  <c:v>2.69</c:v>
                </c:pt>
                <c:pt idx="21">
                  <c:v>2.14</c:v>
                </c:pt>
                <c:pt idx="22">
                  <c:v>1.68</c:v>
                </c:pt>
                <c:pt idx="23">
                  <c:v>1.29</c:v>
                </c:pt>
                <c:pt idx="24">
                  <c:v>0.76</c:v>
                </c:pt>
              </c:numCache>
            </c:numRef>
          </c:yVal>
          <c:smooth val="1"/>
        </c:ser>
        <c:ser>
          <c:idx val="4"/>
          <c:order val="4"/>
          <c:tx>
            <c:strRef>
              <c:f>Tools!$CP$66</c:f>
              <c:strCache>
                <c:ptCount val="1"/>
                <c:pt idx="0">
                  <c:v>WL 2</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Tools!HB_5</c:f>
              <c:numCache>
                <c:formatCode>General</c:formatCode>
                <c:ptCount val="25"/>
                <c:pt idx="0">
                  <c:v>0</c:v>
                </c:pt>
                <c:pt idx="1">
                  <c:v>0</c:v>
                </c:pt>
                <c:pt idx="2">
                  <c:v>0</c:v>
                </c:pt>
                <c:pt idx="3">
                  <c:v>0.7</c:v>
                </c:pt>
                <c:pt idx="4">
                  <c:v>1.7</c:v>
                </c:pt>
                <c:pt idx="5">
                  <c:v>3.1</c:v>
                </c:pt>
                <c:pt idx="6">
                  <c:v>5.8</c:v>
                </c:pt>
                <c:pt idx="7">
                  <c:v>9.0299999999999994</c:v>
                </c:pt>
                <c:pt idx="8">
                  <c:v>10.92</c:v>
                </c:pt>
                <c:pt idx="9">
                  <c:v>11.86</c:v>
                </c:pt>
                <c:pt idx="10">
                  <c:v>12.18</c:v>
                </c:pt>
                <c:pt idx="11">
                  <c:v>12.25</c:v>
                </c:pt>
                <c:pt idx="12">
                  <c:v>12.25</c:v>
                </c:pt>
                <c:pt idx="13">
                  <c:v>12.21</c:v>
                </c:pt>
                <c:pt idx="14">
                  <c:v>11.92</c:v>
                </c:pt>
                <c:pt idx="15">
                  <c:v>11.1</c:v>
                </c:pt>
                <c:pt idx="16">
                  <c:v>9.75</c:v>
                </c:pt>
                <c:pt idx="17">
                  <c:v>8.08</c:v>
                </c:pt>
                <c:pt idx="18">
                  <c:v>6.23</c:v>
                </c:pt>
                <c:pt idx="19">
                  <c:v>4.43</c:v>
                </c:pt>
                <c:pt idx="20">
                  <c:v>2.97</c:v>
                </c:pt>
                <c:pt idx="21">
                  <c:v>2.4</c:v>
                </c:pt>
                <c:pt idx="22">
                  <c:v>1.96</c:v>
                </c:pt>
                <c:pt idx="23">
                  <c:v>1.6</c:v>
                </c:pt>
                <c:pt idx="24">
                  <c:v>1.1499999999999999</c:v>
                </c:pt>
              </c:numCache>
            </c:numRef>
          </c:yVal>
          <c:smooth val="1"/>
        </c:ser>
        <c:ser>
          <c:idx val="5"/>
          <c:order val="5"/>
          <c:tx>
            <c:strRef>
              <c:f>Tools!$CP$67</c:f>
              <c:strCache>
                <c:ptCount val="1"/>
                <c:pt idx="0">
                  <c:v>WL 3</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Tools!HB_6</c:f>
              <c:numCache>
                <c:formatCode>General</c:formatCode>
                <c:ptCount val="25"/>
                <c:pt idx="0">
                  <c:v>0</c:v>
                </c:pt>
                <c:pt idx="1">
                  <c:v>0</c:v>
                </c:pt>
                <c:pt idx="2">
                  <c:v>0</c:v>
                </c:pt>
                <c:pt idx="3">
                  <c:v>1.2</c:v>
                </c:pt>
                <c:pt idx="4">
                  <c:v>2.7</c:v>
                </c:pt>
                <c:pt idx="5">
                  <c:v>5.7</c:v>
                </c:pt>
                <c:pt idx="6">
                  <c:v>9.1999999999999993</c:v>
                </c:pt>
                <c:pt idx="7">
                  <c:v>11.15</c:v>
                </c:pt>
                <c:pt idx="8">
                  <c:v>11.97</c:v>
                </c:pt>
                <c:pt idx="9">
                  <c:v>12.25</c:v>
                </c:pt>
                <c:pt idx="10">
                  <c:v>12.25</c:v>
                </c:pt>
                <c:pt idx="11">
                  <c:v>12.25</c:v>
                </c:pt>
                <c:pt idx="12">
                  <c:v>12.25</c:v>
                </c:pt>
                <c:pt idx="13">
                  <c:v>12.25</c:v>
                </c:pt>
                <c:pt idx="14">
                  <c:v>12.2</c:v>
                </c:pt>
                <c:pt idx="15">
                  <c:v>11.64</c:v>
                </c:pt>
                <c:pt idx="16">
                  <c:v>10.5</c:v>
                </c:pt>
                <c:pt idx="17">
                  <c:v>8.91</c:v>
                </c:pt>
                <c:pt idx="18">
                  <c:v>7.02</c:v>
                </c:pt>
                <c:pt idx="19">
                  <c:v>5.03</c:v>
                </c:pt>
                <c:pt idx="20">
                  <c:v>3.25</c:v>
                </c:pt>
                <c:pt idx="21">
                  <c:v>2.57</c:v>
                </c:pt>
                <c:pt idx="22">
                  <c:v>2.1</c:v>
                </c:pt>
                <c:pt idx="23">
                  <c:v>1.77</c:v>
                </c:pt>
                <c:pt idx="24">
                  <c:v>1.45</c:v>
                </c:pt>
              </c:numCache>
            </c:numRef>
          </c:yVal>
          <c:smooth val="1"/>
        </c:ser>
        <c:ser>
          <c:idx val="6"/>
          <c:order val="6"/>
          <c:tx>
            <c:strRef>
              <c:f>Tools!$CP$68</c:f>
              <c:strCache>
                <c:ptCount val="1"/>
                <c:pt idx="0">
                  <c:v>WL 4</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Tools!HB_7</c:f>
              <c:numCache>
                <c:formatCode>General</c:formatCode>
                <c:ptCount val="25"/>
                <c:pt idx="0">
                  <c:v>0</c:v>
                </c:pt>
                <c:pt idx="1">
                  <c:v>0</c:v>
                </c:pt>
                <c:pt idx="2">
                  <c:v>0</c:v>
                </c:pt>
                <c:pt idx="3">
                  <c:v>2.4</c:v>
                </c:pt>
                <c:pt idx="4">
                  <c:v>5.5</c:v>
                </c:pt>
                <c:pt idx="5">
                  <c:v>9.6999999999999993</c:v>
                </c:pt>
                <c:pt idx="6">
                  <c:v>11.17</c:v>
                </c:pt>
                <c:pt idx="7">
                  <c:v>11.95</c:v>
                </c:pt>
                <c:pt idx="8">
                  <c:v>12.25</c:v>
                </c:pt>
                <c:pt idx="9">
                  <c:v>12.25</c:v>
                </c:pt>
                <c:pt idx="10">
                  <c:v>12.25</c:v>
                </c:pt>
                <c:pt idx="11">
                  <c:v>12.25</c:v>
                </c:pt>
                <c:pt idx="12">
                  <c:v>12.25</c:v>
                </c:pt>
                <c:pt idx="13">
                  <c:v>12.25</c:v>
                </c:pt>
                <c:pt idx="14">
                  <c:v>12.25</c:v>
                </c:pt>
                <c:pt idx="15">
                  <c:v>11.97</c:v>
                </c:pt>
                <c:pt idx="16">
                  <c:v>11.06</c:v>
                </c:pt>
                <c:pt idx="17">
                  <c:v>9.64</c:v>
                </c:pt>
                <c:pt idx="18">
                  <c:v>7.81</c:v>
                </c:pt>
                <c:pt idx="19">
                  <c:v>5.69</c:v>
                </c:pt>
                <c:pt idx="20">
                  <c:v>3.51</c:v>
                </c:pt>
                <c:pt idx="21">
                  <c:v>2.5499999999999998</c:v>
                </c:pt>
                <c:pt idx="22">
                  <c:v>1.8</c:v>
                </c:pt>
                <c:pt idx="23">
                  <c:v>1.31</c:v>
                </c:pt>
                <c:pt idx="24">
                  <c:v>1.04</c:v>
                </c:pt>
              </c:numCache>
            </c:numRef>
          </c:yVal>
          <c:smooth val="1"/>
        </c:ser>
        <c:ser>
          <c:idx val="7"/>
          <c:order val="7"/>
          <c:tx>
            <c:strRef>
              <c:f>Tools!$CP$69</c:f>
              <c:strCache>
                <c:ptCount val="1"/>
                <c:pt idx="0">
                  <c:v>WL 5</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Tools!HB_8</c:f>
              <c:numCache>
                <c:formatCode>General</c:formatCode>
                <c:ptCount val="25"/>
                <c:pt idx="0">
                  <c:v>0</c:v>
                </c:pt>
                <c:pt idx="1">
                  <c:v>1.2</c:v>
                </c:pt>
                <c:pt idx="2">
                  <c:v>6.12</c:v>
                </c:pt>
                <c:pt idx="3">
                  <c:v>8.5500000000000007</c:v>
                </c:pt>
                <c:pt idx="4">
                  <c:v>9.9</c:v>
                </c:pt>
                <c:pt idx="5">
                  <c:v>11.23</c:v>
                </c:pt>
                <c:pt idx="6">
                  <c:v>11.91</c:v>
                </c:pt>
                <c:pt idx="7">
                  <c:v>12.22</c:v>
                </c:pt>
                <c:pt idx="8">
                  <c:v>12.25</c:v>
                </c:pt>
                <c:pt idx="9">
                  <c:v>12.25</c:v>
                </c:pt>
                <c:pt idx="10">
                  <c:v>12.25</c:v>
                </c:pt>
                <c:pt idx="11">
                  <c:v>12.25</c:v>
                </c:pt>
                <c:pt idx="12">
                  <c:v>12.25</c:v>
                </c:pt>
                <c:pt idx="13">
                  <c:v>12.25</c:v>
                </c:pt>
                <c:pt idx="14">
                  <c:v>12.25</c:v>
                </c:pt>
                <c:pt idx="15">
                  <c:v>12.18</c:v>
                </c:pt>
                <c:pt idx="16">
                  <c:v>11.46</c:v>
                </c:pt>
                <c:pt idx="17">
                  <c:v>10.26</c:v>
                </c:pt>
                <c:pt idx="18">
                  <c:v>8.6300000000000008</c:v>
                </c:pt>
                <c:pt idx="19">
                  <c:v>6.59</c:v>
                </c:pt>
                <c:pt idx="20">
                  <c:v>4.28</c:v>
                </c:pt>
                <c:pt idx="21">
                  <c:v>3.12</c:v>
                </c:pt>
                <c:pt idx="22">
                  <c:v>2</c:v>
                </c:pt>
                <c:pt idx="23">
                  <c:v>1</c:v>
                </c:pt>
                <c:pt idx="24">
                  <c:v>0</c:v>
                </c:pt>
              </c:numCache>
            </c:numRef>
          </c:yVal>
          <c:smooth val="1"/>
        </c:ser>
        <c:ser>
          <c:idx val="8"/>
          <c:order val="8"/>
          <c:tx>
            <c:strRef>
              <c:f>Tools!$CP$70</c:f>
              <c:strCache>
                <c:ptCount val="1"/>
                <c:pt idx="0">
                  <c:v>LWL</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Tools!HB_9</c:f>
              <c:numCache>
                <c:formatCode>General</c:formatCode>
                <c:ptCount val="25"/>
                <c:pt idx="0">
                  <c:v>2.8919999999999999</c:v>
                </c:pt>
                <c:pt idx="1">
                  <c:v>6.8</c:v>
                </c:pt>
                <c:pt idx="2">
                  <c:v>8.8000000000000007</c:v>
                </c:pt>
                <c:pt idx="3">
                  <c:v>10.14</c:v>
                </c:pt>
                <c:pt idx="4">
                  <c:v>10.9</c:v>
                </c:pt>
                <c:pt idx="5">
                  <c:v>11.7</c:v>
                </c:pt>
                <c:pt idx="6">
                  <c:v>12.14</c:v>
                </c:pt>
                <c:pt idx="7">
                  <c:v>12.25</c:v>
                </c:pt>
                <c:pt idx="8">
                  <c:v>12.25</c:v>
                </c:pt>
                <c:pt idx="9">
                  <c:v>12.25</c:v>
                </c:pt>
                <c:pt idx="10">
                  <c:v>12.25</c:v>
                </c:pt>
                <c:pt idx="11">
                  <c:v>12.25</c:v>
                </c:pt>
                <c:pt idx="12">
                  <c:v>12.25</c:v>
                </c:pt>
                <c:pt idx="13">
                  <c:v>12.25</c:v>
                </c:pt>
                <c:pt idx="14">
                  <c:v>12.25</c:v>
                </c:pt>
                <c:pt idx="15">
                  <c:v>12.22</c:v>
                </c:pt>
                <c:pt idx="16">
                  <c:v>11.67</c:v>
                </c:pt>
                <c:pt idx="17">
                  <c:v>10.6</c:v>
                </c:pt>
                <c:pt idx="18">
                  <c:v>9.1199999999999992</c:v>
                </c:pt>
                <c:pt idx="19">
                  <c:v>7.22</c:v>
                </c:pt>
                <c:pt idx="20">
                  <c:v>4.97</c:v>
                </c:pt>
                <c:pt idx="21">
                  <c:v>3.79</c:v>
                </c:pt>
                <c:pt idx="22">
                  <c:v>2.61</c:v>
                </c:pt>
                <c:pt idx="23">
                  <c:v>1.44</c:v>
                </c:pt>
                <c:pt idx="24">
                  <c:v>0</c:v>
                </c:pt>
              </c:numCache>
            </c:numRef>
          </c:yVal>
          <c:smooth val="1"/>
        </c:ser>
        <c:ser>
          <c:idx val="9"/>
          <c:order val="9"/>
          <c:tx>
            <c:strRef>
              <c:f>Tools!$CP$71</c:f>
              <c:strCache>
                <c:ptCount val="1"/>
                <c:pt idx="0">
                  <c:v>WL 6</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Tools!HB_10</c:f>
              <c:numCache>
                <c:formatCode>General</c:formatCode>
                <c:ptCount val="25"/>
                <c:pt idx="0">
                  <c:v>6.2</c:v>
                </c:pt>
                <c:pt idx="1">
                  <c:v>8.4600000000000009</c:v>
                </c:pt>
                <c:pt idx="2">
                  <c:v>9.84</c:v>
                </c:pt>
                <c:pt idx="3">
                  <c:v>10.78</c:v>
                </c:pt>
                <c:pt idx="4">
                  <c:v>11.34</c:v>
                </c:pt>
                <c:pt idx="5">
                  <c:v>11.93</c:v>
                </c:pt>
                <c:pt idx="6">
                  <c:v>12.2</c:v>
                </c:pt>
                <c:pt idx="7">
                  <c:v>12.25</c:v>
                </c:pt>
                <c:pt idx="8">
                  <c:v>12.25</c:v>
                </c:pt>
                <c:pt idx="9">
                  <c:v>12.25</c:v>
                </c:pt>
                <c:pt idx="10">
                  <c:v>12.25</c:v>
                </c:pt>
                <c:pt idx="11">
                  <c:v>12.25</c:v>
                </c:pt>
                <c:pt idx="12">
                  <c:v>12.25</c:v>
                </c:pt>
                <c:pt idx="13">
                  <c:v>12.25</c:v>
                </c:pt>
                <c:pt idx="14">
                  <c:v>12.25</c:v>
                </c:pt>
                <c:pt idx="15">
                  <c:v>12.23</c:v>
                </c:pt>
                <c:pt idx="16">
                  <c:v>11.79</c:v>
                </c:pt>
                <c:pt idx="17">
                  <c:v>10.8</c:v>
                </c:pt>
                <c:pt idx="18">
                  <c:v>9.43</c:v>
                </c:pt>
                <c:pt idx="19">
                  <c:v>7.64</c:v>
                </c:pt>
                <c:pt idx="20">
                  <c:v>5.47</c:v>
                </c:pt>
                <c:pt idx="21">
                  <c:v>4.3</c:v>
                </c:pt>
                <c:pt idx="22">
                  <c:v>3.1</c:v>
                </c:pt>
                <c:pt idx="23">
                  <c:v>1.74</c:v>
                </c:pt>
                <c:pt idx="24">
                  <c:v>0.25</c:v>
                </c:pt>
              </c:numCache>
            </c:numRef>
          </c:yVal>
          <c:smooth val="1"/>
        </c:ser>
        <c:ser>
          <c:idx val="10"/>
          <c:order val="10"/>
          <c:tx>
            <c:strRef>
              <c:f>Tools!$CP$72</c:f>
              <c:strCache>
                <c:ptCount val="1"/>
                <c:pt idx="0">
                  <c:v>WL 7</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Tools!HB_11</c:f>
              <c:numCache>
                <c:formatCode>General</c:formatCode>
                <c:ptCount val="25"/>
                <c:pt idx="0">
                  <c:v>9.6</c:v>
                </c:pt>
                <c:pt idx="1">
                  <c:v>10.63</c:v>
                </c:pt>
                <c:pt idx="2">
                  <c:v>11.33</c:v>
                </c:pt>
                <c:pt idx="3">
                  <c:v>11.77</c:v>
                </c:pt>
                <c:pt idx="4">
                  <c:v>12</c:v>
                </c:pt>
                <c:pt idx="5">
                  <c:v>12.21</c:v>
                </c:pt>
                <c:pt idx="6">
                  <c:v>12.25</c:v>
                </c:pt>
                <c:pt idx="7">
                  <c:v>12.25</c:v>
                </c:pt>
                <c:pt idx="8">
                  <c:v>12.25</c:v>
                </c:pt>
                <c:pt idx="9">
                  <c:v>12.25</c:v>
                </c:pt>
                <c:pt idx="10">
                  <c:v>12.25</c:v>
                </c:pt>
                <c:pt idx="11">
                  <c:v>12.25</c:v>
                </c:pt>
                <c:pt idx="12">
                  <c:v>12.25</c:v>
                </c:pt>
                <c:pt idx="13">
                  <c:v>12.25</c:v>
                </c:pt>
                <c:pt idx="14">
                  <c:v>12.25</c:v>
                </c:pt>
                <c:pt idx="15">
                  <c:v>12.23</c:v>
                </c:pt>
                <c:pt idx="16">
                  <c:v>12.07</c:v>
                </c:pt>
                <c:pt idx="17">
                  <c:v>11.29</c:v>
                </c:pt>
                <c:pt idx="18">
                  <c:v>10.199999999999999</c:v>
                </c:pt>
                <c:pt idx="19">
                  <c:v>8.73</c:v>
                </c:pt>
                <c:pt idx="20">
                  <c:v>6.84</c:v>
                </c:pt>
                <c:pt idx="21">
                  <c:v>5.71</c:v>
                </c:pt>
                <c:pt idx="22">
                  <c:v>4.42</c:v>
                </c:pt>
                <c:pt idx="23">
                  <c:v>2.79</c:v>
                </c:pt>
                <c:pt idx="24">
                  <c:v>0.85</c:v>
                </c:pt>
              </c:numCache>
            </c:numRef>
          </c:yVal>
          <c:smooth val="1"/>
        </c:ser>
        <c:ser>
          <c:idx val="11"/>
          <c:order val="11"/>
          <c:tx>
            <c:strRef>
              <c:f>Tools!$CP$73</c:f>
              <c:strCache>
                <c:ptCount val="1"/>
                <c:pt idx="0">
                  <c:v>MDK</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Tools!HB_12</c:f>
              <c:numCache>
                <c:formatCode>General</c:formatCode>
                <c:ptCount val="25"/>
                <c:pt idx="0">
                  <c:v>10.89</c:v>
                </c:pt>
                <c:pt idx="1">
                  <c:v>11.52</c:v>
                </c:pt>
                <c:pt idx="2">
                  <c:v>11.9</c:v>
                </c:pt>
                <c:pt idx="3">
                  <c:v>12.1</c:v>
                </c:pt>
                <c:pt idx="4">
                  <c:v>12.2</c:v>
                </c:pt>
                <c:pt idx="5">
                  <c:v>12.23</c:v>
                </c:pt>
                <c:pt idx="6">
                  <c:v>12.25</c:v>
                </c:pt>
                <c:pt idx="7">
                  <c:v>12.25</c:v>
                </c:pt>
                <c:pt idx="8">
                  <c:v>12.25</c:v>
                </c:pt>
                <c:pt idx="9">
                  <c:v>12.25</c:v>
                </c:pt>
                <c:pt idx="10">
                  <c:v>12.25</c:v>
                </c:pt>
                <c:pt idx="11">
                  <c:v>12.25</c:v>
                </c:pt>
                <c:pt idx="12">
                  <c:v>12.25</c:v>
                </c:pt>
                <c:pt idx="13">
                  <c:v>12.25</c:v>
                </c:pt>
                <c:pt idx="14">
                  <c:v>12.25</c:v>
                </c:pt>
                <c:pt idx="15">
                  <c:v>12.25</c:v>
                </c:pt>
                <c:pt idx="16">
                  <c:v>12.23</c:v>
                </c:pt>
                <c:pt idx="17">
                  <c:v>12.15</c:v>
                </c:pt>
                <c:pt idx="18">
                  <c:v>11.75</c:v>
                </c:pt>
                <c:pt idx="19">
                  <c:v>10.94</c:v>
                </c:pt>
                <c:pt idx="20">
                  <c:v>9.77</c:v>
                </c:pt>
                <c:pt idx="21">
                  <c:v>8.1</c:v>
                </c:pt>
                <c:pt idx="22">
                  <c:v>5.76</c:v>
                </c:pt>
                <c:pt idx="23">
                  <c:v>4.0999999999999996</c:v>
                </c:pt>
                <c:pt idx="24">
                  <c:v>1.78</c:v>
                </c:pt>
              </c:numCache>
            </c:numRef>
          </c:yVal>
          <c:smooth val="1"/>
        </c:ser>
        <c:ser>
          <c:idx val="12"/>
          <c:order val="12"/>
          <c:tx>
            <c:strRef>
              <c:f>Tools!$CP$74</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Tools!HB_13</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3"/>
          <c:order val="13"/>
          <c:tx>
            <c:strRef>
              <c:f>Tools!$CP$75</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4"/>
          <c:order val="14"/>
          <c:tx>
            <c:strRef>
              <c:f>Tools!$CP$76</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Tools!HB_15</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5"/>
          <c:order val="15"/>
          <c:tx>
            <c:strRef>
              <c:f>Tools!$CP$77</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Tools!HB_16</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6"/>
          <c:order val="16"/>
          <c:tx>
            <c:strRef>
              <c:f>Tools!$CP$78</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Tools!HB_17</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7"/>
          <c:order val="17"/>
          <c:tx>
            <c:strRef>
              <c:f>Tools!$CP$79</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Tools!HB_18</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8"/>
          <c:order val="18"/>
          <c:tx>
            <c:strRef>
              <c:f>Tools!$CP$80</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Tools!HB_19</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9"/>
          <c:order val="19"/>
          <c:tx>
            <c:strRef>
              <c:f>Tools!$CP$81</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Tools!HB_20</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0"/>
          <c:order val="20"/>
          <c:tx>
            <c:strRef>
              <c:f>Tools!$CP$82</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Tools!HB_21</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1"/>
          <c:order val="21"/>
          <c:tx>
            <c:strRef>
              <c:f>Tools!$CP$83</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2"/>
          <c:order val="22"/>
          <c:tx>
            <c:strRef>
              <c:f>Tools!$CP$84</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Tools!HB_23</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3"/>
          <c:order val="23"/>
          <c:tx>
            <c:strRef>
              <c:f>Tools!$CP$85</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4"/>
          <c:order val="24"/>
          <c:tx>
            <c:strRef>
              <c:f>Tools!$CP$86</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Tools!HB_25</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5"/>
          <c:order val="25"/>
          <c:tx>
            <c:strRef>
              <c:f>Tools!$CV$76</c:f>
              <c:strCache>
                <c:ptCount val="1"/>
                <c:pt idx="0">
                  <c:v>BTK 1</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Tools!$CW$76:$CX$76</c:f>
              <c:numCache>
                <c:formatCode>General</c:formatCode>
                <c:ptCount val="2"/>
                <c:pt idx="0">
                  <c:v>4.083333333333333</c:v>
                </c:pt>
                <c:pt idx="1">
                  <c:v>4.083333333333333</c:v>
                </c:pt>
              </c:numCache>
            </c:numRef>
          </c:yVal>
          <c:smooth val="1"/>
        </c:ser>
        <c:ser>
          <c:idx val="26"/>
          <c:order val="26"/>
          <c:tx>
            <c:strRef>
              <c:f>Tools!$CV$77</c:f>
              <c:strCache>
                <c:ptCount val="1"/>
                <c:pt idx="0">
                  <c:v>BTK 2</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Tools!$CW$77:$CX$77</c:f>
              <c:numCache>
                <c:formatCode>General</c:formatCode>
                <c:ptCount val="2"/>
                <c:pt idx="0">
                  <c:v>8.1666666666666661</c:v>
                </c:pt>
                <c:pt idx="1">
                  <c:v>8.1666666666666661</c:v>
                </c:pt>
              </c:numCache>
            </c:numRef>
          </c:yVal>
          <c:smooth val="1"/>
        </c:ser>
        <c:ser>
          <c:idx val="27"/>
          <c:order val="27"/>
          <c:tx>
            <c:strRef>
              <c:f>Tools!$CV$78</c:f>
              <c:strCache>
                <c:ptCount val="1"/>
                <c:pt idx="0">
                  <c:v>SIDE</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Tools!$CW$78:$CX$78</c:f>
              <c:numCache>
                <c:formatCode>General</c:formatCode>
                <c:ptCount val="2"/>
                <c:pt idx="0">
                  <c:v>12.25</c:v>
                </c:pt>
                <c:pt idx="1">
                  <c:v>12.25</c:v>
                </c:pt>
              </c:numCache>
            </c:numRef>
          </c:yVal>
          <c:smooth val="1"/>
        </c:ser>
        <c:ser>
          <c:idx val="28"/>
          <c:order val="28"/>
          <c:tx>
            <c:strRef>
              <c:f>Tools!$CV$79</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Tools!$CW$79:$CX$79</c:f>
              <c:numCache>
                <c:formatCode>General</c:formatCode>
                <c:ptCount val="2"/>
                <c:pt idx="0">
                  <c:v>0</c:v>
                </c:pt>
                <c:pt idx="1">
                  <c:v>0</c:v>
                </c:pt>
              </c:numCache>
            </c:numRef>
          </c:yVal>
          <c:smooth val="1"/>
        </c:ser>
        <c:ser>
          <c:idx val="29"/>
          <c:order val="29"/>
          <c:tx>
            <c:strRef>
              <c:f>Tools!$CV$80</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Tools!$CW$80:$CX$80</c:f>
              <c:numCache>
                <c:formatCode>General</c:formatCode>
                <c:ptCount val="2"/>
                <c:pt idx="0">
                  <c:v>0</c:v>
                </c:pt>
              </c:numCache>
            </c:numRef>
          </c:yVal>
          <c:smooth val="1"/>
        </c:ser>
        <c:ser>
          <c:idx val="30"/>
          <c:order val="30"/>
          <c:tx>
            <c:strRef>
              <c:f>Tools!$CV$81</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Tools!$CW$81:$CX$81</c:f>
              <c:numCache>
                <c:formatCode>General</c:formatCode>
                <c:ptCount val="2"/>
                <c:pt idx="0">
                  <c:v>0</c:v>
                </c:pt>
              </c:numCache>
            </c:numRef>
          </c:yVal>
          <c:smooth val="1"/>
        </c:ser>
        <c:ser>
          <c:idx val="31"/>
          <c:order val="31"/>
          <c:tx>
            <c:strRef>
              <c:f>Tools!$CV$82</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Tools!$CW$82:$CX$82</c:f>
              <c:numCache>
                <c:formatCode>General</c:formatCode>
                <c:ptCount val="2"/>
                <c:pt idx="0">
                  <c:v>0</c:v>
                </c:pt>
              </c:numCache>
            </c:numRef>
          </c:yVal>
          <c:smooth val="1"/>
        </c:ser>
        <c:ser>
          <c:idx val="32"/>
          <c:order val="32"/>
          <c:tx>
            <c:strRef>
              <c:f>Tools!$CV$83</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Tools!$CW$83:$CX$83</c:f>
              <c:numCache>
                <c:formatCode>General</c:formatCode>
                <c:ptCount val="2"/>
                <c:pt idx="0">
                  <c:v>0</c:v>
                </c:pt>
              </c:numCache>
            </c:numRef>
          </c:yVal>
          <c:smooth val="1"/>
        </c:ser>
        <c:ser>
          <c:idx val="33"/>
          <c:order val="33"/>
          <c:tx>
            <c:strRef>
              <c:f>Tools!$CV$84</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Tools!$CW$84:$CX$84</c:f>
              <c:numCache>
                <c:formatCode>General</c:formatCode>
                <c:ptCount val="2"/>
                <c:pt idx="0">
                  <c:v>0</c:v>
                </c:pt>
              </c:numCache>
            </c:numRef>
          </c:yVal>
          <c:smooth val="1"/>
        </c:ser>
        <c:ser>
          <c:idx val="34"/>
          <c:order val="34"/>
          <c:tx>
            <c:strRef>
              <c:f>Tools!$CV$85</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Tools!$CW$85:$CX$85</c:f>
              <c:numCache>
                <c:formatCode>General</c:formatCode>
                <c:ptCount val="2"/>
                <c:pt idx="0">
                  <c:v>0</c:v>
                </c:pt>
              </c:numCache>
            </c:numRef>
          </c:yVal>
          <c:smooth val="1"/>
        </c:ser>
        <c:ser>
          <c:idx val="35"/>
          <c:order val="35"/>
          <c:tx>
            <c:strRef>
              <c:f>Tools!$DC$62</c:f>
              <c:strCache>
                <c:ptCount val="1"/>
                <c:pt idx="0">
                  <c:v>STN 0</c:v>
                </c:pt>
              </c:strCache>
            </c:strRef>
          </c:tx>
          <c:spPr>
            <a:ln w="3175">
              <a:solidFill>
                <a:sysClr val="windowText" lastClr="000000"/>
              </a:solidFill>
            </a:ln>
          </c:spPr>
          <c:marker>
            <c:symbol val="none"/>
          </c:marker>
          <c:xVal>
            <c:numRef>
              <c:f>Tools!$DD$62:$DE$62</c:f>
              <c:numCache>
                <c:formatCode>General</c:formatCode>
                <c:ptCount val="2"/>
                <c:pt idx="0">
                  <c:v>0</c:v>
                </c:pt>
                <c:pt idx="1">
                  <c:v>0</c:v>
                </c:pt>
              </c:numCache>
            </c:numRef>
          </c:xVal>
          <c:yVal>
            <c:numRef>
              <c:f>Tools!$DD$61:$DE$61</c:f>
              <c:numCache>
                <c:formatCode>General</c:formatCode>
                <c:ptCount val="2"/>
                <c:pt idx="0">
                  <c:v>0</c:v>
                </c:pt>
                <c:pt idx="1">
                  <c:v>12.25</c:v>
                </c:pt>
              </c:numCache>
            </c:numRef>
          </c:yVal>
          <c:smooth val="1"/>
        </c:ser>
        <c:ser>
          <c:idx val="36"/>
          <c:order val="36"/>
          <c:tx>
            <c:strRef>
              <c:f>Tools!$DC$63</c:f>
              <c:strCache>
                <c:ptCount val="1"/>
                <c:pt idx="0">
                  <c:v>STN 0.5</c:v>
                </c:pt>
              </c:strCache>
            </c:strRef>
          </c:tx>
          <c:spPr>
            <a:ln w="3175">
              <a:solidFill>
                <a:schemeClr val="bg1">
                  <a:lumMod val="50000"/>
                </a:schemeClr>
              </a:solidFill>
            </a:ln>
          </c:spPr>
          <c:marker>
            <c:symbol val="none"/>
          </c:marker>
          <c:xVal>
            <c:numRef>
              <c:f>Tools!$DD$63:$DE$63</c:f>
              <c:numCache>
                <c:formatCode>General</c:formatCode>
                <c:ptCount val="2"/>
                <c:pt idx="0">
                  <c:v>0.5</c:v>
                </c:pt>
                <c:pt idx="1">
                  <c:v>0.5</c:v>
                </c:pt>
              </c:numCache>
            </c:numRef>
          </c:xVal>
          <c:yVal>
            <c:numRef>
              <c:f>Tools!$DD$61:$DE$61</c:f>
              <c:numCache>
                <c:formatCode>General</c:formatCode>
                <c:ptCount val="2"/>
                <c:pt idx="0">
                  <c:v>0</c:v>
                </c:pt>
                <c:pt idx="1">
                  <c:v>12.25</c:v>
                </c:pt>
              </c:numCache>
            </c:numRef>
          </c:yVal>
          <c:smooth val="1"/>
        </c:ser>
        <c:ser>
          <c:idx val="37"/>
          <c:order val="37"/>
          <c:tx>
            <c:strRef>
              <c:f>Tools!$DC$64</c:f>
              <c:strCache>
                <c:ptCount val="1"/>
                <c:pt idx="0">
                  <c:v>STN 1</c:v>
                </c:pt>
              </c:strCache>
            </c:strRef>
          </c:tx>
          <c:spPr>
            <a:ln w="3175">
              <a:solidFill>
                <a:schemeClr val="bg1">
                  <a:lumMod val="50000"/>
                </a:schemeClr>
              </a:solidFill>
            </a:ln>
          </c:spPr>
          <c:marker>
            <c:symbol val="none"/>
          </c:marker>
          <c:xVal>
            <c:numRef>
              <c:f>Tools!$DD$64:$DE$64</c:f>
              <c:numCache>
                <c:formatCode>General</c:formatCode>
                <c:ptCount val="2"/>
                <c:pt idx="0">
                  <c:v>1</c:v>
                </c:pt>
                <c:pt idx="1">
                  <c:v>1</c:v>
                </c:pt>
              </c:numCache>
            </c:numRef>
          </c:xVal>
          <c:yVal>
            <c:numRef>
              <c:f>Tools!$DD$61:$DE$61</c:f>
              <c:numCache>
                <c:formatCode>General</c:formatCode>
                <c:ptCount val="2"/>
                <c:pt idx="0">
                  <c:v>0</c:v>
                </c:pt>
                <c:pt idx="1">
                  <c:v>12.25</c:v>
                </c:pt>
              </c:numCache>
            </c:numRef>
          </c:yVal>
          <c:smooth val="1"/>
        </c:ser>
        <c:ser>
          <c:idx val="38"/>
          <c:order val="38"/>
          <c:tx>
            <c:strRef>
              <c:f>Tools!$DC$65</c:f>
              <c:strCache>
                <c:ptCount val="1"/>
                <c:pt idx="0">
                  <c:v>STN 1.5</c:v>
                </c:pt>
              </c:strCache>
            </c:strRef>
          </c:tx>
          <c:spPr>
            <a:ln w="3175">
              <a:solidFill>
                <a:schemeClr val="bg1">
                  <a:lumMod val="50000"/>
                </a:schemeClr>
              </a:solidFill>
            </a:ln>
          </c:spPr>
          <c:marker>
            <c:symbol val="none"/>
          </c:marker>
          <c:xVal>
            <c:numRef>
              <c:f>Tools!$DD$65:$DE$65</c:f>
              <c:numCache>
                <c:formatCode>General</c:formatCode>
                <c:ptCount val="2"/>
                <c:pt idx="0">
                  <c:v>1.5</c:v>
                </c:pt>
                <c:pt idx="1">
                  <c:v>1.5</c:v>
                </c:pt>
              </c:numCache>
            </c:numRef>
          </c:xVal>
          <c:yVal>
            <c:numRef>
              <c:f>Tools!$DD$61:$DE$61</c:f>
              <c:numCache>
                <c:formatCode>General</c:formatCode>
                <c:ptCount val="2"/>
                <c:pt idx="0">
                  <c:v>0</c:v>
                </c:pt>
                <c:pt idx="1">
                  <c:v>12.25</c:v>
                </c:pt>
              </c:numCache>
            </c:numRef>
          </c:yVal>
          <c:smooth val="1"/>
        </c:ser>
        <c:ser>
          <c:idx val="39"/>
          <c:order val="39"/>
          <c:tx>
            <c:strRef>
              <c:f>Tools!$DC$66</c:f>
              <c:strCache>
                <c:ptCount val="1"/>
                <c:pt idx="0">
                  <c:v>STN 2</c:v>
                </c:pt>
              </c:strCache>
            </c:strRef>
          </c:tx>
          <c:spPr>
            <a:ln w="3175">
              <a:solidFill>
                <a:schemeClr val="bg1">
                  <a:lumMod val="50000"/>
                </a:schemeClr>
              </a:solidFill>
            </a:ln>
          </c:spPr>
          <c:marker>
            <c:symbol val="none"/>
          </c:marker>
          <c:xVal>
            <c:numRef>
              <c:f>Tools!$DD$66:$DE$66</c:f>
              <c:numCache>
                <c:formatCode>General</c:formatCode>
                <c:ptCount val="2"/>
                <c:pt idx="0">
                  <c:v>2</c:v>
                </c:pt>
                <c:pt idx="1">
                  <c:v>2</c:v>
                </c:pt>
              </c:numCache>
            </c:numRef>
          </c:xVal>
          <c:yVal>
            <c:numRef>
              <c:f>Tools!$DD$61:$DE$61</c:f>
              <c:numCache>
                <c:formatCode>General</c:formatCode>
                <c:ptCount val="2"/>
                <c:pt idx="0">
                  <c:v>0</c:v>
                </c:pt>
                <c:pt idx="1">
                  <c:v>12.25</c:v>
                </c:pt>
              </c:numCache>
            </c:numRef>
          </c:yVal>
          <c:smooth val="1"/>
        </c:ser>
        <c:ser>
          <c:idx val="40"/>
          <c:order val="40"/>
          <c:tx>
            <c:strRef>
              <c:f>Tools!$DC$67</c:f>
              <c:strCache>
                <c:ptCount val="1"/>
                <c:pt idx="0">
                  <c:v>STN 3</c:v>
                </c:pt>
              </c:strCache>
            </c:strRef>
          </c:tx>
          <c:spPr>
            <a:ln w="3175">
              <a:solidFill>
                <a:schemeClr val="bg1">
                  <a:lumMod val="50000"/>
                </a:schemeClr>
              </a:solidFill>
            </a:ln>
          </c:spPr>
          <c:marker>
            <c:symbol val="none"/>
          </c:marker>
          <c:xVal>
            <c:numRef>
              <c:f>Tools!$DD$67:$DE$67</c:f>
              <c:numCache>
                <c:formatCode>General</c:formatCode>
                <c:ptCount val="2"/>
                <c:pt idx="0">
                  <c:v>3</c:v>
                </c:pt>
                <c:pt idx="1">
                  <c:v>3</c:v>
                </c:pt>
              </c:numCache>
            </c:numRef>
          </c:xVal>
          <c:yVal>
            <c:numRef>
              <c:f>Tools!$DD$61:$DE$61</c:f>
              <c:numCache>
                <c:formatCode>General</c:formatCode>
                <c:ptCount val="2"/>
                <c:pt idx="0">
                  <c:v>0</c:v>
                </c:pt>
                <c:pt idx="1">
                  <c:v>12.25</c:v>
                </c:pt>
              </c:numCache>
            </c:numRef>
          </c:yVal>
          <c:smooth val="1"/>
        </c:ser>
        <c:ser>
          <c:idx val="41"/>
          <c:order val="41"/>
          <c:tx>
            <c:strRef>
              <c:f>Tools!$DC$68</c:f>
              <c:strCache>
                <c:ptCount val="1"/>
                <c:pt idx="0">
                  <c:v>STN 4</c:v>
                </c:pt>
              </c:strCache>
            </c:strRef>
          </c:tx>
          <c:spPr>
            <a:ln w="3175">
              <a:solidFill>
                <a:schemeClr val="bg1">
                  <a:lumMod val="50000"/>
                </a:schemeClr>
              </a:solidFill>
            </a:ln>
          </c:spPr>
          <c:marker>
            <c:symbol val="none"/>
          </c:marker>
          <c:xVal>
            <c:numRef>
              <c:f>Tools!$DD$68:$DE$68</c:f>
              <c:numCache>
                <c:formatCode>General</c:formatCode>
                <c:ptCount val="2"/>
                <c:pt idx="0">
                  <c:v>4</c:v>
                </c:pt>
                <c:pt idx="1">
                  <c:v>4</c:v>
                </c:pt>
              </c:numCache>
            </c:numRef>
          </c:xVal>
          <c:yVal>
            <c:numRef>
              <c:f>Tools!$DD$61:$DE$61</c:f>
              <c:numCache>
                <c:formatCode>General</c:formatCode>
                <c:ptCount val="2"/>
                <c:pt idx="0">
                  <c:v>0</c:v>
                </c:pt>
                <c:pt idx="1">
                  <c:v>12.25</c:v>
                </c:pt>
              </c:numCache>
            </c:numRef>
          </c:yVal>
          <c:smooth val="1"/>
        </c:ser>
        <c:ser>
          <c:idx val="42"/>
          <c:order val="42"/>
          <c:tx>
            <c:strRef>
              <c:f>Tools!$DC$69</c:f>
              <c:strCache>
                <c:ptCount val="1"/>
                <c:pt idx="0">
                  <c:v>STN 5</c:v>
                </c:pt>
              </c:strCache>
            </c:strRef>
          </c:tx>
          <c:spPr>
            <a:ln w="3175">
              <a:solidFill>
                <a:schemeClr val="bg1">
                  <a:lumMod val="50000"/>
                </a:schemeClr>
              </a:solidFill>
            </a:ln>
          </c:spPr>
          <c:marker>
            <c:symbol val="none"/>
          </c:marker>
          <c:xVal>
            <c:numRef>
              <c:f>Tools!$DD$69:$DE$69</c:f>
              <c:numCache>
                <c:formatCode>General</c:formatCode>
                <c:ptCount val="2"/>
                <c:pt idx="0">
                  <c:v>5</c:v>
                </c:pt>
                <c:pt idx="1">
                  <c:v>5</c:v>
                </c:pt>
              </c:numCache>
            </c:numRef>
          </c:xVal>
          <c:yVal>
            <c:numRef>
              <c:f>Tools!$DD$61:$DE$61</c:f>
              <c:numCache>
                <c:formatCode>General</c:formatCode>
                <c:ptCount val="2"/>
                <c:pt idx="0">
                  <c:v>0</c:v>
                </c:pt>
                <c:pt idx="1">
                  <c:v>12.25</c:v>
                </c:pt>
              </c:numCache>
            </c:numRef>
          </c:yVal>
          <c:smooth val="1"/>
        </c:ser>
        <c:ser>
          <c:idx val="43"/>
          <c:order val="43"/>
          <c:tx>
            <c:strRef>
              <c:f>Tools!$DC$70</c:f>
              <c:strCache>
                <c:ptCount val="1"/>
                <c:pt idx="0">
                  <c:v>STN 6</c:v>
                </c:pt>
              </c:strCache>
            </c:strRef>
          </c:tx>
          <c:spPr>
            <a:ln w="3175">
              <a:solidFill>
                <a:schemeClr val="bg1">
                  <a:lumMod val="50000"/>
                </a:schemeClr>
              </a:solidFill>
            </a:ln>
          </c:spPr>
          <c:marker>
            <c:symbol val="none"/>
          </c:marker>
          <c:xVal>
            <c:numRef>
              <c:f>Tools!$DD$70:$DE$70</c:f>
              <c:numCache>
                <c:formatCode>General</c:formatCode>
                <c:ptCount val="2"/>
                <c:pt idx="0">
                  <c:v>6</c:v>
                </c:pt>
                <c:pt idx="1">
                  <c:v>6</c:v>
                </c:pt>
              </c:numCache>
            </c:numRef>
          </c:xVal>
          <c:yVal>
            <c:numRef>
              <c:f>Tools!$DD$61:$DE$61</c:f>
              <c:numCache>
                <c:formatCode>General</c:formatCode>
                <c:ptCount val="2"/>
                <c:pt idx="0">
                  <c:v>0</c:v>
                </c:pt>
                <c:pt idx="1">
                  <c:v>12.25</c:v>
                </c:pt>
              </c:numCache>
            </c:numRef>
          </c:yVal>
          <c:smooth val="1"/>
        </c:ser>
        <c:ser>
          <c:idx val="44"/>
          <c:order val="44"/>
          <c:tx>
            <c:strRef>
              <c:f>Tools!$DC$71</c:f>
              <c:strCache>
                <c:ptCount val="1"/>
                <c:pt idx="0">
                  <c:v>STN 7</c:v>
                </c:pt>
              </c:strCache>
            </c:strRef>
          </c:tx>
          <c:spPr>
            <a:ln w="3175">
              <a:solidFill>
                <a:schemeClr val="bg1">
                  <a:lumMod val="50000"/>
                </a:schemeClr>
              </a:solidFill>
            </a:ln>
          </c:spPr>
          <c:marker>
            <c:symbol val="none"/>
          </c:marker>
          <c:xVal>
            <c:numRef>
              <c:f>Tools!$DD$71:$DE$71</c:f>
              <c:numCache>
                <c:formatCode>General</c:formatCode>
                <c:ptCount val="2"/>
                <c:pt idx="0">
                  <c:v>7</c:v>
                </c:pt>
                <c:pt idx="1">
                  <c:v>7</c:v>
                </c:pt>
              </c:numCache>
            </c:numRef>
          </c:xVal>
          <c:yVal>
            <c:numRef>
              <c:f>Tools!$DD$61:$DE$61</c:f>
              <c:numCache>
                <c:formatCode>General</c:formatCode>
                <c:ptCount val="2"/>
                <c:pt idx="0">
                  <c:v>0</c:v>
                </c:pt>
                <c:pt idx="1">
                  <c:v>12.25</c:v>
                </c:pt>
              </c:numCache>
            </c:numRef>
          </c:yVal>
          <c:smooth val="1"/>
        </c:ser>
        <c:ser>
          <c:idx val="45"/>
          <c:order val="45"/>
          <c:tx>
            <c:strRef>
              <c:f>Tools!$DC$72</c:f>
              <c:strCache>
                <c:ptCount val="1"/>
                <c:pt idx="0">
                  <c:v>STN 8</c:v>
                </c:pt>
              </c:strCache>
            </c:strRef>
          </c:tx>
          <c:spPr>
            <a:ln w="3175">
              <a:solidFill>
                <a:schemeClr val="bg1">
                  <a:lumMod val="50000"/>
                </a:schemeClr>
              </a:solidFill>
            </a:ln>
          </c:spPr>
          <c:marker>
            <c:symbol val="none"/>
          </c:marker>
          <c:xVal>
            <c:numRef>
              <c:f>Tools!$DD$72:$DE$72</c:f>
              <c:numCache>
                <c:formatCode>General</c:formatCode>
                <c:ptCount val="2"/>
                <c:pt idx="0">
                  <c:v>8</c:v>
                </c:pt>
                <c:pt idx="1">
                  <c:v>8</c:v>
                </c:pt>
              </c:numCache>
            </c:numRef>
          </c:xVal>
          <c:yVal>
            <c:numRef>
              <c:f>Tools!$DD$61:$DE$61</c:f>
              <c:numCache>
                <c:formatCode>General</c:formatCode>
                <c:ptCount val="2"/>
                <c:pt idx="0">
                  <c:v>0</c:v>
                </c:pt>
                <c:pt idx="1">
                  <c:v>12.25</c:v>
                </c:pt>
              </c:numCache>
            </c:numRef>
          </c:yVal>
          <c:smooth val="1"/>
        </c:ser>
        <c:ser>
          <c:idx val="46"/>
          <c:order val="46"/>
          <c:tx>
            <c:strRef>
              <c:f>Tools!$DC$73</c:f>
              <c:strCache>
                <c:ptCount val="1"/>
                <c:pt idx="0">
                  <c:v>STN 9</c:v>
                </c:pt>
              </c:strCache>
            </c:strRef>
          </c:tx>
          <c:spPr>
            <a:ln w="3175">
              <a:solidFill>
                <a:schemeClr val="bg1">
                  <a:lumMod val="50000"/>
                </a:schemeClr>
              </a:solidFill>
            </a:ln>
          </c:spPr>
          <c:marker>
            <c:symbol val="none"/>
          </c:marker>
          <c:xVal>
            <c:numRef>
              <c:f>Tools!$DD$73:$DE$73</c:f>
              <c:numCache>
                <c:formatCode>General</c:formatCode>
                <c:ptCount val="2"/>
                <c:pt idx="0">
                  <c:v>9</c:v>
                </c:pt>
                <c:pt idx="1">
                  <c:v>9</c:v>
                </c:pt>
              </c:numCache>
            </c:numRef>
          </c:xVal>
          <c:yVal>
            <c:numRef>
              <c:f>Tools!$DD$61:$DE$61</c:f>
              <c:numCache>
                <c:formatCode>General</c:formatCode>
                <c:ptCount val="2"/>
                <c:pt idx="0">
                  <c:v>0</c:v>
                </c:pt>
                <c:pt idx="1">
                  <c:v>12.25</c:v>
                </c:pt>
              </c:numCache>
            </c:numRef>
          </c:yVal>
          <c:smooth val="1"/>
        </c:ser>
        <c:ser>
          <c:idx val="47"/>
          <c:order val="47"/>
          <c:tx>
            <c:strRef>
              <c:f>Tools!$DC$74</c:f>
              <c:strCache>
                <c:ptCount val="1"/>
                <c:pt idx="0">
                  <c:v>STN 10</c:v>
                </c:pt>
              </c:strCache>
            </c:strRef>
          </c:tx>
          <c:spPr>
            <a:ln w="3175">
              <a:solidFill>
                <a:schemeClr val="bg1">
                  <a:lumMod val="65000"/>
                </a:schemeClr>
              </a:solidFill>
            </a:ln>
          </c:spPr>
          <c:marker>
            <c:symbol val="none"/>
          </c:marker>
          <c:xVal>
            <c:numRef>
              <c:f>Tools!$DD$74:$DE$74</c:f>
              <c:numCache>
                <c:formatCode>General</c:formatCode>
                <c:ptCount val="2"/>
                <c:pt idx="0">
                  <c:v>10</c:v>
                </c:pt>
                <c:pt idx="1">
                  <c:v>10</c:v>
                </c:pt>
              </c:numCache>
            </c:numRef>
          </c:xVal>
          <c:yVal>
            <c:numRef>
              <c:f>Tools!$DD$61:$DE$61</c:f>
              <c:numCache>
                <c:formatCode>General</c:formatCode>
                <c:ptCount val="2"/>
                <c:pt idx="0">
                  <c:v>0</c:v>
                </c:pt>
                <c:pt idx="1">
                  <c:v>12.25</c:v>
                </c:pt>
              </c:numCache>
            </c:numRef>
          </c:yVal>
          <c:smooth val="1"/>
        </c:ser>
        <c:ser>
          <c:idx val="48"/>
          <c:order val="48"/>
          <c:tx>
            <c:strRef>
              <c:f>Tools!$DC$75</c:f>
              <c:strCache>
                <c:ptCount val="1"/>
                <c:pt idx="0">
                  <c:v>STN 11</c:v>
                </c:pt>
              </c:strCache>
            </c:strRef>
          </c:tx>
          <c:spPr>
            <a:ln w="3175">
              <a:solidFill>
                <a:schemeClr val="tx1">
                  <a:lumMod val="65000"/>
                  <a:lumOff val="35000"/>
                </a:schemeClr>
              </a:solidFill>
            </a:ln>
          </c:spPr>
          <c:marker>
            <c:symbol val="none"/>
          </c:marker>
          <c:xVal>
            <c:numRef>
              <c:f>Tools!$DD$75:$DE$75</c:f>
              <c:numCache>
                <c:formatCode>General</c:formatCode>
                <c:ptCount val="2"/>
                <c:pt idx="0">
                  <c:v>11</c:v>
                </c:pt>
                <c:pt idx="1">
                  <c:v>11</c:v>
                </c:pt>
              </c:numCache>
            </c:numRef>
          </c:xVal>
          <c:yVal>
            <c:numRef>
              <c:f>Tools!$DD$61:$DE$61</c:f>
              <c:numCache>
                <c:formatCode>General</c:formatCode>
                <c:ptCount val="2"/>
                <c:pt idx="0">
                  <c:v>0</c:v>
                </c:pt>
                <c:pt idx="1">
                  <c:v>12.25</c:v>
                </c:pt>
              </c:numCache>
            </c:numRef>
          </c:yVal>
          <c:smooth val="1"/>
        </c:ser>
        <c:ser>
          <c:idx val="49"/>
          <c:order val="49"/>
          <c:tx>
            <c:strRef>
              <c:f>Tools!$DC$76</c:f>
              <c:strCache>
                <c:ptCount val="1"/>
                <c:pt idx="0">
                  <c:v>STN 12</c:v>
                </c:pt>
              </c:strCache>
            </c:strRef>
          </c:tx>
          <c:spPr>
            <a:ln w="3175">
              <a:solidFill>
                <a:schemeClr val="tx1">
                  <a:lumMod val="65000"/>
                  <a:lumOff val="35000"/>
                </a:schemeClr>
              </a:solidFill>
            </a:ln>
          </c:spPr>
          <c:marker>
            <c:symbol val="none"/>
          </c:marker>
          <c:xVal>
            <c:numRef>
              <c:f>Tools!$DD$76:$DE$76</c:f>
              <c:numCache>
                <c:formatCode>General</c:formatCode>
                <c:ptCount val="2"/>
                <c:pt idx="0">
                  <c:v>12</c:v>
                </c:pt>
                <c:pt idx="1">
                  <c:v>12</c:v>
                </c:pt>
              </c:numCache>
            </c:numRef>
          </c:xVal>
          <c:yVal>
            <c:numRef>
              <c:f>Tools!$DD$61:$DE$61</c:f>
              <c:numCache>
                <c:formatCode>General</c:formatCode>
                <c:ptCount val="2"/>
                <c:pt idx="0">
                  <c:v>0</c:v>
                </c:pt>
                <c:pt idx="1">
                  <c:v>12.25</c:v>
                </c:pt>
              </c:numCache>
            </c:numRef>
          </c:yVal>
          <c:smooth val="1"/>
        </c:ser>
        <c:ser>
          <c:idx val="50"/>
          <c:order val="50"/>
          <c:tx>
            <c:strRef>
              <c:f>Tools!$DC$77</c:f>
              <c:strCache>
                <c:ptCount val="1"/>
                <c:pt idx="0">
                  <c:v>STN 13</c:v>
                </c:pt>
              </c:strCache>
            </c:strRef>
          </c:tx>
          <c:spPr>
            <a:ln w="3175">
              <a:solidFill>
                <a:schemeClr val="tx1">
                  <a:lumMod val="65000"/>
                  <a:lumOff val="35000"/>
                </a:schemeClr>
              </a:solidFill>
            </a:ln>
          </c:spPr>
          <c:marker>
            <c:symbol val="none"/>
          </c:marker>
          <c:xVal>
            <c:numRef>
              <c:f>Tools!$DD$77:$DE$77</c:f>
              <c:numCache>
                <c:formatCode>General</c:formatCode>
                <c:ptCount val="2"/>
                <c:pt idx="0">
                  <c:v>13</c:v>
                </c:pt>
                <c:pt idx="1">
                  <c:v>13</c:v>
                </c:pt>
              </c:numCache>
            </c:numRef>
          </c:xVal>
          <c:yVal>
            <c:numRef>
              <c:f>Tools!$DD$61:$DE$61</c:f>
              <c:numCache>
                <c:formatCode>General</c:formatCode>
                <c:ptCount val="2"/>
                <c:pt idx="0">
                  <c:v>0</c:v>
                </c:pt>
                <c:pt idx="1">
                  <c:v>12.25</c:v>
                </c:pt>
              </c:numCache>
            </c:numRef>
          </c:yVal>
          <c:smooth val="1"/>
        </c:ser>
        <c:ser>
          <c:idx val="51"/>
          <c:order val="51"/>
          <c:tx>
            <c:strRef>
              <c:f>Tools!$DC$78</c:f>
              <c:strCache>
                <c:ptCount val="1"/>
                <c:pt idx="0">
                  <c:v>STN 14</c:v>
                </c:pt>
              </c:strCache>
            </c:strRef>
          </c:tx>
          <c:spPr>
            <a:ln w="3175">
              <a:solidFill>
                <a:schemeClr val="tx1">
                  <a:lumMod val="65000"/>
                  <a:lumOff val="35000"/>
                </a:schemeClr>
              </a:solidFill>
            </a:ln>
          </c:spPr>
          <c:marker>
            <c:symbol val="none"/>
          </c:marker>
          <c:xVal>
            <c:numRef>
              <c:f>Tools!$DD$78:$DE$78</c:f>
              <c:numCache>
                <c:formatCode>General</c:formatCode>
                <c:ptCount val="2"/>
                <c:pt idx="0">
                  <c:v>14</c:v>
                </c:pt>
                <c:pt idx="1">
                  <c:v>14</c:v>
                </c:pt>
              </c:numCache>
            </c:numRef>
          </c:xVal>
          <c:yVal>
            <c:numRef>
              <c:f>Tools!$DD$61:$DE$61</c:f>
              <c:numCache>
                <c:formatCode>General</c:formatCode>
                <c:ptCount val="2"/>
                <c:pt idx="0">
                  <c:v>0</c:v>
                </c:pt>
                <c:pt idx="1">
                  <c:v>12.25</c:v>
                </c:pt>
              </c:numCache>
            </c:numRef>
          </c:yVal>
          <c:smooth val="1"/>
        </c:ser>
        <c:ser>
          <c:idx val="52"/>
          <c:order val="52"/>
          <c:tx>
            <c:strRef>
              <c:f>Tools!$DC$79</c:f>
              <c:strCache>
                <c:ptCount val="1"/>
                <c:pt idx="0">
                  <c:v>STN 15</c:v>
                </c:pt>
              </c:strCache>
            </c:strRef>
          </c:tx>
          <c:spPr>
            <a:ln w="3175">
              <a:solidFill>
                <a:schemeClr val="tx1">
                  <a:lumMod val="65000"/>
                  <a:lumOff val="35000"/>
                </a:schemeClr>
              </a:solidFill>
            </a:ln>
          </c:spPr>
          <c:marker>
            <c:symbol val="none"/>
          </c:marker>
          <c:xVal>
            <c:numRef>
              <c:f>Tools!$DD$79:$DE$79</c:f>
              <c:numCache>
                <c:formatCode>General</c:formatCode>
                <c:ptCount val="2"/>
                <c:pt idx="0">
                  <c:v>15</c:v>
                </c:pt>
                <c:pt idx="1">
                  <c:v>15</c:v>
                </c:pt>
              </c:numCache>
            </c:numRef>
          </c:xVal>
          <c:yVal>
            <c:numRef>
              <c:f>Tools!$DD$61:$DE$61</c:f>
              <c:numCache>
                <c:formatCode>General</c:formatCode>
                <c:ptCount val="2"/>
                <c:pt idx="0">
                  <c:v>0</c:v>
                </c:pt>
                <c:pt idx="1">
                  <c:v>12.25</c:v>
                </c:pt>
              </c:numCache>
            </c:numRef>
          </c:yVal>
          <c:smooth val="1"/>
        </c:ser>
        <c:ser>
          <c:idx val="53"/>
          <c:order val="53"/>
          <c:tx>
            <c:strRef>
              <c:f>Tools!$DC$80</c:f>
              <c:strCache>
                <c:ptCount val="1"/>
                <c:pt idx="0">
                  <c:v>STN 16</c:v>
                </c:pt>
              </c:strCache>
            </c:strRef>
          </c:tx>
          <c:spPr>
            <a:ln w="3175">
              <a:solidFill>
                <a:schemeClr val="tx1">
                  <a:lumMod val="65000"/>
                  <a:lumOff val="35000"/>
                </a:schemeClr>
              </a:solidFill>
            </a:ln>
          </c:spPr>
          <c:marker>
            <c:symbol val="none"/>
          </c:marker>
          <c:xVal>
            <c:numRef>
              <c:f>Tools!$DD$80:$DE$80</c:f>
              <c:numCache>
                <c:formatCode>General</c:formatCode>
                <c:ptCount val="2"/>
                <c:pt idx="0">
                  <c:v>16</c:v>
                </c:pt>
                <c:pt idx="1">
                  <c:v>16</c:v>
                </c:pt>
              </c:numCache>
            </c:numRef>
          </c:xVal>
          <c:yVal>
            <c:numRef>
              <c:f>Tools!$DD$61:$DE$61</c:f>
              <c:numCache>
                <c:formatCode>General</c:formatCode>
                <c:ptCount val="2"/>
                <c:pt idx="0">
                  <c:v>0</c:v>
                </c:pt>
                <c:pt idx="1">
                  <c:v>12.25</c:v>
                </c:pt>
              </c:numCache>
            </c:numRef>
          </c:yVal>
          <c:smooth val="1"/>
        </c:ser>
        <c:ser>
          <c:idx val="54"/>
          <c:order val="54"/>
          <c:tx>
            <c:strRef>
              <c:f>Tools!$DC$81</c:f>
              <c:strCache>
                <c:ptCount val="1"/>
                <c:pt idx="0">
                  <c:v>STN 17</c:v>
                </c:pt>
              </c:strCache>
            </c:strRef>
          </c:tx>
          <c:spPr>
            <a:ln w="3175">
              <a:solidFill>
                <a:schemeClr val="tx1">
                  <a:lumMod val="65000"/>
                  <a:lumOff val="35000"/>
                </a:schemeClr>
              </a:solidFill>
            </a:ln>
          </c:spPr>
          <c:marker>
            <c:symbol val="none"/>
          </c:marker>
          <c:xVal>
            <c:numRef>
              <c:f>Tools!$DD$81:$DE$81</c:f>
              <c:numCache>
                <c:formatCode>General</c:formatCode>
                <c:ptCount val="2"/>
                <c:pt idx="0">
                  <c:v>17</c:v>
                </c:pt>
                <c:pt idx="1">
                  <c:v>17</c:v>
                </c:pt>
              </c:numCache>
            </c:numRef>
          </c:xVal>
          <c:yVal>
            <c:numRef>
              <c:f>Tools!$DD$61:$DE$61</c:f>
              <c:numCache>
                <c:formatCode>General</c:formatCode>
                <c:ptCount val="2"/>
                <c:pt idx="0">
                  <c:v>0</c:v>
                </c:pt>
                <c:pt idx="1">
                  <c:v>12.25</c:v>
                </c:pt>
              </c:numCache>
            </c:numRef>
          </c:yVal>
          <c:smooth val="1"/>
        </c:ser>
        <c:ser>
          <c:idx val="55"/>
          <c:order val="55"/>
          <c:tx>
            <c:strRef>
              <c:f>Tools!$DC$82</c:f>
              <c:strCache>
                <c:ptCount val="1"/>
                <c:pt idx="0">
                  <c:v>STN 18</c:v>
                </c:pt>
              </c:strCache>
            </c:strRef>
          </c:tx>
          <c:spPr>
            <a:ln w="3175">
              <a:solidFill>
                <a:schemeClr val="tx1">
                  <a:lumMod val="65000"/>
                  <a:lumOff val="35000"/>
                </a:schemeClr>
              </a:solidFill>
            </a:ln>
          </c:spPr>
          <c:marker>
            <c:symbol val="none"/>
          </c:marker>
          <c:xVal>
            <c:numRef>
              <c:f>Tools!$DD$82:$DE$82</c:f>
              <c:numCache>
                <c:formatCode>General</c:formatCode>
                <c:ptCount val="2"/>
                <c:pt idx="0">
                  <c:v>18</c:v>
                </c:pt>
                <c:pt idx="1">
                  <c:v>18</c:v>
                </c:pt>
              </c:numCache>
            </c:numRef>
          </c:xVal>
          <c:yVal>
            <c:numRef>
              <c:f>Tools!$DD$61:$DE$61</c:f>
              <c:numCache>
                <c:formatCode>General</c:formatCode>
                <c:ptCount val="2"/>
                <c:pt idx="0">
                  <c:v>0</c:v>
                </c:pt>
                <c:pt idx="1">
                  <c:v>12.25</c:v>
                </c:pt>
              </c:numCache>
            </c:numRef>
          </c:yVal>
          <c:smooth val="1"/>
        </c:ser>
        <c:ser>
          <c:idx val="56"/>
          <c:order val="56"/>
          <c:tx>
            <c:strRef>
              <c:f>Tools!$DC$83</c:f>
              <c:strCache>
                <c:ptCount val="1"/>
                <c:pt idx="0">
                  <c:v>STN 18.5</c:v>
                </c:pt>
              </c:strCache>
            </c:strRef>
          </c:tx>
          <c:spPr>
            <a:ln w="3175">
              <a:solidFill>
                <a:schemeClr val="tx1">
                  <a:lumMod val="65000"/>
                  <a:lumOff val="35000"/>
                </a:schemeClr>
              </a:solidFill>
            </a:ln>
          </c:spPr>
          <c:marker>
            <c:symbol val="none"/>
          </c:marker>
          <c:xVal>
            <c:numRef>
              <c:f>Tools!$DD$83:$DE$83</c:f>
              <c:numCache>
                <c:formatCode>General</c:formatCode>
                <c:ptCount val="2"/>
                <c:pt idx="0">
                  <c:v>18.5</c:v>
                </c:pt>
                <c:pt idx="1">
                  <c:v>18.5</c:v>
                </c:pt>
              </c:numCache>
            </c:numRef>
          </c:xVal>
          <c:yVal>
            <c:numRef>
              <c:f>Tools!$DD$61:$DE$61</c:f>
              <c:numCache>
                <c:formatCode>General</c:formatCode>
                <c:ptCount val="2"/>
                <c:pt idx="0">
                  <c:v>0</c:v>
                </c:pt>
                <c:pt idx="1">
                  <c:v>12.25</c:v>
                </c:pt>
              </c:numCache>
            </c:numRef>
          </c:yVal>
          <c:smooth val="1"/>
        </c:ser>
        <c:ser>
          <c:idx val="57"/>
          <c:order val="57"/>
          <c:tx>
            <c:strRef>
              <c:f>Tools!$DC$84</c:f>
              <c:strCache>
                <c:ptCount val="1"/>
                <c:pt idx="0">
                  <c:v>STN 19</c:v>
                </c:pt>
              </c:strCache>
            </c:strRef>
          </c:tx>
          <c:spPr>
            <a:ln w="3175">
              <a:solidFill>
                <a:schemeClr val="tx1">
                  <a:lumMod val="65000"/>
                  <a:lumOff val="35000"/>
                </a:schemeClr>
              </a:solidFill>
            </a:ln>
          </c:spPr>
          <c:marker>
            <c:symbol val="none"/>
          </c:marker>
          <c:xVal>
            <c:numRef>
              <c:f>Tools!$DD$84:$DE$84</c:f>
              <c:numCache>
                <c:formatCode>General</c:formatCode>
                <c:ptCount val="2"/>
                <c:pt idx="0">
                  <c:v>19</c:v>
                </c:pt>
                <c:pt idx="1">
                  <c:v>19</c:v>
                </c:pt>
              </c:numCache>
            </c:numRef>
          </c:xVal>
          <c:yVal>
            <c:numRef>
              <c:f>Tools!$DD$61:$DE$61</c:f>
              <c:numCache>
                <c:formatCode>General</c:formatCode>
                <c:ptCount val="2"/>
                <c:pt idx="0">
                  <c:v>0</c:v>
                </c:pt>
                <c:pt idx="1">
                  <c:v>12.25</c:v>
                </c:pt>
              </c:numCache>
            </c:numRef>
          </c:yVal>
          <c:smooth val="1"/>
        </c:ser>
        <c:ser>
          <c:idx val="58"/>
          <c:order val="58"/>
          <c:tx>
            <c:strRef>
              <c:f>Tools!$DC$85</c:f>
              <c:strCache>
                <c:ptCount val="1"/>
                <c:pt idx="0">
                  <c:v>STN 19.5</c:v>
                </c:pt>
              </c:strCache>
            </c:strRef>
          </c:tx>
          <c:spPr>
            <a:ln w="3175">
              <a:solidFill>
                <a:schemeClr val="tx1">
                  <a:lumMod val="65000"/>
                  <a:lumOff val="35000"/>
                </a:schemeClr>
              </a:solidFill>
            </a:ln>
          </c:spPr>
          <c:marker>
            <c:symbol val="none"/>
          </c:marker>
          <c:xVal>
            <c:numRef>
              <c:f>Tools!$DD$85:$DE$85</c:f>
              <c:numCache>
                <c:formatCode>General</c:formatCode>
                <c:ptCount val="2"/>
                <c:pt idx="0">
                  <c:v>19.5</c:v>
                </c:pt>
                <c:pt idx="1">
                  <c:v>19.5</c:v>
                </c:pt>
              </c:numCache>
            </c:numRef>
          </c:xVal>
          <c:yVal>
            <c:numRef>
              <c:f>Tools!$DD$61:$DE$61</c:f>
              <c:numCache>
                <c:formatCode>General</c:formatCode>
                <c:ptCount val="2"/>
                <c:pt idx="0">
                  <c:v>0</c:v>
                </c:pt>
                <c:pt idx="1">
                  <c:v>12.25</c:v>
                </c:pt>
              </c:numCache>
            </c:numRef>
          </c:yVal>
          <c:smooth val="1"/>
        </c:ser>
        <c:ser>
          <c:idx val="59"/>
          <c:order val="59"/>
          <c:tx>
            <c:strRef>
              <c:f>Tools!$DC$86</c:f>
              <c:strCache>
                <c:ptCount val="1"/>
                <c:pt idx="0">
                  <c:v>STN 20</c:v>
                </c:pt>
              </c:strCache>
            </c:strRef>
          </c:tx>
          <c:spPr>
            <a:ln w="3175">
              <a:solidFill>
                <a:schemeClr val="tx1">
                  <a:lumMod val="65000"/>
                  <a:lumOff val="35000"/>
                </a:schemeClr>
              </a:solidFill>
            </a:ln>
          </c:spPr>
          <c:marker>
            <c:symbol val="none"/>
          </c:marker>
          <c:xVal>
            <c:numRef>
              <c:f>Tools!$DD$86:$DE$86</c:f>
              <c:numCache>
                <c:formatCode>General</c:formatCode>
                <c:ptCount val="2"/>
                <c:pt idx="0">
                  <c:v>20</c:v>
                </c:pt>
                <c:pt idx="1">
                  <c:v>20</c:v>
                </c:pt>
              </c:numCache>
            </c:numRef>
          </c:xVal>
          <c:yVal>
            <c:numRef>
              <c:f>Tools!$DD$61:$DE$61</c:f>
              <c:numCache>
                <c:formatCode>General</c:formatCode>
                <c:ptCount val="2"/>
                <c:pt idx="0">
                  <c:v>0</c:v>
                </c:pt>
                <c:pt idx="1">
                  <c:v>12.25</c:v>
                </c:pt>
              </c:numCache>
            </c:numRef>
          </c:yVal>
          <c:smooth val="1"/>
        </c:ser>
        <c:dLbls>
          <c:showLegendKey val="0"/>
          <c:showVal val="0"/>
          <c:showCatName val="0"/>
          <c:showSerName val="0"/>
          <c:showPercent val="0"/>
          <c:showBubbleSize val="0"/>
        </c:dLbls>
        <c:axId val="492564864"/>
        <c:axId val="492566400"/>
      </c:scatterChart>
      <c:valAx>
        <c:axId val="492564864"/>
        <c:scaling>
          <c:orientation val="minMax"/>
          <c:min val="0"/>
        </c:scaling>
        <c:delete val="0"/>
        <c:axPos val="b"/>
        <c:majorGridlines>
          <c:spPr>
            <a:ln w="19050" cmpd="sng">
              <a:noFill/>
            </a:ln>
          </c:spPr>
        </c:majorGridlines>
        <c:numFmt formatCode="General" sourceLinked="0"/>
        <c:majorTickMark val="out"/>
        <c:minorTickMark val="none"/>
        <c:tickLblPos val="nextTo"/>
        <c:crossAx val="492566400"/>
        <c:crosses val="autoZero"/>
        <c:crossBetween val="midCat"/>
        <c:majorUnit val="1"/>
        <c:minorUnit val="1"/>
      </c:valAx>
      <c:valAx>
        <c:axId val="492566400"/>
        <c:scaling>
          <c:orientation val="minMax"/>
          <c:min val="0"/>
        </c:scaling>
        <c:delete val="0"/>
        <c:axPos val="l"/>
        <c:numFmt formatCode="General" sourceLinked="1"/>
        <c:majorTickMark val="out"/>
        <c:minorTickMark val="none"/>
        <c:tickLblPos val="nextTo"/>
        <c:crossAx val="492564864"/>
        <c:crosses val="autoZero"/>
        <c:crossBetween val="midCat"/>
      </c:valAx>
      <c:spPr>
        <a:noFill/>
        <a:ln>
          <a:noFill/>
        </a:ln>
      </c:spPr>
    </c:plotArea>
    <c:legend>
      <c:legendPos val="r"/>
      <c:legendEntry>
        <c:idx val="25"/>
        <c:txPr>
          <a:bodyPr/>
          <a:lstStyle/>
          <a:p>
            <a:pPr>
              <a:defRPr sz="1400">
                <a:solidFill>
                  <a:schemeClr val="bg1"/>
                </a:solidFill>
              </a:defRPr>
            </a:pPr>
            <a:endParaRPr lang="en-US"/>
          </a:p>
        </c:txPr>
      </c:legendEntry>
      <c:legendEntry>
        <c:idx val="26"/>
        <c:txPr>
          <a:bodyPr/>
          <a:lstStyle/>
          <a:p>
            <a:pPr>
              <a:defRPr sz="1400">
                <a:solidFill>
                  <a:schemeClr val="bg1"/>
                </a:solidFill>
              </a:defRPr>
            </a:pPr>
            <a:endParaRPr lang="en-US"/>
          </a:p>
        </c:txPr>
      </c:legendEntry>
      <c:layout>
        <c:manualLayout>
          <c:xMode val="edge"/>
          <c:yMode val="edge"/>
          <c:x val="0.83963298550509868"/>
          <c:y val="0.10705369321249222"/>
          <c:w val="0.15021834897677019"/>
          <c:h val="0.54332116370345129"/>
        </c:manualLayout>
      </c:layout>
      <c:overlay val="0"/>
      <c:txPr>
        <a:bodyPr/>
        <a:lstStyle/>
        <a:p>
          <a:pPr>
            <a:defRPr sz="1400"/>
          </a:pPr>
          <a:endParaRPr lang="en-US"/>
        </a:p>
      </c:txPr>
    </c:legend>
    <c:plotVisOnly val="1"/>
    <c:dispBlanksAs val="gap"/>
    <c:showDLblsOverMax val="0"/>
  </c:chart>
  <c:spPr>
    <a:solidFill>
      <a:schemeClr val="bg1">
        <a:lumMod val="95000"/>
      </a:schemeClr>
    </a:solidFill>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565463865013437E-2"/>
          <c:y val="4.8409162862424297E-2"/>
          <c:w val="0.82111491280458926"/>
          <c:h val="0.86951254634026776"/>
        </c:manualLayout>
      </c:layout>
      <c:scatterChart>
        <c:scatterStyle val="smoothMarker"/>
        <c:varyColors val="0"/>
        <c:ser>
          <c:idx val="0"/>
          <c:order val="0"/>
          <c:tx>
            <c:strRef>
              <c:f>Tools!$DC$62</c:f>
              <c:strCache>
                <c:ptCount val="1"/>
                <c:pt idx="0">
                  <c:v>STN 0</c:v>
                </c:pt>
              </c:strCache>
            </c:strRef>
          </c:tx>
          <c:spPr>
            <a:ln w="3175"/>
          </c:spPr>
          <c:marker>
            <c:symbol val="none"/>
          </c:marker>
          <c:xVal>
            <c:numRef>
              <c:f>Tools!$DJ$98:$EI$98</c:f>
              <c:numCache>
                <c:formatCode>General</c:formatCode>
                <c:ptCount val="26"/>
                <c:pt idx="0">
                  <c:v>0</c:v>
                </c:pt>
                <c:pt idx="1">
                  <c:v>#N/A</c:v>
                </c:pt>
                <c:pt idx="2">
                  <c:v>#N/A</c:v>
                </c:pt>
                <c:pt idx="3">
                  <c:v>#N/A</c:v>
                </c:pt>
                <c:pt idx="4">
                  <c:v>#N/A</c:v>
                </c:pt>
                <c:pt idx="5">
                  <c:v>#N/A</c:v>
                </c:pt>
                <c:pt idx="6">
                  <c:v>#N/A</c:v>
                </c:pt>
                <c:pt idx="7">
                  <c:v>#N/A</c:v>
                </c:pt>
                <c:pt idx="8">
                  <c:v>#N/A</c:v>
                </c:pt>
                <c:pt idx="9">
                  <c:v>-2.8919999999999999</c:v>
                </c:pt>
                <c:pt idx="10">
                  <c:v>-6.2</c:v>
                </c:pt>
                <c:pt idx="11">
                  <c:v>-9.6</c:v>
                </c:pt>
                <c:pt idx="12">
                  <c:v>-10.89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Tools!$EL$98:$FK$98</c:f>
              <c:numCache>
                <c:formatCode>General</c:formatCode>
                <c:ptCount val="26"/>
                <c:pt idx="0">
                  <c:v>9.9</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
          <c:order val="1"/>
          <c:tx>
            <c:strRef>
              <c:f>Tools!$DC$63</c:f>
              <c:strCache>
                <c:ptCount val="1"/>
                <c:pt idx="0">
                  <c:v>STN 0.5</c:v>
                </c:pt>
              </c:strCache>
            </c:strRef>
          </c:tx>
          <c:spPr>
            <a:ln w="3175"/>
          </c:spPr>
          <c:marker>
            <c:symbol val="none"/>
          </c:marker>
          <c:xVal>
            <c:numRef>
              <c:f>Tools!$DJ$99:$EI$99</c:f>
              <c:numCache>
                <c:formatCode>General</c:formatCode>
                <c:ptCount val="26"/>
                <c:pt idx="0">
                  <c:v>0</c:v>
                </c:pt>
                <c:pt idx="1">
                  <c:v>#N/A</c:v>
                </c:pt>
                <c:pt idx="2">
                  <c:v>#N/A</c:v>
                </c:pt>
                <c:pt idx="3">
                  <c:v>#N/A</c:v>
                </c:pt>
                <c:pt idx="4">
                  <c:v>#N/A</c:v>
                </c:pt>
                <c:pt idx="5">
                  <c:v>#N/A</c:v>
                </c:pt>
                <c:pt idx="6">
                  <c:v>#N/A</c:v>
                </c:pt>
                <c:pt idx="7">
                  <c:v>#N/A</c:v>
                </c:pt>
                <c:pt idx="8">
                  <c:v>-1.2</c:v>
                </c:pt>
                <c:pt idx="9">
                  <c:v>-6.8</c:v>
                </c:pt>
                <c:pt idx="10">
                  <c:v>-8.4600000000000009</c:v>
                </c:pt>
                <c:pt idx="11">
                  <c:v>-10.63</c:v>
                </c:pt>
                <c:pt idx="12">
                  <c:v>-11.52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Tools!$EL$99:$FK$99</c:f>
              <c:numCache>
                <c:formatCode>General</c:formatCode>
                <c:ptCount val="26"/>
                <c:pt idx="0">
                  <c:v>8.9</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
          <c:order val="2"/>
          <c:tx>
            <c:strRef>
              <c:f>Tools!$DC$64</c:f>
              <c:strCache>
                <c:ptCount val="1"/>
                <c:pt idx="0">
                  <c:v>STN 1</c:v>
                </c:pt>
              </c:strCache>
            </c:strRef>
          </c:tx>
          <c:spPr>
            <a:ln w="3175"/>
          </c:spPr>
          <c:marker>
            <c:symbol val="none"/>
          </c:marker>
          <c:xVal>
            <c:numRef>
              <c:f>Tools!$DJ$100:$EI$100</c:f>
              <c:numCache>
                <c:formatCode>General</c:formatCode>
                <c:ptCount val="26"/>
                <c:pt idx="0">
                  <c:v>0</c:v>
                </c:pt>
                <c:pt idx="1">
                  <c:v>#N/A</c:v>
                </c:pt>
                <c:pt idx="2">
                  <c:v>#N/A</c:v>
                </c:pt>
                <c:pt idx="3">
                  <c:v>#N/A</c:v>
                </c:pt>
                <c:pt idx="4">
                  <c:v>#N/A</c:v>
                </c:pt>
                <c:pt idx="5">
                  <c:v>#N/A</c:v>
                </c:pt>
                <c:pt idx="6">
                  <c:v>#N/A</c:v>
                </c:pt>
                <c:pt idx="7">
                  <c:v>#N/A</c:v>
                </c:pt>
                <c:pt idx="8">
                  <c:v>-6.12</c:v>
                </c:pt>
                <c:pt idx="9">
                  <c:v>-8.8000000000000007</c:v>
                </c:pt>
                <c:pt idx="10">
                  <c:v>-9.84</c:v>
                </c:pt>
                <c:pt idx="11">
                  <c:v>-11.33</c:v>
                </c:pt>
                <c:pt idx="12">
                  <c:v>-11.9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Tools!$EL$100:$FK$100</c:f>
              <c:numCache>
                <c:formatCode>General</c:formatCode>
                <c:ptCount val="26"/>
                <c:pt idx="0">
                  <c:v>7.8</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3"/>
          <c:order val="3"/>
          <c:tx>
            <c:strRef>
              <c:f>Tools!$DC$65</c:f>
              <c:strCache>
                <c:ptCount val="1"/>
                <c:pt idx="0">
                  <c:v>STN 1.5</c:v>
                </c:pt>
              </c:strCache>
            </c:strRef>
          </c:tx>
          <c:spPr>
            <a:ln w="3175"/>
          </c:spPr>
          <c:marker>
            <c:symbol val="none"/>
          </c:marker>
          <c:xVal>
            <c:numRef>
              <c:f>Tools!$DJ$101:$EI$101</c:f>
              <c:numCache>
                <c:formatCode>General</c:formatCode>
                <c:ptCount val="26"/>
                <c:pt idx="0">
                  <c:v>0</c:v>
                </c:pt>
                <c:pt idx="1">
                  <c:v>#N/A</c:v>
                </c:pt>
                <c:pt idx="2">
                  <c:v>#N/A</c:v>
                </c:pt>
                <c:pt idx="3">
                  <c:v>#N/A</c:v>
                </c:pt>
                <c:pt idx="4">
                  <c:v>-0.4</c:v>
                </c:pt>
                <c:pt idx="5">
                  <c:v>-0.7</c:v>
                </c:pt>
                <c:pt idx="6">
                  <c:v>-1.2</c:v>
                </c:pt>
                <c:pt idx="7">
                  <c:v>-2.4</c:v>
                </c:pt>
                <c:pt idx="8">
                  <c:v>-8.5500000000000007</c:v>
                </c:pt>
                <c:pt idx="9">
                  <c:v>-10.14</c:v>
                </c:pt>
                <c:pt idx="10">
                  <c:v>-10.78</c:v>
                </c:pt>
                <c:pt idx="11">
                  <c:v>-11.77</c:v>
                </c:pt>
                <c:pt idx="12">
                  <c:v>-12.1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Tools!$EL$101:$FK$101</c:f>
              <c:numCache>
                <c:formatCode>General</c:formatCode>
                <c:ptCount val="26"/>
                <c:pt idx="0">
                  <c:v>1.95</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4"/>
          <c:order val="4"/>
          <c:tx>
            <c:strRef>
              <c:f>Tools!$DC$66</c:f>
              <c:strCache>
                <c:ptCount val="1"/>
                <c:pt idx="0">
                  <c:v>STN 2</c:v>
                </c:pt>
              </c:strCache>
            </c:strRef>
          </c:tx>
          <c:spPr>
            <a:ln w="3175"/>
          </c:spPr>
          <c:marker>
            <c:symbol val="none"/>
          </c:marker>
          <c:xVal>
            <c:numRef>
              <c:f>Tools!$DJ$102:$EI$102</c:f>
              <c:numCache>
                <c:formatCode>General</c:formatCode>
                <c:ptCount val="26"/>
                <c:pt idx="0">
                  <c:v>0</c:v>
                </c:pt>
                <c:pt idx="1">
                  <c:v>#N/A</c:v>
                </c:pt>
                <c:pt idx="2">
                  <c:v>-0.4</c:v>
                </c:pt>
                <c:pt idx="3">
                  <c:v>-1.04</c:v>
                </c:pt>
                <c:pt idx="4">
                  <c:v>-1.5</c:v>
                </c:pt>
                <c:pt idx="5">
                  <c:v>-1.7</c:v>
                </c:pt>
                <c:pt idx="6">
                  <c:v>-2.7</c:v>
                </c:pt>
                <c:pt idx="7">
                  <c:v>-5.5</c:v>
                </c:pt>
                <c:pt idx="8">
                  <c:v>-9.9</c:v>
                </c:pt>
                <c:pt idx="9">
                  <c:v>-10.9</c:v>
                </c:pt>
                <c:pt idx="10">
                  <c:v>-11.34</c:v>
                </c:pt>
                <c:pt idx="11">
                  <c:v>-12</c:v>
                </c:pt>
                <c:pt idx="12">
                  <c:v>-12.2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Tools!$EL$102:$FK$102</c:f>
              <c:numCache>
                <c:formatCode>General</c:formatCode>
                <c:ptCount val="26"/>
                <c:pt idx="0">
                  <c:v>0.56999999999999995</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5"/>
          <c:order val="5"/>
          <c:tx>
            <c:strRef>
              <c:f>Tools!$DC$67</c:f>
              <c:strCache>
                <c:ptCount val="1"/>
                <c:pt idx="0">
                  <c:v>STN 3</c:v>
                </c:pt>
              </c:strCache>
            </c:strRef>
          </c:tx>
          <c:spPr>
            <a:ln w="3175"/>
          </c:spPr>
          <c:marker>
            <c:symbol val="none"/>
          </c:marker>
          <c:xVal>
            <c:numRef>
              <c:f>Tools!$DJ$103:$EI$103</c:f>
              <c:numCache>
                <c:formatCode>General</c:formatCode>
                <c:ptCount val="26"/>
                <c:pt idx="0">
                  <c:v>#N/A</c:v>
                </c:pt>
                <c:pt idx="1">
                  <c:v>-0.3</c:v>
                </c:pt>
                <c:pt idx="2">
                  <c:v>-1.67</c:v>
                </c:pt>
                <c:pt idx="3">
                  <c:v>-2.2999999999999998</c:v>
                </c:pt>
                <c:pt idx="4">
                  <c:v>-2.7</c:v>
                </c:pt>
                <c:pt idx="5">
                  <c:v>-3.1</c:v>
                </c:pt>
                <c:pt idx="6">
                  <c:v>-5.7</c:v>
                </c:pt>
                <c:pt idx="7">
                  <c:v>-9.6999999999999993</c:v>
                </c:pt>
                <c:pt idx="8">
                  <c:v>-11.23</c:v>
                </c:pt>
                <c:pt idx="9">
                  <c:v>-11.7</c:v>
                </c:pt>
                <c:pt idx="10">
                  <c:v>-11.93</c:v>
                </c:pt>
                <c:pt idx="11">
                  <c:v>-12.21</c:v>
                </c:pt>
                <c:pt idx="12">
                  <c:v>-12.23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Tools!$EL$103:$FK$103</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6"/>
          <c:order val="6"/>
          <c:tx>
            <c:strRef>
              <c:f>Tools!$DC$68</c:f>
              <c:strCache>
                <c:ptCount val="1"/>
                <c:pt idx="0">
                  <c:v>STN 4</c:v>
                </c:pt>
              </c:strCache>
            </c:strRef>
          </c:tx>
          <c:spPr>
            <a:ln w="3175"/>
          </c:spPr>
          <c:marker>
            <c:symbol val="none"/>
          </c:marker>
          <c:xVal>
            <c:numRef>
              <c:f>Tools!$DJ$104:$EI$104</c:f>
              <c:numCache>
                <c:formatCode>General</c:formatCode>
                <c:ptCount val="26"/>
                <c:pt idx="0">
                  <c:v>#N/A</c:v>
                </c:pt>
                <c:pt idx="1">
                  <c:v>-1</c:v>
                </c:pt>
                <c:pt idx="2">
                  <c:v>-3.17</c:v>
                </c:pt>
                <c:pt idx="3">
                  <c:v>-4.08</c:v>
                </c:pt>
                <c:pt idx="4">
                  <c:v>-4.8</c:v>
                </c:pt>
                <c:pt idx="5">
                  <c:v>-5.8</c:v>
                </c:pt>
                <c:pt idx="6">
                  <c:v>-9.1999999999999993</c:v>
                </c:pt>
                <c:pt idx="7">
                  <c:v>-11.17</c:v>
                </c:pt>
                <c:pt idx="8">
                  <c:v>-11.91</c:v>
                </c:pt>
                <c:pt idx="9">
                  <c:v>-12.14</c:v>
                </c:pt>
                <c:pt idx="10">
                  <c:v>-12.2</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Tools!$EL$104:$FK$104</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7"/>
          <c:order val="7"/>
          <c:tx>
            <c:strRef>
              <c:f>Tools!$DC$69</c:f>
              <c:strCache>
                <c:ptCount val="1"/>
                <c:pt idx="0">
                  <c:v>STN 5</c:v>
                </c:pt>
              </c:strCache>
            </c:strRef>
          </c:tx>
          <c:spPr>
            <a:ln w="3175"/>
          </c:spPr>
          <c:marker>
            <c:symbol val="none"/>
          </c:marker>
          <c:xVal>
            <c:numRef>
              <c:f>Tools!$DJ$105:$EI$105</c:f>
              <c:numCache>
                <c:formatCode>General</c:formatCode>
                <c:ptCount val="26"/>
                <c:pt idx="0">
                  <c:v>#N/A</c:v>
                </c:pt>
                <c:pt idx="1">
                  <c:v>-1.62</c:v>
                </c:pt>
                <c:pt idx="2">
                  <c:v>-4.8099999999999996</c:v>
                </c:pt>
                <c:pt idx="3">
                  <c:v>-6.09</c:v>
                </c:pt>
                <c:pt idx="4">
                  <c:v>-7.37</c:v>
                </c:pt>
                <c:pt idx="5">
                  <c:v>-9.0299999999999994</c:v>
                </c:pt>
                <c:pt idx="6">
                  <c:v>-11.15</c:v>
                </c:pt>
                <c:pt idx="7">
                  <c:v>-11.95</c:v>
                </c:pt>
                <c:pt idx="8">
                  <c:v>-12.22</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Tools!$EL$105:$FK$105</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8"/>
          <c:order val="8"/>
          <c:tx>
            <c:strRef>
              <c:f>Tools!$DC$70</c:f>
              <c:strCache>
                <c:ptCount val="1"/>
                <c:pt idx="0">
                  <c:v>STN 6</c:v>
                </c:pt>
              </c:strCache>
            </c:strRef>
          </c:tx>
          <c:spPr>
            <a:ln w="3175"/>
          </c:spPr>
          <c:marker>
            <c:symbol val="none"/>
          </c:marker>
          <c:xVal>
            <c:numRef>
              <c:f>Tools!$DJ$106:$EI$106</c:f>
              <c:numCache>
                <c:formatCode>General</c:formatCode>
                <c:ptCount val="26"/>
                <c:pt idx="0">
                  <c:v>#N/A</c:v>
                </c:pt>
                <c:pt idx="1">
                  <c:v>-2.2000000000000002</c:v>
                </c:pt>
                <c:pt idx="2">
                  <c:v>-6.59</c:v>
                </c:pt>
                <c:pt idx="3">
                  <c:v>-8.34</c:v>
                </c:pt>
                <c:pt idx="4">
                  <c:v>-9.82</c:v>
                </c:pt>
                <c:pt idx="5">
                  <c:v>-10.92</c:v>
                </c:pt>
                <c:pt idx="6">
                  <c:v>-11.97</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Tools!$EL$106:$FK$106</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9"/>
          <c:order val="9"/>
          <c:tx>
            <c:strRef>
              <c:f>Tools!$DC$71</c:f>
              <c:strCache>
                <c:ptCount val="1"/>
                <c:pt idx="0">
                  <c:v>STN 7</c:v>
                </c:pt>
              </c:strCache>
            </c:strRef>
          </c:tx>
          <c:spPr>
            <a:ln w="3175"/>
          </c:spPr>
          <c:marker>
            <c:symbol val="none"/>
          </c:marker>
          <c:xVal>
            <c:numRef>
              <c:f>Tools!$DJ$107:$EI$107</c:f>
              <c:numCache>
                <c:formatCode>General</c:formatCode>
                <c:ptCount val="26"/>
                <c:pt idx="0">
                  <c:v>#N/A</c:v>
                </c:pt>
                <c:pt idx="1">
                  <c:v>-3.71</c:v>
                </c:pt>
                <c:pt idx="2">
                  <c:v>-8.58</c:v>
                </c:pt>
                <c:pt idx="3">
                  <c:v>-10.26</c:v>
                </c:pt>
                <c:pt idx="4">
                  <c:v>-11.25</c:v>
                </c:pt>
                <c:pt idx="5">
                  <c:v>-11.86</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Tools!$EL$107:$FK$107</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0"/>
          <c:order val="10"/>
          <c:tx>
            <c:strRef>
              <c:f>Tools!$DC$72</c:f>
              <c:strCache>
                <c:ptCount val="1"/>
                <c:pt idx="0">
                  <c:v>STN 8</c:v>
                </c:pt>
              </c:strCache>
            </c:strRef>
          </c:tx>
          <c:spPr>
            <a:ln w="3175">
              <a:solidFill>
                <a:schemeClr val="accent2">
                  <a:lumMod val="75000"/>
                </a:schemeClr>
              </a:solidFill>
            </a:ln>
          </c:spPr>
          <c:marker>
            <c:symbol val="none"/>
          </c:marker>
          <c:xVal>
            <c:numRef>
              <c:f>Tools!$DJ$108:$EI$108</c:f>
              <c:numCache>
                <c:formatCode>General</c:formatCode>
                <c:ptCount val="26"/>
                <c:pt idx="0">
                  <c:v>#N/A</c:v>
                </c:pt>
                <c:pt idx="1">
                  <c:v>-5.9</c:v>
                </c:pt>
                <c:pt idx="2">
                  <c:v>-10.16</c:v>
                </c:pt>
                <c:pt idx="3">
                  <c:v>-11.35</c:v>
                </c:pt>
                <c:pt idx="4">
                  <c:v>-11.9</c:v>
                </c:pt>
                <c:pt idx="5">
                  <c:v>-12.18</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Tools!$EL$108:$FK$108</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1"/>
          <c:order val="11"/>
          <c:tx>
            <c:strRef>
              <c:f>Tools!$DC$73</c:f>
              <c:strCache>
                <c:ptCount val="1"/>
                <c:pt idx="0">
                  <c:v>STN 9</c:v>
                </c:pt>
              </c:strCache>
            </c:strRef>
          </c:tx>
          <c:spPr>
            <a:ln w="3175"/>
          </c:spPr>
          <c:marker>
            <c:symbol val="none"/>
          </c:marker>
          <c:xVal>
            <c:numRef>
              <c:f>Tools!$DJ$109:$EI$109</c:f>
              <c:numCache>
                <c:formatCode>General</c:formatCode>
                <c:ptCount val="26"/>
                <c:pt idx="0">
                  <c:v>#N/A</c:v>
                </c:pt>
                <c:pt idx="1">
                  <c:v>-7.2</c:v>
                </c:pt>
                <c:pt idx="2">
                  <c:v>-10.78</c:v>
                </c:pt>
                <c:pt idx="3">
                  <c:v>-11.72</c:v>
                </c:pt>
                <c:pt idx="4">
                  <c:v>-12.12</c:v>
                </c:pt>
                <c:pt idx="5">
                  <c:v>-12.25</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Tools!$EL$109:$FK$109</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2"/>
          <c:order val="12"/>
          <c:tx>
            <c:strRef>
              <c:f>Tools!$DC$74</c:f>
              <c:strCache>
                <c:ptCount val="1"/>
                <c:pt idx="0">
                  <c:v>STN 10</c:v>
                </c:pt>
              </c:strCache>
            </c:strRef>
          </c:tx>
          <c:spPr>
            <a:ln w="3175"/>
          </c:spPr>
          <c:marker>
            <c:symbol val="none"/>
          </c:marker>
          <c:xVal>
            <c:numRef>
              <c:f>Tools!$DJ$110:$EI$110</c:f>
              <c:numCache>
                <c:formatCode>General</c:formatCode>
                <c:ptCount val="26"/>
                <c:pt idx="0">
                  <c:v>#N/A</c:v>
                </c:pt>
                <c:pt idx="1">
                  <c:v>-8.25</c:v>
                </c:pt>
                <c:pt idx="2">
                  <c:v>-10.84</c:v>
                </c:pt>
                <c:pt idx="3">
                  <c:v>-11.76</c:v>
                </c:pt>
                <c:pt idx="4">
                  <c:v>-12.14</c:v>
                </c:pt>
                <c:pt idx="5">
                  <c:v>-12.25</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Tools!$EL$110:$FK$110</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3"/>
          <c:order val="13"/>
          <c:tx>
            <c:strRef>
              <c:f>Tools!$DC$75</c:f>
              <c:strCache>
                <c:ptCount val="1"/>
                <c:pt idx="0">
                  <c:v>STN 11</c:v>
                </c:pt>
              </c:strCache>
            </c:strRef>
          </c:tx>
          <c:spPr>
            <a:ln w="3175"/>
          </c:spPr>
          <c:marker>
            <c:symbol val="none"/>
          </c:marker>
          <c:xVal>
            <c:numRef>
              <c:f>Tools!$DJ$111:$EI$111</c:f>
              <c:numCache>
                <c:formatCode>General</c:formatCode>
                <c:ptCount val="26"/>
                <c:pt idx="0">
                  <c:v>#N/A</c:v>
                </c:pt>
                <c:pt idx="1">
                  <c:v>8.6</c:v>
                </c:pt>
                <c:pt idx="2">
                  <c:v>10.65</c:v>
                </c:pt>
                <c:pt idx="3">
                  <c:v>11.62</c:v>
                </c:pt>
                <c:pt idx="4">
                  <c:v>12.04</c:v>
                </c:pt>
                <c:pt idx="5">
                  <c:v>12.21</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Tools!$EL$111:$FK$111</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4"/>
          <c:order val="14"/>
          <c:tx>
            <c:strRef>
              <c:f>Tools!$DC$76</c:f>
              <c:strCache>
                <c:ptCount val="1"/>
                <c:pt idx="0">
                  <c:v>STN 12</c:v>
                </c:pt>
              </c:strCache>
            </c:strRef>
          </c:tx>
          <c:spPr>
            <a:ln w="3175"/>
          </c:spPr>
          <c:marker>
            <c:symbol val="none"/>
          </c:marker>
          <c:xVal>
            <c:numRef>
              <c:f>Tools!$DJ$112:$EI$112</c:f>
              <c:numCache>
                <c:formatCode>General</c:formatCode>
                <c:ptCount val="26"/>
                <c:pt idx="0">
                  <c:v>#N/A</c:v>
                </c:pt>
                <c:pt idx="1">
                  <c:v>7.85</c:v>
                </c:pt>
                <c:pt idx="2">
                  <c:v>10.02</c:v>
                </c:pt>
                <c:pt idx="3">
                  <c:v>11.1</c:v>
                </c:pt>
                <c:pt idx="4">
                  <c:v>11.63</c:v>
                </c:pt>
                <c:pt idx="5">
                  <c:v>11.92</c:v>
                </c:pt>
                <c:pt idx="6">
                  <c:v>12.2</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Tools!$EL$112:$FK$112</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5"/>
          <c:order val="15"/>
          <c:tx>
            <c:strRef>
              <c:f>Tools!$DC$77</c:f>
              <c:strCache>
                <c:ptCount val="1"/>
                <c:pt idx="0">
                  <c:v>STN 13</c:v>
                </c:pt>
              </c:strCache>
            </c:strRef>
          </c:tx>
          <c:spPr>
            <a:ln w="3175">
              <a:solidFill>
                <a:schemeClr val="tx2">
                  <a:lumMod val="60000"/>
                  <a:lumOff val="40000"/>
                </a:schemeClr>
              </a:solidFill>
            </a:ln>
          </c:spPr>
          <c:marker>
            <c:symbol val="none"/>
          </c:marker>
          <c:xVal>
            <c:numRef>
              <c:f>Tools!$DJ$113:$EI$113</c:f>
              <c:numCache>
                <c:formatCode>General</c:formatCode>
                <c:ptCount val="26"/>
                <c:pt idx="0">
                  <c:v>#N/A</c:v>
                </c:pt>
                <c:pt idx="1">
                  <c:v>6.7</c:v>
                </c:pt>
                <c:pt idx="2">
                  <c:v>8.84</c:v>
                </c:pt>
                <c:pt idx="3">
                  <c:v>10.029999999999999</c:v>
                </c:pt>
                <c:pt idx="4">
                  <c:v>10.68</c:v>
                </c:pt>
                <c:pt idx="5">
                  <c:v>11.1</c:v>
                </c:pt>
                <c:pt idx="6">
                  <c:v>11.64</c:v>
                </c:pt>
                <c:pt idx="7">
                  <c:v>11.97</c:v>
                </c:pt>
                <c:pt idx="8">
                  <c:v>12.18</c:v>
                </c:pt>
                <c:pt idx="9">
                  <c:v>12.22</c:v>
                </c:pt>
                <c:pt idx="10">
                  <c:v>12.23</c:v>
                </c:pt>
                <c:pt idx="11">
                  <c:v>12.23</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Tools!$EL$113:$FK$113</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6"/>
          <c:order val="16"/>
          <c:tx>
            <c:strRef>
              <c:f>Tools!$DC$78</c:f>
              <c:strCache>
                <c:ptCount val="1"/>
                <c:pt idx="0">
                  <c:v>STN 14</c:v>
                </c:pt>
              </c:strCache>
            </c:strRef>
          </c:tx>
          <c:spPr>
            <a:ln w="3175">
              <a:solidFill>
                <a:schemeClr val="accent4">
                  <a:lumMod val="75000"/>
                </a:schemeClr>
              </a:solidFill>
            </a:ln>
          </c:spPr>
          <c:marker>
            <c:symbol val="none"/>
          </c:marker>
          <c:xVal>
            <c:numRef>
              <c:f>Tools!$DJ$114:$EI$114</c:f>
              <c:numCache>
                <c:formatCode>General</c:formatCode>
                <c:ptCount val="26"/>
                <c:pt idx="0">
                  <c:v>#N/A</c:v>
                </c:pt>
                <c:pt idx="1">
                  <c:v>5.35</c:v>
                </c:pt>
                <c:pt idx="2">
                  <c:v>7.29</c:v>
                </c:pt>
                <c:pt idx="3">
                  <c:v>8.15</c:v>
                </c:pt>
                <c:pt idx="4">
                  <c:v>9.25</c:v>
                </c:pt>
                <c:pt idx="5">
                  <c:v>9.75</c:v>
                </c:pt>
                <c:pt idx="6">
                  <c:v>10.5</c:v>
                </c:pt>
                <c:pt idx="7">
                  <c:v>11.06</c:v>
                </c:pt>
                <c:pt idx="8">
                  <c:v>11.46</c:v>
                </c:pt>
                <c:pt idx="9">
                  <c:v>11.67</c:v>
                </c:pt>
                <c:pt idx="10">
                  <c:v>11.79</c:v>
                </c:pt>
                <c:pt idx="11">
                  <c:v>12.07</c:v>
                </c:pt>
                <c:pt idx="12">
                  <c:v>12.23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Tools!$EL$114:$FK$114</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7"/>
          <c:order val="17"/>
          <c:tx>
            <c:strRef>
              <c:f>Tools!$DC$79</c:f>
              <c:strCache>
                <c:ptCount val="1"/>
                <c:pt idx="0">
                  <c:v>STN 15</c:v>
                </c:pt>
              </c:strCache>
            </c:strRef>
          </c:tx>
          <c:spPr>
            <a:ln w="3175">
              <a:solidFill>
                <a:schemeClr val="accent6">
                  <a:lumMod val="75000"/>
                </a:schemeClr>
              </a:solidFill>
            </a:ln>
          </c:spPr>
          <c:marker>
            <c:symbol val="none"/>
          </c:marker>
          <c:xVal>
            <c:numRef>
              <c:f>Tools!$DJ$115:$EI$115</c:f>
              <c:numCache>
                <c:formatCode>General</c:formatCode>
                <c:ptCount val="26"/>
                <c:pt idx="0">
                  <c:v>#N/A</c:v>
                </c:pt>
                <c:pt idx="1">
                  <c:v>3.8</c:v>
                </c:pt>
                <c:pt idx="2">
                  <c:v>5.65</c:v>
                </c:pt>
                <c:pt idx="3">
                  <c:v>6.8</c:v>
                </c:pt>
                <c:pt idx="4">
                  <c:v>7.54</c:v>
                </c:pt>
                <c:pt idx="5">
                  <c:v>8.08</c:v>
                </c:pt>
                <c:pt idx="6">
                  <c:v>8.91</c:v>
                </c:pt>
                <c:pt idx="7">
                  <c:v>9.64</c:v>
                </c:pt>
                <c:pt idx="8">
                  <c:v>10.26</c:v>
                </c:pt>
                <c:pt idx="9">
                  <c:v>10.6</c:v>
                </c:pt>
                <c:pt idx="10">
                  <c:v>10.8</c:v>
                </c:pt>
                <c:pt idx="11">
                  <c:v>11.29</c:v>
                </c:pt>
                <c:pt idx="12">
                  <c:v>12.15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Tools!$EL$115:$FK$115</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8"/>
          <c:order val="18"/>
          <c:tx>
            <c:strRef>
              <c:f>Tools!$DC$80</c:f>
              <c:strCache>
                <c:ptCount val="1"/>
                <c:pt idx="0">
                  <c:v>STN 16</c:v>
                </c:pt>
              </c:strCache>
            </c:strRef>
          </c:tx>
          <c:spPr>
            <a:ln w="3175">
              <a:solidFill>
                <a:srgbClr val="FF0000"/>
              </a:solidFill>
            </a:ln>
          </c:spPr>
          <c:marker>
            <c:symbol val="none"/>
          </c:marker>
          <c:xVal>
            <c:numRef>
              <c:f>Tools!$DJ$116:$EI$116</c:f>
              <c:numCache>
                <c:formatCode>General</c:formatCode>
                <c:ptCount val="26"/>
                <c:pt idx="0">
                  <c:v>#N/A</c:v>
                </c:pt>
                <c:pt idx="1">
                  <c:v>2.2200000000000002</c:v>
                </c:pt>
                <c:pt idx="2">
                  <c:v>4.05</c:v>
                </c:pt>
                <c:pt idx="3">
                  <c:v>5.0999999999999996</c:v>
                </c:pt>
                <c:pt idx="4">
                  <c:v>5.74</c:v>
                </c:pt>
                <c:pt idx="5">
                  <c:v>6.23</c:v>
                </c:pt>
                <c:pt idx="6">
                  <c:v>7.02</c:v>
                </c:pt>
                <c:pt idx="7">
                  <c:v>7.81</c:v>
                </c:pt>
                <c:pt idx="8">
                  <c:v>8.6300000000000008</c:v>
                </c:pt>
                <c:pt idx="9">
                  <c:v>9.1199999999999992</c:v>
                </c:pt>
                <c:pt idx="10">
                  <c:v>9.43</c:v>
                </c:pt>
                <c:pt idx="11">
                  <c:v>10.199999999999999</c:v>
                </c:pt>
                <c:pt idx="12">
                  <c:v>11.75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Tools!$EL$116:$FK$116</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9"/>
          <c:order val="19"/>
          <c:tx>
            <c:strRef>
              <c:f>Tools!$DC$81</c:f>
              <c:strCache>
                <c:ptCount val="1"/>
                <c:pt idx="0">
                  <c:v>STN 17</c:v>
                </c:pt>
              </c:strCache>
            </c:strRef>
          </c:tx>
          <c:spPr>
            <a:ln w="3175">
              <a:solidFill>
                <a:schemeClr val="tx1"/>
              </a:solidFill>
            </a:ln>
          </c:spPr>
          <c:marker>
            <c:symbol val="none"/>
          </c:marker>
          <c:xVal>
            <c:numRef>
              <c:f>Tools!$DJ$117:$EI$117</c:f>
              <c:numCache>
                <c:formatCode>General</c:formatCode>
                <c:ptCount val="26"/>
                <c:pt idx="0">
                  <c:v>#N/A</c:v>
                </c:pt>
                <c:pt idx="1">
                  <c:v>0.65</c:v>
                </c:pt>
                <c:pt idx="2">
                  <c:v>2.63</c:v>
                </c:pt>
                <c:pt idx="3">
                  <c:v>3.52</c:v>
                </c:pt>
                <c:pt idx="4">
                  <c:v>4.0599999999999996</c:v>
                </c:pt>
                <c:pt idx="5">
                  <c:v>4.43</c:v>
                </c:pt>
                <c:pt idx="6">
                  <c:v>5.03</c:v>
                </c:pt>
                <c:pt idx="7">
                  <c:v>5.69</c:v>
                </c:pt>
                <c:pt idx="8">
                  <c:v>6.59</c:v>
                </c:pt>
                <c:pt idx="9">
                  <c:v>7.22</c:v>
                </c:pt>
                <c:pt idx="10">
                  <c:v>7.64</c:v>
                </c:pt>
                <c:pt idx="11">
                  <c:v>8.73</c:v>
                </c:pt>
                <c:pt idx="12">
                  <c:v>10.94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Tools!$EL$117:$FK$117</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0"/>
          <c:order val="20"/>
          <c:tx>
            <c:strRef>
              <c:f>Tools!$DC$82</c:f>
              <c:strCache>
                <c:ptCount val="1"/>
                <c:pt idx="0">
                  <c:v>STN 18</c:v>
                </c:pt>
              </c:strCache>
            </c:strRef>
          </c:tx>
          <c:spPr>
            <a:ln w="3175">
              <a:solidFill>
                <a:srgbClr val="FF00FF"/>
              </a:solidFill>
            </a:ln>
          </c:spPr>
          <c:marker>
            <c:symbol val="none"/>
          </c:marker>
          <c:xVal>
            <c:numRef>
              <c:f>Tools!$DJ$118:$EI$118</c:f>
              <c:numCache>
                <c:formatCode>General</c:formatCode>
                <c:ptCount val="26"/>
                <c:pt idx="0">
                  <c:v>#N/A</c:v>
                </c:pt>
                <c:pt idx="1">
                  <c:v>0</c:v>
                </c:pt>
                <c:pt idx="2">
                  <c:v>1.49</c:v>
                </c:pt>
                <c:pt idx="3">
                  <c:v>2.23</c:v>
                </c:pt>
                <c:pt idx="4">
                  <c:v>2.69</c:v>
                </c:pt>
                <c:pt idx="5">
                  <c:v>2.97</c:v>
                </c:pt>
                <c:pt idx="6">
                  <c:v>3.25</c:v>
                </c:pt>
                <c:pt idx="7">
                  <c:v>3.51</c:v>
                </c:pt>
                <c:pt idx="8">
                  <c:v>4.28</c:v>
                </c:pt>
                <c:pt idx="9">
                  <c:v>4.97</c:v>
                </c:pt>
                <c:pt idx="10">
                  <c:v>5.47</c:v>
                </c:pt>
                <c:pt idx="11">
                  <c:v>6.84</c:v>
                </c:pt>
                <c:pt idx="12">
                  <c:v>9.77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Tools!$EL$118:$FK$118</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1"/>
          <c:order val="21"/>
          <c:tx>
            <c:strRef>
              <c:f>Tools!$DC$83</c:f>
              <c:strCache>
                <c:ptCount val="1"/>
                <c:pt idx="0">
                  <c:v>STN 18.5</c:v>
                </c:pt>
              </c:strCache>
            </c:strRef>
          </c:tx>
          <c:spPr>
            <a:ln w="3175">
              <a:solidFill>
                <a:schemeClr val="accent3">
                  <a:lumMod val="50000"/>
                </a:schemeClr>
              </a:solidFill>
            </a:ln>
          </c:spPr>
          <c:marker>
            <c:symbol val="none"/>
          </c:marker>
          <c:xVal>
            <c:numRef>
              <c:f>Tools!$DJ$119:$EI$119</c:f>
              <c:numCache>
                <c:formatCode>General</c:formatCode>
                <c:ptCount val="26"/>
                <c:pt idx="0">
                  <c:v>0</c:v>
                </c:pt>
                <c:pt idx="1">
                  <c:v>#N/A</c:v>
                </c:pt>
                <c:pt idx="2">
                  <c:v>1.04</c:v>
                </c:pt>
                <c:pt idx="3">
                  <c:v>1.7</c:v>
                </c:pt>
                <c:pt idx="4">
                  <c:v>2.14</c:v>
                </c:pt>
                <c:pt idx="5">
                  <c:v>2.4</c:v>
                </c:pt>
                <c:pt idx="6">
                  <c:v>2.57</c:v>
                </c:pt>
                <c:pt idx="7">
                  <c:v>2.5499999999999998</c:v>
                </c:pt>
                <c:pt idx="8">
                  <c:v>3.12</c:v>
                </c:pt>
                <c:pt idx="9">
                  <c:v>3.79</c:v>
                </c:pt>
                <c:pt idx="10">
                  <c:v>4.3</c:v>
                </c:pt>
                <c:pt idx="11">
                  <c:v>5.71</c:v>
                </c:pt>
                <c:pt idx="12">
                  <c:v>8.1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Tools!$EL$119:$FK$119</c:f>
              <c:numCache>
                <c:formatCode>General</c:formatCode>
                <c:ptCount val="26"/>
                <c:pt idx="0">
                  <c:v>0.32</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2"/>
          <c:order val="22"/>
          <c:tx>
            <c:strRef>
              <c:f>Tools!$DC$84</c:f>
              <c:strCache>
                <c:ptCount val="1"/>
                <c:pt idx="0">
                  <c:v>STN 19</c:v>
                </c:pt>
              </c:strCache>
            </c:strRef>
          </c:tx>
          <c:spPr>
            <a:ln w="3175">
              <a:solidFill>
                <a:srgbClr val="C00000"/>
              </a:solidFill>
            </a:ln>
          </c:spPr>
          <c:marker>
            <c:symbol val="none"/>
          </c:marker>
          <c:xVal>
            <c:numRef>
              <c:f>Tools!$DJ$120:$EI$120</c:f>
              <c:numCache>
                <c:formatCode>General</c:formatCode>
                <c:ptCount val="26"/>
                <c:pt idx="0">
                  <c:v>0</c:v>
                </c:pt>
                <c:pt idx="1">
                  <c:v>#N/A</c:v>
                </c:pt>
                <c:pt idx="2">
                  <c:v>0.64</c:v>
                </c:pt>
                <c:pt idx="3">
                  <c:v>1.27</c:v>
                </c:pt>
                <c:pt idx="4">
                  <c:v>1.68</c:v>
                </c:pt>
                <c:pt idx="5">
                  <c:v>1.96</c:v>
                </c:pt>
                <c:pt idx="6">
                  <c:v>2.1</c:v>
                </c:pt>
                <c:pt idx="7">
                  <c:v>1.8</c:v>
                </c:pt>
                <c:pt idx="8">
                  <c:v>2</c:v>
                </c:pt>
                <c:pt idx="9">
                  <c:v>2.61</c:v>
                </c:pt>
                <c:pt idx="10">
                  <c:v>3.1</c:v>
                </c:pt>
                <c:pt idx="11">
                  <c:v>4.42</c:v>
                </c:pt>
                <c:pt idx="12">
                  <c:v>5.76</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Tools!$EL$120:$FK$120</c:f>
              <c:numCache>
                <c:formatCode>General</c:formatCode>
                <c:ptCount val="26"/>
                <c:pt idx="0">
                  <c:v>0.66</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3"/>
          <c:order val="23"/>
          <c:tx>
            <c:strRef>
              <c:f>Tools!$DC$85</c:f>
              <c:strCache>
                <c:ptCount val="1"/>
                <c:pt idx="0">
                  <c:v>STN 19.5</c:v>
                </c:pt>
              </c:strCache>
            </c:strRef>
          </c:tx>
          <c:spPr>
            <a:ln w="3175">
              <a:solidFill>
                <a:schemeClr val="tx2">
                  <a:lumMod val="75000"/>
                </a:schemeClr>
              </a:solidFill>
            </a:ln>
          </c:spPr>
          <c:marker>
            <c:symbol val="none"/>
          </c:marker>
          <c:xVal>
            <c:numRef>
              <c:f>Tools!$DJ$121:$EI$121</c:f>
              <c:numCache>
                <c:formatCode>General</c:formatCode>
                <c:ptCount val="26"/>
                <c:pt idx="0">
                  <c:v>0</c:v>
                </c:pt>
                <c:pt idx="1">
                  <c:v>#N/A</c:v>
                </c:pt>
                <c:pt idx="2">
                  <c:v>#N/A</c:v>
                </c:pt>
                <c:pt idx="3">
                  <c:v>0.86</c:v>
                </c:pt>
                <c:pt idx="4">
                  <c:v>1.29</c:v>
                </c:pt>
                <c:pt idx="5">
                  <c:v>1.6</c:v>
                </c:pt>
                <c:pt idx="6">
                  <c:v>1.77</c:v>
                </c:pt>
                <c:pt idx="7">
                  <c:v>1.31</c:v>
                </c:pt>
                <c:pt idx="8">
                  <c:v>1</c:v>
                </c:pt>
                <c:pt idx="9">
                  <c:v>1.44</c:v>
                </c:pt>
                <c:pt idx="10">
                  <c:v>1.74</c:v>
                </c:pt>
                <c:pt idx="11">
                  <c:v>2.79</c:v>
                </c:pt>
                <c:pt idx="12">
                  <c:v>4.0999999999999996</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Tools!$EL$121:$FK$121</c:f>
              <c:numCache>
                <c:formatCode>General</c:formatCode>
                <c:ptCount val="26"/>
                <c:pt idx="0">
                  <c:v>1</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4"/>
          <c:order val="24"/>
          <c:tx>
            <c:strRef>
              <c:f>Tools!$DC$86</c:f>
              <c:strCache>
                <c:ptCount val="1"/>
                <c:pt idx="0">
                  <c:v>STN 20</c:v>
                </c:pt>
              </c:strCache>
            </c:strRef>
          </c:tx>
          <c:spPr>
            <a:ln w="3175">
              <a:solidFill>
                <a:schemeClr val="accent6">
                  <a:lumMod val="75000"/>
                </a:schemeClr>
              </a:solidFill>
            </a:ln>
          </c:spPr>
          <c:marker>
            <c:symbol val="none"/>
          </c:marker>
          <c:xVal>
            <c:numRef>
              <c:f>Tools!$DJ$122:$EI$122</c:f>
              <c:numCache>
                <c:formatCode>General</c:formatCode>
                <c:ptCount val="26"/>
                <c:pt idx="0">
                  <c:v>0</c:v>
                </c:pt>
                <c:pt idx="1">
                  <c:v>#N/A</c:v>
                </c:pt>
                <c:pt idx="2">
                  <c:v>#N/A</c:v>
                </c:pt>
                <c:pt idx="3">
                  <c:v>#N/A</c:v>
                </c:pt>
                <c:pt idx="4">
                  <c:v>0.76</c:v>
                </c:pt>
                <c:pt idx="5">
                  <c:v>1.1499999999999999</c:v>
                </c:pt>
                <c:pt idx="6">
                  <c:v>1.45</c:v>
                </c:pt>
                <c:pt idx="7">
                  <c:v>1.04</c:v>
                </c:pt>
                <c:pt idx="8">
                  <c:v>0</c:v>
                </c:pt>
                <c:pt idx="9">
                  <c:v>0</c:v>
                </c:pt>
                <c:pt idx="10">
                  <c:v>0.25</c:v>
                </c:pt>
                <c:pt idx="11">
                  <c:v>0.85</c:v>
                </c:pt>
                <c:pt idx="12">
                  <c:v>1.78</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Tools!$EL$122:$FK$122</c:f>
              <c:numCache>
                <c:formatCode>General</c:formatCode>
                <c:ptCount val="26"/>
                <c:pt idx="0">
                  <c:v>2</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5"/>
          <c:order val="25"/>
          <c:tx>
            <c:v>a</c:v>
          </c:tx>
          <c:marker>
            <c:symbol val="none"/>
          </c:marker>
          <c:xVal>
            <c:numRef>
              <c:f>Tools!$E$182</c:f>
              <c:numCache>
                <c:formatCode>General</c:formatCode>
                <c:ptCount val="1"/>
              </c:numCache>
            </c:numRef>
          </c:xVal>
          <c:yVal>
            <c:numRef>
              <c:f>Tools!$F$182</c:f>
              <c:numCache>
                <c:formatCode>General</c:formatCode>
                <c:ptCount val="1"/>
              </c:numCache>
            </c:numRef>
          </c:yVal>
          <c:smooth val="1"/>
        </c:ser>
        <c:ser>
          <c:idx val="26"/>
          <c:order val="26"/>
          <c:tx>
            <c:strRef>
              <c:f>Tools!$CP$62</c:f>
              <c:strCache>
                <c:ptCount val="1"/>
                <c:pt idx="0">
                  <c:v>WL 0</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Tools!$CQ$62:$CR$62</c:f>
              <c:numCache>
                <c:formatCode>General</c:formatCode>
                <c:ptCount val="2"/>
                <c:pt idx="0">
                  <c:v>0</c:v>
                </c:pt>
                <c:pt idx="1">
                  <c:v>0</c:v>
                </c:pt>
              </c:numCache>
            </c:numRef>
          </c:yVal>
          <c:smooth val="1"/>
        </c:ser>
        <c:ser>
          <c:idx val="27"/>
          <c:order val="27"/>
          <c:tx>
            <c:strRef>
              <c:f>Tools!$CP$63</c:f>
              <c:strCache>
                <c:ptCount val="1"/>
                <c:pt idx="0">
                  <c:v>WL 0.5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Tools!$CQ$63:$CR$63</c:f>
              <c:numCache>
                <c:formatCode>General</c:formatCode>
                <c:ptCount val="2"/>
                <c:pt idx="0">
                  <c:v>0.9</c:v>
                </c:pt>
                <c:pt idx="1">
                  <c:v>0.9</c:v>
                </c:pt>
              </c:numCache>
            </c:numRef>
          </c:yVal>
          <c:smooth val="1"/>
        </c:ser>
        <c:ser>
          <c:idx val="28"/>
          <c:order val="28"/>
          <c:tx>
            <c:strRef>
              <c:f>Tools!$CP$64</c:f>
              <c:strCache>
                <c:ptCount val="1"/>
                <c:pt idx="0">
                  <c:v>WL 1</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Tools!$CQ$64:$CR$64</c:f>
              <c:numCache>
                <c:formatCode>General</c:formatCode>
                <c:ptCount val="2"/>
                <c:pt idx="0">
                  <c:v>1.8</c:v>
                </c:pt>
                <c:pt idx="1">
                  <c:v>1.8</c:v>
                </c:pt>
              </c:numCache>
            </c:numRef>
          </c:yVal>
          <c:smooth val="1"/>
        </c:ser>
        <c:ser>
          <c:idx val="29"/>
          <c:order val="29"/>
          <c:tx>
            <c:strRef>
              <c:f>Tools!$CP$65</c:f>
              <c:strCache>
                <c:ptCount val="1"/>
                <c:pt idx="0">
                  <c:v>WL 1.5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Tools!$CQ$65:$CR$65</c:f>
              <c:numCache>
                <c:formatCode>General</c:formatCode>
                <c:ptCount val="2"/>
                <c:pt idx="0">
                  <c:v>2.7</c:v>
                </c:pt>
                <c:pt idx="1">
                  <c:v>2.7</c:v>
                </c:pt>
              </c:numCache>
            </c:numRef>
          </c:yVal>
          <c:smooth val="1"/>
        </c:ser>
        <c:ser>
          <c:idx val="30"/>
          <c:order val="30"/>
          <c:tx>
            <c:strRef>
              <c:f>Tools!$CP$66</c:f>
              <c:strCache>
                <c:ptCount val="1"/>
                <c:pt idx="0">
                  <c:v>WL 2</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Tools!$CQ$66:$CR$66</c:f>
              <c:numCache>
                <c:formatCode>General</c:formatCode>
                <c:ptCount val="2"/>
                <c:pt idx="0">
                  <c:v>3.6</c:v>
                </c:pt>
                <c:pt idx="1">
                  <c:v>3.6</c:v>
                </c:pt>
              </c:numCache>
            </c:numRef>
          </c:yVal>
          <c:smooth val="1"/>
        </c:ser>
        <c:ser>
          <c:idx val="31"/>
          <c:order val="31"/>
          <c:tx>
            <c:strRef>
              <c:f>Tools!$CP$67</c:f>
              <c:strCache>
                <c:ptCount val="1"/>
                <c:pt idx="0">
                  <c:v>WL 3</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Tools!$CQ$67:$CR$67</c:f>
              <c:numCache>
                <c:formatCode>General</c:formatCode>
                <c:ptCount val="2"/>
                <c:pt idx="0">
                  <c:v>5.4</c:v>
                </c:pt>
                <c:pt idx="1">
                  <c:v>5.4</c:v>
                </c:pt>
              </c:numCache>
            </c:numRef>
          </c:yVal>
          <c:smooth val="1"/>
        </c:ser>
        <c:ser>
          <c:idx val="32"/>
          <c:order val="32"/>
          <c:tx>
            <c:strRef>
              <c:f>Tools!$CP$68</c:f>
              <c:strCache>
                <c:ptCount val="1"/>
                <c:pt idx="0">
                  <c:v>WL 4</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Tools!$CQ$68:$CR$68</c:f>
              <c:numCache>
                <c:formatCode>General</c:formatCode>
                <c:ptCount val="2"/>
                <c:pt idx="0">
                  <c:v>7.2</c:v>
                </c:pt>
                <c:pt idx="1">
                  <c:v>7.2</c:v>
                </c:pt>
              </c:numCache>
            </c:numRef>
          </c:yVal>
          <c:smooth val="1"/>
        </c:ser>
        <c:ser>
          <c:idx val="33"/>
          <c:order val="33"/>
          <c:tx>
            <c:strRef>
              <c:f>Tools!$CP$69</c:f>
              <c:strCache>
                <c:ptCount val="1"/>
                <c:pt idx="0">
                  <c:v>WL 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Tools!$CQ$69:$CR$69</c:f>
              <c:numCache>
                <c:formatCode>General</c:formatCode>
                <c:ptCount val="2"/>
                <c:pt idx="0">
                  <c:v>9</c:v>
                </c:pt>
                <c:pt idx="1">
                  <c:v>9</c:v>
                </c:pt>
              </c:numCache>
            </c:numRef>
          </c:yVal>
          <c:smooth val="1"/>
        </c:ser>
        <c:ser>
          <c:idx val="34"/>
          <c:order val="34"/>
          <c:tx>
            <c:strRef>
              <c:f>Tools!$CP$70</c:f>
              <c:strCache>
                <c:ptCount val="1"/>
                <c:pt idx="0">
                  <c:v>LWL</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Tools!$CQ$70:$CR$70</c:f>
              <c:numCache>
                <c:formatCode>General</c:formatCode>
                <c:ptCount val="2"/>
                <c:pt idx="0">
                  <c:v>10.1</c:v>
                </c:pt>
                <c:pt idx="1">
                  <c:v>10.1</c:v>
                </c:pt>
              </c:numCache>
            </c:numRef>
          </c:yVal>
          <c:smooth val="1"/>
        </c:ser>
        <c:ser>
          <c:idx val="35"/>
          <c:order val="35"/>
          <c:tx>
            <c:strRef>
              <c:f>Tools!$CP$71</c:f>
              <c:strCache>
                <c:ptCount val="1"/>
                <c:pt idx="0">
                  <c:v>WL 6</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Tools!$CQ$71:$CR$71</c:f>
              <c:numCache>
                <c:formatCode>General</c:formatCode>
                <c:ptCount val="2"/>
                <c:pt idx="0">
                  <c:v>10.8</c:v>
                </c:pt>
                <c:pt idx="1">
                  <c:v>10.8</c:v>
                </c:pt>
              </c:numCache>
            </c:numRef>
          </c:yVal>
          <c:smooth val="1"/>
        </c:ser>
        <c:ser>
          <c:idx val="36"/>
          <c:order val="36"/>
          <c:tx>
            <c:strRef>
              <c:f>Tools!$CP$72</c:f>
              <c:strCache>
                <c:ptCount val="1"/>
                <c:pt idx="0">
                  <c:v>WL 7</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Tools!$CQ$72:$CR$72</c:f>
              <c:numCache>
                <c:formatCode>General</c:formatCode>
                <c:ptCount val="2"/>
                <c:pt idx="0">
                  <c:v>12.6</c:v>
                </c:pt>
                <c:pt idx="1">
                  <c:v>12.6</c:v>
                </c:pt>
              </c:numCache>
            </c:numRef>
          </c:yVal>
          <c:smooth val="1"/>
        </c:ser>
        <c:ser>
          <c:idx val="37"/>
          <c:order val="37"/>
          <c:tx>
            <c:strRef>
              <c:f>Tools!$CP$73</c:f>
              <c:strCache>
                <c:ptCount val="1"/>
                <c:pt idx="0">
                  <c:v>MDK</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Tools!$CQ$73:$CR$73</c:f>
              <c:numCache>
                <c:formatCode>General</c:formatCode>
                <c:ptCount val="2"/>
                <c:pt idx="0">
                  <c:v>14.19</c:v>
                </c:pt>
                <c:pt idx="1">
                  <c:v>14.19</c:v>
                </c:pt>
              </c:numCache>
            </c:numRef>
          </c:yVal>
          <c:smooth val="1"/>
        </c:ser>
        <c:ser>
          <c:idx val="38"/>
          <c:order val="38"/>
          <c:tx>
            <c:strRef>
              <c:f>Tools!$CP$74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Tools!$CQ$74:$CR$74</c:f>
              <c:numCache>
                <c:formatCode>General</c:formatCode>
                <c:ptCount val="2"/>
                <c:pt idx="0">
                  <c:v>0</c:v>
                </c:pt>
                <c:pt idx="1">
                  <c:v>0</c:v>
                </c:pt>
              </c:numCache>
            </c:numRef>
          </c:yVal>
          <c:smooth val="1"/>
        </c:ser>
        <c:ser>
          <c:idx val="39"/>
          <c:order val="39"/>
          <c:tx>
            <c:strRef>
              <c:f>Tools!$CP$75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Tools!$CQ$75:$CR$75</c:f>
              <c:numCache>
                <c:formatCode>General</c:formatCode>
                <c:ptCount val="2"/>
                <c:pt idx="0">
                  <c:v>0</c:v>
                </c:pt>
                <c:pt idx="1">
                  <c:v>0</c:v>
                </c:pt>
              </c:numCache>
            </c:numRef>
          </c:yVal>
          <c:smooth val="1"/>
        </c:ser>
        <c:ser>
          <c:idx val="40"/>
          <c:order val="40"/>
          <c:tx>
            <c:strRef>
              <c:f>Tools!$CP$76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Tools!$CQ$76:$CR$76</c:f>
              <c:numCache>
                <c:formatCode>General</c:formatCode>
                <c:ptCount val="2"/>
                <c:pt idx="0">
                  <c:v>0</c:v>
                </c:pt>
                <c:pt idx="1">
                  <c:v>0</c:v>
                </c:pt>
              </c:numCache>
            </c:numRef>
          </c:yVal>
          <c:smooth val="1"/>
        </c:ser>
        <c:ser>
          <c:idx val="41"/>
          <c:order val="41"/>
          <c:tx>
            <c:strRef>
              <c:f>Tools!$CP$77</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Tools!$CQ$77:$CR$77</c:f>
              <c:numCache>
                <c:formatCode>General</c:formatCode>
                <c:ptCount val="2"/>
                <c:pt idx="0">
                  <c:v>0</c:v>
                </c:pt>
                <c:pt idx="1">
                  <c:v>0</c:v>
                </c:pt>
              </c:numCache>
            </c:numRef>
          </c:yVal>
          <c:smooth val="1"/>
        </c:ser>
        <c:ser>
          <c:idx val="42"/>
          <c:order val="42"/>
          <c:tx>
            <c:strRef>
              <c:f>Tools!$CP$78</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Tools!$CQ$78:$CR$78</c:f>
              <c:numCache>
                <c:formatCode>General</c:formatCode>
                <c:ptCount val="2"/>
                <c:pt idx="0">
                  <c:v>0</c:v>
                </c:pt>
                <c:pt idx="1">
                  <c:v>0</c:v>
                </c:pt>
              </c:numCache>
            </c:numRef>
          </c:yVal>
          <c:smooth val="1"/>
        </c:ser>
        <c:ser>
          <c:idx val="43"/>
          <c:order val="43"/>
          <c:tx>
            <c:strRef>
              <c:f>Tools!$CP$79</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Tools!$CQ$79:$CR$79</c:f>
              <c:numCache>
                <c:formatCode>General</c:formatCode>
                <c:ptCount val="2"/>
                <c:pt idx="0">
                  <c:v>0</c:v>
                </c:pt>
                <c:pt idx="1">
                  <c:v>0</c:v>
                </c:pt>
              </c:numCache>
            </c:numRef>
          </c:yVal>
          <c:smooth val="1"/>
        </c:ser>
        <c:ser>
          <c:idx val="44"/>
          <c:order val="44"/>
          <c:tx>
            <c:strRef>
              <c:f>Tools!$CP$80</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Tools!$CQ$80:$CR$80</c:f>
              <c:numCache>
                <c:formatCode>General</c:formatCode>
                <c:ptCount val="2"/>
                <c:pt idx="0">
                  <c:v>0</c:v>
                </c:pt>
                <c:pt idx="1">
                  <c:v>0</c:v>
                </c:pt>
              </c:numCache>
            </c:numRef>
          </c:yVal>
          <c:smooth val="1"/>
        </c:ser>
        <c:ser>
          <c:idx val="45"/>
          <c:order val="45"/>
          <c:tx>
            <c:strRef>
              <c:f>Tools!$CP$81</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Tools!$CQ$81:$CR$81</c:f>
              <c:numCache>
                <c:formatCode>General</c:formatCode>
                <c:ptCount val="2"/>
                <c:pt idx="0">
                  <c:v>0</c:v>
                </c:pt>
                <c:pt idx="1">
                  <c:v>0</c:v>
                </c:pt>
              </c:numCache>
            </c:numRef>
          </c:yVal>
          <c:smooth val="1"/>
        </c:ser>
        <c:ser>
          <c:idx val="46"/>
          <c:order val="46"/>
          <c:tx>
            <c:strRef>
              <c:f>Tools!$CP$82</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Tools!$CQ$82:$CR$82</c:f>
              <c:numCache>
                <c:formatCode>General</c:formatCode>
                <c:ptCount val="2"/>
                <c:pt idx="0">
                  <c:v>0</c:v>
                </c:pt>
                <c:pt idx="1">
                  <c:v>0</c:v>
                </c:pt>
              </c:numCache>
            </c:numRef>
          </c:yVal>
          <c:smooth val="1"/>
        </c:ser>
        <c:ser>
          <c:idx val="47"/>
          <c:order val="47"/>
          <c:tx>
            <c:strRef>
              <c:f>Tools!$CP$83</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Tools!$CQ$83:$CR$83</c:f>
              <c:numCache>
                <c:formatCode>General</c:formatCode>
                <c:ptCount val="2"/>
                <c:pt idx="0">
                  <c:v>0</c:v>
                </c:pt>
                <c:pt idx="1">
                  <c:v>0</c:v>
                </c:pt>
              </c:numCache>
            </c:numRef>
          </c:yVal>
          <c:smooth val="1"/>
        </c:ser>
        <c:ser>
          <c:idx val="48"/>
          <c:order val="48"/>
          <c:tx>
            <c:strRef>
              <c:f>Tools!$CP$84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Tools!$CQ$84:$CR$84</c:f>
              <c:numCache>
                <c:formatCode>General</c:formatCode>
                <c:ptCount val="2"/>
                <c:pt idx="0">
                  <c:v>0</c:v>
                </c:pt>
                <c:pt idx="1">
                  <c:v>0</c:v>
                </c:pt>
              </c:numCache>
            </c:numRef>
          </c:yVal>
          <c:smooth val="1"/>
        </c:ser>
        <c:ser>
          <c:idx val="49"/>
          <c:order val="49"/>
          <c:tx>
            <c:strRef>
              <c:f>Tools!$CP$85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Tools!$CQ$85:$CR$85</c:f>
              <c:numCache>
                <c:formatCode>General</c:formatCode>
                <c:ptCount val="2"/>
                <c:pt idx="0">
                  <c:v>0</c:v>
                </c:pt>
                <c:pt idx="1">
                  <c:v>0</c:v>
                </c:pt>
              </c:numCache>
            </c:numRef>
          </c:yVal>
          <c:smooth val="1"/>
        </c:ser>
        <c:ser>
          <c:idx val="50"/>
          <c:order val="50"/>
          <c:tx>
            <c:strRef>
              <c:f>Tools!$CP$86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Tools!$CQ$86:$CR$86</c:f>
              <c:numCache>
                <c:formatCode>General</c:formatCode>
                <c:ptCount val="2"/>
                <c:pt idx="0">
                  <c:v>0</c:v>
                </c:pt>
                <c:pt idx="1">
                  <c:v>0</c:v>
                </c:pt>
              </c:numCache>
            </c:numRef>
          </c:yVal>
          <c:smooth val="1"/>
        </c:ser>
        <c:ser>
          <c:idx val="51"/>
          <c:order val="51"/>
          <c:tx>
            <c:strRef>
              <c:f>Tools!$CV$62</c:f>
              <c:strCache>
                <c:ptCount val="1"/>
                <c:pt idx="0">
                  <c:v>BTK 1</c:v>
                </c:pt>
              </c:strCache>
            </c:strRef>
          </c:tx>
          <c:spPr>
            <a:ln w="3175">
              <a:solidFill>
                <a:schemeClr val="bg1">
                  <a:lumMod val="75000"/>
                </a:schemeClr>
              </a:solidFill>
            </a:ln>
          </c:spPr>
          <c:marker>
            <c:symbol val="none"/>
          </c:marker>
          <c:xVal>
            <c:numRef>
              <c:f>Tools!$CW$62:$CX$62</c:f>
              <c:numCache>
                <c:formatCode>General</c:formatCode>
                <c:ptCount val="2"/>
                <c:pt idx="0">
                  <c:v>-4.083333333333333</c:v>
                </c:pt>
                <c:pt idx="1">
                  <c:v>-4.083333333333333</c:v>
                </c:pt>
              </c:numCache>
            </c:numRef>
          </c:xVal>
          <c:yVal>
            <c:numRef>
              <c:f>Tools!$CW$61:$CX$61</c:f>
              <c:numCache>
                <c:formatCode>General</c:formatCode>
                <c:ptCount val="2"/>
                <c:pt idx="0">
                  <c:v>0</c:v>
                </c:pt>
                <c:pt idx="1">
                  <c:v>14.19</c:v>
                </c:pt>
              </c:numCache>
            </c:numRef>
          </c:yVal>
          <c:smooth val="1"/>
        </c:ser>
        <c:ser>
          <c:idx val="52"/>
          <c:order val="52"/>
          <c:tx>
            <c:strRef>
              <c:f>Tools!$CV$63</c:f>
              <c:strCache>
                <c:ptCount val="1"/>
                <c:pt idx="0">
                  <c:v>BTK 2</c:v>
                </c:pt>
              </c:strCache>
            </c:strRef>
          </c:tx>
          <c:spPr>
            <a:ln w="3175">
              <a:solidFill>
                <a:schemeClr val="bg1">
                  <a:lumMod val="75000"/>
                </a:schemeClr>
              </a:solidFill>
            </a:ln>
          </c:spPr>
          <c:marker>
            <c:symbol val="none"/>
          </c:marker>
          <c:xVal>
            <c:numRef>
              <c:f>Tools!$CW$63:$CX$63</c:f>
              <c:numCache>
                <c:formatCode>General</c:formatCode>
                <c:ptCount val="2"/>
                <c:pt idx="0">
                  <c:v>-8.1666666666666661</c:v>
                </c:pt>
                <c:pt idx="1">
                  <c:v>-8.1666666666666661</c:v>
                </c:pt>
              </c:numCache>
            </c:numRef>
          </c:xVal>
          <c:yVal>
            <c:numRef>
              <c:f>Tools!$CW$61:$CX$61</c:f>
              <c:numCache>
                <c:formatCode>General</c:formatCode>
                <c:ptCount val="2"/>
                <c:pt idx="0">
                  <c:v>0</c:v>
                </c:pt>
                <c:pt idx="1">
                  <c:v>14.19</c:v>
                </c:pt>
              </c:numCache>
            </c:numRef>
          </c:yVal>
          <c:smooth val="1"/>
        </c:ser>
        <c:ser>
          <c:idx val="53"/>
          <c:order val="53"/>
          <c:tx>
            <c:strRef>
              <c:f>Tools!$CV$64</c:f>
              <c:strCache>
                <c:ptCount val="1"/>
                <c:pt idx="0">
                  <c:v>SIDE</c:v>
                </c:pt>
              </c:strCache>
            </c:strRef>
          </c:tx>
          <c:spPr>
            <a:ln w="3175">
              <a:solidFill>
                <a:schemeClr val="bg1">
                  <a:lumMod val="75000"/>
                </a:schemeClr>
              </a:solidFill>
            </a:ln>
          </c:spPr>
          <c:marker>
            <c:symbol val="none"/>
          </c:marker>
          <c:xVal>
            <c:numRef>
              <c:f>Tools!$CW$64:$CX$64</c:f>
              <c:numCache>
                <c:formatCode>General</c:formatCode>
                <c:ptCount val="2"/>
                <c:pt idx="0">
                  <c:v>-12.25</c:v>
                </c:pt>
                <c:pt idx="1">
                  <c:v>-12.25</c:v>
                </c:pt>
              </c:numCache>
            </c:numRef>
          </c:xVal>
          <c:yVal>
            <c:numRef>
              <c:f>Tools!$CW$61:$CX$61</c:f>
              <c:numCache>
                <c:formatCode>General</c:formatCode>
                <c:ptCount val="2"/>
                <c:pt idx="0">
                  <c:v>0</c:v>
                </c:pt>
                <c:pt idx="1">
                  <c:v>14.19</c:v>
                </c:pt>
              </c:numCache>
            </c:numRef>
          </c:yVal>
          <c:smooth val="1"/>
        </c:ser>
        <c:ser>
          <c:idx val="54"/>
          <c:order val="54"/>
          <c:tx>
            <c:strRef>
              <c:f>Tools!$CV$65</c:f>
              <c:strCache>
                <c:ptCount val="1"/>
                <c:pt idx="0">
                  <c:v> </c:v>
                </c:pt>
              </c:strCache>
            </c:strRef>
          </c:tx>
          <c:spPr>
            <a:ln w="3175">
              <a:solidFill>
                <a:schemeClr val="bg1">
                  <a:lumMod val="75000"/>
                </a:schemeClr>
              </a:solidFill>
            </a:ln>
          </c:spPr>
          <c:marker>
            <c:symbol val="none"/>
          </c:marker>
          <c:xVal>
            <c:numRef>
              <c:f>Tools!$CW$65:$CX$65</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5"/>
          <c:order val="55"/>
          <c:tx>
            <c:strRef>
              <c:f>Tools!$CV$66</c:f>
              <c:strCache>
                <c:ptCount val="1"/>
                <c:pt idx="0">
                  <c:v> </c:v>
                </c:pt>
              </c:strCache>
            </c:strRef>
          </c:tx>
          <c:spPr>
            <a:ln w="3175">
              <a:solidFill>
                <a:schemeClr val="bg1">
                  <a:lumMod val="75000"/>
                </a:schemeClr>
              </a:solidFill>
            </a:ln>
          </c:spPr>
          <c:marker>
            <c:symbol val="none"/>
          </c:marker>
          <c:xVal>
            <c:numRef>
              <c:f>Tools!$CW$66:$CX$66</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6"/>
          <c:order val="56"/>
          <c:tx>
            <c:strRef>
              <c:f>Tools!$CV$67</c:f>
              <c:strCache>
                <c:ptCount val="1"/>
                <c:pt idx="0">
                  <c:v> </c:v>
                </c:pt>
              </c:strCache>
            </c:strRef>
          </c:tx>
          <c:spPr>
            <a:ln w="3175">
              <a:solidFill>
                <a:schemeClr val="bg1">
                  <a:lumMod val="75000"/>
                </a:schemeClr>
              </a:solidFill>
            </a:ln>
          </c:spPr>
          <c:marker>
            <c:symbol val="none"/>
          </c:marker>
          <c:xVal>
            <c:numRef>
              <c:f>Tools!$CW$67:$CX$67</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7"/>
          <c:order val="57"/>
          <c:tx>
            <c:strRef>
              <c:f>Tools!$CV$68</c:f>
              <c:strCache>
                <c:ptCount val="1"/>
                <c:pt idx="0">
                  <c:v> </c:v>
                </c:pt>
              </c:strCache>
            </c:strRef>
          </c:tx>
          <c:spPr>
            <a:ln w="3175">
              <a:solidFill>
                <a:schemeClr val="bg1">
                  <a:lumMod val="75000"/>
                </a:schemeClr>
              </a:solidFill>
            </a:ln>
          </c:spPr>
          <c:marker>
            <c:symbol val="none"/>
          </c:marker>
          <c:xVal>
            <c:numRef>
              <c:f>Tools!$CW$68:$CX$68</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8"/>
          <c:order val="58"/>
          <c:tx>
            <c:strRef>
              <c:f>Tools!$CV$69</c:f>
              <c:strCache>
                <c:ptCount val="1"/>
                <c:pt idx="0">
                  <c:v> </c:v>
                </c:pt>
              </c:strCache>
            </c:strRef>
          </c:tx>
          <c:spPr>
            <a:ln w="3175">
              <a:solidFill>
                <a:schemeClr val="bg1">
                  <a:lumMod val="75000"/>
                </a:schemeClr>
              </a:solidFill>
            </a:ln>
          </c:spPr>
          <c:marker>
            <c:symbol val="none"/>
          </c:marker>
          <c:xVal>
            <c:numRef>
              <c:f>Tools!$CW$69:$CX$69</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9"/>
          <c:order val="59"/>
          <c:tx>
            <c:strRef>
              <c:f>Tools!$CV$70</c:f>
              <c:strCache>
                <c:ptCount val="1"/>
                <c:pt idx="0">
                  <c:v> </c:v>
                </c:pt>
              </c:strCache>
            </c:strRef>
          </c:tx>
          <c:spPr>
            <a:ln w="3175">
              <a:solidFill>
                <a:schemeClr val="bg1">
                  <a:lumMod val="75000"/>
                </a:schemeClr>
              </a:solidFill>
            </a:ln>
          </c:spPr>
          <c:marker>
            <c:symbol val="none"/>
          </c:marker>
          <c:xVal>
            <c:numRef>
              <c:f>Tools!$CW$70:$CX$70</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0"/>
          <c:order val="60"/>
          <c:tx>
            <c:strRef>
              <c:f>Tools!$CV$71</c:f>
              <c:strCache>
                <c:ptCount val="1"/>
                <c:pt idx="0">
                  <c:v> </c:v>
                </c:pt>
              </c:strCache>
            </c:strRef>
          </c:tx>
          <c:spPr>
            <a:ln w="3175">
              <a:solidFill>
                <a:schemeClr val="bg1">
                  <a:lumMod val="75000"/>
                </a:schemeClr>
              </a:solidFill>
            </a:ln>
          </c:spPr>
          <c:marker>
            <c:symbol val="none"/>
          </c:marker>
          <c:xVal>
            <c:numRef>
              <c:f>Tools!$CW$71:$CX$71</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1"/>
          <c:order val="61"/>
          <c:tx>
            <c:strRef>
              <c:f>Tools!$CV$72</c:f>
              <c:strCache>
                <c:ptCount val="1"/>
                <c:pt idx="0">
                  <c:v>CL</c:v>
                </c:pt>
              </c:strCache>
            </c:strRef>
          </c:tx>
          <c:spPr>
            <a:ln w="3175">
              <a:solidFill>
                <a:schemeClr val="bg1">
                  <a:lumMod val="75000"/>
                </a:schemeClr>
              </a:solidFill>
            </a:ln>
          </c:spPr>
          <c:marker>
            <c:symbol val="none"/>
          </c:marker>
          <c:xVal>
            <c:numRef>
              <c:f>Tools!$CW$72:$CX$72</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2"/>
          <c:order val="62"/>
          <c:tx>
            <c:strRef>
              <c:f>Tools!$CV$62</c:f>
              <c:strCache>
                <c:ptCount val="1"/>
                <c:pt idx="0">
                  <c:v>BTK 1</c:v>
                </c:pt>
              </c:strCache>
            </c:strRef>
          </c:tx>
          <c:spPr>
            <a:ln w="3175">
              <a:solidFill>
                <a:schemeClr val="bg1">
                  <a:lumMod val="75000"/>
                </a:schemeClr>
              </a:solidFill>
            </a:ln>
          </c:spPr>
          <c:marker>
            <c:symbol val="none"/>
          </c:marker>
          <c:xVal>
            <c:numRef>
              <c:f>Tools!$CY$62:$CZ$62</c:f>
              <c:numCache>
                <c:formatCode>General</c:formatCode>
                <c:ptCount val="2"/>
                <c:pt idx="0">
                  <c:v>4.083333333333333</c:v>
                </c:pt>
                <c:pt idx="1">
                  <c:v>4.083333333333333</c:v>
                </c:pt>
              </c:numCache>
            </c:numRef>
          </c:xVal>
          <c:yVal>
            <c:numRef>
              <c:f>Tools!$CW$61:$CX$61</c:f>
              <c:numCache>
                <c:formatCode>General</c:formatCode>
                <c:ptCount val="2"/>
                <c:pt idx="0">
                  <c:v>0</c:v>
                </c:pt>
                <c:pt idx="1">
                  <c:v>14.19</c:v>
                </c:pt>
              </c:numCache>
            </c:numRef>
          </c:yVal>
          <c:smooth val="1"/>
        </c:ser>
        <c:ser>
          <c:idx val="63"/>
          <c:order val="63"/>
          <c:tx>
            <c:strRef>
              <c:f>Tools!$CV$63</c:f>
              <c:strCache>
                <c:ptCount val="1"/>
                <c:pt idx="0">
                  <c:v>BTK 2</c:v>
                </c:pt>
              </c:strCache>
            </c:strRef>
          </c:tx>
          <c:spPr>
            <a:ln w="3175">
              <a:solidFill>
                <a:schemeClr val="bg1">
                  <a:lumMod val="75000"/>
                </a:schemeClr>
              </a:solidFill>
            </a:ln>
          </c:spPr>
          <c:marker>
            <c:symbol val="none"/>
          </c:marker>
          <c:xVal>
            <c:numRef>
              <c:f>Tools!$CY$63:$CZ$63</c:f>
              <c:numCache>
                <c:formatCode>General</c:formatCode>
                <c:ptCount val="2"/>
                <c:pt idx="0">
                  <c:v>8.1666666666666661</c:v>
                </c:pt>
                <c:pt idx="1">
                  <c:v>8.1666666666666661</c:v>
                </c:pt>
              </c:numCache>
            </c:numRef>
          </c:xVal>
          <c:yVal>
            <c:numRef>
              <c:f>Tools!$CW$61:$CX$61</c:f>
              <c:numCache>
                <c:formatCode>General</c:formatCode>
                <c:ptCount val="2"/>
                <c:pt idx="0">
                  <c:v>0</c:v>
                </c:pt>
                <c:pt idx="1">
                  <c:v>14.19</c:v>
                </c:pt>
              </c:numCache>
            </c:numRef>
          </c:yVal>
          <c:smooth val="1"/>
        </c:ser>
        <c:ser>
          <c:idx val="64"/>
          <c:order val="64"/>
          <c:tx>
            <c:strRef>
              <c:f>Tools!$CV$64</c:f>
              <c:strCache>
                <c:ptCount val="1"/>
                <c:pt idx="0">
                  <c:v>SIDE</c:v>
                </c:pt>
              </c:strCache>
            </c:strRef>
          </c:tx>
          <c:spPr>
            <a:ln w="3175">
              <a:solidFill>
                <a:schemeClr val="bg1">
                  <a:lumMod val="75000"/>
                </a:schemeClr>
              </a:solidFill>
            </a:ln>
          </c:spPr>
          <c:marker>
            <c:symbol val="none"/>
          </c:marker>
          <c:xVal>
            <c:numRef>
              <c:f>Tools!$CY$64:$CZ$64</c:f>
              <c:numCache>
                <c:formatCode>General</c:formatCode>
                <c:ptCount val="2"/>
                <c:pt idx="0">
                  <c:v>12.25</c:v>
                </c:pt>
                <c:pt idx="1">
                  <c:v>12.25</c:v>
                </c:pt>
              </c:numCache>
            </c:numRef>
          </c:xVal>
          <c:yVal>
            <c:numRef>
              <c:f>Tools!$CW$61:$CX$61</c:f>
              <c:numCache>
                <c:formatCode>General</c:formatCode>
                <c:ptCount val="2"/>
                <c:pt idx="0">
                  <c:v>0</c:v>
                </c:pt>
                <c:pt idx="1">
                  <c:v>14.19</c:v>
                </c:pt>
              </c:numCache>
            </c:numRef>
          </c:yVal>
          <c:smooth val="1"/>
        </c:ser>
        <c:ser>
          <c:idx val="65"/>
          <c:order val="65"/>
          <c:tx>
            <c:strRef>
              <c:f>Tools!$CV$65</c:f>
              <c:strCache>
                <c:ptCount val="1"/>
                <c:pt idx="0">
                  <c:v> </c:v>
                </c:pt>
              </c:strCache>
            </c:strRef>
          </c:tx>
          <c:spPr>
            <a:ln w="3175">
              <a:solidFill>
                <a:schemeClr val="bg1">
                  <a:lumMod val="75000"/>
                </a:schemeClr>
              </a:solidFill>
            </a:ln>
          </c:spPr>
          <c:marker>
            <c:symbol val="none"/>
          </c:marker>
          <c:xVal>
            <c:numRef>
              <c:f>Tools!$CY$65:$CZ$65</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6"/>
          <c:order val="66"/>
          <c:tx>
            <c:strRef>
              <c:f>Tools!$CV$66</c:f>
              <c:strCache>
                <c:ptCount val="1"/>
                <c:pt idx="0">
                  <c:v> </c:v>
                </c:pt>
              </c:strCache>
            </c:strRef>
          </c:tx>
          <c:spPr>
            <a:ln w="3175">
              <a:solidFill>
                <a:schemeClr val="bg1">
                  <a:lumMod val="75000"/>
                </a:schemeClr>
              </a:solidFill>
            </a:ln>
          </c:spPr>
          <c:marker>
            <c:symbol val="none"/>
          </c:marker>
          <c:xVal>
            <c:numRef>
              <c:f>Tools!$CY$66:$CZ$66</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7"/>
          <c:order val="67"/>
          <c:tx>
            <c:strRef>
              <c:f>Tools!$CV$67</c:f>
              <c:strCache>
                <c:ptCount val="1"/>
                <c:pt idx="0">
                  <c:v> </c:v>
                </c:pt>
              </c:strCache>
            </c:strRef>
          </c:tx>
          <c:spPr>
            <a:ln w="3175">
              <a:solidFill>
                <a:schemeClr val="bg1">
                  <a:lumMod val="75000"/>
                </a:schemeClr>
              </a:solidFill>
            </a:ln>
          </c:spPr>
          <c:marker>
            <c:symbol val="none"/>
          </c:marker>
          <c:xVal>
            <c:numRef>
              <c:f>Tools!$CY$67:$CZ$67</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8"/>
          <c:order val="68"/>
          <c:tx>
            <c:strRef>
              <c:f>Tools!$CV$68</c:f>
              <c:strCache>
                <c:ptCount val="1"/>
                <c:pt idx="0">
                  <c:v> </c:v>
                </c:pt>
              </c:strCache>
            </c:strRef>
          </c:tx>
          <c:spPr>
            <a:ln w="3175">
              <a:solidFill>
                <a:schemeClr val="bg1">
                  <a:lumMod val="75000"/>
                </a:schemeClr>
              </a:solidFill>
            </a:ln>
          </c:spPr>
          <c:marker>
            <c:symbol val="none"/>
          </c:marker>
          <c:xVal>
            <c:numRef>
              <c:f>Tools!$CY$68:$CZ$68</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9"/>
          <c:order val="69"/>
          <c:tx>
            <c:strRef>
              <c:f>Tools!$CV$69</c:f>
              <c:strCache>
                <c:ptCount val="1"/>
                <c:pt idx="0">
                  <c:v> </c:v>
                </c:pt>
              </c:strCache>
            </c:strRef>
          </c:tx>
          <c:spPr>
            <a:ln w="3175">
              <a:solidFill>
                <a:schemeClr val="bg1">
                  <a:lumMod val="75000"/>
                </a:schemeClr>
              </a:solidFill>
            </a:ln>
          </c:spPr>
          <c:marker>
            <c:symbol val="none"/>
          </c:marker>
          <c:xVal>
            <c:numRef>
              <c:f>Tools!$CY$69:$CZ$69</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70"/>
          <c:order val="70"/>
          <c:tx>
            <c:strRef>
              <c:f>Tools!$CV$70</c:f>
              <c:strCache>
                <c:ptCount val="1"/>
                <c:pt idx="0">
                  <c:v> </c:v>
                </c:pt>
              </c:strCache>
            </c:strRef>
          </c:tx>
          <c:spPr>
            <a:ln w="3175">
              <a:solidFill>
                <a:schemeClr val="bg1">
                  <a:lumMod val="75000"/>
                </a:schemeClr>
              </a:solidFill>
            </a:ln>
          </c:spPr>
          <c:marker>
            <c:symbol val="none"/>
          </c:marker>
          <c:xVal>
            <c:numRef>
              <c:f>Tools!$CY$70:$CZ$70</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71"/>
          <c:order val="71"/>
          <c:tx>
            <c:strRef>
              <c:f>Tools!$CV$71</c:f>
              <c:strCache>
                <c:ptCount val="1"/>
                <c:pt idx="0">
                  <c:v> </c:v>
                </c:pt>
              </c:strCache>
            </c:strRef>
          </c:tx>
          <c:spPr>
            <a:ln w="3175">
              <a:solidFill>
                <a:schemeClr val="bg1">
                  <a:lumMod val="75000"/>
                </a:schemeClr>
              </a:solidFill>
            </a:ln>
          </c:spPr>
          <c:marker>
            <c:symbol val="none"/>
          </c:marker>
          <c:xVal>
            <c:numRef>
              <c:f>Tools!$CY$71:$CZ$71</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dLbls>
          <c:showLegendKey val="0"/>
          <c:showVal val="0"/>
          <c:showCatName val="0"/>
          <c:showSerName val="0"/>
          <c:showPercent val="0"/>
          <c:showBubbleSize val="0"/>
        </c:dLbls>
        <c:axId val="492884352"/>
        <c:axId val="492885888"/>
      </c:scatterChart>
      <c:valAx>
        <c:axId val="492884352"/>
        <c:scaling>
          <c:orientation val="minMax"/>
        </c:scaling>
        <c:delete val="1"/>
        <c:axPos val="b"/>
        <c:numFmt formatCode="General" sourceLinked="1"/>
        <c:majorTickMark val="out"/>
        <c:minorTickMark val="none"/>
        <c:tickLblPos val="nextTo"/>
        <c:crossAx val="492885888"/>
        <c:crosses val="autoZero"/>
        <c:crossBetween val="midCat"/>
        <c:majorUnit val="0.1"/>
        <c:minorUnit val="5.000000000000001E-2"/>
      </c:valAx>
      <c:valAx>
        <c:axId val="492885888"/>
        <c:scaling>
          <c:orientation val="minMax"/>
          <c:min val="0"/>
        </c:scaling>
        <c:delete val="0"/>
        <c:axPos val="l"/>
        <c:majorGridlines>
          <c:spPr>
            <a:ln>
              <a:noFill/>
            </a:ln>
          </c:spPr>
        </c:majorGridlines>
        <c:numFmt formatCode="General" sourceLinked="1"/>
        <c:majorTickMark val="out"/>
        <c:minorTickMark val="none"/>
        <c:tickLblPos val="nextTo"/>
        <c:crossAx val="492884352"/>
        <c:crosses val="autoZero"/>
        <c:crossBetween val="midCat"/>
        <c:majorUnit val="1"/>
      </c:valAx>
      <c:spPr>
        <a:noFill/>
        <a:ln>
          <a:noFill/>
        </a:ln>
      </c:spPr>
    </c:plotArea>
    <c:legend>
      <c:legendPos val="r"/>
      <c:legendEntry>
        <c:idx val="25"/>
        <c:txPr>
          <a:bodyPr/>
          <a:lstStyle/>
          <a:p>
            <a:pPr>
              <a:defRPr sz="1400">
                <a:solidFill>
                  <a:schemeClr val="bg1"/>
                </a:solidFill>
              </a:defRPr>
            </a:pPr>
            <a:endParaRPr lang="en-US"/>
          </a:p>
        </c:txPr>
      </c:legendEntry>
      <c:layout>
        <c:manualLayout>
          <c:xMode val="edge"/>
          <c:yMode val="edge"/>
          <c:x val="0.81867932506519137"/>
          <c:y val="2.9591106189184382E-2"/>
          <c:w val="0.15821833515888084"/>
          <c:h val="0.92819782836538001"/>
        </c:manualLayout>
      </c:layout>
      <c:overlay val="0"/>
      <c:txPr>
        <a:bodyPr/>
        <a:lstStyle/>
        <a:p>
          <a:pPr>
            <a:defRPr sz="1400"/>
          </a:pPr>
          <a:endParaRPr lang="en-US"/>
        </a:p>
      </c:txPr>
    </c:legend>
    <c:plotVisOnly val="1"/>
    <c:dispBlanksAs val="gap"/>
    <c:showDLblsOverMax val="0"/>
  </c:chart>
  <c:spPr>
    <a:solidFill>
      <a:schemeClr val="bg1">
        <a:lumMod val="95000"/>
      </a:schemeClr>
    </a:solidFill>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v>Profile</c:v>
          </c:tx>
          <c:spPr>
            <a:ln w="12700">
              <a:solidFill>
                <a:srgbClr val="FF0000"/>
              </a:solidFill>
            </a:ln>
          </c:spPr>
          <c:marker>
            <c:symbol val="none"/>
          </c:marker>
          <c:xVal>
            <c:numRef>
              <c:f>'Graph tools'!$Q$5:$Q$79</c:f>
              <c:numCache>
                <c:formatCode>General</c:formatCode>
                <c:ptCount val="75"/>
                <c:pt idx="0">
                  <c:v>#N/A</c:v>
                </c:pt>
                <c:pt idx="1">
                  <c:v>#N/A</c:v>
                </c:pt>
                <c:pt idx="2">
                  <c:v>#N/A</c:v>
                </c:pt>
                <c:pt idx="3">
                  <c:v>#N/A</c:v>
                </c:pt>
                <c:pt idx="4">
                  <c:v>#N/A</c:v>
                </c:pt>
                <c:pt idx="5">
                  <c:v>#N/A</c:v>
                </c:pt>
                <c:pt idx="6">
                  <c:v>#N/A</c:v>
                </c:pt>
                <c:pt idx="7">
                  <c:v>#N/A</c:v>
                </c:pt>
                <c:pt idx="8">
                  <c:v>#N/A</c:v>
                </c:pt>
                <c:pt idx="9">
                  <c:v>#N/A</c:v>
                </c:pt>
                <c:pt idx="10">
                  <c:v>#N/A</c:v>
                </c:pt>
                <c:pt idx="11">
                  <c:v>#N/A</c:v>
                </c:pt>
                <c:pt idx="12">
                  <c:v>#N/A</c:v>
                </c:pt>
                <c:pt idx="13">
                  <c:v>-0.85801063022019763</c:v>
                </c:pt>
                <c:pt idx="14">
                  <c:v>-0.80485952923310566</c:v>
                </c:pt>
                <c:pt idx="15">
                  <c:v>-0.59225512528473812</c:v>
                </c:pt>
                <c:pt idx="16">
                  <c:v>-0.16704631738800307</c:v>
                </c:pt>
                <c:pt idx="17">
                  <c:v>0.46317388003037208</c:v>
                </c:pt>
                <c:pt idx="18">
                  <c:v>1.2452543659832955</c:v>
                </c:pt>
                <c:pt idx="19">
                  <c:v>1.3667425968109341</c:v>
                </c:pt>
                <c:pt idx="20">
                  <c:v>1.1845102505694762</c:v>
                </c:pt>
                <c:pt idx="21">
                  <c:v>1.3515565679574795</c:v>
                </c:pt>
                <c:pt idx="22">
                  <c:v>1.5489749430523918</c:v>
                </c:pt>
                <c:pt idx="23">
                  <c:v>1.8526955201214883</c:v>
                </c:pt>
                <c:pt idx="24">
                  <c:v>2.3401670463173883</c:v>
                </c:pt>
                <c:pt idx="25">
                  <c:v>#N/A</c:v>
                </c:pt>
                <c:pt idx="26">
                  <c:v>#N/A</c:v>
                </c:pt>
                <c:pt idx="27">
                  <c:v>#N/A</c:v>
                </c:pt>
                <c:pt idx="28">
                  <c:v>#N/A</c:v>
                </c:pt>
                <c:pt idx="29">
                  <c:v>#N/A</c:v>
                </c:pt>
                <c:pt idx="30">
                  <c:v>3</c:v>
                </c:pt>
                <c:pt idx="31">
                  <c:v>4</c:v>
                </c:pt>
                <c:pt idx="32">
                  <c:v>5</c:v>
                </c:pt>
                <c:pt idx="33">
                  <c:v>6</c:v>
                </c:pt>
                <c:pt idx="34">
                  <c:v>7</c:v>
                </c:pt>
                <c:pt idx="35">
                  <c:v>8</c:v>
                </c:pt>
                <c:pt idx="36">
                  <c:v>9</c:v>
                </c:pt>
                <c:pt idx="37">
                  <c:v>10</c:v>
                </c:pt>
                <c:pt idx="38">
                  <c:v>11</c:v>
                </c:pt>
                <c:pt idx="39">
                  <c:v>12</c:v>
                </c:pt>
                <c:pt idx="40">
                  <c:v>13</c:v>
                </c:pt>
                <c:pt idx="41">
                  <c:v>14</c:v>
                </c:pt>
                <c:pt idx="42">
                  <c:v>15</c:v>
                </c:pt>
                <c:pt idx="43">
                  <c:v>16</c:v>
                </c:pt>
                <c:pt idx="44">
                  <c:v>17</c:v>
                </c:pt>
                <c:pt idx="45">
                  <c:v>18</c:v>
                </c:pt>
                <c:pt idx="46">
                  <c:v>#N/A</c:v>
                </c:pt>
                <c:pt idx="47">
                  <c:v>#N/A</c:v>
                </c:pt>
                <c:pt idx="48">
                  <c:v>#N/A</c:v>
                </c:pt>
                <c:pt idx="49">
                  <c:v>#N/A</c:v>
                </c:pt>
                <c:pt idx="50">
                  <c:v>18.025816249050873</c:v>
                </c:pt>
                <c:pt idx="51">
                  <c:v>19.407744874715263</c:v>
                </c:pt>
                <c:pt idx="52">
                  <c:v>19.908883826879272</c:v>
                </c:pt>
                <c:pt idx="53">
                  <c:v>20.197418375094916</c:v>
                </c:pt>
                <c:pt idx="54">
                  <c:v>20.426727410782082</c:v>
                </c:pt>
                <c:pt idx="55">
                  <c:v>20.563401670463175</c:v>
                </c:pt>
                <c:pt idx="56">
                  <c:v>20.563401670463175</c:v>
                </c:pt>
                <c:pt idx="57">
                  <c:v>20.318906605922553</c:v>
                </c:pt>
                <c:pt idx="58">
                  <c:v>19.984813971146547</c:v>
                </c:pt>
                <c:pt idx="59">
                  <c:v>20.075930144267275</c:v>
                </c:pt>
                <c:pt idx="60">
                  <c:v>20.303720577069097</c:v>
                </c:pt>
                <c:pt idx="61">
                  <c:v>20.501138952164013</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numCache>
            </c:numRef>
          </c:xVal>
          <c:yVal>
            <c:numRef>
              <c:f>'Graph tools'!$R$5:$R$79</c:f>
              <c:numCache>
                <c:formatCode>General</c:formatCode>
                <c:ptCount val="75"/>
                <c:pt idx="0">
                  <c:v>#N/A</c:v>
                </c:pt>
                <c:pt idx="1">
                  <c:v>#N/A</c:v>
                </c:pt>
                <c:pt idx="2">
                  <c:v>#N/A</c:v>
                </c:pt>
                <c:pt idx="3">
                  <c:v>#N/A</c:v>
                </c:pt>
                <c:pt idx="4">
                  <c:v>#N/A</c:v>
                </c:pt>
                <c:pt idx="5">
                  <c:v>#N/A</c:v>
                </c:pt>
                <c:pt idx="6">
                  <c:v>#N/A</c:v>
                </c:pt>
                <c:pt idx="7">
                  <c:v>#N/A</c:v>
                </c:pt>
                <c:pt idx="8">
                  <c:v>#N/A</c:v>
                </c:pt>
                <c:pt idx="9">
                  <c:v>#N/A</c:v>
                </c:pt>
                <c:pt idx="10">
                  <c:v>#N/A</c:v>
                </c:pt>
                <c:pt idx="11">
                  <c:v>#N/A</c:v>
                </c:pt>
                <c:pt idx="12">
                  <c:v>#N/A</c:v>
                </c:pt>
                <c:pt idx="13">
                  <c:v>14.19</c:v>
                </c:pt>
                <c:pt idx="14">
                  <c:v>12.6</c:v>
                </c:pt>
                <c:pt idx="15">
                  <c:v>10.8</c:v>
                </c:pt>
                <c:pt idx="16">
                  <c:v>10.1</c:v>
                </c:pt>
                <c:pt idx="17">
                  <c:v>9</c:v>
                </c:pt>
                <c:pt idx="18">
                  <c:v>7.2</c:v>
                </c:pt>
                <c:pt idx="19">
                  <c:v>5.4</c:v>
                </c:pt>
                <c:pt idx="20">
                  <c:v>3.6</c:v>
                </c:pt>
                <c:pt idx="21">
                  <c:v>2.7</c:v>
                </c:pt>
                <c:pt idx="22">
                  <c:v>1.8</c:v>
                </c:pt>
                <c:pt idx="23">
                  <c:v>0.9</c:v>
                </c:pt>
                <c:pt idx="24">
                  <c:v>0</c:v>
                </c:pt>
                <c:pt idx="25">
                  <c:v>#N/A</c:v>
                </c:pt>
                <c:pt idx="26">
                  <c:v>#N/A</c:v>
                </c:pt>
                <c:pt idx="27">
                  <c:v>#N/A</c:v>
                </c:pt>
                <c:pt idx="28">
                  <c:v>#N/A</c:v>
                </c:pt>
                <c:pt idx="29">
                  <c:v>#N/A</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#N/A</c:v>
                </c:pt>
                <c:pt idx="48">
                  <c:v>#N/A</c:v>
                </c:pt>
                <c:pt idx="49">
                  <c:v>#N/A</c:v>
                </c:pt>
                <c:pt idx="50">
                  <c:v>0</c:v>
                </c:pt>
                <c:pt idx="51">
                  <c:v>0.9</c:v>
                </c:pt>
                <c:pt idx="52">
                  <c:v>1.8</c:v>
                </c:pt>
                <c:pt idx="53">
                  <c:v>2.7</c:v>
                </c:pt>
                <c:pt idx="54">
                  <c:v>3.6</c:v>
                </c:pt>
                <c:pt idx="55">
                  <c:v>5.4</c:v>
                </c:pt>
                <c:pt idx="56">
                  <c:v>7.2</c:v>
                </c:pt>
                <c:pt idx="57">
                  <c:v>9</c:v>
                </c:pt>
                <c:pt idx="58">
                  <c:v>10.1</c:v>
                </c:pt>
                <c:pt idx="59">
                  <c:v>10.8</c:v>
                </c:pt>
                <c:pt idx="60">
                  <c:v>12.6</c:v>
                </c:pt>
                <c:pt idx="61">
                  <c:v>14.19</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numCache>
            </c:numRef>
          </c:yVal>
          <c:smooth val="1"/>
        </c:ser>
        <c:dLbls>
          <c:showLegendKey val="0"/>
          <c:showVal val="0"/>
          <c:showCatName val="0"/>
          <c:showSerName val="0"/>
          <c:showPercent val="0"/>
          <c:showBubbleSize val="0"/>
        </c:dLbls>
        <c:axId val="505525760"/>
        <c:axId val="505527296"/>
      </c:scatterChart>
      <c:valAx>
        <c:axId val="505525760"/>
        <c:scaling>
          <c:orientation val="minMax"/>
        </c:scaling>
        <c:delete val="0"/>
        <c:axPos val="b"/>
        <c:majorGridlines>
          <c:spPr>
            <a:ln>
              <a:solidFill>
                <a:schemeClr val="tx2">
                  <a:lumMod val="20000"/>
                  <a:lumOff val="80000"/>
                </a:schemeClr>
              </a:solidFill>
            </a:ln>
          </c:spPr>
        </c:majorGridlines>
        <c:numFmt formatCode="General" sourceLinked="1"/>
        <c:majorTickMark val="out"/>
        <c:minorTickMark val="none"/>
        <c:tickLblPos val="nextTo"/>
        <c:crossAx val="505527296"/>
        <c:crosses val="autoZero"/>
        <c:crossBetween val="midCat"/>
        <c:majorUnit val="1"/>
      </c:valAx>
      <c:valAx>
        <c:axId val="505527296"/>
        <c:scaling>
          <c:orientation val="minMax"/>
        </c:scaling>
        <c:delete val="0"/>
        <c:axPos val="l"/>
        <c:majorGridlines>
          <c:spPr>
            <a:ln>
              <a:solidFill>
                <a:schemeClr val="bg2">
                  <a:lumMod val="90000"/>
                </a:schemeClr>
              </a:solidFill>
            </a:ln>
          </c:spPr>
        </c:majorGridlines>
        <c:numFmt formatCode="General" sourceLinked="1"/>
        <c:majorTickMark val="out"/>
        <c:minorTickMark val="none"/>
        <c:tickLblPos val="nextTo"/>
        <c:crossAx val="505525760"/>
        <c:crossesAt val="0"/>
        <c:crossBetween val="midCat"/>
      </c:valAx>
      <c:spPr>
        <a:solidFill>
          <a:schemeClr val="bg1">
            <a:lumMod val="95000"/>
          </a:schemeClr>
        </a:solidFill>
      </c:spPr>
    </c:plotArea>
    <c:legend>
      <c:legendPos val="r"/>
      <c:overlay val="0"/>
    </c:legend>
    <c:plotVisOnly val="1"/>
    <c:dispBlanksAs val="gap"/>
    <c:showDLblsOverMax val="0"/>
  </c:chart>
  <c:spPr>
    <a:solidFill>
      <a:schemeClr val="bg1">
        <a:lumMod val="95000"/>
      </a:schemeClr>
    </a:solidFill>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Stern Profile</a:t>
            </a:r>
          </a:p>
        </c:rich>
      </c:tx>
      <c:layout>
        <c:manualLayout>
          <c:xMode val="edge"/>
          <c:yMode val="edge"/>
          <c:x val="0.81405033008905636"/>
          <c:y val="0.15203617742741618"/>
        </c:manualLayout>
      </c:layout>
      <c:overlay val="0"/>
    </c:title>
    <c:autoTitleDeleted val="0"/>
    <c:plotArea>
      <c:layout>
        <c:manualLayout>
          <c:layoutTarget val="inner"/>
          <c:xMode val="edge"/>
          <c:yMode val="edge"/>
          <c:x val="4.8888888888888898E-2"/>
          <c:y val="6.0472954885625374E-2"/>
          <c:w val="0.70834421096872979"/>
          <c:h val="0.83280642755220091"/>
        </c:manualLayout>
      </c:layout>
      <c:scatterChart>
        <c:scatterStyle val="smoothMarker"/>
        <c:varyColors val="0"/>
        <c:ser>
          <c:idx val="0"/>
          <c:order val="0"/>
          <c:tx>
            <c:v>Stern Offset data</c:v>
          </c:tx>
          <c:marker>
            <c:symbol val="diamond"/>
            <c:size val="3"/>
          </c:marker>
          <c:xVal>
            <c:numRef>
              <c:f>'Graph tools'!$G$6:$G$30</c:f>
              <c:numCache>
                <c:formatCode>General</c:formatCode>
                <c:ptCount val="25"/>
                <c:pt idx="0">
                  <c:v>2.3401670463173883</c:v>
                </c:pt>
                <c:pt idx="1">
                  <c:v>1.8526955201214883</c:v>
                </c:pt>
                <c:pt idx="2">
                  <c:v>1.5489749430523918</c:v>
                </c:pt>
                <c:pt idx="3">
                  <c:v>1.3515565679574795</c:v>
                </c:pt>
                <c:pt idx="4">
                  <c:v>1.1845102505694762</c:v>
                </c:pt>
                <c:pt idx="5">
                  <c:v>1.3667425968109341</c:v>
                </c:pt>
                <c:pt idx="6">
                  <c:v>1.2452543659832955</c:v>
                </c:pt>
                <c:pt idx="7">
                  <c:v>0.46317388003037208</c:v>
                </c:pt>
                <c:pt idx="8">
                  <c:v>-0.16704631738800307</c:v>
                </c:pt>
                <c:pt idx="9">
                  <c:v>-0.59225512528473812</c:v>
                </c:pt>
                <c:pt idx="10">
                  <c:v>-0.80485952923310566</c:v>
                </c:pt>
                <c:pt idx="11">
                  <c:v>-0.85801063022019763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'Graph tools'!$B$6:$B$30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
          <c:order val="1"/>
          <c:tx>
            <c:v>Rise of Keel Data</c:v>
          </c:tx>
          <c:spPr>
            <a:ln>
              <a:noFill/>
            </a:ln>
          </c:spPr>
          <c:marker>
            <c:symbol val="diamond"/>
            <c:size val="8"/>
            <c:spPr>
              <a:ln>
                <a:noFill/>
              </a:ln>
            </c:spPr>
          </c:marker>
          <c:xVal>
            <c:numRef>
              <c:f>'Graph tools'!$J$33:$J$47</c:f>
              <c:numCache>
                <c:formatCode>General</c:formatCode>
                <c:ptCount val="15"/>
                <c:pt idx="0">
                  <c:v>0</c:v>
                </c:pt>
                <c:pt idx="1">
                  <c:v>0.5</c:v>
                </c:pt>
                <c:pt idx="2">
                  <c:v>1</c:v>
                </c:pt>
                <c:pt idx="3">
                  <c:v>1.5</c:v>
                </c:pt>
                <c:pt idx="4">
                  <c:v>2</c:v>
                </c:pt>
                <c:pt idx="5">
                  <c:v>#N/A</c:v>
                </c:pt>
                <c:pt idx="6">
                  <c:v>#N/A</c:v>
                </c:pt>
                <c:pt idx="7">
                  <c:v>#N/A</c:v>
                </c:pt>
                <c:pt idx="8">
                  <c:v>#N/A</c:v>
                </c:pt>
                <c:pt idx="9">
                  <c:v>#N/A</c:v>
                </c:pt>
                <c:pt idx="10">
                  <c:v>#N/A</c:v>
                </c:pt>
                <c:pt idx="11">
                  <c:v>#N/A</c:v>
                </c:pt>
                <c:pt idx="12">
                  <c:v>#N/A</c:v>
                </c:pt>
                <c:pt idx="13">
                  <c:v>#N/A</c:v>
                </c:pt>
                <c:pt idx="14">
                  <c:v>#N/A</c:v>
                </c:pt>
              </c:numCache>
            </c:numRef>
          </c:xVal>
          <c:yVal>
            <c:numRef>
              <c:f>'Graph tools'!$K$33:$K$48</c:f>
              <c:numCache>
                <c:formatCode>General</c:formatCode>
                <c:ptCount val="16"/>
                <c:pt idx="0">
                  <c:v>9.9</c:v>
                </c:pt>
                <c:pt idx="1">
                  <c:v>8.9</c:v>
                </c:pt>
                <c:pt idx="2">
                  <c:v>7.8</c:v>
                </c:pt>
                <c:pt idx="3">
                  <c:v>1.95</c:v>
                </c:pt>
                <c:pt idx="4">
                  <c:v>0.56999999999999995</c:v>
                </c:pt>
                <c:pt idx="5">
                  <c:v>#N/A</c:v>
                </c:pt>
                <c:pt idx="6">
                  <c:v>#N/A</c:v>
                </c:pt>
                <c:pt idx="7">
                  <c:v>#N/A</c:v>
                </c:pt>
                <c:pt idx="8">
                  <c:v>#N/A</c:v>
                </c:pt>
                <c:pt idx="9">
                  <c:v>#N/A</c:v>
                </c:pt>
                <c:pt idx="10">
                  <c:v>#N/A</c:v>
                </c:pt>
                <c:pt idx="11">
                  <c:v>#N/A</c:v>
                </c:pt>
                <c:pt idx="12">
                  <c:v>#N/A</c:v>
                </c:pt>
                <c:pt idx="13">
                  <c:v>#N/A</c:v>
                </c:pt>
                <c:pt idx="14">
                  <c:v>#N/A</c:v>
                </c:pt>
              </c:numCache>
            </c:numRef>
          </c:yVal>
          <c:smooth val="1"/>
        </c:ser>
        <c:dLbls>
          <c:showLegendKey val="0"/>
          <c:showVal val="0"/>
          <c:showCatName val="0"/>
          <c:showSerName val="0"/>
          <c:showPercent val="0"/>
          <c:showBubbleSize val="0"/>
        </c:dLbls>
        <c:axId val="488394752"/>
        <c:axId val="488396672"/>
      </c:scatterChart>
      <c:valAx>
        <c:axId val="488394752"/>
        <c:scaling>
          <c:orientation val="minMax"/>
        </c:scaling>
        <c:delete val="0"/>
        <c:axPos val="b"/>
        <c:majorGridlines>
          <c:spPr>
            <a:ln>
              <a:solidFill>
                <a:schemeClr val="tx2">
                  <a:lumMod val="40000"/>
                  <a:lumOff val="60000"/>
                </a:schemeClr>
              </a:solidFill>
            </a:ln>
          </c:spPr>
        </c:majorGridlines>
        <c:minorGridlines>
          <c:spPr>
            <a:ln>
              <a:solidFill>
                <a:schemeClr val="tx2">
                  <a:lumMod val="20000"/>
                  <a:lumOff val="80000"/>
                </a:schemeClr>
              </a:solidFill>
            </a:ln>
          </c:spPr>
        </c:minorGridlines>
        <c:numFmt formatCode="General" sourceLinked="1"/>
        <c:majorTickMark val="out"/>
        <c:minorTickMark val="none"/>
        <c:tickLblPos val="nextTo"/>
        <c:crossAx val="488396672"/>
        <c:crosses val="autoZero"/>
        <c:crossBetween val="midCat"/>
        <c:majorUnit val="1"/>
        <c:minorUnit val="0.5"/>
      </c:valAx>
      <c:valAx>
        <c:axId val="488396672"/>
        <c:scaling>
          <c:orientation val="minMax"/>
        </c:scaling>
        <c:delete val="0"/>
        <c:axPos val="l"/>
        <c:majorGridlines>
          <c:spPr>
            <a:ln>
              <a:solidFill>
                <a:schemeClr val="bg2">
                  <a:lumMod val="90000"/>
                </a:schemeClr>
              </a:solidFill>
            </a:ln>
          </c:spPr>
        </c:majorGridlines>
        <c:numFmt formatCode="General" sourceLinked="1"/>
        <c:majorTickMark val="out"/>
        <c:minorTickMark val="none"/>
        <c:tickLblPos val="nextTo"/>
        <c:crossAx val="488394752"/>
        <c:crosses val="autoZero"/>
        <c:crossBetween val="midCat"/>
      </c:valAx>
      <c:spPr>
        <a:solidFill>
          <a:schemeClr val="bg1">
            <a:lumMod val="95000"/>
          </a:schemeClr>
        </a:solidFill>
      </c:spPr>
    </c:plotArea>
    <c:legend>
      <c:legendPos val="r"/>
      <c:overlay val="0"/>
      <c:txPr>
        <a:bodyPr/>
        <a:lstStyle/>
        <a:p>
          <a:pPr>
            <a:defRPr sz="1200"/>
          </a:pPr>
          <a:endParaRPr lang="en-US"/>
        </a:p>
      </c:txPr>
    </c:legend>
    <c:plotVisOnly val="1"/>
    <c:dispBlanksAs val="gap"/>
    <c:showDLblsOverMax val="0"/>
  </c:chart>
  <c:spPr>
    <a:solidFill>
      <a:schemeClr val="bg1">
        <a:lumMod val="95000"/>
      </a:schemeClr>
    </a:solidFill>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Stem Profile</a:t>
            </a:r>
          </a:p>
        </c:rich>
      </c:tx>
      <c:layout>
        <c:manualLayout>
          <c:xMode val="edge"/>
          <c:yMode val="edge"/>
          <c:x val="0.82360167924394678"/>
          <c:y val="0.15697572579642668"/>
        </c:manualLayout>
      </c:layout>
      <c:overlay val="0"/>
    </c:title>
    <c:autoTitleDeleted val="0"/>
    <c:plotArea>
      <c:layout>
        <c:manualLayout>
          <c:layoutTarget val="inner"/>
          <c:xMode val="edge"/>
          <c:yMode val="edge"/>
          <c:x val="4.8888888888888898E-2"/>
          <c:y val="6.0542129530224087E-2"/>
          <c:w val="0.68404102568670755"/>
          <c:h val="0.83273733175874964"/>
        </c:manualLayout>
      </c:layout>
      <c:scatterChart>
        <c:scatterStyle val="smoothMarker"/>
        <c:varyColors val="0"/>
        <c:ser>
          <c:idx val="1"/>
          <c:order val="0"/>
          <c:tx>
            <c:v>Rise of Keel Data</c:v>
          </c:tx>
          <c:spPr>
            <a:ln w="3175"/>
          </c:spPr>
          <c:marker>
            <c:symbol val="diamond"/>
            <c:size val="7"/>
            <c:spPr>
              <a:ln w="3175"/>
            </c:spPr>
          </c:marker>
          <c:xVal>
            <c:numRef>
              <c:f>'Graph tools'!$F$33:$F$47</c:f>
              <c:numCache>
                <c:formatCode>General</c:formatCode>
                <c:ptCount val="15"/>
                <c:pt idx="0">
                  <c:v>20</c:v>
                </c:pt>
                <c:pt idx="1">
                  <c:v>19.5</c:v>
                </c:pt>
                <c:pt idx="2">
                  <c:v>19</c:v>
                </c:pt>
                <c:pt idx="3">
                  <c:v>18.5</c:v>
                </c:pt>
                <c:pt idx="4">
                  <c:v>#N/A</c:v>
                </c:pt>
                <c:pt idx="5">
                  <c:v>#N/A</c:v>
                </c:pt>
                <c:pt idx="6">
                  <c:v>#N/A</c:v>
                </c:pt>
                <c:pt idx="7">
                  <c:v>#N/A</c:v>
                </c:pt>
                <c:pt idx="8">
                  <c:v>#N/A</c:v>
                </c:pt>
                <c:pt idx="9">
                  <c:v>#N/A</c:v>
                </c:pt>
                <c:pt idx="10">
                  <c:v>#N/A</c:v>
                </c:pt>
                <c:pt idx="11">
                  <c:v>#N/A</c:v>
                </c:pt>
                <c:pt idx="12">
                  <c:v>#N/A</c:v>
                </c:pt>
                <c:pt idx="13">
                  <c:v>#N/A</c:v>
                </c:pt>
                <c:pt idx="14">
                  <c:v>#N/A</c:v>
                </c:pt>
              </c:numCache>
            </c:numRef>
          </c:xVal>
          <c:yVal>
            <c:numRef>
              <c:f>'Graph tools'!$G$33:$G$47</c:f>
              <c:numCache>
                <c:formatCode>General</c:formatCode>
                <c:ptCount val="15"/>
                <c:pt idx="0">
                  <c:v>2</c:v>
                </c:pt>
                <c:pt idx="1">
                  <c:v>1</c:v>
                </c:pt>
                <c:pt idx="2">
                  <c:v>0.66</c:v>
                </c:pt>
                <c:pt idx="3">
                  <c:v>0.32</c:v>
                </c:pt>
                <c:pt idx="4">
                  <c:v>#N/A</c:v>
                </c:pt>
                <c:pt idx="5">
                  <c:v>#N/A</c:v>
                </c:pt>
                <c:pt idx="6">
                  <c:v>#N/A</c:v>
                </c:pt>
                <c:pt idx="7">
                  <c:v>#N/A</c:v>
                </c:pt>
                <c:pt idx="8">
                  <c:v>#N/A</c:v>
                </c:pt>
                <c:pt idx="9">
                  <c:v>#N/A</c:v>
                </c:pt>
                <c:pt idx="10">
                  <c:v>#N/A</c:v>
                </c:pt>
                <c:pt idx="11">
                  <c:v>#N/A</c:v>
                </c:pt>
                <c:pt idx="12">
                  <c:v>#N/A</c:v>
                </c:pt>
                <c:pt idx="13">
                  <c:v>#N/A</c:v>
                </c:pt>
                <c:pt idx="14">
                  <c:v>#N/A</c:v>
                </c:pt>
              </c:numCache>
            </c:numRef>
          </c:yVal>
          <c:smooth val="1"/>
        </c:ser>
        <c:ser>
          <c:idx val="2"/>
          <c:order val="1"/>
          <c:tx>
            <c:v>Stem Offset Data</c:v>
          </c:tx>
          <c:spPr>
            <a:ln>
              <a:solidFill>
                <a:schemeClr val="accent1">
                  <a:lumMod val="75000"/>
                </a:schemeClr>
              </a:solidFill>
            </a:ln>
          </c:spPr>
          <c:marker>
            <c:symbol val="diamond"/>
            <c:size val="4"/>
            <c:spPr>
              <a:solidFill>
                <a:schemeClr val="accent1"/>
              </a:solidFill>
              <a:ln>
                <a:solidFill>
                  <a:schemeClr val="accent1"/>
                </a:solidFill>
              </a:ln>
            </c:spPr>
          </c:marker>
          <c:xVal>
            <c:numRef>
              <c:f>'Graph tools'!$E$6:$E$30</c:f>
              <c:numCache>
                <c:formatCode>General</c:formatCode>
                <c:ptCount val="25"/>
                <c:pt idx="0">
                  <c:v>18.025816249050873</c:v>
                </c:pt>
                <c:pt idx="1">
                  <c:v>19.407744874715263</c:v>
                </c:pt>
                <c:pt idx="2">
                  <c:v>19.908883826879272</c:v>
                </c:pt>
                <c:pt idx="3">
                  <c:v>20.197418375094916</c:v>
                </c:pt>
                <c:pt idx="4">
                  <c:v>20.426727410782082</c:v>
                </c:pt>
                <c:pt idx="5">
                  <c:v>20.563401670463175</c:v>
                </c:pt>
                <c:pt idx="6">
                  <c:v>20.563401670463175</c:v>
                </c:pt>
                <c:pt idx="7">
                  <c:v>20.318906605922553</c:v>
                </c:pt>
                <c:pt idx="8">
                  <c:v>19.984813971146547</c:v>
                </c:pt>
                <c:pt idx="9">
                  <c:v>20.075930144267275</c:v>
                </c:pt>
                <c:pt idx="10">
                  <c:v>20.303720577069097</c:v>
                </c:pt>
                <c:pt idx="11">
                  <c:v>20.501138952164013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'Graph tools'!$B$6:$B$30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dLbls>
          <c:showLegendKey val="0"/>
          <c:showVal val="0"/>
          <c:showCatName val="0"/>
          <c:showSerName val="0"/>
          <c:showPercent val="0"/>
          <c:showBubbleSize val="0"/>
        </c:dLbls>
        <c:axId val="506335616"/>
        <c:axId val="506337536"/>
      </c:scatterChart>
      <c:valAx>
        <c:axId val="506335616"/>
        <c:scaling>
          <c:orientation val="minMax"/>
        </c:scaling>
        <c:delete val="0"/>
        <c:axPos val="b"/>
        <c:majorGridlines>
          <c:spPr>
            <a:ln>
              <a:solidFill>
                <a:schemeClr val="tx2">
                  <a:lumMod val="40000"/>
                  <a:lumOff val="60000"/>
                </a:schemeClr>
              </a:solidFill>
            </a:ln>
          </c:spPr>
        </c:majorGridlines>
        <c:minorGridlines>
          <c:spPr>
            <a:ln>
              <a:solidFill>
                <a:schemeClr val="tx2">
                  <a:lumMod val="20000"/>
                  <a:lumOff val="80000"/>
                </a:schemeClr>
              </a:solidFill>
            </a:ln>
          </c:spPr>
        </c:minorGridlines>
        <c:numFmt formatCode="General" sourceLinked="1"/>
        <c:majorTickMark val="out"/>
        <c:minorTickMark val="none"/>
        <c:tickLblPos val="nextTo"/>
        <c:crossAx val="506337536"/>
        <c:crosses val="autoZero"/>
        <c:crossBetween val="midCat"/>
        <c:majorUnit val="1"/>
        <c:minorUnit val="0.5"/>
      </c:valAx>
      <c:valAx>
        <c:axId val="506337536"/>
        <c:scaling>
          <c:orientation val="minMax"/>
        </c:scaling>
        <c:delete val="0"/>
        <c:axPos val="r"/>
        <c:majorGridlines>
          <c:spPr>
            <a:ln>
              <a:solidFill>
                <a:schemeClr val="accent3">
                  <a:lumMod val="40000"/>
                  <a:lumOff val="60000"/>
                </a:schemeClr>
              </a:solidFill>
            </a:ln>
          </c:spPr>
        </c:majorGridlines>
        <c:numFmt formatCode="General" sourceLinked="1"/>
        <c:majorTickMark val="out"/>
        <c:minorTickMark val="none"/>
        <c:tickLblPos val="nextTo"/>
        <c:crossAx val="506335616"/>
        <c:crosses val="max"/>
        <c:crossBetween val="midCat"/>
      </c:valAx>
      <c:spPr>
        <a:solidFill>
          <a:schemeClr val="bg1">
            <a:lumMod val="95000"/>
          </a:schemeClr>
        </a:solidFill>
      </c:spPr>
    </c:plotArea>
    <c:legend>
      <c:legendPos val="r"/>
      <c:layout>
        <c:manualLayout>
          <c:xMode val="edge"/>
          <c:yMode val="edge"/>
          <c:x val="0.78267223155394638"/>
          <c:y val="0.46320375978935235"/>
          <c:w val="0.20672170868355136"/>
          <c:h val="0.19009071749030954"/>
        </c:manualLayout>
      </c:layout>
      <c:overlay val="0"/>
      <c:txPr>
        <a:bodyPr/>
        <a:lstStyle/>
        <a:p>
          <a:pPr>
            <a:defRPr sz="1200"/>
          </a:pPr>
          <a:endParaRPr lang="en-US"/>
        </a:p>
      </c:txPr>
    </c:legend>
    <c:plotVisOnly val="1"/>
    <c:dispBlanksAs val="gap"/>
    <c:showDLblsOverMax val="0"/>
  </c:chart>
  <c:spPr>
    <a:solidFill>
      <a:schemeClr val="bg1">
        <a:lumMod val="95000"/>
      </a:schemeClr>
    </a:solidFill>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565463865013437E-2"/>
          <c:y val="4.8409162862424297E-2"/>
          <c:w val="0.82111491280458926"/>
          <c:h val="0.86951254634026776"/>
        </c:manualLayout>
      </c:layout>
      <c:scatterChart>
        <c:scatterStyle val="smoothMarker"/>
        <c:varyColors val="0"/>
        <c:ser>
          <c:idx val="0"/>
          <c:order val="0"/>
          <c:tx>
            <c:strRef>
              <c:f>Tools!$DC$62</c:f>
              <c:strCache>
                <c:ptCount val="1"/>
                <c:pt idx="0">
                  <c:v>STN 0</c:v>
                </c:pt>
              </c:strCache>
            </c:strRef>
          </c:tx>
          <c:spPr>
            <a:ln w="3175"/>
          </c:spPr>
          <c:marker>
            <c:symbol val="none"/>
          </c:marker>
          <c:xVal>
            <c:numRef>
              <c:f>Tools!$DJ$98:$EI$98</c:f>
              <c:numCache>
                <c:formatCode>General</c:formatCode>
                <c:ptCount val="26"/>
                <c:pt idx="0">
                  <c:v>0</c:v>
                </c:pt>
                <c:pt idx="1">
                  <c:v>#N/A</c:v>
                </c:pt>
                <c:pt idx="2">
                  <c:v>#N/A</c:v>
                </c:pt>
                <c:pt idx="3">
                  <c:v>#N/A</c:v>
                </c:pt>
                <c:pt idx="4">
                  <c:v>#N/A</c:v>
                </c:pt>
                <c:pt idx="5">
                  <c:v>#N/A</c:v>
                </c:pt>
                <c:pt idx="6">
                  <c:v>#N/A</c:v>
                </c:pt>
                <c:pt idx="7">
                  <c:v>#N/A</c:v>
                </c:pt>
                <c:pt idx="8">
                  <c:v>#N/A</c:v>
                </c:pt>
                <c:pt idx="9">
                  <c:v>-2.8919999999999999</c:v>
                </c:pt>
                <c:pt idx="10">
                  <c:v>-6.2</c:v>
                </c:pt>
                <c:pt idx="11">
                  <c:v>-9.6</c:v>
                </c:pt>
                <c:pt idx="12">
                  <c:v>-10.89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Tools!$EL$98:$FK$98</c:f>
              <c:numCache>
                <c:formatCode>General</c:formatCode>
                <c:ptCount val="26"/>
                <c:pt idx="0">
                  <c:v>9.9</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
          <c:order val="1"/>
          <c:tx>
            <c:strRef>
              <c:f>Tools!$DC$63</c:f>
              <c:strCache>
                <c:ptCount val="1"/>
                <c:pt idx="0">
                  <c:v>STN 0.5</c:v>
                </c:pt>
              </c:strCache>
            </c:strRef>
          </c:tx>
          <c:spPr>
            <a:ln w="3175"/>
          </c:spPr>
          <c:marker>
            <c:symbol val="none"/>
          </c:marker>
          <c:xVal>
            <c:numRef>
              <c:f>Tools!$DJ$99:$EI$99</c:f>
              <c:numCache>
                <c:formatCode>General</c:formatCode>
                <c:ptCount val="26"/>
                <c:pt idx="0">
                  <c:v>0</c:v>
                </c:pt>
                <c:pt idx="1">
                  <c:v>#N/A</c:v>
                </c:pt>
                <c:pt idx="2">
                  <c:v>#N/A</c:v>
                </c:pt>
                <c:pt idx="3">
                  <c:v>#N/A</c:v>
                </c:pt>
                <c:pt idx="4">
                  <c:v>#N/A</c:v>
                </c:pt>
                <c:pt idx="5">
                  <c:v>#N/A</c:v>
                </c:pt>
                <c:pt idx="6">
                  <c:v>#N/A</c:v>
                </c:pt>
                <c:pt idx="7">
                  <c:v>#N/A</c:v>
                </c:pt>
                <c:pt idx="8">
                  <c:v>-1.2</c:v>
                </c:pt>
                <c:pt idx="9">
                  <c:v>-6.8</c:v>
                </c:pt>
                <c:pt idx="10">
                  <c:v>-8.4600000000000009</c:v>
                </c:pt>
                <c:pt idx="11">
                  <c:v>-10.63</c:v>
                </c:pt>
                <c:pt idx="12">
                  <c:v>-11.52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Tools!$EL$99:$FK$99</c:f>
              <c:numCache>
                <c:formatCode>General</c:formatCode>
                <c:ptCount val="26"/>
                <c:pt idx="0">
                  <c:v>8.9</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
          <c:order val="2"/>
          <c:tx>
            <c:strRef>
              <c:f>Tools!$DC$64</c:f>
              <c:strCache>
                <c:ptCount val="1"/>
                <c:pt idx="0">
                  <c:v>STN 1</c:v>
                </c:pt>
              </c:strCache>
            </c:strRef>
          </c:tx>
          <c:spPr>
            <a:ln w="3175"/>
          </c:spPr>
          <c:marker>
            <c:symbol val="none"/>
          </c:marker>
          <c:xVal>
            <c:numRef>
              <c:f>Tools!$DJ$100:$EI$100</c:f>
              <c:numCache>
                <c:formatCode>General</c:formatCode>
                <c:ptCount val="26"/>
                <c:pt idx="0">
                  <c:v>0</c:v>
                </c:pt>
                <c:pt idx="1">
                  <c:v>#N/A</c:v>
                </c:pt>
                <c:pt idx="2">
                  <c:v>#N/A</c:v>
                </c:pt>
                <c:pt idx="3">
                  <c:v>#N/A</c:v>
                </c:pt>
                <c:pt idx="4">
                  <c:v>#N/A</c:v>
                </c:pt>
                <c:pt idx="5">
                  <c:v>#N/A</c:v>
                </c:pt>
                <c:pt idx="6">
                  <c:v>#N/A</c:v>
                </c:pt>
                <c:pt idx="7">
                  <c:v>#N/A</c:v>
                </c:pt>
                <c:pt idx="8">
                  <c:v>-6.12</c:v>
                </c:pt>
                <c:pt idx="9">
                  <c:v>-8.8000000000000007</c:v>
                </c:pt>
                <c:pt idx="10">
                  <c:v>-9.84</c:v>
                </c:pt>
                <c:pt idx="11">
                  <c:v>-11.33</c:v>
                </c:pt>
                <c:pt idx="12">
                  <c:v>-11.9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Tools!$EL$100:$FK$100</c:f>
              <c:numCache>
                <c:formatCode>General</c:formatCode>
                <c:ptCount val="26"/>
                <c:pt idx="0">
                  <c:v>7.8</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3"/>
          <c:order val="3"/>
          <c:tx>
            <c:strRef>
              <c:f>Tools!$DC$65</c:f>
              <c:strCache>
                <c:ptCount val="1"/>
                <c:pt idx="0">
                  <c:v>STN 1.5</c:v>
                </c:pt>
              </c:strCache>
            </c:strRef>
          </c:tx>
          <c:spPr>
            <a:ln w="3175"/>
          </c:spPr>
          <c:marker>
            <c:symbol val="none"/>
          </c:marker>
          <c:xVal>
            <c:numRef>
              <c:f>Tools!$DJ$101:$EI$101</c:f>
              <c:numCache>
                <c:formatCode>General</c:formatCode>
                <c:ptCount val="26"/>
                <c:pt idx="0">
                  <c:v>0</c:v>
                </c:pt>
                <c:pt idx="1">
                  <c:v>#N/A</c:v>
                </c:pt>
                <c:pt idx="2">
                  <c:v>#N/A</c:v>
                </c:pt>
                <c:pt idx="3">
                  <c:v>#N/A</c:v>
                </c:pt>
                <c:pt idx="4">
                  <c:v>-0.4</c:v>
                </c:pt>
                <c:pt idx="5">
                  <c:v>-0.7</c:v>
                </c:pt>
                <c:pt idx="6">
                  <c:v>-1.2</c:v>
                </c:pt>
                <c:pt idx="7">
                  <c:v>-2.4</c:v>
                </c:pt>
                <c:pt idx="8">
                  <c:v>-8.5500000000000007</c:v>
                </c:pt>
                <c:pt idx="9">
                  <c:v>-10.14</c:v>
                </c:pt>
                <c:pt idx="10">
                  <c:v>-10.78</c:v>
                </c:pt>
                <c:pt idx="11">
                  <c:v>-11.77</c:v>
                </c:pt>
                <c:pt idx="12">
                  <c:v>-12.1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Tools!$EL$101:$FK$101</c:f>
              <c:numCache>
                <c:formatCode>General</c:formatCode>
                <c:ptCount val="26"/>
                <c:pt idx="0">
                  <c:v>1.95</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4"/>
          <c:order val="4"/>
          <c:tx>
            <c:strRef>
              <c:f>Tools!$DC$66</c:f>
              <c:strCache>
                <c:ptCount val="1"/>
                <c:pt idx="0">
                  <c:v>STN 2</c:v>
                </c:pt>
              </c:strCache>
            </c:strRef>
          </c:tx>
          <c:spPr>
            <a:ln w="3175"/>
          </c:spPr>
          <c:marker>
            <c:symbol val="none"/>
          </c:marker>
          <c:xVal>
            <c:numRef>
              <c:f>Tools!$DJ$102:$EI$102</c:f>
              <c:numCache>
                <c:formatCode>General</c:formatCode>
                <c:ptCount val="26"/>
                <c:pt idx="0">
                  <c:v>0</c:v>
                </c:pt>
                <c:pt idx="1">
                  <c:v>#N/A</c:v>
                </c:pt>
                <c:pt idx="2">
                  <c:v>-0.4</c:v>
                </c:pt>
                <c:pt idx="3">
                  <c:v>-1.04</c:v>
                </c:pt>
                <c:pt idx="4">
                  <c:v>-1.5</c:v>
                </c:pt>
                <c:pt idx="5">
                  <c:v>-1.7</c:v>
                </c:pt>
                <c:pt idx="6">
                  <c:v>-2.7</c:v>
                </c:pt>
                <c:pt idx="7">
                  <c:v>-5.5</c:v>
                </c:pt>
                <c:pt idx="8">
                  <c:v>-9.9</c:v>
                </c:pt>
                <c:pt idx="9">
                  <c:v>-10.9</c:v>
                </c:pt>
                <c:pt idx="10">
                  <c:v>-11.34</c:v>
                </c:pt>
                <c:pt idx="11">
                  <c:v>-12</c:v>
                </c:pt>
                <c:pt idx="12">
                  <c:v>-12.2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Tools!$EL$102:$FK$102</c:f>
              <c:numCache>
                <c:formatCode>General</c:formatCode>
                <c:ptCount val="26"/>
                <c:pt idx="0">
                  <c:v>0.56999999999999995</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5"/>
          <c:order val="5"/>
          <c:tx>
            <c:strRef>
              <c:f>Tools!$DC$67</c:f>
              <c:strCache>
                <c:ptCount val="1"/>
                <c:pt idx="0">
                  <c:v>STN 3</c:v>
                </c:pt>
              </c:strCache>
            </c:strRef>
          </c:tx>
          <c:spPr>
            <a:ln w="3175"/>
          </c:spPr>
          <c:marker>
            <c:symbol val="none"/>
          </c:marker>
          <c:xVal>
            <c:numRef>
              <c:f>Tools!$DJ$103:$EI$103</c:f>
              <c:numCache>
                <c:formatCode>General</c:formatCode>
                <c:ptCount val="26"/>
                <c:pt idx="0">
                  <c:v>#N/A</c:v>
                </c:pt>
                <c:pt idx="1">
                  <c:v>-0.3</c:v>
                </c:pt>
                <c:pt idx="2">
                  <c:v>-1.67</c:v>
                </c:pt>
                <c:pt idx="3">
                  <c:v>-2.2999999999999998</c:v>
                </c:pt>
                <c:pt idx="4">
                  <c:v>-2.7</c:v>
                </c:pt>
                <c:pt idx="5">
                  <c:v>-3.1</c:v>
                </c:pt>
                <c:pt idx="6">
                  <c:v>-5.7</c:v>
                </c:pt>
                <c:pt idx="7">
                  <c:v>-9.6999999999999993</c:v>
                </c:pt>
                <c:pt idx="8">
                  <c:v>-11.23</c:v>
                </c:pt>
                <c:pt idx="9">
                  <c:v>-11.7</c:v>
                </c:pt>
                <c:pt idx="10">
                  <c:v>-11.93</c:v>
                </c:pt>
                <c:pt idx="11">
                  <c:v>-12.21</c:v>
                </c:pt>
                <c:pt idx="12">
                  <c:v>-12.23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Tools!$EL$103:$FK$103</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6"/>
          <c:order val="6"/>
          <c:tx>
            <c:strRef>
              <c:f>Tools!$DC$68</c:f>
              <c:strCache>
                <c:ptCount val="1"/>
                <c:pt idx="0">
                  <c:v>STN 4</c:v>
                </c:pt>
              </c:strCache>
            </c:strRef>
          </c:tx>
          <c:spPr>
            <a:ln w="3175"/>
          </c:spPr>
          <c:marker>
            <c:symbol val="none"/>
          </c:marker>
          <c:xVal>
            <c:numRef>
              <c:f>Tools!$DJ$104:$EI$104</c:f>
              <c:numCache>
                <c:formatCode>General</c:formatCode>
                <c:ptCount val="26"/>
                <c:pt idx="0">
                  <c:v>#N/A</c:v>
                </c:pt>
                <c:pt idx="1">
                  <c:v>-1</c:v>
                </c:pt>
                <c:pt idx="2">
                  <c:v>-3.17</c:v>
                </c:pt>
                <c:pt idx="3">
                  <c:v>-4.08</c:v>
                </c:pt>
                <c:pt idx="4">
                  <c:v>-4.8</c:v>
                </c:pt>
                <c:pt idx="5">
                  <c:v>-5.8</c:v>
                </c:pt>
                <c:pt idx="6">
                  <c:v>-9.1999999999999993</c:v>
                </c:pt>
                <c:pt idx="7">
                  <c:v>-11.17</c:v>
                </c:pt>
                <c:pt idx="8">
                  <c:v>-11.91</c:v>
                </c:pt>
                <c:pt idx="9">
                  <c:v>-12.14</c:v>
                </c:pt>
                <c:pt idx="10">
                  <c:v>-12.2</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Tools!$EL$104:$FK$104</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7"/>
          <c:order val="7"/>
          <c:tx>
            <c:strRef>
              <c:f>Tools!$DC$69</c:f>
              <c:strCache>
                <c:ptCount val="1"/>
                <c:pt idx="0">
                  <c:v>STN 5</c:v>
                </c:pt>
              </c:strCache>
            </c:strRef>
          </c:tx>
          <c:spPr>
            <a:ln w="3175"/>
          </c:spPr>
          <c:marker>
            <c:symbol val="none"/>
          </c:marker>
          <c:xVal>
            <c:numRef>
              <c:f>Tools!$DJ$105:$EI$105</c:f>
              <c:numCache>
                <c:formatCode>General</c:formatCode>
                <c:ptCount val="26"/>
                <c:pt idx="0">
                  <c:v>#N/A</c:v>
                </c:pt>
                <c:pt idx="1">
                  <c:v>-1.62</c:v>
                </c:pt>
                <c:pt idx="2">
                  <c:v>-4.8099999999999996</c:v>
                </c:pt>
                <c:pt idx="3">
                  <c:v>-6.09</c:v>
                </c:pt>
                <c:pt idx="4">
                  <c:v>-7.37</c:v>
                </c:pt>
                <c:pt idx="5">
                  <c:v>-9.0299999999999994</c:v>
                </c:pt>
                <c:pt idx="6">
                  <c:v>-11.15</c:v>
                </c:pt>
                <c:pt idx="7">
                  <c:v>-11.95</c:v>
                </c:pt>
                <c:pt idx="8">
                  <c:v>-12.22</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Tools!$EL$105:$FK$105</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8"/>
          <c:order val="8"/>
          <c:tx>
            <c:strRef>
              <c:f>Tools!$DC$70</c:f>
              <c:strCache>
                <c:ptCount val="1"/>
                <c:pt idx="0">
                  <c:v>STN 6</c:v>
                </c:pt>
              </c:strCache>
            </c:strRef>
          </c:tx>
          <c:spPr>
            <a:ln w="3175"/>
          </c:spPr>
          <c:marker>
            <c:symbol val="none"/>
          </c:marker>
          <c:xVal>
            <c:numRef>
              <c:f>Tools!$DJ$106:$EI$106</c:f>
              <c:numCache>
                <c:formatCode>General</c:formatCode>
                <c:ptCount val="26"/>
                <c:pt idx="0">
                  <c:v>#N/A</c:v>
                </c:pt>
                <c:pt idx="1">
                  <c:v>-2.2000000000000002</c:v>
                </c:pt>
                <c:pt idx="2">
                  <c:v>-6.59</c:v>
                </c:pt>
                <c:pt idx="3">
                  <c:v>-8.34</c:v>
                </c:pt>
                <c:pt idx="4">
                  <c:v>-9.82</c:v>
                </c:pt>
                <c:pt idx="5">
                  <c:v>-10.92</c:v>
                </c:pt>
                <c:pt idx="6">
                  <c:v>-11.97</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Tools!$EL$106:$FK$106</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9"/>
          <c:order val="9"/>
          <c:tx>
            <c:strRef>
              <c:f>Tools!$DC$71</c:f>
              <c:strCache>
                <c:ptCount val="1"/>
                <c:pt idx="0">
                  <c:v>STN 7</c:v>
                </c:pt>
              </c:strCache>
            </c:strRef>
          </c:tx>
          <c:spPr>
            <a:ln w="3175"/>
          </c:spPr>
          <c:marker>
            <c:symbol val="none"/>
          </c:marker>
          <c:xVal>
            <c:numRef>
              <c:f>Tools!$DJ$107:$EI$107</c:f>
              <c:numCache>
                <c:formatCode>General</c:formatCode>
                <c:ptCount val="26"/>
                <c:pt idx="0">
                  <c:v>#N/A</c:v>
                </c:pt>
                <c:pt idx="1">
                  <c:v>-3.71</c:v>
                </c:pt>
                <c:pt idx="2">
                  <c:v>-8.58</c:v>
                </c:pt>
                <c:pt idx="3">
                  <c:v>-10.26</c:v>
                </c:pt>
                <c:pt idx="4">
                  <c:v>-11.25</c:v>
                </c:pt>
                <c:pt idx="5">
                  <c:v>-11.86</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Tools!$EL$107:$FK$107</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0"/>
          <c:order val="10"/>
          <c:tx>
            <c:strRef>
              <c:f>Tools!$DC$72</c:f>
              <c:strCache>
                <c:ptCount val="1"/>
                <c:pt idx="0">
                  <c:v>STN 8</c:v>
                </c:pt>
              </c:strCache>
            </c:strRef>
          </c:tx>
          <c:spPr>
            <a:ln w="3175">
              <a:solidFill>
                <a:schemeClr val="accent2">
                  <a:lumMod val="75000"/>
                </a:schemeClr>
              </a:solidFill>
            </a:ln>
          </c:spPr>
          <c:marker>
            <c:symbol val="none"/>
          </c:marker>
          <c:xVal>
            <c:numRef>
              <c:f>Tools!$DJ$108:$EI$108</c:f>
              <c:numCache>
                <c:formatCode>General</c:formatCode>
                <c:ptCount val="26"/>
                <c:pt idx="0">
                  <c:v>#N/A</c:v>
                </c:pt>
                <c:pt idx="1">
                  <c:v>-5.9</c:v>
                </c:pt>
                <c:pt idx="2">
                  <c:v>-10.16</c:v>
                </c:pt>
                <c:pt idx="3">
                  <c:v>-11.35</c:v>
                </c:pt>
                <c:pt idx="4">
                  <c:v>-11.9</c:v>
                </c:pt>
                <c:pt idx="5">
                  <c:v>-12.18</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Tools!$EL$108:$FK$108</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1"/>
          <c:order val="11"/>
          <c:tx>
            <c:strRef>
              <c:f>Tools!$DC$73</c:f>
              <c:strCache>
                <c:ptCount val="1"/>
                <c:pt idx="0">
                  <c:v>STN 9</c:v>
                </c:pt>
              </c:strCache>
            </c:strRef>
          </c:tx>
          <c:spPr>
            <a:ln w="3175"/>
          </c:spPr>
          <c:marker>
            <c:symbol val="none"/>
          </c:marker>
          <c:xVal>
            <c:numRef>
              <c:f>Tools!$DJ$109:$EI$109</c:f>
              <c:numCache>
                <c:formatCode>General</c:formatCode>
                <c:ptCount val="26"/>
                <c:pt idx="0">
                  <c:v>#N/A</c:v>
                </c:pt>
                <c:pt idx="1">
                  <c:v>-7.2</c:v>
                </c:pt>
                <c:pt idx="2">
                  <c:v>-10.78</c:v>
                </c:pt>
                <c:pt idx="3">
                  <c:v>-11.72</c:v>
                </c:pt>
                <c:pt idx="4">
                  <c:v>-12.12</c:v>
                </c:pt>
                <c:pt idx="5">
                  <c:v>-12.25</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Tools!$EL$109:$FK$109</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2"/>
          <c:order val="12"/>
          <c:tx>
            <c:strRef>
              <c:f>Tools!$DC$74</c:f>
              <c:strCache>
                <c:ptCount val="1"/>
                <c:pt idx="0">
                  <c:v>STN 10</c:v>
                </c:pt>
              </c:strCache>
            </c:strRef>
          </c:tx>
          <c:spPr>
            <a:ln w="3175"/>
          </c:spPr>
          <c:marker>
            <c:symbol val="none"/>
          </c:marker>
          <c:xVal>
            <c:numRef>
              <c:f>Tools!$DJ$110:$EI$110</c:f>
              <c:numCache>
                <c:formatCode>General</c:formatCode>
                <c:ptCount val="26"/>
                <c:pt idx="0">
                  <c:v>#N/A</c:v>
                </c:pt>
                <c:pt idx="1">
                  <c:v>-8.25</c:v>
                </c:pt>
                <c:pt idx="2">
                  <c:v>-10.84</c:v>
                </c:pt>
                <c:pt idx="3">
                  <c:v>-11.76</c:v>
                </c:pt>
                <c:pt idx="4">
                  <c:v>-12.14</c:v>
                </c:pt>
                <c:pt idx="5">
                  <c:v>-12.25</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Tools!$EL$110:$FK$110</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3"/>
          <c:order val="13"/>
          <c:tx>
            <c:strRef>
              <c:f>Tools!$DC$75</c:f>
              <c:strCache>
                <c:ptCount val="1"/>
                <c:pt idx="0">
                  <c:v>STN 11</c:v>
                </c:pt>
              </c:strCache>
            </c:strRef>
          </c:tx>
          <c:spPr>
            <a:ln w="3175"/>
          </c:spPr>
          <c:marker>
            <c:symbol val="none"/>
          </c:marker>
          <c:xVal>
            <c:numRef>
              <c:f>Tools!$DJ$111:$EI$111</c:f>
              <c:numCache>
                <c:formatCode>General</c:formatCode>
                <c:ptCount val="26"/>
                <c:pt idx="0">
                  <c:v>#N/A</c:v>
                </c:pt>
                <c:pt idx="1">
                  <c:v>8.6</c:v>
                </c:pt>
                <c:pt idx="2">
                  <c:v>10.65</c:v>
                </c:pt>
                <c:pt idx="3">
                  <c:v>11.62</c:v>
                </c:pt>
                <c:pt idx="4">
                  <c:v>12.04</c:v>
                </c:pt>
                <c:pt idx="5">
                  <c:v>12.21</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Tools!$EL$111:$FK$111</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4"/>
          <c:order val="14"/>
          <c:tx>
            <c:strRef>
              <c:f>Tools!$DC$76</c:f>
              <c:strCache>
                <c:ptCount val="1"/>
                <c:pt idx="0">
                  <c:v>STN 12</c:v>
                </c:pt>
              </c:strCache>
            </c:strRef>
          </c:tx>
          <c:spPr>
            <a:ln w="3175"/>
          </c:spPr>
          <c:marker>
            <c:symbol val="none"/>
          </c:marker>
          <c:xVal>
            <c:numRef>
              <c:f>Tools!$DJ$112:$EI$112</c:f>
              <c:numCache>
                <c:formatCode>General</c:formatCode>
                <c:ptCount val="26"/>
                <c:pt idx="0">
                  <c:v>#N/A</c:v>
                </c:pt>
                <c:pt idx="1">
                  <c:v>7.85</c:v>
                </c:pt>
                <c:pt idx="2">
                  <c:v>10.02</c:v>
                </c:pt>
                <c:pt idx="3">
                  <c:v>11.1</c:v>
                </c:pt>
                <c:pt idx="4">
                  <c:v>11.63</c:v>
                </c:pt>
                <c:pt idx="5">
                  <c:v>11.92</c:v>
                </c:pt>
                <c:pt idx="6">
                  <c:v>12.2</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Tools!$EL$112:$FK$112</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5"/>
          <c:order val="15"/>
          <c:tx>
            <c:strRef>
              <c:f>Tools!$DC$77</c:f>
              <c:strCache>
                <c:ptCount val="1"/>
                <c:pt idx="0">
                  <c:v>STN 13</c:v>
                </c:pt>
              </c:strCache>
            </c:strRef>
          </c:tx>
          <c:spPr>
            <a:ln w="3175">
              <a:solidFill>
                <a:schemeClr val="tx2">
                  <a:lumMod val="60000"/>
                  <a:lumOff val="40000"/>
                </a:schemeClr>
              </a:solidFill>
            </a:ln>
          </c:spPr>
          <c:marker>
            <c:symbol val="none"/>
          </c:marker>
          <c:xVal>
            <c:numRef>
              <c:f>Tools!$DJ$113:$EI$113</c:f>
              <c:numCache>
                <c:formatCode>General</c:formatCode>
                <c:ptCount val="26"/>
                <c:pt idx="0">
                  <c:v>#N/A</c:v>
                </c:pt>
                <c:pt idx="1">
                  <c:v>6.7</c:v>
                </c:pt>
                <c:pt idx="2">
                  <c:v>8.84</c:v>
                </c:pt>
                <c:pt idx="3">
                  <c:v>10.029999999999999</c:v>
                </c:pt>
                <c:pt idx="4">
                  <c:v>10.68</c:v>
                </c:pt>
                <c:pt idx="5">
                  <c:v>11.1</c:v>
                </c:pt>
                <c:pt idx="6">
                  <c:v>11.64</c:v>
                </c:pt>
                <c:pt idx="7">
                  <c:v>11.97</c:v>
                </c:pt>
                <c:pt idx="8">
                  <c:v>12.18</c:v>
                </c:pt>
                <c:pt idx="9">
                  <c:v>12.22</c:v>
                </c:pt>
                <c:pt idx="10">
                  <c:v>12.23</c:v>
                </c:pt>
                <c:pt idx="11">
                  <c:v>12.23</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Tools!$EL$113:$FK$113</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6"/>
          <c:order val="16"/>
          <c:tx>
            <c:strRef>
              <c:f>Tools!$DC$78</c:f>
              <c:strCache>
                <c:ptCount val="1"/>
                <c:pt idx="0">
                  <c:v>STN 14</c:v>
                </c:pt>
              </c:strCache>
            </c:strRef>
          </c:tx>
          <c:spPr>
            <a:ln w="3175">
              <a:solidFill>
                <a:schemeClr val="accent4">
                  <a:lumMod val="75000"/>
                </a:schemeClr>
              </a:solidFill>
            </a:ln>
          </c:spPr>
          <c:marker>
            <c:symbol val="none"/>
          </c:marker>
          <c:xVal>
            <c:numRef>
              <c:f>Tools!$DJ$114:$EI$114</c:f>
              <c:numCache>
                <c:formatCode>General</c:formatCode>
                <c:ptCount val="26"/>
                <c:pt idx="0">
                  <c:v>#N/A</c:v>
                </c:pt>
                <c:pt idx="1">
                  <c:v>5.35</c:v>
                </c:pt>
                <c:pt idx="2">
                  <c:v>7.29</c:v>
                </c:pt>
                <c:pt idx="3">
                  <c:v>8.15</c:v>
                </c:pt>
                <c:pt idx="4">
                  <c:v>9.25</c:v>
                </c:pt>
                <c:pt idx="5">
                  <c:v>9.75</c:v>
                </c:pt>
                <c:pt idx="6">
                  <c:v>10.5</c:v>
                </c:pt>
                <c:pt idx="7">
                  <c:v>11.06</c:v>
                </c:pt>
                <c:pt idx="8">
                  <c:v>11.46</c:v>
                </c:pt>
                <c:pt idx="9">
                  <c:v>11.67</c:v>
                </c:pt>
                <c:pt idx="10">
                  <c:v>11.79</c:v>
                </c:pt>
                <c:pt idx="11">
                  <c:v>12.07</c:v>
                </c:pt>
                <c:pt idx="12">
                  <c:v>12.23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Tools!$EL$114:$FK$114</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7"/>
          <c:order val="17"/>
          <c:tx>
            <c:strRef>
              <c:f>Tools!$DC$79</c:f>
              <c:strCache>
                <c:ptCount val="1"/>
                <c:pt idx="0">
                  <c:v>STN 15</c:v>
                </c:pt>
              </c:strCache>
            </c:strRef>
          </c:tx>
          <c:spPr>
            <a:ln w="3175">
              <a:solidFill>
                <a:schemeClr val="accent6">
                  <a:lumMod val="75000"/>
                </a:schemeClr>
              </a:solidFill>
            </a:ln>
          </c:spPr>
          <c:marker>
            <c:symbol val="none"/>
          </c:marker>
          <c:xVal>
            <c:numRef>
              <c:f>Tools!$DJ$115:$EI$115</c:f>
              <c:numCache>
                <c:formatCode>General</c:formatCode>
                <c:ptCount val="26"/>
                <c:pt idx="0">
                  <c:v>#N/A</c:v>
                </c:pt>
                <c:pt idx="1">
                  <c:v>3.8</c:v>
                </c:pt>
                <c:pt idx="2">
                  <c:v>5.65</c:v>
                </c:pt>
                <c:pt idx="3">
                  <c:v>6.8</c:v>
                </c:pt>
                <c:pt idx="4">
                  <c:v>7.54</c:v>
                </c:pt>
                <c:pt idx="5">
                  <c:v>8.08</c:v>
                </c:pt>
                <c:pt idx="6">
                  <c:v>8.91</c:v>
                </c:pt>
                <c:pt idx="7">
                  <c:v>9.64</c:v>
                </c:pt>
                <c:pt idx="8">
                  <c:v>10.26</c:v>
                </c:pt>
                <c:pt idx="9">
                  <c:v>10.6</c:v>
                </c:pt>
                <c:pt idx="10">
                  <c:v>10.8</c:v>
                </c:pt>
                <c:pt idx="11">
                  <c:v>11.29</c:v>
                </c:pt>
                <c:pt idx="12">
                  <c:v>12.15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Tools!$EL$115:$FK$115</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8"/>
          <c:order val="18"/>
          <c:tx>
            <c:strRef>
              <c:f>Tools!$DC$80</c:f>
              <c:strCache>
                <c:ptCount val="1"/>
                <c:pt idx="0">
                  <c:v>STN 16</c:v>
                </c:pt>
              </c:strCache>
            </c:strRef>
          </c:tx>
          <c:spPr>
            <a:ln w="3175">
              <a:solidFill>
                <a:srgbClr val="FF0000"/>
              </a:solidFill>
            </a:ln>
          </c:spPr>
          <c:marker>
            <c:symbol val="none"/>
          </c:marker>
          <c:xVal>
            <c:numRef>
              <c:f>Tools!$DJ$116:$EI$116</c:f>
              <c:numCache>
                <c:formatCode>General</c:formatCode>
                <c:ptCount val="26"/>
                <c:pt idx="0">
                  <c:v>#N/A</c:v>
                </c:pt>
                <c:pt idx="1">
                  <c:v>2.2200000000000002</c:v>
                </c:pt>
                <c:pt idx="2">
                  <c:v>4.05</c:v>
                </c:pt>
                <c:pt idx="3">
                  <c:v>5.0999999999999996</c:v>
                </c:pt>
                <c:pt idx="4">
                  <c:v>5.74</c:v>
                </c:pt>
                <c:pt idx="5">
                  <c:v>6.23</c:v>
                </c:pt>
                <c:pt idx="6">
                  <c:v>7.02</c:v>
                </c:pt>
                <c:pt idx="7">
                  <c:v>7.81</c:v>
                </c:pt>
                <c:pt idx="8">
                  <c:v>8.6300000000000008</c:v>
                </c:pt>
                <c:pt idx="9">
                  <c:v>9.1199999999999992</c:v>
                </c:pt>
                <c:pt idx="10">
                  <c:v>9.43</c:v>
                </c:pt>
                <c:pt idx="11">
                  <c:v>10.199999999999999</c:v>
                </c:pt>
                <c:pt idx="12">
                  <c:v>11.75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Tools!$EL$116:$FK$116</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9"/>
          <c:order val="19"/>
          <c:tx>
            <c:strRef>
              <c:f>Tools!$DC$81</c:f>
              <c:strCache>
                <c:ptCount val="1"/>
                <c:pt idx="0">
                  <c:v>STN 17</c:v>
                </c:pt>
              </c:strCache>
            </c:strRef>
          </c:tx>
          <c:spPr>
            <a:ln w="3175">
              <a:solidFill>
                <a:schemeClr val="tx1"/>
              </a:solidFill>
            </a:ln>
          </c:spPr>
          <c:marker>
            <c:symbol val="none"/>
          </c:marker>
          <c:xVal>
            <c:numRef>
              <c:f>Tools!$DJ$117:$EI$117</c:f>
              <c:numCache>
                <c:formatCode>General</c:formatCode>
                <c:ptCount val="26"/>
                <c:pt idx="0">
                  <c:v>#N/A</c:v>
                </c:pt>
                <c:pt idx="1">
                  <c:v>0.65</c:v>
                </c:pt>
                <c:pt idx="2">
                  <c:v>2.63</c:v>
                </c:pt>
                <c:pt idx="3">
                  <c:v>3.52</c:v>
                </c:pt>
                <c:pt idx="4">
                  <c:v>4.0599999999999996</c:v>
                </c:pt>
                <c:pt idx="5">
                  <c:v>4.43</c:v>
                </c:pt>
                <c:pt idx="6">
                  <c:v>5.03</c:v>
                </c:pt>
                <c:pt idx="7">
                  <c:v>5.69</c:v>
                </c:pt>
                <c:pt idx="8">
                  <c:v>6.59</c:v>
                </c:pt>
                <c:pt idx="9">
                  <c:v>7.22</c:v>
                </c:pt>
                <c:pt idx="10">
                  <c:v>7.64</c:v>
                </c:pt>
                <c:pt idx="11">
                  <c:v>8.73</c:v>
                </c:pt>
                <c:pt idx="12">
                  <c:v>10.94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Tools!$EL$117:$FK$117</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0"/>
          <c:order val="20"/>
          <c:tx>
            <c:strRef>
              <c:f>Tools!$DC$82</c:f>
              <c:strCache>
                <c:ptCount val="1"/>
                <c:pt idx="0">
                  <c:v>STN 18</c:v>
                </c:pt>
              </c:strCache>
            </c:strRef>
          </c:tx>
          <c:spPr>
            <a:ln w="3175">
              <a:solidFill>
                <a:srgbClr val="FF00FF"/>
              </a:solidFill>
            </a:ln>
          </c:spPr>
          <c:marker>
            <c:symbol val="none"/>
          </c:marker>
          <c:xVal>
            <c:numRef>
              <c:f>Tools!$DJ$118:$EI$118</c:f>
              <c:numCache>
                <c:formatCode>General</c:formatCode>
                <c:ptCount val="26"/>
                <c:pt idx="0">
                  <c:v>#N/A</c:v>
                </c:pt>
                <c:pt idx="1">
                  <c:v>0</c:v>
                </c:pt>
                <c:pt idx="2">
                  <c:v>1.49</c:v>
                </c:pt>
                <c:pt idx="3">
                  <c:v>2.23</c:v>
                </c:pt>
                <c:pt idx="4">
                  <c:v>2.69</c:v>
                </c:pt>
                <c:pt idx="5">
                  <c:v>2.97</c:v>
                </c:pt>
                <c:pt idx="6">
                  <c:v>3.25</c:v>
                </c:pt>
                <c:pt idx="7">
                  <c:v>3.51</c:v>
                </c:pt>
                <c:pt idx="8">
                  <c:v>4.28</c:v>
                </c:pt>
                <c:pt idx="9">
                  <c:v>4.97</c:v>
                </c:pt>
                <c:pt idx="10">
                  <c:v>5.47</c:v>
                </c:pt>
                <c:pt idx="11">
                  <c:v>6.84</c:v>
                </c:pt>
                <c:pt idx="12">
                  <c:v>9.77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Tools!$EL$118:$FK$118</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1"/>
          <c:order val="21"/>
          <c:tx>
            <c:strRef>
              <c:f>Tools!$DC$83</c:f>
              <c:strCache>
                <c:ptCount val="1"/>
                <c:pt idx="0">
                  <c:v>STN 18.5</c:v>
                </c:pt>
              </c:strCache>
            </c:strRef>
          </c:tx>
          <c:spPr>
            <a:ln w="3175">
              <a:solidFill>
                <a:schemeClr val="accent3">
                  <a:lumMod val="50000"/>
                </a:schemeClr>
              </a:solidFill>
            </a:ln>
          </c:spPr>
          <c:marker>
            <c:symbol val="none"/>
          </c:marker>
          <c:xVal>
            <c:numRef>
              <c:f>Tools!$DJ$119:$EI$119</c:f>
              <c:numCache>
                <c:formatCode>General</c:formatCode>
                <c:ptCount val="26"/>
                <c:pt idx="0">
                  <c:v>0</c:v>
                </c:pt>
                <c:pt idx="1">
                  <c:v>#N/A</c:v>
                </c:pt>
                <c:pt idx="2">
                  <c:v>1.04</c:v>
                </c:pt>
                <c:pt idx="3">
                  <c:v>1.7</c:v>
                </c:pt>
                <c:pt idx="4">
                  <c:v>2.14</c:v>
                </c:pt>
                <c:pt idx="5">
                  <c:v>2.4</c:v>
                </c:pt>
                <c:pt idx="6">
                  <c:v>2.57</c:v>
                </c:pt>
                <c:pt idx="7">
                  <c:v>2.5499999999999998</c:v>
                </c:pt>
                <c:pt idx="8">
                  <c:v>3.12</c:v>
                </c:pt>
                <c:pt idx="9">
                  <c:v>3.79</c:v>
                </c:pt>
                <c:pt idx="10">
                  <c:v>4.3</c:v>
                </c:pt>
                <c:pt idx="11">
                  <c:v>5.71</c:v>
                </c:pt>
                <c:pt idx="12">
                  <c:v>8.1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Tools!$EL$119:$FK$119</c:f>
              <c:numCache>
                <c:formatCode>General</c:formatCode>
                <c:ptCount val="26"/>
                <c:pt idx="0">
                  <c:v>0.32</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2"/>
          <c:order val="22"/>
          <c:tx>
            <c:strRef>
              <c:f>Tools!$DC$84</c:f>
              <c:strCache>
                <c:ptCount val="1"/>
                <c:pt idx="0">
                  <c:v>STN 19</c:v>
                </c:pt>
              </c:strCache>
            </c:strRef>
          </c:tx>
          <c:spPr>
            <a:ln w="3175">
              <a:solidFill>
                <a:srgbClr val="C00000"/>
              </a:solidFill>
            </a:ln>
          </c:spPr>
          <c:marker>
            <c:symbol val="none"/>
          </c:marker>
          <c:xVal>
            <c:numRef>
              <c:f>Tools!$DJ$120:$EI$120</c:f>
              <c:numCache>
                <c:formatCode>General</c:formatCode>
                <c:ptCount val="26"/>
                <c:pt idx="0">
                  <c:v>0</c:v>
                </c:pt>
                <c:pt idx="1">
                  <c:v>#N/A</c:v>
                </c:pt>
                <c:pt idx="2">
                  <c:v>0.64</c:v>
                </c:pt>
                <c:pt idx="3">
                  <c:v>1.27</c:v>
                </c:pt>
                <c:pt idx="4">
                  <c:v>1.68</c:v>
                </c:pt>
                <c:pt idx="5">
                  <c:v>1.96</c:v>
                </c:pt>
                <c:pt idx="6">
                  <c:v>2.1</c:v>
                </c:pt>
                <c:pt idx="7">
                  <c:v>1.8</c:v>
                </c:pt>
                <c:pt idx="8">
                  <c:v>2</c:v>
                </c:pt>
                <c:pt idx="9">
                  <c:v>2.61</c:v>
                </c:pt>
                <c:pt idx="10">
                  <c:v>3.1</c:v>
                </c:pt>
                <c:pt idx="11">
                  <c:v>4.42</c:v>
                </c:pt>
                <c:pt idx="12">
                  <c:v>5.76</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Tools!$EL$120:$FK$120</c:f>
              <c:numCache>
                <c:formatCode>General</c:formatCode>
                <c:ptCount val="26"/>
                <c:pt idx="0">
                  <c:v>0.66</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3"/>
          <c:order val="23"/>
          <c:tx>
            <c:strRef>
              <c:f>Tools!$DC$85</c:f>
              <c:strCache>
                <c:ptCount val="1"/>
                <c:pt idx="0">
                  <c:v>STN 19.5</c:v>
                </c:pt>
              </c:strCache>
            </c:strRef>
          </c:tx>
          <c:spPr>
            <a:ln w="3175">
              <a:solidFill>
                <a:schemeClr val="tx2">
                  <a:lumMod val="75000"/>
                </a:schemeClr>
              </a:solidFill>
            </a:ln>
          </c:spPr>
          <c:marker>
            <c:symbol val="none"/>
          </c:marker>
          <c:xVal>
            <c:numRef>
              <c:f>Tools!$DJ$121:$EI$121</c:f>
              <c:numCache>
                <c:formatCode>General</c:formatCode>
                <c:ptCount val="26"/>
                <c:pt idx="0">
                  <c:v>0</c:v>
                </c:pt>
                <c:pt idx="1">
                  <c:v>#N/A</c:v>
                </c:pt>
                <c:pt idx="2">
                  <c:v>#N/A</c:v>
                </c:pt>
                <c:pt idx="3">
                  <c:v>0.86</c:v>
                </c:pt>
                <c:pt idx="4">
                  <c:v>1.29</c:v>
                </c:pt>
                <c:pt idx="5">
                  <c:v>1.6</c:v>
                </c:pt>
                <c:pt idx="6">
                  <c:v>1.77</c:v>
                </c:pt>
                <c:pt idx="7">
                  <c:v>1.31</c:v>
                </c:pt>
                <c:pt idx="8">
                  <c:v>1</c:v>
                </c:pt>
                <c:pt idx="9">
                  <c:v>1.44</c:v>
                </c:pt>
                <c:pt idx="10">
                  <c:v>1.74</c:v>
                </c:pt>
                <c:pt idx="11">
                  <c:v>2.79</c:v>
                </c:pt>
                <c:pt idx="12">
                  <c:v>4.0999999999999996</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Tools!$EL$121:$FK$121</c:f>
              <c:numCache>
                <c:formatCode>General</c:formatCode>
                <c:ptCount val="26"/>
                <c:pt idx="0">
                  <c:v>1</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4"/>
          <c:order val="24"/>
          <c:tx>
            <c:strRef>
              <c:f>Tools!$DC$86</c:f>
              <c:strCache>
                <c:ptCount val="1"/>
                <c:pt idx="0">
                  <c:v>STN 20</c:v>
                </c:pt>
              </c:strCache>
            </c:strRef>
          </c:tx>
          <c:spPr>
            <a:ln w="3175">
              <a:solidFill>
                <a:schemeClr val="accent6">
                  <a:lumMod val="75000"/>
                </a:schemeClr>
              </a:solidFill>
            </a:ln>
          </c:spPr>
          <c:marker>
            <c:symbol val="none"/>
          </c:marker>
          <c:xVal>
            <c:numRef>
              <c:f>Tools!$DJ$122:$EI$122</c:f>
              <c:numCache>
                <c:formatCode>General</c:formatCode>
                <c:ptCount val="26"/>
                <c:pt idx="0">
                  <c:v>0</c:v>
                </c:pt>
                <c:pt idx="1">
                  <c:v>#N/A</c:v>
                </c:pt>
                <c:pt idx="2">
                  <c:v>#N/A</c:v>
                </c:pt>
                <c:pt idx="3">
                  <c:v>#N/A</c:v>
                </c:pt>
                <c:pt idx="4">
                  <c:v>0.76</c:v>
                </c:pt>
                <c:pt idx="5">
                  <c:v>1.1499999999999999</c:v>
                </c:pt>
                <c:pt idx="6">
                  <c:v>1.45</c:v>
                </c:pt>
                <c:pt idx="7">
                  <c:v>1.04</c:v>
                </c:pt>
                <c:pt idx="8">
                  <c:v>0</c:v>
                </c:pt>
                <c:pt idx="9">
                  <c:v>0</c:v>
                </c:pt>
                <c:pt idx="10">
                  <c:v>0.25</c:v>
                </c:pt>
                <c:pt idx="11">
                  <c:v>0.85</c:v>
                </c:pt>
                <c:pt idx="12">
                  <c:v>1.78</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Tools!$EL$122:$FK$122</c:f>
              <c:numCache>
                <c:formatCode>General</c:formatCode>
                <c:ptCount val="26"/>
                <c:pt idx="0">
                  <c:v>2</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5"/>
          <c:order val="25"/>
          <c:tx>
            <c:v>a</c:v>
          </c:tx>
          <c:marker>
            <c:symbol val="none"/>
          </c:marker>
          <c:xVal>
            <c:numRef>
              <c:f>Tools!$E$182</c:f>
              <c:numCache>
                <c:formatCode>General</c:formatCode>
                <c:ptCount val="1"/>
              </c:numCache>
            </c:numRef>
          </c:xVal>
          <c:yVal>
            <c:numRef>
              <c:f>Tools!$F$182</c:f>
              <c:numCache>
                <c:formatCode>General</c:formatCode>
                <c:ptCount val="1"/>
              </c:numCache>
            </c:numRef>
          </c:yVal>
          <c:smooth val="1"/>
        </c:ser>
        <c:ser>
          <c:idx val="26"/>
          <c:order val="26"/>
          <c:tx>
            <c:strRef>
              <c:f>Tools!$CP$62</c:f>
              <c:strCache>
                <c:ptCount val="1"/>
                <c:pt idx="0">
                  <c:v>WL 0</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Tools!$CQ$62:$CR$62</c:f>
              <c:numCache>
                <c:formatCode>General</c:formatCode>
                <c:ptCount val="2"/>
                <c:pt idx="0">
                  <c:v>0</c:v>
                </c:pt>
                <c:pt idx="1">
                  <c:v>0</c:v>
                </c:pt>
              </c:numCache>
            </c:numRef>
          </c:yVal>
          <c:smooth val="1"/>
        </c:ser>
        <c:ser>
          <c:idx val="27"/>
          <c:order val="27"/>
          <c:tx>
            <c:strRef>
              <c:f>Tools!$CP$63</c:f>
              <c:strCache>
                <c:ptCount val="1"/>
                <c:pt idx="0">
                  <c:v>WL 0.5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Tools!$CQ$63:$CR$63</c:f>
              <c:numCache>
                <c:formatCode>General</c:formatCode>
                <c:ptCount val="2"/>
                <c:pt idx="0">
                  <c:v>0.9</c:v>
                </c:pt>
                <c:pt idx="1">
                  <c:v>0.9</c:v>
                </c:pt>
              </c:numCache>
            </c:numRef>
          </c:yVal>
          <c:smooth val="1"/>
        </c:ser>
        <c:ser>
          <c:idx val="28"/>
          <c:order val="28"/>
          <c:tx>
            <c:strRef>
              <c:f>Tools!$CP$64</c:f>
              <c:strCache>
                <c:ptCount val="1"/>
                <c:pt idx="0">
                  <c:v>WL 1</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Tools!$CQ$64:$CR$64</c:f>
              <c:numCache>
                <c:formatCode>General</c:formatCode>
                <c:ptCount val="2"/>
                <c:pt idx="0">
                  <c:v>1.8</c:v>
                </c:pt>
                <c:pt idx="1">
                  <c:v>1.8</c:v>
                </c:pt>
              </c:numCache>
            </c:numRef>
          </c:yVal>
          <c:smooth val="1"/>
        </c:ser>
        <c:ser>
          <c:idx val="29"/>
          <c:order val="29"/>
          <c:tx>
            <c:strRef>
              <c:f>Tools!$CP$65</c:f>
              <c:strCache>
                <c:ptCount val="1"/>
                <c:pt idx="0">
                  <c:v>WL 1.5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Tools!$CQ$65:$CR$65</c:f>
              <c:numCache>
                <c:formatCode>General</c:formatCode>
                <c:ptCount val="2"/>
                <c:pt idx="0">
                  <c:v>2.7</c:v>
                </c:pt>
                <c:pt idx="1">
                  <c:v>2.7</c:v>
                </c:pt>
              </c:numCache>
            </c:numRef>
          </c:yVal>
          <c:smooth val="1"/>
        </c:ser>
        <c:ser>
          <c:idx val="30"/>
          <c:order val="30"/>
          <c:tx>
            <c:strRef>
              <c:f>Tools!$CP$66</c:f>
              <c:strCache>
                <c:ptCount val="1"/>
                <c:pt idx="0">
                  <c:v>WL 2</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Tools!$CQ$66:$CR$66</c:f>
              <c:numCache>
                <c:formatCode>General</c:formatCode>
                <c:ptCount val="2"/>
                <c:pt idx="0">
                  <c:v>3.6</c:v>
                </c:pt>
                <c:pt idx="1">
                  <c:v>3.6</c:v>
                </c:pt>
              </c:numCache>
            </c:numRef>
          </c:yVal>
          <c:smooth val="1"/>
        </c:ser>
        <c:ser>
          <c:idx val="31"/>
          <c:order val="31"/>
          <c:tx>
            <c:strRef>
              <c:f>Tools!$CP$67</c:f>
              <c:strCache>
                <c:ptCount val="1"/>
                <c:pt idx="0">
                  <c:v>WL 3</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Tools!$CQ$67:$CR$67</c:f>
              <c:numCache>
                <c:formatCode>General</c:formatCode>
                <c:ptCount val="2"/>
                <c:pt idx="0">
                  <c:v>5.4</c:v>
                </c:pt>
                <c:pt idx="1">
                  <c:v>5.4</c:v>
                </c:pt>
              </c:numCache>
            </c:numRef>
          </c:yVal>
          <c:smooth val="1"/>
        </c:ser>
        <c:ser>
          <c:idx val="32"/>
          <c:order val="32"/>
          <c:tx>
            <c:strRef>
              <c:f>Tools!$CP$68</c:f>
              <c:strCache>
                <c:ptCount val="1"/>
                <c:pt idx="0">
                  <c:v>WL 4</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Tools!$CQ$68:$CR$68</c:f>
              <c:numCache>
                <c:formatCode>General</c:formatCode>
                <c:ptCount val="2"/>
                <c:pt idx="0">
                  <c:v>7.2</c:v>
                </c:pt>
                <c:pt idx="1">
                  <c:v>7.2</c:v>
                </c:pt>
              </c:numCache>
            </c:numRef>
          </c:yVal>
          <c:smooth val="1"/>
        </c:ser>
        <c:ser>
          <c:idx val="33"/>
          <c:order val="33"/>
          <c:tx>
            <c:strRef>
              <c:f>Tools!$CP$69</c:f>
              <c:strCache>
                <c:ptCount val="1"/>
                <c:pt idx="0">
                  <c:v>WL 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Tools!$CQ$69:$CR$69</c:f>
              <c:numCache>
                <c:formatCode>General</c:formatCode>
                <c:ptCount val="2"/>
                <c:pt idx="0">
                  <c:v>9</c:v>
                </c:pt>
                <c:pt idx="1">
                  <c:v>9</c:v>
                </c:pt>
              </c:numCache>
            </c:numRef>
          </c:yVal>
          <c:smooth val="1"/>
        </c:ser>
        <c:ser>
          <c:idx val="34"/>
          <c:order val="34"/>
          <c:tx>
            <c:strRef>
              <c:f>Tools!$CP$70</c:f>
              <c:strCache>
                <c:ptCount val="1"/>
                <c:pt idx="0">
                  <c:v>LWL</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Tools!$CQ$70:$CR$70</c:f>
              <c:numCache>
                <c:formatCode>General</c:formatCode>
                <c:ptCount val="2"/>
                <c:pt idx="0">
                  <c:v>10.1</c:v>
                </c:pt>
                <c:pt idx="1">
                  <c:v>10.1</c:v>
                </c:pt>
              </c:numCache>
            </c:numRef>
          </c:yVal>
          <c:smooth val="1"/>
        </c:ser>
        <c:ser>
          <c:idx val="35"/>
          <c:order val="35"/>
          <c:tx>
            <c:strRef>
              <c:f>Tools!$CP$71</c:f>
              <c:strCache>
                <c:ptCount val="1"/>
                <c:pt idx="0">
                  <c:v>WL 6</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Tools!$CQ$71:$CR$71</c:f>
              <c:numCache>
                <c:formatCode>General</c:formatCode>
                <c:ptCount val="2"/>
                <c:pt idx="0">
                  <c:v>10.8</c:v>
                </c:pt>
                <c:pt idx="1">
                  <c:v>10.8</c:v>
                </c:pt>
              </c:numCache>
            </c:numRef>
          </c:yVal>
          <c:smooth val="1"/>
        </c:ser>
        <c:ser>
          <c:idx val="36"/>
          <c:order val="36"/>
          <c:tx>
            <c:strRef>
              <c:f>Tools!$CP$72</c:f>
              <c:strCache>
                <c:ptCount val="1"/>
                <c:pt idx="0">
                  <c:v>WL 7</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Tools!$CQ$72:$CR$72</c:f>
              <c:numCache>
                <c:formatCode>General</c:formatCode>
                <c:ptCount val="2"/>
                <c:pt idx="0">
                  <c:v>12.6</c:v>
                </c:pt>
                <c:pt idx="1">
                  <c:v>12.6</c:v>
                </c:pt>
              </c:numCache>
            </c:numRef>
          </c:yVal>
          <c:smooth val="1"/>
        </c:ser>
        <c:ser>
          <c:idx val="37"/>
          <c:order val="37"/>
          <c:tx>
            <c:strRef>
              <c:f>Tools!$CP$73</c:f>
              <c:strCache>
                <c:ptCount val="1"/>
                <c:pt idx="0">
                  <c:v>MDK</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Tools!$CQ$73:$CR$73</c:f>
              <c:numCache>
                <c:formatCode>General</c:formatCode>
                <c:ptCount val="2"/>
                <c:pt idx="0">
                  <c:v>14.19</c:v>
                </c:pt>
                <c:pt idx="1">
                  <c:v>14.19</c:v>
                </c:pt>
              </c:numCache>
            </c:numRef>
          </c:yVal>
          <c:smooth val="1"/>
        </c:ser>
        <c:ser>
          <c:idx val="38"/>
          <c:order val="38"/>
          <c:tx>
            <c:strRef>
              <c:f>Tools!$CP$74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Tools!$CQ$74:$CR$74</c:f>
              <c:numCache>
                <c:formatCode>General</c:formatCode>
                <c:ptCount val="2"/>
                <c:pt idx="0">
                  <c:v>0</c:v>
                </c:pt>
                <c:pt idx="1">
                  <c:v>0</c:v>
                </c:pt>
              </c:numCache>
            </c:numRef>
          </c:yVal>
          <c:smooth val="1"/>
        </c:ser>
        <c:ser>
          <c:idx val="39"/>
          <c:order val="39"/>
          <c:tx>
            <c:strRef>
              <c:f>Tools!$CP$75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Tools!$CQ$75:$CR$75</c:f>
              <c:numCache>
                <c:formatCode>General</c:formatCode>
                <c:ptCount val="2"/>
                <c:pt idx="0">
                  <c:v>0</c:v>
                </c:pt>
                <c:pt idx="1">
                  <c:v>0</c:v>
                </c:pt>
              </c:numCache>
            </c:numRef>
          </c:yVal>
          <c:smooth val="1"/>
        </c:ser>
        <c:ser>
          <c:idx val="40"/>
          <c:order val="40"/>
          <c:tx>
            <c:strRef>
              <c:f>Tools!$CP$76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Tools!$CQ$76:$CR$76</c:f>
              <c:numCache>
                <c:formatCode>General</c:formatCode>
                <c:ptCount val="2"/>
                <c:pt idx="0">
                  <c:v>0</c:v>
                </c:pt>
                <c:pt idx="1">
                  <c:v>0</c:v>
                </c:pt>
              </c:numCache>
            </c:numRef>
          </c:yVal>
          <c:smooth val="1"/>
        </c:ser>
        <c:ser>
          <c:idx val="41"/>
          <c:order val="41"/>
          <c:tx>
            <c:strRef>
              <c:f>Tools!$CP$77</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Tools!$CQ$77:$CR$77</c:f>
              <c:numCache>
                <c:formatCode>General</c:formatCode>
                <c:ptCount val="2"/>
                <c:pt idx="0">
                  <c:v>0</c:v>
                </c:pt>
                <c:pt idx="1">
                  <c:v>0</c:v>
                </c:pt>
              </c:numCache>
            </c:numRef>
          </c:yVal>
          <c:smooth val="1"/>
        </c:ser>
        <c:ser>
          <c:idx val="42"/>
          <c:order val="42"/>
          <c:tx>
            <c:strRef>
              <c:f>Tools!$CP$78</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Tools!$CQ$78:$CR$78</c:f>
              <c:numCache>
                <c:formatCode>General</c:formatCode>
                <c:ptCount val="2"/>
                <c:pt idx="0">
                  <c:v>0</c:v>
                </c:pt>
                <c:pt idx="1">
                  <c:v>0</c:v>
                </c:pt>
              </c:numCache>
            </c:numRef>
          </c:yVal>
          <c:smooth val="1"/>
        </c:ser>
        <c:ser>
          <c:idx val="43"/>
          <c:order val="43"/>
          <c:tx>
            <c:strRef>
              <c:f>Tools!$CP$79</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Tools!$CQ$79:$CR$79</c:f>
              <c:numCache>
                <c:formatCode>General</c:formatCode>
                <c:ptCount val="2"/>
                <c:pt idx="0">
                  <c:v>0</c:v>
                </c:pt>
                <c:pt idx="1">
                  <c:v>0</c:v>
                </c:pt>
              </c:numCache>
            </c:numRef>
          </c:yVal>
          <c:smooth val="1"/>
        </c:ser>
        <c:ser>
          <c:idx val="44"/>
          <c:order val="44"/>
          <c:tx>
            <c:strRef>
              <c:f>Tools!$CP$80</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Tools!$CQ$80:$CR$80</c:f>
              <c:numCache>
                <c:formatCode>General</c:formatCode>
                <c:ptCount val="2"/>
                <c:pt idx="0">
                  <c:v>0</c:v>
                </c:pt>
                <c:pt idx="1">
                  <c:v>0</c:v>
                </c:pt>
              </c:numCache>
            </c:numRef>
          </c:yVal>
          <c:smooth val="1"/>
        </c:ser>
        <c:ser>
          <c:idx val="45"/>
          <c:order val="45"/>
          <c:tx>
            <c:strRef>
              <c:f>Tools!$CP$81</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Tools!$CQ$81:$CR$81</c:f>
              <c:numCache>
                <c:formatCode>General</c:formatCode>
                <c:ptCount val="2"/>
                <c:pt idx="0">
                  <c:v>0</c:v>
                </c:pt>
                <c:pt idx="1">
                  <c:v>0</c:v>
                </c:pt>
              </c:numCache>
            </c:numRef>
          </c:yVal>
          <c:smooth val="1"/>
        </c:ser>
        <c:ser>
          <c:idx val="46"/>
          <c:order val="46"/>
          <c:tx>
            <c:strRef>
              <c:f>Tools!$CP$82</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Tools!$CQ$82:$CR$82</c:f>
              <c:numCache>
                <c:formatCode>General</c:formatCode>
                <c:ptCount val="2"/>
                <c:pt idx="0">
                  <c:v>0</c:v>
                </c:pt>
                <c:pt idx="1">
                  <c:v>0</c:v>
                </c:pt>
              </c:numCache>
            </c:numRef>
          </c:yVal>
          <c:smooth val="1"/>
        </c:ser>
        <c:ser>
          <c:idx val="47"/>
          <c:order val="47"/>
          <c:tx>
            <c:strRef>
              <c:f>Tools!$CP$83</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Tools!$CQ$83:$CR$83</c:f>
              <c:numCache>
                <c:formatCode>General</c:formatCode>
                <c:ptCount val="2"/>
                <c:pt idx="0">
                  <c:v>0</c:v>
                </c:pt>
                <c:pt idx="1">
                  <c:v>0</c:v>
                </c:pt>
              </c:numCache>
            </c:numRef>
          </c:yVal>
          <c:smooth val="1"/>
        </c:ser>
        <c:ser>
          <c:idx val="48"/>
          <c:order val="48"/>
          <c:tx>
            <c:strRef>
              <c:f>Tools!$CP$84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Tools!$CQ$84:$CR$84</c:f>
              <c:numCache>
                <c:formatCode>General</c:formatCode>
                <c:ptCount val="2"/>
                <c:pt idx="0">
                  <c:v>0</c:v>
                </c:pt>
                <c:pt idx="1">
                  <c:v>0</c:v>
                </c:pt>
              </c:numCache>
            </c:numRef>
          </c:yVal>
          <c:smooth val="1"/>
        </c:ser>
        <c:ser>
          <c:idx val="49"/>
          <c:order val="49"/>
          <c:tx>
            <c:strRef>
              <c:f>Tools!$CP$85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Tools!$CQ$85:$CR$85</c:f>
              <c:numCache>
                <c:formatCode>General</c:formatCode>
                <c:ptCount val="2"/>
                <c:pt idx="0">
                  <c:v>0</c:v>
                </c:pt>
                <c:pt idx="1">
                  <c:v>0</c:v>
                </c:pt>
              </c:numCache>
            </c:numRef>
          </c:yVal>
          <c:smooth val="1"/>
        </c:ser>
        <c:ser>
          <c:idx val="50"/>
          <c:order val="50"/>
          <c:tx>
            <c:strRef>
              <c:f>Tools!$CP$86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Tools!$CQ$86:$CR$86</c:f>
              <c:numCache>
                <c:formatCode>General</c:formatCode>
                <c:ptCount val="2"/>
                <c:pt idx="0">
                  <c:v>0</c:v>
                </c:pt>
                <c:pt idx="1">
                  <c:v>0</c:v>
                </c:pt>
              </c:numCache>
            </c:numRef>
          </c:yVal>
          <c:smooth val="1"/>
        </c:ser>
        <c:ser>
          <c:idx val="51"/>
          <c:order val="51"/>
          <c:tx>
            <c:strRef>
              <c:f>Tools!$CV$62</c:f>
              <c:strCache>
                <c:ptCount val="1"/>
                <c:pt idx="0">
                  <c:v>BTK 1</c:v>
                </c:pt>
              </c:strCache>
            </c:strRef>
          </c:tx>
          <c:spPr>
            <a:ln w="3175">
              <a:solidFill>
                <a:schemeClr val="bg1">
                  <a:lumMod val="75000"/>
                </a:schemeClr>
              </a:solidFill>
            </a:ln>
          </c:spPr>
          <c:marker>
            <c:symbol val="none"/>
          </c:marker>
          <c:xVal>
            <c:numRef>
              <c:f>Tools!$CW$62:$CX$62</c:f>
              <c:numCache>
                <c:formatCode>General</c:formatCode>
                <c:ptCount val="2"/>
                <c:pt idx="0">
                  <c:v>-4.083333333333333</c:v>
                </c:pt>
                <c:pt idx="1">
                  <c:v>-4.083333333333333</c:v>
                </c:pt>
              </c:numCache>
            </c:numRef>
          </c:xVal>
          <c:yVal>
            <c:numRef>
              <c:f>Tools!$CW$61:$CX$61</c:f>
              <c:numCache>
                <c:formatCode>General</c:formatCode>
                <c:ptCount val="2"/>
                <c:pt idx="0">
                  <c:v>0</c:v>
                </c:pt>
                <c:pt idx="1">
                  <c:v>14.19</c:v>
                </c:pt>
              </c:numCache>
            </c:numRef>
          </c:yVal>
          <c:smooth val="1"/>
        </c:ser>
        <c:ser>
          <c:idx val="52"/>
          <c:order val="52"/>
          <c:tx>
            <c:strRef>
              <c:f>Tools!$CV$63</c:f>
              <c:strCache>
                <c:ptCount val="1"/>
                <c:pt idx="0">
                  <c:v>BTK 2</c:v>
                </c:pt>
              </c:strCache>
            </c:strRef>
          </c:tx>
          <c:spPr>
            <a:ln w="3175">
              <a:solidFill>
                <a:schemeClr val="bg1">
                  <a:lumMod val="75000"/>
                </a:schemeClr>
              </a:solidFill>
            </a:ln>
          </c:spPr>
          <c:marker>
            <c:symbol val="none"/>
          </c:marker>
          <c:xVal>
            <c:numRef>
              <c:f>Tools!$CW$63:$CX$63</c:f>
              <c:numCache>
                <c:formatCode>General</c:formatCode>
                <c:ptCount val="2"/>
                <c:pt idx="0">
                  <c:v>-8.1666666666666661</c:v>
                </c:pt>
                <c:pt idx="1">
                  <c:v>-8.1666666666666661</c:v>
                </c:pt>
              </c:numCache>
            </c:numRef>
          </c:xVal>
          <c:yVal>
            <c:numRef>
              <c:f>Tools!$CW$61:$CX$61</c:f>
              <c:numCache>
                <c:formatCode>General</c:formatCode>
                <c:ptCount val="2"/>
                <c:pt idx="0">
                  <c:v>0</c:v>
                </c:pt>
                <c:pt idx="1">
                  <c:v>14.19</c:v>
                </c:pt>
              </c:numCache>
            </c:numRef>
          </c:yVal>
          <c:smooth val="1"/>
        </c:ser>
        <c:ser>
          <c:idx val="53"/>
          <c:order val="53"/>
          <c:tx>
            <c:strRef>
              <c:f>Tools!$CV$64</c:f>
              <c:strCache>
                <c:ptCount val="1"/>
                <c:pt idx="0">
                  <c:v>SIDE</c:v>
                </c:pt>
              </c:strCache>
            </c:strRef>
          </c:tx>
          <c:spPr>
            <a:ln w="3175">
              <a:solidFill>
                <a:schemeClr val="bg1">
                  <a:lumMod val="75000"/>
                </a:schemeClr>
              </a:solidFill>
            </a:ln>
          </c:spPr>
          <c:marker>
            <c:symbol val="none"/>
          </c:marker>
          <c:xVal>
            <c:numRef>
              <c:f>Tools!$CW$64:$CX$64</c:f>
              <c:numCache>
                <c:formatCode>General</c:formatCode>
                <c:ptCount val="2"/>
                <c:pt idx="0">
                  <c:v>-12.25</c:v>
                </c:pt>
                <c:pt idx="1">
                  <c:v>-12.25</c:v>
                </c:pt>
              </c:numCache>
            </c:numRef>
          </c:xVal>
          <c:yVal>
            <c:numRef>
              <c:f>Tools!$CW$61:$CX$61</c:f>
              <c:numCache>
                <c:formatCode>General</c:formatCode>
                <c:ptCount val="2"/>
                <c:pt idx="0">
                  <c:v>0</c:v>
                </c:pt>
                <c:pt idx="1">
                  <c:v>14.19</c:v>
                </c:pt>
              </c:numCache>
            </c:numRef>
          </c:yVal>
          <c:smooth val="1"/>
        </c:ser>
        <c:ser>
          <c:idx val="54"/>
          <c:order val="54"/>
          <c:tx>
            <c:strRef>
              <c:f>Tools!$CV$65</c:f>
              <c:strCache>
                <c:ptCount val="1"/>
                <c:pt idx="0">
                  <c:v> </c:v>
                </c:pt>
              </c:strCache>
            </c:strRef>
          </c:tx>
          <c:spPr>
            <a:ln w="3175">
              <a:solidFill>
                <a:schemeClr val="bg1">
                  <a:lumMod val="75000"/>
                </a:schemeClr>
              </a:solidFill>
            </a:ln>
          </c:spPr>
          <c:marker>
            <c:symbol val="none"/>
          </c:marker>
          <c:xVal>
            <c:numRef>
              <c:f>Tools!$CW$65:$CX$65</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5"/>
          <c:order val="55"/>
          <c:tx>
            <c:strRef>
              <c:f>Tools!$CV$66</c:f>
              <c:strCache>
                <c:ptCount val="1"/>
                <c:pt idx="0">
                  <c:v> </c:v>
                </c:pt>
              </c:strCache>
            </c:strRef>
          </c:tx>
          <c:spPr>
            <a:ln w="3175">
              <a:solidFill>
                <a:schemeClr val="bg1">
                  <a:lumMod val="75000"/>
                </a:schemeClr>
              </a:solidFill>
            </a:ln>
          </c:spPr>
          <c:marker>
            <c:symbol val="none"/>
          </c:marker>
          <c:xVal>
            <c:numRef>
              <c:f>Tools!$CW$66:$CX$66</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6"/>
          <c:order val="56"/>
          <c:tx>
            <c:strRef>
              <c:f>Tools!$CV$67</c:f>
              <c:strCache>
                <c:ptCount val="1"/>
                <c:pt idx="0">
                  <c:v> </c:v>
                </c:pt>
              </c:strCache>
            </c:strRef>
          </c:tx>
          <c:spPr>
            <a:ln w="3175">
              <a:solidFill>
                <a:schemeClr val="bg1">
                  <a:lumMod val="75000"/>
                </a:schemeClr>
              </a:solidFill>
            </a:ln>
          </c:spPr>
          <c:marker>
            <c:symbol val="none"/>
          </c:marker>
          <c:xVal>
            <c:numRef>
              <c:f>Tools!$CW$67:$CX$67</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7"/>
          <c:order val="57"/>
          <c:tx>
            <c:strRef>
              <c:f>Tools!$CV$68</c:f>
              <c:strCache>
                <c:ptCount val="1"/>
                <c:pt idx="0">
                  <c:v> </c:v>
                </c:pt>
              </c:strCache>
            </c:strRef>
          </c:tx>
          <c:spPr>
            <a:ln w="3175">
              <a:solidFill>
                <a:schemeClr val="bg1">
                  <a:lumMod val="75000"/>
                </a:schemeClr>
              </a:solidFill>
            </a:ln>
          </c:spPr>
          <c:marker>
            <c:symbol val="none"/>
          </c:marker>
          <c:xVal>
            <c:numRef>
              <c:f>Tools!$CW$68:$CX$68</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8"/>
          <c:order val="58"/>
          <c:tx>
            <c:strRef>
              <c:f>Tools!$CV$69</c:f>
              <c:strCache>
                <c:ptCount val="1"/>
                <c:pt idx="0">
                  <c:v> </c:v>
                </c:pt>
              </c:strCache>
            </c:strRef>
          </c:tx>
          <c:spPr>
            <a:ln w="3175">
              <a:solidFill>
                <a:schemeClr val="bg1">
                  <a:lumMod val="75000"/>
                </a:schemeClr>
              </a:solidFill>
            </a:ln>
          </c:spPr>
          <c:marker>
            <c:symbol val="none"/>
          </c:marker>
          <c:xVal>
            <c:numRef>
              <c:f>Tools!$CW$69:$CX$69</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9"/>
          <c:order val="59"/>
          <c:tx>
            <c:strRef>
              <c:f>Tools!$CV$70</c:f>
              <c:strCache>
                <c:ptCount val="1"/>
                <c:pt idx="0">
                  <c:v> </c:v>
                </c:pt>
              </c:strCache>
            </c:strRef>
          </c:tx>
          <c:spPr>
            <a:ln w="3175">
              <a:solidFill>
                <a:schemeClr val="bg1">
                  <a:lumMod val="75000"/>
                </a:schemeClr>
              </a:solidFill>
            </a:ln>
          </c:spPr>
          <c:marker>
            <c:symbol val="none"/>
          </c:marker>
          <c:xVal>
            <c:numRef>
              <c:f>Tools!$CW$70:$CX$70</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0"/>
          <c:order val="60"/>
          <c:tx>
            <c:strRef>
              <c:f>Tools!$CV$71</c:f>
              <c:strCache>
                <c:ptCount val="1"/>
                <c:pt idx="0">
                  <c:v> </c:v>
                </c:pt>
              </c:strCache>
            </c:strRef>
          </c:tx>
          <c:spPr>
            <a:ln w="3175">
              <a:solidFill>
                <a:schemeClr val="bg1">
                  <a:lumMod val="75000"/>
                </a:schemeClr>
              </a:solidFill>
            </a:ln>
          </c:spPr>
          <c:marker>
            <c:symbol val="none"/>
          </c:marker>
          <c:xVal>
            <c:numRef>
              <c:f>Tools!$CW$71:$CX$71</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1"/>
          <c:order val="61"/>
          <c:tx>
            <c:strRef>
              <c:f>Tools!$CV$72</c:f>
              <c:strCache>
                <c:ptCount val="1"/>
                <c:pt idx="0">
                  <c:v>CL</c:v>
                </c:pt>
              </c:strCache>
            </c:strRef>
          </c:tx>
          <c:spPr>
            <a:ln w="3175">
              <a:solidFill>
                <a:schemeClr val="bg1">
                  <a:lumMod val="75000"/>
                </a:schemeClr>
              </a:solidFill>
            </a:ln>
          </c:spPr>
          <c:marker>
            <c:symbol val="none"/>
          </c:marker>
          <c:xVal>
            <c:numRef>
              <c:f>Tools!$CW$72:$CX$72</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2"/>
          <c:order val="62"/>
          <c:tx>
            <c:strRef>
              <c:f>Tools!$CV$62</c:f>
              <c:strCache>
                <c:ptCount val="1"/>
                <c:pt idx="0">
                  <c:v>BTK 1</c:v>
                </c:pt>
              </c:strCache>
            </c:strRef>
          </c:tx>
          <c:spPr>
            <a:ln w="3175">
              <a:solidFill>
                <a:schemeClr val="bg1">
                  <a:lumMod val="75000"/>
                </a:schemeClr>
              </a:solidFill>
            </a:ln>
          </c:spPr>
          <c:marker>
            <c:symbol val="none"/>
          </c:marker>
          <c:xVal>
            <c:numRef>
              <c:f>Tools!$CY$62:$CZ$62</c:f>
              <c:numCache>
                <c:formatCode>General</c:formatCode>
                <c:ptCount val="2"/>
                <c:pt idx="0">
                  <c:v>4.083333333333333</c:v>
                </c:pt>
                <c:pt idx="1">
                  <c:v>4.083333333333333</c:v>
                </c:pt>
              </c:numCache>
            </c:numRef>
          </c:xVal>
          <c:yVal>
            <c:numRef>
              <c:f>Tools!$CW$61:$CX$61</c:f>
              <c:numCache>
                <c:formatCode>General</c:formatCode>
                <c:ptCount val="2"/>
                <c:pt idx="0">
                  <c:v>0</c:v>
                </c:pt>
                <c:pt idx="1">
                  <c:v>14.19</c:v>
                </c:pt>
              </c:numCache>
            </c:numRef>
          </c:yVal>
          <c:smooth val="1"/>
        </c:ser>
        <c:ser>
          <c:idx val="63"/>
          <c:order val="63"/>
          <c:tx>
            <c:strRef>
              <c:f>Tools!$CV$63</c:f>
              <c:strCache>
                <c:ptCount val="1"/>
                <c:pt idx="0">
                  <c:v>BTK 2</c:v>
                </c:pt>
              </c:strCache>
            </c:strRef>
          </c:tx>
          <c:spPr>
            <a:ln w="3175">
              <a:solidFill>
                <a:schemeClr val="bg1">
                  <a:lumMod val="75000"/>
                </a:schemeClr>
              </a:solidFill>
            </a:ln>
          </c:spPr>
          <c:marker>
            <c:symbol val="none"/>
          </c:marker>
          <c:xVal>
            <c:numRef>
              <c:f>Tools!$CY$63:$CZ$63</c:f>
              <c:numCache>
                <c:formatCode>General</c:formatCode>
                <c:ptCount val="2"/>
                <c:pt idx="0">
                  <c:v>8.1666666666666661</c:v>
                </c:pt>
                <c:pt idx="1">
                  <c:v>8.1666666666666661</c:v>
                </c:pt>
              </c:numCache>
            </c:numRef>
          </c:xVal>
          <c:yVal>
            <c:numRef>
              <c:f>Tools!$CW$61:$CX$61</c:f>
              <c:numCache>
                <c:formatCode>General</c:formatCode>
                <c:ptCount val="2"/>
                <c:pt idx="0">
                  <c:v>0</c:v>
                </c:pt>
                <c:pt idx="1">
                  <c:v>14.19</c:v>
                </c:pt>
              </c:numCache>
            </c:numRef>
          </c:yVal>
          <c:smooth val="1"/>
        </c:ser>
        <c:ser>
          <c:idx val="64"/>
          <c:order val="64"/>
          <c:tx>
            <c:strRef>
              <c:f>Tools!$CV$64</c:f>
              <c:strCache>
                <c:ptCount val="1"/>
                <c:pt idx="0">
                  <c:v>SIDE</c:v>
                </c:pt>
              </c:strCache>
            </c:strRef>
          </c:tx>
          <c:spPr>
            <a:ln w="3175">
              <a:solidFill>
                <a:schemeClr val="bg1">
                  <a:lumMod val="75000"/>
                </a:schemeClr>
              </a:solidFill>
            </a:ln>
          </c:spPr>
          <c:marker>
            <c:symbol val="none"/>
          </c:marker>
          <c:xVal>
            <c:numRef>
              <c:f>Tools!$CY$64:$CZ$64</c:f>
              <c:numCache>
                <c:formatCode>General</c:formatCode>
                <c:ptCount val="2"/>
                <c:pt idx="0">
                  <c:v>12.25</c:v>
                </c:pt>
                <c:pt idx="1">
                  <c:v>12.25</c:v>
                </c:pt>
              </c:numCache>
            </c:numRef>
          </c:xVal>
          <c:yVal>
            <c:numRef>
              <c:f>Tools!$CW$61:$CX$61</c:f>
              <c:numCache>
                <c:formatCode>General</c:formatCode>
                <c:ptCount val="2"/>
                <c:pt idx="0">
                  <c:v>0</c:v>
                </c:pt>
                <c:pt idx="1">
                  <c:v>14.19</c:v>
                </c:pt>
              </c:numCache>
            </c:numRef>
          </c:yVal>
          <c:smooth val="1"/>
        </c:ser>
        <c:ser>
          <c:idx val="65"/>
          <c:order val="65"/>
          <c:tx>
            <c:strRef>
              <c:f>Tools!$CV$65</c:f>
              <c:strCache>
                <c:ptCount val="1"/>
                <c:pt idx="0">
                  <c:v> </c:v>
                </c:pt>
              </c:strCache>
            </c:strRef>
          </c:tx>
          <c:spPr>
            <a:ln w="3175">
              <a:solidFill>
                <a:schemeClr val="bg1">
                  <a:lumMod val="75000"/>
                </a:schemeClr>
              </a:solidFill>
            </a:ln>
          </c:spPr>
          <c:marker>
            <c:symbol val="none"/>
          </c:marker>
          <c:xVal>
            <c:numRef>
              <c:f>Tools!$CY$65:$CZ$65</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6"/>
          <c:order val="66"/>
          <c:tx>
            <c:strRef>
              <c:f>Tools!$CV$66</c:f>
              <c:strCache>
                <c:ptCount val="1"/>
                <c:pt idx="0">
                  <c:v> </c:v>
                </c:pt>
              </c:strCache>
            </c:strRef>
          </c:tx>
          <c:spPr>
            <a:ln w="3175">
              <a:solidFill>
                <a:schemeClr val="bg1">
                  <a:lumMod val="75000"/>
                </a:schemeClr>
              </a:solidFill>
            </a:ln>
          </c:spPr>
          <c:marker>
            <c:symbol val="none"/>
          </c:marker>
          <c:xVal>
            <c:numRef>
              <c:f>Tools!$CY$66:$CZ$66</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7"/>
          <c:order val="67"/>
          <c:tx>
            <c:strRef>
              <c:f>Tools!$CV$67</c:f>
              <c:strCache>
                <c:ptCount val="1"/>
                <c:pt idx="0">
                  <c:v> </c:v>
                </c:pt>
              </c:strCache>
            </c:strRef>
          </c:tx>
          <c:spPr>
            <a:ln w="3175">
              <a:solidFill>
                <a:schemeClr val="bg1">
                  <a:lumMod val="75000"/>
                </a:schemeClr>
              </a:solidFill>
            </a:ln>
          </c:spPr>
          <c:marker>
            <c:symbol val="none"/>
          </c:marker>
          <c:xVal>
            <c:numRef>
              <c:f>Tools!$CY$67:$CZ$67</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8"/>
          <c:order val="68"/>
          <c:tx>
            <c:strRef>
              <c:f>Tools!$CV$68</c:f>
              <c:strCache>
                <c:ptCount val="1"/>
                <c:pt idx="0">
                  <c:v> </c:v>
                </c:pt>
              </c:strCache>
            </c:strRef>
          </c:tx>
          <c:spPr>
            <a:ln w="3175">
              <a:solidFill>
                <a:schemeClr val="bg1">
                  <a:lumMod val="75000"/>
                </a:schemeClr>
              </a:solidFill>
            </a:ln>
          </c:spPr>
          <c:marker>
            <c:symbol val="none"/>
          </c:marker>
          <c:xVal>
            <c:numRef>
              <c:f>Tools!$CY$68:$CZ$68</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9"/>
          <c:order val="69"/>
          <c:tx>
            <c:strRef>
              <c:f>Tools!$CV$69</c:f>
              <c:strCache>
                <c:ptCount val="1"/>
                <c:pt idx="0">
                  <c:v> </c:v>
                </c:pt>
              </c:strCache>
            </c:strRef>
          </c:tx>
          <c:spPr>
            <a:ln w="3175">
              <a:solidFill>
                <a:schemeClr val="bg1">
                  <a:lumMod val="75000"/>
                </a:schemeClr>
              </a:solidFill>
            </a:ln>
          </c:spPr>
          <c:marker>
            <c:symbol val="none"/>
          </c:marker>
          <c:xVal>
            <c:numRef>
              <c:f>Tools!$CY$69:$CZ$69</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70"/>
          <c:order val="70"/>
          <c:tx>
            <c:strRef>
              <c:f>Tools!$CV$70</c:f>
              <c:strCache>
                <c:ptCount val="1"/>
                <c:pt idx="0">
                  <c:v> </c:v>
                </c:pt>
              </c:strCache>
            </c:strRef>
          </c:tx>
          <c:spPr>
            <a:ln w="3175">
              <a:solidFill>
                <a:schemeClr val="bg1">
                  <a:lumMod val="75000"/>
                </a:schemeClr>
              </a:solidFill>
            </a:ln>
          </c:spPr>
          <c:marker>
            <c:symbol val="none"/>
          </c:marker>
          <c:xVal>
            <c:numRef>
              <c:f>Tools!$CY$70:$CZ$70</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71"/>
          <c:order val="71"/>
          <c:tx>
            <c:strRef>
              <c:f>Tools!$CV$71</c:f>
              <c:strCache>
                <c:ptCount val="1"/>
                <c:pt idx="0">
                  <c:v> </c:v>
                </c:pt>
              </c:strCache>
            </c:strRef>
          </c:tx>
          <c:spPr>
            <a:ln w="3175">
              <a:solidFill>
                <a:schemeClr val="bg1">
                  <a:lumMod val="75000"/>
                </a:schemeClr>
              </a:solidFill>
            </a:ln>
          </c:spPr>
          <c:marker>
            <c:symbol val="none"/>
          </c:marker>
          <c:xVal>
            <c:numRef>
              <c:f>Tools!$CY$71:$CZ$71</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dLbls>
          <c:showLegendKey val="0"/>
          <c:showVal val="0"/>
          <c:showCatName val="0"/>
          <c:showSerName val="0"/>
          <c:showPercent val="0"/>
          <c:showBubbleSize val="0"/>
        </c:dLbls>
        <c:axId val="506261504"/>
        <c:axId val="506263040"/>
      </c:scatterChart>
      <c:valAx>
        <c:axId val="506261504"/>
        <c:scaling>
          <c:orientation val="minMax"/>
        </c:scaling>
        <c:delete val="1"/>
        <c:axPos val="b"/>
        <c:numFmt formatCode="General" sourceLinked="1"/>
        <c:majorTickMark val="out"/>
        <c:minorTickMark val="none"/>
        <c:tickLblPos val="nextTo"/>
        <c:crossAx val="506263040"/>
        <c:crosses val="autoZero"/>
        <c:crossBetween val="midCat"/>
        <c:majorUnit val="0.1"/>
        <c:minorUnit val="5.000000000000001E-2"/>
      </c:valAx>
      <c:valAx>
        <c:axId val="506263040"/>
        <c:scaling>
          <c:orientation val="minMax"/>
          <c:min val="0"/>
        </c:scaling>
        <c:delete val="0"/>
        <c:axPos val="l"/>
        <c:majorGridlines>
          <c:spPr>
            <a:ln>
              <a:noFill/>
            </a:ln>
          </c:spPr>
        </c:majorGridlines>
        <c:numFmt formatCode="General" sourceLinked="1"/>
        <c:majorTickMark val="out"/>
        <c:minorTickMark val="none"/>
        <c:tickLblPos val="nextTo"/>
        <c:crossAx val="506261504"/>
        <c:crosses val="autoZero"/>
        <c:crossBetween val="midCat"/>
        <c:majorUnit val="1"/>
      </c:valAx>
      <c:spPr>
        <a:noFill/>
        <a:ln>
          <a:noFill/>
        </a:ln>
      </c:spPr>
    </c:plotArea>
    <c:legend>
      <c:legendPos val="r"/>
      <c:legendEntry>
        <c:idx val="25"/>
        <c:txPr>
          <a:bodyPr/>
          <a:lstStyle/>
          <a:p>
            <a:pPr>
              <a:defRPr sz="1400">
                <a:solidFill>
                  <a:schemeClr val="bg1"/>
                </a:solidFill>
              </a:defRPr>
            </a:pPr>
            <a:endParaRPr lang="en-US"/>
          </a:p>
        </c:txPr>
      </c:legendEntry>
      <c:layout>
        <c:manualLayout>
          <c:xMode val="edge"/>
          <c:yMode val="edge"/>
          <c:x val="0.81867932506519137"/>
          <c:y val="2.9591106189184382E-2"/>
          <c:w val="0.15821833515888084"/>
          <c:h val="0.92819782836538001"/>
        </c:manualLayout>
      </c:layout>
      <c:overlay val="0"/>
      <c:txPr>
        <a:bodyPr/>
        <a:lstStyle/>
        <a:p>
          <a:pPr>
            <a:defRPr sz="1400"/>
          </a:pPr>
          <a:endParaRPr lang="en-US"/>
        </a:p>
      </c:txPr>
    </c:legend>
    <c:plotVisOnly val="1"/>
    <c:dispBlanksAs val="gap"/>
    <c:showDLblsOverMax val="0"/>
  </c:chart>
  <c:spPr>
    <a:solidFill>
      <a:schemeClr val="bg1">
        <a:lumMod val="95000"/>
      </a:schemeClr>
    </a:solidFill>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040570950566825E-3"/>
          <c:y val="5.6011175867111955E-2"/>
          <c:w val="0.80844383182797019"/>
          <c:h val="0.81813332636139624"/>
        </c:manualLayout>
      </c:layout>
      <c:scatterChart>
        <c:scatterStyle val="smoothMarker"/>
        <c:varyColors val="0"/>
        <c:ser>
          <c:idx val="0"/>
          <c:order val="0"/>
          <c:tx>
            <c:strRef>
              <c:f>Tools!$CP$62</c:f>
              <c:strCache>
                <c:ptCount val="1"/>
                <c:pt idx="0">
                  <c:v>WL 0</c:v>
                </c:pt>
              </c:strCache>
            </c:strRef>
          </c:tx>
          <c:spPr>
            <a:ln w="3175"/>
          </c:spPr>
          <c:marker>
            <c:symbol val="none"/>
          </c:marker>
          <c:xVal>
            <c:numRef>
              <c:f>('Graph tools'!$G$6,'Graph tools'!$U$6:$U$30,'Graph tools'!$E$6)</c:f>
              <c:numCache>
                <c:formatCode>General</c:formatCode>
                <c:ptCount val="27"/>
                <c:pt idx="0">
                  <c:v>2.3401670463173883</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18.025816249050873</c:v>
                </c:pt>
              </c:numCache>
            </c:numRef>
          </c:xVal>
          <c:yVal>
            <c:numRef>
              <c:f>'Graph tools'!$V$5:$V$31</c:f>
              <c:numCache>
                <c:formatCode>General</c:formatCode>
                <c:ptCount val="27"/>
                <c:pt idx="0">
                  <c:v>0</c:v>
                </c:pt>
                <c:pt idx="1">
                  <c:v>#N/A</c:v>
                </c:pt>
                <c:pt idx="2">
                  <c:v>#N/A</c:v>
                </c:pt>
                <c:pt idx="3">
                  <c:v>#N/A</c:v>
                </c:pt>
                <c:pt idx="4">
                  <c:v>#N/A</c:v>
                </c:pt>
                <c:pt idx="5">
                  <c:v>#N/A</c:v>
                </c:pt>
                <c:pt idx="6">
                  <c:v>0.3</c:v>
                </c:pt>
                <c:pt idx="7">
                  <c:v>1</c:v>
                </c:pt>
                <c:pt idx="8">
                  <c:v>1.62</c:v>
                </c:pt>
                <c:pt idx="9">
                  <c:v>2.2000000000000002</c:v>
                </c:pt>
                <c:pt idx="10">
                  <c:v>3.71</c:v>
                </c:pt>
                <c:pt idx="11">
                  <c:v>5.9</c:v>
                </c:pt>
                <c:pt idx="12">
                  <c:v>7.2</c:v>
                </c:pt>
                <c:pt idx="13">
                  <c:v>8.25</c:v>
                </c:pt>
                <c:pt idx="14">
                  <c:v>8.6</c:v>
                </c:pt>
                <c:pt idx="15">
                  <c:v>7.85</c:v>
                </c:pt>
                <c:pt idx="16">
                  <c:v>6.7</c:v>
                </c:pt>
                <c:pt idx="17">
                  <c:v>5.35</c:v>
                </c:pt>
                <c:pt idx="18">
                  <c:v>3.8</c:v>
                </c:pt>
                <c:pt idx="19">
                  <c:v>2.2200000000000002</c:v>
                </c:pt>
                <c:pt idx="20">
                  <c:v>0.65</c:v>
                </c:pt>
                <c:pt idx="21">
                  <c:v>0</c:v>
                </c:pt>
                <c:pt idx="22">
                  <c:v>#N/A</c:v>
                </c:pt>
                <c:pt idx="23">
                  <c:v>#N/A</c:v>
                </c:pt>
                <c:pt idx="24">
                  <c:v>#N/A</c:v>
                </c:pt>
                <c:pt idx="25">
                  <c:v>#N/A</c:v>
                </c:pt>
                <c:pt idx="26">
                  <c:v>0</c:v>
                </c:pt>
              </c:numCache>
            </c:numRef>
          </c:yVal>
          <c:smooth val="1"/>
        </c:ser>
        <c:ser>
          <c:idx val="1"/>
          <c:order val="1"/>
          <c:tx>
            <c:strRef>
              <c:f>Tools!$CP$63</c:f>
              <c:strCache>
                <c:ptCount val="1"/>
                <c:pt idx="0">
                  <c:v>WL 0.5</c:v>
                </c:pt>
              </c:strCache>
            </c:strRef>
          </c:tx>
          <c:spPr>
            <a:ln w="3175"/>
          </c:spPr>
          <c:marker>
            <c:symbol val="none"/>
          </c:marker>
          <c:xVal>
            <c:numRef>
              <c:f>('Graph tools'!$G$7,'Graph tools'!$U$6:$U$30,'Graph tools'!$E$7)</c:f>
              <c:numCache>
                <c:formatCode>General</c:formatCode>
                <c:ptCount val="27"/>
                <c:pt idx="0">
                  <c:v>1.8526955201214883</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19.407744874715263</c:v>
                </c:pt>
              </c:numCache>
            </c:numRef>
          </c:xVal>
          <c:yVal>
            <c:numRef>
              <c:f>'Graph tools'!$W$5:$W$31</c:f>
              <c:numCache>
                <c:formatCode>General</c:formatCode>
                <c:ptCount val="27"/>
                <c:pt idx="0">
                  <c:v>0</c:v>
                </c:pt>
                <c:pt idx="1">
                  <c:v>#N/A</c:v>
                </c:pt>
                <c:pt idx="2">
                  <c:v>#N/A</c:v>
                </c:pt>
                <c:pt idx="3">
                  <c:v>#N/A</c:v>
                </c:pt>
                <c:pt idx="4">
                  <c:v>#N/A</c:v>
                </c:pt>
                <c:pt idx="5">
                  <c:v>0.4</c:v>
                </c:pt>
                <c:pt idx="6">
                  <c:v>1.67</c:v>
                </c:pt>
                <c:pt idx="7">
                  <c:v>3.17</c:v>
                </c:pt>
                <c:pt idx="8">
                  <c:v>4.8099999999999996</c:v>
                </c:pt>
                <c:pt idx="9">
                  <c:v>6.59</c:v>
                </c:pt>
                <c:pt idx="10">
                  <c:v>8.58</c:v>
                </c:pt>
                <c:pt idx="11">
                  <c:v>10.16</c:v>
                </c:pt>
                <c:pt idx="12">
                  <c:v>10.78</c:v>
                </c:pt>
                <c:pt idx="13">
                  <c:v>10.84</c:v>
                </c:pt>
                <c:pt idx="14">
                  <c:v>10.65</c:v>
                </c:pt>
                <c:pt idx="15">
                  <c:v>10.02</c:v>
                </c:pt>
                <c:pt idx="16">
                  <c:v>8.84</c:v>
                </c:pt>
                <c:pt idx="17">
                  <c:v>7.29</c:v>
                </c:pt>
                <c:pt idx="18">
                  <c:v>5.65</c:v>
                </c:pt>
                <c:pt idx="19">
                  <c:v>4.05</c:v>
                </c:pt>
                <c:pt idx="20">
                  <c:v>2.63</c:v>
                </c:pt>
                <c:pt idx="21">
                  <c:v>1.49</c:v>
                </c:pt>
                <c:pt idx="22">
                  <c:v>1.04</c:v>
                </c:pt>
                <c:pt idx="23">
                  <c:v>0.64</c:v>
                </c:pt>
                <c:pt idx="24">
                  <c:v>#N/A</c:v>
                </c:pt>
                <c:pt idx="25">
                  <c:v>#N/A</c:v>
                </c:pt>
                <c:pt idx="26">
                  <c:v>0</c:v>
                </c:pt>
              </c:numCache>
            </c:numRef>
          </c:yVal>
          <c:smooth val="1"/>
        </c:ser>
        <c:ser>
          <c:idx val="2"/>
          <c:order val="2"/>
          <c:tx>
            <c:strRef>
              <c:f>Tools!$CP$64</c:f>
              <c:strCache>
                <c:ptCount val="1"/>
                <c:pt idx="0">
                  <c:v>WL 1</c:v>
                </c:pt>
              </c:strCache>
            </c:strRef>
          </c:tx>
          <c:spPr>
            <a:ln w="3175"/>
          </c:spPr>
          <c:marker>
            <c:symbol val="none"/>
          </c:marker>
          <c:xVal>
            <c:numRef>
              <c:f>('Graph tools'!$G$8,'Graph tools'!$U$6:$U$30,'Graph tools'!$E$8)</c:f>
              <c:numCache>
                <c:formatCode>General</c:formatCode>
                <c:ptCount val="27"/>
                <c:pt idx="0">
                  <c:v>1.5489749430523918</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19.908883826879272</c:v>
                </c:pt>
              </c:numCache>
            </c:numRef>
          </c:xVal>
          <c:yVal>
            <c:numRef>
              <c:f>'Graph tools'!$X$5:$X$31</c:f>
              <c:numCache>
                <c:formatCode>General</c:formatCode>
                <c:ptCount val="27"/>
                <c:pt idx="0">
                  <c:v>0</c:v>
                </c:pt>
                <c:pt idx="1">
                  <c:v>#N/A</c:v>
                </c:pt>
                <c:pt idx="2">
                  <c:v>#N/A</c:v>
                </c:pt>
                <c:pt idx="3">
                  <c:v>#N/A</c:v>
                </c:pt>
                <c:pt idx="4">
                  <c:v>#N/A</c:v>
                </c:pt>
                <c:pt idx="5">
                  <c:v>1.04</c:v>
                </c:pt>
                <c:pt idx="6">
                  <c:v>2.2999999999999998</c:v>
                </c:pt>
                <c:pt idx="7">
                  <c:v>4.08</c:v>
                </c:pt>
                <c:pt idx="8">
                  <c:v>6.09</c:v>
                </c:pt>
                <c:pt idx="9">
                  <c:v>8.34</c:v>
                </c:pt>
                <c:pt idx="10">
                  <c:v>10.26</c:v>
                </c:pt>
                <c:pt idx="11">
                  <c:v>11.35</c:v>
                </c:pt>
                <c:pt idx="12">
                  <c:v>11.72</c:v>
                </c:pt>
                <c:pt idx="13">
                  <c:v>11.76</c:v>
                </c:pt>
                <c:pt idx="14">
                  <c:v>11.62</c:v>
                </c:pt>
                <c:pt idx="15">
                  <c:v>11.1</c:v>
                </c:pt>
                <c:pt idx="16">
                  <c:v>10.029999999999999</c:v>
                </c:pt>
                <c:pt idx="17">
                  <c:v>8.15</c:v>
                </c:pt>
                <c:pt idx="18">
                  <c:v>6.8</c:v>
                </c:pt>
                <c:pt idx="19">
                  <c:v>5.0999999999999996</c:v>
                </c:pt>
                <c:pt idx="20">
                  <c:v>3.52</c:v>
                </c:pt>
                <c:pt idx="21">
                  <c:v>2.23</c:v>
                </c:pt>
                <c:pt idx="22">
                  <c:v>1.7</c:v>
                </c:pt>
                <c:pt idx="23">
                  <c:v>1.27</c:v>
                </c:pt>
                <c:pt idx="24">
                  <c:v>0.86</c:v>
                </c:pt>
                <c:pt idx="25">
                  <c:v>#N/A</c:v>
                </c:pt>
                <c:pt idx="26">
                  <c:v>0</c:v>
                </c:pt>
              </c:numCache>
            </c:numRef>
          </c:yVal>
          <c:smooth val="1"/>
        </c:ser>
        <c:ser>
          <c:idx val="3"/>
          <c:order val="3"/>
          <c:tx>
            <c:strRef>
              <c:f>Tools!$CP$65</c:f>
              <c:strCache>
                <c:ptCount val="1"/>
                <c:pt idx="0">
                  <c:v>WL 1.5</c:v>
                </c:pt>
              </c:strCache>
            </c:strRef>
          </c:tx>
          <c:spPr>
            <a:ln w="3175"/>
          </c:spPr>
          <c:marker>
            <c:symbol val="none"/>
          </c:marker>
          <c:xVal>
            <c:numRef>
              <c:f>('Graph tools'!$G$9,'Graph tools'!$U$6:$U$30,'Graph tools'!$E$9)</c:f>
              <c:numCache>
                <c:formatCode>General</c:formatCode>
                <c:ptCount val="27"/>
                <c:pt idx="0">
                  <c:v>1.3515565679574795</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20.197418375094916</c:v>
                </c:pt>
              </c:numCache>
            </c:numRef>
          </c:xVal>
          <c:yVal>
            <c:numRef>
              <c:f>'Graph tools'!$Y$5:$Y$31</c:f>
              <c:numCache>
                <c:formatCode>General</c:formatCode>
                <c:ptCount val="27"/>
                <c:pt idx="0">
                  <c:v>0</c:v>
                </c:pt>
                <c:pt idx="1">
                  <c:v>#N/A</c:v>
                </c:pt>
                <c:pt idx="2">
                  <c:v>#N/A</c:v>
                </c:pt>
                <c:pt idx="3">
                  <c:v>#N/A</c:v>
                </c:pt>
                <c:pt idx="4">
                  <c:v>0.4</c:v>
                </c:pt>
                <c:pt idx="5">
                  <c:v>1.5</c:v>
                </c:pt>
                <c:pt idx="6">
                  <c:v>2.7</c:v>
                </c:pt>
                <c:pt idx="7">
                  <c:v>4.8</c:v>
                </c:pt>
                <c:pt idx="8">
                  <c:v>7.37</c:v>
                </c:pt>
                <c:pt idx="9">
                  <c:v>9.82</c:v>
                </c:pt>
                <c:pt idx="10">
                  <c:v>11.25</c:v>
                </c:pt>
                <c:pt idx="11">
                  <c:v>11.9</c:v>
                </c:pt>
                <c:pt idx="12">
                  <c:v>12.12</c:v>
                </c:pt>
                <c:pt idx="13">
                  <c:v>12.14</c:v>
                </c:pt>
                <c:pt idx="14">
                  <c:v>12.04</c:v>
                </c:pt>
                <c:pt idx="15">
                  <c:v>11.63</c:v>
                </c:pt>
                <c:pt idx="16">
                  <c:v>10.68</c:v>
                </c:pt>
                <c:pt idx="17">
                  <c:v>9.25</c:v>
                </c:pt>
                <c:pt idx="18">
                  <c:v>7.54</c:v>
                </c:pt>
                <c:pt idx="19">
                  <c:v>5.74</c:v>
                </c:pt>
                <c:pt idx="20">
                  <c:v>4.0599999999999996</c:v>
                </c:pt>
                <c:pt idx="21">
                  <c:v>2.69</c:v>
                </c:pt>
                <c:pt idx="22">
                  <c:v>2.14</c:v>
                </c:pt>
                <c:pt idx="23">
                  <c:v>1.68</c:v>
                </c:pt>
                <c:pt idx="24">
                  <c:v>1.29</c:v>
                </c:pt>
                <c:pt idx="25">
                  <c:v>0.76</c:v>
                </c:pt>
                <c:pt idx="26">
                  <c:v>0</c:v>
                </c:pt>
              </c:numCache>
            </c:numRef>
          </c:yVal>
          <c:smooth val="1"/>
        </c:ser>
        <c:ser>
          <c:idx val="4"/>
          <c:order val="4"/>
          <c:tx>
            <c:strRef>
              <c:f>Tools!$CP$66</c:f>
              <c:strCache>
                <c:ptCount val="1"/>
                <c:pt idx="0">
                  <c:v>WL 2</c:v>
                </c:pt>
              </c:strCache>
            </c:strRef>
          </c:tx>
          <c:spPr>
            <a:ln w="3175"/>
          </c:spPr>
          <c:marker>
            <c:symbol val="none"/>
          </c:marker>
          <c:xVal>
            <c:numRef>
              <c:f>('Graph tools'!$G$10,'Graph tools'!$U$6:$U$30,'Graph tools'!$E$10)</c:f>
              <c:numCache>
                <c:formatCode>General</c:formatCode>
                <c:ptCount val="27"/>
                <c:pt idx="0">
                  <c:v>1.1845102505694762</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20.426727410782082</c:v>
                </c:pt>
              </c:numCache>
            </c:numRef>
          </c:xVal>
          <c:yVal>
            <c:numRef>
              <c:f>'Graph tools'!$Z$5:$Z$31</c:f>
              <c:numCache>
                <c:formatCode>General</c:formatCode>
                <c:ptCount val="27"/>
                <c:pt idx="0">
                  <c:v>0</c:v>
                </c:pt>
                <c:pt idx="1">
                  <c:v>#N/A</c:v>
                </c:pt>
                <c:pt idx="2">
                  <c:v>#N/A</c:v>
                </c:pt>
                <c:pt idx="3">
                  <c:v>#N/A</c:v>
                </c:pt>
                <c:pt idx="4">
                  <c:v>0.7</c:v>
                </c:pt>
                <c:pt idx="5">
                  <c:v>1.7</c:v>
                </c:pt>
                <c:pt idx="6">
                  <c:v>3.1</c:v>
                </c:pt>
                <c:pt idx="7">
                  <c:v>5.8</c:v>
                </c:pt>
                <c:pt idx="8">
                  <c:v>9.0299999999999994</c:v>
                </c:pt>
                <c:pt idx="9">
                  <c:v>10.92</c:v>
                </c:pt>
                <c:pt idx="10">
                  <c:v>11.86</c:v>
                </c:pt>
                <c:pt idx="11">
                  <c:v>12.18</c:v>
                </c:pt>
                <c:pt idx="12">
                  <c:v>12.25</c:v>
                </c:pt>
                <c:pt idx="13">
                  <c:v>12.25</c:v>
                </c:pt>
                <c:pt idx="14">
                  <c:v>12.21</c:v>
                </c:pt>
                <c:pt idx="15">
                  <c:v>11.92</c:v>
                </c:pt>
                <c:pt idx="16">
                  <c:v>11.1</c:v>
                </c:pt>
                <c:pt idx="17">
                  <c:v>9.75</c:v>
                </c:pt>
                <c:pt idx="18">
                  <c:v>8.08</c:v>
                </c:pt>
                <c:pt idx="19">
                  <c:v>6.23</c:v>
                </c:pt>
                <c:pt idx="20">
                  <c:v>4.43</c:v>
                </c:pt>
                <c:pt idx="21">
                  <c:v>2.97</c:v>
                </c:pt>
                <c:pt idx="22">
                  <c:v>2.4</c:v>
                </c:pt>
                <c:pt idx="23">
                  <c:v>1.96</c:v>
                </c:pt>
                <c:pt idx="24">
                  <c:v>1.6</c:v>
                </c:pt>
                <c:pt idx="25">
                  <c:v>1.1499999999999999</c:v>
                </c:pt>
                <c:pt idx="26">
                  <c:v>0</c:v>
                </c:pt>
              </c:numCache>
            </c:numRef>
          </c:yVal>
          <c:smooth val="1"/>
        </c:ser>
        <c:ser>
          <c:idx val="5"/>
          <c:order val="5"/>
          <c:tx>
            <c:strRef>
              <c:f>Tools!$CP$67</c:f>
              <c:strCache>
                <c:ptCount val="1"/>
                <c:pt idx="0">
                  <c:v>WL 3</c:v>
                </c:pt>
              </c:strCache>
            </c:strRef>
          </c:tx>
          <c:spPr>
            <a:ln w="3175"/>
          </c:spPr>
          <c:marker>
            <c:symbol val="none"/>
          </c:marker>
          <c:xVal>
            <c:numRef>
              <c:f>('Graph tools'!$G$11,'Graph tools'!$U$6:$U$30,'Graph tools'!$E$11)</c:f>
              <c:numCache>
                <c:formatCode>General</c:formatCode>
                <c:ptCount val="27"/>
                <c:pt idx="0">
                  <c:v>1.3667425968109341</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20.563401670463175</c:v>
                </c:pt>
              </c:numCache>
            </c:numRef>
          </c:xVal>
          <c:yVal>
            <c:numRef>
              <c:f>'Graph tools'!$AA$5:$AA$31</c:f>
              <c:numCache>
                <c:formatCode>General</c:formatCode>
                <c:ptCount val="27"/>
                <c:pt idx="0">
                  <c:v>0</c:v>
                </c:pt>
                <c:pt idx="1">
                  <c:v>#N/A</c:v>
                </c:pt>
                <c:pt idx="2">
                  <c:v>#N/A</c:v>
                </c:pt>
                <c:pt idx="3">
                  <c:v>#N/A</c:v>
                </c:pt>
                <c:pt idx="4">
                  <c:v>1.2</c:v>
                </c:pt>
                <c:pt idx="5">
                  <c:v>2.7</c:v>
                </c:pt>
                <c:pt idx="6">
                  <c:v>5.7</c:v>
                </c:pt>
                <c:pt idx="7">
                  <c:v>9.1999999999999993</c:v>
                </c:pt>
                <c:pt idx="8">
                  <c:v>11.15</c:v>
                </c:pt>
                <c:pt idx="9">
                  <c:v>11.97</c:v>
                </c:pt>
                <c:pt idx="10">
                  <c:v>12.25</c:v>
                </c:pt>
                <c:pt idx="11">
                  <c:v>12.25</c:v>
                </c:pt>
                <c:pt idx="12">
                  <c:v>12.25</c:v>
                </c:pt>
                <c:pt idx="13">
                  <c:v>12.25</c:v>
                </c:pt>
                <c:pt idx="14">
                  <c:v>12.25</c:v>
                </c:pt>
                <c:pt idx="15">
                  <c:v>12.2</c:v>
                </c:pt>
                <c:pt idx="16">
                  <c:v>11.64</c:v>
                </c:pt>
                <c:pt idx="17">
                  <c:v>10.5</c:v>
                </c:pt>
                <c:pt idx="18">
                  <c:v>8.91</c:v>
                </c:pt>
                <c:pt idx="19">
                  <c:v>7.02</c:v>
                </c:pt>
                <c:pt idx="20">
                  <c:v>5.03</c:v>
                </c:pt>
                <c:pt idx="21">
                  <c:v>3.25</c:v>
                </c:pt>
                <c:pt idx="22">
                  <c:v>2.57</c:v>
                </c:pt>
                <c:pt idx="23">
                  <c:v>2.1</c:v>
                </c:pt>
                <c:pt idx="24">
                  <c:v>1.77</c:v>
                </c:pt>
                <c:pt idx="25">
                  <c:v>1.45</c:v>
                </c:pt>
                <c:pt idx="26">
                  <c:v>0</c:v>
                </c:pt>
              </c:numCache>
            </c:numRef>
          </c:yVal>
          <c:smooth val="1"/>
        </c:ser>
        <c:ser>
          <c:idx val="6"/>
          <c:order val="6"/>
          <c:tx>
            <c:strRef>
              <c:f>Tools!$CP$68</c:f>
              <c:strCache>
                <c:ptCount val="1"/>
                <c:pt idx="0">
                  <c:v>WL 4</c:v>
                </c:pt>
              </c:strCache>
            </c:strRef>
          </c:tx>
          <c:spPr>
            <a:ln w="3175"/>
          </c:spPr>
          <c:marker>
            <c:symbol val="none"/>
          </c:marker>
          <c:xVal>
            <c:numRef>
              <c:f>('Graph tools'!$G$12,'Graph tools'!$U$6:$U$30,'Graph tools'!$E$12)</c:f>
              <c:numCache>
                <c:formatCode>General</c:formatCode>
                <c:ptCount val="27"/>
                <c:pt idx="0">
                  <c:v>1.2452543659832955</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20.563401670463175</c:v>
                </c:pt>
              </c:numCache>
            </c:numRef>
          </c:xVal>
          <c:yVal>
            <c:numRef>
              <c:f>'Graph tools'!$AB$5:$AB$31</c:f>
              <c:numCache>
                <c:formatCode>General</c:formatCode>
                <c:ptCount val="27"/>
                <c:pt idx="0">
                  <c:v>0</c:v>
                </c:pt>
                <c:pt idx="1">
                  <c:v>#N/A</c:v>
                </c:pt>
                <c:pt idx="2">
                  <c:v>#N/A</c:v>
                </c:pt>
                <c:pt idx="3">
                  <c:v>#N/A</c:v>
                </c:pt>
                <c:pt idx="4">
                  <c:v>2.4</c:v>
                </c:pt>
                <c:pt idx="5">
                  <c:v>5.5</c:v>
                </c:pt>
                <c:pt idx="6">
                  <c:v>9.6999999999999993</c:v>
                </c:pt>
                <c:pt idx="7">
                  <c:v>11.17</c:v>
                </c:pt>
                <c:pt idx="8">
                  <c:v>11.95</c:v>
                </c:pt>
                <c:pt idx="9">
                  <c:v>12.25</c:v>
                </c:pt>
                <c:pt idx="10">
                  <c:v>12.25</c:v>
                </c:pt>
                <c:pt idx="11">
                  <c:v>12.25</c:v>
                </c:pt>
                <c:pt idx="12">
                  <c:v>12.25</c:v>
                </c:pt>
                <c:pt idx="13">
                  <c:v>12.25</c:v>
                </c:pt>
                <c:pt idx="14">
                  <c:v>12.25</c:v>
                </c:pt>
                <c:pt idx="15">
                  <c:v>12.25</c:v>
                </c:pt>
                <c:pt idx="16">
                  <c:v>11.97</c:v>
                </c:pt>
                <c:pt idx="17">
                  <c:v>11.06</c:v>
                </c:pt>
                <c:pt idx="18">
                  <c:v>9.64</c:v>
                </c:pt>
                <c:pt idx="19">
                  <c:v>7.81</c:v>
                </c:pt>
                <c:pt idx="20">
                  <c:v>5.69</c:v>
                </c:pt>
                <c:pt idx="21">
                  <c:v>3.51</c:v>
                </c:pt>
                <c:pt idx="22">
                  <c:v>2.5499999999999998</c:v>
                </c:pt>
                <c:pt idx="23">
                  <c:v>1.8</c:v>
                </c:pt>
                <c:pt idx="24">
                  <c:v>1.31</c:v>
                </c:pt>
                <c:pt idx="25">
                  <c:v>1.04</c:v>
                </c:pt>
                <c:pt idx="26">
                  <c:v>0</c:v>
                </c:pt>
              </c:numCache>
            </c:numRef>
          </c:yVal>
          <c:smooth val="1"/>
        </c:ser>
        <c:ser>
          <c:idx val="7"/>
          <c:order val="7"/>
          <c:tx>
            <c:strRef>
              <c:f>Tools!$CP$69</c:f>
              <c:strCache>
                <c:ptCount val="1"/>
                <c:pt idx="0">
                  <c:v>WL 5</c:v>
                </c:pt>
              </c:strCache>
            </c:strRef>
          </c:tx>
          <c:spPr>
            <a:ln w="3175"/>
          </c:spPr>
          <c:marker>
            <c:symbol val="none"/>
          </c:marker>
          <c:xVal>
            <c:numRef>
              <c:f>('Graph tools'!$G$13,'Graph tools'!$U$6:$U$30,'Graph tools'!$E$13)</c:f>
              <c:numCache>
                <c:formatCode>General</c:formatCode>
                <c:ptCount val="27"/>
                <c:pt idx="0">
                  <c:v>0.46317388003037208</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20.318906605922553</c:v>
                </c:pt>
              </c:numCache>
            </c:numRef>
          </c:xVal>
          <c:yVal>
            <c:numRef>
              <c:f>'Graph tools'!$AC$5:$AC$31</c:f>
              <c:numCache>
                <c:formatCode>General</c:formatCode>
                <c:ptCount val="27"/>
                <c:pt idx="0">
                  <c:v>0</c:v>
                </c:pt>
                <c:pt idx="1">
                  <c:v>#N/A</c:v>
                </c:pt>
                <c:pt idx="2">
                  <c:v>1.2</c:v>
                </c:pt>
                <c:pt idx="3">
                  <c:v>6.12</c:v>
                </c:pt>
                <c:pt idx="4">
                  <c:v>8.5500000000000007</c:v>
                </c:pt>
                <c:pt idx="5">
                  <c:v>9.9</c:v>
                </c:pt>
                <c:pt idx="6">
                  <c:v>11.23</c:v>
                </c:pt>
                <c:pt idx="7">
                  <c:v>11.91</c:v>
                </c:pt>
                <c:pt idx="8">
                  <c:v>12.22</c:v>
                </c:pt>
                <c:pt idx="9">
                  <c:v>12.25</c:v>
                </c:pt>
                <c:pt idx="10">
                  <c:v>12.25</c:v>
                </c:pt>
                <c:pt idx="11">
                  <c:v>12.25</c:v>
                </c:pt>
                <c:pt idx="12">
                  <c:v>12.25</c:v>
                </c:pt>
                <c:pt idx="13">
                  <c:v>12.25</c:v>
                </c:pt>
                <c:pt idx="14">
                  <c:v>12.25</c:v>
                </c:pt>
                <c:pt idx="15">
                  <c:v>12.25</c:v>
                </c:pt>
                <c:pt idx="16">
                  <c:v>12.18</c:v>
                </c:pt>
                <c:pt idx="17">
                  <c:v>11.46</c:v>
                </c:pt>
                <c:pt idx="18">
                  <c:v>10.26</c:v>
                </c:pt>
                <c:pt idx="19">
                  <c:v>8.6300000000000008</c:v>
                </c:pt>
                <c:pt idx="20">
                  <c:v>6.59</c:v>
                </c:pt>
                <c:pt idx="21">
                  <c:v>4.28</c:v>
                </c:pt>
                <c:pt idx="22">
                  <c:v>3.12</c:v>
                </c:pt>
                <c:pt idx="23">
                  <c:v>2</c:v>
                </c:pt>
                <c:pt idx="24">
                  <c:v>1</c:v>
                </c:pt>
                <c:pt idx="25">
                  <c:v>0</c:v>
                </c:pt>
                <c:pt idx="26">
                  <c:v>0</c:v>
                </c:pt>
              </c:numCache>
            </c:numRef>
          </c:yVal>
          <c:smooth val="1"/>
        </c:ser>
        <c:ser>
          <c:idx val="8"/>
          <c:order val="8"/>
          <c:tx>
            <c:strRef>
              <c:f>Tools!$CP$70</c:f>
              <c:strCache>
                <c:ptCount val="1"/>
                <c:pt idx="0">
                  <c:v>LWL</c:v>
                </c:pt>
              </c:strCache>
            </c:strRef>
          </c:tx>
          <c:spPr>
            <a:ln w="3175"/>
          </c:spPr>
          <c:marker>
            <c:symbol val="none"/>
          </c:marker>
          <c:xVal>
            <c:numRef>
              <c:f>('Graph tools'!$G$14,'Graph tools'!$U$6:$U$30,'Graph tools'!$E$14)</c:f>
              <c:numCache>
                <c:formatCode>General</c:formatCode>
                <c:ptCount val="27"/>
                <c:pt idx="0">
                  <c:v>-0.16704631738800307</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19.984813971146547</c:v>
                </c:pt>
              </c:numCache>
            </c:numRef>
          </c:xVal>
          <c:yVal>
            <c:numRef>
              <c:f>'Graph tools'!$AD$5:$AD$31</c:f>
              <c:numCache>
                <c:formatCode>General</c:formatCode>
                <c:ptCount val="27"/>
                <c:pt idx="0">
                  <c:v>0</c:v>
                </c:pt>
                <c:pt idx="1">
                  <c:v>2.8919999999999999</c:v>
                </c:pt>
                <c:pt idx="2">
                  <c:v>6.8</c:v>
                </c:pt>
                <c:pt idx="3">
                  <c:v>8.8000000000000007</c:v>
                </c:pt>
                <c:pt idx="4">
                  <c:v>10.14</c:v>
                </c:pt>
                <c:pt idx="5">
                  <c:v>10.9</c:v>
                </c:pt>
                <c:pt idx="6">
                  <c:v>11.7</c:v>
                </c:pt>
                <c:pt idx="7">
                  <c:v>12.14</c:v>
                </c:pt>
                <c:pt idx="8">
                  <c:v>12.25</c:v>
                </c:pt>
                <c:pt idx="9">
                  <c:v>12.25</c:v>
                </c:pt>
                <c:pt idx="10">
                  <c:v>12.25</c:v>
                </c:pt>
                <c:pt idx="11">
                  <c:v>12.25</c:v>
                </c:pt>
                <c:pt idx="12">
                  <c:v>12.25</c:v>
                </c:pt>
                <c:pt idx="13">
                  <c:v>12.25</c:v>
                </c:pt>
                <c:pt idx="14">
                  <c:v>12.25</c:v>
                </c:pt>
                <c:pt idx="15">
                  <c:v>12.25</c:v>
                </c:pt>
                <c:pt idx="16">
                  <c:v>12.22</c:v>
                </c:pt>
                <c:pt idx="17">
                  <c:v>11.67</c:v>
                </c:pt>
                <c:pt idx="18">
                  <c:v>10.6</c:v>
                </c:pt>
                <c:pt idx="19">
                  <c:v>9.1199999999999992</c:v>
                </c:pt>
                <c:pt idx="20">
                  <c:v>7.22</c:v>
                </c:pt>
                <c:pt idx="21">
                  <c:v>4.97</c:v>
                </c:pt>
                <c:pt idx="22">
                  <c:v>3.79</c:v>
                </c:pt>
                <c:pt idx="23">
                  <c:v>2.61</c:v>
                </c:pt>
                <c:pt idx="24">
                  <c:v>1.44</c:v>
                </c:pt>
                <c:pt idx="25">
                  <c:v>#N/A</c:v>
                </c:pt>
                <c:pt idx="26">
                  <c:v>0</c:v>
                </c:pt>
              </c:numCache>
            </c:numRef>
          </c:yVal>
          <c:smooth val="1"/>
        </c:ser>
        <c:ser>
          <c:idx val="9"/>
          <c:order val="9"/>
          <c:tx>
            <c:strRef>
              <c:f>Tools!$CP$71</c:f>
              <c:strCache>
                <c:ptCount val="1"/>
                <c:pt idx="0">
                  <c:v>WL 6</c:v>
                </c:pt>
              </c:strCache>
            </c:strRef>
          </c:tx>
          <c:spPr>
            <a:ln w="3175"/>
          </c:spPr>
          <c:marker>
            <c:symbol val="none"/>
          </c:marker>
          <c:xVal>
            <c:numRef>
              <c:f>('Graph tools'!$G$15,'Graph tools'!$U$6:$U$30,'Graph tools'!$E$15)</c:f>
              <c:numCache>
                <c:formatCode>General</c:formatCode>
                <c:ptCount val="27"/>
                <c:pt idx="0">
                  <c:v>-0.59225512528473812</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20.075930144267275</c:v>
                </c:pt>
              </c:numCache>
            </c:numRef>
          </c:xVal>
          <c:yVal>
            <c:numRef>
              <c:f>'Graph tools'!$AE$5:$AE$31</c:f>
              <c:numCache>
                <c:formatCode>General</c:formatCode>
                <c:ptCount val="27"/>
                <c:pt idx="0">
                  <c:v>0</c:v>
                </c:pt>
                <c:pt idx="1">
                  <c:v>6.2</c:v>
                </c:pt>
                <c:pt idx="2">
                  <c:v>8.4600000000000009</c:v>
                </c:pt>
                <c:pt idx="3">
                  <c:v>9.84</c:v>
                </c:pt>
                <c:pt idx="4">
                  <c:v>10.78</c:v>
                </c:pt>
                <c:pt idx="5">
                  <c:v>11.34</c:v>
                </c:pt>
                <c:pt idx="6">
                  <c:v>11.93</c:v>
                </c:pt>
                <c:pt idx="7">
                  <c:v>12.2</c:v>
                </c:pt>
                <c:pt idx="8">
                  <c:v>12.25</c:v>
                </c:pt>
                <c:pt idx="9">
                  <c:v>12.25</c:v>
                </c:pt>
                <c:pt idx="10">
                  <c:v>12.25</c:v>
                </c:pt>
                <c:pt idx="11">
                  <c:v>12.25</c:v>
                </c:pt>
                <c:pt idx="12">
                  <c:v>12.25</c:v>
                </c:pt>
                <c:pt idx="13">
                  <c:v>12.25</c:v>
                </c:pt>
                <c:pt idx="14">
                  <c:v>12.25</c:v>
                </c:pt>
                <c:pt idx="15">
                  <c:v>12.25</c:v>
                </c:pt>
                <c:pt idx="16">
                  <c:v>12.23</c:v>
                </c:pt>
                <c:pt idx="17">
                  <c:v>11.79</c:v>
                </c:pt>
                <c:pt idx="18">
                  <c:v>10.8</c:v>
                </c:pt>
                <c:pt idx="19">
                  <c:v>9.43</c:v>
                </c:pt>
                <c:pt idx="20">
                  <c:v>7.64</c:v>
                </c:pt>
                <c:pt idx="21">
                  <c:v>5.47</c:v>
                </c:pt>
                <c:pt idx="22">
                  <c:v>4.3</c:v>
                </c:pt>
                <c:pt idx="23">
                  <c:v>3.1</c:v>
                </c:pt>
                <c:pt idx="24">
                  <c:v>1.74</c:v>
                </c:pt>
                <c:pt idx="25">
                  <c:v>0.25</c:v>
                </c:pt>
                <c:pt idx="26">
                  <c:v>0</c:v>
                </c:pt>
              </c:numCache>
            </c:numRef>
          </c:yVal>
          <c:smooth val="1"/>
        </c:ser>
        <c:ser>
          <c:idx val="10"/>
          <c:order val="10"/>
          <c:tx>
            <c:strRef>
              <c:f>Tools!$CP$72</c:f>
              <c:strCache>
                <c:ptCount val="1"/>
                <c:pt idx="0">
                  <c:v>WL 7</c:v>
                </c:pt>
              </c:strCache>
            </c:strRef>
          </c:tx>
          <c:spPr>
            <a:ln w="3175"/>
          </c:spPr>
          <c:marker>
            <c:symbol val="none"/>
          </c:marker>
          <c:xVal>
            <c:numRef>
              <c:f>('Graph tools'!$G$16,'Graph tools'!$U$6:$U$30,'Graph tools'!$E$16)</c:f>
              <c:numCache>
                <c:formatCode>General</c:formatCode>
                <c:ptCount val="27"/>
                <c:pt idx="0">
                  <c:v>-0.80485952923310566</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20.303720577069097</c:v>
                </c:pt>
              </c:numCache>
            </c:numRef>
          </c:xVal>
          <c:yVal>
            <c:numRef>
              <c:f>'Graph tools'!$AF$5:$AF$31</c:f>
              <c:numCache>
                <c:formatCode>General</c:formatCode>
                <c:ptCount val="27"/>
                <c:pt idx="0">
                  <c:v>0</c:v>
                </c:pt>
                <c:pt idx="1">
                  <c:v>9.6</c:v>
                </c:pt>
                <c:pt idx="2">
                  <c:v>10.63</c:v>
                </c:pt>
                <c:pt idx="3">
                  <c:v>11.33</c:v>
                </c:pt>
                <c:pt idx="4">
                  <c:v>11.77</c:v>
                </c:pt>
                <c:pt idx="5">
                  <c:v>12</c:v>
                </c:pt>
                <c:pt idx="6">
                  <c:v>12.21</c:v>
                </c:pt>
                <c:pt idx="7">
                  <c:v>12.25</c:v>
                </c:pt>
                <c:pt idx="8">
                  <c:v>12.25</c:v>
                </c:pt>
                <c:pt idx="9">
                  <c:v>12.25</c:v>
                </c:pt>
                <c:pt idx="10">
                  <c:v>12.25</c:v>
                </c:pt>
                <c:pt idx="11">
                  <c:v>12.25</c:v>
                </c:pt>
                <c:pt idx="12">
                  <c:v>12.25</c:v>
                </c:pt>
                <c:pt idx="13">
                  <c:v>12.25</c:v>
                </c:pt>
                <c:pt idx="14">
                  <c:v>12.25</c:v>
                </c:pt>
                <c:pt idx="15">
                  <c:v>12.25</c:v>
                </c:pt>
                <c:pt idx="16">
                  <c:v>12.23</c:v>
                </c:pt>
                <c:pt idx="17">
                  <c:v>12.07</c:v>
                </c:pt>
                <c:pt idx="18">
                  <c:v>11.29</c:v>
                </c:pt>
                <c:pt idx="19">
                  <c:v>10.199999999999999</c:v>
                </c:pt>
                <c:pt idx="20">
                  <c:v>8.73</c:v>
                </c:pt>
                <c:pt idx="21">
                  <c:v>6.84</c:v>
                </c:pt>
                <c:pt idx="22">
                  <c:v>5.71</c:v>
                </c:pt>
                <c:pt idx="23">
                  <c:v>4.42</c:v>
                </c:pt>
                <c:pt idx="24">
                  <c:v>2.79</c:v>
                </c:pt>
                <c:pt idx="25">
                  <c:v>0.85</c:v>
                </c:pt>
                <c:pt idx="26">
                  <c:v>0</c:v>
                </c:pt>
              </c:numCache>
            </c:numRef>
          </c:yVal>
          <c:smooth val="1"/>
        </c:ser>
        <c:ser>
          <c:idx val="11"/>
          <c:order val="11"/>
          <c:tx>
            <c:strRef>
              <c:f>Tools!$CP$73</c:f>
              <c:strCache>
                <c:ptCount val="1"/>
                <c:pt idx="0">
                  <c:v>MDK</c:v>
                </c:pt>
              </c:strCache>
            </c:strRef>
          </c:tx>
          <c:spPr>
            <a:ln w="3175"/>
          </c:spPr>
          <c:marker>
            <c:symbol val="none"/>
          </c:marker>
          <c:xVal>
            <c:numRef>
              <c:f>('Graph tools'!$G$17,'Graph tools'!$U$6:$U$30,'Graph tools'!$E$17)</c:f>
              <c:numCache>
                <c:formatCode>General</c:formatCode>
                <c:ptCount val="27"/>
                <c:pt idx="0">
                  <c:v>-0.85801063022019763</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20.501138952164013</c:v>
                </c:pt>
              </c:numCache>
            </c:numRef>
          </c:xVal>
          <c:yVal>
            <c:numRef>
              <c:f>'Graph tools'!$AG$5:$AG$31</c:f>
              <c:numCache>
                <c:formatCode>General</c:formatCode>
                <c:ptCount val="27"/>
                <c:pt idx="0">
                  <c:v>0</c:v>
                </c:pt>
                <c:pt idx="1">
                  <c:v>10.89</c:v>
                </c:pt>
                <c:pt idx="2">
                  <c:v>11.52</c:v>
                </c:pt>
                <c:pt idx="3">
                  <c:v>11.9</c:v>
                </c:pt>
                <c:pt idx="4">
                  <c:v>12.1</c:v>
                </c:pt>
                <c:pt idx="5">
                  <c:v>12.2</c:v>
                </c:pt>
                <c:pt idx="6">
                  <c:v>12.23</c:v>
                </c:pt>
                <c:pt idx="7">
                  <c:v>12.25</c:v>
                </c:pt>
                <c:pt idx="8">
                  <c:v>12.25</c:v>
                </c:pt>
                <c:pt idx="9">
                  <c:v>12.25</c:v>
                </c:pt>
                <c:pt idx="10">
                  <c:v>12.25</c:v>
                </c:pt>
                <c:pt idx="11">
                  <c:v>12.25</c:v>
                </c:pt>
                <c:pt idx="12">
                  <c:v>12.25</c:v>
                </c:pt>
                <c:pt idx="13">
                  <c:v>12.25</c:v>
                </c:pt>
                <c:pt idx="14">
                  <c:v>12.25</c:v>
                </c:pt>
                <c:pt idx="15">
                  <c:v>12.25</c:v>
                </c:pt>
                <c:pt idx="16">
                  <c:v>12.25</c:v>
                </c:pt>
                <c:pt idx="17">
                  <c:v>12.23</c:v>
                </c:pt>
                <c:pt idx="18">
                  <c:v>12.15</c:v>
                </c:pt>
                <c:pt idx="19">
                  <c:v>11.75</c:v>
                </c:pt>
                <c:pt idx="20">
                  <c:v>10.94</c:v>
                </c:pt>
                <c:pt idx="21">
                  <c:v>9.77</c:v>
                </c:pt>
                <c:pt idx="22">
                  <c:v>8.1</c:v>
                </c:pt>
                <c:pt idx="23">
                  <c:v>5.76</c:v>
                </c:pt>
                <c:pt idx="24">
                  <c:v>4.0999999999999996</c:v>
                </c:pt>
                <c:pt idx="25">
                  <c:v>1.78</c:v>
                </c:pt>
                <c:pt idx="26">
                  <c:v>0</c:v>
                </c:pt>
              </c:numCache>
            </c:numRef>
          </c:yVal>
          <c:smooth val="1"/>
        </c:ser>
        <c:ser>
          <c:idx val="12"/>
          <c:order val="12"/>
          <c:tx>
            <c:strRef>
              <c:f>Tools!$CP$74</c:f>
              <c:strCache>
                <c:ptCount val="1"/>
                <c:pt idx="0">
                  <c:v> </c:v>
                </c:pt>
              </c:strCache>
            </c:strRef>
          </c:tx>
          <c:spPr>
            <a:ln w="3175"/>
          </c:spPr>
          <c:marker>
            <c:symbol val="none"/>
          </c:marker>
          <c:xVal>
            <c:numRef>
              <c:f>('Graph tools'!$G$18,'Graph tools'!$U$6:$U$30,'Graph tools'!$E$18)</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tools'!$AH$5:$AH$31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13"/>
          <c:order val="13"/>
          <c:tx>
            <c:strRef>
              <c:f>Tools!$CP$75</c:f>
              <c:strCache>
                <c:ptCount val="1"/>
                <c:pt idx="0">
                  <c:v> </c:v>
                </c:pt>
              </c:strCache>
            </c:strRef>
          </c:tx>
          <c:spPr>
            <a:ln w="3175"/>
          </c:spPr>
          <c:marker>
            <c:symbol val="none"/>
          </c:marker>
          <c:xVal>
            <c:numRef>
              <c:f>('Graph tools'!$G$19,'Graph tools'!$U$6:$U$30,'Graph tools'!$E$19)</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tools'!$AI$5:$AI$31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14"/>
          <c:order val="14"/>
          <c:tx>
            <c:strRef>
              <c:f>Tools!$CP$76</c:f>
              <c:strCache>
                <c:ptCount val="1"/>
                <c:pt idx="0">
                  <c:v> </c:v>
                </c:pt>
              </c:strCache>
            </c:strRef>
          </c:tx>
          <c:spPr>
            <a:ln w="3175"/>
          </c:spPr>
          <c:marker>
            <c:symbol val="none"/>
          </c:marker>
          <c:xVal>
            <c:numRef>
              <c:f>('Graph tools'!$G$20,'Graph tools'!$U$6:$U$30,'Graph tools'!$E$20)</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tools'!$AJ$5:$AJ$31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15"/>
          <c:order val="15"/>
          <c:tx>
            <c:strRef>
              <c:f>Tools!$CP$77</c:f>
              <c:strCache>
                <c:ptCount val="1"/>
                <c:pt idx="0">
                  <c:v> </c:v>
                </c:pt>
              </c:strCache>
            </c:strRef>
          </c:tx>
          <c:spPr>
            <a:ln w="3175"/>
          </c:spPr>
          <c:marker>
            <c:symbol val="none"/>
          </c:marker>
          <c:xVal>
            <c:numRef>
              <c:f>('Graph tools'!$G$21,'Graph tools'!$U$6:$U$30,'Graph tools'!$E$21)</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tools'!$AK$5:$AK$31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16"/>
          <c:order val="16"/>
          <c:tx>
            <c:strRef>
              <c:f>Tools!$CP$78</c:f>
              <c:strCache>
                <c:ptCount val="1"/>
                <c:pt idx="0">
                  <c:v> </c:v>
                </c:pt>
              </c:strCache>
            </c:strRef>
          </c:tx>
          <c:spPr>
            <a:ln w="3175"/>
          </c:spPr>
          <c:marker>
            <c:symbol val="none"/>
          </c:marker>
          <c:xVal>
            <c:numRef>
              <c:f>('Graph tools'!$G$22,'Graph tools'!$U$6:$U$30,'Graph tools'!$E$22)</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tools'!$AL$5:$AL$31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17"/>
          <c:order val="17"/>
          <c:tx>
            <c:strRef>
              <c:f>Tools!$CP$79</c:f>
              <c:strCache>
                <c:ptCount val="1"/>
                <c:pt idx="0">
                  <c:v> </c:v>
                </c:pt>
              </c:strCache>
            </c:strRef>
          </c:tx>
          <c:spPr>
            <a:ln w="3175"/>
          </c:spPr>
          <c:marker>
            <c:symbol val="none"/>
          </c:marker>
          <c:xVal>
            <c:numRef>
              <c:f>('Graph tools'!$G$23,'Graph tools'!$U$6:$U$30,'Graph tools'!$E$23)</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tools'!$AM$5:$AM$31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18"/>
          <c:order val="18"/>
          <c:tx>
            <c:strRef>
              <c:f>Tools!$CP$80</c:f>
              <c:strCache>
                <c:ptCount val="1"/>
                <c:pt idx="0">
                  <c:v> </c:v>
                </c:pt>
              </c:strCache>
            </c:strRef>
          </c:tx>
          <c:spPr>
            <a:ln w="3175"/>
          </c:spPr>
          <c:marker>
            <c:symbol val="none"/>
          </c:marker>
          <c:xVal>
            <c:numRef>
              <c:f>('Graph tools'!$G$24,'Graph tools'!$U$6:$U$30,'Graph tools'!$E$24)</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tools'!$AN$5:$AN$31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19"/>
          <c:order val="19"/>
          <c:tx>
            <c:strRef>
              <c:f>Tools!$CP$81</c:f>
              <c:strCache>
                <c:ptCount val="1"/>
                <c:pt idx="0">
                  <c:v> </c:v>
                </c:pt>
              </c:strCache>
            </c:strRef>
          </c:tx>
          <c:spPr>
            <a:ln w="3175"/>
          </c:spPr>
          <c:marker>
            <c:symbol val="none"/>
          </c:marker>
          <c:xVal>
            <c:numRef>
              <c:f>('Graph tools'!$G$25,'Graph tools'!$U$6:$U$30,'Graph tools'!$E$25)</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tools'!$AO$5:$AO$31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20"/>
          <c:order val="20"/>
          <c:tx>
            <c:strRef>
              <c:f>Tools!$CP$82</c:f>
              <c:strCache>
                <c:ptCount val="1"/>
                <c:pt idx="0">
                  <c:v> </c:v>
                </c:pt>
              </c:strCache>
            </c:strRef>
          </c:tx>
          <c:spPr>
            <a:ln w="3175"/>
          </c:spPr>
          <c:marker>
            <c:symbol val="none"/>
          </c:marker>
          <c:xVal>
            <c:numRef>
              <c:f>('Graph tools'!$G$26,'Graph tools'!$U$6:$U$30,'Graph tools'!$E$26)</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tools'!$AP$5:$AP$31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21"/>
          <c:order val="21"/>
          <c:tx>
            <c:strRef>
              <c:f>Tools!$CP$83</c:f>
              <c:strCache>
                <c:ptCount val="1"/>
                <c:pt idx="0">
                  <c:v> </c:v>
                </c:pt>
              </c:strCache>
            </c:strRef>
          </c:tx>
          <c:spPr>
            <a:ln w="3175"/>
          </c:spPr>
          <c:marker>
            <c:symbol val="none"/>
          </c:marker>
          <c:xVal>
            <c:numRef>
              <c:f>('Graph tools'!$G$27,'Graph tools'!$U$6:$U$30,'Graph tools'!$E$27)</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tools'!$AQ$5:$AQ$31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22"/>
          <c:order val="22"/>
          <c:tx>
            <c:strRef>
              <c:f>Tools!$CP$84</c:f>
              <c:strCache>
                <c:ptCount val="1"/>
                <c:pt idx="0">
                  <c:v> </c:v>
                </c:pt>
              </c:strCache>
            </c:strRef>
          </c:tx>
          <c:spPr>
            <a:ln w="3175"/>
          </c:spPr>
          <c:marker>
            <c:symbol val="none"/>
          </c:marker>
          <c:xVal>
            <c:numRef>
              <c:f>('Graph tools'!$G$28,'Graph tools'!$U$6:$U$30,'Graph tools'!$E$28)</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tools'!$AR$5:$AR$31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23"/>
          <c:order val="23"/>
          <c:tx>
            <c:strRef>
              <c:f>Tools!$CP$85</c:f>
              <c:strCache>
                <c:ptCount val="1"/>
                <c:pt idx="0">
                  <c:v> </c:v>
                </c:pt>
              </c:strCache>
            </c:strRef>
          </c:tx>
          <c:spPr>
            <a:ln w="3175"/>
          </c:spPr>
          <c:marker>
            <c:symbol val="none"/>
          </c:marker>
          <c:xVal>
            <c:numRef>
              <c:f>('Graph tools'!$G$29,'Graph tools'!$U$6:$U$30,'Graph tools'!$E$29)</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tools'!$AS$5:$AS$31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24"/>
          <c:order val="24"/>
          <c:tx>
            <c:strRef>
              <c:f>Tools!$CP$86</c:f>
              <c:strCache>
                <c:ptCount val="1"/>
                <c:pt idx="0">
                  <c:v> </c:v>
                </c:pt>
              </c:strCache>
            </c:strRef>
          </c:tx>
          <c:spPr>
            <a:ln w="3175"/>
          </c:spPr>
          <c:marker>
            <c:symbol val="none"/>
          </c:marker>
          <c:xVal>
            <c:numRef>
              <c:f>('Graph tools'!$G$30,'Graph tools'!$U$6:$U$30,'Graph tools'!$E$30)</c:f>
              <c:numCache>
                <c:formatCode>General</c:formatCode>
                <c:ptCount val="27"/>
                <c:pt idx="0">
                  <c:v>#N/A</c:v>
                </c:pt>
                <c:pt idx="1">
                  <c:v>0</c:v>
                </c:pt>
                <c:pt idx="2">
                  <c:v>0.5</c:v>
                </c:pt>
                <c:pt idx="3">
                  <c:v>1</c:v>
                </c:pt>
                <c:pt idx="4">
                  <c:v>1.5</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18.5</c:v>
                </c:pt>
                <c:pt idx="23">
                  <c:v>19</c:v>
                </c:pt>
                <c:pt idx="24">
                  <c:v>19.5</c:v>
                </c:pt>
                <c:pt idx="25">
                  <c:v>20</c:v>
                </c:pt>
                <c:pt idx="26">
                  <c:v>#N/A</c:v>
                </c:pt>
              </c:numCache>
            </c:numRef>
          </c:xVal>
          <c:yVal>
            <c:numRef>
              <c:f>'Graph tools'!$AT$5:$AT$31</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yVal>
          <c:smooth val="1"/>
        </c:ser>
        <c:ser>
          <c:idx val="25"/>
          <c:order val="25"/>
          <c:tx>
            <c:strRef>
              <c:f>Tools!$CV$76</c:f>
              <c:strCache>
                <c:ptCount val="1"/>
                <c:pt idx="0">
                  <c:v>BTK 1</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Tools!$CW$76:$CX$76</c:f>
              <c:numCache>
                <c:formatCode>General</c:formatCode>
                <c:ptCount val="2"/>
                <c:pt idx="0">
                  <c:v>4.083333333333333</c:v>
                </c:pt>
                <c:pt idx="1">
                  <c:v>4.083333333333333</c:v>
                </c:pt>
              </c:numCache>
            </c:numRef>
          </c:yVal>
          <c:smooth val="1"/>
        </c:ser>
        <c:ser>
          <c:idx val="26"/>
          <c:order val="26"/>
          <c:tx>
            <c:strRef>
              <c:f>Tools!$CV$77</c:f>
              <c:strCache>
                <c:ptCount val="1"/>
                <c:pt idx="0">
                  <c:v>BTK 2</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Tools!$CW$77:$CX$77</c:f>
              <c:numCache>
                <c:formatCode>General</c:formatCode>
                <c:ptCount val="2"/>
                <c:pt idx="0">
                  <c:v>8.1666666666666661</c:v>
                </c:pt>
                <c:pt idx="1">
                  <c:v>8.1666666666666661</c:v>
                </c:pt>
              </c:numCache>
            </c:numRef>
          </c:yVal>
          <c:smooth val="1"/>
        </c:ser>
        <c:ser>
          <c:idx val="27"/>
          <c:order val="27"/>
          <c:tx>
            <c:strRef>
              <c:f>Tools!$CV$78</c:f>
              <c:strCache>
                <c:ptCount val="1"/>
                <c:pt idx="0">
                  <c:v>SIDE</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Tools!$CW$78:$CX$78</c:f>
              <c:numCache>
                <c:formatCode>General</c:formatCode>
                <c:ptCount val="2"/>
                <c:pt idx="0">
                  <c:v>12.25</c:v>
                </c:pt>
                <c:pt idx="1">
                  <c:v>12.25</c:v>
                </c:pt>
              </c:numCache>
            </c:numRef>
          </c:yVal>
          <c:smooth val="1"/>
        </c:ser>
        <c:ser>
          <c:idx val="28"/>
          <c:order val="28"/>
          <c:tx>
            <c:strRef>
              <c:f>Tools!$CV$79</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Tools!$CW$79:$CX$79</c:f>
              <c:numCache>
                <c:formatCode>General</c:formatCode>
                <c:ptCount val="2"/>
                <c:pt idx="0">
                  <c:v>0</c:v>
                </c:pt>
                <c:pt idx="1">
                  <c:v>0</c:v>
                </c:pt>
              </c:numCache>
            </c:numRef>
          </c:yVal>
          <c:smooth val="1"/>
        </c:ser>
        <c:ser>
          <c:idx val="29"/>
          <c:order val="29"/>
          <c:tx>
            <c:strRef>
              <c:f>Tools!$CV$80</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Tools!$CW$80:$CX$80</c:f>
              <c:numCache>
                <c:formatCode>General</c:formatCode>
                <c:ptCount val="2"/>
                <c:pt idx="0">
                  <c:v>0</c:v>
                </c:pt>
              </c:numCache>
            </c:numRef>
          </c:yVal>
          <c:smooth val="1"/>
        </c:ser>
        <c:ser>
          <c:idx val="30"/>
          <c:order val="30"/>
          <c:tx>
            <c:strRef>
              <c:f>Tools!$CV$81</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Tools!$CW$81:$CX$81</c:f>
              <c:numCache>
                <c:formatCode>General</c:formatCode>
                <c:ptCount val="2"/>
                <c:pt idx="0">
                  <c:v>0</c:v>
                </c:pt>
              </c:numCache>
            </c:numRef>
          </c:yVal>
          <c:smooth val="1"/>
        </c:ser>
        <c:ser>
          <c:idx val="31"/>
          <c:order val="31"/>
          <c:tx>
            <c:strRef>
              <c:f>Tools!$CV$82</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Tools!$CW$82:$CX$82</c:f>
              <c:numCache>
                <c:formatCode>General</c:formatCode>
                <c:ptCount val="2"/>
                <c:pt idx="0">
                  <c:v>0</c:v>
                </c:pt>
              </c:numCache>
            </c:numRef>
          </c:yVal>
          <c:smooth val="1"/>
        </c:ser>
        <c:ser>
          <c:idx val="32"/>
          <c:order val="32"/>
          <c:tx>
            <c:strRef>
              <c:f>Tools!$CV$83</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Tools!$CW$83:$CX$83</c:f>
              <c:numCache>
                <c:formatCode>General</c:formatCode>
                <c:ptCount val="2"/>
                <c:pt idx="0">
                  <c:v>0</c:v>
                </c:pt>
              </c:numCache>
            </c:numRef>
          </c:yVal>
          <c:smooth val="1"/>
        </c:ser>
        <c:ser>
          <c:idx val="33"/>
          <c:order val="33"/>
          <c:tx>
            <c:strRef>
              <c:f>Tools!$CV$84</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Tools!$CW$84:$CX$84</c:f>
              <c:numCache>
                <c:formatCode>General</c:formatCode>
                <c:ptCount val="2"/>
                <c:pt idx="0">
                  <c:v>0</c:v>
                </c:pt>
              </c:numCache>
            </c:numRef>
          </c:yVal>
          <c:smooth val="1"/>
        </c:ser>
        <c:ser>
          <c:idx val="34"/>
          <c:order val="34"/>
          <c:tx>
            <c:strRef>
              <c:f>Tools!$CV$85</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Tools!$CW$85:$CX$85</c:f>
              <c:numCache>
                <c:formatCode>General</c:formatCode>
                <c:ptCount val="2"/>
                <c:pt idx="0">
                  <c:v>0</c:v>
                </c:pt>
              </c:numCache>
            </c:numRef>
          </c:yVal>
          <c:smooth val="1"/>
        </c:ser>
        <c:ser>
          <c:idx val="35"/>
          <c:order val="35"/>
          <c:tx>
            <c:strRef>
              <c:f>Tools!$DC$62</c:f>
              <c:strCache>
                <c:ptCount val="1"/>
                <c:pt idx="0">
                  <c:v>STN 0</c:v>
                </c:pt>
              </c:strCache>
            </c:strRef>
          </c:tx>
          <c:spPr>
            <a:ln w="3175">
              <a:solidFill>
                <a:sysClr val="windowText" lastClr="000000"/>
              </a:solidFill>
            </a:ln>
          </c:spPr>
          <c:marker>
            <c:symbol val="none"/>
          </c:marker>
          <c:xVal>
            <c:numRef>
              <c:f>Tools!$DD$62:$DE$62</c:f>
              <c:numCache>
                <c:formatCode>General</c:formatCode>
                <c:ptCount val="2"/>
                <c:pt idx="0">
                  <c:v>0</c:v>
                </c:pt>
                <c:pt idx="1">
                  <c:v>0</c:v>
                </c:pt>
              </c:numCache>
            </c:numRef>
          </c:xVal>
          <c:yVal>
            <c:numRef>
              <c:f>Tools!$DD$61:$DE$61</c:f>
              <c:numCache>
                <c:formatCode>General</c:formatCode>
                <c:ptCount val="2"/>
                <c:pt idx="0">
                  <c:v>0</c:v>
                </c:pt>
                <c:pt idx="1">
                  <c:v>12.25</c:v>
                </c:pt>
              </c:numCache>
            </c:numRef>
          </c:yVal>
          <c:smooth val="1"/>
        </c:ser>
        <c:ser>
          <c:idx val="36"/>
          <c:order val="36"/>
          <c:tx>
            <c:strRef>
              <c:f>Tools!$DC$63</c:f>
              <c:strCache>
                <c:ptCount val="1"/>
                <c:pt idx="0">
                  <c:v>STN 0.5</c:v>
                </c:pt>
              </c:strCache>
            </c:strRef>
          </c:tx>
          <c:spPr>
            <a:ln w="3175">
              <a:solidFill>
                <a:schemeClr val="bg1">
                  <a:lumMod val="50000"/>
                </a:schemeClr>
              </a:solidFill>
            </a:ln>
          </c:spPr>
          <c:marker>
            <c:symbol val="none"/>
          </c:marker>
          <c:xVal>
            <c:numRef>
              <c:f>Tools!$DD$63:$DE$63</c:f>
              <c:numCache>
                <c:formatCode>General</c:formatCode>
                <c:ptCount val="2"/>
                <c:pt idx="0">
                  <c:v>0.5</c:v>
                </c:pt>
                <c:pt idx="1">
                  <c:v>0.5</c:v>
                </c:pt>
              </c:numCache>
            </c:numRef>
          </c:xVal>
          <c:yVal>
            <c:numRef>
              <c:f>Tools!$DD$61:$DE$61</c:f>
              <c:numCache>
                <c:formatCode>General</c:formatCode>
                <c:ptCount val="2"/>
                <c:pt idx="0">
                  <c:v>0</c:v>
                </c:pt>
                <c:pt idx="1">
                  <c:v>12.25</c:v>
                </c:pt>
              </c:numCache>
            </c:numRef>
          </c:yVal>
          <c:smooth val="1"/>
        </c:ser>
        <c:ser>
          <c:idx val="37"/>
          <c:order val="37"/>
          <c:tx>
            <c:strRef>
              <c:f>Tools!$DC$64</c:f>
              <c:strCache>
                <c:ptCount val="1"/>
                <c:pt idx="0">
                  <c:v>STN 1</c:v>
                </c:pt>
              </c:strCache>
            </c:strRef>
          </c:tx>
          <c:spPr>
            <a:ln w="3175">
              <a:solidFill>
                <a:schemeClr val="bg1">
                  <a:lumMod val="50000"/>
                </a:schemeClr>
              </a:solidFill>
            </a:ln>
          </c:spPr>
          <c:marker>
            <c:symbol val="none"/>
          </c:marker>
          <c:xVal>
            <c:numRef>
              <c:f>Tools!$DD$64:$DE$64</c:f>
              <c:numCache>
                <c:formatCode>General</c:formatCode>
                <c:ptCount val="2"/>
                <c:pt idx="0">
                  <c:v>1</c:v>
                </c:pt>
                <c:pt idx="1">
                  <c:v>1</c:v>
                </c:pt>
              </c:numCache>
            </c:numRef>
          </c:xVal>
          <c:yVal>
            <c:numRef>
              <c:f>Tools!$DD$61:$DE$61</c:f>
              <c:numCache>
                <c:formatCode>General</c:formatCode>
                <c:ptCount val="2"/>
                <c:pt idx="0">
                  <c:v>0</c:v>
                </c:pt>
                <c:pt idx="1">
                  <c:v>12.25</c:v>
                </c:pt>
              </c:numCache>
            </c:numRef>
          </c:yVal>
          <c:smooth val="1"/>
        </c:ser>
        <c:ser>
          <c:idx val="38"/>
          <c:order val="38"/>
          <c:tx>
            <c:strRef>
              <c:f>Tools!$DC$65</c:f>
              <c:strCache>
                <c:ptCount val="1"/>
                <c:pt idx="0">
                  <c:v>STN 1.5</c:v>
                </c:pt>
              </c:strCache>
            </c:strRef>
          </c:tx>
          <c:spPr>
            <a:ln w="3175">
              <a:solidFill>
                <a:schemeClr val="bg1">
                  <a:lumMod val="50000"/>
                </a:schemeClr>
              </a:solidFill>
            </a:ln>
          </c:spPr>
          <c:marker>
            <c:symbol val="none"/>
          </c:marker>
          <c:xVal>
            <c:numRef>
              <c:f>Tools!$DD$65:$DE$65</c:f>
              <c:numCache>
                <c:formatCode>General</c:formatCode>
                <c:ptCount val="2"/>
                <c:pt idx="0">
                  <c:v>1.5</c:v>
                </c:pt>
                <c:pt idx="1">
                  <c:v>1.5</c:v>
                </c:pt>
              </c:numCache>
            </c:numRef>
          </c:xVal>
          <c:yVal>
            <c:numRef>
              <c:f>Tools!$DD$61:$DE$61</c:f>
              <c:numCache>
                <c:formatCode>General</c:formatCode>
                <c:ptCount val="2"/>
                <c:pt idx="0">
                  <c:v>0</c:v>
                </c:pt>
                <c:pt idx="1">
                  <c:v>12.25</c:v>
                </c:pt>
              </c:numCache>
            </c:numRef>
          </c:yVal>
          <c:smooth val="1"/>
        </c:ser>
        <c:ser>
          <c:idx val="39"/>
          <c:order val="39"/>
          <c:tx>
            <c:strRef>
              <c:f>Tools!$DC$66</c:f>
              <c:strCache>
                <c:ptCount val="1"/>
                <c:pt idx="0">
                  <c:v>STN 2</c:v>
                </c:pt>
              </c:strCache>
            </c:strRef>
          </c:tx>
          <c:spPr>
            <a:ln w="3175">
              <a:solidFill>
                <a:schemeClr val="bg1">
                  <a:lumMod val="50000"/>
                </a:schemeClr>
              </a:solidFill>
            </a:ln>
          </c:spPr>
          <c:marker>
            <c:symbol val="none"/>
          </c:marker>
          <c:xVal>
            <c:numRef>
              <c:f>Tools!$DD$66:$DE$66</c:f>
              <c:numCache>
                <c:formatCode>General</c:formatCode>
                <c:ptCount val="2"/>
                <c:pt idx="0">
                  <c:v>2</c:v>
                </c:pt>
                <c:pt idx="1">
                  <c:v>2</c:v>
                </c:pt>
              </c:numCache>
            </c:numRef>
          </c:xVal>
          <c:yVal>
            <c:numRef>
              <c:f>Tools!$DD$61:$DE$61</c:f>
              <c:numCache>
                <c:formatCode>General</c:formatCode>
                <c:ptCount val="2"/>
                <c:pt idx="0">
                  <c:v>0</c:v>
                </c:pt>
                <c:pt idx="1">
                  <c:v>12.25</c:v>
                </c:pt>
              </c:numCache>
            </c:numRef>
          </c:yVal>
          <c:smooth val="1"/>
        </c:ser>
        <c:ser>
          <c:idx val="40"/>
          <c:order val="40"/>
          <c:tx>
            <c:strRef>
              <c:f>Tools!$DC$67</c:f>
              <c:strCache>
                <c:ptCount val="1"/>
                <c:pt idx="0">
                  <c:v>STN 3</c:v>
                </c:pt>
              </c:strCache>
            </c:strRef>
          </c:tx>
          <c:spPr>
            <a:ln w="3175">
              <a:solidFill>
                <a:schemeClr val="bg1">
                  <a:lumMod val="50000"/>
                </a:schemeClr>
              </a:solidFill>
            </a:ln>
          </c:spPr>
          <c:marker>
            <c:symbol val="none"/>
          </c:marker>
          <c:xVal>
            <c:numRef>
              <c:f>Tools!$DD$67:$DE$67</c:f>
              <c:numCache>
                <c:formatCode>General</c:formatCode>
                <c:ptCount val="2"/>
                <c:pt idx="0">
                  <c:v>3</c:v>
                </c:pt>
                <c:pt idx="1">
                  <c:v>3</c:v>
                </c:pt>
              </c:numCache>
            </c:numRef>
          </c:xVal>
          <c:yVal>
            <c:numRef>
              <c:f>Tools!$DD$61:$DE$61</c:f>
              <c:numCache>
                <c:formatCode>General</c:formatCode>
                <c:ptCount val="2"/>
                <c:pt idx="0">
                  <c:v>0</c:v>
                </c:pt>
                <c:pt idx="1">
                  <c:v>12.25</c:v>
                </c:pt>
              </c:numCache>
            </c:numRef>
          </c:yVal>
          <c:smooth val="1"/>
        </c:ser>
        <c:ser>
          <c:idx val="41"/>
          <c:order val="41"/>
          <c:tx>
            <c:strRef>
              <c:f>Tools!$DC$68</c:f>
              <c:strCache>
                <c:ptCount val="1"/>
                <c:pt idx="0">
                  <c:v>STN 4</c:v>
                </c:pt>
              </c:strCache>
            </c:strRef>
          </c:tx>
          <c:spPr>
            <a:ln w="3175">
              <a:solidFill>
                <a:schemeClr val="bg1">
                  <a:lumMod val="50000"/>
                </a:schemeClr>
              </a:solidFill>
            </a:ln>
          </c:spPr>
          <c:marker>
            <c:symbol val="none"/>
          </c:marker>
          <c:xVal>
            <c:numRef>
              <c:f>Tools!$DD$68:$DE$68</c:f>
              <c:numCache>
                <c:formatCode>General</c:formatCode>
                <c:ptCount val="2"/>
                <c:pt idx="0">
                  <c:v>4</c:v>
                </c:pt>
                <c:pt idx="1">
                  <c:v>4</c:v>
                </c:pt>
              </c:numCache>
            </c:numRef>
          </c:xVal>
          <c:yVal>
            <c:numRef>
              <c:f>Tools!$DD$61:$DE$61</c:f>
              <c:numCache>
                <c:formatCode>General</c:formatCode>
                <c:ptCount val="2"/>
                <c:pt idx="0">
                  <c:v>0</c:v>
                </c:pt>
                <c:pt idx="1">
                  <c:v>12.25</c:v>
                </c:pt>
              </c:numCache>
            </c:numRef>
          </c:yVal>
          <c:smooth val="1"/>
        </c:ser>
        <c:ser>
          <c:idx val="42"/>
          <c:order val="42"/>
          <c:tx>
            <c:strRef>
              <c:f>Tools!$DC$69</c:f>
              <c:strCache>
                <c:ptCount val="1"/>
                <c:pt idx="0">
                  <c:v>STN 5</c:v>
                </c:pt>
              </c:strCache>
            </c:strRef>
          </c:tx>
          <c:spPr>
            <a:ln w="3175">
              <a:solidFill>
                <a:schemeClr val="bg1">
                  <a:lumMod val="50000"/>
                </a:schemeClr>
              </a:solidFill>
            </a:ln>
          </c:spPr>
          <c:marker>
            <c:symbol val="none"/>
          </c:marker>
          <c:xVal>
            <c:numRef>
              <c:f>Tools!$DD$69:$DE$69</c:f>
              <c:numCache>
                <c:formatCode>General</c:formatCode>
                <c:ptCount val="2"/>
                <c:pt idx="0">
                  <c:v>5</c:v>
                </c:pt>
                <c:pt idx="1">
                  <c:v>5</c:v>
                </c:pt>
              </c:numCache>
            </c:numRef>
          </c:xVal>
          <c:yVal>
            <c:numRef>
              <c:f>Tools!$DD$61:$DE$61</c:f>
              <c:numCache>
                <c:formatCode>General</c:formatCode>
                <c:ptCount val="2"/>
                <c:pt idx="0">
                  <c:v>0</c:v>
                </c:pt>
                <c:pt idx="1">
                  <c:v>12.25</c:v>
                </c:pt>
              </c:numCache>
            </c:numRef>
          </c:yVal>
          <c:smooth val="1"/>
        </c:ser>
        <c:ser>
          <c:idx val="43"/>
          <c:order val="43"/>
          <c:tx>
            <c:strRef>
              <c:f>Tools!$DC$70</c:f>
              <c:strCache>
                <c:ptCount val="1"/>
                <c:pt idx="0">
                  <c:v>STN 6</c:v>
                </c:pt>
              </c:strCache>
            </c:strRef>
          </c:tx>
          <c:spPr>
            <a:ln w="3175">
              <a:solidFill>
                <a:schemeClr val="bg1">
                  <a:lumMod val="50000"/>
                </a:schemeClr>
              </a:solidFill>
            </a:ln>
          </c:spPr>
          <c:marker>
            <c:symbol val="none"/>
          </c:marker>
          <c:xVal>
            <c:numRef>
              <c:f>Tools!$DD$70:$DE$70</c:f>
              <c:numCache>
                <c:formatCode>General</c:formatCode>
                <c:ptCount val="2"/>
                <c:pt idx="0">
                  <c:v>6</c:v>
                </c:pt>
                <c:pt idx="1">
                  <c:v>6</c:v>
                </c:pt>
              </c:numCache>
            </c:numRef>
          </c:xVal>
          <c:yVal>
            <c:numRef>
              <c:f>Tools!$DD$61:$DE$61</c:f>
              <c:numCache>
                <c:formatCode>General</c:formatCode>
                <c:ptCount val="2"/>
                <c:pt idx="0">
                  <c:v>0</c:v>
                </c:pt>
                <c:pt idx="1">
                  <c:v>12.25</c:v>
                </c:pt>
              </c:numCache>
            </c:numRef>
          </c:yVal>
          <c:smooth val="1"/>
        </c:ser>
        <c:ser>
          <c:idx val="44"/>
          <c:order val="44"/>
          <c:tx>
            <c:strRef>
              <c:f>Tools!$DC$71</c:f>
              <c:strCache>
                <c:ptCount val="1"/>
                <c:pt idx="0">
                  <c:v>STN 7</c:v>
                </c:pt>
              </c:strCache>
            </c:strRef>
          </c:tx>
          <c:spPr>
            <a:ln w="3175">
              <a:solidFill>
                <a:schemeClr val="bg1">
                  <a:lumMod val="50000"/>
                </a:schemeClr>
              </a:solidFill>
            </a:ln>
          </c:spPr>
          <c:marker>
            <c:symbol val="none"/>
          </c:marker>
          <c:xVal>
            <c:numRef>
              <c:f>Tools!$DD$71:$DE$71</c:f>
              <c:numCache>
                <c:formatCode>General</c:formatCode>
                <c:ptCount val="2"/>
                <c:pt idx="0">
                  <c:v>7</c:v>
                </c:pt>
                <c:pt idx="1">
                  <c:v>7</c:v>
                </c:pt>
              </c:numCache>
            </c:numRef>
          </c:xVal>
          <c:yVal>
            <c:numRef>
              <c:f>Tools!$DD$61:$DE$61</c:f>
              <c:numCache>
                <c:formatCode>General</c:formatCode>
                <c:ptCount val="2"/>
                <c:pt idx="0">
                  <c:v>0</c:v>
                </c:pt>
                <c:pt idx="1">
                  <c:v>12.25</c:v>
                </c:pt>
              </c:numCache>
            </c:numRef>
          </c:yVal>
          <c:smooth val="1"/>
        </c:ser>
        <c:ser>
          <c:idx val="45"/>
          <c:order val="45"/>
          <c:tx>
            <c:strRef>
              <c:f>Tools!$DC$72</c:f>
              <c:strCache>
                <c:ptCount val="1"/>
                <c:pt idx="0">
                  <c:v>STN 8</c:v>
                </c:pt>
              </c:strCache>
            </c:strRef>
          </c:tx>
          <c:spPr>
            <a:ln w="3175">
              <a:solidFill>
                <a:schemeClr val="bg1">
                  <a:lumMod val="50000"/>
                </a:schemeClr>
              </a:solidFill>
            </a:ln>
          </c:spPr>
          <c:marker>
            <c:symbol val="none"/>
          </c:marker>
          <c:xVal>
            <c:numRef>
              <c:f>Tools!$DD$72:$DE$72</c:f>
              <c:numCache>
                <c:formatCode>General</c:formatCode>
                <c:ptCount val="2"/>
                <c:pt idx="0">
                  <c:v>8</c:v>
                </c:pt>
                <c:pt idx="1">
                  <c:v>8</c:v>
                </c:pt>
              </c:numCache>
            </c:numRef>
          </c:xVal>
          <c:yVal>
            <c:numRef>
              <c:f>Tools!$DD$61:$DE$61</c:f>
              <c:numCache>
                <c:formatCode>General</c:formatCode>
                <c:ptCount val="2"/>
                <c:pt idx="0">
                  <c:v>0</c:v>
                </c:pt>
                <c:pt idx="1">
                  <c:v>12.25</c:v>
                </c:pt>
              </c:numCache>
            </c:numRef>
          </c:yVal>
          <c:smooth val="1"/>
        </c:ser>
        <c:ser>
          <c:idx val="46"/>
          <c:order val="46"/>
          <c:tx>
            <c:strRef>
              <c:f>Tools!$DC$73</c:f>
              <c:strCache>
                <c:ptCount val="1"/>
                <c:pt idx="0">
                  <c:v>STN 9</c:v>
                </c:pt>
              </c:strCache>
            </c:strRef>
          </c:tx>
          <c:spPr>
            <a:ln w="3175">
              <a:solidFill>
                <a:schemeClr val="bg1">
                  <a:lumMod val="50000"/>
                </a:schemeClr>
              </a:solidFill>
            </a:ln>
          </c:spPr>
          <c:marker>
            <c:symbol val="none"/>
          </c:marker>
          <c:xVal>
            <c:numRef>
              <c:f>Tools!$DD$73:$DE$73</c:f>
              <c:numCache>
                <c:formatCode>General</c:formatCode>
                <c:ptCount val="2"/>
                <c:pt idx="0">
                  <c:v>9</c:v>
                </c:pt>
                <c:pt idx="1">
                  <c:v>9</c:v>
                </c:pt>
              </c:numCache>
            </c:numRef>
          </c:xVal>
          <c:yVal>
            <c:numRef>
              <c:f>Tools!$DD$61:$DE$61</c:f>
              <c:numCache>
                <c:formatCode>General</c:formatCode>
                <c:ptCount val="2"/>
                <c:pt idx="0">
                  <c:v>0</c:v>
                </c:pt>
                <c:pt idx="1">
                  <c:v>12.25</c:v>
                </c:pt>
              </c:numCache>
            </c:numRef>
          </c:yVal>
          <c:smooth val="1"/>
        </c:ser>
        <c:ser>
          <c:idx val="47"/>
          <c:order val="47"/>
          <c:tx>
            <c:strRef>
              <c:f>Tools!$DC$74</c:f>
              <c:strCache>
                <c:ptCount val="1"/>
                <c:pt idx="0">
                  <c:v>STN 10</c:v>
                </c:pt>
              </c:strCache>
            </c:strRef>
          </c:tx>
          <c:spPr>
            <a:ln w="3175">
              <a:solidFill>
                <a:schemeClr val="bg1">
                  <a:lumMod val="65000"/>
                </a:schemeClr>
              </a:solidFill>
            </a:ln>
          </c:spPr>
          <c:marker>
            <c:symbol val="none"/>
          </c:marker>
          <c:xVal>
            <c:numRef>
              <c:f>Tools!$DD$74:$DE$74</c:f>
              <c:numCache>
                <c:formatCode>General</c:formatCode>
                <c:ptCount val="2"/>
                <c:pt idx="0">
                  <c:v>10</c:v>
                </c:pt>
                <c:pt idx="1">
                  <c:v>10</c:v>
                </c:pt>
              </c:numCache>
            </c:numRef>
          </c:xVal>
          <c:yVal>
            <c:numRef>
              <c:f>Tools!$DD$61:$DE$61</c:f>
              <c:numCache>
                <c:formatCode>General</c:formatCode>
                <c:ptCount val="2"/>
                <c:pt idx="0">
                  <c:v>0</c:v>
                </c:pt>
                <c:pt idx="1">
                  <c:v>12.25</c:v>
                </c:pt>
              </c:numCache>
            </c:numRef>
          </c:yVal>
          <c:smooth val="1"/>
        </c:ser>
        <c:ser>
          <c:idx val="48"/>
          <c:order val="48"/>
          <c:tx>
            <c:strRef>
              <c:f>Tools!$DC$75</c:f>
              <c:strCache>
                <c:ptCount val="1"/>
                <c:pt idx="0">
                  <c:v>STN 11</c:v>
                </c:pt>
              </c:strCache>
            </c:strRef>
          </c:tx>
          <c:spPr>
            <a:ln w="3175">
              <a:solidFill>
                <a:schemeClr val="tx1">
                  <a:lumMod val="65000"/>
                  <a:lumOff val="35000"/>
                </a:schemeClr>
              </a:solidFill>
            </a:ln>
          </c:spPr>
          <c:marker>
            <c:symbol val="none"/>
          </c:marker>
          <c:xVal>
            <c:numRef>
              <c:f>Tools!$DD$75:$DE$75</c:f>
              <c:numCache>
                <c:formatCode>General</c:formatCode>
                <c:ptCount val="2"/>
                <c:pt idx="0">
                  <c:v>11</c:v>
                </c:pt>
                <c:pt idx="1">
                  <c:v>11</c:v>
                </c:pt>
              </c:numCache>
            </c:numRef>
          </c:xVal>
          <c:yVal>
            <c:numRef>
              <c:f>Tools!$DD$61:$DE$61</c:f>
              <c:numCache>
                <c:formatCode>General</c:formatCode>
                <c:ptCount val="2"/>
                <c:pt idx="0">
                  <c:v>0</c:v>
                </c:pt>
                <c:pt idx="1">
                  <c:v>12.25</c:v>
                </c:pt>
              </c:numCache>
            </c:numRef>
          </c:yVal>
          <c:smooth val="1"/>
        </c:ser>
        <c:ser>
          <c:idx val="49"/>
          <c:order val="49"/>
          <c:tx>
            <c:strRef>
              <c:f>Tools!$DC$76</c:f>
              <c:strCache>
                <c:ptCount val="1"/>
                <c:pt idx="0">
                  <c:v>STN 12</c:v>
                </c:pt>
              </c:strCache>
            </c:strRef>
          </c:tx>
          <c:spPr>
            <a:ln w="3175">
              <a:solidFill>
                <a:schemeClr val="tx1">
                  <a:lumMod val="65000"/>
                  <a:lumOff val="35000"/>
                </a:schemeClr>
              </a:solidFill>
            </a:ln>
          </c:spPr>
          <c:marker>
            <c:symbol val="none"/>
          </c:marker>
          <c:xVal>
            <c:numRef>
              <c:f>Tools!$DD$76:$DE$76</c:f>
              <c:numCache>
                <c:formatCode>General</c:formatCode>
                <c:ptCount val="2"/>
                <c:pt idx="0">
                  <c:v>12</c:v>
                </c:pt>
                <c:pt idx="1">
                  <c:v>12</c:v>
                </c:pt>
              </c:numCache>
            </c:numRef>
          </c:xVal>
          <c:yVal>
            <c:numRef>
              <c:f>Tools!$DD$61:$DE$61</c:f>
              <c:numCache>
                <c:formatCode>General</c:formatCode>
                <c:ptCount val="2"/>
                <c:pt idx="0">
                  <c:v>0</c:v>
                </c:pt>
                <c:pt idx="1">
                  <c:v>12.25</c:v>
                </c:pt>
              </c:numCache>
            </c:numRef>
          </c:yVal>
          <c:smooth val="1"/>
        </c:ser>
        <c:ser>
          <c:idx val="50"/>
          <c:order val="50"/>
          <c:tx>
            <c:strRef>
              <c:f>Tools!$DC$77</c:f>
              <c:strCache>
                <c:ptCount val="1"/>
                <c:pt idx="0">
                  <c:v>STN 13</c:v>
                </c:pt>
              </c:strCache>
            </c:strRef>
          </c:tx>
          <c:spPr>
            <a:ln w="3175">
              <a:solidFill>
                <a:schemeClr val="tx1">
                  <a:lumMod val="65000"/>
                  <a:lumOff val="35000"/>
                </a:schemeClr>
              </a:solidFill>
            </a:ln>
          </c:spPr>
          <c:marker>
            <c:symbol val="none"/>
          </c:marker>
          <c:xVal>
            <c:numRef>
              <c:f>Tools!$DD$77:$DE$77</c:f>
              <c:numCache>
                <c:formatCode>General</c:formatCode>
                <c:ptCount val="2"/>
                <c:pt idx="0">
                  <c:v>13</c:v>
                </c:pt>
                <c:pt idx="1">
                  <c:v>13</c:v>
                </c:pt>
              </c:numCache>
            </c:numRef>
          </c:xVal>
          <c:yVal>
            <c:numRef>
              <c:f>Tools!$DD$61:$DE$61</c:f>
              <c:numCache>
                <c:formatCode>General</c:formatCode>
                <c:ptCount val="2"/>
                <c:pt idx="0">
                  <c:v>0</c:v>
                </c:pt>
                <c:pt idx="1">
                  <c:v>12.25</c:v>
                </c:pt>
              </c:numCache>
            </c:numRef>
          </c:yVal>
          <c:smooth val="1"/>
        </c:ser>
        <c:ser>
          <c:idx val="51"/>
          <c:order val="51"/>
          <c:tx>
            <c:strRef>
              <c:f>Tools!$DC$78</c:f>
              <c:strCache>
                <c:ptCount val="1"/>
                <c:pt idx="0">
                  <c:v>STN 14</c:v>
                </c:pt>
              </c:strCache>
            </c:strRef>
          </c:tx>
          <c:spPr>
            <a:ln w="3175">
              <a:solidFill>
                <a:schemeClr val="tx1">
                  <a:lumMod val="65000"/>
                  <a:lumOff val="35000"/>
                </a:schemeClr>
              </a:solidFill>
            </a:ln>
          </c:spPr>
          <c:marker>
            <c:symbol val="none"/>
          </c:marker>
          <c:xVal>
            <c:numRef>
              <c:f>Tools!$DD$78:$DE$78</c:f>
              <c:numCache>
                <c:formatCode>General</c:formatCode>
                <c:ptCount val="2"/>
                <c:pt idx="0">
                  <c:v>14</c:v>
                </c:pt>
                <c:pt idx="1">
                  <c:v>14</c:v>
                </c:pt>
              </c:numCache>
            </c:numRef>
          </c:xVal>
          <c:yVal>
            <c:numRef>
              <c:f>Tools!$DD$61:$DE$61</c:f>
              <c:numCache>
                <c:formatCode>General</c:formatCode>
                <c:ptCount val="2"/>
                <c:pt idx="0">
                  <c:v>0</c:v>
                </c:pt>
                <c:pt idx="1">
                  <c:v>12.25</c:v>
                </c:pt>
              </c:numCache>
            </c:numRef>
          </c:yVal>
          <c:smooth val="1"/>
        </c:ser>
        <c:ser>
          <c:idx val="52"/>
          <c:order val="52"/>
          <c:tx>
            <c:strRef>
              <c:f>Tools!$DC$79</c:f>
              <c:strCache>
                <c:ptCount val="1"/>
                <c:pt idx="0">
                  <c:v>STN 15</c:v>
                </c:pt>
              </c:strCache>
            </c:strRef>
          </c:tx>
          <c:spPr>
            <a:ln w="3175">
              <a:solidFill>
                <a:schemeClr val="tx1">
                  <a:lumMod val="65000"/>
                  <a:lumOff val="35000"/>
                </a:schemeClr>
              </a:solidFill>
            </a:ln>
          </c:spPr>
          <c:marker>
            <c:symbol val="none"/>
          </c:marker>
          <c:xVal>
            <c:numRef>
              <c:f>Tools!$DD$79:$DE$79</c:f>
              <c:numCache>
                <c:formatCode>General</c:formatCode>
                <c:ptCount val="2"/>
                <c:pt idx="0">
                  <c:v>15</c:v>
                </c:pt>
                <c:pt idx="1">
                  <c:v>15</c:v>
                </c:pt>
              </c:numCache>
            </c:numRef>
          </c:xVal>
          <c:yVal>
            <c:numRef>
              <c:f>Tools!$DD$61:$DE$61</c:f>
              <c:numCache>
                <c:formatCode>General</c:formatCode>
                <c:ptCount val="2"/>
                <c:pt idx="0">
                  <c:v>0</c:v>
                </c:pt>
                <c:pt idx="1">
                  <c:v>12.25</c:v>
                </c:pt>
              </c:numCache>
            </c:numRef>
          </c:yVal>
          <c:smooth val="1"/>
        </c:ser>
        <c:ser>
          <c:idx val="53"/>
          <c:order val="53"/>
          <c:tx>
            <c:strRef>
              <c:f>Tools!$DC$80</c:f>
              <c:strCache>
                <c:ptCount val="1"/>
                <c:pt idx="0">
                  <c:v>STN 16</c:v>
                </c:pt>
              </c:strCache>
            </c:strRef>
          </c:tx>
          <c:spPr>
            <a:ln w="3175">
              <a:solidFill>
                <a:schemeClr val="tx1">
                  <a:lumMod val="65000"/>
                  <a:lumOff val="35000"/>
                </a:schemeClr>
              </a:solidFill>
            </a:ln>
          </c:spPr>
          <c:marker>
            <c:symbol val="none"/>
          </c:marker>
          <c:xVal>
            <c:numRef>
              <c:f>Tools!$DD$80:$DE$80</c:f>
              <c:numCache>
                <c:formatCode>General</c:formatCode>
                <c:ptCount val="2"/>
                <c:pt idx="0">
                  <c:v>16</c:v>
                </c:pt>
                <c:pt idx="1">
                  <c:v>16</c:v>
                </c:pt>
              </c:numCache>
            </c:numRef>
          </c:xVal>
          <c:yVal>
            <c:numRef>
              <c:f>Tools!$DD$61:$DE$61</c:f>
              <c:numCache>
                <c:formatCode>General</c:formatCode>
                <c:ptCount val="2"/>
                <c:pt idx="0">
                  <c:v>0</c:v>
                </c:pt>
                <c:pt idx="1">
                  <c:v>12.25</c:v>
                </c:pt>
              </c:numCache>
            </c:numRef>
          </c:yVal>
          <c:smooth val="1"/>
        </c:ser>
        <c:ser>
          <c:idx val="54"/>
          <c:order val="54"/>
          <c:tx>
            <c:strRef>
              <c:f>Tools!$DC$81</c:f>
              <c:strCache>
                <c:ptCount val="1"/>
                <c:pt idx="0">
                  <c:v>STN 17</c:v>
                </c:pt>
              </c:strCache>
            </c:strRef>
          </c:tx>
          <c:spPr>
            <a:ln w="3175">
              <a:solidFill>
                <a:schemeClr val="tx1">
                  <a:lumMod val="65000"/>
                  <a:lumOff val="35000"/>
                </a:schemeClr>
              </a:solidFill>
            </a:ln>
          </c:spPr>
          <c:marker>
            <c:symbol val="none"/>
          </c:marker>
          <c:xVal>
            <c:numRef>
              <c:f>Tools!$DD$81:$DE$81</c:f>
              <c:numCache>
                <c:formatCode>General</c:formatCode>
                <c:ptCount val="2"/>
                <c:pt idx="0">
                  <c:v>17</c:v>
                </c:pt>
                <c:pt idx="1">
                  <c:v>17</c:v>
                </c:pt>
              </c:numCache>
            </c:numRef>
          </c:xVal>
          <c:yVal>
            <c:numRef>
              <c:f>Tools!$DD$61:$DE$61</c:f>
              <c:numCache>
                <c:formatCode>General</c:formatCode>
                <c:ptCount val="2"/>
                <c:pt idx="0">
                  <c:v>0</c:v>
                </c:pt>
                <c:pt idx="1">
                  <c:v>12.25</c:v>
                </c:pt>
              </c:numCache>
            </c:numRef>
          </c:yVal>
          <c:smooth val="1"/>
        </c:ser>
        <c:ser>
          <c:idx val="55"/>
          <c:order val="55"/>
          <c:tx>
            <c:strRef>
              <c:f>Tools!$DC$82</c:f>
              <c:strCache>
                <c:ptCount val="1"/>
                <c:pt idx="0">
                  <c:v>STN 18</c:v>
                </c:pt>
              </c:strCache>
            </c:strRef>
          </c:tx>
          <c:spPr>
            <a:ln w="3175">
              <a:solidFill>
                <a:schemeClr val="tx1">
                  <a:lumMod val="65000"/>
                  <a:lumOff val="35000"/>
                </a:schemeClr>
              </a:solidFill>
            </a:ln>
          </c:spPr>
          <c:marker>
            <c:symbol val="none"/>
          </c:marker>
          <c:xVal>
            <c:numRef>
              <c:f>Tools!$DD$82:$DE$82</c:f>
              <c:numCache>
                <c:formatCode>General</c:formatCode>
                <c:ptCount val="2"/>
                <c:pt idx="0">
                  <c:v>18</c:v>
                </c:pt>
                <c:pt idx="1">
                  <c:v>18</c:v>
                </c:pt>
              </c:numCache>
            </c:numRef>
          </c:xVal>
          <c:yVal>
            <c:numRef>
              <c:f>Tools!$DD$61:$DE$61</c:f>
              <c:numCache>
                <c:formatCode>General</c:formatCode>
                <c:ptCount val="2"/>
                <c:pt idx="0">
                  <c:v>0</c:v>
                </c:pt>
                <c:pt idx="1">
                  <c:v>12.25</c:v>
                </c:pt>
              </c:numCache>
            </c:numRef>
          </c:yVal>
          <c:smooth val="1"/>
        </c:ser>
        <c:ser>
          <c:idx val="56"/>
          <c:order val="56"/>
          <c:tx>
            <c:strRef>
              <c:f>Tools!$DC$83</c:f>
              <c:strCache>
                <c:ptCount val="1"/>
                <c:pt idx="0">
                  <c:v>STN 18.5</c:v>
                </c:pt>
              </c:strCache>
            </c:strRef>
          </c:tx>
          <c:spPr>
            <a:ln w="3175">
              <a:solidFill>
                <a:schemeClr val="tx1">
                  <a:lumMod val="65000"/>
                  <a:lumOff val="35000"/>
                </a:schemeClr>
              </a:solidFill>
            </a:ln>
          </c:spPr>
          <c:marker>
            <c:symbol val="none"/>
          </c:marker>
          <c:xVal>
            <c:numRef>
              <c:f>Tools!$DD$83:$DE$83</c:f>
              <c:numCache>
                <c:formatCode>General</c:formatCode>
                <c:ptCount val="2"/>
                <c:pt idx="0">
                  <c:v>18.5</c:v>
                </c:pt>
                <c:pt idx="1">
                  <c:v>18.5</c:v>
                </c:pt>
              </c:numCache>
            </c:numRef>
          </c:xVal>
          <c:yVal>
            <c:numRef>
              <c:f>Tools!$DD$61:$DE$61</c:f>
              <c:numCache>
                <c:formatCode>General</c:formatCode>
                <c:ptCount val="2"/>
                <c:pt idx="0">
                  <c:v>0</c:v>
                </c:pt>
                <c:pt idx="1">
                  <c:v>12.25</c:v>
                </c:pt>
              </c:numCache>
            </c:numRef>
          </c:yVal>
          <c:smooth val="1"/>
        </c:ser>
        <c:ser>
          <c:idx val="57"/>
          <c:order val="57"/>
          <c:tx>
            <c:strRef>
              <c:f>Tools!$DC$84</c:f>
              <c:strCache>
                <c:ptCount val="1"/>
                <c:pt idx="0">
                  <c:v>STN 19</c:v>
                </c:pt>
              </c:strCache>
            </c:strRef>
          </c:tx>
          <c:spPr>
            <a:ln w="3175">
              <a:solidFill>
                <a:schemeClr val="tx1">
                  <a:lumMod val="65000"/>
                  <a:lumOff val="35000"/>
                </a:schemeClr>
              </a:solidFill>
            </a:ln>
          </c:spPr>
          <c:marker>
            <c:symbol val="none"/>
          </c:marker>
          <c:xVal>
            <c:numRef>
              <c:f>Tools!$DD$84:$DE$84</c:f>
              <c:numCache>
                <c:formatCode>General</c:formatCode>
                <c:ptCount val="2"/>
                <c:pt idx="0">
                  <c:v>19</c:v>
                </c:pt>
                <c:pt idx="1">
                  <c:v>19</c:v>
                </c:pt>
              </c:numCache>
            </c:numRef>
          </c:xVal>
          <c:yVal>
            <c:numRef>
              <c:f>Tools!$DD$61:$DE$61</c:f>
              <c:numCache>
                <c:formatCode>General</c:formatCode>
                <c:ptCount val="2"/>
                <c:pt idx="0">
                  <c:v>0</c:v>
                </c:pt>
                <c:pt idx="1">
                  <c:v>12.25</c:v>
                </c:pt>
              </c:numCache>
            </c:numRef>
          </c:yVal>
          <c:smooth val="1"/>
        </c:ser>
        <c:ser>
          <c:idx val="58"/>
          <c:order val="58"/>
          <c:tx>
            <c:strRef>
              <c:f>Tools!$DC$85</c:f>
              <c:strCache>
                <c:ptCount val="1"/>
                <c:pt idx="0">
                  <c:v>STN 19.5</c:v>
                </c:pt>
              </c:strCache>
            </c:strRef>
          </c:tx>
          <c:spPr>
            <a:ln w="3175">
              <a:solidFill>
                <a:schemeClr val="tx1">
                  <a:lumMod val="65000"/>
                  <a:lumOff val="35000"/>
                </a:schemeClr>
              </a:solidFill>
            </a:ln>
          </c:spPr>
          <c:marker>
            <c:symbol val="none"/>
          </c:marker>
          <c:xVal>
            <c:numRef>
              <c:f>Tools!$DD$85:$DE$85</c:f>
              <c:numCache>
                <c:formatCode>General</c:formatCode>
                <c:ptCount val="2"/>
                <c:pt idx="0">
                  <c:v>19.5</c:v>
                </c:pt>
                <c:pt idx="1">
                  <c:v>19.5</c:v>
                </c:pt>
              </c:numCache>
            </c:numRef>
          </c:xVal>
          <c:yVal>
            <c:numRef>
              <c:f>Tools!$DD$61:$DE$61</c:f>
              <c:numCache>
                <c:formatCode>General</c:formatCode>
                <c:ptCount val="2"/>
                <c:pt idx="0">
                  <c:v>0</c:v>
                </c:pt>
                <c:pt idx="1">
                  <c:v>12.25</c:v>
                </c:pt>
              </c:numCache>
            </c:numRef>
          </c:yVal>
          <c:smooth val="1"/>
        </c:ser>
        <c:ser>
          <c:idx val="59"/>
          <c:order val="59"/>
          <c:tx>
            <c:strRef>
              <c:f>Tools!$DC$86</c:f>
              <c:strCache>
                <c:ptCount val="1"/>
                <c:pt idx="0">
                  <c:v>STN 20</c:v>
                </c:pt>
              </c:strCache>
            </c:strRef>
          </c:tx>
          <c:spPr>
            <a:ln w="3175">
              <a:solidFill>
                <a:schemeClr val="tx1">
                  <a:lumMod val="65000"/>
                  <a:lumOff val="35000"/>
                </a:schemeClr>
              </a:solidFill>
            </a:ln>
          </c:spPr>
          <c:marker>
            <c:symbol val="none"/>
          </c:marker>
          <c:xVal>
            <c:numRef>
              <c:f>Tools!$DD$86:$DE$86</c:f>
              <c:numCache>
                <c:formatCode>General</c:formatCode>
                <c:ptCount val="2"/>
                <c:pt idx="0">
                  <c:v>20</c:v>
                </c:pt>
                <c:pt idx="1">
                  <c:v>20</c:v>
                </c:pt>
              </c:numCache>
            </c:numRef>
          </c:xVal>
          <c:yVal>
            <c:numRef>
              <c:f>Tools!$DD$61:$DE$61</c:f>
              <c:numCache>
                <c:formatCode>General</c:formatCode>
                <c:ptCount val="2"/>
                <c:pt idx="0">
                  <c:v>0</c:v>
                </c:pt>
                <c:pt idx="1">
                  <c:v>12.25</c:v>
                </c:pt>
              </c:numCache>
            </c:numRef>
          </c:yVal>
          <c:smooth val="1"/>
        </c:ser>
        <c:dLbls>
          <c:showLegendKey val="0"/>
          <c:showVal val="0"/>
          <c:showCatName val="0"/>
          <c:showSerName val="0"/>
          <c:showPercent val="0"/>
          <c:showBubbleSize val="0"/>
        </c:dLbls>
        <c:axId val="506809728"/>
        <c:axId val="506819712"/>
      </c:scatterChart>
      <c:valAx>
        <c:axId val="506809728"/>
        <c:scaling>
          <c:orientation val="minMax"/>
        </c:scaling>
        <c:delete val="0"/>
        <c:axPos val="b"/>
        <c:majorGridlines>
          <c:spPr>
            <a:ln w="19050" cmpd="sng">
              <a:noFill/>
            </a:ln>
          </c:spPr>
        </c:majorGridlines>
        <c:numFmt formatCode="General" sourceLinked="0"/>
        <c:majorTickMark val="out"/>
        <c:minorTickMark val="none"/>
        <c:tickLblPos val="nextTo"/>
        <c:crossAx val="506819712"/>
        <c:crosses val="autoZero"/>
        <c:crossBetween val="midCat"/>
        <c:majorUnit val="1"/>
        <c:minorUnit val="1"/>
      </c:valAx>
      <c:valAx>
        <c:axId val="506819712"/>
        <c:scaling>
          <c:orientation val="minMax"/>
          <c:min val="0"/>
        </c:scaling>
        <c:delete val="0"/>
        <c:axPos val="l"/>
        <c:numFmt formatCode="General" sourceLinked="1"/>
        <c:majorTickMark val="out"/>
        <c:minorTickMark val="none"/>
        <c:tickLblPos val="nextTo"/>
        <c:crossAx val="506809728"/>
        <c:crosses val="autoZero"/>
        <c:crossBetween val="midCat"/>
      </c:valAx>
      <c:spPr>
        <a:noFill/>
        <a:ln>
          <a:noFill/>
        </a:ln>
      </c:spPr>
    </c:plotArea>
    <c:legend>
      <c:legendPos val="r"/>
      <c:legendEntry>
        <c:idx val="25"/>
        <c:txPr>
          <a:bodyPr/>
          <a:lstStyle/>
          <a:p>
            <a:pPr>
              <a:defRPr sz="1400">
                <a:solidFill>
                  <a:schemeClr val="bg1"/>
                </a:solidFill>
              </a:defRPr>
            </a:pPr>
            <a:endParaRPr lang="en-US"/>
          </a:p>
        </c:txPr>
      </c:legendEntry>
      <c:legendEntry>
        <c:idx val="26"/>
        <c:txPr>
          <a:bodyPr/>
          <a:lstStyle/>
          <a:p>
            <a:pPr>
              <a:defRPr sz="1400">
                <a:solidFill>
                  <a:schemeClr val="bg1"/>
                </a:solidFill>
              </a:defRPr>
            </a:pPr>
            <a:endParaRPr lang="en-US"/>
          </a:p>
        </c:txPr>
      </c:legendEntry>
      <c:layout>
        <c:manualLayout>
          <c:xMode val="edge"/>
          <c:yMode val="edge"/>
          <c:x val="0.83963298550509868"/>
          <c:y val="0.10705369321249222"/>
          <c:w val="0.15021834897677019"/>
          <c:h val="0.54332116370345129"/>
        </c:manualLayout>
      </c:layout>
      <c:overlay val="0"/>
      <c:txPr>
        <a:bodyPr/>
        <a:lstStyle/>
        <a:p>
          <a:pPr>
            <a:defRPr sz="1400"/>
          </a:pPr>
          <a:endParaRPr lang="en-US"/>
        </a:p>
      </c:txPr>
    </c:legend>
    <c:plotVisOnly val="1"/>
    <c:dispBlanksAs val="gap"/>
    <c:showDLblsOverMax val="0"/>
  </c:chart>
  <c:spPr>
    <a:solidFill>
      <a:schemeClr val="bg1">
        <a:lumMod val="95000"/>
      </a:schemeClr>
    </a:solidFill>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Area</a:t>
            </a:r>
          </a:p>
        </c:rich>
      </c:tx>
      <c:layout>
        <c:manualLayout>
          <c:xMode val="edge"/>
          <c:yMode val="edge"/>
          <c:x val="0.46243043322009808"/>
          <c:y val="1.7218894452318712E-2"/>
        </c:manualLayout>
      </c:layout>
      <c:overlay val="0"/>
    </c:title>
    <c:autoTitleDeleted val="0"/>
    <c:plotArea>
      <c:layout/>
      <c:scatterChart>
        <c:scatterStyle val="smoothMarker"/>
        <c:varyColors val="0"/>
        <c:ser>
          <c:idx val="0"/>
          <c:order val="0"/>
          <c:tx>
            <c:strRef>
              <c:f>Tools!$DC$62</c:f>
              <c:strCache>
                <c:ptCount val="1"/>
                <c:pt idx="0">
                  <c:v>STN 0</c:v>
                </c:pt>
              </c:strCache>
            </c:strRef>
          </c:tx>
          <c:spPr>
            <a:ln w="3175">
              <a:solidFill>
                <a:schemeClr val="tx2">
                  <a:lumMod val="75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Tools!$B$70:$M$70</c:f>
              <c:numCache>
                <c:formatCode>General</c:formatCode>
                <c:ptCount val="12"/>
                <c:pt idx="0">
                  <c:v>0</c:v>
                </c:pt>
                <c:pt idx="1">
                  <c:v>0</c:v>
                </c:pt>
                <c:pt idx="2">
                  <c:v>0</c:v>
                </c:pt>
                <c:pt idx="3">
                  <c:v>0</c:v>
                </c:pt>
                <c:pt idx="4">
                  <c:v>0</c:v>
                </c:pt>
                <c:pt idx="5">
                  <c:v>0</c:v>
                </c:pt>
                <c:pt idx="6">
                  <c:v>0</c:v>
                </c:pt>
                <c:pt idx="7">
                  <c:v>0</c:v>
                </c:pt>
                <c:pt idx="8">
                  <c:v>0.57839999999999792</c:v>
                </c:pt>
                <c:pt idx="9">
                  <c:v>6.9428000000000045</c:v>
                </c:pt>
                <c:pt idx="10">
                  <c:v>35.382800000000003</c:v>
                </c:pt>
                <c:pt idx="11">
                  <c:v>67.961899999999986</c:v>
                </c:pt>
              </c:numCache>
            </c:numRef>
          </c:yVal>
          <c:smooth val="1"/>
        </c:ser>
        <c:ser>
          <c:idx val="1"/>
          <c:order val="1"/>
          <c:tx>
            <c:strRef>
              <c:f>Tools!$DC$63</c:f>
              <c:strCache>
                <c:ptCount val="1"/>
                <c:pt idx="0">
                  <c:v>STN 0.5</c:v>
                </c:pt>
              </c:strCache>
            </c:strRef>
          </c:tx>
          <c:spPr>
            <a:ln w="3175">
              <a:solidFill>
                <a:srgbClr val="FF0000"/>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Tools!$B$71:$M$71</c:f>
              <c:numCache>
                <c:formatCode>General</c:formatCode>
                <c:ptCount val="12"/>
                <c:pt idx="0">
                  <c:v>0</c:v>
                </c:pt>
                <c:pt idx="1">
                  <c:v>0</c:v>
                </c:pt>
                <c:pt idx="2">
                  <c:v>0</c:v>
                </c:pt>
                <c:pt idx="3">
                  <c:v>0</c:v>
                </c:pt>
                <c:pt idx="4">
                  <c:v>0</c:v>
                </c:pt>
                <c:pt idx="5">
                  <c:v>0</c:v>
                </c:pt>
                <c:pt idx="6">
                  <c:v>0</c:v>
                </c:pt>
                <c:pt idx="7">
                  <c:v>0.11999999999999957</c:v>
                </c:pt>
                <c:pt idx="8">
                  <c:v>8.9199999999999946</c:v>
                </c:pt>
                <c:pt idx="9">
                  <c:v>19.035</c:v>
                </c:pt>
                <c:pt idx="10">
                  <c:v>54.924000000000007</c:v>
                </c:pt>
                <c:pt idx="11">
                  <c:v>90.142499999999984</c:v>
                </c:pt>
              </c:numCache>
            </c:numRef>
          </c:yVal>
          <c:smooth val="1"/>
        </c:ser>
        <c:ser>
          <c:idx val="2"/>
          <c:order val="2"/>
          <c:tx>
            <c:strRef>
              <c:f>Tools!$DC$64</c:f>
              <c:strCache>
                <c:ptCount val="1"/>
                <c:pt idx="0">
                  <c:v>STN 1</c:v>
                </c:pt>
              </c:strCache>
            </c:strRef>
          </c:tx>
          <c:spPr>
            <a:ln w="3175">
              <a:solidFill>
                <a:schemeClr val="accent4">
                  <a:lumMod val="75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Tools!$B$72:$M$72</c:f>
              <c:numCache>
                <c:formatCode>General</c:formatCode>
                <c:ptCount val="12"/>
                <c:pt idx="0">
                  <c:v>0</c:v>
                </c:pt>
                <c:pt idx="1">
                  <c:v>0</c:v>
                </c:pt>
                <c:pt idx="2">
                  <c:v>0</c:v>
                </c:pt>
                <c:pt idx="3">
                  <c:v>0</c:v>
                </c:pt>
                <c:pt idx="4">
                  <c:v>0</c:v>
                </c:pt>
                <c:pt idx="5">
                  <c:v>0</c:v>
                </c:pt>
                <c:pt idx="6">
                  <c:v>0</c:v>
                </c:pt>
                <c:pt idx="7">
                  <c:v>7.3440000000000039</c:v>
                </c:pt>
                <c:pt idx="8">
                  <c:v>23.755999999999997</c:v>
                </c:pt>
                <c:pt idx="9">
                  <c:v>36.741</c:v>
                </c:pt>
                <c:pt idx="10">
                  <c:v>75.516000000000005</c:v>
                </c:pt>
                <c:pt idx="11">
                  <c:v>112.45169999999999</c:v>
                </c:pt>
              </c:numCache>
            </c:numRef>
          </c:yVal>
          <c:smooth val="1"/>
        </c:ser>
        <c:ser>
          <c:idx val="3"/>
          <c:order val="3"/>
          <c:tx>
            <c:strRef>
              <c:f>Tools!$DC$65</c:f>
              <c:strCache>
                <c:ptCount val="1"/>
                <c:pt idx="0">
                  <c:v>STN 1.5</c:v>
                </c:pt>
              </c:strCache>
            </c:strRef>
          </c:tx>
          <c:spPr>
            <a:ln w="3175">
              <a:solidFill>
                <a:srgbClr val="00B050"/>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Tools!$B$73:$M$73</c:f>
              <c:numCache>
                <c:formatCode>General</c:formatCode>
                <c:ptCount val="12"/>
                <c:pt idx="0">
                  <c:v>0</c:v>
                </c:pt>
                <c:pt idx="1">
                  <c:v>0</c:v>
                </c:pt>
                <c:pt idx="2">
                  <c:v>0</c:v>
                </c:pt>
                <c:pt idx="3">
                  <c:v>0.30000000000000004</c:v>
                </c:pt>
                <c:pt idx="4">
                  <c:v>1.29</c:v>
                </c:pt>
                <c:pt idx="5">
                  <c:v>4.5</c:v>
                </c:pt>
                <c:pt idx="6">
                  <c:v>10.77</c:v>
                </c:pt>
                <c:pt idx="7">
                  <c:v>27.720000000000002</c:v>
                </c:pt>
                <c:pt idx="8">
                  <c:v>48.278999999999996</c:v>
                </c:pt>
                <c:pt idx="9">
                  <c:v>67.626000000000005</c:v>
                </c:pt>
                <c:pt idx="10">
                  <c:v>103.848</c:v>
                </c:pt>
                <c:pt idx="11">
                  <c:v>141.80129999999997</c:v>
                </c:pt>
              </c:numCache>
            </c:numRef>
          </c:yVal>
          <c:smooth val="1"/>
        </c:ser>
        <c:ser>
          <c:idx val="4"/>
          <c:order val="4"/>
          <c:tx>
            <c:strRef>
              <c:f>Tools!$DC$66</c:f>
              <c:strCache>
                <c:ptCount val="1"/>
                <c:pt idx="0">
                  <c:v>STN 2</c:v>
                </c:pt>
              </c:strCache>
            </c:strRef>
          </c:tx>
          <c:spPr>
            <a:ln w="3175"/>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Tools!$B$74:$M$74</c:f>
              <c:numCache>
                <c:formatCode>General</c:formatCode>
                <c:ptCount val="12"/>
                <c:pt idx="0">
                  <c:v>0</c:v>
                </c:pt>
                <c:pt idx="1">
                  <c:v>0.13200000000000001</c:v>
                </c:pt>
                <c:pt idx="2">
                  <c:v>1.4550000000000001</c:v>
                </c:pt>
                <c:pt idx="3">
                  <c:v>3.7680000000000002</c:v>
                </c:pt>
                <c:pt idx="4">
                  <c:v>6.6989999999999998</c:v>
                </c:pt>
                <c:pt idx="5">
                  <c:v>14.102999999999998</c:v>
                </c:pt>
                <c:pt idx="6">
                  <c:v>28.298999999999999</c:v>
                </c:pt>
                <c:pt idx="7">
                  <c:v>55.623000000000005</c:v>
                </c:pt>
                <c:pt idx="8">
                  <c:v>78.502999999999986</c:v>
                </c:pt>
                <c:pt idx="9">
                  <c:v>96.026999999999987</c:v>
                </c:pt>
                <c:pt idx="10">
                  <c:v>136.33499999999998</c:v>
                </c:pt>
                <c:pt idx="11">
                  <c:v>174.81299999999996</c:v>
                </c:pt>
              </c:numCache>
            </c:numRef>
          </c:yVal>
          <c:smooth val="1"/>
        </c:ser>
        <c:ser>
          <c:idx val="5"/>
          <c:order val="5"/>
          <c:tx>
            <c:strRef>
              <c:f>Tools!$DC$67</c:f>
              <c:strCache>
                <c:ptCount val="1"/>
                <c:pt idx="0">
                  <c:v>STN 3</c:v>
                </c:pt>
              </c:strCache>
            </c:strRef>
          </c:tx>
          <c:spPr>
            <a:ln w="3175"/>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Tools!$B$75:$M$75</c:f>
              <c:numCache>
                <c:formatCode>General</c:formatCode>
                <c:ptCount val="12"/>
                <c:pt idx="0">
                  <c:v>0</c:v>
                </c:pt>
                <c:pt idx="1">
                  <c:v>1.8839999999999997</c:v>
                </c:pt>
                <c:pt idx="2">
                  <c:v>5.5679999999999996</c:v>
                </c:pt>
                <c:pt idx="3">
                  <c:v>10.026</c:v>
                </c:pt>
                <c:pt idx="4">
                  <c:v>15.288</c:v>
                </c:pt>
                <c:pt idx="5">
                  <c:v>30.047999999999995</c:v>
                </c:pt>
                <c:pt idx="6">
                  <c:v>58.007999999999996</c:v>
                </c:pt>
                <c:pt idx="7">
                  <c:v>96.924000000000007</c:v>
                </c:pt>
                <c:pt idx="8">
                  <c:v>122.14699999999999</c:v>
                </c:pt>
                <c:pt idx="9">
                  <c:v>137.86799999999999</c:v>
                </c:pt>
                <c:pt idx="10">
                  <c:v>182.316</c:v>
                </c:pt>
                <c:pt idx="11">
                  <c:v>221.17559999999997</c:v>
                </c:pt>
              </c:numCache>
            </c:numRef>
          </c:yVal>
          <c:smooth val="1"/>
        </c:ser>
        <c:ser>
          <c:idx val="6"/>
          <c:order val="6"/>
          <c:tx>
            <c:strRef>
              <c:f>Tools!$DC$68</c:f>
              <c:strCache>
                <c:ptCount val="1"/>
                <c:pt idx="0">
                  <c:v>STN 4</c:v>
                </c:pt>
              </c:strCache>
            </c:strRef>
          </c:tx>
          <c:spPr>
            <a:ln w="3175"/>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Tools!$B$76:$M$76</c:f>
              <c:numCache>
                <c:formatCode>General</c:formatCode>
                <c:ptCount val="12"/>
                <c:pt idx="0">
                  <c:v>0</c:v>
                </c:pt>
                <c:pt idx="1">
                  <c:v>3.9420000000000002</c:v>
                </c:pt>
                <c:pt idx="2">
                  <c:v>10.655999999999999</c:v>
                </c:pt>
                <c:pt idx="3">
                  <c:v>18.516000000000002</c:v>
                </c:pt>
                <c:pt idx="4">
                  <c:v>28.103999999999999</c:v>
                </c:pt>
                <c:pt idx="5">
                  <c:v>54.432000000000002</c:v>
                </c:pt>
                <c:pt idx="6">
                  <c:v>92.627999999999986</c:v>
                </c:pt>
                <c:pt idx="7">
                  <c:v>133.38</c:v>
                </c:pt>
                <c:pt idx="8">
                  <c:v>159.83499999999998</c:v>
                </c:pt>
                <c:pt idx="9">
                  <c:v>177.83999999999997</c:v>
                </c:pt>
                <c:pt idx="10">
                  <c:v>220.93199999999999</c:v>
                </c:pt>
                <c:pt idx="11">
                  <c:v>259.88699999999994</c:v>
                </c:pt>
              </c:numCache>
            </c:numRef>
          </c:yVal>
          <c:smooth val="1"/>
        </c:ser>
        <c:ser>
          <c:idx val="7"/>
          <c:order val="7"/>
          <c:tx>
            <c:strRef>
              <c:f>Tools!$DC$69</c:f>
              <c:strCache>
                <c:ptCount val="1"/>
                <c:pt idx="0">
                  <c:v>STN 5</c:v>
                </c:pt>
              </c:strCache>
            </c:strRef>
          </c:tx>
          <c:spPr>
            <a:ln w="3175">
              <a:solidFill>
                <a:schemeClr val="accent6">
                  <a:lumMod val="50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Tools!$B$77:$M$77</c:f>
              <c:numCache>
                <c:formatCode>General</c:formatCode>
                <c:ptCount val="12"/>
                <c:pt idx="0">
                  <c:v>0</c:v>
                </c:pt>
                <c:pt idx="1">
                  <c:v>6.0734999999999992</c:v>
                </c:pt>
                <c:pt idx="2">
                  <c:v>16.169999999999998</c:v>
                </c:pt>
                <c:pt idx="3">
                  <c:v>27.997499999999999</c:v>
                </c:pt>
                <c:pt idx="4">
                  <c:v>42.93</c:v>
                </c:pt>
                <c:pt idx="5">
                  <c:v>80.201999999999984</c:v>
                </c:pt>
                <c:pt idx="6">
                  <c:v>121.626</c:v>
                </c:pt>
                <c:pt idx="7">
                  <c:v>165.60599999999999</c:v>
                </c:pt>
                <c:pt idx="8">
                  <c:v>192.52299999999997</c:v>
                </c:pt>
                <c:pt idx="9">
                  <c:v>209.322</c:v>
                </c:pt>
                <c:pt idx="10">
                  <c:v>253.76999999999998</c:v>
                </c:pt>
                <c:pt idx="11">
                  <c:v>292.72499999999997</c:v>
                </c:pt>
              </c:numCache>
            </c:numRef>
          </c:yVal>
          <c:smooth val="1"/>
        </c:ser>
        <c:ser>
          <c:idx val="8"/>
          <c:order val="8"/>
          <c:tx>
            <c:strRef>
              <c:f>Tools!$DC$70</c:f>
              <c:strCache>
                <c:ptCount val="1"/>
                <c:pt idx="0">
                  <c:v>STN 6</c:v>
                </c:pt>
              </c:strCache>
            </c:strRef>
          </c:tx>
          <c:spPr>
            <a:ln w="3175">
              <a:solidFill>
                <a:schemeClr val="accent6">
                  <a:lumMod val="75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Tools!$B$78:$M$78</c:f>
              <c:numCache>
                <c:formatCode>General</c:formatCode>
                <c:ptCount val="12"/>
                <c:pt idx="0">
                  <c:v>0</c:v>
                </c:pt>
                <c:pt idx="1">
                  <c:v>8.3069999999999986</c:v>
                </c:pt>
                <c:pt idx="2">
                  <c:v>22.139999999999997</c:v>
                </c:pt>
                <c:pt idx="3">
                  <c:v>38.168999999999997</c:v>
                </c:pt>
                <c:pt idx="4">
                  <c:v>57.263999999999996</c:v>
                </c:pt>
                <c:pt idx="5">
                  <c:v>98.927999999999997</c:v>
                </c:pt>
                <c:pt idx="6">
                  <c:v>142.524</c:v>
                </c:pt>
                <c:pt idx="7">
                  <c:v>186.79199999999997</c:v>
                </c:pt>
                <c:pt idx="8">
                  <c:v>213.74199999999996</c:v>
                </c:pt>
                <c:pt idx="9">
                  <c:v>230.72399999999999</c:v>
                </c:pt>
                <c:pt idx="10">
                  <c:v>274.99199999999996</c:v>
                </c:pt>
                <c:pt idx="11">
                  <c:v>313.94699999999995</c:v>
                </c:pt>
              </c:numCache>
            </c:numRef>
          </c:yVal>
          <c:smooth val="1"/>
        </c:ser>
        <c:ser>
          <c:idx val="9"/>
          <c:order val="9"/>
          <c:tx>
            <c:strRef>
              <c:f>Tools!$DC$71</c:f>
              <c:strCache>
                <c:ptCount val="1"/>
                <c:pt idx="0">
                  <c:v>STN 7</c:v>
                </c:pt>
              </c:strCache>
            </c:strRef>
          </c:tx>
          <c:spPr>
            <a:ln w="3175">
              <a:solidFill>
                <a:srgbClr val="FF0000"/>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Tools!$B$79:$M$79</c:f>
              <c:numCache>
                <c:formatCode>General</c:formatCode>
                <c:ptCount val="12"/>
                <c:pt idx="0">
                  <c:v>0</c:v>
                </c:pt>
                <c:pt idx="1">
                  <c:v>11.539499999999999</c:v>
                </c:pt>
                <c:pt idx="2">
                  <c:v>28.973999999999997</c:v>
                </c:pt>
                <c:pt idx="3">
                  <c:v>48.061499999999995</c:v>
                </c:pt>
                <c:pt idx="4">
                  <c:v>69.245999999999995</c:v>
                </c:pt>
                <c:pt idx="5">
                  <c:v>112.91399999999999</c:v>
                </c:pt>
                <c:pt idx="6">
                  <c:v>156.97800000000001</c:v>
                </c:pt>
                <c:pt idx="7">
                  <c:v>201.11399999999998</c:v>
                </c:pt>
                <c:pt idx="8">
                  <c:v>228.06399999999996</c:v>
                </c:pt>
                <c:pt idx="9">
                  <c:v>245.178</c:v>
                </c:pt>
                <c:pt idx="10">
                  <c:v>289.31399999999996</c:v>
                </c:pt>
                <c:pt idx="11">
                  <c:v>328.26899999999995</c:v>
                </c:pt>
              </c:numCache>
            </c:numRef>
          </c:yVal>
          <c:smooth val="1"/>
        </c:ser>
        <c:ser>
          <c:idx val="10"/>
          <c:order val="10"/>
          <c:tx>
            <c:strRef>
              <c:f>Tools!$DC$72</c:f>
              <c:strCache>
                <c:ptCount val="1"/>
                <c:pt idx="0">
                  <c:v>STN 8</c:v>
                </c:pt>
              </c:strCache>
            </c:strRef>
          </c:tx>
          <c:spPr>
            <a:ln w="3175">
              <a:solidFill>
                <a:srgbClr val="00FF00"/>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Tools!$B$80:$M$80</c:f>
              <c:numCache>
                <c:formatCode>General</c:formatCode>
                <c:ptCount val="12"/>
                <c:pt idx="0">
                  <c:v>0</c:v>
                </c:pt>
                <c:pt idx="1">
                  <c:v>14.9145</c:v>
                </c:pt>
                <c:pt idx="2">
                  <c:v>34.734000000000002</c:v>
                </c:pt>
                <c:pt idx="3">
                  <c:v>55.390500000000003</c:v>
                </c:pt>
                <c:pt idx="4">
                  <c:v>77.412000000000006</c:v>
                </c:pt>
                <c:pt idx="5">
                  <c:v>121.518</c:v>
                </c:pt>
                <c:pt idx="6">
                  <c:v>165.52800000000002</c:v>
                </c:pt>
                <c:pt idx="7">
                  <c:v>209.71800000000002</c:v>
                </c:pt>
                <c:pt idx="8">
                  <c:v>236.66800000000001</c:v>
                </c:pt>
                <c:pt idx="9">
                  <c:v>253.72800000000001</c:v>
                </c:pt>
                <c:pt idx="10">
                  <c:v>297.91800000000001</c:v>
                </c:pt>
                <c:pt idx="11">
                  <c:v>336.87299999999999</c:v>
                </c:pt>
              </c:numCache>
            </c:numRef>
          </c:yVal>
          <c:smooth val="1"/>
        </c:ser>
        <c:ser>
          <c:idx val="11"/>
          <c:order val="11"/>
          <c:tx>
            <c:strRef>
              <c:f>Tools!$DC$73</c:f>
              <c:strCache>
                <c:ptCount val="1"/>
                <c:pt idx="0">
                  <c:v>STN 9</c:v>
                </c:pt>
              </c:strCache>
            </c:strRef>
          </c:tx>
          <c:spPr>
            <a:ln w="3175">
              <a:solidFill>
                <a:schemeClr val="accent2"/>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Tools!$B$81:$M$81</c:f>
              <c:numCache>
                <c:formatCode>General</c:formatCode>
                <c:ptCount val="12"/>
                <c:pt idx="0">
                  <c:v>0</c:v>
                </c:pt>
                <c:pt idx="1">
                  <c:v>16.577999999999999</c:v>
                </c:pt>
                <c:pt idx="2">
                  <c:v>37.223999999999997</c:v>
                </c:pt>
                <c:pt idx="3">
                  <c:v>58.445999999999998</c:v>
                </c:pt>
                <c:pt idx="4">
                  <c:v>80.693999999999988</c:v>
                </c:pt>
                <c:pt idx="5">
                  <c:v>124.78799999999998</c:v>
                </c:pt>
                <c:pt idx="6">
                  <c:v>168.89400000000001</c:v>
                </c:pt>
                <c:pt idx="7">
                  <c:v>212.988</c:v>
                </c:pt>
                <c:pt idx="8">
                  <c:v>239.93799999999999</c:v>
                </c:pt>
                <c:pt idx="9">
                  <c:v>257.09399999999999</c:v>
                </c:pt>
                <c:pt idx="10">
                  <c:v>301.18799999999999</c:v>
                </c:pt>
                <c:pt idx="11">
                  <c:v>340.14299999999997</c:v>
                </c:pt>
              </c:numCache>
            </c:numRef>
          </c:yVal>
          <c:smooth val="1"/>
        </c:ser>
        <c:ser>
          <c:idx val="12"/>
          <c:order val="12"/>
          <c:tx>
            <c:strRef>
              <c:f>Tools!$DC$74</c:f>
              <c:strCache>
                <c:ptCount val="1"/>
                <c:pt idx="0">
                  <c:v>STN 10</c:v>
                </c:pt>
              </c:strCache>
            </c:strRef>
          </c:tx>
          <c:spPr>
            <a:ln w="3175">
              <a:solidFill>
                <a:schemeClr val="tx2"/>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Tools!$B$82:$M$82</c:f>
              <c:numCache>
                <c:formatCode>General</c:formatCode>
                <c:ptCount val="12"/>
                <c:pt idx="0">
                  <c:v>0</c:v>
                </c:pt>
                <c:pt idx="1">
                  <c:v>17.4315</c:v>
                </c:pt>
                <c:pt idx="2">
                  <c:v>38.021999999999998</c:v>
                </c:pt>
                <c:pt idx="3">
                  <c:v>59.443499999999993</c:v>
                </c:pt>
                <c:pt idx="4">
                  <c:v>81.563999999999993</c:v>
                </c:pt>
                <c:pt idx="5">
                  <c:v>125.63399999999999</c:v>
                </c:pt>
                <c:pt idx="6">
                  <c:v>169.76400000000001</c:v>
                </c:pt>
                <c:pt idx="7">
                  <c:v>213.834</c:v>
                </c:pt>
                <c:pt idx="8">
                  <c:v>240.78399999999999</c:v>
                </c:pt>
                <c:pt idx="9">
                  <c:v>257.964</c:v>
                </c:pt>
                <c:pt idx="10">
                  <c:v>302.03399999999999</c:v>
                </c:pt>
                <c:pt idx="11">
                  <c:v>340.98899999999998</c:v>
                </c:pt>
              </c:numCache>
            </c:numRef>
          </c:yVal>
          <c:smooth val="1"/>
        </c:ser>
        <c:ser>
          <c:idx val="13"/>
          <c:order val="13"/>
          <c:tx>
            <c:strRef>
              <c:f>Tools!$DC$75</c:f>
              <c:strCache>
                <c:ptCount val="1"/>
                <c:pt idx="0">
                  <c:v>STN 11</c:v>
                </c:pt>
              </c:strCache>
            </c:strRef>
          </c:tx>
          <c:spPr>
            <a:ln w="3175">
              <a:solidFill>
                <a:schemeClr val="accent3">
                  <a:lumMod val="50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Tools!$B$83:$M$83</c:f>
              <c:numCache>
                <c:formatCode>General</c:formatCode>
                <c:ptCount val="12"/>
                <c:pt idx="0">
                  <c:v>0</c:v>
                </c:pt>
                <c:pt idx="1">
                  <c:v>17.486999999999998</c:v>
                </c:pt>
                <c:pt idx="2">
                  <c:v>37.692</c:v>
                </c:pt>
                <c:pt idx="3">
                  <c:v>58.98899999999999</c:v>
                </c:pt>
                <c:pt idx="4">
                  <c:v>80.885999999999996</c:v>
                </c:pt>
                <c:pt idx="5">
                  <c:v>124.94400000000002</c:v>
                </c:pt>
                <c:pt idx="6">
                  <c:v>169.03800000000001</c:v>
                </c:pt>
                <c:pt idx="7">
                  <c:v>213.14400000000001</c:v>
                </c:pt>
                <c:pt idx="8">
                  <c:v>240.09399999999999</c:v>
                </c:pt>
                <c:pt idx="9">
                  <c:v>257.238</c:v>
                </c:pt>
                <c:pt idx="10">
                  <c:v>301.34399999999999</c:v>
                </c:pt>
                <c:pt idx="11">
                  <c:v>340.29899999999998</c:v>
                </c:pt>
              </c:numCache>
            </c:numRef>
          </c:yVal>
          <c:smooth val="1"/>
        </c:ser>
        <c:ser>
          <c:idx val="14"/>
          <c:order val="14"/>
          <c:tx>
            <c:strRef>
              <c:f>Tools!$DC$76</c:f>
              <c:strCache>
                <c:ptCount val="1"/>
                <c:pt idx="0">
                  <c:v>STN 12</c:v>
                </c:pt>
              </c:strCache>
            </c:strRef>
          </c:tx>
          <c:spPr>
            <a:ln w="3175">
              <a:solidFill>
                <a:schemeClr val="accent5">
                  <a:lumMod val="75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Tools!$B$84:$M$84</c:f>
              <c:numCache>
                <c:formatCode>General</c:formatCode>
                <c:ptCount val="12"/>
                <c:pt idx="0">
                  <c:v>0</c:v>
                </c:pt>
                <c:pt idx="1">
                  <c:v>16.246500000000001</c:v>
                </c:pt>
                <c:pt idx="2">
                  <c:v>35.417999999999999</c:v>
                </c:pt>
                <c:pt idx="3">
                  <c:v>55.876499999999993</c:v>
                </c:pt>
                <c:pt idx="4">
                  <c:v>77.141999999999996</c:v>
                </c:pt>
                <c:pt idx="5">
                  <c:v>120.59399999999999</c:v>
                </c:pt>
                <c:pt idx="6">
                  <c:v>164.70599999999999</c:v>
                </c:pt>
                <c:pt idx="7">
                  <c:v>208.73399999999998</c:v>
                </c:pt>
                <c:pt idx="8">
                  <c:v>235.68399999999997</c:v>
                </c:pt>
                <c:pt idx="9">
                  <c:v>252.90600000000001</c:v>
                </c:pt>
                <c:pt idx="10">
                  <c:v>296.93399999999997</c:v>
                </c:pt>
                <c:pt idx="11">
                  <c:v>335.88899999999995</c:v>
                </c:pt>
              </c:numCache>
            </c:numRef>
          </c:yVal>
          <c:smooth val="1"/>
        </c:ser>
        <c:ser>
          <c:idx val="15"/>
          <c:order val="15"/>
          <c:tx>
            <c:strRef>
              <c:f>Tools!$DC$77</c:f>
              <c:strCache>
                <c:ptCount val="1"/>
                <c:pt idx="0">
                  <c:v>STN 13</c:v>
                </c:pt>
              </c:strCache>
            </c:strRef>
          </c:tx>
          <c:spPr>
            <a:ln w="3175">
              <a:solidFill>
                <a:schemeClr val="bg2">
                  <a:lumMod val="25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Tools!$B$85:$M$85</c:f>
              <c:numCache>
                <c:formatCode>General</c:formatCode>
                <c:ptCount val="12"/>
                <c:pt idx="0">
                  <c:v>0</c:v>
                </c:pt>
                <c:pt idx="1">
                  <c:v>14.128499999999999</c:v>
                </c:pt>
                <c:pt idx="2">
                  <c:v>31.254000000000001</c:v>
                </c:pt>
                <c:pt idx="3">
                  <c:v>49.912499999999994</c:v>
                </c:pt>
                <c:pt idx="4">
                  <c:v>69.564000000000007</c:v>
                </c:pt>
                <c:pt idx="5">
                  <c:v>110.538</c:v>
                </c:pt>
                <c:pt idx="6">
                  <c:v>153.12</c:v>
                </c:pt>
                <c:pt idx="7">
                  <c:v>196.578</c:v>
                </c:pt>
                <c:pt idx="8">
                  <c:v>223.41799999999998</c:v>
                </c:pt>
                <c:pt idx="9">
                  <c:v>240.62400000000002</c:v>
                </c:pt>
                <c:pt idx="10">
                  <c:v>284.57400000000001</c:v>
                </c:pt>
                <c:pt idx="11">
                  <c:v>323.49720000000002</c:v>
                </c:pt>
              </c:numCache>
            </c:numRef>
          </c:yVal>
          <c:smooth val="1"/>
        </c:ser>
        <c:ser>
          <c:idx val="16"/>
          <c:order val="16"/>
          <c:tx>
            <c:strRef>
              <c:f>Tools!$DC$78</c:f>
              <c:strCache>
                <c:ptCount val="1"/>
                <c:pt idx="0">
                  <c:v>STN 14</c:v>
                </c:pt>
              </c:strCache>
            </c:strRef>
          </c:tx>
          <c:spPr>
            <a:ln w="3175">
              <a:solidFill>
                <a:schemeClr val="tx2">
                  <a:lumMod val="60000"/>
                  <a:lumOff val="40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Tools!$B$86:$M$86</c:f>
              <c:numCache>
                <c:formatCode>General</c:formatCode>
                <c:ptCount val="12"/>
                <c:pt idx="0">
                  <c:v>0</c:v>
                </c:pt>
                <c:pt idx="1">
                  <c:v>11.537999999999998</c:v>
                </c:pt>
                <c:pt idx="2">
                  <c:v>25.595999999999997</c:v>
                </c:pt>
                <c:pt idx="3">
                  <c:v>41.021999999999998</c:v>
                </c:pt>
                <c:pt idx="4">
                  <c:v>58.535999999999994</c:v>
                </c:pt>
                <c:pt idx="5">
                  <c:v>94.775999999999982</c:v>
                </c:pt>
                <c:pt idx="6">
                  <c:v>133.90799999999999</c:v>
                </c:pt>
                <c:pt idx="7">
                  <c:v>174.21599999999998</c:v>
                </c:pt>
                <c:pt idx="8">
                  <c:v>199.65899999999996</c:v>
                </c:pt>
                <c:pt idx="9">
                  <c:v>216.33599999999998</c:v>
                </c:pt>
                <c:pt idx="10">
                  <c:v>259.04399999999998</c:v>
                </c:pt>
                <c:pt idx="11">
                  <c:v>297.68099999999998</c:v>
                </c:pt>
              </c:numCache>
            </c:numRef>
          </c:yVal>
          <c:smooth val="1"/>
        </c:ser>
        <c:ser>
          <c:idx val="17"/>
          <c:order val="17"/>
          <c:tx>
            <c:strRef>
              <c:f>Tools!$DC$79</c:f>
              <c:strCache>
                <c:ptCount val="1"/>
                <c:pt idx="0">
                  <c:v>STN 15</c:v>
                </c:pt>
              </c:strCache>
            </c:strRef>
          </c:tx>
          <c:spPr>
            <a:ln w="3175">
              <a:solidFill>
                <a:srgbClr val="00B050"/>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Tools!$B$87:$M$87</c:f>
              <c:numCache>
                <c:formatCode>General</c:formatCode>
                <c:ptCount val="12"/>
                <c:pt idx="0">
                  <c:v>0</c:v>
                </c:pt>
                <c:pt idx="1">
                  <c:v>8.6100000000000012</c:v>
                </c:pt>
                <c:pt idx="2">
                  <c:v>19.920000000000002</c:v>
                </c:pt>
                <c:pt idx="3">
                  <c:v>32.844000000000001</c:v>
                </c:pt>
                <c:pt idx="4">
                  <c:v>46.944000000000003</c:v>
                </c:pt>
                <c:pt idx="5">
                  <c:v>77.555999999999997</c:v>
                </c:pt>
                <c:pt idx="6">
                  <c:v>110.976</c:v>
                </c:pt>
                <c:pt idx="7">
                  <c:v>146.83199999999999</c:v>
                </c:pt>
                <c:pt idx="8">
                  <c:v>169.77799999999999</c:v>
                </c:pt>
                <c:pt idx="9">
                  <c:v>184.75200000000001</c:v>
                </c:pt>
                <c:pt idx="10">
                  <c:v>224.53199999999998</c:v>
                </c:pt>
                <c:pt idx="11">
                  <c:v>261.80159999999995</c:v>
                </c:pt>
              </c:numCache>
            </c:numRef>
          </c:yVal>
          <c:smooth val="1"/>
        </c:ser>
        <c:ser>
          <c:idx val="18"/>
          <c:order val="18"/>
          <c:tx>
            <c:strRef>
              <c:f>Tools!$DC$80</c:f>
              <c:strCache>
                <c:ptCount val="1"/>
                <c:pt idx="0">
                  <c:v>STN 16</c:v>
                </c:pt>
              </c:strCache>
            </c:strRef>
          </c:tx>
          <c:spPr>
            <a:ln w="3175">
              <a:solidFill>
                <a:schemeClr val="accent6">
                  <a:lumMod val="75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Tools!$B$88:$M$88</c:f>
              <c:numCache>
                <c:formatCode>General</c:formatCode>
                <c:ptCount val="12"/>
                <c:pt idx="0">
                  <c:v>0</c:v>
                </c:pt>
                <c:pt idx="1">
                  <c:v>5.76</c:v>
                </c:pt>
                <c:pt idx="2">
                  <c:v>14.111999999999997</c:v>
                </c:pt>
                <c:pt idx="3">
                  <c:v>23.873999999999995</c:v>
                </c:pt>
                <c:pt idx="4">
                  <c:v>34.686</c:v>
                </c:pt>
                <c:pt idx="5">
                  <c:v>58.56</c:v>
                </c:pt>
                <c:pt idx="6">
                  <c:v>85.23</c:v>
                </c:pt>
                <c:pt idx="7">
                  <c:v>114.828</c:v>
                </c:pt>
                <c:pt idx="8">
                  <c:v>134.35300000000001</c:v>
                </c:pt>
                <c:pt idx="9">
                  <c:v>147.34200000000001</c:v>
                </c:pt>
                <c:pt idx="10">
                  <c:v>182.68799999999999</c:v>
                </c:pt>
                <c:pt idx="11">
                  <c:v>217.58849999999995</c:v>
                </c:pt>
              </c:numCache>
            </c:numRef>
          </c:yVal>
          <c:smooth val="1"/>
        </c:ser>
        <c:ser>
          <c:idx val="19"/>
          <c:order val="19"/>
          <c:tx>
            <c:strRef>
              <c:f>Tools!$DC$81</c:f>
              <c:strCache>
                <c:ptCount val="1"/>
                <c:pt idx="0">
                  <c:v>STN 17</c:v>
                </c:pt>
              </c:strCache>
            </c:strRef>
          </c:tx>
          <c:spPr>
            <a:ln w="3175">
              <a:solidFill>
                <a:srgbClr val="7030A0"/>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Tools!$B$89:$M$89</c:f>
              <c:numCache>
                <c:formatCode>General</c:formatCode>
                <c:ptCount val="12"/>
                <c:pt idx="0">
                  <c:v>0</c:v>
                </c:pt>
                <c:pt idx="1">
                  <c:v>3.1154999999999999</c:v>
                </c:pt>
                <c:pt idx="2">
                  <c:v>8.8140000000000001</c:v>
                </c:pt>
                <c:pt idx="3">
                  <c:v>15.577500000000001</c:v>
                </c:pt>
                <c:pt idx="4">
                  <c:v>23.327999999999996</c:v>
                </c:pt>
                <c:pt idx="5">
                  <c:v>40.337999999999994</c:v>
                </c:pt>
                <c:pt idx="6">
                  <c:v>59.616</c:v>
                </c:pt>
                <c:pt idx="7">
                  <c:v>81.593999999999994</c:v>
                </c:pt>
                <c:pt idx="8">
                  <c:v>96.784999999999982</c:v>
                </c:pt>
                <c:pt idx="9">
                  <c:v>107.244</c:v>
                </c:pt>
                <c:pt idx="10">
                  <c:v>136.64999999999998</c:v>
                </c:pt>
                <c:pt idx="11">
                  <c:v>167.92529999999996</c:v>
                </c:pt>
              </c:numCache>
            </c:numRef>
          </c:yVal>
          <c:smooth val="1"/>
        </c:ser>
        <c:ser>
          <c:idx val="20"/>
          <c:order val="20"/>
          <c:tx>
            <c:strRef>
              <c:f>Tools!$DC$82</c:f>
              <c:strCache>
                <c:ptCount val="1"/>
                <c:pt idx="0">
                  <c:v>STN 18</c:v>
                </c:pt>
              </c:strCache>
            </c:strRef>
          </c:tx>
          <c:spPr>
            <a:ln w="3175">
              <a:solidFill>
                <a:schemeClr val="tx1"/>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Tools!$B$90:$M$90</c:f>
              <c:numCache>
                <c:formatCode>General</c:formatCode>
                <c:ptCount val="12"/>
                <c:pt idx="0">
                  <c:v>0</c:v>
                </c:pt>
                <c:pt idx="1">
                  <c:v>1.4534999999999998</c:v>
                </c:pt>
                <c:pt idx="2">
                  <c:v>4.8434999999999997</c:v>
                </c:pt>
                <c:pt idx="3">
                  <c:v>9.3134999999999994</c:v>
                </c:pt>
                <c:pt idx="4">
                  <c:v>14.419499999999999</c:v>
                </c:pt>
                <c:pt idx="5">
                  <c:v>25.675499999999996</c:v>
                </c:pt>
                <c:pt idx="6">
                  <c:v>37.795500000000004</c:v>
                </c:pt>
                <c:pt idx="7">
                  <c:v>51.5595</c:v>
                </c:pt>
                <c:pt idx="8">
                  <c:v>61.734499999999997</c:v>
                </c:pt>
                <c:pt idx="9">
                  <c:v>69.115499999999997</c:v>
                </c:pt>
                <c:pt idx="10">
                  <c:v>91.159500000000008</c:v>
                </c:pt>
                <c:pt idx="11">
                  <c:v>117.5694</c:v>
                </c:pt>
              </c:numCache>
            </c:numRef>
          </c:yVal>
          <c:smooth val="1"/>
        </c:ser>
        <c:ser>
          <c:idx val="21"/>
          <c:order val="21"/>
          <c:tx>
            <c:strRef>
              <c:f>Tools!$DC$83</c:f>
              <c:strCache>
                <c:ptCount val="1"/>
                <c:pt idx="0">
                  <c:v>STN 18.5</c:v>
                </c:pt>
              </c:strCache>
            </c:strRef>
          </c:tx>
          <c:spPr>
            <a:ln w="3175">
              <a:solidFill>
                <a:schemeClr val="accent2">
                  <a:lumMod val="75000"/>
                </a:schemeClr>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Tools!$B$91:$M$91</c:f>
              <c:numCache>
                <c:formatCode>General</c:formatCode>
                <c:ptCount val="12"/>
                <c:pt idx="0">
                  <c:v>0</c:v>
                </c:pt>
                <c:pt idx="1">
                  <c:v>0.60319999999999996</c:v>
                </c:pt>
                <c:pt idx="2">
                  <c:v>3.1021999999999998</c:v>
                </c:pt>
                <c:pt idx="3">
                  <c:v>6.5912000000000006</c:v>
                </c:pt>
                <c:pt idx="4">
                  <c:v>10.6982</c:v>
                </c:pt>
                <c:pt idx="5">
                  <c:v>19.746199999999998</c:v>
                </c:pt>
                <c:pt idx="6">
                  <c:v>28.9742</c:v>
                </c:pt>
                <c:pt idx="7">
                  <c:v>38.8142</c:v>
                </c:pt>
                <c:pt idx="8">
                  <c:v>46.415199999999999</c:v>
                </c:pt>
                <c:pt idx="9">
                  <c:v>52.170200000000001</c:v>
                </c:pt>
                <c:pt idx="10">
                  <c:v>70.050200000000004</c:v>
                </c:pt>
                <c:pt idx="11">
                  <c:v>92.008099999999985</c:v>
                </c:pt>
              </c:numCache>
            </c:numRef>
          </c:yVal>
          <c:smooth val="1"/>
        </c:ser>
        <c:ser>
          <c:idx val="22"/>
          <c:order val="22"/>
          <c:tx>
            <c:strRef>
              <c:f>Tools!$DC$84</c:f>
              <c:strCache>
                <c:ptCount val="1"/>
                <c:pt idx="0">
                  <c:v>STN 19</c:v>
                </c:pt>
              </c:strCache>
            </c:strRef>
          </c:tx>
          <c:spPr>
            <a:ln w="3175">
              <a:solidFill>
                <a:srgbClr val="FF0000"/>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Tools!$B$92:$M$92</c:f>
              <c:numCache>
                <c:formatCode>General</c:formatCode>
                <c:ptCount val="12"/>
                <c:pt idx="0">
                  <c:v>0</c:v>
                </c:pt>
                <c:pt idx="1">
                  <c:v>0.15359999999999999</c:v>
                </c:pt>
                <c:pt idx="2">
                  <c:v>1.9056</c:v>
                </c:pt>
                <c:pt idx="3">
                  <c:v>4.5935999999999995</c:v>
                </c:pt>
                <c:pt idx="4">
                  <c:v>7.8755999999999995</c:v>
                </c:pt>
                <c:pt idx="5">
                  <c:v>15.357599999999998</c:v>
                </c:pt>
                <c:pt idx="6">
                  <c:v>22.467599999999997</c:v>
                </c:pt>
                <c:pt idx="7">
                  <c:v>28.9176</c:v>
                </c:pt>
                <c:pt idx="8">
                  <c:v>33.988599999999998</c:v>
                </c:pt>
                <c:pt idx="9">
                  <c:v>37.947599999999994</c:v>
                </c:pt>
                <c:pt idx="10">
                  <c:v>51.501599999999996</c:v>
                </c:pt>
                <c:pt idx="11">
                  <c:v>67.687799999999982</c:v>
                </c:pt>
              </c:numCache>
            </c:numRef>
          </c:yVal>
          <c:smooth val="1"/>
        </c:ser>
        <c:ser>
          <c:idx val="23"/>
          <c:order val="23"/>
          <c:tx>
            <c:strRef>
              <c:f>Tools!$DC$85</c:f>
              <c:strCache>
                <c:ptCount val="1"/>
                <c:pt idx="0">
                  <c:v>STN 19.5</c:v>
                </c:pt>
              </c:strCache>
            </c:strRef>
          </c:tx>
          <c:spPr>
            <a:ln w="3175">
              <a:solidFill>
                <a:schemeClr val="tx2"/>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Tools!$B$93:$M$93</c:f>
              <c:numCache>
                <c:formatCode>General</c:formatCode>
                <c:ptCount val="12"/>
                <c:pt idx="0">
                  <c:v>0</c:v>
                </c:pt>
                <c:pt idx="1">
                  <c:v>0</c:v>
                </c:pt>
                <c:pt idx="2">
                  <c:v>0.68799999999999994</c:v>
                </c:pt>
                <c:pt idx="3">
                  <c:v>2.641</c:v>
                </c:pt>
                <c:pt idx="4">
                  <c:v>5.26</c:v>
                </c:pt>
                <c:pt idx="5">
                  <c:v>11.524000000000001</c:v>
                </c:pt>
                <c:pt idx="6">
                  <c:v>17.247999999999998</c:v>
                </c:pt>
                <c:pt idx="7">
                  <c:v>21.136000000000003</c:v>
                </c:pt>
                <c:pt idx="8">
                  <c:v>23.82</c:v>
                </c:pt>
                <c:pt idx="9">
                  <c:v>25.707999999999998</c:v>
                </c:pt>
                <c:pt idx="10">
                  <c:v>34.036000000000001</c:v>
                </c:pt>
                <c:pt idx="11">
                  <c:v>44.991099999999996</c:v>
                </c:pt>
              </c:numCache>
            </c:numRef>
          </c:yVal>
          <c:smooth val="1"/>
        </c:ser>
        <c:ser>
          <c:idx val="24"/>
          <c:order val="24"/>
          <c:tx>
            <c:strRef>
              <c:f>Tools!$DC$86</c:f>
              <c:strCache>
                <c:ptCount val="1"/>
                <c:pt idx="0">
                  <c:v>STN 20</c:v>
                </c:pt>
              </c:strCache>
            </c:strRef>
          </c:tx>
          <c:spPr>
            <a:ln w="3175">
              <a:solidFill>
                <a:srgbClr val="00B0F0"/>
              </a:solidFill>
            </a:ln>
          </c:spPr>
          <c:marker>
            <c:symbol val="none"/>
          </c:marker>
          <c:xVal>
            <c:numRef>
              <c:f>Tools!$B$69:$M$69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Tools!$B$94:$M$94</c:f>
              <c:numCache>
                <c:formatCode>General</c:formatCode>
                <c:ptCount val="12"/>
                <c:pt idx="0">
                  <c:v>0</c:v>
                </c:pt>
                <c:pt idx="1">
                  <c:v>0</c:v>
                </c:pt>
                <c:pt idx="2">
                  <c:v>0</c:v>
                </c:pt>
                <c:pt idx="3">
                  <c:v>0.53199999999999992</c:v>
                </c:pt>
                <c:pt idx="4">
                  <c:v>2.2509999999999999</c:v>
                </c:pt>
                <c:pt idx="5">
                  <c:v>7.1440000000000001</c:v>
                </c:pt>
                <c:pt idx="6">
                  <c:v>11.838999999999999</c:v>
                </c:pt>
                <c:pt idx="7">
                  <c:v>13.323999999999998</c:v>
                </c:pt>
                <c:pt idx="8">
                  <c:v>13.323999999999998</c:v>
                </c:pt>
                <c:pt idx="9">
                  <c:v>13.668999999999999</c:v>
                </c:pt>
                <c:pt idx="10">
                  <c:v>15.648999999999999</c:v>
                </c:pt>
                <c:pt idx="11">
                  <c:v>19.830699999999997</c:v>
                </c:pt>
              </c:numCache>
            </c:numRef>
          </c:yVal>
          <c:smooth val="1"/>
        </c:ser>
        <c:dLbls>
          <c:showLegendKey val="0"/>
          <c:showVal val="0"/>
          <c:showCatName val="0"/>
          <c:showSerName val="0"/>
          <c:showPercent val="0"/>
          <c:showBubbleSize val="0"/>
        </c:dLbls>
        <c:axId val="519278592"/>
        <c:axId val="519280128"/>
      </c:scatterChart>
      <c:valAx>
        <c:axId val="519278592"/>
        <c:scaling>
          <c:orientation val="minMax"/>
        </c:scaling>
        <c:delete val="0"/>
        <c:axPos val="b"/>
        <c:numFmt formatCode="General" sourceLinked="1"/>
        <c:majorTickMark val="out"/>
        <c:minorTickMark val="none"/>
        <c:tickLblPos val="nextTo"/>
        <c:crossAx val="519280128"/>
        <c:crosses val="autoZero"/>
        <c:crossBetween val="midCat"/>
      </c:valAx>
      <c:valAx>
        <c:axId val="519280128"/>
        <c:scaling>
          <c:orientation val="minMax"/>
          <c:min val="0"/>
        </c:scaling>
        <c:delete val="0"/>
        <c:axPos val="l"/>
        <c:majorGridlines>
          <c:spPr>
            <a:ln>
              <a:solidFill>
                <a:schemeClr val="tx1">
                  <a:alpha val="10000"/>
                </a:schemeClr>
              </a:solidFill>
            </a:ln>
          </c:spPr>
        </c:majorGridlines>
        <c:numFmt formatCode="General" sourceLinked="1"/>
        <c:majorTickMark val="out"/>
        <c:minorTickMark val="none"/>
        <c:tickLblPos val="nextTo"/>
        <c:crossAx val="519278592"/>
        <c:crosses val="autoZero"/>
        <c:crossBetween val="midCat"/>
      </c:valAx>
    </c:plotArea>
    <c:legend>
      <c:legendPos val="r"/>
      <c:layout>
        <c:manualLayout>
          <c:xMode val="edge"/>
          <c:yMode val="edge"/>
          <c:x val="0.88637615078420773"/>
          <c:y val="3.4194088085244746E-2"/>
          <c:w val="0.10332651022718867"/>
          <c:h val="0.96580591191475529"/>
        </c:manualLayout>
      </c:layout>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7174103237096E-2"/>
          <c:y val="0.14690772508605254"/>
          <c:w val="0.78913528830424595"/>
          <c:h val="0.7565033495065755"/>
        </c:manualLayout>
      </c:layout>
      <c:scatterChart>
        <c:scatterStyle val="smoothMarker"/>
        <c:varyColors val="0"/>
        <c:ser>
          <c:idx val="0"/>
          <c:order val="0"/>
          <c:tx>
            <c:strRef>
              <c:f>Tools!$B$69</c:f>
              <c:strCache>
                <c:ptCount val="1"/>
                <c:pt idx="0">
                  <c:v>0</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Tools!$B$70:$B$94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
          <c:order val="1"/>
          <c:tx>
            <c:strRef>
              <c:f>Tools!$C$69</c:f>
              <c:strCache>
                <c:ptCount val="1"/>
                <c:pt idx="0">
                  <c:v>0.5</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Tools!$C$70:$C$94</c:f>
              <c:numCache>
                <c:formatCode>General</c:formatCode>
                <c:ptCount val="25"/>
                <c:pt idx="0">
                  <c:v>0</c:v>
                </c:pt>
                <c:pt idx="1">
                  <c:v>0</c:v>
                </c:pt>
                <c:pt idx="2">
                  <c:v>0</c:v>
                </c:pt>
                <c:pt idx="3">
                  <c:v>0</c:v>
                </c:pt>
                <c:pt idx="4">
                  <c:v>0.13200000000000001</c:v>
                </c:pt>
                <c:pt idx="5">
                  <c:v>1.8839999999999997</c:v>
                </c:pt>
                <c:pt idx="6">
                  <c:v>3.9420000000000002</c:v>
                </c:pt>
                <c:pt idx="7">
                  <c:v>6.0734999999999992</c:v>
                </c:pt>
                <c:pt idx="8">
                  <c:v>8.3069999999999986</c:v>
                </c:pt>
                <c:pt idx="9">
                  <c:v>11.539499999999999</c:v>
                </c:pt>
                <c:pt idx="10">
                  <c:v>14.9145</c:v>
                </c:pt>
                <c:pt idx="11">
                  <c:v>16.577999999999999</c:v>
                </c:pt>
                <c:pt idx="12">
                  <c:v>17.4315</c:v>
                </c:pt>
                <c:pt idx="13">
                  <c:v>17.486999999999998</c:v>
                </c:pt>
                <c:pt idx="14">
                  <c:v>16.246500000000001</c:v>
                </c:pt>
                <c:pt idx="15">
                  <c:v>14.128499999999999</c:v>
                </c:pt>
                <c:pt idx="16">
                  <c:v>11.537999999999998</c:v>
                </c:pt>
                <c:pt idx="17">
                  <c:v>8.6100000000000012</c:v>
                </c:pt>
                <c:pt idx="18">
                  <c:v>5.76</c:v>
                </c:pt>
                <c:pt idx="19">
                  <c:v>3.1154999999999999</c:v>
                </c:pt>
                <c:pt idx="20">
                  <c:v>1.4534999999999998</c:v>
                </c:pt>
                <c:pt idx="21">
                  <c:v>0.60319999999999996</c:v>
                </c:pt>
                <c:pt idx="22">
                  <c:v>0.15359999999999999</c:v>
                </c:pt>
                <c:pt idx="23">
                  <c:v>0</c:v>
                </c:pt>
                <c:pt idx="24">
                  <c:v>0</c:v>
                </c:pt>
              </c:numCache>
            </c:numRef>
          </c:yVal>
          <c:smooth val="1"/>
        </c:ser>
        <c:ser>
          <c:idx val="2"/>
          <c:order val="2"/>
          <c:tx>
            <c:strRef>
              <c:f>Tools!$D$69</c:f>
              <c:strCache>
                <c:ptCount val="1"/>
                <c:pt idx="0">
                  <c:v>1</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Tools!$D$70:$D$94</c:f>
              <c:numCache>
                <c:formatCode>General</c:formatCode>
                <c:ptCount val="25"/>
                <c:pt idx="0">
                  <c:v>0</c:v>
                </c:pt>
                <c:pt idx="1">
                  <c:v>0</c:v>
                </c:pt>
                <c:pt idx="2">
                  <c:v>0</c:v>
                </c:pt>
                <c:pt idx="3">
                  <c:v>0</c:v>
                </c:pt>
                <c:pt idx="4">
                  <c:v>1.4550000000000001</c:v>
                </c:pt>
                <c:pt idx="5">
                  <c:v>5.5679999999999996</c:v>
                </c:pt>
                <c:pt idx="6">
                  <c:v>10.655999999999999</c:v>
                </c:pt>
                <c:pt idx="7">
                  <c:v>16.169999999999998</c:v>
                </c:pt>
                <c:pt idx="8">
                  <c:v>22.139999999999997</c:v>
                </c:pt>
                <c:pt idx="9">
                  <c:v>28.973999999999997</c:v>
                </c:pt>
                <c:pt idx="10">
                  <c:v>34.734000000000002</c:v>
                </c:pt>
                <c:pt idx="11">
                  <c:v>37.223999999999997</c:v>
                </c:pt>
                <c:pt idx="12">
                  <c:v>38.021999999999998</c:v>
                </c:pt>
                <c:pt idx="13">
                  <c:v>37.692</c:v>
                </c:pt>
                <c:pt idx="14">
                  <c:v>35.417999999999999</c:v>
                </c:pt>
                <c:pt idx="15">
                  <c:v>31.254000000000001</c:v>
                </c:pt>
                <c:pt idx="16">
                  <c:v>25.595999999999997</c:v>
                </c:pt>
                <c:pt idx="17">
                  <c:v>19.920000000000002</c:v>
                </c:pt>
                <c:pt idx="18">
                  <c:v>14.111999999999997</c:v>
                </c:pt>
                <c:pt idx="19">
                  <c:v>8.8140000000000001</c:v>
                </c:pt>
                <c:pt idx="20">
                  <c:v>4.8434999999999997</c:v>
                </c:pt>
                <c:pt idx="21">
                  <c:v>3.1021999999999998</c:v>
                </c:pt>
                <c:pt idx="22">
                  <c:v>1.9056</c:v>
                </c:pt>
                <c:pt idx="23">
                  <c:v>0.68799999999999994</c:v>
                </c:pt>
                <c:pt idx="24">
                  <c:v>0</c:v>
                </c:pt>
              </c:numCache>
            </c:numRef>
          </c:yVal>
          <c:smooth val="1"/>
        </c:ser>
        <c:ser>
          <c:idx val="3"/>
          <c:order val="3"/>
          <c:tx>
            <c:strRef>
              <c:f>Tools!$E$69</c:f>
              <c:strCache>
                <c:ptCount val="1"/>
                <c:pt idx="0">
                  <c:v>1.5</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Tools!$E$70:$E$94</c:f>
              <c:numCache>
                <c:formatCode>General</c:formatCode>
                <c:ptCount val="25"/>
                <c:pt idx="0">
                  <c:v>0</c:v>
                </c:pt>
                <c:pt idx="1">
                  <c:v>0</c:v>
                </c:pt>
                <c:pt idx="2">
                  <c:v>0</c:v>
                </c:pt>
                <c:pt idx="3">
                  <c:v>0.30000000000000004</c:v>
                </c:pt>
                <c:pt idx="4">
                  <c:v>3.7680000000000002</c:v>
                </c:pt>
                <c:pt idx="5">
                  <c:v>10.026</c:v>
                </c:pt>
                <c:pt idx="6">
                  <c:v>18.516000000000002</c:v>
                </c:pt>
                <c:pt idx="7">
                  <c:v>27.997499999999999</c:v>
                </c:pt>
                <c:pt idx="8">
                  <c:v>38.168999999999997</c:v>
                </c:pt>
                <c:pt idx="9">
                  <c:v>48.061499999999995</c:v>
                </c:pt>
                <c:pt idx="10">
                  <c:v>55.390500000000003</c:v>
                </c:pt>
                <c:pt idx="11">
                  <c:v>58.445999999999998</c:v>
                </c:pt>
                <c:pt idx="12">
                  <c:v>59.443499999999993</c:v>
                </c:pt>
                <c:pt idx="13">
                  <c:v>58.98899999999999</c:v>
                </c:pt>
                <c:pt idx="14">
                  <c:v>55.876499999999993</c:v>
                </c:pt>
                <c:pt idx="15">
                  <c:v>49.912499999999994</c:v>
                </c:pt>
                <c:pt idx="16">
                  <c:v>41.021999999999998</c:v>
                </c:pt>
                <c:pt idx="17">
                  <c:v>32.844000000000001</c:v>
                </c:pt>
                <c:pt idx="18">
                  <c:v>23.873999999999995</c:v>
                </c:pt>
                <c:pt idx="19">
                  <c:v>15.577500000000001</c:v>
                </c:pt>
                <c:pt idx="20">
                  <c:v>9.3134999999999994</c:v>
                </c:pt>
                <c:pt idx="21">
                  <c:v>6.5912000000000006</c:v>
                </c:pt>
                <c:pt idx="22">
                  <c:v>4.5935999999999995</c:v>
                </c:pt>
                <c:pt idx="23">
                  <c:v>2.641</c:v>
                </c:pt>
                <c:pt idx="24">
                  <c:v>0.53199999999999992</c:v>
                </c:pt>
              </c:numCache>
            </c:numRef>
          </c:yVal>
          <c:smooth val="1"/>
        </c:ser>
        <c:ser>
          <c:idx val="4"/>
          <c:order val="4"/>
          <c:tx>
            <c:strRef>
              <c:f>Tools!$F$69</c:f>
              <c:strCache>
                <c:ptCount val="1"/>
                <c:pt idx="0">
                  <c:v>2</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Tools!$F$70:$F$94</c:f>
              <c:numCache>
                <c:formatCode>General</c:formatCode>
                <c:ptCount val="25"/>
                <c:pt idx="0">
                  <c:v>0</c:v>
                </c:pt>
                <c:pt idx="1">
                  <c:v>0</c:v>
                </c:pt>
                <c:pt idx="2">
                  <c:v>0</c:v>
                </c:pt>
                <c:pt idx="3">
                  <c:v>1.29</c:v>
                </c:pt>
                <c:pt idx="4">
                  <c:v>6.6989999999999998</c:v>
                </c:pt>
                <c:pt idx="5">
                  <c:v>15.288</c:v>
                </c:pt>
                <c:pt idx="6">
                  <c:v>28.103999999999999</c:v>
                </c:pt>
                <c:pt idx="7">
                  <c:v>42.93</c:v>
                </c:pt>
                <c:pt idx="8">
                  <c:v>57.263999999999996</c:v>
                </c:pt>
                <c:pt idx="9">
                  <c:v>69.245999999999995</c:v>
                </c:pt>
                <c:pt idx="10">
                  <c:v>77.412000000000006</c:v>
                </c:pt>
                <c:pt idx="11">
                  <c:v>80.693999999999988</c:v>
                </c:pt>
                <c:pt idx="12">
                  <c:v>81.563999999999993</c:v>
                </c:pt>
                <c:pt idx="13">
                  <c:v>80.885999999999996</c:v>
                </c:pt>
                <c:pt idx="14">
                  <c:v>77.141999999999996</c:v>
                </c:pt>
                <c:pt idx="15">
                  <c:v>69.564000000000007</c:v>
                </c:pt>
                <c:pt idx="16">
                  <c:v>58.535999999999994</c:v>
                </c:pt>
                <c:pt idx="17">
                  <c:v>46.944000000000003</c:v>
                </c:pt>
                <c:pt idx="18">
                  <c:v>34.686</c:v>
                </c:pt>
                <c:pt idx="19">
                  <c:v>23.327999999999996</c:v>
                </c:pt>
                <c:pt idx="20">
                  <c:v>14.419499999999999</c:v>
                </c:pt>
                <c:pt idx="21">
                  <c:v>10.6982</c:v>
                </c:pt>
                <c:pt idx="22">
                  <c:v>7.8755999999999995</c:v>
                </c:pt>
                <c:pt idx="23">
                  <c:v>5.26</c:v>
                </c:pt>
                <c:pt idx="24">
                  <c:v>2.2509999999999999</c:v>
                </c:pt>
              </c:numCache>
            </c:numRef>
          </c:yVal>
          <c:smooth val="1"/>
        </c:ser>
        <c:ser>
          <c:idx val="5"/>
          <c:order val="5"/>
          <c:tx>
            <c:strRef>
              <c:f>Tools!$G$69</c:f>
              <c:strCache>
                <c:ptCount val="1"/>
                <c:pt idx="0">
                  <c:v>3</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Tools!$G$70:$G$94</c:f>
              <c:numCache>
                <c:formatCode>General</c:formatCode>
                <c:ptCount val="25"/>
                <c:pt idx="0">
                  <c:v>0</c:v>
                </c:pt>
                <c:pt idx="1">
                  <c:v>0</c:v>
                </c:pt>
                <c:pt idx="2">
                  <c:v>0</c:v>
                </c:pt>
                <c:pt idx="3">
                  <c:v>4.5</c:v>
                </c:pt>
                <c:pt idx="4">
                  <c:v>14.102999999999998</c:v>
                </c:pt>
                <c:pt idx="5">
                  <c:v>30.047999999999995</c:v>
                </c:pt>
                <c:pt idx="6">
                  <c:v>54.432000000000002</c:v>
                </c:pt>
                <c:pt idx="7">
                  <c:v>80.201999999999984</c:v>
                </c:pt>
                <c:pt idx="8">
                  <c:v>98.927999999999997</c:v>
                </c:pt>
                <c:pt idx="9">
                  <c:v>112.91399999999999</c:v>
                </c:pt>
                <c:pt idx="10">
                  <c:v>121.518</c:v>
                </c:pt>
                <c:pt idx="11">
                  <c:v>124.78799999999998</c:v>
                </c:pt>
                <c:pt idx="12">
                  <c:v>125.63399999999999</c:v>
                </c:pt>
                <c:pt idx="13">
                  <c:v>124.94400000000002</c:v>
                </c:pt>
                <c:pt idx="14">
                  <c:v>120.59399999999999</c:v>
                </c:pt>
                <c:pt idx="15">
                  <c:v>110.538</c:v>
                </c:pt>
                <c:pt idx="16">
                  <c:v>94.775999999999982</c:v>
                </c:pt>
                <c:pt idx="17">
                  <c:v>77.555999999999997</c:v>
                </c:pt>
                <c:pt idx="18">
                  <c:v>58.56</c:v>
                </c:pt>
                <c:pt idx="19">
                  <c:v>40.337999999999994</c:v>
                </c:pt>
                <c:pt idx="20">
                  <c:v>25.675499999999996</c:v>
                </c:pt>
                <c:pt idx="21">
                  <c:v>19.746199999999998</c:v>
                </c:pt>
                <c:pt idx="22">
                  <c:v>15.357599999999998</c:v>
                </c:pt>
                <c:pt idx="23">
                  <c:v>11.524000000000001</c:v>
                </c:pt>
                <c:pt idx="24">
                  <c:v>7.1440000000000001</c:v>
                </c:pt>
              </c:numCache>
            </c:numRef>
          </c:yVal>
          <c:smooth val="1"/>
        </c:ser>
        <c:ser>
          <c:idx val="6"/>
          <c:order val="6"/>
          <c:tx>
            <c:strRef>
              <c:f>Tools!$H$69</c:f>
              <c:strCache>
                <c:ptCount val="1"/>
                <c:pt idx="0">
                  <c:v>4</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Tools!$H$70:$H$94</c:f>
              <c:numCache>
                <c:formatCode>General</c:formatCode>
                <c:ptCount val="25"/>
                <c:pt idx="0">
                  <c:v>0</c:v>
                </c:pt>
                <c:pt idx="1">
                  <c:v>0</c:v>
                </c:pt>
                <c:pt idx="2">
                  <c:v>0</c:v>
                </c:pt>
                <c:pt idx="3">
                  <c:v>10.77</c:v>
                </c:pt>
                <c:pt idx="4">
                  <c:v>28.298999999999999</c:v>
                </c:pt>
                <c:pt idx="5">
                  <c:v>58.007999999999996</c:v>
                </c:pt>
                <c:pt idx="6">
                  <c:v>92.627999999999986</c:v>
                </c:pt>
                <c:pt idx="7">
                  <c:v>121.626</c:v>
                </c:pt>
                <c:pt idx="8">
                  <c:v>142.524</c:v>
                </c:pt>
                <c:pt idx="9">
                  <c:v>156.97800000000001</c:v>
                </c:pt>
                <c:pt idx="10">
                  <c:v>165.52800000000002</c:v>
                </c:pt>
                <c:pt idx="11">
                  <c:v>168.89400000000001</c:v>
                </c:pt>
                <c:pt idx="12">
                  <c:v>169.76400000000001</c:v>
                </c:pt>
                <c:pt idx="13">
                  <c:v>169.03800000000001</c:v>
                </c:pt>
                <c:pt idx="14">
                  <c:v>164.70599999999999</c:v>
                </c:pt>
                <c:pt idx="15">
                  <c:v>153.12</c:v>
                </c:pt>
                <c:pt idx="16">
                  <c:v>133.90799999999999</c:v>
                </c:pt>
                <c:pt idx="17">
                  <c:v>110.976</c:v>
                </c:pt>
                <c:pt idx="18">
                  <c:v>85.23</c:v>
                </c:pt>
                <c:pt idx="19">
                  <c:v>59.616</c:v>
                </c:pt>
                <c:pt idx="20">
                  <c:v>37.795500000000004</c:v>
                </c:pt>
                <c:pt idx="21">
                  <c:v>28.9742</c:v>
                </c:pt>
                <c:pt idx="22">
                  <c:v>22.467599999999997</c:v>
                </c:pt>
                <c:pt idx="23">
                  <c:v>17.247999999999998</c:v>
                </c:pt>
                <c:pt idx="24">
                  <c:v>11.838999999999999</c:v>
                </c:pt>
              </c:numCache>
            </c:numRef>
          </c:yVal>
          <c:smooth val="1"/>
        </c:ser>
        <c:ser>
          <c:idx val="7"/>
          <c:order val="7"/>
          <c:tx>
            <c:strRef>
              <c:f>Tools!$I$69</c:f>
              <c:strCache>
                <c:ptCount val="1"/>
                <c:pt idx="0">
                  <c:v>5</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Tools!$I$70:$I$94</c:f>
              <c:numCache>
                <c:formatCode>General</c:formatCode>
                <c:ptCount val="25"/>
                <c:pt idx="0">
                  <c:v>0</c:v>
                </c:pt>
                <c:pt idx="1">
                  <c:v>0.11999999999999957</c:v>
                </c:pt>
                <c:pt idx="2">
                  <c:v>7.3440000000000039</c:v>
                </c:pt>
                <c:pt idx="3">
                  <c:v>27.720000000000002</c:v>
                </c:pt>
                <c:pt idx="4">
                  <c:v>55.623000000000005</c:v>
                </c:pt>
                <c:pt idx="5">
                  <c:v>96.924000000000007</c:v>
                </c:pt>
                <c:pt idx="6">
                  <c:v>133.38</c:v>
                </c:pt>
                <c:pt idx="7">
                  <c:v>165.60599999999999</c:v>
                </c:pt>
                <c:pt idx="8">
                  <c:v>186.79199999999997</c:v>
                </c:pt>
                <c:pt idx="9">
                  <c:v>201.11399999999998</c:v>
                </c:pt>
                <c:pt idx="10">
                  <c:v>209.71800000000002</c:v>
                </c:pt>
                <c:pt idx="11">
                  <c:v>212.988</c:v>
                </c:pt>
                <c:pt idx="12">
                  <c:v>213.834</c:v>
                </c:pt>
                <c:pt idx="13">
                  <c:v>213.14400000000001</c:v>
                </c:pt>
                <c:pt idx="14">
                  <c:v>208.73399999999998</c:v>
                </c:pt>
                <c:pt idx="15">
                  <c:v>196.578</c:v>
                </c:pt>
                <c:pt idx="16">
                  <c:v>174.21599999999998</c:v>
                </c:pt>
                <c:pt idx="17">
                  <c:v>146.83199999999999</c:v>
                </c:pt>
                <c:pt idx="18">
                  <c:v>114.828</c:v>
                </c:pt>
                <c:pt idx="19">
                  <c:v>81.593999999999994</c:v>
                </c:pt>
                <c:pt idx="20">
                  <c:v>51.5595</c:v>
                </c:pt>
                <c:pt idx="21">
                  <c:v>38.8142</c:v>
                </c:pt>
                <c:pt idx="22">
                  <c:v>28.9176</c:v>
                </c:pt>
                <c:pt idx="23">
                  <c:v>21.136000000000003</c:v>
                </c:pt>
                <c:pt idx="24">
                  <c:v>13.323999999999998</c:v>
                </c:pt>
              </c:numCache>
            </c:numRef>
          </c:yVal>
          <c:smooth val="1"/>
        </c:ser>
        <c:ser>
          <c:idx val="8"/>
          <c:order val="8"/>
          <c:tx>
            <c:strRef>
              <c:f>Tools!$J$69</c:f>
              <c:strCache>
                <c:ptCount val="1"/>
                <c:pt idx="0">
                  <c:v>5.611111111</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Tools!$J$70:$J$94</c:f>
              <c:numCache>
                <c:formatCode>General</c:formatCode>
                <c:ptCount val="25"/>
                <c:pt idx="0">
                  <c:v>0.57839999999999792</c:v>
                </c:pt>
                <c:pt idx="1">
                  <c:v>8.9199999999999946</c:v>
                </c:pt>
                <c:pt idx="2">
                  <c:v>23.755999999999997</c:v>
                </c:pt>
                <c:pt idx="3">
                  <c:v>48.278999999999996</c:v>
                </c:pt>
                <c:pt idx="4">
                  <c:v>78.502999999999986</c:v>
                </c:pt>
                <c:pt idx="5">
                  <c:v>122.14699999999999</c:v>
                </c:pt>
                <c:pt idx="6">
                  <c:v>159.83499999999998</c:v>
                </c:pt>
                <c:pt idx="7">
                  <c:v>192.52299999999997</c:v>
                </c:pt>
                <c:pt idx="8">
                  <c:v>213.74199999999996</c:v>
                </c:pt>
                <c:pt idx="9">
                  <c:v>228.06399999999996</c:v>
                </c:pt>
                <c:pt idx="10">
                  <c:v>236.66800000000001</c:v>
                </c:pt>
                <c:pt idx="11">
                  <c:v>239.93799999999999</c:v>
                </c:pt>
                <c:pt idx="12">
                  <c:v>240.78399999999999</c:v>
                </c:pt>
                <c:pt idx="13">
                  <c:v>240.09399999999999</c:v>
                </c:pt>
                <c:pt idx="14">
                  <c:v>235.68399999999997</c:v>
                </c:pt>
                <c:pt idx="15">
                  <c:v>223.41799999999998</c:v>
                </c:pt>
                <c:pt idx="16">
                  <c:v>199.65899999999996</c:v>
                </c:pt>
                <c:pt idx="17">
                  <c:v>169.77799999999999</c:v>
                </c:pt>
                <c:pt idx="18">
                  <c:v>134.35300000000001</c:v>
                </c:pt>
                <c:pt idx="19">
                  <c:v>96.784999999999982</c:v>
                </c:pt>
                <c:pt idx="20">
                  <c:v>61.734499999999997</c:v>
                </c:pt>
                <c:pt idx="21">
                  <c:v>46.415199999999999</c:v>
                </c:pt>
                <c:pt idx="22">
                  <c:v>33.988599999999998</c:v>
                </c:pt>
                <c:pt idx="23">
                  <c:v>23.82</c:v>
                </c:pt>
                <c:pt idx="24">
                  <c:v>13.323999999999998</c:v>
                </c:pt>
              </c:numCache>
            </c:numRef>
          </c:yVal>
          <c:smooth val="1"/>
        </c:ser>
        <c:ser>
          <c:idx val="9"/>
          <c:order val="9"/>
          <c:tx>
            <c:strRef>
              <c:f>Tools!$K$69</c:f>
              <c:strCache>
                <c:ptCount val="1"/>
                <c:pt idx="0">
                  <c:v>6</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Tools!$K$70:$K$94</c:f>
              <c:numCache>
                <c:formatCode>General</c:formatCode>
                <c:ptCount val="25"/>
                <c:pt idx="0">
                  <c:v>6.9428000000000045</c:v>
                </c:pt>
                <c:pt idx="1">
                  <c:v>19.035</c:v>
                </c:pt>
                <c:pt idx="2">
                  <c:v>36.741</c:v>
                </c:pt>
                <c:pt idx="3">
                  <c:v>67.626000000000005</c:v>
                </c:pt>
                <c:pt idx="4">
                  <c:v>96.026999999999987</c:v>
                </c:pt>
                <c:pt idx="5">
                  <c:v>137.86799999999999</c:v>
                </c:pt>
                <c:pt idx="6">
                  <c:v>177.83999999999997</c:v>
                </c:pt>
                <c:pt idx="7">
                  <c:v>209.322</c:v>
                </c:pt>
                <c:pt idx="8">
                  <c:v>230.72399999999999</c:v>
                </c:pt>
                <c:pt idx="9">
                  <c:v>245.178</c:v>
                </c:pt>
                <c:pt idx="10">
                  <c:v>253.72800000000001</c:v>
                </c:pt>
                <c:pt idx="11">
                  <c:v>257.09399999999999</c:v>
                </c:pt>
                <c:pt idx="12">
                  <c:v>257.964</c:v>
                </c:pt>
                <c:pt idx="13">
                  <c:v>257.238</c:v>
                </c:pt>
                <c:pt idx="14">
                  <c:v>252.90600000000001</c:v>
                </c:pt>
                <c:pt idx="15">
                  <c:v>240.62400000000002</c:v>
                </c:pt>
                <c:pt idx="16">
                  <c:v>216.33599999999998</c:v>
                </c:pt>
                <c:pt idx="17">
                  <c:v>184.75200000000001</c:v>
                </c:pt>
                <c:pt idx="18">
                  <c:v>147.34200000000001</c:v>
                </c:pt>
                <c:pt idx="19">
                  <c:v>107.244</c:v>
                </c:pt>
                <c:pt idx="20">
                  <c:v>69.115499999999997</c:v>
                </c:pt>
                <c:pt idx="21">
                  <c:v>52.170200000000001</c:v>
                </c:pt>
                <c:pt idx="22">
                  <c:v>37.947599999999994</c:v>
                </c:pt>
                <c:pt idx="23">
                  <c:v>25.707999999999998</c:v>
                </c:pt>
                <c:pt idx="24">
                  <c:v>13.668999999999999</c:v>
                </c:pt>
              </c:numCache>
            </c:numRef>
          </c:yVal>
          <c:smooth val="1"/>
        </c:ser>
        <c:ser>
          <c:idx val="10"/>
          <c:order val="10"/>
          <c:tx>
            <c:strRef>
              <c:f>Tools!$L$69</c:f>
              <c:strCache>
                <c:ptCount val="1"/>
                <c:pt idx="0">
                  <c:v>7</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Tools!$L$70:$L$94</c:f>
              <c:numCache>
                <c:formatCode>General</c:formatCode>
                <c:ptCount val="25"/>
                <c:pt idx="0">
                  <c:v>35.382800000000003</c:v>
                </c:pt>
                <c:pt idx="1">
                  <c:v>54.924000000000007</c:v>
                </c:pt>
                <c:pt idx="2">
                  <c:v>75.516000000000005</c:v>
                </c:pt>
                <c:pt idx="3">
                  <c:v>103.848</c:v>
                </c:pt>
                <c:pt idx="4">
                  <c:v>136.33499999999998</c:v>
                </c:pt>
                <c:pt idx="5">
                  <c:v>182.316</c:v>
                </c:pt>
                <c:pt idx="6">
                  <c:v>220.93199999999999</c:v>
                </c:pt>
                <c:pt idx="7">
                  <c:v>253.76999999999998</c:v>
                </c:pt>
                <c:pt idx="8">
                  <c:v>274.99199999999996</c:v>
                </c:pt>
                <c:pt idx="9">
                  <c:v>289.31399999999996</c:v>
                </c:pt>
                <c:pt idx="10">
                  <c:v>297.91800000000001</c:v>
                </c:pt>
                <c:pt idx="11">
                  <c:v>301.18799999999999</c:v>
                </c:pt>
                <c:pt idx="12">
                  <c:v>302.03399999999999</c:v>
                </c:pt>
                <c:pt idx="13">
                  <c:v>301.34399999999999</c:v>
                </c:pt>
                <c:pt idx="14">
                  <c:v>296.93399999999997</c:v>
                </c:pt>
                <c:pt idx="15">
                  <c:v>284.57400000000001</c:v>
                </c:pt>
                <c:pt idx="16">
                  <c:v>259.04399999999998</c:v>
                </c:pt>
                <c:pt idx="17">
                  <c:v>224.53199999999998</c:v>
                </c:pt>
                <c:pt idx="18">
                  <c:v>182.68799999999999</c:v>
                </c:pt>
                <c:pt idx="19">
                  <c:v>136.64999999999998</c:v>
                </c:pt>
                <c:pt idx="20">
                  <c:v>91.159500000000008</c:v>
                </c:pt>
                <c:pt idx="21">
                  <c:v>70.050200000000004</c:v>
                </c:pt>
                <c:pt idx="22">
                  <c:v>51.501599999999996</c:v>
                </c:pt>
                <c:pt idx="23">
                  <c:v>34.036000000000001</c:v>
                </c:pt>
                <c:pt idx="24">
                  <c:v>15.648999999999999</c:v>
                </c:pt>
              </c:numCache>
            </c:numRef>
          </c:yVal>
          <c:smooth val="1"/>
        </c:ser>
        <c:ser>
          <c:idx val="11"/>
          <c:order val="11"/>
          <c:tx>
            <c:strRef>
              <c:f>Tools!$M$69</c:f>
              <c:strCache>
                <c:ptCount val="1"/>
                <c:pt idx="0">
                  <c:v>7.883333333</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Tools!$M$70:$M$94</c:f>
              <c:numCache>
                <c:formatCode>General</c:formatCode>
                <c:ptCount val="25"/>
                <c:pt idx="0">
                  <c:v>67.961899999999986</c:v>
                </c:pt>
                <c:pt idx="1">
                  <c:v>90.142499999999984</c:v>
                </c:pt>
                <c:pt idx="2">
                  <c:v>112.45169999999999</c:v>
                </c:pt>
                <c:pt idx="3">
                  <c:v>141.80129999999997</c:v>
                </c:pt>
                <c:pt idx="4">
                  <c:v>174.81299999999996</c:v>
                </c:pt>
                <c:pt idx="5">
                  <c:v>221.17559999999997</c:v>
                </c:pt>
                <c:pt idx="6">
                  <c:v>259.88699999999994</c:v>
                </c:pt>
                <c:pt idx="7">
                  <c:v>292.72499999999997</c:v>
                </c:pt>
                <c:pt idx="8">
                  <c:v>313.94699999999995</c:v>
                </c:pt>
                <c:pt idx="9">
                  <c:v>328.26899999999995</c:v>
                </c:pt>
                <c:pt idx="10">
                  <c:v>336.87299999999999</c:v>
                </c:pt>
                <c:pt idx="11">
                  <c:v>340.14299999999997</c:v>
                </c:pt>
                <c:pt idx="12">
                  <c:v>340.98899999999998</c:v>
                </c:pt>
                <c:pt idx="13">
                  <c:v>340.29899999999998</c:v>
                </c:pt>
                <c:pt idx="14">
                  <c:v>335.88899999999995</c:v>
                </c:pt>
                <c:pt idx="15">
                  <c:v>323.49720000000002</c:v>
                </c:pt>
                <c:pt idx="16">
                  <c:v>297.68099999999998</c:v>
                </c:pt>
                <c:pt idx="17">
                  <c:v>261.80159999999995</c:v>
                </c:pt>
                <c:pt idx="18">
                  <c:v>217.58849999999995</c:v>
                </c:pt>
                <c:pt idx="19">
                  <c:v>167.92529999999996</c:v>
                </c:pt>
                <c:pt idx="20">
                  <c:v>117.5694</c:v>
                </c:pt>
                <c:pt idx="21">
                  <c:v>92.008099999999985</c:v>
                </c:pt>
                <c:pt idx="22">
                  <c:v>67.687799999999982</c:v>
                </c:pt>
                <c:pt idx="23">
                  <c:v>44.991099999999996</c:v>
                </c:pt>
                <c:pt idx="24">
                  <c:v>19.830699999999997</c:v>
                </c:pt>
              </c:numCache>
            </c:numRef>
          </c:yVal>
          <c:smooth val="1"/>
        </c:ser>
        <c:ser>
          <c:idx val="12"/>
          <c:order val="12"/>
          <c:tx>
            <c:strRef>
              <c:f>Tools!$N$69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Tools!$N$70:$N$94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3"/>
          <c:order val="13"/>
          <c:tx>
            <c:strRef>
              <c:f>Tools!$O$69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Tools!$O$70:$O$94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4"/>
          <c:order val="14"/>
          <c:tx>
            <c:strRef>
              <c:f>Tools!$P$69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Tools!$P$70:$P$94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5"/>
          <c:order val="15"/>
          <c:tx>
            <c:strRef>
              <c:f>Tools!$Q$69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Tools!$Q$70:$Q$94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6"/>
          <c:order val="16"/>
          <c:tx>
            <c:strRef>
              <c:f>Tools!$R$69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Tools!$R$70:$R$94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7"/>
          <c:order val="17"/>
          <c:tx>
            <c:strRef>
              <c:f>Tools!$S$69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Tools!$S$70:$S$94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8"/>
          <c:order val="18"/>
          <c:tx>
            <c:strRef>
              <c:f>Tools!$T$69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Tools!$T$70:$T$94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9"/>
          <c:order val="19"/>
          <c:tx>
            <c:strRef>
              <c:f>Tools!$U$69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Tools!$U$70:$U$94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0"/>
          <c:order val="20"/>
          <c:tx>
            <c:strRef>
              <c:f>Tools!$V$69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Tools!$V$70:$V$94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1"/>
          <c:order val="21"/>
          <c:tx>
            <c:strRef>
              <c:f>Tools!$W$69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Tools!$W$70:$W$94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2"/>
          <c:order val="22"/>
          <c:tx>
            <c:strRef>
              <c:f>Tools!$X$69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Tools!$X$70:$X$94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3"/>
          <c:order val="23"/>
          <c:tx>
            <c:strRef>
              <c:f>Tools!$Y$69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Tools!$Y$70:$Y$94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4"/>
          <c:order val="24"/>
          <c:tx>
            <c:strRef>
              <c:f>Tools!$Z$69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Tools!$Z$70:$Z$94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dLbls>
          <c:showLegendKey val="0"/>
          <c:showVal val="0"/>
          <c:showCatName val="0"/>
          <c:showSerName val="0"/>
          <c:showPercent val="0"/>
          <c:showBubbleSize val="0"/>
        </c:dLbls>
        <c:axId val="519332992"/>
        <c:axId val="519334528"/>
      </c:scatterChart>
      <c:valAx>
        <c:axId val="519332992"/>
        <c:scaling>
          <c:orientation val="minMax"/>
          <c:min val="0"/>
        </c:scaling>
        <c:delete val="0"/>
        <c:axPos val="b"/>
        <c:numFmt formatCode="General" sourceLinked="1"/>
        <c:majorTickMark val="out"/>
        <c:minorTickMark val="none"/>
        <c:tickLblPos val="nextTo"/>
        <c:crossAx val="519334528"/>
        <c:crosses val="autoZero"/>
        <c:crossBetween val="midCat"/>
        <c:majorUnit val="1"/>
        <c:minorUnit val="0.5"/>
      </c:valAx>
      <c:valAx>
        <c:axId val="519334528"/>
        <c:scaling>
          <c:orientation val="minMax"/>
        </c:scaling>
        <c:delete val="0"/>
        <c:axPos val="l"/>
        <c:majorGridlines>
          <c:spPr>
            <a:ln>
              <a:solidFill>
                <a:schemeClr val="tx1">
                  <a:alpha val="15000"/>
                </a:schemeClr>
              </a:solidFill>
            </a:ln>
          </c:spPr>
        </c:majorGridlines>
        <c:numFmt formatCode="General" sourceLinked="1"/>
        <c:majorTickMark val="out"/>
        <c:minorTickMark val="none"/>
        <c:tickLblPos val="nextTo"/>
        <c:crossAx val="519332992"/>
        <c:crosses val="autoZero"/>
        <c:crossBetween val="midCat"/>
      </c:valAx>
    </c:plotArea>
    <c:legend>
      <c:legendPos val="r"/>
      <c:layout>
        <c:manualLayout>
          <c:xMode val="edge"/>
          <c:yMode val="edge"/>
          <c:x val="0.89346699425867493"/>
          <c:y val="8.4220769885766739E-2"/>
          <c:w val="9.4246793839843301E-2"/>
          <c:h val="0.89228999427055355"/>
        </c:manualLayout>
      </c:layout>
      <c:overlay val="0"/>
    </c:legend>
    <c:plotVisOnly val="1"/>
    <c:dispBlanksAs val="gap"/>
    <c:showDLblsOverMax val="0"/>
  </c:chart>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Bonjean Area</a:t>
            </a:r>
          </a:p>
        </c:rich>
      </c:tx>
      <c:layout>
        <c:manualLayout>
          <c:xMode val="edge"/>
          <c:yMode val="edge"/>
          <c:x val="0.47756684615683975"/>
          <c:y val="3.1272206835516986E-2"/>
        </c:manualLayout>
      </c:layout>
      <c:overlay val="0"/>
    </c:title>
    <c:autoTitleDeleted val="0"/>
    <c:plotArea>
      <c:layout>
        <c:manualLayout>
          <c:layoutTarget val="inner"/>
          <c:xMode val="edge"/>
          <c:yMode val="edge"/>
          <c:x val="1.1993482053380604E-2"/>
          <c:y val="9.0155667319992347E-2"/>
          <c:w val="0.97876077016654528"/>
          <c:h val="0.84038805710785291"/>
        </c:manualLayout>
      </c:layout>
      <c:scatterChart>
        <c:scatterStyle val="smoothMarker"/>
        <c:varyColors val="0"/>
        <c:ser>
          <c:idx val="0"/>
          <c:order val="0"/>
          <c:tx>
            <c:strRef>
              <c:f>Tools!$CK$5</c:f>
              <c:strCache>
                <c:ptCount val="1"/>
                <c:pt idx="0">
                  <c:v>0</c:v>
                </c:pt>
              </c:strCache>
            </c:strRef>
          </c:tx>
          <c:spPr>
            <a:ln w="3175">
              <a:solidFill>
                <a:schemeClr val="accent5">
                  <a:lumMod val="75000"/>
                </a:schemeClr>
              </a:solidFill>
            </a:ln>
          </c:spPr>
          <c:marker>
            <c:symbol val="none"/>
          </c:marker>
          <c:xVal>
            <c:numRef>
              <c:f>Tools!$CL$5:$DJ$5</c:f>
              <c:numCache>
                <c:formatCode>General</c:formatCode>
                <c:ptCount val="25"/>
                <c:pt idx="0">
                  <c:v>0</c:v>
                </c:pt>
                <c:pt idx="1">
                  <c:v>0</c:v>
                </c:pt>
                <c:pt idx="2">
                  <c:v>0</c:v>
                </c:pt>
                <c:pt idx="3">
                  <c:v>0</c:v>
                </c:pt>
                <c:pt idx="4">
                  <c:v>0</c:v>
                </c:pt>
                <c:pt idx="5">
                  <c:v>0</c:v>
                </c:pt>
                <c:pt idx="6">
                  <c:v>0</c:v>
                </c:pt>
                <c:pt idx="7">
                  <c:v>0</c:v>
                </c:pt>
                <c:pt idx="8">
                  <c:v>1.254799869834034E-3</c:v>
                </c:pt>
                <c:pt idx="9">
                  <c:v>1.5061937303395175E-2</c:v>
                </c:pt>
                <c:pt idx="10">
                  <c:v>7.6760603102288771E-2</c:v>
                </c:pt>
                <c:pt idx="11">
                  <c:v>0.14743876776223017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
          <c:order val="1"/>
          <c:tx>
            <c:strRef>
              <c:f>Tools!$CK$6</c:f>
              <c:strCache>
                <c:ptCount val="1"/>
                <c:pt idx="0">
                  <c:v>0.5</c:v>
                </c:pt>
              </c:strCache>
            </c:strRef>
          </c:tx>
          <c:spPr>
            <a:ln w="3175">
              <a:solidFill>
                <a:schemeClr val="accent5">
                  <a:lumMod val="75000"/>
                </a:schemeClr>
              </a:solidFill>
            </a:ln>
          </c:spPr>
          <c:marker>
            <c:symbol val="none"/>
          </c:marker>
          <c:xVal>
            <c:numRef>
              <c:f>Tools!$CL$6:$DJ$6</c:f>
              <c:numCache>
                <c:formatCode>General</c:formatCode>
                <c:ptCount val="25"/>
                <c:pt idx="0">
                  <c:v>0.5</c:v>
                </c:pt>
                <c:pt idx="1">
                  <c:v>0.5</c:v>
                </c:pt>
                <c:pt idx="2">
                  <c:v>0.5</c:v>
                </c:pt>
                <c:pt idx="3">
                  <c:v>0.5</c:v>
                </c:pt>
                <c:pt idx="4">
                  <c:v>0.5</c:v>
                </c:pt>
                <c:pt idx="5">
                  <c:v>0.5</c:v>
                </c:pt>
                <c:pt idx="6">
                  <c:v>0.5</c:v>
                </c:pt>
                <c:pt idx="7">
                  <c:v>0.50026033192320207</c:v>
                </c:pt>
                <c:pt idx="8">
                  <c:v>0.51935133962468816</c:v>
                </c:pt>
                <c:pt idx="9">
                  <c:v>0.54129515131793038</c:v>
                </c:pt>
                <c:pt idx="10">
                  <c:v>0.61915392124959323</c:v>
                </c:pt>
                <c:pt idx="11">
                  <c:v>0.69555808656036444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
          <c:order val="2"/>
          <c:tx>
            <c:strRef>
              <c:f>Tools!$CK$7</c:f>
              <c:strCache>
                <c:ptCount val="1"/>
                <c:pt idx="0">
                  <c:v>1</c:v>
                </c:pt>
              </c:strCache>
            </c:strRef>
          </c:tx>
          <c:spPr>
            <a:ln w="3175">
              <a:solidFill>
                <a:schemeClr val="accent5">
                  <a:lumMod val="75000"/>
                </a:schemeClr>
              </a:solidFill>
            </a:ln>
          </c:spPr>
          <c:marker>
            <c:symbol val="none"/>
          </c:marker>
          <c:xVal>
            <c:numRef>
              <c:f>Tools!$CL$7:$DJ$7</c:f>
              <c:numCache>
                <c:formatCode>General</c:formatCode>
                <c:ptCount val="25"/>
                <c:pt idx="0">
                  <c:v>1</c:v>
                </c:pt>
                <c:pt idx="1">
                  <c:v>1</c:v>
                </c:pt>
                <c:pt idx="2">
                  <c:v>1</c:v>
                </c:pt>
                <c:pt idx="3">
                  <c:v>1</c:v>
                </c:pt>
                <c:pt idx="4">
                  <c:v>1</c:v>
                </c:pt>
                <c:pt idx="5">
                  <c:v>1</c:v>
                </c:pt>
                <c:pt idx="6">
                  <c:v>1</c:v>
                </c:pt>
                <c:pt idx="7">
                  <c:v>1.0159323136999674</c:v>
                </c:pt>
                <c:pt idx="8">
                  <c:v>1.0515370430632389</c:v>
                </c:pt>
                <c:pt idx="9">
                  <c:v>1.0797071265863978</c:v>
                </c:pt>
                <c:pt idx="10">
                  <c:v>1.1638268792710706</c:v>
                </c:pt>
                <c:pt idx="11">
                  <c:v>1.2439563944028635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
          <c:order val="3"/>
          <c:tx>
            <c:strRef>
              <c:f>Tools!$CK$8</c:f>
              <c:strCache>
                <c:ptCount val="1"/>
                <c:pt idx="0">
                  <c:v>1.5</c:v>
                </c:pt>
              </c:strCache>
            </c:strRef>
          </c:tx>
          <c:spPr>
            <a:ln w="3175">
              <a:solidFill>
                <a:schemeClr val="accent5">
                  <a:lumMod val="75000"/>
                </a:schemeClr>
              </a:solidFill>
            </a:ln>
          </c:spPr>
          <c:marker>
            <c:symbol val="none"/>
          </c:marker>
          <c:xVal>
            <c:numRef>
              <c:f>Tools!$CL$8:$DJ$8</c:f>
              <c:numCache>
                <c:formatCode>General</c:formatCode>
                <c:ptCount val="25"/>
                <c:pt idx="0">
                  <c:v>1.5</c:v>
                </c:pt>
                <c:pt idx="1">
                  <c:v>1.5</c:v>
                </c:pt>
                <c:pt idx="2">
                  <c:v>1.5</c:v>
                </c:pt>
                <c:pt idx="3">
                  <c:v>1.5006508298080052</c:v>
                </c:pt>
                <c:pt idx="4">
                  <c:v>1.5027985681744225</c:v>
                </c:pt>
                <c:pt idx="5">
                  <c:v>1.5097624471200781</c:v>
                </c:pt>
                <c:pt idx="6">
                  <c:v>1.523364790107387</c:v>
                </c:pt>
                <c:pt idx="7">
                  <c:v>1.5601366742596812</c:v>
                </c:pt>
                <c:pt idx="8">
                  <c:v>1.604738041002278</c:v>
                </c:pt>
                <c:pt idx="9">
                  <c:v>1.6467100553205336</c:v>
                </c:pt>
                <c:pt idx="10">
                  <c:v>1.7252912463390824</c:v>
                </c:pt>
                <c:pt idx="11">
                  <c:v>1.807628376179629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
          <c:order val="4"/>
          <c:tx>
            <c:strRef>
              <c:f>Tools!$CK$9</c:f>
              <c:strCache>
                <c:ptCount val="1"/>
                <c:pt idx="0">
                  <c:v>2</c:v>
                </c:pt>
              </c:strCache>
            </c:strRef>
          </c:tx>
          <c:spPr>
            <a:ln w="3175">
              <a:solidFill>
                <a:schemeClr val="accent5">
                  <a:lumMod val="75000"/>
                </a:schemeClr>
              </a:solidFill>
            </a:ln>
          </c:spPr>
          <c:marker>
            <c:symbol val="none"/>
          </c:marker>
          <c:xVal>
            <c:numRef>
              <c:f>Tools!$CL$9:$DJ$9</c:f>
              <c:numCache>
                <c:formatCode>General</c:formatCode>
                <c:ptCount val="25"/>
                <c:pt idx="0">
                  <c:v>2</c:v>
                </c:pt>
                <c:pt idx="1">
                  <c:v>2.0002863651155223</c:v>
                </c:pt>
                <c:pt idx="2">
                  <c:v>2.0031565245688254</c:v>
                </c:pt>
                <c:pt idx="3">
                  <c:v>2.0081744223885454</c:v>
                </c:pt>
                <c:pt idx="4">
                  <c:v>2.0145330296127564</c:v>
                </c:pt>
                <c:pt idx="5">
                  <c:v>2.0305955092743249</c:v>
                </c:pt>
                <c:pt idx="6">
                  <c:v>2.0613927757891313</c:v>
                </c:pt>
                <c:pt idx="7">
                  <c:v>2.1206703547022454</c:v>
                </c:pt>
                <c:pt idx="8">
                  <c:v>2.1703069747261092</c:v>
                </c:pt>
                <c:pt idx="9">
                  <c:v>2.2083241132443865</c:v>
                </c:pt>
                <c:pt idx="10">
                  <c:v>2.295769606247966</c:v>
                </c:pt>
                <c:pt idx="11">
                  <c:v>2.3792450374227139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
          <c:order val="5"/>
          <c:tx>
            <c:strRef>
              <c:f>Tools!$CK$10</c:f>
              <c:strCache>
                <c:ptCount val="1"/>
                <c:pt idx="0">
                  <c:v>3</c:v>
                </c:pt>
              </c:strCache>
            </c:strRef>
          </c:tx>
          <c:spPr>
            <a:ln w="3175">
              <a:solidFill>
                <a:schemeClr val="accent5">
                  <a:lumMod val="75000"/>
                </a:schemeClr>
              </a:solidFill>
            </a:ln>
          </c:spPr>
          <c:marker>
            <c:symbol val="none"/>
          </c:marker>
          <c:xVal>
            <c:numRef>
              <c:f>Tools!$CL$10:$DJ$10</c:f>
              <c:numCache>
                <c:formatCode>General</c:formatCode>
                <c:ptCount val="25"/>
                <c:pt idx="0">
                  <c:v>3</c:v>
                </c:pt>
                <c:pt idx="1">
                  <c:v>3.0040872111942729</c:v>
                </c:pt>
                <c:pt idx="2">
                  <c:v>3.0120794012365768</c:v>
                </c:pt>
                <c:pt idx="3">
                  <c:v>3.0217507321835342</c:v>
                </c:pt>
                <c:pt idx="4">
                  <c:v>3.0331662870159453</c:v>
                </c:pt>
                <c:pt idx="5">
                  <c:v>3.0651871135698014</c:v>
                </c:pt>
                <c:pt idx="6">
                  <c:v>3.1258444516758868</c:v>
                </c:pt>
                <c:pt idx="7">
                  <c:v>3.2102700943703222</c:v>
                </c:pt>
                <c:pt idx="8">
                  <c:v>3.2649896951947066</c:v>
                </c:pt>
                <c:pt idx="9">
                  <c:v>3.2990953465668729</c:v>
                </c:pt>
                <c:pt idx="10">
                  <c:v>3.3955222909209244</c:v>
                </c:pt>
                <c:pt idx="11">
                  <c:v>3.4798255776114546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6"/>
          <c:order val="6"/>
          <c:tx>
            <c:strRef>
              <c:f>Tools!$CK$11</c:f>
              <c:strCache>
                <c:ptCount val="1"/>
                <c:pt idx="0">
                  <c:v>4</c:v>
                </c:pt>
              </c:strCache>
            </c:strRef>
          </c:tx>
          <c:spPr>
            <a:ln w="3175"/>
          </c:spPr>
          <c:marker>
            <c:symbol val="none"/>
          </c:marker>
          <c:xVal>
            <c:numRef>
              <c:f>Tools!$CL$11:$DJ$11</c:f>
              <c:numCache>
                <c:formatCode>General</c:formatCode>
                <c:ptCount val="25"/>
                <c:pt idx="0">
                  <c:v>4</c:v>
                </c:pt>
                <c:pt idx="1">
                  <c:v>4.0085519036771888</c:v>
                </c:pt>
                <c:pt idx="2">
                  <c:v>4.0231174747803449</c:v>
                </c:pt>
                <c:pt idx="3">
                  <c:v>4.0401692157500815</c:v>
                </c:pt>
                <c:pt idx="4">
                  <c:v>4.0609697364139281</c:v>
                </c:pt>
                <c:pt idx="5">
                  <c:v>4.118086560364465</c:v>
                </c:pt>
                <c:pt idx="6">
                  <c:v>4.2009502115196877</c:v>
                </c:pt>
                <c:pt idx="7">
                  <c:v>4.2893589326391153</c:v>
                </c:pt>
                <c:pt idx="8">
                  <c:v>4.346751274541707</c:v>
                </c:pt>
                <c:pt idx="9">
                  <c:v>4.3858119101854864</c:v>
                </c:pt>
                <c:pt idx="10">
                  <c:v>4.4792971038073546</c:v>
                </c:pt>
                <c:pt idx="11">
                  <c:v>4.5638073543768307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7"/>
          <c:order val="7"/>
          <c:tx>
            <c:strRef>
              <c:f>Tools!$CK$12</c:f>
              <c:strCache>
                <c:ptCount val="1"/>
                <c:pt idx="0">
                  <c:v>5</c:v>
                </c:pt>
              </c:strCache>
            </c:strRef>
          </c:tx>
          <c:spPr>
            <a:ln w="3175">
              <a:solidFill>
                <a:schemeClr val="accent5">
                  <a:lumMod val="75000"/>
                </a:schemeClr>
              </a:solidFill>
            </a:ln>
          </c:spPr>
          <c:marker>
            <c:symbol val="none"/>
          </c:marker>
          <c:xVal>
            <c:numRef>
              <c:f>Tools!$CL$12:$DJ$12</c:f>
              <c:numCache>
                <c:formatCode>General</c:formatCode>
                <c:ptCount val="25"/>
                <c:pt idx="0">
                  <c:v>5</c:v>
                </c:pt>
                <c:pt idx="1">
                  <c:v>5.0131760494630653</c:v>
                </c:pt>
                <c:pt idx="2">
                  <c:v>5.0350797266514808</c:v>
                </c:pt>
                <c:pt idx="3">
                  <c:v>5.0607386918320856</c:v>
                </c:pt>
                <c:pt idx="4">
                  <c:v>5.0931337455255452</c:v>
                </c:pt>
                <c:pt idx="5">
                  <c:v>5.1739928408721116</c:v>
                </c:pt>
                <c:pt idx="6">
                  <c:v>5.2638594207614711</c:v>
                </c:pt>
                <c:pt idx="7">
                  <c:v>5.3592710706150344</c:v>
                </c:pt>
                <c:pt idx="8">
                  <c:v>5.4176656904219547</c:v>
                </c:pt>
                <c:pt idx="9">
                  <c:v>5.4541099902375532</c:v>
                </c:pt>
                <c:pt idx="10">
                  <c:v>5.5505369345916042</c:v>
                </c:pt>
                <c:pt idx="11">
                  <c:v>5.6350471851610804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8"/>
          <c:order val="8"/>
          <c:tx>
            <c:strRef>
              <c:f>Tools!$CK$13</c:f>
              <c:strCache>
                <c:ptCount val="1"/>
                <c:pt idx="0">
                  <c:v>6</c:v>
                </c:pt>
              </c:strCache>
            </c:strRef>
          </c:tx>
          <c:spPr>
            <a:ln w="3175">
              <a:solidFill>
                <a:schemeClr val="accent5">
                  <a:lumMod val="75000"/>
                </a:schemeClr>
              </a:solidFill>
            </a:ln>
          </c:spPr>
          <c:marker>
            <c:symbol val="none"/>
          </c:marker>
          <c:xVal>
            <c:numRef>
              <c:f>Tools!$CL$13:$DJ$13</c:f>
              <c:numCache>
                <c:formatCode>General</c:formatCode>
                <c:ptCount val="25"/>
                <c:pt idx="0">
                  <c:v>6</c:v>
                </c:pt>
                <c:pt idx="1">
                  <c:v>6.0180214773836642</c:v>
                </c:pt>
                <c:pt idx="2">
                  <c:v>6.0480312398307845</c:v>
                </c:pt>
                <c:pt idx="3">
                  <c:v>6.0828050764725026</c:v>
                </c:pt>
                <c:pt idx="4">
                  <c:v>6.1242303937520335</c:v>
                </c:pt>
                <c:pt idx="5">
                  <c:v>6.2146176374877973</c:v>
                </c:pt>
                <c:pt idx="6">
                  <c:v>6.3091962251871134</c:v>
                </c:pt>
                <c:pt idx="7">
                  <c:v>6.4052326716563623</c:v>
                </c:pt>
                <c:pt idx="8">
                  <c:v>6.4636988827421629</c:v>
                </c:pt>
                <c:pt idx="9">
                  <c:v>6.5005401887406444</c:v>
                </c:pt>
                <c:pt idx="10">
                  <c:v>6.5965766352098925</c:v>
                </c:pt>
                <c:pt idx="11">
                  <c:v>6.6810868857793686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9"/>
          <c:order val="9"/>
          <c:tx>
            <c:strRef>
              <c:f>Tools!$CK$14</c:f>
              <c:strCache>
                <c:ptCount val="1"/>
                <c:pt idx="0">
                  <c:v>7</c:v>
                </c:pt>
              </c:strCache>
            </c:strRef>
          </c:tx>
          <c:spPr>
            <a:ln w="3175">
              <a:solidFill>
                <a:schemeClr val="accent5">
                  <a:lumMod val="75000"/>
                </a:schemeClr>
              </a:solidFill>
            </a:ln>
          </c:spPr>
          <c:marker>
            <c:symbol val="none"/>
          </c:marker>
          <c:xVal>
            <c:numRef>
              <c:f>Tools!$CL$14:$DJ$14</c:f>
              <c:numCache>
                <c:formatCode>General</c:formatCode>
                <c:ptCount val="25"/>
                <c:pt idx="0">
                  <c:v>7</c:v>
                </c:pt>
                <c:pt idx="1">
                  <c:v>7.02503416856492</c:v>
                </c:pt>
                <c:pt idx="2">
                  <c:v>7.0628571428571432</c:v>
                </c:pt>
                <c:pt idx="3">
                  <c:v>7.104266189391474</c:v>
                </c:pt>
                <c:pt idx="4">
                  <c:v>7.150224536283762</c:v>
                </c:pt>
                <c:pt idx="5">
                  <c:v>7.2449593231369995</c:v>
                </c:pt>
                <c:pt idx="6">
                  <c:v>7.3405532053368043</c:v>
                </c:pt>
                <c:pt idx="7">
                  <c:v>7.4363032866905305</c:v>
                </c:pt>
                <c:pt idx="8">
                  <c:v>7.4947694977763319</c:v>
                </c:pt>
                <c:pt idx="9">
                  <c:v>7.5318971688903353</c:v>
                </c:pt>
                <c:pt idx="10">
                  <c:v>7.6276472502440615</c:v>
                </c:pt>
                <c:pt idx="11">
                  <c:v>7.7121575008135377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0"/>
          <c:order val="10"/>
          <c:tx>
            <c:strRef>
              <c:f>Tools!$CK$15</c:f>
              <c:strCache>
                <c:ptCount val="1"/>
                <c:pt idx="0">
                  <c:v>8</c:v>
                </c:pt>
              </c:strCache>
            </c:strRef>
          </c:tx>
          <c:spPr>
            <a:ln w="3175"/>
          </c:spPr>
          <c:marker>
            <c:symbol val="none"/>
          </c:marker>
          <c:xVal>
            <c:numRef>
              <c:f>Tools!$CL$15:$DJ$15</c:f>
              <c:numCache>
                <c:formatCode>General</c:formatCode>
                <c:ptCount val="25"/>
                <c:pt idx="0">
                  <c:v>8</c:v>
                </c:pt>
                <c:pt idx="1">
                  <c:v>8.0323560039049795</c:v>
                </c:pt>
                <c:pt idx="2">
                  <c:v>8.0753530751708436</c:v>
                </c:pt>
                <c:pt idx="3">
                  <c:v>8.1201659616010406</c:v>
                </c:pt>
                <c:pt idx="4">
                  <c:v>8.1679401236576634</c:v>
                </c:pt>
                <c:pt idx="5">
                  <c:v>8.2636251220305894</c:v>
                </c:pt>
                <c:pt idx="6">
                  <c:v>8.3591018548649529</c:v>
                </c:pt>
                <c:pt idx="7">
                  <c:v>8.4549690855841195</c:v>
                </c:pt>
                <c:pt idx="8">
                  <c:v>8.5134352966699218</c:v>
                </c:pt>
                <c:pt idx="9">
                  <c:v>8.5504458184184831</c:v>
                </c:pt>
                <c:pt idx="10">
                  <c:v>8.6463130491376514</c:v>
                </c:pt>
                <c:pt idx="11">
                  <c:v>8.7308232997071258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1"/>
          <c:order val="11"/>
          <c:tx>
            <c:strRef>
              <c:f>Tools!$CK$16</c:f>
              <c:strCache>
                <c:ptCount val="1"/>
                <c:pt idx="0">
                  <c:v>9</c:v>
                </c:pt>
              </c:strCache>
            </c:strRef>
          </c:tx>
          <c:spPr>
            <a:ln w="3175">
              <a:solidFill>
                <a:schemeClr val="accent5">
                  <a:lumMod val="75000"/>
                </a:schemeClr>
              </a:solidFill>
            </a:ln>
          </c:spPr>
          <c:marker>
            <c:symbol val="none"/>
          </c:marker>
          <c:xVal>
            <c:numRef>
              <c:f>Tools!$CL$16:$DJ$16</c:f>
              <c:numCache>
                <c:formatCode>General</c:formatCode>
                <c:ptCount val="25"/>
                <c:pt idx="0">
                  <c:v>9</c:v>
                </c:pt>
                <c:pt idx="1">
                  <c:v>9.0359648551903682</c:v>
                </c:pt>
                <c:pt idx="2">
                  <c:v>9.0807549625772861</c:v>
                </c:pt>
                <c:pt idx="3">
                  <c:v>9.1267946631955752</c:v>
                </c:pt>
                <c:pt idx="4">
                  <c:v>9.1750602017572405</c:v>
                </c:pt>
                <c:pt idx="5">
                  <c:v>9.2707191669378464</c:v>
                </c:pt>
                <c:pt idx="6">
                  <c:v>9.3664041653107706</c:v>
                </c:pt>
                <c:pt idx="7">
                  <c:v>9.4620631304913765</c:v>
                </c:pt>
                <c:pt idx="8">
                  <c:v>9.520529341577177</c:v>
                </c:pt>
                <c:pt idx="9">
                  <c:v>9.5577481288643025</c:v>
                </c:pt>
                <c:pt idx="10">
                  <c:v>9.6534070940449066</c:v>
                </c:pt>
                <c:pt idx="11">
                  <c:v>9.7379173446143827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2"/>
          <c:order val="12"/>
          <c:tx>
            <c:strRef>
              <c:f>Tools!$CK$17</c:f>
              <c:strCache>
                <c:ptCount val="1"/>
                <c:pt idx="0">
                  <c:v>10</c:v>
                </c:pt>
              </c:strCache>
            </c:strRef>
          </c:tx>
          <c:spPr>
            <a:ln w="3175">
              <a:solidFill>
                <a:schemeClr val="accent5">
                  <a:lumMod val="75000"/>
                </a:schemeClr>
              </a:solidFill>
            </a:ln>
          </c:spPr>
          <c:marker>
            <c:symbol val="none"/>
          </c:marker>
          <c:xVal>
            <c:numRef>
              <c:f>Tools!$CL$17:$DJ$17</c:f>
              <c:numCache>
                <c:formatCode>General</c:formatCode>
                <c:ptCount val="25"/>
                <c:pt idx="0">
                  <c:v>10</c:v>
                </c:pt>
                <c:pt idx="1">
                  <c:v>10.037816465994142</c:v>
                </c:pt>
                <c:pt idx="2">
                  <c:v>10.082486169866581</c:v>
                </c:pt>
                <c:pt idx="3">
                  <c:v>10.128958672307192</c:v>
                </c:pt>
                <c:pt idx="4">
                  <c:v>10.176947608200456</c:v>
                </c:pt>
                <c:pt idx="5">
                  <c:v>10.272554506996421</c:v>
                </c:pt>
                <c:pt idx="6">
                  <c:v>10.368291571753986</c:v>
                </c:pt>
                <c:pt idx="7">
                  <c:v>10.463898470549951</c:v>
                </c:pt>
                <c:pt idx="8">
                  <c:v>10.522364681635752</c:v>
                </c:pt>
                <c:pt idx="9">
                  <c:v>10.559635535307518</c:v>
                </c:pt>
                <c:pt idx="10">
                  <c:v>10.655242434103481</c:v>
                </c:pt>
                <c:pt idx="11">
                  <c:v>10.739752684672958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3"/>
          <c:order val="13"/>
          <c:tx>
            <c:strRef>
              <c:f>Tools!$CK$18</c:f>
              <c:strCache>
                <c:ptCount val="1"/>
                <c:pt idx="0">
                  <c:v>11</c:v>
                </c:pt>
              </c:strCache>
            </c:strRef>
          </c:tx>
          <c:spPr>
            <a:ln w="3175">
              <a:solidFill>
                <a:schemeClr val="accent5">
                  <a:lumMod val="75000"/>
                </a:schemeClr>
              </a:solidFill>
            </a:ln>
          </c:spPr>
          <c:marker>
            <c:symbol val="none"/>
          </c:marker>
          <c:xVal>
            <c:numRef>
              <c:f>Tools!$CL$18:$DJ$18</c:f>
              <c:numCache>
                <c:formatCode>General</c:formatCode>
                <c:ptCount val="25"/>
                <c:pt idx="0">
                  <c:v>11</c:v>
                </c:pt>
                <c:pt idx="1">
                  <c:v>11.037936869508624</c:v>
                </c:pt>
                <c:pt idx="2">
                  <c:v>11.081770257077775</c:v>
                </c:pt>
                <c:pt idx="3">
                  <c:v>11.127972665148064</c:v>
                </c:pt>
                <c:pt idx="4">
                  <c:v>11.175476732834364</c:v>
                </c:pt>
                <c:pt idx="5">
                  <c:v>11.271057598438009</c:v>
                </c:pt>
                <c:pt idx="6">
                  <c:v>11.366716563618613</c:v>
                </c:pt>
                <c:pt idx="7">
                  <c:v>11.462401561991539</c:v>
                </c:pt>
                <c:pt idx="8">
                  <c:v>11.52086777307734</c:v>
                </c:pt>
                <c:pt idx="9">
                  <c:v>11.558060527172145</c:v>
                </c:pt>
                <c:pt idx="10">
                  <c:v>11.653745525545069</c:v>
                </c:pt>
                <c:pt idx="11">
                  <c:v>11.738255776114546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4"/>
          <c:order val="14"/>
          <c:tx>
            <c:strRef>
              <c:f>Tools!$CK$19</c:f>
              <c:strCache>
                <c:ptCount val="1"/>
                <c:pt idx="0">
                  <c:v>12</c:v>
                </c:pt>
              </c:strCache>
            </c:strRef>
          </c:tx>
          <c:spPr>
            <a:ln w="3175">
              <a:solidFill>
                <a:schemeClr val="accent5">
                  <a:lumMod val="75000"/>
                </a:schemeClr>
              </a:solidFill>
            </a:ln>
          </c:spPr>
          <c:marker>
            <c:symbol val="none"/>
          </c:marker>
          <c:xVal>
            <c:numRef>
              <c:f>Tools!$CL$19:$DJ$19</c:f>
              <c:numCache>
                <c:formatCode>General</c:formatCode>
                <c:ptCount val="25"/>
                <c:pt idx="0">
                  <c:v>12</c:v>
                </c:pt>
                <c:pt idx="1">
                  <c:v>12.035245688252521</c:v>
                </c:pt>
                <c:pt idx="2">
                  <c:v>12.076836967133096</c:v>
                </c:pt>
                <c:pt idx="3">
                  <c:v>12.121220305890009</c:v>
                </c:pt>
                <c:pt idx="4">
                  <c:v>12.16735437683046</c:v>
                </c:pt>
                <c:pt idx="5">
                  <c:v>12.261620566221932</c:v>
                </c:pt>
                <c:pt idx="6">
                  <c:v>12.357318581191018</c:v>
                </c:pt>
                <c:pt idx="7">
                  <c:v>12.452834363813862</c:v>
                </c:pt>
                <c:pt idx="8">
                  <c:v>12.511300574899664</c:v>
                </c:pt>
                <c:pt idx="9">
                  <c:v>12.54866254474455</c:v>
                </c:pt>
                <c:pt idx="10">
                  <c:v>12.644178327367394</c:v>
                </c:pt>
                <c:pt idx="11">
                  <c:v>12.72868857793687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5"/>
          <c:order val="15"/>
          <c:tx>
            <c:strRef>
              <c:f>Tools!$CK$20</c:f>
              <c:strCache>
                <c:ptCount val="1"/>
                <c:pt idx="0">
                  <c:v>13</c:v>
                </c:pt>
              </c:strCache>
            </c:strRef>
          </c:tx>
          <c:spPr>
            <a:ln w="3175">
              <a:solidFill>
                <a:schemeClr val="accent5">
                  <a:lumMod val="75000"/>
                </a:schemeClr>
              </a:solidFill>
            </a:ln>
          </c:spPr>
          <c:marker>
            <c:symbol val="none"/>
          </c:marker>
          <c:xVal>
            <c:numRef>
              <c:f>Tools!$CL$20:$DJ$20</c:f>
              <c:numCache>
                <c:formatCode>General</c:formatCode>
                <c:ptCount val="25"/>
                <c:pt idx="0">
                  <c:v>13</c:v>
                </c:pt>
                <c:pt idx="1">
                  <c:v>13.030650829808005</c:v>
                </c:pt>
                <c:pt idx="2">
                  <c:v>13.067803449397982</c:v>
                </c:pt>
                <c:pt idx="3">
                  <c:v>13.108281809306867</c:v>
                </c:pt>
                <c:pt idx="4">
                  <c:v>13.150914415880248</c:v>
                </c:pt>
                <c:pt idx="5">
                  <c:v>13.239804751057598</c:v>
                </c:pt>
                <c:pt idx="6">
                  <c:v>13.332183534005857</c:v>
                </c:pt>
                <c:pt idx="7">
                  <c:v>13.426462739993491</c:v>
                </c:pt>
                <c:pt idx="8">
                  <c:v>13.484690313483025</c:v>
                </c:pt>
                <c:pt idx="9">
                  <c:v>13.522017572404817</c:v>
                </c:pt>
                <c:pt idx="10">
                  <c:v>13.61736413927758</c:v>
                </c:pt>
                <c:pt idx="11">
                  <c:v>13.701805401887407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6"/>
          <c:order val="16"/>
          <c:tx>
            <c:strRef>
              <c:f>Tools!$CK$21</c:f>
              <c:strCache>
                <c:ptCount val="1"/>
                <c:pt idx="0">
                  <c:v>14</c:v>
                </c:pt>
              </c:strCache>
            </c:strRef>
          </c:tx>
          <c:spPr>
            <a:ln w="3175">
              <a:solidFill>
                <a:schemeClr val="accent5">
                  <a:lumMod val="75000"/>
                </a:schemeClr>
              </a:solidFill>
            </a:ln>
          </c:spPr>
          <c:marker>
            <c:symbol val="none"/>
          </c:marker>
          <c:xVal>
            <c:numRef>
              <c:f>Tools!$CL$21:$DJ$21</c:f>
              <c:numCache>
                <c:formatCode>General</c:formatCode>
                <c:ptCount val="25"/>
                <c:pt idx="0">
                  <c:v>14</c:v>
                </c:pt>
                <c:pt idx="1">
                  <c:v>14.025030914415881</c:v>
                </c:pt>
                <c:pt idx="2">
                  <c:v>14.055528799219005</c:v>
                </c:pt>
                <c:pt idx="3">
                  <c:v>14.088994467946632</c:v>
                </c:pt>
                <c:pt idx="4">
                  <c:v>14.126989912137976</c:v>
                </c:pt>
                <c:pt idx="5">
                  <c:v>14.205610152945004</c:v>
                </c:pt>
                <c:pt idx="6">
                  <c:v>14.290504393101203</c:v>
                </c:pt>
                <c:pt idx="7">
                  <c:v>14.377949886104783</c:v>
                </c:pt>
                <c:pt idx="8">
                  <c:v>14.433146762121705</c:v>
                </c:pt>
                <c:pt idx="9">
                  <c:v>14.469326391148714</c:v>
                </c:pt>
                <c:pt idx="10">
                  <c:v>14.561978522616336</c:v>
                </c:pt>
                <c:pt idx="11">
                  <c:v>14.645798893589326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7"/>
          <c:order val="17"/>
          <c:tx>
            <c:strRef>
              <c:f>Tools!$CK$22</c:f>
              <c:strCache>
                <c:ptCount val="1"/>
                <c:pt idx="0">
                  <c:v>15</c:v>
                </c:pt>
              </c:strCache>
            </c:strRef>
          </c:tx>
          <c:spPr>
            <a:ln w="3175">
              <a:solidFill>
                <a:schemeClr val="accent5">
                  <a:lumMod val="75000"/>
                </a:schemeClr>
              </a:solidFill>
            </a:ln>
          </c:spPr>
          <c:marker>
            <c:symbol val="none"/>
          </c:marker>
          <c:xVal>
            <c:numRef>
              <c:f>Tools!$CL$22:$DJ$22</c:f>
              <c:numCache>
                <c:formatCode>General</c:formatCode>
                <c:ptCount val="25"/>
                <c:pt idx="0">
                  <c:v>15</c:v>
                </c:pt>
                <c:pt idx="1">
                  <c:v>15.01867881548975</c:v>
                </c:pt>
                <c:pt idx="2">
                  <c:v>15.043215099251546</c:v>
                </c:pt>
                <c:pt idx="3">
                  <c:v>15.071252847380411</c:v>
                </c:pt>
                <c:pt idx="4">
                  <c:v>15.101841848356655</c:v>
                </c:pt>
                <c:pt idx="5">
                  <c:v>15.168252521965506</c:v>
                </c:pt>
                <c:pt idx="6">
                  <c:v>15.240754962577286</c:v>
                </c:pt>
                <c:pt idx="7">
                  <c:v>15.318542141230068</c:v>
                </c:pt>
                <c:pt idx="8">
                  <c:v>15.368321943811694</c:v>
                </c:pt>
                <c:pt idx="9">
                  <c:v>15.400807028961927</c:v>
                </c:pt>
                <c:pt idx="10">
                  <c:v>15.487107061503417</c:v>
                </c:pt>
                <c:pt idx="11">
                  <c:v>15.567960950211519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8"/>
          <c:order val="18"/>
          <c:tx>
            <c:strRef>
              <c:f>Tools!$CK$23</c:f>
              <c:strCache>
                <c:ptCount val="1"/>
                <c:pt idx="0">
                  <c:v>16</c:v>
                </c:pt>
              </c:strCache>
            </c:strRef>
          </c:tx>
          <c:spPr>
            <a:ln w="3175">
              <a:solidFill>
                <a:schemeClr val="accent5">
                  <a:lumMod val="75000"/>
                </a:schemeClr>
              </a:solidFill>
            </a:ln>
          </c:spPr>
          <c:marker>
            <c:symbol val="none"/>
          </c:marker>
          <c:xVal>
            <c:numRef>
              <c:f>Tools!$CL$23:$DJ$23</c:f>
              <c:numCache>
                <c:formatCode>General</c:formatCode>
                <c:ptCount val="25"/>
                <c:pt idx="0">
                  <c:v>16</c:v>
                </c:pt>
                <c:pt idx="1">
                  <c:v>16.012495932313701</c:v>
                </c:pt>
                <c:pt idx="2">
                  <c:v>16.030615034168566</c:v>
                </c:pt>
                <c:pt idx="3">
                  <c:v>16.051793036121055</c:v>
                </c:pt>
                <c:pt idx="4">
                  <c:v>16.075248942401561</c:v>
                </c:pt>
                <c:pt idx="5">
                  <c:v>16.127041978522616</c:v>
                </c:pt>
                <c:pt idx="6">
                  <c:v>16.184900748454279</c:v>
                </c:pt>
                <c:pt idx="7">
                  <c:v>16.249111617312074</c:v>
                </c:pt>
                <c:pt idx="8">
                  <c:v>16.291469790649746</c:v>
                </c:pt>
                <c:pt idx="9">
                  <c:v>16.319648551903676</c:v>
                </c:pt>
                <c:pt idx="10">
                  <c:v>16.396329319882852</c:v>
                </c:pt>
                <c:pt idx="11">
                  <c:v>16.472043605597136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9"/>
          <c:order val="19"/>
          <c:tx>
            <c:strRef>
              <c:f>Tools!$CK$24</c:f>
              <c:strCache>
                <c:ptCount val="1"/>
                <c:pt idx="0">
                  <c:v>17</c:v>
                </c:pt>
              </c:strCache>
            </c:strRef>
          </c:tx>
          <c:spPr>
            <a:ln w="3175">
              <a:solidFill>
                <a:schemeClr val="accent5">
                  <a:lumMod val="75000"/>
                </a:schemeClr>
              </a:solidFill>
            </a:ln>
          </c:spPr>
          <c:marker>
            <c:symbol val="none"/>
          </c:marker>
          <c:xVal>
            <c:numRef>
              <c:f>Tools!$CL$24:$DJ$24</c:f>
              <c:numCache>
                <c:formatCode>General</c:formatCode>
                <c:ptCount val="25"/>
                <c:pt idx="0">
                  <c:v>17</c:v>
                </c:pt>
                <c:pt idx="1">
                  <c:v>17.006758867556133</c:v>
                </c:pt>
                <c:pt idx="2">
                  <c:v>17.019121379759191</c:v>
                </c:pt>
                <c:pt idx="3">
                  <c:v>17.03379433778067</c:v>
                </c:pt>
                <c:pt idx="4">
                  <c:v>17.050608525870484</c:v>
                </c:pt>
                <c:pt idx="5">
                  <c:v>17.087510575984378</c:v>
                </c:pt>
                <c:pt idx="6">
                  <c:v>17.129332899446794</c:v>
                </c:pt>
                <c:pt idx="7">
                  <c:v>17.177012691181258</c:v>
                </c:pt>
                <c:pt idx="8">
                  <c:v>17.209968543225948</c:v>
                </c:pt>
                <c:pt idx="9">
                  <c:v>17.232658639765702</c:v>
                </c:pt>
                <c:pt idx="10">
                  <c:v>17.296452977546373</c:v>
                </c:pt>
                <c:pt idx="11">
                  <c:v>17.364302635860721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0"/>
          <c:order val="20"/>
          <c:tx>
            <c:strRef>
              <c:f>Tools!$CK$25</c:f>
              <c:strCache>
                <c:ptCount val="1"/>
                <c:pt idx="0">
                  <c:v>18</c:v>
                </c:pt>
              </c:strCache>
            </c:strRef>
          </c:tx>
          <c:spPr>
            <a:ln w="3175">
              <a:solidFill>
                <a:schemeClr val="accent5">
                  <a:lumMod val="75000"/>
                </a:schemeClr>
              </a:solidFill>
            </a:ln>
          </c:spPr>
          <c:marker>
            <c:symbol val="none"/>
          </c:marker>
          <c:xVal>
            <c:numRef>
              <c:f>Tools!$CL$25:$DJ$25</c:f>
              <c:numCache>
                <c:formatCode>General</c:formatCode>
                <c:ptCount val="25"/>
                <c:pt idx="0">
                  <c:v>18</c:v>
                </c:pt>
                <c:pt idx="1">
                  <c:v>18.003153270419784</c:v>
                </c:pt>
                <c:pt idx="2">
                  <c:v>18.010507647250243</c:v>
                </c:pt>
                <c:pt idx="3">
                  <c:v>18.020205011389521</c:v>
                </c:pt>
                <c:pt idx="4">
                  <c:v>18.031282134721771</c:v>
                </c:pt>
                <c:pt idx="5">
                  <c:v>18.055701269118124</c:v>
                </c:pt>
                <c:pt idx="6">
                  <c:v>18.081994793361535</c:v>
                </c:pt>
                <c:pt idx="7">
                  <c:v>18.111854864952814</c:v>
                </c:pt>
                <c:pt idx="8">
                  <c:v>18.133928842607659</c:v>
                </c:pt>
                <c:pt idx="9">
                  <c:v>18.14994142531728</c:v>
                </c:pt>
                <c:pt idx="10">
                  <c:v>18.1977643996095</c:v>
                </c:pt>
                <c:pt idx="11">
                  <c:v>18.255058900097623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1"/>
          <c:order val="21"/>
          <c:tx>
            <c:strRef>
              <c:f>Tools!$CK$26</c:f>
              <c:strCache>
                <c:ptCount val="1"/>
                <c:pt idx="0">
                  <c:v>18.5</c:v>
                </c:pt>
              </c:strCache>
            </c:strRef>
          </c:tx>
          <c:spPr>
            <a:ln w="3175">
              <a:solidFill>
                <a:schemeClr val="accent5">
                  <a:lumMod val="75000"/>
                </a:schemeClr>
              </a:solidFill>
            </a:ln>
          </c:spPr>
          <c:marker>
            <c:symbol val="none"/>
          </c:marker>
          <c:xVal>
            <c:numRef>
              <c:f>Tools!$CL$26:$DJ$26</c:f>
              <c:numCache>
                <c:formatCode>General</c:formatCode>
                <c:ptCount val="25"/>
                <c:pt idx="0">
                  <c:v>18.5</c:v>
                </c:pt>
                <c:pt idx="1">
                  <c:v>18.501308601800631</c:v>
                </c:pt>
                <c:pt idx="2">
                  <c:v>18.506730014101311</c:v>
                </c:pt>
                <c:pt idx="3">
                  <c:v>18.514299164768413</c:v>
                </c:pt>
                <c:pt idx="4">
                  <c:v>18.523209024840003</c:v>
                </c:pt>
                <c:pt idx="5">
                  <c:v>18.54283805184944</c:v>
                </c:pt>
                <c:pt idx="6">
                  <c:v>18.562857576743681</c:v>
                </c:pt>
                <c:pt idx="7">
                  <c:v>18.584204794446251</c:v>
                </c:pt>
                <c:pt idx="8">
                  <c:v>18.600694652348412</c:v>
                </c:pt>
                <c:pt idx="9">
                  <c:v>18.613179737498644</c:v>
                </c:pt>
                <c:pt idx="10">
                  <c:v>18.651969194055756</c:v>
                </c:pt>
                <c:pt idx="11">
                  <c:v>18.699605380193081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2"/>
          <c:order val="22"/>
          <c:tx>
            <c:strRef>
              <c:f>Tools!$CK$27</c:f>
              <c:strCache>
                <c:ptCount val="1"/>
                <c:pt idx="0">
                  <c:v>19</c:v>
                </c:pt>
              </c:strCache>
            </c:strRef>
          </c:tx>
          <c:spPr>
            <a:ln w="3175">
              <a:solidFill>
                <a:schemeClr val="accent5">
                  <a:lumMod val="75000"/>
                </a:schemeClr>
              </a:solidFill>
            </a:ln>
          </c:spPr>
          <c:marker>
            <c:symbol val="none"/>
          </c:marker>
          <c:xVal>
            <c:numRef>
              <c:f>Tools!$CL$27:$DJ$27</c:f>
              <c:numCache>
                <c:formatCode>General</c:formatCode>
                <c:ptCount val="25"/>
                <c:pt idx="0">
                  <c:v>19</c:v>
                </c:pt>
                <c:pt idx="1">
                  <c:v>19.000333224861699</c:v>
                </c:pt>
                <c:pt idx="2">
                  <c:v>19.004134070940449</c:v>
                </c:pt>
                <c:pt idx="3">
                  <c:v>19.009965506020176</c:v>
                </c:pt>
                <c:pt idx="4">
                  <c:v>19.017085584119751</c:v>
                </c:pt>
                <c:pt idx="5">
                  <c:v>19.033317279531403</c:v>
                </c:pt>
                <c:pt idx="6">
                  <c:v>19.048741945981124</c:v>
                </c:pt>
                <c:pt idx="7">
                  <c:v>19.062734786853238</c:v>
                </c:pt>
                <c:pt idx="8">
                  <c:v>19.073735980041221</c:v>
                </c:pt>
                <c:pt idx="9">
                  <c:v>19.082324764074194</c:v>
                </c:pt>
                <c:pt idx="10">
                  <c:v>19.111729254799869</c:v>
                </c:pt>
                <c:pt idx="11">
                  <c:v>19.146844126260984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3"/>
          <c:order val="23"/>
          <c:tx>
            <c:strRef>
              <c:f>Tools!$CK$28</c:f>
              <c:strCache>
                <c:ptCount val="1"/>
                <c:pt idx="0">
                  <c:v>19.5</c:v>
                </c:pt>
              </c:strCache>
            </c:strRef>
          </c:tx>
          <c:spPr>
            <a:ln w="3175">
              <a:solidFill>
                <a:schemeClr val="accent5">
                  <a:lumMod val="75000"/>
                </a:schemeClr>
              </a:solidFill>
            </a:ln>
          </c:spPr>
          <c:marker>
            <c:symbol val="none"/>
          </c:marker>
          <c:xVal>
            <c:numRef>
              <c:f>Tools!$CL$28:$DJ$28</c:f>
              <c:numCache>
                <c:formatCode>General</c:formatCode>
                <c:ptCount val="25"/>
                <c:pt idx="0">
                  <c:v>19.5</c:v>
                </c:pt>
                <c:pt idx="1">
                  <c:v>19.5</c:v>
                </c:pt>
                <c:pt idx="2">
                  <c:v>19.501492569693024</c:v>
                </c:pt>
                <c:pt idx="3">
                  <c:v>19.505729471743138</c:v>
                </c:pt>
                <c:pt idx="4">
                  <c:v>19.511411215967026</c:v>
                </c:pt>
                <c:pt idx="5">
                  <c:v>19.525000542358175</c:v>
                </c:pt>
                <c:pt idx="6">
                  <c:v>19.537418375094912</c:v>
                </c:pt>
                <c:pt idx="7">
                  <c:v>19.545853129406659</c:v>
                </c:pt>
                <c:pt idx="8">
                  <c:v>19.551675886755614</c:v>
                </c:pt>
                <c:pt idx="9">
                  <c:v>19.555771775680661</c:v>
                </c:pt>
                <c:pt idx="10">
                  <c:v>19.573838811150885</c:v>
                </c:pt>
                <c:pt idx="11">
                  <c:v>19.59760516324981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4"/>
          <c:order val="24"/>
          <c:tx>
            <c:strRef>
              <c:f>Tools!$CK$29</c:f>
              <c:strCache>
                <c:ptCount val="1"/>
                <c:pt idx="0">
                  <c:v>20</c:v>
                </c:pt>
              </c:strCache>
            </c:strRef>
          </c:tx>
          <c:spPr>
            <a:ln w="3175">
              <a:solidFill>
                <a:schemeClr val="accent5">
                  <a:lumMod val="75000"/>
                </a:schemeClr>
              </a:solidFill>
            </a:ln>
          </c:spPr>
          <c:marker>
            <c:symbol val="none"/>
          </c:marker>
          <c:xVal>
            <c:numRef>
              <c:f>Tools!$CL$29:$DJ$29</c:f>
              <c:numCache>
                <c:formatCode>General</c:formatCode>
                <c:ptCount val="25"/>
                <c:pt idx="0">
                  <c:v>20</c:v>
                </c:pt>
                <c:pt idx="1">
                  <c:v>20</c:v>
                </c:pt>
                <c:pt idx="2">
                  <c:v>20</c:v>
                </c:pt>
                <c:pt idx="3">
                  <c:v>20.001154138192863</c:v>
                </c:pt>
                <c:pt idx="4">
                  <c:v>20.004883392992731</c:v>
                </c:pt>
                <c:pt idx="5">
                  <c:v>20.015498427161297</c:v>
                </c:pt>
                <c:pt idx="6">
                  <c:v>20.025683913656579</c:v>
                </c:pt>
                <c:pt idx="7">
                  <c:v>20.028905521206205</c:v>
                </c:pt>
                <c:pt idx="8">
                  <c:v>20.028905521206205</c:v>
                </c:pt>
                <c:pt idx="9">
                  <c:v>20.029653975485409</c:v>
                </c:pt>
                <c:pt idx="10">
                  <c:v>20.033949452218245</c:v>
                </c:pt>
                <c:pt idx="11">
                  <c:v>20.043021368912029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0"/>
          <c:order val="25"/>
          <c:tx>
            <c:strRef>
              <c:f>Tools!$CG$5</c:f>
              <c:strCache>
                <c:ptCount val="1"/>
                <c:pt idx="0">
                  <c:v>0</c:v>
                </c:pt>
              </c:strCache>
            </c:strRef>
          </c:tx>
          <c:spPr>
            <a:ln w="3175">
              <a:solidFill>
                <a:sysClr val="windowText" lastClr="000000"/>
              </a:solidFill>
            </a:ln>
          </c:spPr>
          <c:marker>
            <c:symbol val="none"/>
          </c:marker>
          <c:xVal>
            <c:numRef>
              <c:f>Tools!$CH$5:$CI$5</c:f>
              <c:numCache>
                <c:formatCode>General</c:formatCode>
                <c:ptCount val="2"/>
                <c:pt idx="0">
                  <c:v>0</c:v>
                </c:pt>
                <c:pt idx="1">
                  <c:v>0</c:v>
                </c:pt>
              </c:numCache>
            </c:numRef>
          </c:xVal>
          <c:yVal>
            <c:numRef>
              <c:f>Tools!$CH$4:$CI$4</c:f>
              <c:numCache>
                <c:formatCode>General</c:formatCode>
                <c:ptCount val="2"/>
                <c:pt idx="0">
                  <c:v>0</c:v>
                </c:pt>
                <c:pt idx="1">
                  <c:v>7.8833333333333329</c:v>
                </c:pt>
              </c:numCache>
            </c:numRef>
          </c:yVal>
          <c:smooth val="1"/>
        </c:ser>
        <c:ser>
          <c:idx val="51"/>
          <c:order val="26"/>
          <c:tx>
            <c:strRef>
              <c:f>Tools!$CG$6</c:f>
              <c:strCache>
                <c:ptCount val="1"/>
                <c:pt idx="0">
                  <c:v>0.5</c:v>
                </c:pt>
              </c:strCache>
            </c:strRef>
          </c:tx>
          <c:spPr>
            <a:ln w="3175">
              <a:solidFill>
                <a:sysClr val="windowText" lastClr="000000"/>
              </a:solidFill>
            </a:ln>
          </c:spPr>
          <c:marker>
            <c:symbol val="none"/>
          </c:marker>
          <c:xVal>
            <c:numRef>
              <c:f>Tools!$CH$6:$CI$6</c:f>
              <c:numCache>
                <c:formatCode>General</c:formatCode>
                <c:ptCount val="2"/>
                <c:pt idx="0">
                  <c:v>0.5</c:v>
                </c:pt>
                <c:pt idx="1">
                  <c:v>0.5</c:v>
                </c:pt>
              </c:numCache>
            </c:numRef>
          </c:xVal>
          <c:yVal>
            <c:numRef>
              <c:f>Tools!$CH$4:$CI$4</c:f>
              <c:numCache>
                <c:formatCode>General</c:formatCode>
                <c:ptCount val="2"/>
                <c:pt idx="0">
                  <c:v>0</c:v>
                </c:pt>
                <c:pt idx="1">
                  <c:v>7.8833333333333329</c:v>
                </c:pt>
              </c:numCache>
            </c:numRef>
          </c:yVal>
          <c:smooth val="1"/>
        </c:ser>
        <c:ser>
          <c:idx val="52"/>
          <c:order val="27"/>
          <c:tx>
            <c:strRef>
              <c:f>Tools!$CG$7</c:f>
              <c:strCache>
                <c:ptCount val="1"/>
                <c:pt idx="0">
                  <c:v>1</c:v>
                </c:pt>
              </c:strCache>
            </c:strRef>
          </c:tx>
          <c:spPr>
            <a:ln w="3175">
              <a:solidFill>
                <a:sysClr val="windowText" lastClr="000000"/>
              </a:solidFill>
            </a:ln>
          </c:spPr>
          <c:marker>
            <c:symbol val="none"/>
          </c:marker>
          <c:xVal>
            <c:numRef>
              <c:f>Tools!$CH$7:$CI$7</c:f>
              <c:numCache>
                <c:formatCode>General</c:formatCode>
                <c:ptCount val="2"/>
                <c:pt idx="0">
                  <c:v>1</c:v>
                </c:pt>
                <c:pt idx="1">
                  <c:v>1</c:v>
                </c:pt>
              </c:numCache>
            </c:numRef>
          </c:xVal>
          <c:yVal>
            <c:numRef>
              <c:f>Tools!$CH$4:$CI$4</c:f>
              <c:numCache>
                <c:formatCode>General</c:formatCode>
                <c:ptCount val="2"/>
                <c:pt idx="0">
                  <c:v>0</c:v>
                </c:pt>
                <c:pt idx="1">
                  <c:v>7.8833333333333329</c:v>
                </c:pt>
              </c:numCache>
            </c:numRef>
          </c:yVal>
          <c:smooth val="1"/>
        </c:ser>
        <c:ser>
          <c:idx val="53"/>
          <c:order val="28"/>
          <c:tx>
            <c:strRef>
              <c:f>Tools!$CG$8</c:f>
              <c:strCache>
                <c:ptCount val="1"/>
                <c:pt idx="0">
                  <c:v>1.5</c:v>
                </c:pt>
              </c:strCache>
            </c:strRef>
          </c:tx>
          <c:spPr>
            <a:ln w="3175">
              <a:solidFill>
                <a:sysClr val="windowText" lastClr="000000"/>
              </a:solidFill>
            </a:ln>
          </c:spPr>
          <c:marker>
            <c:symbol val="none"/>
          </c:marker>
          <c:xVal>
            <c:numRef>
              <c:f>Tools!$CH$8:$CI$8</c:f>
              <c:numCache>
                <c:formatCode>General</c:formatCode>
                <c:ptCount val="2"/>
                <c:pt idx="0">
                  <c:v>1.5</c:v>
                </c:pt>
                <c:pt idx="1">
                  <c:v>1.5</c:v>
                </c:pt>
              </c:numCache>
            </c:numRef>
          </c:xVal>
          <c:yVal>
            <c:numRef>
              <c:f>Tools!$CH$4:$CI$4</c:f>
              <c:numCache>
                <c:formatCode>General</c:formatCode>
                <c:ptCount val="2"/>
                <c:pt idx="0">
                  <c:v>0</c:v>
                </c:pt>
                <c:pt idx="1">
                  <c:v>7.8833333333333329</c:v>
                </c:pt>
              </c:numCache>
            </c:numRef>
          </c:yVal>
          <c:smooth val="1"/>
        </c:ser>
        <c:ser>
          <c:idx val="54"/>
          <c:order val="29"/>
          <c:tx>
            <c:strRef>
              <c:f>Tools!$CG$9</c:f>
              <c:strCache>
                <c:ptCount val="1"/>
                <c:pt idx="0">
                  <c:v>2</c:v>
                </c:pt>
              </c:strCache>
            </c:strRef>
          </c:tx>
          <c:spPr>
            <a:ln w="3175">
              <a:solidFill>
                <a:sysClr val="windowText" lastClr="000000"/>
              </a:solidFill>
            </a:ln>
          </c:spPr>
          <c:marker>
            <c:symbol val="none"/>
          </c:marker>
          <c:xVal>
            <c:numRef>
              <c:f>Tools!$CH$9:$CI$9</c:f>
              <c:numCache>
                <c:formatCode>General</c:formatCode>
                <c:ptCount val="2"/>
                <c:pt idx="0">
                  <c:v>2</c:v>
                </c:pt>
                <c:pt idx="1">
                  <c:v>2</c:v>
                </c:pt>
              </c:numCache>
            </c:numRef>
          </c:xVal>
          <c:yVal>
            <c:numRef>
              <c:f>Tools!$CH$4:$CI$4</c:f>
              <c:numCache>
                <c:formatCode>General</c:formatCode>
                <c:ptCount val="2"/>
                <c:pt idx="0">
                  <c:v>0</c:v>
                </c:pt>
                <c:pt idx="1">
                  <c:v>7.8833333333333329</c:v>
                </c:pt>
              </c:numCache>
            </c:numRef>
          </c:yVal>
          <c:smooth val="1"/>
        </c:ser>
        <c:ser>
          <c:idx val="55"/>
          <c:order val="30"/>
          <c:tx>
            <c:strRef>
              <c:f>Tools!$CG$10</c:f>
              <c:strCache>
                <c:ptCount val="1"/>
                <c:pt idx="0">
                  <c:v>3</c:v>
                </c:pt>
              </c:strCache>
            </c:strRef>
          </c:tx>
          <c:spPr>
            <a:ln w="3175">
              <a:solidFill>
                <a:sysClr val="windowText" lastClr="000000"/>
              </a:solidFill>
            </a:ln>
          </c:spPr>
          <c:marker>
            <c:symbol val="none"/>
          </c:marker>
          <c:xVal>
            <c:numRef>
              <c:f>Tools!$CH$10:$CI$10</c:f>
              <c:numCache>
                <c:formatCode>General</c:formatCode>
                <c:ptCount val="2"/>
                <c:pt idx="0">
                  <c:v>3</c:v>
                </c:pt>
                <c:pt idx="1">
                  <c:v>3</c:v>
                </c:pt>
              </c:numCache>
            </c:numRef>
          </c:xVal>
          <c:yVal>
            <c:numRef>
              <c:f>Tools!$CH$4:$CI$4</c:f>
              <c:numCache>
                <c:formatCode>General</c:formatCode>
                <c:ptCount val="2"/>
                <c:pt idx="0">
                  <c:v>0</c:v>
                </c:pt>
                <c:pt idx="1">
                  <c:v>7.8833333333333329</c:v>
                </c:pt>
              </c:numCache>
            </c:numRef>
          </c:yVal>
          <c:smooth val="1"/>
        </c:ser>
        <c:ser>
          <c:idx val="56"/>
          <c:order val="31"/>
          <c:tx>
            <c:strRef>
              <c:f>Tools!$CG$11</c:f>
              <c:strCache>
                <c:ptCount val="1"/>
                <c:pt idx="0">
                  <c:v>4</c:v>
                </c:pt>
              </c:strCache>
            </c:strRef>
          </c:tx>
          <c:spPr>
            <a:ln w="3175">
              <a:solidFill>
                <a:sysClr val="windowText" lastClr="000000"/>
              </a:solidFill>
            </a:ln>
          </c:spPr>
          <c:marker>
            <c:symbol val="none"/>
          </c:marker>
          <c:xVal>
            <c:numRef>
              <c:f>Tools!$CH$11:$CI$11</c:f>
              <c:numCache>
                <c:formatCode>General</c:formatCode>
                <c:ptCount val="2"/>
                <c:pt idx="0">
                  <c:v>4</c:v>
                </c:pt>
                <c:pt idx="1">
                  <c:v>4</c:v>
                </c:pt>
              </c:numCache>
            </c:numRef>
          </c:xVal>
          <c:yVal>
            <c:numRef>
              <c:f>Tools!$CH$4:$CI$4</c:f>
              <c:numCache>
                <c:formatCode>General</c:formatCode>
                <c:ptCount val="2"/>
                <c:pt idx="0">
                  <c:v>0</c:v>
                </c:pt>
                <c:pt idx="1">
                  <c:v>7.8833333333333329</c:v>
                </c:pt>
              </c:numCache>
            </c:numRef>
          </c:yVal>
          <c:smooth val="1"/>
        </c:ser>
        <c:ser>
          <c:idx val="57"/>
          <c:order val="32"/>
          <c:tx>
            <c:strRef>
              <c:f>Tools!$CG$12</c:f>
              <c:strCache>
                <c:ptCount val="1"/>
                <c:pt idx="0">
                  <c:v>5</c:v>
                </c:pt>
              </c:strCache>
            </c:strRef>
          </c:tx>
          <c:spPr>
            <a:ln w="3175">
              <a:solidFill>
                <a:sysClr val="windowText" lastClr="000000"/>
              </a:solidFill>
            </a:ln>
          </c:spPr>
          <c:marker>
            <c:symbol val="none"/>
          </c:marker>
          <c:xVal>
            <c:numRef>
              <c:f>Tools!$CH$12:$CI$12</c:f>
              <c:numCache>
                <c:formatCode>General</c:formatCode>
                <c:ptCount val="2"/>
                <c:pt idx="0">
                  <c:v>5</c:v>
                </c:pt>
                <c:pt idx="1">
                  <c:v>5</c:v>
                </c:pt>
              </c:numCache>
            </c:numRef>
          </c:xVal>
          <c:yVal>
            <c:numRef>
              <c:f>Tools!$CH$4:$CI$4</c:f>
              <c:numCache>
                <c:formatCode>General</c:formatCode>
                <c:ptCount val="2"/>
                <c:pt idx="0">
                  <c:v>0</c:v>
                </c:pt>
                <c:pt idx="1">
                  <c:v>7.8833333333333329</c:v>
                </c:pt>
              </c:numCache>
            </c:numRef>
          </c:yVal>
          <c:smooth val="1"/>
        </c:ser>
        <c:ser>
          <c:idx val="58"/>
          <c:order val="33"/>
          <c:tx>
            <c:strRef>
              <c:f>Tools!$CG$13</c:f>
              <c:strCache>
                <c:ptCount val="1"/>
                <c:pt idx="0">
                  <c:v>6</c:v>
                </c:pt>
              </c:strCache>
            </c:strRef>
          </c:tx>
          <c:spPr>
            <a:ln w="3175">
              <a:solidFill>
                <a:sysClr val="windowText" lastClr="000000"/>
              </a:solidFill>
            </a:ln>
          </c:spPr>
          <c:marker>
            <c:symbol val="none"/>
          </c:marker>
          <c:xVal>
            <c:numRef>
              <c:f>Tools!$CH$13:$CI$13</c:f>
              <c:numCache>
                <c:formatCode>General</c:formatCode>
                <c:ptCount val="2"/>
                <c:pt idx="0">
                  <c:v>6</c:v>
                </c:pt>
                <c:pt idx="1">
                  <c:v>6</c:v>
                </c:pt>
              </c:numCache>
            </c:numRef>
          </c:xVal>
          <c:yVal>
            <c:numRef>
              <c:f>Tools!$CH$4:$CI$4</c:f>
              <c:numCache>
                <c:formatCode>General</c:formatCode>
                <c:ptCount val="2"/>
                <c:pt idx="0">
                  <c:v>0</c:v>
                </c:pt>
                <c:pt idx="1">
                  <c:v>7.8833333333333329</c:v>
                </c:pt>
              </c:numCache>
            </c:numRef>
          </c:yVal>
          <c:smooth val="1"/>
        </c:ser>
        <c:ser>
          <c:idx val="59"/>
          <c:order val="34"/>
          <c:tx>
            <c:strRef>
              <c:f>Tools!$CG$14</c:f>
              <c:strCache>
                <c:ptCount val="1"/>
                <c:pt idx="0">
                  <c:v>7</c:v>
                </c:pt>
              </c:strCache>
            </c:strRef>
          </c:tx>
          <c:spPr>
            <a:ln w="3175">
              <a:solidFill>
                <a:sysClr val="windowText" lastClr="000000"/>
              </a:solidFill>
            </a:ln>
          </c:spPr>
          <c:marker>
            <c:symbol val="none"/>
          </c:marker>
          <c:xVal>
            <c:numRef>
              <c:f>Tools!$CH$14:$CI$14</c:f>
              <c:numCache>
                <c:formatCode>General</c:formatCode>
                <c:ptCount val="2"/>
                <c:pt idx="0">
                  <c:v>7</c:v>
                </c:pt>
                <c:pt idx="1">
                  <c:v>7</c:v>
                </c:pt>
              </c:numCache>
            </c:numRef>
          </c:xVal>
          <c:yVal>
            <c:numRef>
              <c:f>Tools!$CH$4:$CI$4</c:f>
              <c:numCache>
                <c:formatCode>General</c:formatCode>
                <c:ptCount val="2"/>
                <c:pt idx="0">
                  <c:v>0</c:v>
                </c:pt>
                <c:pt idx="1">
                  <c:v>7.8833333333333329</c:v>
                </c:pt>
              </c:numCache>
            </c:numRef>
          </c:yVal>
          <c:smooth val="1"/>
        </c:ser>
        <c:ser>
          <c:idx val="60"/>
          <c:order val="35"/>
          <c:tx>
            <c:strRef>
              <c:f>Tools!$CG$15</c:f>
              <c:strCache>
                <c:ptCount val="1"/>
                <c:pt idx="0">
                  <c:v>8</c:v>
                </c:pt>
              </c:strCache>
            </c:strRef>
          </c:tx>
          <c:spPr>
            <a:ln w="3175">
              <a:solidFill>
                <a:sysClr val="windowText" lastClr="000000"/>
              </a:solidFill>
            </a:ln>
          </c:spPr>
          <c:marker>
            <c:symbol val="none"/>
          </c:marker>
          <c:xVal>
            <c:numRef>
              <c:f>Tools!$CH$15:$CI$15</c:f>
              <c:numCache>
                <c:formatCode>General</c:formatCode>
                <c:ptCount val="2"/>
                <c:pt idx="0">
                  <c:v>8</c:v>
                </c:pt>
                <c:pt idx="1">
                  <c:v>8</c:v>
                </c:pt>
              </c:numCache>
            </c:numRef>
          </c:xVal>
          <c:yVal>
            <c:numRef>
              <c:f>Tools!$CH$4:$CI$4</c:f>
              <c:numCache>
                <c:formatCode>General</c:formatCode>
                <c:ptCount val="2"/>
                <c:pt idx="0">
                  <c:v>0</c:v>
                </c:pt>
                <c:pt idx="1">
                  <c:v>7.8833333333333329</c:v>
                </c:pt>
              </c:numCache>
            </c:numRef>
          </c:yVal>
          <c:smooth val="1"/>
        </c:ser>
        <c:ser>
          <c:idx val="61"/>
          <c:order val="36"/>
          <c:tx>
            <c:strRef>
              <c:f>Tools!$CG$16</c:f>
              <c:strCache>
                <c:ptCount val="1"/>
                <c:pt idx="0">
                  <c:v>9</c:v>
                </c:pt>
              </c:strCache>
            </c:strRef>
          </c:tx>
          <c:spPr>
            <a:ln w="3175">
              <a:solidFill>
                <a:sysClr val="windowText" lastClr="000000"/>
              </a:solidFill>
            </a:ln>
          </c:spPr>
          <c:marker>
            <c:symbol val="none"/>
          </c:marker>
          <c:xVal>
            <c:numRef>
              <c:f>Tools!$CH$16:$CI$16</c:f>
              <c:numCache>
                <c:formatCode>General</c:formatCode>
                <c:ptCount val="2"/>
                <c:pt idx="0">
                  <c:v>9</c:v>
                </c:pt>
                <c:pt idx="1">
                  <c:v>9</c:v>
                </c:pt>
              </c:numCache>
            </c:numRef>
          </c:xVal>
          <c:yVal>
            <c:numRef>
              <c:f>Tools!$CH$4:$CI$4</c:f>
              <c:numCache>
                <c:formatCode>General</c:formatCode>
                <c:ptCount val="2"/>
                <c:pt idx="0">
                  <c:v>0</c:v>
                </c:pt>
                <c:pt idx="1">
                  <c:v>7.8833333333333329</c:v>
                </c:pt>
              </c:numCache>
            </c:numRef>
          </c:yVal>
          <c:smooth val="1"/>
        </c:ser>
        <c:ser>
          <c:idx val="62"/>
          <c:order val="37"/>
          <c:tx>
            <c:strRef>
              <c:f>Tools!$CG$17</c:f>
              <c:strCache>
                <c:ptCount val="1"/>
                <c:pt idx="0">
                  <c:v>10</c:v>
                </c:pt>
              </c:strCache>
            </c:strRef>
          </c:tx>
          <c:spPr>
            <a:ln w="3175">
              <a:solidFill>
                <a:sysClr val="windowText" lastClr="000000"/>
              </a:solidFill>
            </a:ln>
          </c:spPr>
          <c:marker>
            <c:symbol val="none"/>
          </c:marker>
          <c:xVal>
            <c:numRef>
              <c:f>Tools!$CH$17:$CI$17</c:f>
              <c:numCache>
                <c:formatCode>General</c:formatCode>
                <c:ptCount val="2"/>
                <c:pt idx="0">
                  <c:v>10</c:v>
                </c:pt>
                <c:pt idx="1">
                  <c:v>10</c:v>
                </c:pt>
              </c:numCache>
            </c:numRef>
          </c:xVal>
          <c:yVal>
            <c:numRef>
              <c:f>Tools!$CH$4:$CI$4</c:f>
              <c:numCache>
                <c:formatCode>General</c:formatCode>
                <c:ptCount val="2"/>
                <c:pt idx="0">
                  <c:v>0</c:v>
                </c:pt>
                <c:pt idx="1">
                  <c:v>7.8833333333333329</c:v>
                </c:pt>
              </c:numCache>
            </c:numRef>
          </c:yVal>
          <c:smooth val="1"/>
        </c:ser>
        <c:ser>
          <c:idx val="63"/>
          <c:order val="38"/>
          <c:tx>
            <c:strRef>
              <c:f>Tools!$CG$18</c:f>
              <c:strCache>
                <c:ptCount val="1"/>
                <c:pt idx="0">
                  <c:v>11</c:v>
                </c:pt>
              </c:strCache>
            </c:strRef>
          </c:tx>
          <c:spPr>
            <a:ln w="3175">
              <a:solidFill>
                <a:sysClr val="windowText" lastClr="000000"/>
              </a:solidFill>
            </a:ln>
          </c:spPr>
          <c:marker>
            <c:symbol val="none"/>
          </c:marker>
          <c:xVal>
            <c:numRef>
              <c:f>Tools!$CH$18:$CI$18</c:f>
              <c:numCache>
                <c:formatCode>General</c:formatCode>
                <c:ptCount val="2"/>
                <c:pt idx="0">
                  <c:v>11</c:v>
                </c:pt>
                <c:pt idx="1">
                  <c:v>11</c:v>
                </c:pt>
              </c:numCache>
            </c:numRef>
          </c:xVal>
          <c:yVal>
            <c:numRef>
              <c:f>Tools!$CH$4:$CI$4</c:f>
              <c:numCache>
                <c:formatCode>General</c:formatCode>
                <c:ptCount val="2"/>
                <c:pt idx="0">
                  <c:v>0</c:v>
                </c:pt>
                <c:pt idx="1">
                  <c:v>7.8833333333333329</c:v>
                </c:pt>
              </c:numCache>
            </c:numRef>
          </c:yVal>
          <c:smooth val="1"/>
        </c:ser>
        <c:ser>
          <c:idx val="64"/>
          <c:order val="39"/>
          <c:tx>
            <c:strRef>
              <c:f>Tools!$CG$19</c:f>
              <c:strCache>
                <c:ptCount val="1"/>
                <c:pt idx="0">
                  <c:v>12</c:v>
                </c:pt>
              </c:strCache>
            </c:strRef>
          </c:tx>
          <c:spPr>
            <a:ln w="3175">
              <a:solidFill>
                <a:sysClr val="windowText" lastClr="000000"/>
              </a:solidFill>
            </a:ln>
          </c:spPr>
          <c:marker>
            <c:symbol val="none"/>
          </c:marker>
          <c:xVal>
            <c:numRef>
              <c:f>Tools!$CH$19:$CI$19</c:f>
              <c:numCache>
                <c:formatCode>General</c:formatCode>
                <c:ptCount val="2"/>
                <c:pt idx="0">
                  <c:v>12</c:v>
                </c:pt>
                <c:pt idx="1">
                  <c:v>12</c:v>
                </c:pt>
              </c:numCache>
            </c:numRef>
          </c:xVal>
          <c:yVal>
            <c:numRef>
              <c:f>Tools!$CH$4:$CI$4</c:f>
              <c:numCache>
                <c:formatCode>General</c:formatCode>
                <c:ptCount val="2"/>
                <c:pt idx="0">
                  <c:v>0</c:v>
                </c:pt>
                <c:pt idx="1">
                  <c:v>7.8833333333333329</c:v>
                </c:pt>
              </c:numCache>
            </c:numRef>
          </c:yVal>
          <c:smooth val="1"/>
        </c:ser>
        <c:ser>
          <c:idx val="65"/>
          <c:order val="40"/>
          <c:tx>
            <c:strRef>
              <c:f>Tools!$CG$20</c:f>
              <c:strCache>
                <c:ptCount val="1"/>
                <c:pt idx="0">
                  <c:v>13</c:v>
                </c:pt>
              </c:strCache>
            </c:strRef>
          </c:tx>
          <c:spPr>
            <a:ln w="3175">
              <a:solidFill>
                <a:sysClr val="windowText" lastClr="000000"/>
              </a:solidFill>
            </a:ln>
          </c:spPr>
          <c:marker>
            <c:symbol val="none"/>
          </c:marker>
          <c:xVal>
            <c:numRef>
              <c:f>Tools!$CH$20:$CI$20</c:f>
              <c:numCache>
                <c:formatCode>General</c:formatCode>
                <c:ptCount val="2"/>
                <c:pt idx="0">
                  <c:v>13</c:v>
                </c:pt>
                <c:pt idx="1">
                  <c:v>13</c:v>
                </c:pt>
              </c:numCache>
            </c:numRef>
          </c:xVal>
          <c:yVal>
            <c:numRef>
              <c:f>Tools!$CH$4:$CI$4</c:f>
              <c:numCache>
                <c:formatCode>General</c:formatCode>
                <c:ptCount val="2"/>
                <c:pt idx="0">
                  <c:v>0</c:v>
                </c:pt>
                <c:pt idx="1">
                  <c:v>7.8833333333333329</c:v>
                </c:pt>
              </c:numCache>
            </c:numRef>
          </c:yVal>
          <c:smooth val="1"/>
        </c:ser>
        <c:ser>
          <c:idx val="66"/>
          <c:order val="41"/>
          <c:tx>
            <c:strRef>
              <c:f>Tools!$CG$21</c:f>
              <c:strCache>
                <c:ptCount val="1"/>
                <c:pt idx="0">
                  <c:v>14</c:v>
                </c:pt>
              </c:strCache>
            </c:strRef>
          </c:tx>
          <c:spPr>
            <a:ln w="3175">
              <a:solidFill>
                <a:sysClr val="windowText" lastClr="000000"/>
              </a:solidFill>
            </a:ln>
          </c:spPr>
          <c:marker>
            <c:symbol val="none"/>
          </c:marker>
          <c:xVal>
            <c:numRef>
              <c:f>Tools!$CH$21:$CI$21</c:f>
              <c:numCache>
                <c:formatCode>General</c:formatCode>
                <c:ptCount val="2"/>
                <c:pt idx="0">
                  <c:v>14</c:v>
                </c:pt>
                <c:pt idx="1">
                  <c:v>14</c:v>
                </c:pt>
              </c:numCache>
            </c:numRef>
          </c:xVal>
          <c:yVal>
            <c:numRef>
              <c:f>Tools!$CH$4:$CI$4</c:f>
              <c:numCache>
                <c:formatCode>General</c:formatCode>
                <c:ptCount val="2"/>
                <c:pt idx="0">
                  <c:v>0</c:v>
                </c:pt>
                <c:pt idx="1">
                  <c:v>7.8833333333333329</c:v>
                </c:pt>
              </c:numCache>
            </c:numRef>
          </c:yVal>
          <c:smooth val="1"/>
        </c:ser>
        <c:ser>
          <c:idx val="67"/>
          <c:order val="42"/>
          <c:tx>
            <c:strRef>
              <c:f>Tools!$CG$22</c:f>
              <c:strCache>
                <c:ptCount val="1"/>
                <c:pt idx="0">
                  <c:v>15</c:v>
                </c:pt>
              </c:strCache>
            </c:strRef>
          </c:tx>
          <c:spPr>
            <a:ln w="3175">
              <a:solidFill>
                <a:sysClr val="windowText" lastClr="000000"/>
              </a:solidFill>
            </a:ln>
          </c:spPr>
          <c:marker>
            <c:symbol val="none"/>
          </c:marker>
          <c:xVal>
            <c:numRef>
              <c:f>Tools!$CH$22:$CI$22</c:f>
              <c:numCache>
                <c:formatCode>General</c:formatCode>
                <c:ptCount val="2"/>
                <c:pt idx="0">
                  <c:v>15</c:v>
                </c:pt>
                <c:pt idx="1">
                  <c:v>15</c:v>
                </c:pt>
              </c:numCache>
            </c:numRef>
          </c:xVal>
          <c:yVal>
            <c:numRef>
              <c:f>Tools!$CH$4:$CI$4</c:f>
              <c:numCache>
                <c:formatCode>General</c:formatCode>
                <c:ptCount val="2"/>
                <c:pt idx="0">
                  <c:v>0</c:v>
                </c:pt>
                <c:pt idx="1">
                  <c:v>7.8833333333333329</c:v>
                </c:pt>
              </c:numCache>
            </c:numRef>
          </c:yVal>
          <c:smooth val="1"/>
        </c:ser>
        <c:ser>
          <c:idx val="68"/>
          <c:order val="43"/>
          <c:tx>
            <c:strRef>
              <c:f>Tools!$CG$23</c:f>
              <c:strCache>
                <c:ptCount val="1"/>
                <c:pt idx="0">
                  <c:v>16</c:v>
                </c:pt>
              </c:strCache>
            </c:strRef>
          </c:tx>
          <c:spPr>
            <a:ln w="3175">
              <a:solidFill>
                <a:sysClr val="windowText" lastClr="000000"/>
              </a:solidFill>
            </a:ln>
          </c:spPr>
          <c:marker>
            <c:symbol val="none"/>
          </c:marker>
          <c:xVal>
            <c:numRef>
              <c:f>Tools!$CH$23:$CI$23</c:f>
              <c:numCache>
                <c:formatCode>General</c:formatCode>
                <c:ptCount val="2"/>
                <c:pt idx="0">
                  <c:v>16</c:v>
                </c:pt>
                <c:pt idx="1">
                  <c:v>16</c:v>
                </c:pt>
              </c:numCache>
            </c:numRef>
          </c:xVal>
          <c:yVal>
            <c:numRef>
              <c:f>Tools!$CH$4:$CI$4</c:f>
              <c:numCache>
                <c:formatCode>General</c:formatCode>
                <c:ptCount val="2"/>
                <c:pt idx="0">
                  <c:v>0</c:v>
                </c:pt>
                <c:pt idx="1">
                  <c:v>7.8833333333333329</c:v>
                </c:pt>
              </c:numCache>
            </c:numRef>
          </c:yVal>
          <c:smooth val="1"/>
        </c:ser>
        <c:ser>
          <c:idx val="69"/>
          <c:order val="44"/>
          <c:tx>
            <c:strRef>
              <c:f>Tools!$CG$24</c:f>
              <c:strCache>
                <c:ptCount val="1"/>
                <c:pt idx="0">
                  <c:v>17</c:v>
                </c:pt>
              </c:strCache>
            </c:strRef>
          </c:tx>
          <c:spPr>
            <a:ln w="3175">
              <a:solidFill>
                <a:sysClr val="windowText" lastClr="000000"/>
              </a:solidFill>
            </a:ln>
          </c:spPr>
          <c:marker>
            <c:symbol val="none"/>
          </c:marker>
          <c:xVal>
            <c:numRef>
              <c:f>Tools!$CH$24:$CI$24</c:f>
              <c:numCache>
                <c:formatCode>General</c:formatCode>
                <c:ptCount val="2"/>
                <c:pt idx="0">
                  <c:v>17</c:v>
                </c:pt>
                <c:pt idx="1">
                  <c:v>17</c:v>
                </c:pt>
              </c:numCache>
            </c:numRef>
          </c:xVal>
          <c:yVal>
            <c:numRef>
              <c:f>Tools!$CH$4:$CI$4</c:f>
              <c:numCache>
                <c:formatCode>General</c:formatCode>
                <c:ptCount val="2"/>
                <c:pt idx="0">
                  <c:v>0</c:v>
                </c:pt>
                <c:pt idx="1">
                  <c:v>7.8833333333333329</c:v>
                </c:pt>
              </c:numCache>
            </c:numRef>
          </c:yVal>
          <c:smooth val="1"/>
        </c:ser>
        <c:ser>
          <c:idx val="70"/>
          <c:order val="45"/>
          <c:tx>
            <c:strRef>
              <c:f>Tools!$CG$25</c:f>
              <c:strCache>
                <c:ptCount val="1"/>
                <c:pt idx="0">
                  <c:v>18</c:v>
                </c:pt>
              </c:strCache>
            </c:strRef>
          </c:tx>
          <c:spPr>
            <a:ln w="3175">
              <a:solidFill>
                <a:sysClr val="windowText" lastClr="000000"/>
              </a:solidFill>
            </a:ln>
          </c:spPr>
          <c:marker>
            <c:symbol val="none"/>
          </c:marker>
          <c:xVal>
            <c:numRef>
              <c:f>Tools!$CH$25:$CI$25</c:f>
              <c:numCache>
                <c:formatCode>General</c:formatCode>
                <c:ptCount val="2"/>
                <c:pt idx="0">
                  <c:v>18</c:v>
                </c:pt>
                <c:pt idx="1">
                  <c:v>18</c:v>
                </c:pt>
              </c:numCache>
            </c:numRef>
          </c:xVal>
          <c:yVal>
            <c:numRef>
              <c:f>Tools!$CH$4:$CI$4</c:f>
              <c:numCache>
                <c:formatCode>General</c:formatCode>
                <c:ptCount val="2"/>
                <c:pt idx="0">
                  <c:v>0</c:v>
                </c:pt>
                <c:pt idx="1">
                  <c:v>7.8833333333333329</c:v>
                </c:pt>
              </c:numCache>
            </c:numRef>
          </c:yVal>
          <c:smooth val="1"/>
        </c:ser>
        <c:ser>
          <c:idx val="71"/>
          <c:order val="46"/>
          <c:tx>
            <c:strRef>
              <c:f>Tools!$CG$26</c:f>
              <c:strCache>
                <c:ptCount val="1"/>
                <c:pt idx="0">
                  <c:v>18.5</c:v>
                </c:pt>
              </c:strCache>
            </c:strRef>
          </c:tx>
          <c:spPr>
            <a:ln w="3175">
              <a:solidFill>
                <a:sysClr val="windowText" lastClr="000000"/>
              </a:solidFill>
            </a:ln>
          </c:spPr>
          <c:marker>
            <c:symbol val="none"/>
          </c:marker>
          <c:xVal>
            <c:numRef>
              <c:f>Tools!$CH$26:$CI$26</c:f>
              <c:numCache>
                <c:formatCode>General</c:formatCode>
                <c:ptCount val="2"/>
                <c:pt idx="0">
                  <c:v>18.5</c:v>
                </c:pt>
                <c:pt idx="1">
                  <c:v>18.5</c:v>
                </c:pt>
              </c:numCache>
            </c:numRef>
          </c:xVal>
          <c:yVal>
            <c:numRef>
              <c:f>Tools!$CH$4:$CI$4</c:f>
              <c:numCache>
                <c:formatCode>General</c:formatCode>
                <c:ptCount val="2"/>
                <c:pt idx="0">
                  <c:v>0</c:v>
                </c:pt>
                <c:pt idx="1">
                  <c:v>7.8833333333333329</c:v>
                </c:pt>
              </c:numCache>
            </c:numRef>
          </c:yVal>
          <c:smooth val="1"/>
        </c:ser>
        <c:ser>
          <c:idx val="72"/>
          <c:order val="47"/>
          <c:tx>
            <c:strRef>
              <c:f>Tools!$CG$27</c:f>
              <c:strCache>
                <c:ptCount val="1"/>
                <c:pt idx="0">
                  <c:v>19</c:v>
                </c:pt>
              </c:strCache>
            </c:strRef>
          </c:tx>
          <c:spPr>
            <a:ln w="3175">
              <a:solidFill>
                <a:sysClr val="windowText" lastClr="000000"/>
              </a:solidFill>
            </a:ln>
          </c:spPr>
          <c:marker>
            <c:symbol val="none"/>
          </c:marker>
          <c:xVal>
            <c:numRef>
              <c:f>Tools!$CH$27:$CI$27</c:f>
              <c:numCache>
                <c:formatCode>General</c:formatCode>
                <c:ptCount val="2"/>
                <c:pt idx="0">
                  <c:v>19</c:v>
                </c:pt>
                <c:pt idx="1">
                  <c:v>19</c:v>
                </c:pt>
              </c:numCache>
            </c:numRef>
          </c:xVal>
          <c:yVal>
            <c:numRef>
              <c:f>Tools!$CH$4:$CI$4</c:f>
              <c:numCache>
                <c:formatCode>General</c:formatCode>
                <c:ptCount val="2"/>
                <c:pt idx="0">
                  <c:v>0</c:v>
                </c:pt>
                <c:pt idx="1">
                  <c:v>7.8833333333333329</c:v>
                </c:pt>
              </c:numCache>
            </c:numRef>
          </c:yVal>
          <c:smooth val="1"/>
        </c:ser>
        <c:ser>
          <c:idx val="73"/>
          <c:order val="48"/>
          <c:tx>
            <c:strRef>
              <c:f>Tools!$CG$28</c:f>
              <c:strCache>
                <c:ptCount val="1"/>
                <c:pt idx="0">
                  <c:v>19.5</c:v>
                </c:pt>
              </c:strCache>
            </c:strRef>
          </c:tx>
          <c:spPr>
            <a:ln w="3175">
              <a:solidFill>
                <a:sysClr val="windowText" lastClr="000000"/>
              </a:solidFill>
            </a:ln>
          </c:spPr>
          <c:marker>
            <c:symbol val="none"/>
          </c:marker>
          <c:xVal>
            <c:numRef>
              <c:f>Tools!$CH$28:$CI$28</c:f>
              <c:numCache>
                <c:formatCode>General</c:formatCode>
                <c:ptCount val="2"/>
                <c:pt idx="0">
                  <c:v>19.5</c:v>
                </c:pt>
                <c:pt idx="1">
                  <c:v>19.5</c:v>
                </c:pt>
              </c:numCache>
            </c:numRef>
          </c:xVal>
          <c:yVal>
            <c:numRef>
              <c:f>Tools!$CH$4:$CI$4</c:f>
              <c:numCache>
                <c:formatCode>General</c:formatCode>
                <c:ptCount val="2"/>
                <c:pt idx="0">
                  <c:v>0</c:v>
                </c:pt>
                <c:pt idx="1">
                  <c:v>7.8833333333333329</c:v>
                </c:pt>
              </c:numCache>
            </c:numRef>
          </c:yVal>
          <c:smooth val="1"/>
        </c:ser>
        <c:ser>
          <c:idx val="74"/>
          <c:order val="49"/>
          <c:tx>
            <c:strRef>
              <c:f>Tools!$CG$29</c:f>
              <c:strCache>
                <c:ptCount val="1"/>
                <c:pt idx="0">
                  <c:v>20</c:v>
                </c:pt>
              </c:strCache>
            </c:strRef>
          </c:tx>
          <c:spPr>
            <a:ln w="3175">
              <a:solidFill>
                <a:sysClr val="windowText" lastClr="000000"/>
              </a:solidFill>
            </a:ln>
          </c:spPr>
          <c:marker>
            <c:symbol val="none"/>
          </c:marker>
          <c:xVal>
            <c:numRef>
              <c:f>Tools!$CH$29:$CI$29</c:f>
              <c:numCache>
                <c:formatCode>General</c:formatCode>
                <c:ptCount val="2"/>
                <c:pt idx="0">
                  <c:v>20</c:v>
                </c:pt>
                <c:pt idx="1">
                  <c:v>20</c:v>
                </c:pt>
              </c:numCache>
            </c:numRef>
          </c:xVal>
          <c:yVal>
            <c:numRef>
              <c:f>Tools!$CH$4:$CI$4</c:f>
              <c:numCache>
                <c:formatCode>General</c:formatCode>
                <c:ptCount val="2"/>
                <c:pt idx="0">
                  <c:v>0</c:v>
                </c:pt>
                <c:pt idx="1">
                  <c:v>7.8833333333333329</c:v>
                </c:pt>
              </c:numCache>
            </c:numRef>
          </c:yVal>
          <c:smooth val="1"/>
        </c:ser>
        <c:ser>
          <c:idx val="75"/>
          <c:order val="50"/>
          <c:tx>
            <c:strRef>
              <c:f>Tools!$CG$31</c:f>
              <c:strCache>
                <c:ptCount val="1"/>
                <c:pt idx="0">
                  <c:v>MDK</c:v>
                </c:pt>
              </c:strCache>
            </c:strRef>
          </c:tx>
          <c:spPr>
            <a:ln w="3175">
              <a:solidFill>
                <a:schemeClr val="tx2">
                  <a:lumMod val="60000"/>
                  <a:lumOff val="40000"/>
                </a:schemeClr>
              </a:solidFill>
            </a:ln>
          </c:spPr>
          <c:marker>
            <c:symbol val="none"/>
          </c:marker>
          <c:xVal>
            <c:numRef>
              <c:f>Tools!$CH$31:$CI$31</c:f>
              <c:numCache>
                <c:formatCode>General</c:formatCode>
                <c:ptCount val="2"/>
                <c:pt idx="0">
                  <c:v>0</c:v>
                </c:pt>
                <c:pt idx="1">
                  <c:v>20</c:v>
                </c:pt>
              </c:numCache>
            </c:numRef>
          </c:xVal>
          <c:yVal>
            <c:numRef>
              <c:f>Tools!$CH$32:$CI$32</c:f>
              <c:numCache>
                <c:formatCode>General</c:formatCode>
                <c:ptCount val="2"/>
                <c:pt idx="0">
                  <c:v>7.8833333333333329</c:v>
                </c:pt>
                <c:pt idx="1">
                  <c:v>7.8833333333333329</c:v>
                </c:pt>
              </c:numCache>
            </c:numRef>
          </c:yVal>
          <c:smooth val="1"/>
        </c:ser>
        <c:ser>
          <c:idx val="76"/>
          <c:order val="51"/>
          <c:tx>
            <c:strRef>
              <c:f>Tools!$CG$34</c:f>
              <c:strCache>
                <c:ptCount val="1"/>
                <c:pt idx="0">
                  <c:v>LWL</c:v>
                </c:pt>
              </c:strCache>
            </c:strRef>
          </c:tx>
          <c:spPr>
            <a:ln w="3175">
              <a:solidFill>
                <a:schemeClr val="accent4">
                  <a:lumMod val="75000"/>
                </a:schemeClr>
              </a:solidFill>
            </a:ln>
          </c:spPr>
          <c:marker>
            <c:symbol val="none"/>
          </c:marker>
          <c:xVal>
            <c:numRef>
              <c:f>Tools!$CH$34:$CI$34</c:f>
              <c:numCache>
                <c:formatCode>General</c:formatCode>
                <c:ptCount val="2"/>
                <c:pt idx="0">
                  <c:v>0</c:v>
                </c:pt>
                <c:pt idx="1">
                  <c:v>20</c:v>
                </c:pt>
              </c:numCache>
            </c:numRef>
          </c:xVal>
          <c:yVal>
            <c:numRef>
              <c:f>Tools!$CH$35:$CI$35</c:f>
              <c:numCache>
                <c:formatCode>General</c:formatCode>
                <c:ptCount val="2"/>
                <c:pt idx="0">
                  <c:v>5.6111111111111107</c:v>
                </c:pt>
                <c:pt idx="1">
                  <c:v>5.6111111111111107</c:v>
                </c:pt>
              </c:numCache>
            </c:numRef>
          </c:yVal>
          <c:smooth val="1"/>
        </c:ser>
        <c:ser>
          <c:idx val="77"/>
          <c:order val="52"/>
          <c:tx>
            <c:strRef>
              <c:f>Tools!$CG$37</c:f>
              <c:strCache>
                <c:ptCount val="1"/>
                <c:pt idx="0">
                  <c:v>KEEL</c:v>
                </c:pt>
              </c:strCache>
            </c:strRef>
          </c:tx>
          <c:spPr>
            <a:ln w="3175">
              <a:solidFill>
                <a:sysClr val="windowText" lastClr="000000"/>
              </a:solidFill>
            </a:ln>
          </c:spPr>
          <c:marker>
            <c:symbol val="none"/>
          </c:marker>
          <c:xVal>
            <c:numRef>
              <c:f>Tools!$CH$37:$CI$37</c:f>
              <c:numCache>
                <c:formatCode>General</c:formatCode>
                <c:ptCount val="2"/>
                <c:pt idx="0">
                  <c:v>0</c:v>
                </c:pt>
                <c:pt idx="1">
                  <c:v>20</c:v>
                </c:pt>
              </c:numCache>
            </c:numRef>
          </c:xVal>
          <c:yVal>
            <c:numRef>
              <c:f>Tools!$CH$38:$CI$38</c:f>
              <c:numCache>
                <c:formatCode>General</c:formatCode>
                <c:ptCount val="2"/>
                <c:pt idx="0">
                  <c:v>3.9416666666666662E-2</c:v>
                </c:pt>
                <c:pt idx="1">
                  <c:v>3.9416666666666662E-2</c:v>
                </c:pt>
              </c:numCache>
            </c:numRef>
          </c:yVal>
          <c:smooth val="1"/>
        </c:ser>
        <c:dLbls>
          <c:showLegendKey val="0"/>
          <c:showVal val="0"/>
          <c:showCatName val="0"/>
          <c:showSerName val="0"/>
          <c:showPercent val="0"/>
          <c:showBubbleSize val="0"/>
        </c:dLbls>
        <c:axId val="519651712"/>
        <c:axId val="519653248"/>
      </c:scatterChart>
      <c:valAx>
        <c:axId val="519651712"/>
        <c:scaling>
          <c:orientation val="minMax"/>
          <c:max val="21"/>
          <c:min val="0"/>
        </c:scaling>
        <c:delete val="0"/>
        <c:axPos val="b"/>
        <c:numFmt formatCode="General" sourceLinked="1"/>
        <c:majorTickMark val="out"/>
        <c:minorTickMark val="none"/>
        <c:tickLblPos val="nextTo"/>
        <c:spPr>
          <a:ln>
            <a:solidFill>
              <a:schemeClr val="bg1"/>
            </a:solidFill>
          </a:ln>
        </c:spPr>
        <c:crossAx val="519653248"/>
        <c:crosses val="autoZero"/>
        <c:crossBetween val="midCat"/>
        <c:majorUnit val="1"/>
        <c:minorUnit val="1"/>
      </c:valAx>
      <c:valAx>
        <c:axId val="519653248"/>
        <c:scaling>
          <c:orientation val="minMax"/>
        </c:scaling>
        <c:delete val="0"/>
        <c:axPos val="l"/>
        <c:majorGridlines>
          <c:spPr>
            <a:ln>
              <a:solidFill>
                <a:schemeClr val="tx1">
                  <a:alpha val="7000"/>
                </a:schemeClr>
              </a:solidFill>
            </a:ln>
          </c:spPr>
        </c:majorGridlines>
        <c:numFmt formatCode="General" sourceLinked="1"/>
        <c:majorTickMark val="out"/>
        <c:minorTickMark val="none"/>
        <c:tickLblPos val="nextTo"/>
        <c:spPr>
          <a:ln>
            <a:solidFill>
              <a:schemeClr val="accent1">
                <a:lumMod val="40000"/>
                <a:lumOff val="60000"/>
                <a:alpha val="12000"/>
              </a:schemeClr>
            </a:solidFill>
          </a:ln>
        </c:spPr>
        <c:crossAx val="519651712"/>
        <c:crossesAt val="0"/>
        <c:crossBetween val="midCat"/>
      </c:valAx>
      <c:spPr>
        <a:ln>
          <a:solidFill>
            <a:schemeClr val="bg1"/>
          </a:solidFill>
        </a:ln>
      </c:spPr>
    </c:plotArea>
    <c:plotVisOnly val="1"/>
    <c:dispBlanksAs val="span"/>
    <c:showDLblsOverMax val="0"/>
  </c:chart>
  <c:txPr>
    <a:bodyPr/>
    <a:lstStyle/>
    <a:p>
      <a:pPr>
        <a:defRPr sz="900"/>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en-US" b="1"/>
              <a:t>Moment</a:t>
            </a:r>
          </a:p>
        </c:rich>
      </c:tx>
      <c:layout>
        <c:manualLayout>
          <c:xMode val="edge"/>
          <c:yMode val="edge"/>
          <c:x val="0.46243043322009808"/>
          <c:y val="1.7218894452318712E-2"/>
        </c:manualLayout>
      </c:layout>
      <c:overlay val="0"/>
    </c:title>
    <c:autoTitleDeleted val="0"/>
    <c:plotArea>
      <c:layout/>
      <c:scatterChart>
        <c:scatterStyle val="smoothMarker"/>
        <c:varyColors val="0"/>
        <c:ser>
          <c:idx val="0"/>
          <c:order val="0"/>
          <c:tx>
            <c:strRef>
              <c:f>Tools!$DC$62</c:f>
              <c:strCache>
                <c:ptCount val="1"/>
                <c:pt idx="0">
                  <c:v>STN 0</c:v>
                </c:pt>
              </c:strCache>
            </c:strRef>
          </c:tx>
          <c:spPr>
            <a:ln w="3175">
              <a:solidFill>
                <a:schemeClr val="tx2">
                  <a:lumMod val="75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Tools!$AC$70:$AN$70</c:f>
              <c:numCache>
                <c:formatCode>General</c:formatCode>
                <c:ptCount val="12"/>
                <c:pt idx="0">
                  <c:v>0</c:v>
                </c:pt>
                <c:pt idx="1">
                  <c:v>0</c:v>
                </c:pt>
                <c:pt idx="2">
                  <c:v>0</c:v>
                </c:pt>
                <c:pt idx="3">
                  <c:v>0</c:v>
                </c:pt>
                <c:pt idx="4">
                  <c:v>0</c:v>
                </c:pt>
                <c:pt idx="5">
                  <c:v>0</c:v>
                </c:pt>
                <c:pt idx="6">
                  <c:v>0</c:v>
                </c:pt>
                <c:pt idx="7">
                  <c:v>0</c:v>
                </c:pt>
                <c:pt idx="8">
                  <c:v>5.8032799999999796</c:v>
                </c:pt>
                <c:pt idx="9">
                  <c:v>72.581413333333387</c:v>
                </c:pt>
                <c:pt idx="10">
                  <c:v>407.16541333333345</c:v>
                </c:pt>
                <c:pt idx="11">
                  <c:v>844.10599933333333</c:v>
                </c:pt>
              </c:numCache>
            </c:numRef>
          </c:yVal>
          <c:smooth val="1"/>
        </c:ser>
        <c:ser>
          <c:idx val="1"/>
          <c:order val="1"/>
          <c:tx>
            <c:strRef>
              <c:f>Tools!$DC$63</c:f>
              <c:strCache>
                <c:ptCount val="1"/>
                <c:pt idx="0">
                  <c:v>STN 0.5</c:v>
                </c:pt>
              </c:strCache>
            </c:strRef>
          </c:tx>
          <c:spPr>
            <a:ln w="3175">
              <a:solidFill>
                <a:srgbClr val="FF0000"/>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Tools!$AC$71:$AN$71</c:f>
              <c:numCache>
                <c:formatCode>General</c:formatCode>
                <c:ptCount val="12"/>
                <c:pt idx="0">
                  <c:v>0</c:v>
                </c:pt>
                <c:pt idx="1">
                  <c:v>0</c:v>
                </c:pt>
                <c:pt idx="2">
                  <c:v>0</c:v>
                </c:pt>
                <c:pt idx="3">
                  <c:v>0</c:v>
                </c:pt>
                <c:pt idx="4">
                  <c:v>0</c:v>
                </c:pt>
                <c:pt idx="5">
                  <c:v>0</c:v>
                </c:pt>
                <c:pt idx="6">
                  <c:v>0</c:v>
                </c:pt>
                <c:pt idx="7">
                  <c:v>1.0759999999999961</c:v>
                </c:pt>
                <c:pt idx="8">
                  <c:v>86.245333333333278</c:v>
                </c:pt>
                <c:pt idx="9">
                  <c:v>192.25489999999999</c:v>
                </c:pt>
                <c:pt idx="10">
                  <c:v>613.3280000000002</c:v>
                </c:pt>
                <c:pt idx="11">
                  <c:v>1085.4548089999998</c:v>
                </c:pt>
              </c:numCache>
            </c:numRef>
          </c:yVal>
          <c:smooth val="1"/>
        </c:ser>
        <c:ser>
          <c:idx val="2"/>
          <c:order val="2"/>
          <c:tx>
            <c:strRef>
              <c:f>Tools!$DC$64</c:f>
              <c:strCache>
                <c:ptCount val="1"/>
                <c:pt idx="0">
                  <c:v>STN 1</c:v>
                </c:pt>
              </c:strCache>
            </c:strRef>
          </c:tx>
          <c:spPr>
            <a:ln w="3175">
              <a:solidFill>
                <a:schemeClr val="accent4">
                  <a:lumMod val="75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Tools!$AC$72:$AN$72</c:f>
              <c:numCache>
                <c:formatCode>General</c:formatCode>
                <c:ptCount val="12"/>
                <c:pt idx="0">
                  <c:v>0</c:v>
                </c:pt>
                <c:pt idx="1">
                  <c:v>0</c:v>
                </c:pt>
                <c:pt idx="2">
                  <c:v>0</c:v>
                </c:pt>
                <c:pt idx="3">
                  <c:v>0</c:v>
                </c:pt>
                <c:pt idx="4">
                  <c:v>0</c:v>
                </c:pt>
                <c:pt idx="5">
                  <c:v>0</c:v>
                </c:pt>
                <c:pt idx="6">
                  <c:v>0</c:v>
                </c:pt>
                <c:pt idx="7">
                  <c:v>63.158400000000036</c:v>
                </c:pt>
                <c:pt idx="8">
                  <c:v>220.43346666666662</c:v>
                </c:pt>
                <c:pt idx="9">
                  <c:v>356.19749999999999</c:v>
                </c:pt>
                <c:pt idx="10">
                  <c:v>810.66960000000006</c:v>
                </c:pt>
                <c:pt idx="11">
                  <c:v>1305.6634709999998</c:v>
                </c:pt>
              </c:numCache>
            </c:numRef>
          </c:yVal>
          <c:smooth val="1"/>
        </c:ser>
        <c:ser>
          <c:idx val="3"/>
          <c:order val="3"/>
          <c:tx>
            <c:strRef>
              <c:f>Tools!$DC$65</c:f>
              <c:strCache>
                <c:ptCount val="1"/>
                <c:pt idx="0">
                  <c:v>STN 1.5</c:v>
                </c:pt>
              </c:strCache>
            </c:strRef>
          </c:tx>
          <c:spPr>
            <a:ln w="3175">
              <a:solidFill>
                <a:srgbClr val="00B050"/>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Tools!$AC$73:$AN$73</c:f>
              <c:numCache>
                <c:formatCode>General</c:formatCode>
                <c:ptCount val="12"/>
                <c:pt idx="0">
                  <c:v>0</c:v>
                </c:pt>
                <c:pt idx="1">
                  <c:v>0</c:v>
                </c:pt>
                <c:pt idx="2">
                  <c:v>0</c:v>
                </c:pt>
                <c:pt idx="3">
                  <c:v>0.7350000000000001</c:v>
                </c:pt>
                <c:pt idx="4">
                  <c:v>3.8940000000000001</c:v>
                </c:pt>
                <c:pt idx="5">
                  <c:v>18.609000000000002</c:v>
                </c:pt>
                <c:pt idx="6">
                  <c:v>58.757999999999996</c:v>
                </c:pt>
                <c:pt idx="7">
                  <c:v>201.66900000000001</c:v>
                </c:pt>
                <c:pt idx="8">
                  <c:v>398.32809999999995</c:v>
                </c:pt>
                <c:pt idx="9">
                  <c:v>588.56280000000004</c:v>
                </c:pt>
                <c:pt idx="10">
                  <c:v>1030.8065999999999</c:v>
                </c:pt>
                <c:pt idx="11">
                  <c:v>1539.3300989999996</c:v>
                </c:pt>
              </c:numCache>
            </c:numRef>
          </c:yVal>
          <c:smooth val="1"/>
        </c:ser>
        <c:ser>
          <c:idx val="4"/>
          <c:order val="4"/>
          <c:tx>
            <c:strRef>
              <c:f>Tools!$DC$66</c:f>
              <c:strCache>
                <c:ptCount val="1"/>
                <c:pt idx="0">
                  <c:v>STN 2</c:v>
                </c:pt>
              </c:strCache>
            </c:strRef>
          </c:tx>
          <c:spPr>
            <a:ln w="3175"/>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Tools!$AC$74:$AN$74</c:f>
              <c:numCache>
                <c:formatCode>General</c:formatCode>
                <c:ptCount val="12"/>
                <c:pt idx="0">
                  <c:v>0</c:v>
                </c:pt>
                <c:pt idx="1">
                  <c:v>0.10428000000000001</c:v>
                </c:pt>
                <c:pt idx="2">
                  <c:v>1.9767300000000001</c:v>
                </c:pt>
                <c:pt idx="3">
                  <c:v>7.2430800000000009</c:v>
                </c:pt>
                <c:pt idx="4">
                  <c:v>16.49193</c:v>
                </c:pt>
                <c:pt idx="5">
                  <c:v>51.095130000000012</c:v>
                </c:pt>
                <c:pt idx="6">
                  <c:v>141.33993000000001</c:v>
                </c:pt>
                <c:pt idx="7">
                  <c:v>365.59113000000002</c:v>
                </c:pt>
                <c:pt idx="8">
                  <c:v>584.29679666666652</c:v>
                </c:pt>
                <c:pt idx="9">
                  <c:v>763.50632999999993</c:v>
                </c:pt>
                <c:pt idx="10">
                  <c:v>1241.81673</c:v>
                </c:pt>
                <c:pt idx="11">
                  <c:v>1757.3138099999996</c:v>
                </c:pt>
              </c:numCache>
            </c:numRef>
          </c:yVal>
          <c:smooth val="1"/>
        </c:ser>
        <c:ser>
          <c:idx val="5"/>
          <c:order val="5"/>
          <c:tx>
            <c:strRef>
              <c:f>Tools!$DC$67</c:f>
              <c:strCache>
                <c:ptCount val="1"/>
                <c:pt idx="0">
                  <c:v>STN 3</c:v>
                </c:pt>
              </c:strCache>
            </c:strRef>
          </c:tx>
          <c:spPr>
            <a:ln w="3175"/>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Tools!$AC$75:$AN$75</c:f>
              <c:numCache>
                <c:formatCode>General</c:formatCode>
                <c:ptCount val="12"/>
                <c:pt idx="0">
                  <c:v>0</c:v>
                </c:pt>
                <c:pt idx="1">
                  <c:v>1.0327499999999998</c:v>
                </c:pt>
                <c:pt idx="2">
                  <c:v>6.0911999999999997</c:v>
                </c:pt>
                <c:pt idx="3">
                  <c:v>16.24455</c:v>
                </c:pt>
                <c:pt idx="4">
                  <c:v>32.767200000000003</c:v>
                </c:pt>
                <c:pt idx="5">
                  <c:v>101.56320000000001</c:v>
                </c:pt>
                <c:pt idx="6">
                  <c:v>277.71120000000002</c:v>
                </c:pt>
                <c:pt idx="7">
                  <c:v>595.01520000000005</c:v>
                </c:pt>
                <c:pt idx="8">
                  <c:v>835.98963333333324</c:v>
                </c:pt>
                <c:pt idx="9">
                  <c:v>1001.268</c:v>
                </c:pt>
                <c:pt idx="10">
                  <c:v>1519.3656000000001</c:v>
                </c:pt>
                <c:pt idx="11">
                  <c:v>2039.8983689999998</c:v>
                </c:pt>
              </c:numCache>
            </c:numRef>
          </c:yVal>
          <c:smooth val="1"/>
        </c:ser>
        <c:ser>
          <c:idx val="6"/>
          <c:order val="6"/>
          <c:tx>
            <c:strRef>
              <c:f>Tools!$DC$68</c:f>
              <c:strCache>
                <c:ptCount val="1"/>
                <c:pt idx="0">
                  <c:v>STN 4</c:v>
                </c:pt>
              </c:strCache>
            </c:strRef>
          </c:tx>
          <c:spPr>
            <a:ln w="3175"/>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Tools!$AC$76:$AN$76</c:f>
              <c:numCache>
                <c:formatCode>General</c:formatCode>
                <c:ptCount val="12"/>
                <c:pt idx="0">
                  <c:v>0</c:v>
                </c:pt>
                <c:pt idx="1">
                  <c:v>2.0668500000000005</c:v>
                </c:pt>
                <c:pt idx="2">
                  <c:v>11.2536</c:v>
                </c:pt>
                <c:pt idx="3">
                  <c:v>29.180250000000001</c:v>
                </c:pt>
                <c:pt idx="4">
                  <c:v>59.292000000000002</c:v>
                </c:pt>
                <c:pt idx="5">
                  <c:v>179.90640000000002</c:v>
                </c:pt>
                <c:pt idx="6">
                  <c:v>419.32079999999996</c:v>
                </c:pt>
                <c:pt idx="7">
                  <c:v>754.18560000000002</c:v>
                </c:pt>
                <c:pt idx="8">
                  <c:v>1006.8772333333333</c:v>
                </c:pt>
                <c:pt idx="9">
                  <c:v>1188.4535999999998</c:v>
                </c:pt>
                <c:pt idx="10">
                  <c:v>1700.4816000000001</c:v>
                </c:pt>
                <c:pt idx="11">
                  <c:v>2222.2838249999995</c:v>
                </c:pt>
              </c:numCache>
            </c:numRef>
          </c:yVal>
          <c:smooth val="1"/>
        </c:ser>
        <c:ser>
          <c:idx val="7"/>
          <c:order val="7"/>
          <c:tx>
            <c:strRef>
              <c:f>Tools!$DC$69</c:f>
              <c:strCache>
                <c:ptCount val="1"/>
                <c:pt idx="0">
                  <c:v>STN 5</c:v>
                </c:pt>
              </c:strCache>
            </c:strRef>
          </c:tx>
          <c:spPr>
            <a:ln w="3175">
              <a:solidFill>
                <a:schemeClr val="accent6">
                  <a:lumMod val="50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Tools!$AC$77:$AN$77</c:f>
              <c:numCache>
                <c:formatCode>General</c:formatCode>
                <c:ptCount val="12"/>
                <c:pt idx="0">
                  <c:v>0</c:v>
                </c:pt>
                <c:pt idx="1">
                  <c:v>3.1637249999999995</c:v>
                </c:pt>
                <c:pt idx="2">
                  <c:v>16.966799999999999</c:v>
                </c:pt>
                <c:pt idx="3">
                  <c:v>44.009325000000004</c:v>
                </c:pt>
                <c:pt idx="4">
                  <c:v>90.806399999999996</c:v>
                </c:pt>
                <c:pt idx="5">
                  <c:v>258.41160000000002</c:v>
                </c:pt>
                <c:pt idx="6">
                  <c:v>522.07200000000012</c:v>
                </c:pt>
                <c:pt idx="7">
                  <c:v>875.63160000000005</c:v>
                </c:pt>
                <c:pt idx="8">
                  <c:v>1132.6949999999999</c:v>
                </c:pt>
                <c:pt idx="9">
                  <c:v>1311.9840000000002</c:v>
                </c:pt>
                <c:pt idx="10">
                  <c:v>1827.8676</c:v>
                </c:pt>
                <c:pt idx="11">
                  <c:v>2349.6698249999999</c:v>
                </c:pt>
              </c:numCache>
            </c:numRef>
          </c:yVal>
          <c:smooth val="1"/>
        </c:ser>
        <c:ser>
          <c:idx val="8"/>
          <c:order val="8"/>
          <c:tx>
            <c:strRef>
              <c:f>Tools!$DC$70</c:f>
              <c:strCache>
                <c:ptCount val="1"/>
                <c:pt idx="0">
                  <c:v>STN 6</c:v>
                </c:pt>
              </c:strCache>
            </c:strRef>
          </c:tx>
          <c:spPr>
            <a:ln w="3175">
              <a:solidFill>
                <a:schemeClr val="accent6">
                  <a:lumMod val="75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Tools!$AC$78:$AN$78</c:f>
              <c:numCache>
                <c:formatCode>General</c:formatCode>
                <c:ptCount val="12"/>
                <c:pt idx="0">
                  <c:v>0</c:v>
                </c:pt>
                <c:pt idx="1">
                  <c:v>4.3308</c:v>
                </c:pt>
                <c:pt idx="2">
                  <c:v>23.241600000000002</c:v>
                </c:pt>
                <c:pt idx="3">
                  <c:v>59.826600000000013</c:v>
                </c:pt>
                <c:pt idx="4">
                  <c:v>119.46960000000001</c:v>
                </c:pt>
                <c:pt idx="5">
                  <c:v>307.51920000000007</c:v>
                </c:pt>
                <c:pt idx="6">
                  <c:v>582.74640000000011</c:v>
                </c:pt>
                <c:pt idx="7">
                  <c:v>940.74480000000005</c:v>
                </c:pt>
                <c:pt idx="8">
                  <c:v>1198.1172999999999</c:v>
                </c:pt>
                <c:pt idx="9">
                  <c:v>1376.5464000000002</c:v>
                </c:pt>
                <c:pt idx="10">
                  <c:v>1893.3048000000001</c:v>
                </c:pt>
                <c:pt idx="11">
                  <c:v>2415.1070249999998</c:v>
                </c:pt>
              </c:numCache>
            </c:numRef>
          </c:yVal>
          <c:smooth val="1"/>
        </c:ser>
        <c:ser>
          <c:idx val="9"/>
          <c:order val="9"/>
          <c:tx>
            <c:strRef>
              <c:f>Tools!$DC$71</c:f>
              <c:strCache>
                <c:ptCount val="1"/>
                <c:pt idx="0">
                  <c:v>STN 7</c:v>
                </c:pt>
              </c:strCache>
            </c:strRef>
          </c:tx>
          <c:spPr>
            <a:ln w="3175">
              <a:solidFill>
                <a:srgbClr val="FF0000"/>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Tools!$AC$79:$AN$79</c:f>
              <c:numCache>
                <c:formatCode>General</c:formatCode>
                <c:ptCount val="12"/>
                <c:pt idx="0">
                  <c:v>0</c:v>
                </c:pt>
                <c:pt idx="1">
                  <c:v>5.8502249999999991</c:v>
                </c:pt>
                <c:pt idx="2">
                  <c:v>29.613600000000005</c:v>
                </c:pt>
                <c:pt idx="3">
                  <c:v>73.031624999999991</c:v>
                </c:pt>
                <c:pt idx="4">
                  <c:v>139.21200000000002</c:v>
                </c:pt>
                <c:pt idx="5">
                  <c:v>336.096</c:v>
                </c:pt>
                <c:pt idx="6">
                  <c:v>613.80720000000008</c:v>
                </c:pt>
                <c:pt idx="7">
                  <c:v>971.13600000000008</c:v>
                </c:pt>
                <c:pt idx="8">
                  <c:v>1228.5084999999999</c:v>
                </c:pt>
                <c:pt idx="9">
                  <c:v>1407.6072000000001</c:v>
                </c:pt>
                <c:pt idx="10">
                  <c:v>1923.6960000000001</c:v>
                </c:pt>
                <c:pt idx="11">
                  <c:v>2445.4982249999998</c:v>
                </c:pt>
              </c:numCache>
            </c:numRef>
          </c:yVal>
          <c:smooth val="1"/>
        </c:ser>
        <c:ser>
          <c:idx val="10"/>
          <c:order val="10"/>
          <c:tx>
            <c:strRef>
              <c:f>Tools!$DC$72</c:f>
              <c:strCache>
                <c:ptCount val="1"/>
                <c:pt idx="0">
                  <c:v>STN 8</c:v>
                </c:pt>
              </c:strCache>
            </c:strRef>
          </c:tx>
          <c:spPr>
            <a:ln w="3175">
              <a:solidFill>
                <a:srgbClr val="00FF00"/>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Tools!$AC$80:$AN$80</c:f>
              <c:numCache>
                <c:formatCode>General</c:formatCode>
                <c:ptCount val="12"/>
                <c:pt idx="0">
                  <c:v>0</c:v>
                </c:pt>
                <c:pt idx="1">
                  <c:v>7.2866250000000008</c:v>
                </c:pt>
                <c:pt idx="2">
                  <c:v>34.203600000000002</c:v>
                </c:pt>
                <c:pt idx="3">
                  <c:v>81.083025000000006</c:v>
                </c:pt>
                <c:pt idx="4">
                  <c:v>149.88240000000002</c:v>
                </c:pt>
                <c:pt idx="5">
                  <c:v>348.57</c:v>
                </c:pt>
                <c:pt idx="6">
                  <c:v>625.86000000000013</c:v>
                </c:pt>
                <c:pt idx="7">
                  <c:v>983.61000000000013</c:v>
                </c:pt>
                <c:pt idx="8">
                  <c:v>1240.9825000000001</c:v>
                </c:pt>
                <c:pt idx="9">
                  <c:v>1419.6600000000003</c:v>
                </c:pt>
                <c:pt idx="10">
                  <c:v>1936.17</c:v>
                </c:pt>
                <c:pt idx="11">
                  <c:v>2457.9722249999995</c:v>
                </c:pt>
              </c:numCache>
            </c:numRef>
          </c:yVal>
          <c:smooth val="1"/>
        </c:ser>
        <c:ser>
          <c:idx val="11"/>
          <c:order val="11"/>
          <c:tx>
            <c:strRef>
              <c:f>Tools!$DC$73</c:f>
              <c:strCache>
                <c:ptCount val="1"/>
                <c:pt idx="0">
                  <c:v>STN 9</c:v>
                </c:pt>
              </c:strCache>
            </c:strRef>
          </c:tx>
          <c:spPr>
            <a:ln w="3175">
              <a:solidFill>
                <a:schemeClr val="accent2"/>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Tools!$AC$81:$AN$81</c:f>
              <c:numCache>
                <c:formatCode>General</c:formatCode>
                <c:ptCount val="12"/>
                <c:pt idx="0">
                  <c:v>0</c:v>
                </c:pt>
                <c:pt idx="1">
                  <c:v>7.9434000000000013</c:v>
                </c:pt>
                <c:pt idx="2">
                  <c:v>35.942400000000006</c:v>
                </c:pt>
                <c:pt idx="3">
                  <c:v>84.02940000000001</c:v>
                </c:pt>
                <c:pt idx="4">
                  <c:v>153.5976</c:v>
                </c:pt>
                <c:pt idx="5">
                  <c:v>352.31760000000003</c:v>
                </c:pt>
                <c:pt idx="6">
                  <c:v>629.87760000000003</c:v>
                </c:pt>
                <c:pt idx="7">
                  <c:v>987.35760000000005</c:v>
                </c:pt>
                <c:pt idx="8">
                  <c:v>1244.7300999999998</c:v>
                </c:pt>
                <c:pt idx="9">
                  <c:v>1423.6776</c:v>
                </c:pt>
                <c:pt idx="10">
                  <c:v>1939.9176000000002</c:v>
                </c:pt>
                <c:pt idx="11">
                  <c:v>2461.7198250000001</c:v>
                </c:pt>
              </c:numCache>
            </c:numRef>
          </c:yVal>
          <c:smooth val="1"/>
        </c:ser>
        <c:ser>
          <c:idx val="12"/>
          <c:order val="12"/>
          <c:tx>
            <c:strRef>
              <c:f>Tools!$DC$74</c:f>
              <c:strCache>
                <c:ptCount val="1"/>
                <c:pt idx="0">
                  <c:v>STN 10</c:v>
                </c:pt>
              </c:strCache>
            </c:strRef>
          </c:tx>
          <c:spPr>
            <a:ln w="3175">
              <a:solidFill>
                <a:schemeClr val="tx2"/>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Tools!$AC$82:$AN$82</c:f>
              <c:numCache>
                <c:formatCode>General</c:formatCode>
                <c:ptCount val="12"/>
                <c:pt idx="0">
                  <c:v>0</c:v>
                </c:pt>
                <c:pt idx="1">
                  <c:v>8.1938250000000004</c:v>
                </c:pt>
                <c:pt idx="2">
                  <c:v>36.115200000000002</c:v>
                </c:pt>
                <c:pt idx="3">
                  <c:v>84.517425000000017</c:v>
                </c:pt>
                <c:pt idx="4">
                  <c:v>153.94320000000002</c:v>
                </c:pt>
                <c:pt idx="5">
                  <c:v>352.57679999999999</c:v>
                </c:pt>
                <c:pt idx="6">
                  <c:v>630.22320000000002</c:v>
                </c:pt>
                <c:pt idx="7">
                  <c:v>987.61680000000001</c:v>
                </c:pt>
                <c:pt idx="8">
                  <c:v>1244.9892999999997</c:v>
                </c:pt>
                <c:pt idx="9">
                  <c:v>1424.0232000000001</c:v>
                </c:pt>
                <c:pt idx="10">
                  <c:v>1940.1768000000002</c:v>
                </c:pt>
                <c:pt idx="11">
                  <c:v>2461.9790249999996</c:v>
                </c:pt>
              </c:numCache>
            </c:numRef>
          </c:yVal>
          <c:smooth val="1"/>
        </c:ser>
        <c:ser>
          <c:idx val="13"/>
          <c:order val="13"/>
          <c:tx>
            <c:strRef>
              <c:f>Tools!$DC$75</c:f>
              <c:strCache>
                <c:ptCount val="1"/>
                <c:pt idx="0">
                  <c:v>STN 11</c:v>
                </c:pt>
              </c:strCache>
            </c:strRef>
          </c:tx>
          <c:spPr>
            <a:ln w="3175">
              <a:solidFill>
                <a:schemeClr val="accent3">
                  <a:lumMod val="50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Tools!$AC$83:$AN$83</c:f>
              <c:numCache>
                <c:formatCode>General</c:formatCode>
                <c:ptCount val="12"/>
                <c:pt idx="0">
                  <c:v>0</c:v>
                </c:pt>
                <c:pt idx="1">
                  <c:v>8.145900000000001</c:v>
                </c:pt>
                <c:pt idx="2">
                  <c:v>35.553600000000003</c:v>
                </c:pt>
                <c:pt idx="3">
                  <c:v>83.600099999999998</c:v>
                </c:pt>
                <c:pt idx="4">
                  <c:v>152.49600000000001</c:v>
                </c:pt>
                <c:pt idx="5">
                  <c:v>351.02160000000003</c:v>
                </c:pt>
                <c:pt idx="6">
                  <c:v>628.60320000000013</c:v>
                </c:pt>
                <c:pt idx="7">
                  <c:v>986.06160000000011</c:v>
                </c:pt>
                <c:pt idx="8">
                  <c:v>1243.4340999999999</c:v>
                </c:pt>
                <c:pt idx="9">
                  <c:v>1422.4032000000002</c:v>
                </c:pt>
                <c:pt idx="10">
                  <c:v>1938.6216000000002</c:v>
                </c:pt>
                <c:pt idx="11">
                  <c:v>2460.4238249999999</c:v>
                </c:pt>
              </c:numCache>
            </c:numRef>
          </c:yVal>
          <c:smooth val="1"/>
        </c:ser>
        <c:ser>
          <c:idx val="14"/>
          <c:order val="14"/>
          <c:tx>
            <c:strRef>
              <c:f>Tools!$DC$76</c:f>
              <c:strCache>
                <c:ptCount val="1"/>
                <c:pt idx="0">
                  <c:v>STN 12</c:v>
                </c:pt>
              </c:strCache>
            </c:strRef>
          </c:tx>
          <c:spPr>
            <a:ln w="3175">
              <a:solidFill>
                <a:schemeClr val="accent5">
                  <a:lumMod val="75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Tools!$AC$84:$AN$84</c:f>
              <c:numCache>
                <c:formatCode>General</c:formatCode>
                <c:ptCount val="12"/>
                <c:pt idx="0">
                  <c:v>0</c:v>
                </c:pt>
                <c:pt idx="1">
                  <c:v>7.6038749999999995</c:v>
                </c:pt>
                <c:pt idx="2">
                  <c:v>33.6312</c:v>
                </c:pt>
                <c:pt idx="3">
                  <c:v>79.80727499999999</c:v>
                </c:pt>
                <c:pt idx="4">
                  <c:v>146.72880000000001</c:v>
                </c:pt>
                <c:pt idx="5">
                  <c:v>342.64080000000001</c:v>
                </c:pt>
                <c:pt idx="6">
                  <c:v>620.28719999999998</c:v>
                </c:pt>
                <c:pt idx="7">
                  <c:v>977.35680000000013</c:v>
                </c:pt>
                <c:pt idx="8">
                  <c:v>1234.7293</c:v>
                </c:pt>
                <c:pt idx="9">
                  <c:v>1414.0871999999999</c:v>
                </c:pt>
                <c:pt idx="10">
                  <c:v>1929.9168000000002</c:v>
                </c:pt>
                <c:pt idx="11">
                  <c:v>2451.7190249999999</c:v>
                </c:pt>
              </c:numCache>
            </c:numRef>
          </c:yVal>
          <c:smooth val="1"/>
        </c:ser>
        <c:ser>
          <c:idx val="15"/>
          <c:order val="15"/>
          <c:tx>
            <c:strRef>
              <c:f>Tools!$DC$77</c:f>
              <c:strCache>
                <c:ptCount val="1"/>
                <c:pt idx="0">
                  <c:v>STN 13</c:v>
                </c:pt>
              </c:strCache>
            </c:strRef>
          </c:tx>
          <c:spPr>
            <a:ln w="3175">
              <a:solidFill>
                <a:schemeClr val="bg2">
                  <a:lumMod val="25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Tools!$AC$85:$AN$85</c:f>
              <c:numCache>
                <c:formatCode>General</c:formatCode>
                <c:ptCount val="12"/>
                <c:pt idx="0">
                  <c:v>0</c:v>
                </c:pt>
                <c:pt idx="1">
                  <c:v>6.646725</c:v>
                </c:pt>
                <c:pt idx="2">
                  <c:v>29.926800000000004</c:v>
                </c:pt>
                <c:pt idx="3">
                  <c:v>72.051525000000012</c:v>
                </c:pt>
                <c:pt idx="4">
                  <c:v>133.94160000000002</c:v>
                </c:pt>
                <c:pt idx="5">
                  <c:v>318.82680000000005</c:v>
                </c:pt>
                <c:pt idx="6">
                  <c:v>587.02320000000009</c:v>
                </c:pt>
                <c:pt idx="7">
                  <c:v>939.48120000000006</c:v>
                </c:pt>
                <c:pt idx="8">
                  <c:v>1195.8112666666666</c:v>
                </c:pt>
                <c:pt idx="9">
                  <c:v>1375.1208000000001</c:v>
                </c:pt>
                <c:pt idx="10">
                  <c:v>1889.9459999999999</c:v>
                </c:pt>
                <c:pt idx="11">
                  <c:v>2411.3306909999997</c:v>
                </c:pt>
              </c:numCache>
            </c:numRef>
          </c:yVal>
          <c:smooth val="1"/>
        </c:ser>
        <c:ser>
          <c:idx val="16"/>
          <c:order val="16"/>
          <c:tx>
            <c:strRef>
              <c:f>Tools!$DC$78</c:f>
              <c:strCache>
                <c:ptCount val="1"/>
                <c:pt idx="0">
                  <c:v>STN 14</c:v>
                </c:pt>
              </c:strCache>
            </c:strRef>
          </c:tx>
          <c:spPr>
            <a:ln w="3175">
              <a:solidFill>
                <a:schemeClr val="tx2">
                  <a:lumMod val="60000"/>
                  <a:lumOff val="40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Tools!$AC$86:$AN$86</c:f>
              <c:numCache>
                <c:formatCode>General</c:formatCode>
                <c:ptCount val="12"/>
                <c:pt idx="0">
                  <c:v>0</c:v>
                </c:pt>
                <c:pt idx="1">
                  <c:v>5.4539999999999997</c:v>
                </c:pt>
                <c:pt idx="2">
                  <c:v>24.548400000000001</c:v>
                </c:pt>
                <c:pt idx="3">
                  <c:v>59.583600000000011</c:v>
                </c:pt>
                <c:pt idx="4">
                  <c:v>114.35040000000001</c:v>
                </c:pt>
                <c:pt idx="5">
                  <c:v>278.67240000000004</c:v>
                </c:pt>
                <c:pt idx="6">
                  <c:v>524.18880000000001</c:v>
                </c:pt>
                <c:pt idx="7">
                  <c:v>852.71400000000006</c:v>
                </c:pt>
                <c:pt idx="8">
                  <c:v>1095.7369999999999</c:v>
                </c:pt>
                <c:pt idx="9">
                  <c:v>1267.6176</c:v>
                </c:pt>
                <c:pt idx="10">
                  <c:v>1770.174</c:v>
                </c:pt>
                <c:pt idx="11">
                  <c:v>2287.7840309999997</c:v>
                </c:pt>
              </c:numCache>
            </c:numRef>
          </c:yVal>
          <c:smooth val="1"/>
        </c:ser>
        <c:ser>
          <c:idx val="17"/>
          <c:order val="17"/>
          <c:tx>
            <c:strRef>
              <c:f>Tools!$DC$79</c:f>
              <c:strCache>
                <c:ptCount val="1"/>
                <c:pt idx="0">
                  <c:v>STN 15</c:v>
                </c:pt>
              </c:strCache>
            </c:strRef>
          </c:tx>
          <c:spPr>
            <a:ln w="3175">
              <a:solidFill>
                <a:srgbClr val="00B050"/>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Tools!$AC$87:$AN$87</c:f>
              <c:numCache>
                <c:formatCode>General</c:formatCode>
                <c:ptCount val="12"/>
                <c:pt idx="0">
                  <c:v>0</c:v>
                </c:pt>
                <c:pt idx="1">
                  <c:v>4.1242500000000009</c:v>
                </c:pt>
                <c:pt idx="2">
                  <c:v>19.548000000000002</c:v>
                </c:pt>
                <c:pt idx="3">
                  <c:v>48.766050000000007</c:v>
                </c:pt>
                <c:pt idx="4">
                  <c:v>93.204000000000008</c:v>
                </c:pt>
                <c:pt idx="5">
                  <c:v>231.59520000000001</c:v>
                </c:pt>
                <c:pt idx="6">
                  <c:v>442.34640000000002</c:v>
                </c:pt>
                <c:pt idx="7">
                  <c:v>733.29840000000002</c:v>
                </c:pt>
                <c:pt idx="8">
                  <c:v>952.50126666666654</c:v>
                </c:pt>
                <c:pt idx="9">
                  <c:v>1108.836</c:v>
                </c:pt>
                <c:pt idx="10">
                  <c:v>1574.6832000000004</c:v>
                </c:pt>
                <c:pt idx="11">
                  <c:v>2074.2718530000002</c:v>
                </c:pt>
              </c:numCache>
            </c:numRef>
          </c:yVal>
          <c:smooth val="1"/>
        </c:ser>
        <c:ser>
          <c:idx val="18"/>
          <c:order val="18"/>
          <c:tx>
            <c:strRef>
              <c:f>Tools!$DC$80</c:f>
              <c:strCache>
                <c:ptCount val="1"/>
                <c:pt idx="0">
                  <c:v>STN 16</c:v>
                </c:pt>
              </c:strCache>
            </c:strRef>
          </c:tx>
          <c:spPr>
            <a:ln w="3175">
              <a:solidFill>
                <a:schemeClr val="accent6">
                  <a:lumMod val="75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Tools!$AC$88:$AN$88</c:f>
              <c:numCache>
                <c:formatCode>General</c:formatCode>
                <c:ptCount val="12"/>
                <c:pt idx="0">
                  <c:v>0</c:v>
                </c:pt>
                <c:pt idx="1">
                  <c:v>2.8390499999999999</c:v>
                </c:pt>
                <c:pt idx="2">
                  <c:v>14.256</c:v>
                </c:pt>
                <c:pt idx="3">
                  <c:v>36.356850000000001</c:v>
                </c:pt>
                <c:pt idx="4">
                  <c:v>70.415999999999997</c:v>
                </c:pt>
                <c:pt idx="5">
                  <c:v>178.41600000000003</c:v>
                </c:pt>
                <c:pt idx="6">
                  <c:v>346.76639999999998</c:v>
                </c:pt>
                <c:pt idx="7">
                  <c:v>587.02319999999997</c:v>
                </c:pt>
                <c:pt idx="8">
                  <c:v>773.58576666666659</c:v>
                </c:pt>
                <c:pt idx="9">
                  <c:v>909.2736000000001</c:v>
                </c:pt>
                <c:pt idx="10">
                  <c:v>1323.3024</c:v>
                </c:pt>
                <c:pt idx="11">
                  <c:v>1791.4476899999997</c:v>
                </c:pt>
              </c:numCache>
            </c:numRef>
          </c:yVal>
          <c:smooth val="1"/>
        </c:ser>
        <c:ser>
          <c:idx val="19"/>
          <c:order val="19"/>
          <c:tx>
            <c:strRef>
              <c:f>Tools!$DC$81</c:f>
              <c:strCache>
                <c:ptCount val="1"/>
                <c:pt idx="0">
                  <c:v>STN 17</c:v>
                </c:pt>
              </c:strCache>
            </c:strRef>
          </c:tx>
          <c:spPr>
            <a:ln w="3175">
              <a:solidFill>
                <a:srgbClr val="7030A0"/>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Tools!$AC$89:$AN$89</c:f>
              <c:numCache>
                <c:formatCode>General</c:formatCode>
                <c:ptCount val="12"/>
                <c:pt idx="0">
                  <c:v>0</c:v>
                </c:pt>
                <c:pt idx="1">
                  <c:v>1.6692749999999998</c:v>
                </c:pt>
                <c:pt idx="2">
                  <c:v>9.4824000000000002</c:v>
                </c:pt>
                <c:pt idx="3">
                  <c:v>24.873075</c:v>
                </c:pt>
                <c:pt idx="4">
                  <c:v>49.161599999999993</c:v>
                </c:pt>
                <c:pt idx="5">
                  <c:v>126.2304</c:v>
                </c:pt>
                <c:pt idx="6">
                  <c:v>247.83840000000001</c:v>
                </c:pt>
                <c:pt idx="7">
                  <c:v>426.64320000000009</c:v>
                </c:pt>
                <c:pt idx="8">
                  <c:v>571.84429999999998</c:v>
                </c:pt>
                <c:pt idx="9">
                  <c:v>680.70240000000001</c:v>
                </c:pt>
                <c:pt idx="10">
                  <c:v>1025.8704000000002</c:v>
                </c:pt>
                <c:pt idx="11">
                  <c:v>1445.7342269999999</c:v>
                </c:pt>
              </c:numCache>
            </c:numRef>
          </c:yVal>
          <c:smooth val="1"/>
        </c:ser>
        <c:ser>
          <c:idx val="20"/>
          <c:order val="20"/>
          <c:tx>
            <c:strRef>
              <c:f>Tools!$DC$82</c:f>
              <c:strCache>
                <c:ptCount val="1"/>
                <c:pt idx="0">
                  <c:v>STN 18</c:v>
                </c:pt>
              </c:strCache>
            </c:strRef>
          </c:tx>
          <c:spPr>
            <a:ln w="3175">
              <a:solidFill>
                <a:schemeClr val="tx1"/>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Tools!$AC$90:$AN$90</c:f>
              <c:numCache>
                <c:formatCode>General</c:formatCode>
                <c:ptCount val="12"/>
                <c:pt idx="0">
                  <c:v>0</c:v>
                </c:pt>
                <c:pt idx="1">
                  <c:v>0.85522500000000001</c:v>
                </c:pt>
                <c:pt idx="2">
                  <c:v>5.5316249999999991</c:v>
                </c:pt>
                <c:pt idx="3">
                  <c:v>15.651225</c:v>
                </c:pt>
                <c:pt idx="4">
                  <c:v>31.786425000000001</c:v>
                </c:pt>
                <c:pt idx="5">
                  <c:v>82.730025000000012</c:v>
                </c:pt>
                <c:pt idx="6">
                  <c:v>159.18322499999999</c:v>
                </c:pt>
                <c:pt idx="7">
                  <c:v>271.31962500000003</c:v>
                </c:pt>
                <c:pt idx="8">
                  <c:v>368.63002499999999</c:v>
                </c:pt>
                <c:pt idx="9">
                  <c:v>445.29682500000001</c:v>
                </c:pt>
                <c:pt idx="10">
                  <c:v>704.529225</c:v>
                </c:pt>
                <c:pt idx="11">
                  <c:v>1059.5243909999999</c:v>
                </c:pt>
              </c:numCache>
            </c:numRef>
          </c:yVal>
          <c:smooth val="1"/>
        </c:ser>
        <c:ser>
          <c:idx val="21"/>
          <c:order val="21"/>
          <c:tx>
            <c:strRef>
              <c:f>Tools!$DC$83</c:f>
              <c:strCache>
                <c:ptCount val="1"/>
                <c:pt idx="0">
                  <c:v>STN 18.5</c:v>
                </c:pt>
              </c:strCache>
            </c:strRef>
          </c:tx>
          <c:spPr>
            <a:ln w="3175">
              <a:solidFill>
                <a:schemeClr val="accent2">
                  <a:lumMod val="75000"/>
                </a:schemeClr>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Tools!$AC$91:$AN$91</c:f>
              <c:numCache>
                <c:formatCode>General</c:formatCode>
                <c:ptCount val="12"/>
                <c:pt idx="0">
                  <c:v>0</c:v>
                </c:pt>
                <c:pt idx="1">
                  <c:v>0.42626133333333333</c:v>
                </c:pt>
                <c:pt idx="2">
                  <c:v>3.8890113333333338</c:v>
                </c:pt>
                <c:pt idx="3">
                  <c:v>11.798661333333335</c:v>
                </c:pt>
                <c:pt idx="4">
                  <c:v>24.776211333333332</c:v>
                </c:pt>
                <c:pt idx="5">
                  <c:v>65.686611333333332</c:v>
                </c:pt>
                <c:pt idx="6">
                  <c:v>123.79061133333332</c:v>
                </c:pt>
                <c:pt idx="7">
                  <c:v>204.16421133333333</c:v>
                </c:pt>
                <c:pt idx="8">
                  <c:v>276.88887799999998</c:v>
                </c:pt>
                <c:pt idx="9">
                  <c:v>336.33461133333333</c:v>
                </c:pt>
                <c:pt idx="10">
                  <c:v>547.10741133333329</c:v>
                </c:pt>
                <c:pt idx="11">
                  <c:v>842.24050833333308</c:v>
                </c:pt>
              </c:numCache>
            </c:numRef>
          </c:yVal>
          <c:smooth val="1"/>
        </c:ser>
        <c:ser>
          <c:idx val="22"/>
          <c:order val="22"/>
          <c:tx>
            <c:strRef>
              <c:f>Tools!$DC$84</c:f>
              <c:strCache>
                <c:ptCount val="1"/>
                <c:pt idx="0">
                  <c:v>STN 19</c:v>
                </c:pt>
              </c:strCache>
            </c:strRef>
          </c:tx>
          <c:spPr>
            <a:ln w="3175">
              <a:solidFill>
                <a:srgbClr val="FF0000"/>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Tools!$AC$92:$AN$92</c:f>
              <c:numCache>
                <c:formatCode>General</c:formatCode>
                <c:ptCount val="12"/>
                <c:pt idx="0">
                  <c:v>0</c:v>
                </c:pt>
                <c:pt idx="1">
                  <c:v>0.12595200000000001</c:v>
                </c:pt>
                <c:pt idx="2">
                  <c:v>2.5762019999999999</c:v>
                </c:pt>
                <c:pt idx="3">
                  <c:v>8.679552000000001</c:v>
                </c:pt>
                <c:pt idx="4">
                  <c:v>19.067802</c:v>
                </c:pt>
                <c:pt idx="5">
                  <c:v>52.796202000000008</c:v>
                </c:pt>
                <c:pt idx="6">
                  <c:v>97.519002000000015</c:v>
                </c:pt>
                <c:pt idx="7">
                  <c:v>150.21220200000002</c:v>
                </c:pt>
                <c:pt idx="8">
                  <c:v>198.76326866666665</c:v>
                </c:pt>
                <c:pt idx="9">
                  <c:v>239.64700200000004</c:v>
                </c:pt>
                <c:pt idx="10">
                  <c:v>399.34660200000008</c:v>
                </c:pt>
                <c:pt idx="11">
                  <c:v>616.72536000000002</c:v>
                </c:pt>
              </c:numCache>
            </c:numRef>
          </c:yVal>
          <c:smooth val="1"/>
        </c:ser>
        <c:ser>
          <c:idx val="23"/>
          <c:order val="23"/>
          <c:tx>
            <c:strRef>
              <c:f>Tools!$DC$85</c:f>
              <c:strCache>
                <c:ptCount val="1"/>
                <c:pt idx="0">
                  <c:v>STN 19.5</c:v>
                </c:pt>
              </c:strCache>
            </c:strRef>
          </c:tx>
          <c:spPr>
            <a:ln w="3175">
              <a:solidFill>
                <a:schemeClr val="tx2"/>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Tools!$AC$93:$AN$93</c:f>
              <c:numCache>
                <c:formatCode>General</c:formatCode>
                <c:ptCount val="12"/>
                <c:pt idx="0">
                  <c:v>0</c:v>
                </c:pt>
                <c:pt idx="1">
                  <c:v>0</c:v>
                </c:pt>
                <c:pt idx="2">
                  <c:v>1.0549333333333333</c:v>
                </c:pt>
                <c:pt idx="3">
                  <c:v>5.5072333333333336</c:v>
                </c:pt>
                <c:pt idx="4">
                  <c:v>13.798933333333334</c:v>
                </c:pt>
                <c:pt idx="5">
                  <c:v>42.030133333333332</c:v>
                </c:pt>
                <c:pt idx="6">
                  <c:v>77.90773333333334</c:v>
                </c:pt>
                <c:pt idx="7">
                  <c:v>109.57333333333335</c:v>
                </c:pt>
                <c:pt idx="8">
                  <c:v>135.29426666666666</c:v>
                </c:pt>
                <c:pt idx="9">
                  <c:v>154.97653333333335</c:v>
                </c:pt>
                <c:pt idx="10">
                  <c:v>252.75973333333334</c:v>
                </c:pt>
                <c:pt idx="11">
                  <c:v>400.05526633333329</c:v>
                </c:pt>
              </c:numCache>
            </c:numRef>
          </c:yVal>
          <c:smooth val="1"/>
        </c:ser>
        <c:ser>
          <c:idx val="24"/>
          <c:order val="24"/>
          <c:tx>
            <c:strRef>
              <c:f>Tools!$DC$86</c:f>
              <c:strCache>
                <c:ptCount val="1"/>
                <c:pt idx="0">
                  <c:v>STN 20</c:v>
                </c:pt>
              </c:strCache>
            </c:strRef>
          </c:tx>
          <c:spPr>
            <a:ln w="3175">
              <a:solidFill>
                <a:srgbClr val="00B0F0"/>
              </a:solidFill>
            </a:ln>
          </c:spPr>
          <c:marker>
            <c:symbol val="none"/>
          </c:marker>
          <c:xVal>
            <c:numRef>
              <c:f>Tools!$AC$69:$AN$69</c:f>
              <c:numCache>
                <c:formatCode>General</c:formatCode>
                <c:ptCount val="12"/>
                <c:pt idx="0">
                  <c:v>0</c:v>
                </c:pt>
                <c:pt idx="1">
                  <c:v>0.5</c:v>
                </c:pt>
                <c:pt idx="2">
                  <c:v>1</c:v>
                </c:pt>
                <c:pt idx="3">
                  <c:v>1.5</c:v>
                </c:pt>
                <c:pt idx="4">
                  <c:v>2</c:v>
                </c:pt>
                <c:pt idx="5">
                  <c:v>3</c:v>
                </c:pt>
                <c:pt idx="6">
                  <c:v>4</c:v>
                </c:pt>
                <c:pt idx="7">
                  <c:v>5</c:v>
                </c:pt>
                <c:pt idx="8">
                  <c:v>5.6111111111111107</c:v>
                </c:pt>
                <c:pt idx="9">
                  <c:v>6</c:v>
                </c:pt>
                <c:pt idx="10">
                  <c:v>7</c:v>
                </c:pt>
                <c:pt idx="11">
                  <c:v>7.8833333333333329</c:v>
                </c:pt>
              </c:numCache>
            </c:numRef>
          </c:xVal>
          <c:yVal>
            <c:numRef>
              <c:f>Tools!$AC$94:$AN$94</c:f>
              <c:numCache>
                <c:formatCode>General</c:formatCode>
                <c:ptCount val="12"/>
                <c:pt idx="0">
                  <c:v>0</c:v>
                </c:pt>
                <c:pt idx="1">
                  <c:v>0</c:v>
                </c:pt>
                <c:pt idx="2">
                  <c:v>0</c:v>
                </c:pt>
                <c:pt idx="3">
                  <c:v>1.3122666666666665</c:v>
                </c:pt>
                <c:pt idx="4">
                  <c:v>6.7797666666666672</c:v>
                </c:pt>
                <c:pt idx="5">
                  <c:v>28.960266666666669</c:v>
                </c:pt>
                <c:pt idx="6">
                  <c:v>58.317366666666672</c:v>
                </c:pt>
                <c:pt idx="7">
                  <c:v>69.784266666666667</c:v>
                </c:pt>
                <c:pt idx="8">
                  <c:v>69.784266666666667</c:v>
                </c:pt>
                <c:pt idx="9">
                  <c:v>73.334766666666667</c:v>
                </c:pt>
                <c:pt idx="10">
                  <c:v>96.824766666666676</c:v>
                </c:pt>
                <c:pt idx="11">
                  <c:v>153.23049366666663</c:v>
                </c:pt>
              </c:numCache>
            </c:numRef>
          </c:yVal>
          <c:smooth val="1"/>
        </c:ser>
        <c:dLbls>
          <c:showLegendKey val="0"/>
          <c:showVal val="0"/>
          <c:showCatName val="0"/>
          <c:showSerName val="0"/>
          <c:showPercent val="0"/>
          <c:showBubbleSize val="0"/>
        </c:dLbls>
        <c:axId val="531732352"/>
        <c:axId val="531733888"/>
      </c:scatterChart>
      <c:valAx>
        <c:axId val="531732352"/>
        <c:scaling>
          <c:orientation val="minMax"/>
        </c:scaling>
        <c:delete val="0"/>
        <c:axPos val="b"/>
        <c:numFmt formatCode="General" sourceLinked="1"/>
        <c:majorTickMark val="out"/>
        <c:minorTickMark val="none"/>
        <c:tickLblPos val="nextTo"/>
        <c:crossAx val="531733888"/>
        <c:crosses val="autoZero"/>
        <c:crossBetween val="midCat"/>
      </c:valAx>
      <c:valAx>
        <c:axId val="531733888"/>
        <c:scaling>
          <c:orientation val="minMax"/>
          <c:min val="0"/>
        </c:scaling>
        <c:delete val="0"/>
        <c:axPos val="l"/>
        <c:majorGridlines>
          <c:spPr>
            <a:ln>
              <a:solidFill>
                <a:schemeClr val="tx1">
                  <a:alpha val="10000"/>
                </a:schemeClr>
              </a:solidFill>
            </a:ln>
          </c:spPr>
        </c:majorGridlines>
        <c:numFmt formatCode="General" sourceLinked="1"/>
        <c:majorTickMark val="out"/>
        <c:minorTickMark val="none"/>
        <c:tickLblPos val="nextTo"/>
        <c:crossAx val="531732352"/>
        <c:crosses val="autoZero"/>
        <c:crossBetween val="midCat"/>
      </c:valAx>
    </c:plotArea>
    <c:legend>
      <c:legendPos val="r"/>
      <c:layout>
        <c:manualLayout>
          <c:xMode val="edge"/>
          <c:yMode val="edge"/>
          <c:x val="0.89155818460347191"/>
          <c:y val="3.1393557623478889E-2"/>
          <c:w val="9.9394965178531039E-2"/>
          <c:h val="0.94442510140777858"/>
        </c:manualLayout>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805996392929297E-2"/>
          <c:y val="0.14690772508605254"/>
          <c:w val="0.83944443639751942"/>
          <c:h val="0.7565033495065755"/>
        </c:manualLayout>
      </c:layout>
      <c:scatterChart>
        <c:scatterStyle val="smoothMarker"/>
        <c:varyColors val="0"/>
        <c:ser>
          <c:idx val="0"/>
          <c:order val="0"/>
          <c:tx>
            <c:strRef>
              <c:f>Tools!$AC$69</c:f>
              <c:strCache>
                <c:ptCount val="1"/>
                <c:pt idx="0">
                  <c:v>0</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Tools!$AC$70:$AC$94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
          <c:order val="1"/>
          <c:tx>
            <c:strRef>
              <c:f>Tools!$AD$69</c:f>
              <c:strCache>
                <c:ptCount val="1"/>
                <c:pt idx="0">
                  <c:v>0.5</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Tools!$AD$70:$AD$94</c:f>
              <c:numCache>
                <c:formatCode>General</c:formatCode>
                <c:ptCount val="25"/>
                <c:pt idx="0">
                  <c:v>0</c:v>
                </c:pt>
                <c:pt idx="1">
                  <c:v>0</c:v>
                </c:pt>
                <c:pt idx="2">
                  <c:v>0</c:v>
                </c:pt>
                <c:pt idx="3">
                  <c:v>0</c:v>
                </c:pt>
                <c:pt idx="4">
                  <c:v>0.10428000000000001</c:v>
                </c:pt>
                <c:pt idx="5">
                  <c:v>1.0327499999999998</c:v>
                </c:pt>
                <c:pt idx="6">
                  <c:v>2.0668500000000005</c:v>
                </c:pt>
                <c:pt idx="7">
                  <c:v>3.1637249999999995</c:v>
                </c:pt>
                <c:pt idx="8">
                  <c:v>4.3308</c:v>
                </c:pt>
                <c:pt idx="9">
                  <c:v>5.8502249999999991</c:v>
                </c:pt>
                <c:pt idx="10">
                  <c:v>7.2866250000000008</c:v>
                </c:pt>
                <c:pt idx="11">
                  <c:v>7.9434000000000013</c:v>
                </c:pt>
                <c:pt idx="12">
                  <c:v>8.1938250000000004</c:v>
                </c:pt>
                <c:pt idx="13">
                  <c:v>8.145900000000001</c:v>
                </c:pt>
                <c:pt idx="14">
                  <c:v>7.6038749999999995</c:v>
                </c:pt>
                <c:pt idx="15">
                  <c:v>6.646725</c:v>
                </c:pt>
                <c:pt idx="16">
                  <c:v>5.4539999999999997</c:v>
                </c:pt>
                <c:pt idx="17">
                  <c:v>4.1242500000000009</c:v>
                </c:pt>
                <c:pt idx="18">
                  <c:v>2.8390499999999999</c:v>
                </c:pt>
                <c:pt idx="19">
                  <c:v>1.6692749999999998</c:v>
                </c:pt>
                <c:pt idx="20">
                  <c:v>0.85522500000000001</c:v>
                </c:pt>
                <c:pt idx="21">
                  <c:v>0.42626133333333333</c:v>
                </c:pt>
                <c:pt idx="22">
                  <c:v>0.12595200000000001</c:v>
                </c:pt>
                <c:pt idx="23">
                  <c:v>0</c:v>
                </c:pt>
                <c:pt idx="24">
                  <c:v>0</c:v>
                </c:pt>
              </c:numCache>
            </c:numRef>
          </c:yVal>
          <c:smooth val="1"/>
        </c:ser>
        <c:ser>
          <c:idx val="2"/>
          <c:order val="2"/>
          <c:tx>
            <c:strRef>
              <c:f>Tools!$AE$69</c:f>
              <c:strCache>
                <c:ptCount val="1"/>
                <c:pt idx="0">
                  <c:v>1</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Tools!$AE$70:$AE$94</c:f>
              <c:numCache>
                <c:formatCode>General</c:formatCode>
                <c:ptCount val="25"/>
                <c:pt idx="0">
                  <c:v>0</c:v>
                </c:pt>
                <c:pt idx="1">
                  <c:v>0</c:v>
                </c:pt>
                <c:pt idx="2">
                  <c:v>0</c:v>
                </c:pt>
                <c:pt idx="3">
                  <c:v>0</c:v>
                </c:pt>
                <c:pt idx="4">
                  <c:v>1.9767300000000001</c:v>
                </c:pt>
                <c:pt idx="5">
                  <c:v>6.0911999999999997</c:v>
                </c:pt>
                <c:pt idx="6">
                  <c:v>11.2536</c:v>
                </c:pt>
                <c:pt idx="7">
                  <c:v>16.966799999999999</c:v>
                </c:pt>
                <c:pt idx="8">
                  <c:v>23.241600000000002</c:v>
                </c:pt>
                <c:pt idx="9">
                  <c:v>29.613600000000005</c:v>
                </c:pt>
                <c:pt idx="10">
                  <c:v>34.203600000000002</c:v>
                </c:pt>
                <c:pt idx="11">
                  <c:v>35.942400000000006</c:v>
                </c:pt>
                <c:pt idx="12">
                  <c:v>36.115200000000002</c:v>
                </c:pt>
                <c:pt idx="13">
                  <c:v>35.553600000000003</c:v>
                </c:pt>
                <c:pt idx="14">
                  <c:v>33.6312</c:v>
                </c:pt>
                <c:pt idx="15">
                  <c:v>29.926800000000004</c:v>
                </c:pt>
                <c:pt idx="16">
                  <c:v>24.548400000000001</c:v>
                </c:pt>
                <c:pt idx="17">
                  <c:v>19.548000000000002</c:v>
                </c:pt>
                <c:pt idx="18">
                  <c:v>14.256</c:v>
                </c:pt>
                <c:pt idx="19">
                  <c:v>9.4824000000000002</c:v>
                </c:pt>
                <c:pt idx="20">
                  <c:v>5.5316249999999991</c:v>
                </c:pt>
                <c:pt idx="21">
                  <c:v>3.8890113333333338</c:v>
                </c:pt>
                <c:pt idx="22">
                  <c:v>2.5762019999999999</c:v>
                </c:pt>
                <c:pt idx="23">
                  <c:v>1.0549333333333333</c:v>
                </c:pt>
                <c:pt idx="24">
                  <c:v>0</c:v>
                </c:pt>
              </c:numCache>
            </c:numRef>
          </c:yVal>
          <c:smooth val="1"/>
        </c:ser>
        <c:ser>
          <c:idx val="3"/>
          <c:order val="3"/>
          <c:tx>
            <c:strRef>
              <c:f>Tools!$AF$69</c:f>
              <c:strCache>
                <c:ptCount val="1"/>
                <c:pt idx="0">
                  <c:v>1.5</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Tools!$AF$70:$AF$94</c:f>
              <c:numCache>
                <c:formatCode>General</c:formatCode>
                <c:ptCount val="25"/>
                <c:pt idx="0">
                  <c:v>0</c:v>
                </c:pt>
                <c:pt idx="1">
                  <c:v>0</c:v>
                </c:pt>
                <c:pt idx="2">
                  <c:v>0</c:v>
                </c:pt>
                <c:pt idx="3">
                  <c:v>0.7350000000000001</c:v>
                </c:pt>
                <c:pt idx="4">
                  <c:v>7.2430800000000009</c:v>
                </c:pt>
                <c:pt idx="5">
                  <c:v>16.24455</c:v>
                </c:pt>
                <c:pt idx="6">
                  <c:v>29.180250000000001</c:v>
                </c:pt>
                <c:pt idx="7">
                  <c:v>44.009325000000004</c:v>
                </c:pt>
                <c:pt idx="8">
                  <c:v>59.826600000000013</c:v>
                </c:pt>
                <c:pt idx="9">
                  <c:v>73.031624999999991</c:v>
                </c:pt>
                <c:pt idx="10">
                  <c:v>81.083025000000006</c:v>
                </c:pt>
                <c:pt idx="11">
                  <c:v>84.02940000000001</c:v>
                </c:pt>
                <c:pt idx="12">
                  <c:v>84.517425000000017</c:v>
                </c:pt>
                <c:pt idx="13">
                  <c:v>83.600099999999998</c:v>
                </c:pt>
                <c:pt idx="14">
                  <c:v>79.80727499999999</c:v>
                </c:pt>
                <c:pt idx="15">
                  <c:v>72.051525000000012</c:v>
                </c:pt>
                <c:pt idx="16">
                  <c:v>59.583600000000011</c:v>
                </c:pt>
                <c:pt idx="17">
                  <c:v>48.766050000000007</c:v>
                </c:pt>
                <c:pt idx="18">
                  <c:v>36.356850000000001</c:v>
                </c:pt>
                <c:pt idx="19">
                  <c:v>24.873075</c:v>
                </c:pt>
                <c:pt idx="20">
                  <c:v>15.651225</c:v>
                </c:pt>
                <c:pt idx="21">
                  <c:v>11.798661333333335</c:v>
                </c:pt>
                <c:pt idx="22">
                  <c:v>8.679552000000001</c:v>
                </c:pt>
                <c:pt idx="23">
                  <c:v>5.5072333333333336</c:v>
                </c:pt>
                <c:pt idx="24">
                  <c:v>1.3122666666666665</c:v>
                </c:pt>
              </c:numCache>
            </c:numRef>
          </c:yVal>
          <c:smooth val="1"/>
        </c:ser>
        <c:ser>
          <c:idx val="4"/>
          <c:order val="4"/>
          <c:tx>
            <c:strRef>
              <c:f>Tools!$AG$69</c:f>
              <c:strCache>
                <c:ptCount val="1"/>
                <c:pt idx="0">
                  <c:v>2</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Tools!$AG$70:$AG$94</c:f>
              <c:numCache>
                <c:formatCode>General</c:formatCode>
                <c:ptCount val="25"/>
                <c:pt idx="0">
                  <c:v>0</c:v>
                </c:pt>
                <c:pt idx="1">
                  <c:v>0</c:v>
                </c:pt>
                <c:pt idx="2">
                  <c:v>0</c:v>
                </c:pt>
                <c:pt idx="3">
                  <c:v>3.8940000000000001</c:v>
                </c:pt>
                <c:pt idx="4">
                  <c:v>16.49193</c:v>
                </c:pt>
                <c:pt idx="5">
                  <c:v>32.767200000000003</c:v>
                </c:pt>
                <c:pt idx="6">
                  <c:v>59.292000000000002</c:v>
                </c:pt>
                <c:pt idx="7">
                  <c:v>90.806399999999996</c:v>
                </c:pt>
                <c:pt idx="8">
                  <c:v>119.46960000000001</c:v>
                </c:pt>
                <c:pt idx="9">
                  <c:v>139.21200000000002</c:v>
                </c:pt>
                <c:pt idx="10">
                  <c:v>149.88240000000002</c:v>
                </c:pt>
                <c:pt idx="11">
                  <c:v>153.5976</c:v>
                </c:pt>
                <c:pt idx="12">
                  <c:v>153.94320000000002</c:v>
                </c:pt>
                <c:pt idx="13">
                  <c:v>152.49600000000001</c:v>
                </c:pt>
                <c:pt idx="14">
                  <c:v>146.72880000000001</c:v>
                </c:pt>
                <c:pt idx="15">
                  <c:v>133.94160000000002</c:v>
                </c:pt>
                <c:pt idx="16">
                  <c:v>114.35040000000001</c:v>
                </c:pt>
                <c:pt idx="17">
                  <c:v>93.204000000000008</c:v>
                </c:pt>
                <c:pt idx="18">
                  <c:v>70.415999999999997</c:v>
                </c:pt>
                <c:pt idx="19">
                  <c:v>49.161599999999993</c:v>
                </c:pt>
                <c:pt idx="20">
                  <c:v>31.786425000000001</c:v>
                </c:pt>
                <c:pt idx="21">
                  <c:v>24.776211333333332</c:v>
                </c:pt>
                <c:pt idx="22">
                  <c:v>19.067802</c:v>
                </c:pt>
                <c:pt idx="23">
                  <c:v>13.798933333333334</c:v>
                </c:pt>
                <c:pt idx="24">
                  <c:v>6.7797666666666672</c:v>
                </c:pt>
              </c:numCache>
            </c:numRef>
          </c:yVal>
          <c:smooth val="1"/>
        </c:ser>
        <c:ser>
          <c:idx val="5"/>
          <c:order val="5"/>
          <c:tx>
            <c:strRef>
              <c:f>Tools!$AH$69</c:f>
              <c:strCache>
                <c:ptCount val="1"/>
                <c:pt idx="0">
                  <c:v>3</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Tools!$AH$70:$AH$94</c:f>
              <c:numCache>
                <c:formatCode>General</c:formatCode>
                <c:ptCount val="25"/>
                <c:pt idx="0">
                  <c:v>0</c:v>
                </c:pt>
                <c:pt idx="1">
                  <c:v>0</c:v>
                </c:pt>
                <c:pt idx="2">
                  <c:v>0</c:v>
                </c:pt>
                <c:pt idx="3">
                  <c:v>18.609000000000002</c:v>
                </c:pt>
                <c:pt idx="4">
                  <c:v>51.095130000000012</c:v>
                </c:pt>
                <c:pt idx="5">
                  <c:v>101.56320000000001</c:v>
                </c:pt>
                <c:pt idx="6">
                  <c:v>179.90640000000002</c:v>
                </c:pt>
                <c:pt idx="7">
                  <c:v>258.41160000000002</c:v>
                </c:pt>
                <c:pt idx="8">
                  <c:v>307.51920000000007</c:v>
                </c:pt>
                <c:pt idx="9">
                  <c:v>336.096</c:v>
                </c:pt>
                <c:pt idx="10">
                  <c:v>348.57</c:v>
                </c:pt>
                <c:pt idx="11">
                  <c:v>352.31760000000003</c:v>
                </c:pt>
                <c:pt idx="12">
                  <c:v>352.57679999999999</c:v>
                </c:pt>
                <c:pt idx="13">
                  <c:v>351.02160000000003</c:v>
                </c:pt>
                <c:pt idx="14">
                  <c:v>342.64080000000001</c:v>
                </c:pt>
                <c:pt idx="15">
                  <c:v>318.82680000000005</c:v>
                </c:pt>
                <c:pt idx="16">
                  <c:v>278.67240000000004</c:v>
                </c:pt>
                <c:pt idx="17">
                  <c:v>231.59520000000001</c:v>
                </c:pt>
                <c:pt idx="18">
                  <c:v>178.41600000000003</c:v>
                </c:pt>
                <c:pt idx="19">
                  <c:v>126.2304</c:v>
                </c:pt>
                <c:pt idx="20">
                  <c:v>82.730025000000012</c:v>
                </c:pt>
                <c:pt idx="21">
                  <c:v>65.686611333333332</c:v>
                </c:pt>
                <c:pt idx="22">
                  <c:v>52.796202000000008</c:v>
                </c:pt>
                <c:pt idx="23">
                  <c:v>42.030133333333332</c:v>
                </c:pt>
                <c:pt idx="24">
                  <c:v>28.960266666666669</c:v>
                </c:pt>
              </c:numCache>
            </c:numRef>
          </c:yVal>
          <c:smooth val="1"/>
        </c:ser>
        <c:ser>
          <c:idx val="6"/>
          <c:order val="6"/>
          <c:tx>
            <c:strRef>
              <c:f>Tools!$AI$69</c:f>
              <c:strCache>
                <c:ptCount val="1"/>
                <c:pt idx="0">
                  <c:v>4</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Tools!$AI$70:$AI$94</c:f>
              <c:numCache>
                <c:formatCode>General</c:formatCode>
                <c:ptCount val="25"/>
                <c:pt idx="0">
                  <c:v>0</c:v>
                </c:pt>
                <c:pt idx="1">
                  <c:v>0</c:v>
                </c:pt>
                <c:pt idx="2">
                  <c:v>0</c:v>
                </c:pt>
                <c:pt idx="3">
                  <c:v>58.757999999999996</c:v>
                </c:pt>
                <c:pt idx="4">
                  <c:v>141.33993000000001</c:v>
                </c:pt>
                <c:pt idx="5">
                  <c:v>277.71120000000002</c:v>
                </c:pt>
                <c:pt idx="6">
                  <c:v>419.32079999999996</c:v>
                </c:pt>
                <c:pt idx="7">
                  <c:v>522.07200000000012</c:v>
                </c:pt>
                <c:pt idx="8">
                  <c:v>582.74640000000011</c:v>
                </c:pt>
                <c:pt idx="9">
                  <c:v>613.80720000000008</c:v>
                </c:pt>
                <c:pt idx="10">
                  <c:v>625.86000000000013</c:v>
                </c:pt>
                <c:pt idx="11">
                  <c:v>629.87760000000003</c:v>
                </c:pt>
                <c:pt idx="12">
                  <c:v>630.22320000000002</c:v>
                </c:pt>
                <c:pt idx="13">
                  <c:v>628.60320000000013</c:v>
                </c:pt>
                <c:pt idx="14">
                  <c:v>620.28719999999998</c:v>
                </c:pt>
                <c:pt idx="15">
                  <c:v>587.02320000000009</c:v>
                </c:pt>
                <c:pt idx="16">
                  <c:v>524.18880000000001</c:v>
                </c:pt>
                <c:pt idx="17">
                  <c:v>442.34640000000002</c:v>
                </c:pt>
                <c:pt idx="18">
                  <c:v>346.76639999999998</c:v>
                </c:pt>
                <c:pt idx="19">
                  <c:v>247.83840000000001</c:v>
                </c:pt>
                <c:pt idx="20">
                  <c:v>159.18322499999999</c:v>
                </c:pt>
                <c:pt idx="21">
                  <c:v>123.79061133333332</c:v>
                </c:pt>
                <c:pt idx="22">
                  <c:v>97.519002000000015</c:v>
                </c:pt>
                <c:pt idx="23">
                  <c:v>77.90773333333334</c:v>
                </c:pt>
                <c:pt idx="24">
                  <c:v>58.317366666666672</c:v>
                </c:pt>
              </c:numCache>
            </c:numRef>
          </c:yVal>
          <c:smooth val="1"/>
        </c:ser>
        <c:ser>
          <c:idx val="7"/>
          <c:order val="7"/>
          <c:tx>
            <c:strRef>
              <c:f>Tools!$AJ$69</c:f>
              <c:strCache>
                <c:ptCount val="1"/>
                <c:pt idx="0">
                  <c:v>5</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Tools!$AJ$70:$AJ$94</c:f>
              <c:numCache>
                <c:formatCode>General</c:formatCode>
                <c:ptCount val="25"/>
                <c:pt idx="0">
                  <c:v>0</c:v>
                </c:pt>
                <c:pt idx="1">
                  <c:v>1.0759999999999961</c:v>
                </c:pt>
                <c:pt idx="2">
                  <c:v>63.158400000000036</c:v>
                </c:pt>
                <c:pt idx="3">
                  <c:v>201.66900000000001</c:v>
                </c:pt>
                <c:pt idx="4">
                  <c:v>365.59113000000002</c:v>
                </c:pt>
                <c:pt idx="5">
                  <c:v>595.01520000000005</c:v>
                </c:pt>
                <c:pt idx="6">
                  <c:v>754.18560000000002</c:v>
                </c:pt>
                <c:pt idx="7">
                  <c:v>875.63160000000005</c:v>
                </c:pt>
                <c:pt idx="8">
                  <c:v>940.74480000000005</c:v>
                </c:pt>
                <c:pt idx="9">
                  <c:v>971.13600000000008</c:v>
                </c:pt>
                <c:pt idx="10">
                  <c:v>983.61000000000013</c:v>
                </c:pt>
                <c:pt idx="11">
                  <c:v>987.35760000000005</c:v>
                </c:pt>
                <c:pt idx="12">
                  <c:v>987.61680000000001</c:v>
                </c:pt>
                <c:pt idx="13">
                  <c:v>986.06160000000011</c:v>
                </c:pt>
                <c:pt idx="14">
                  <c:v>977.35680000000013</c:v>
                </c:pt>
                <c:pt idx="15">
                  <c:v>939.48120000000006</c:v>
                </c:pt>
                <c:pt idx="16">
                  <c:v>852.71400000000006</c:v>
                </c:pt>
                <c:pt idx="17">
                  <c:v>733.29840000000002</c:v>
                </c:pt>
                <c:pt idx="18">
                  <c:v>587.02319999999997</c:v>
                </c:pt>
                <c:pt idx="19">
                  <c:v>426.64320000000009</c:v>
                </c:pt>
                <c:pt idx="20">
                  <c:v>271.31962500000003</c:v>
                </c:pt>
                <c:pt idx="21">
                  <c:v>204.16421133333333</c:v>
                </c:pt>
                <c:pt idx="22">
                  <c:v>150.21220200000002</c:v>
                </c:pt>
                <c:pt idx="23">
                  <c:v>109.57333333333335</c:v>
                </c:pt>
                <c:pt idx="24">
                  <c:v>69.784266666666667</c:v>
                </c:pt>
              </c:numCache>
            </c:numRef>
          </c:yVal>
          <c:smooth val="1"/>
        </c:ser>
        <c:ser>
          <c:idx val="8"/>
          <c:order val="8"/>
          <c:tx>
            <c:strRef>
              <c:f>Tools!$AK$69</c:f>
              <c:strCache>
                <c:ptCount val="1"/>
                <c:pt idx="0">
                  <c:v>5.611111111</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Tools!$AK$70:$AK$94</c:f>
              <c:numCache>
                <c:formatCode>General</c:formatCode>
                <c:ptCount val="25"/>
                <c:pt idx="0">
                  <c:v>5.8032799999999796</c:v>
                </c:pt>
                <c:pt idx="1">
                  <c:v>86.245333333333278</c:v>
                </c:pt>
                <c:pt idx="2">
                  <c:v>220.43346666666662</c:v>
                </c:pt>
                <c:pt idx="3">
                  <c:v>398.32809999999995</c:v>
                </c:pt>
                <c:pt idx="4">
                  <c:v>584.29679666666652</c:v>
                </c:pt>
                <c:pt idx="5">
                  <c:v>835.98963333333324</c:v>
                </c:pt>
                <c:pt idx="6">
                  <c:v>1006.8772333333333</c:v>
                </c:pt>
                <c:pt idx="7">
                  <c:v>1132.6949999999999</c:v>
                </c:pt>
                <c:pt idx="8">
                  <c:v>1198.1172999999999</c:v>
                </c:pt>
                <c:pt idx="9">
                  <c:v>1228.5084999999999</c:v>
                </c:pt>
                <c:pt idx="10">
                  <c:v>1240.9825000000001</c:v>
                </c:pt>
                <c:pt idx="11">
                  <c:v>1244.7300999999998</c:v>
                </c:pt>
                <c:pt idx="12">
                  <c:v>1244.9892999999997</c:v>
                </c:pt>
                <c:pt idx="13">
                  <c:v>1243.4340999999999</c:v>
                </c:pt>
                <c:pt idx="14">
                  <c:v>1234.7293</c:v>
                </c:pt>
                <c:pt idx="15">
                  <c:v>1195.8112666666666</c:v>
                </c:pt>
                <c:pt idx="16">
                  <c:v>1095.7369999999999</c:v>
                </c:pt>
                <c:pt idx="17">
                  <c:v>952.50126666666654</c:v>
                </c:pt>
                <c:pt idx="18">
                  <c:v>773.58576666666659</c:v>
                </c:pt>
                <c:pt idx="19">
                  <c:v>571.84429999999998</c:v>
                </c:pt>
                <c:pt idx="20">
                  <c:v>368.63002499999999</c:v>
                </c:pt>
                <c:pt idx="21">
                  <c:v>276.88887799999998</c:v>
                </c:pt>
                <c:pt idx="22">
                  <c:v>198.76326866666665</c:v>
                </c:pt>
                <c:pt idx="23">
                  <c:v>135.29426666666666</c:v>
                </c:pt>
                <c:pt idx="24">
                  <c:v>69.784266666666667</c:v>
                </c:pt>
              </c:numCache>
            </c:numRef>
          </c:yVal>
          <c:smooth val="1"/>
        </c:ser>
        <c:ser>
          <c:idx val="9"/>
          <c:order val="9"/>
          <c:tx>
            <c:strRef>
              <c:f>Tools!$AL$69</c:f>
              <c:strCache>
                <c:ptCount val="1"/>
                <c:pt idx="0">
                  <c:v>6</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Tools!$AL$70:$AL$94</c:f>
              <c:numCache>
                <c:formatCode>General</c:formatCode>
                <c:ptCount val="25"/>
                <c:pt idx="0">
                  <c:v>72.581413333333387</c:v>
                </c:pt>
                <c:pt idx="1">
                  <c:v>192.25489999999999</c:v>
                </c:pt>
                <c:pt idx="2">
                  <c:v>356.19749999999999</c:v>
                </c:pt>
                <c:pt idx="3">
                  <c:v>588.56280000000004</c:v>
                </c:pt>
                <c:pt idx="4">
                  <c:v>763.50632999999993</c:v>
                </c:pt>
                <c:pt idx="5">
                  <c:v>1001.268</c:v>
                </c:pt>
                <c:pt idx="6">
                  <c:v>1188.4535999999998</c:v>
                </c:pt>
                <c:pt idx="7">
                  <c:v>1311.9840000000002</c:v>
                </c:pt>
                <c:pt idx="8">
                  <c:v>1376.5464000000002</c:v>
                </c:pt>
                <c:pt idx="9">
                  <c:v>1407.6072000000001</c:v>
                </c:pt>
                <c:pt idx="10">
                  <c:v>1419.6600000000003</c:v>
                </c:pt>
                <c:pt idx="11">
                  <c:v>1423.6776</c:v>
                </c:pt>
                <c:pt idx="12">
                  <c:v>1424.0232000000001</c:v>
                </c:pt>
                <c:pt idx="13">
                  <c:v>1422.4032000000002</c:v>
                </c:pt>
                <c:pt idx="14">
                  <c:v>1414.0871999999999</c:v>
                </c:pt>
                <c:pt idx="15">
                  <c:v>1375.1208000000001</c:v>
                </c:pt>
                <c:pt idx="16">
                  <c:v>1267.6176</c:v>
                </c:pt>
                <c:pt idx="17">
                  <c:v>1108.836</c:v>
                </c:pt>
                <c:pt idx="18">
                  <c:v>909.2736000000001</c:v>
                </c:pt>
                <c:pt idx="19">
                  <c:v>680.70240000000001</c:v>
                </c:pt>
                <c:pt idx="20">
                  <c:v>445.29682500000001</c:v>
                </c:pt>
                <c:pt idx="21">
                  <c:v>336.33461133333333</c:v>
                </c:pt>
                <c:pt idx="22">
                  <c:v>239.64700200000004</c:v>
                </c:pt>
                <c:pt idx="23">
                  <c:v>154.97653333333335</c:v>
                </c:pt>
                <c:pt idx="24">
                  <c:v>73.334766666666667</c:v>
                </c:pt>
              </c:numCache>
            </c:numRef>
          </c:yVal>
          <c:smooth val="1"/>
        </c:ser>
        <c:ser>
          <c:idx val="10"/>
          <c:order val="10"/>
          <c:tx>
            <c:strRef>
              <c:f>Tools!$AM$69</c:f>
              <c:strCache>
                <c:ptCount val="1"/>
                <c:pt idx="0">
                  <c:v>7</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Tools!$AM$70:$AM$94</c:f>
              <c:numCache>
                <c:formatCode>General</c:formatCode>
                <c:ptCount val="25"/>
                <c:pt idx="0">
                  <c:v>407.16541333333345</c:v>
                </c:pt>
                <c:pt idx="1">
                  <c:v>613.3280000000002</c:v>
                </c:pt>
                <c:pt idx="2">
                  <c:v>810.66960000000006</c:v>
                </c:pt>
                <c:pt idx="3">
                  <c:v>1030.8065999999999</c:v>
                </c:pt>
                <c:pt idx="4">
                  <c:v>1241.81673</c:v>
                </c:pt>
                <c:pt idx="5">
                  <c:v>1519.3656000000001</c:v>
                </c:pt>
                <c:pt idx="6">
                  <c:v>1700.4816000000001</c:v>
                </c:pt>
                <c:pt idx="7">
                  <c:v>1827.8676</c:v>
                </c:pt>
                <c:pt idx="8">
                  <c:v>1893.3048000000001</c:v>
                </c:pt>
                <c:pt idx="9">
                  <c:v>1923.6960000000001</c:v>
                </c:pt>
                <c:pt idx="10">
                  <c:v>1936.17</c:v>
                </c:pt>
                <c:pt idx="11">
                  <c:v>1939.9176000000002</c:v>
                </c:pt>
                <c:pt idx="12">
                  <c:v>1940.1768000000002</c:v>
                </c:pt>
                <c:pt idx="13">
                  <c:v>1938.6216000000002</c:v>
                </c:pt>
                <c:pt idx="14">
                  <c:v>1929.9168000000002</c:v>
                </c:pt>
                <c:pt idx="15">
                  <c:v>1889.9459999999999</c:v>
                </c:pt>
                <c:pt idx="16">
                  <c:v>1770.174</c:v>
                </c:pt>
                <c:pt idx="17">
                  <c:v>1574.6832000000004</c:v>
                </c:pt>
                <c:pt idx="18">
                  <c:v>1323.3024</c:v>
                </c:pt>
                <c:pt idx="19">
                  <c:v>1025.8704000000002</c:v>
                </c:pt>
                <c:pt idx="20">
                  <c:v>704.529225</c:v>
                </c:pt>
                <c:pt idx="21">
                  <c:v>547.10741133333329</c:v>
                </c:pt>
                <c:pt idx="22">
                  <c:v>399.34660200000008</c:v>
                </c:pt>
                <c:pt idx="23">
                  <c:v>252.75973333333334</c:v>
                </c:pt>
                <c:pt idx="24">
                  <c:v>96.824766666666676</c:v>
                </c:pt>
              </c:numCache>
            </c:numRef>
          </c:yVal>
          <c:smooth val="1"/>
        </c:ser>
        <c:ser>
          <c:idx val="11"/>
          <c:order val="11"/>
          <c:tx>
            <c:strRef>
              <c:f>Tools!$AN$69</c:f>
              <c:strCache>
                <c:ptCount val="1"/>
                <c:pt idx="0">
                  <c:v>7.883333333</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Tools!$AN$70:$AN$94</c:f>
              <c:numCache>
                <c:formatCode>General</c:formatCode>
                <c:ptCount val="25"/>
                <c:pt idx="0">
                  <c:v>844.10599933333333</c:v>
                </c:pt>
                <c:pt idx="1">
                  <c:v>1085.4548089999998</c:v>
                </c:pt>
                <c:pt idx="2">
                  <c:v>1305.6634709999998</c:v>
                </c:pt>
                <c:pt idx="3">
                  <c:v>1539.3300989999996</c:v>
                </c:pt>
                <c:pt idx="4">
                  <c:v>1757.3138099999996</c:v>
                </c:pt>
                <c:pt idx="5">
                  <c:v>2039.8983689999998</c:v>
                </c:pt>
                <c:pt idx="6">
                  <c:v>2222.2838249999995</c:v>
                </c:pt>
                <c:pt idx="7">
                  <c:v>2349.6698249999999</c:v>
                </c:pt>
                <c:pt idx="8">
                  <c:v>2415.1070249999998</c:v>
                </c:pt>
                <c:pt idx="9">
                  <c:v>2445.4982249999998</c:v>
                </c:pt>
                <c:pt idx="10">
                  <c:v>2457.9722249999995</c:v>
                </c:pt>
                <c:pt idx="11">
                  <c:v>2461.7198250000001</c:v>
                </c:pt>
                <c:pt idx="12">
                  <c:v>2461.9790249999996</c:v>
                </c:pt>
                <c:pt idx="13">
                  <c:v>2460.4238249999999</c:v>
                </c:pt>
                <c:pt idx="14">
                  <c:v>2451.7190249999999</c:v>
                </c:pt>
                <c:pt idx="15">
                  <c:v>2411.3306909999997</c:v>
                </c:pt>
                <c:pt idx="16">
                  <c:v>2287.7840309999997</c:v>
                </c:pt>
                <c:pt idx="17">
                  <c:v>2074.2718530000002</c:v>
                </c:pt>
                <c:pt idx="18">
                  <c:v>1791.4476899999997</c:v>
                </c:pt>
                <c:pt idx="19">
                  <c:v>1445.7342269999999</c:v>
                </c:pt>
                <c:pt idx="20">
                  <c:v>1059.5243909999999</c:v>
                </c:pt>
                <c:pt idx="21">
                  <c:v>842.24050833333308</c:v>
                </c:pt>
                <c:pt idx="22">
                  <c:v>616.72536000000002</c:v>
                </c:pt>
                <c:pt idx="23">
                  <c:v>400.05526633333329</c:v>
                </c:pt>
                <c:pt idx="24">
                  <c:v>153.23049366666663</c:v>
                </c:pt>
              </c:numCache>
            </c:numRef>
          </c:yVal>
          <c:smooth val="1"/>
        </c:ser>
        <c:ser>
          <c:idx val="12"/>
          <c:order val="12"/>
          <c:tx>
            <c:strRef>
              <c:f>Tools!$AO$69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Tools!$AO$70:$AO$94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3"/>
          <c:order val="13"/>
          <c:tx>
            <c:strRef>
              <c:f>Tools!$AP$69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Tools!$AP$70:$AP$94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4"/>
          <c:order val="14"/>
          <c:tx>
            <c:strRef>
              <c:f>Tools!$AQ$69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Tools!$AQ$70:$AQ$94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5"/>
          <c:order val="15"/>
          <c:tx>
            <c:strRef>
              <c:f>Tools!$AR$69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Tools!$AR$70:$AR$94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6"/>
          <c:order val="16"/>
          <c:tx>
            <c:strRef>
              <c:f>Tools!$AS$69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Tools!$AS$70:$AS$94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7"/>
          <c:order val="17"/>
          <c:tx>
            <c:strRef>
              <c:f>Tools!$AT$69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Tools!$AT$70:$AT$94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8"/>
          <c:order val="18"/>
          <c:tx>
            <c:strRef>
              <c:f>Tools!$AU$69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Tools!$AU$70:$AU$94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9"/>
          <c:order val="19"/>
          <c:tx>
            <c:strRef>
              <c:f>Tools!$AV$69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Tools!$AV$70:$AV$94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0"/>
          <c:order val="20"/>
          <c:tx>
            <c:strRef>
              <c:f>Tools!$AW$69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Tools!$AW$70:$AW$94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1"/>
          <c:order val="21"/>
          <c:tx>
            <c:strRef>
              <c:f>Tools!$AX$69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Tools!$AX$70:$AX$94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2"/>
          <c:order val="22"/>
          <c:tx>
            <c:strRef>
              <c:f>Tools!$AY$69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Tools!$AY$70:$AY$94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3"/>
          <c:order val="23"/>
          <c:tx>
            <c:strRef>
              <c:f>Tools!$AZ$69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Tools!$AZ$70:$AZ$94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4"/>
          <c:order val="24"/>
          <c:tx>
            <c:strRef>
              <c:f>Tools!$BA$69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Tools!$BA$70:$BA$94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dLbls>
          <c:showLegendKey val="0"/>
          <c:showVal val="0"/>
          <c:showCatName val="0"/>
          <c:showSerName val="0"/>
          <c:showPercent val="0"/>
          <c:showBubbleSize val="0"/>
        </c:dLbls>
        <c:axId val="532126336"/>
        <c:axId val="532132224"/>
      </c:scatterChart>
      <c:valAx>
        <c:axId val="532126336"/>
        <c:scaling>
          <c:orientation val="minMax"/>
          <c:min val="0"/>
        </c:scaling>
        <c:delete val="0"/>
        <c:axPos val="b"/>
        <c:numFmt formatCode="General" sourceLinked="1"/>
        <c:majorTickMark val="out"/>
        <c:minorTickMark val="none"/>
        <c:tickLblPos val="nextTo"/>
        <c:crossAx val="532132224"/>
        <c:crosses val="autoZero"/>
        <c:crossBetween val="midCat"/>
        <c:majorUnit val="1"/>
        <c:minorUnit val="1"/>
      </c:valAx>
      <c:valAx>
        <c:axId val="532132224"/>
        <c:scaling>
          <c:orientation val="minMax"/>
        </c:scaling>
        <c:delete val="0"/>
        <c:axPos val="l"/>
        <c:majorGridlines>
          <c:spPr>
            <a:ln>
              <a:solidFill>
                <a:schemeClr val="tx1">
                  <a:alpha val="11000"/>
                </a:schemeClr>
              </a:solidFill>
            </a:ln>
          </c:spPr>
        </c:majorGridlines>
        <c:numFmt formatCode="General" sourceLinked="1"/>
        <c:majorTickMark val="out"/>
        <c:minorTickMark val="none"/>
        <c:tickLblPos val="nextTo"/>
        <c:crossAx val="532126336"/>
        <c:crosses val="autoZero"/>
        <c:crossBetween val="midCat"/>
      </c:valAx>
    </c:plotArea>
    <c:legend>
      <c:legendPos val="r"/>
      <c:layout>
        <c:manualLayout>
          <c:xMode val="edge"/>
          <c:yMode val="edge"/>
          <c:x val="0.9066310630636949"/>
          <c:y val="4.3541578730922181E-2"/>
          <c:w val="7.5620495118003311E-2"/>
          <c:h val="0.87160202050925872"/>
        </c:manualLayout>
      </c:layout>
      <c:overlay val="0"/>
    </c:legend>
    <c:plotVisOnly val="1"/>
    <c:dispBlanksAs val="gap"/>
    <c:showDLblsOverMax val="0"/>
  </c:chart>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Bonjean Moment</a:t>
            </a:r>
          </a:p>
        </c:rich>
      </c:tx>
      <c:layout>
        <c:manualLayout>
          <c:xMode val="edge"/>
          <c:yMode val="edge"/>
          <c:x val="0.46939603726276541"/>
          <c:y val="1.9407609151691079E-2"/>
        </c:manualLayout>
      </c:layout>
      <c:overlay val="0"/>
    </c:title>
    <c:autoTitleDeleted val="0"/>
    <c:plotArea>
      <c:layout>
        <c:manualLayout>
          <c:layoutTarget val="inner"/>
          <c:xMode val="edge"/>
          <c:yMode val="edge"/>
          <c:x val="1.1993482053380604E-2"/>
          <c:y val="9.0155667319992347E-2"/>
          <c:w val="0.97876077016654528"/>
          <c:h val="0.84038805710785291"/>
        </c:manualLayout>
      </c:layout>
      <c:scatterChart>
        <c:scatterStyle val="smoothMarker"/>
        <c:varyColors val="0"/>
        <c:ser>
          <c:idx val="25"/>
          <c:order val="0"/>
          <c:tx>
            <c:strRef>
              <c:f>Tools!$CK$30</c:f>
              <c:strCache>
                <c:ptCount val="1"/>
                <c:pt idx="0">
                  <c:v>0</c:v>
                </c:pt>
              </c:strCache>
            </c:strRef>
          </c:tx>
          <c:spPr>
            <a:ln w="3175">
              <a:solidFill>
                <a:schemeClr val="accent6">
                  <a:lumMod val="75000"/>
                </a:schemeClr>
              </a:solidFill>
            </a:ln>
          </c:spPr>
          <c:marker>
            <c:symbol val="none"/>
          </c:marker>
          <c:xVal>
            <c:numRef>
              <c:f>Tools!$CL$30:$DJ$30</c:f>
              <c:numCache>
                <c:formatCode>General</c:formatCode>
                <c:ptCount val="25"/>
                <c:pt idx="0">
                  <c:v>0</c:v>
                </c:pt>
                <c:pt idx="1">
                  <c:v>0</c:v>
                </c:pt>
                <c:pt idx="2">
                  <c:v>0</c:v>
                </c:pt>
                <c:pt idx="3">
                  <c:v>0</c:v>
                </c:pt>
                <c:pt idx="4">
                  <c:v>0</c:v>
                </c:pt>
                <c:pt idx="5">
                  <c:v>0</c:v>
                </c:pt>
                <c:pt idx="6">
                  <c:v>0</c:v>
                </c:pt>
                <c:pt idx="7">
                  <c:v>0</c:v>
                </c:pt>
                <c:pt idx="8">
                  <c:v>1.7625755504935398E-3</c:v>
                </c:pt>
                <c:pt idx="9">
                  <c:v>2.204446874209063E-2</c:v>
                </c:pt>
                <c:pt idx="10">
                  <c:v>0.12366451430017722</c:v>
                </c:pt>
                <c:pt idx="11">
                  <c:v>0.25637236122500634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6"/>
          <c:order val="1"/>
          <c:tx>
            <c:strRef>
              <c:f>Tools!$CK$31</c:f>
              <c:strCache>
                <c:ptCount val="1"/>
                <c:pt idx="0">
                  <c:v>0.5</c:v>
                </c:pt>
              </c:strCache>
            </c:strRef>
          </c:tx>
          <c:spPr>
            <a:ln w="3175">
              <a:solidFill>
                <a:schemeClr val="accent6">
                  <a:lumMod val="75000"/>
                </a:schemeClr>
              </a:solidFill>
            </a:ln>
          </c:spPr>
          <c:marker>
            <c:symbol val="none"/>
          </c:marker>
          <c:xVal>
            <c:numRef>
              <c:f>Tools!$CL$31:$DJ$31</c:f>
              <c:numCache>
                <c:formatCode>General</c:formatCode>
                <c:ptCount val="25"/>
                <c:pt idx="0">
                  <c:v>0.5</c:v>
                </c:pt>
                <c:pt idx="1">
                  <c:v>0.5</c:v>
                </c:pt>
                <c:pt idx="2">
                  <c:v>0.5</c:v>
                </c:pt>
                <c:pt idx="3">
                  <c:v>0.5</c:v>
                </c:pt>
                <c:pt idx="4">
                  <c:v>0.5</c:v>
                </c:pt>
                <c:pt idx="5">
                  <c:v>0.5</c:v>
                </c:pt>
                <c:pt idx="6">
                  <c:v>0.5</c:v>
                </c:pt>
                <c:pt idx="7">
                  <c:v>0.50032680334092638</c:v>
                </c:pt>
                <c:pt idx="8">
                  <c:v>0.52619448240951661</c:v>
                </c:pt>
                <c:pt idx="9">
                  <c:v>0.55839176917236144</c:v>
                </c:pt>
                <c:pt idx="10">
                  <c:v>0.68628033409263489</c:v>
                </c:pt>
                <c:pt idx="11">
                  <c:v>0.82967496097190585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7"/>
          <c:order val="2"/>
          <c:tx>
            <c:strRef>
              <c:f>Tools!$CK$32</c:f>
              <c:strCache>
                <c:ptCount val="1"/>
                <c:pt idx="0">
                  <c:v>1</c:v>
                </c:pt>
              </c:strCache>
            </c:strRef>
          </c:tx>
          <c:spPr>
            <a:ln w="3175">
              <a:solidFill>
                <a:schemeClr val="accent6">
                  <a:lumMod val="75000"/>
                </a:schemeClr>
              </a:solidFill>
            </a:ln>
          </c:spPr>
          <c:marker>
            <c:symbol val="none"/>
          </c:marker>
          <c:xVal>
            <c:numRef>
              <c:f>Tools!$CL$32:$DJ$32</c:f>
              <c:numCache>
                <c:formatCode>General</c:formatCode>
                <c:ptCount val="25"/>
                <c:pt idx="0">
                  <c:v>1</c:v>
                </c:pt>
                <c:pt idx="1">
                  <c:v>1</c:v>
                </c:pt>
                <c:pt idx="2">
                  <c:v>1</c:v>
                </c:pt>
                <c:pt idx="3">
                  <c:v>1</c:v>
                </c:pt>
                <c:pt idx="4">
                  <c:v>1</c:v>
                </c:pt>
                <c:pt idx="5">
                  <c:v>1</c:v>
                </c:pt>
                <c:pt idx="6">
                  <c:v>1</c:v>
                </c:pt>
                <c:pt idx="7">
                  <c:v>1.0191825056947608</c:v>
                </c:pt>
                <c:pt idx="8">
                  <c:v>1.0669501797013414</c:v>
                </c:pt>
                <c:pt idx="9">
                  <c:v>1.1081845102505694</c:v>
                </c:pt>
                <c:pt idx="10">
                  <c:v>1.2462170387243736</c:v>
                </c:pt>
                <c:pt idx="11">
                  <c:v>1.3965568628701595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8"/>
          <c:order val="3"/>
          <c:tx>
            <c:strRef>
              <c:f>Tools!$CK$33</c:f>
              <c:strCache>
                <c:ptCount val="1"/>
                <c:pt idx="0">
                  <c:v>1.5</c:v>
                </c:pt>
              </c:strCache>
            </c:strRef>
          </c:tx>
          <c:spPr>
            <a:ln w="3175">
              <a:solidFill>
                <a:schemeClr val="accent6">
                  <a:lumMod val="75000"/>
                </a:schemeClr>
              </a:solidFill>
            </a:ln>
          </c:spPr>
          <c:marker>
            <c:symbol val="none"/>
          </c:marker>
          <c:xVal>
            <c:numRef>
              <c:f>Tools!$CL$33:$DJ$33</c:f>
              <c:numCache>
                <c:formatCode>General</c:formatCode>
                <c:ptCount val="25"/>
                <c:pt idx="0">
                  <c:v>1.5</c:v>
                </c:pt>
                <c:pt idx="1">
                  <c:v>1.5</c:v>
                </c:pt>
                <c:pt idx="2">
                  <c:v>1.5</c:v>
                </c:pt>
                <c:pt idx="3">
                  <c:v>1.5002232346241458</c:v>
                </c:pt>
                <c:pt idx="4">
                  <c:v>1.5011826879271071</c:v>
                </c:pt>
                <c:pt idx="5">
                  <c:v>1.5056519362186789</c:v>
                </c:pt>
                <c:pt idx="6">
                  <c:v>1.5178460136674259</c:v>
                </c:pt>
                <c:pt idx="7">
                  <c:v>1.5612510250569476</c:v>
                </c:pt>
                <c:pt idx="8">
                  <c:v>1.6209804403948367</c:v>
                </c:pt>
                <c:pt idx="9">
                  <c:v>1.6787586332574032</c:v>
                </c:pt>
                <c:pt idx="10">
                  <c:v>1.8130771753986332</c:v>
                </c:pt>
                <c:pt idx="11">
                  <c:v>1.9675262259681092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9"/>
          <c:order val="4"/>
          <c:tx>
            <c:strRef>
              <c:f>Tools!$CK$34</c:f>
              <c:strCache>
                <c:ptCount val="1"/>
                <c:pt idx="0">
                  <c:v>2</c:v>
                </c:pt>
              </c:strCache>
            </c:strRef>
          </c:tx>
          <c:spPr>
            <a:ln w="3175">
              <a:solidFill>
                <a:schemeClr val="accent6">
                  <a:lumMod val="75000"/>
                </a:schemeClr>
              </a:solidFill>
            </a:ln>
          </c:spPr>
          <c:marker>
            <c:symbol val="none"/>
          </c:marker>
          <c:xVal>
            <c:numRef>
              <c:f>Tools!$CL$34:$DJ$34</c:f>
              <c:numCache>
                <c:formatCode>General</c:formatCode>
                <c:ptCount val="25"/>
                <c:pt idx="0">
                  <c:v>2</c:v>
                </c:pt>
                <c:pt idx="1">
                  <c:v>2.0000316719817768</c:v>
                </c:pt>
                <c:pt idx="2">
                  <c:v>2.0006003735763098</c:v>
                </c:pt>
                <c:pt idx="3">
                  <c:v>2.0021998724373575</c:v>
                </c:pt>
                <c:pt idx="4">
                  <c:v>2.0050089384965832</c:v>
                </c:pt>
                <c:pt idx="5">
                  <c:v>2.0155186423690203</c:v>
                </c:pt>
                <c:pt idx="6">
                  <c:v>2.0429278451025059</c:v>
                </c:pt>
                <c:pt idx="7">
                  <c:v>2.1110375489749429</c:v>
                </c:pt>
                <c:pt idx="8">
                  <c:v>2.1774629602632247</c:v>
                </c:pt>
                <c:pt idx="9">
                  <c:v>2.2318925831435079</c:v>
                </c:pt>
                <c:pt idx="10">
                  <c:v>2.3771652938496581</c:v>
                </c:pt>
                <c:pt idx="11">
                  <c:v>2.5337323644646923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0"/>
          <c:order val="5"/>
          <c:tx>
            <c:strRef>
              <c:f>Tools!$CK$36</c:f>
              <c:strCache>
                <c:ptCount val="1"/>
                <c:pt idx="0">
                  <c:v>4</c:v>
                </c:pt>
              </c:strCache>
            </c:strRef>
          </c:tx>
          <c:spPr>
            <a:ln w="3175">
              <a:solidFill>
                <a:schemeClr val="accent6">
                  <a:lumMod val="75000"/>
                </a:schemeClr>
              </a:solidFill>
            </a:ln>
          </c:spPr>
          <c:marker>
            <c:symbol val="none"/>
          </c:marker>
          <c:xVal>
            <c:numRef>
              <c:f>Tools!$CL$36:$DJ$36</c:f>
              <c:numCache>
                <c:formatCode>General</c:formatCode>
                <c:ptCount val="25"/>
                <c:pt idx="0">
                  <c:v>4</c:v>
                </c:pt>
                <c:pt idx="1">
                  <c:v>4.0006277448747154</c:v>
                </c:pt>
                <c:pt idx="2">
                  <c:v>4.0034179498861047</c:v>
                </c:pt>
                <c:pt idx="3">
                  <c:v>4.0088626423690208</c:v>
                </c:pt>
                <c:pt idx="4">
                  <c:v>4.018008200455581</c:v>
                </c:pt>
                <c:pt idx="5">
                  <c:v>4.0546412756264241</c:v>
                </c:pt>
                <c:pt idx="6">
                  <c:v>4.1273563553530748</c:v>
                </c:pt>
                <c:pt idx="7">
                  <c:v>4.2290616856492029</c:v>
                </c:pt>
                <c:pt idx="8">
                  <c:v>4.3058093343457351</c:v>
                </c:pt>
                <c:pt idx="9">
                  <c:v>4.3609578132118454</c:v>
                </c:pt>
                <c:pt idx="10">
                  <c:v>4.5164712528473805</c:v>
                </c:pt>
                <c:pt idx="11">
                  <c:v>4.6749533257403186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1"/>
          <c:order val="6"/>
          <c:tx>
            <c:strRef>
              <c:f>Tools!$CK$37</c:f>
              <c:strCache>
                <c:ptCount val="1"/>
                <c:pt idx="0">
                  <c:v>5</c:v>
                </c:pt>
              </c:strCache>
            </c:strRef>
          </c:tx>
          <c:spPr>
            <a:ln w="3175">
              <a:solidFill>
                <a:schemeClr val="accent6">
                  <a:lumMod val="75000"/>
                </a:schemeClr>
              </a:solidFill>
            </a:ln>
          </c:spPr>
          <c:marker>
            <c:symbol val="none"/>
          </c:marker>
          <c:xVal>
            <c:numRef>
              <c:f>Tools!$CL$37:$DJ$37</c:f>
              <c:numCache>
                <c:formatCode>General</c:formatCode>
                <c:ptCount val="25"/>
                <c:pt idx="0">
                  <c:v>5</c:v>
                </c:pt>
                <c:pt idx="1">
                  <c:v>5.0009608883826875</c:v>
                </c:pt>
                <c:pt idx="2">
                  <c:v>5.0051531662870161</c:v>
                </c:pt>
                <c:pt idx="3">
                  <c:v>5.0133665375854211</c:v>
                </c:pt>
                <c:pt idx="4">
                  <c:v>5.0275797722095668</c:v>
                </c:pt>
                <c:pt idx="5">
                  <c:v>5.0784849202733486</c:v>
                </c:pt>
                <c:pt idx="6">
                  <c:v>5.1585640091116174</c:v>
                </c:pt>
                <c:pt idx="7">
                  <c:v>5.2659473348519361</c:v>
                </c:pt>
                <c:pt idx="8">
                  <c:v>5.3440227790432804</c:v>
                </c:pt>
                <c:pt idx="9">
                  <c:v>5.398476537585422</c:v>
                </c:pt>
                <c:pt idx="10">
                  <c:v>5.5551610022779041</c:v>
                </c:pt>
                <c:pt idx="11">
                  <c:v>5.7136430751708431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2"/>
          <c:order val="7"/>
          <c:tx>
            <c:strRef>
              <c:f>Tools!$CK$38</c:f>
              <c:strCache>
                <c:ptCount val="1"/>
                <c:pt idx="0">
                  <c:v>6</c:v>
                </c:pt>
              </c:strCache>
            </c:strRef>
          </c:tx>
          <c:spPr>
            <a:ln w="3175">
              <a:solidFill>
                <a:schemeClr val="accent6">
                  <a:lumMod val="75000"/>
                </a:schemeClr>
              </a:solidFill>
            </a:ln>
          </c:spPr>
          <c:marker>
            <c:symbol val="none"/>
          </c:marker>
          <c:xVal>
            <c:numRef>
              <c:f>Tools!$CL$38:$DJ$38</c:f>
              <c:numCache>
                <c:formatCode>General</c:formatCode>
                <c:ptCount val="25"/>
                <c:pt idx="0">
                  <c:v>6</c:v>
                </c:pt>
                <c:pt idx="1">
                  <c:v>6.0013153530751708</c:v>
                </c:pt>
                <c:pt idx="2">
                  <c:v>6.0070589521640088</c:v>
                </c:pt>
                <c:pt idx="3">
                  <c:v>6.0181705694760819</c:v>
                </c:pt>
                <c:pt idx="4">
                  <c:v>6.0362853758542139</c:v>
                </c:pt>
                <c:pt idx="5">
                  <c:v>6.0933999088838267</c:v>
                </c:pt>
                <c:pt idx="6">
                  <c:v>6.1769920728929382</c:v>
                </c:pt>
                <c:pt idx="7">
                  <c:v>6.2857235535307519</c:v>
                </c:pt>
                <c:pt idx="8">
                  <c:v>6.3638928777524679</c:v>
                </c:pt>
                <c:pt idx="9">
                  <c:v>6.4180854669703873</c:v>
                </c:pt>
                <c:pt idx="10">
                  <c:v>6.5750356264236904</c:v>
                </c:pt>
                <c:pt idx="11">
                  <c:v>6.7335176993166286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3"/>
          <c:order val="8"/>
          <c:tx>
            <c:strRef>
              <c:f>Tools!$CK$39</c:f>
              <c:strCache>
                <c:ptCount val="1"/>
                <c:pt idx="0">
                  <c:v>7</c:v>
                </c:pt>
              </c:strCache>
            </c:strRef>
          </c:tx>
          <c:spPr>
            <a:ln w="3175">
              <a:solidFill>
                <a:schemeClr val="accent6">
                  <a:lumMod val="75000"/>
                </a:schemeClr>
              </a:solidFill>
            </a:ln>
          </c:spPr>
          <c:marker>
            <c:symbol val="none"/>
          </c:marker>
          <c:xVal>
            <c:numRef>
              <c:f>Tools!$CL$39:$DJ$39</c:f>
              <c:numCache>
                <c:formatCode>General</c:formatCode>
                <c:ptCount val="25"/>
                <c:pt idx="0">
                  <c:v>7</c:v>
                </c:pt>
                <c:pt idx="1">
                  <c:v>7.0017768337129844</c:v>
                </c:pt>
                <c:pt idx="2">
                  <c:v>7.008994259681093</c:v>
                </c:pt>
                <c:pt idx="3">
                  <c:v>7.022181207289294</c:v>
                </c:pt>
                <c:pt idx="4">
                  <c:v>7.0422815489749429</c:v>
                </c:pt>
                <c:pt idx="5">
                  <c:v>7.1020792710706147</c:v>
                </c:pt>
                <c:pt idx="6">
                  <c:v>7.1864258769931659</c:v>
                </c:pt>
                <c:pt idx="7">
                  <c:v>7.2949539863325743</c:v>
                </c:pt>
                <c:pt idx="8">
                  <c:v>7.3731233105542904</c:v>
                </c:pt>
                <c:pt idx="9">
                  <c:v>7.427519271070615</c:v>
                </c:pt>
                <c:pt idx="10">
                  <c:v>7.5842660592255129</c:v>
                </c:pt>
                <c:pt idx="11">
                  <c:v>7.742748132118451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4"/>
          <c:order val="9"/>
          <c:tx>
            <c:strRef>
              <c:f>Tools!$CK$40</c:f>
              <c:strCache>
                <c:ptCount val="1"/>
                <c:pt idx="0">
                  <c:v>8</c:v>
                </c:pt>
              </c:strCache>
            </c:strRef>
          </c:tx>
          <c:spPr>
            <a:ln w="3175">
              <a:solidFill>
                <a:schemeClr val="accent6">
                  <a:lumMod val="75000"/>
                </a:schemeClr>
              </a:solidFill>
            </a:ln>
          </c:spPr>
          <c:marker>
            <c:symbol val="none"/>
          </c:marker>
          <c:xVal>
            <c:numRef>
              <c:f>Tools!$CL$40:$DJ$40</c:f>
              <c:numCache>
                <c:formatCode>General</c:formatCode>
                <c:ptCount val="25"/>
                <c:pt idx="0">
                  <c:v>8</c:v>
                </c:pt>
                <c:pt idx="1">
                  <c:v>8.0022130979498858</c:v>
                </c:pt>
                <c:pt idx="2">
                  <c:v>8.0103883371298412</c:v>
                </c:pt>
                <c:pt idx="3">
                  <c:v>8.0246265831435082</c:v>
                </c:pt>
                <c:pt idx="4">
                  <c:v>8.0455223690205013</c:v>
                </c:pt>
                <c:pt idx="5">
                  <c:v>8.1058678815489742</c:v>
                </c:pt>
                <c:pt idx="6">
                  <c:v>8.190086560364465</c:v>
                </c:pt>
                <c:pt idx="7">
                  <c:v>8.2987425968109338</c:v>
                </c:pt>
                <c:pt idx="8">
                  <c:v>8.3769119210326508</c:v>
                </c:pt>
                <c:pt idx="9">
                  <c:v>8.4311799544419141</c:v>
                </c:pt>
                <c:pt idx="10">
                  <c:v>8.5880546697038724</c:v>
                </c:pt>
                <c:pt idx="11">
                  <c:v>8.7465367425968115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5"/>
          <c:order val="10"/>
          <c:tx>
            <c:strRef>
              <c:f>Tools!$CK$41</c:f>
              <c:strCache>
                <c:ptCount val="1"/>
                <c:pt idx="0">
                  <c:v>9</c:v>
                </c:pt>
              </c:strCache>
            </c:strRef>
          </c:tx>
          <c:spPr>
            <a:ln w="3175">
              <a:solidFill>
                <a:schemeClr val="accent6">
                  <a:lumMod val="75000"/>
                </a:schemeClr>
              </a:solidFill>
            </a:ln>
          </c:spPr>
          <c:marker>
            <c:symbol val="none"/>
          </c:marker>
          <c:xVal>
            <c:numRef>
              <c:f>Tools!$CL$41:$DJ$41</c:f>
              <c:numCache>
                <c:formatCode>General</c:formatCode>
                <c:ptCount val="25"/>
                <c:pt idx="0">
                  <c:v>9</c:v>
                </c:pt>
                <c:pt idx="1">
                  <c:v>9.0024125740318901</c:v>
                </c:pt>
                <c:pt idx="2">
                  <c:v>9.0109164464692491</c:v>
                </c:pt>
                <c:pt idx="3">
                  <c:v>9.0255214578587708</c:v>
                </c:pt>
                <c:pt idx="4">
                  <c:v>9.0466507517084285</c:v>
                </c:pt>
                <c:pt idx="5">
                  <c:v>9.1070061047835988</c:v>
                </c:pt>
                <c:pt idx="6">
                  <c:v>9.1913067881548969</c:v>
                </c:pt>
                <c:pt idx="7">
                  <c:v>9.2998808200455585</c:v>
                </c:pt>
                <c:pt idx="8">
                  <c:v>9.3780501442672737</c:v>
                </c:pt>
                <c:pt idx="9">
                  <c:v>9.432400182232346</c:v>
                </c:pt>
                <c:pt idx="10">
                  <c:v>9.5891928929384971</c:v>
                </c:pt>
                <c:pt idx="11">
                  <c:v>9.7476749658314361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6"/>
          <c:order val="11"/>
          <c:tx>
            <c:strRef>
              <c:f>Tools!$CK$42</c:f>
              <c:strCache>
                <c:ptCount val="1"/>
                <c:pt idx="0">
                  <c:v>10</c:v>
                </c:pt>
              </c:strCache>
            </c:strRef>
          </c:tx>
          <c:spPr>
            <a:ln w="3175">
              <a:solidFill>
                <a:schemeClr val="accent6">
                  <a:lumMod val="75000"/>
                </a:schemeClr>
              </a:solidFill>
            </a:ln>
          </c:spPr>
          <c:marker>
            <c:symbol val="none"/>
          </c:marker>
          <c:xVal>
            <c:numRef>
              <c:f>Tools!$CL$42:$DJ$42</c:f>
              <c:numCache>
                <c:formatCode>General</c:formatCode>
                <c:ptCount val="25"/>
                <c:pt idx="0">
                  <c:v>10</c:v>
                </c:pt>
                <c:pt idx="1">
                  <c:v>10.002488633257403</c:v>
                </c:pt>
                <c:pt idx="2">
                  <c:v>10.010968929384966</c:v>
                </c:pt>
                <c:pt idx="3">
                  <c:v>10.025669681093394</c:v>
                </c:pt>
                <c:pt idx="4">
                  <c:v>10.046755717539863</c:v>
                </c:pt>
                <c:pt idx="5">
                  <c:v>10.107084829157175</c:v>
                </c:pt>
                <c:pt idx="6">
                  <c:v>10.191411753986333</c:v>
                </c:pt>
                <c:pt idx="7">
                  <c:v>10.299959544419135</c:v>
                </c:pt>
                <c:pt idx="8">
                  <c:v>10.37812886864085</c:v>
                </c:pt>
                <c:pt idx="9">
                  <c:v>10.432505148063781</c:v>
                </c:pt>
                <c:pt idx="10">
                  <c:v>10.589271617312074</c:v>
                </c:pt>
                <c:pt idx="11">
                  <c:v>10.747753690205011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7"/>
          <c:order val="12"/>
          <c:tx>
            <c:strRef>
              <c:f>Tools!$CK$43</c:f>
              <c:strCache>
                <c:ptCount val="1"/>
                <c:pt idx="0">
                  <c:v>11</c:v>
                </c:pt>
              </c:strCache>
            </c:strRef>
          </c:tx>
          <c:spPr>
            <a:ln w="3175">
              <a:solidFill>
                <a:schemeClr val="accent6">
                  <a:lumMod val="75000"/>
                </a:schemeClr>
              </a:solidFill>
            </a:ln>
          </c:spPr>
          <c:marker>
            <c:symbol val="none"/>
          </c:marker>
          <c:xVal>
            <c:numRef>
              <c:f>Tools!$CL$43:$DJ$43</c:f>
              <c:numCache>
                <c:formatCode>General</c:formatCode>
                <c:ptCount val="25"/>
                <c:pt idx="0">
                  <c:v>11</c:v>
                </c:pt>
                <c:pt idx="1">
                  <c:v>11.002474077448747</c:v>
                </c:pt>
                <c:pt idx="2">
                  <c:v>11.010798359908884</c:v>
                </c:pt>
                <c:pt idx="3">
                  <c:v>11.025391070615035</c:v>
                </c:pt>
                <c:pt idx="4">
                  <c:v>11.046316173120729</c:v>
                </c:pt>
                <c:pt idx="5">
                  <c:v>11.106612482915718</c:v>
                </c:pt>
                <c:pt idx="6">
                  <c:v>11.190919726651481</c:v>
                </c:pt>
                <c:pt idx="7">
                  <c:v>11.299487198177676</c:v>
                </c:pt>
                <c:pt idx="8">
                  <c:v>11.377656522399393</c:v>
                </c:pt>
                <c:pt idx="9">
                  <c:v>11.432013120728929</c:v>
                </c:pt>
                <c:pt idx="10">
                  <c:v>11.588799271070615</c:v>
                </c:pt>
                <c:pt idx="11">
                  <c:v>11.747281343963554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8"/>
          <c:order val="13"/>
          <c:tx>
            <c:strRef>
              <c:f>Tools!$CK$44</c:f>
              <c:strCache>
                <c:ptCount val="1"/>
                <c:pt idx="0">
                  <c:v>12</c:v>
                </c:pt>
              </c:strCache>
            </c:strRef>
          </c:tx>
          <c:spPr>
            <a:ln w="3175">
              <a:solidFill>
                <a:schemeClr val="accent6">
                  <a:lumMod val="75000"/>
                </a:schemeClr>
              </a:solidFill>
            </a:ln>
          </c:spPr>
          <c:marker>
            <c:symbol val="none"/>
          </c:marker>
          <c:xVal>
            <c:numRef>
              <c:f>Tools!$CL$44:$DJ$44</c:f>
              <c:numCache>
                <c:formatCode>General</c:formatCode>
                <c:ptCount val="25"/>
                <c:pt idx="0">
                  <c:v>12</c:v>
                </c:pt>
                <c:pt idx="1">
                  <c:v>12.002309453302962</c:v>
                </c:pt>
                <c:pt idx="2">
                  <c:v>12.010214487471526</c:v>
                </c:pt>
                <c:pt idx="3">
                  <c:v>12.024239111617312</c:v>
                </c:pt>
                <c:pt idx="4">
                  <c:v>12.044564555808655</c:v>
                </c:pt>
                <c:pt idx="5">
                  <c:v>12.104067061503416</c:v>
                </c:pt>
                <c:pt idx="6">
                  <c:v>12.188393986332574</c:v>
                </c:pt>
                <c:pt idx="7">
                  <c:v>12.296843371298406</c:v>
                </c:pt>
                <c:pt idx="8">
                  <c:v>12.375012695520121</c:v>
                </c:pt>
                <c:pt idx="9">
                  <c:v>12.429487380410023</c:v>
                </c:pt>
                <c:pt idx="10">
                  <c:v>12.586155444191345</c:v>
                </c:pt>
                <c:pt idx="11">
                  <c:v>12.744637517084282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9"/>
          <c:order val="14"/>
          <c:tx>
            <c:strRef>
              <c:f>Tools!$CK$45</c:f>
              <c:strCache>
                <c:ptCount val="1"/>
                <c:pt idx="0">
                  <c:v>13</c:v>
                </c:pt>
              </c:strCache>
            </c:strRef>
          </c:tx>
          <c:spPr>
            <a:ln w="3175">
              <a:solidFill>
                <a:schemeClr val="accent6">
                  <a:lumMod val="75000"/>
                </a:schemeClr>
              </a:solidFill>
            </a:ln>
          </c:spPr>
          <c:marker>
            <c:symbol val="none"/>
          </c:marker>
          <c:xVal>
            <c:numRef>
              <c:f>Tools!$CL$45:$DJ$45</c:f>
              <c:numCache>
                <c:formatCode>General</c:formatCode>
                <c:ptCount val="25"/>
                <c:pt idx="0">
                  <c:v>13</c:v>
                </c:pt>
                <c:pt idx="1">
                  <c:v>13.00201874715262</c:v>
                </c:pt>
                <c:pt idx="2">
                  <c:v>13.009089384965831</c:v>
                </c:pt>
                <c:pt idx="3">
                  <c:v>13.021883530751708</c:v>
                </c:pt>
                <c:pt idx="4">
                  <c:v>13.040680820045559</c:v>
                </c:pt>
                <c:pt idx="5">
                  <c:v>13.096834259681094</c:v>
                </c:pt>
                <c:pt idx="6">
                  <c:v>13.178291025056948</c:v>
                </c:pt>
                <c:pt idx="7">
                  <c:v>13.285339772209568</c:v>
                </c:pt>
                <c:pt idx="8">
                  <c:v>13.363192487977727</c:v>
                </c:pt>
                <c:pt idx="9">
                  <c:v>13.417652482915718</c:v>
                </c:pt>
                <c:pt idx="10">
                  <c:v>13.574015489749431</c:v>
                </c:pt>
                <c:pt idx="11">
                  <c:v>13.732370748974944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0"/>
          <c:order val="15"/>
          <c:tx>
            <c:strRef>
              <c:f>Tools!$CK$46</c:f>
              <c:strCache>
                <c:ptCount val="1"/>
                <c:pt idx="0">
                  <c:v>14</c:v>
                </c:pt>
              </c:strCache>
            </c:strRef>
          </c:tx>
          <c:spPr>
            <a:ln w="3175">
              <a:solidFill>
                <a:schemeClr val="accent6">
                  <a:lumMod val="75000"/>
                </a:schemeClr>
              </a:solidFill>
            </a:ln>
          </c:spPr>
          <c:marker>
            <c:symbol val="none"/>
          </c:marker>
          <c:xVal>
            <c:numRef>
              <c:f>Tools!$CL$46:$DJ$46</c:f>
              <c:numCache>
                <c:formatCode>General</c:formatCode>
                <c:ptCount val="25"/>
                <c:pt idx="0">
                  <c:v>14</c:v>
                </c:pt>
                <c:pt idx="1">
                  <c:v>14.001656492027335</c:v>
                </c:pt>
                <c:pt idx="2">
                  <c:v>14.007455854214124</c:v>
                </c:pt>
                <c:pt idx="3">
                  <c:v>14.018096765375855</c:v>
                </c:pt>
                <c:pt idx="4">
                  <c:v>14.034730569476082</c:v>
                </c:pt>
                <c:pt idx="5">
                  <c:v>14.08463854214123</c:v>
                </c:pt>
                <c:pt idx="6">
                  <c:v>14.159206924829157</c:v>
                </c:pt>
                <c:pt idx="7">
                  <c:v>14.258986788154898</c:v>
                </c:pt>
                <c:pt idx="8">
                  <c:v>14.332797873955961</c:v>
                </c:pt>
                <c:pt idx="9">
                  <c:v>14.385001548974943</c:v>
                </c:pt>
                <c:pt idx="10">
                  <c:v>14.53763826879271</c:v>
                </c:pt>
                <c:pt idx="11">
                  <c:v>14.694847086104783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1"/>
          <c:order val="16"/>
          <c:tx>
            <c:strRef>
              <c:f>Tools!$CK$47</c:f>
              <c:strCache>
                <c:ptCount val="1"/>
                <c:pt idx="0">
                  <c:v>15</c:v>
                </c:pt>
              </c:strCache>
            </c:strRef>
          </c:tx>
          <c:spPr>
            <a:ln w="3175">
              <a:solidFill>
                <a:schemeClr val="accent6">
                  <a:lumMod val="75000"/>
                </a:schemeClr>
              </a:solidFill>
            </a:ln>
          </c:spPr>
          <c:marker>
            <c:symbol val="none"/>
          </c:marker>
          <c:xVal>
            <c:numRef>
              <c:f>Tools!$CL$47:$DJ$47</c:f>
              <c:numCache>
                <c:formatCode>General</c:formatCode>
                <c:ptCount val="25"/>
                <c:pt idx="0">
                  <c:v>15</c:v>
                </c:pt>
                <c:pt idx="1">
                  <c:v>15.001252619589977</c:v>
                </c:pt>
                <c:pt idx="2">
                  <c:v>15.005937129840547</c:v>
                </c:pt>
                <c:pt idx="3">
                  <c:v>15.01481125284738</c:v>
                </c:pt>
                <c:pt idx="4">
                  <c:v>15.028307972665148</c:v>
                </c:pt>
                <c:pt idx="5">
                  <c:v>15.070340227790433</c:v>
                </c:pt>
                <c:pt idx="6">
                  <c:v>15.134349703872438</c:v>
                </c:pt>
                <c:pt idx="7">
                  <c:v>15.222717813211846</c:v>
                </c:pt>
                <c:pt idx="8">
                  <c:v>15.289294234371045</c:v>
                </c:pt>
                <c:pt idx="9">
                  <c:v>15.336776309794988</c:v>
                </c:pt>
                <c:pt idx="10">
                  <c:v>15.478263690205011</c:v>
                </c:pt>
                <c:pt idx="11">
                  <c:v>15.629999044191344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2"/>
          <c:order val="17"/>
          <c:tx>
            <c:strRef>
              <c:f>Tools!$CK$48</c:f>
              <c:strCache>
                <c:ptCount val="1"/>
                <c:pt idx="0">
                  <c:v>16</c:v>
                </c:pt>
              </c:strCache>
            </c:strRef>
          </c:tx>
          <c:spPr>
            <a:ln w="3175">
              <a:solidFill>
                <a:schemeClr val="accent6">
                  <a:lumMod val="75000"/>
                </a:schemeClr>
              </a:solidFill>
            </a:ln>
          </c:spPr>
          <c:marker>
            <c:symbol val="none"/>
          </c:marker>
          <c:xVal>
            <c:numRef>
              <c:f>Tools!$CL$48:$DJ$48</c:f>
              <c:numCache>
                <c:formatCode>General</c:formatCode>
                <c:ptCount val="25"/>
                <c:pt idx="0">
                  <c:v>16</c:v>
                </c:pt>
                <c:pt idx="1">
                  <c:v>16.000862277904329</c:v>
                </c:pt>
                <c:pt idx="2">
                  <c:v>16.004329840546696</c:v>
                </c:pt>
                <c:pt idx="3">
                  <c:v>16.011042323462416</c:v>
                </c:pt>
                <c:pt idx="4">
                  <c:v>16.021386788154899</c:v>
                </c:pt>
                <c:pt idx="5">
                  <c:v>16.054188610478359</c:v>
                </c:pt>
                <c:pt idx="6">
                  <c:v>16.105320091116173</c:v>
                </c:pt>
                <c:pt idx="7">
                  <c:v>16.178291025056946</c:v>
                </c:pt>
                <c:pt idx="8">
                  <c:v>16.234953915464441</c:v>
                </c:pt>
                <c:pt idx="9">
                  <c:v>16.276165102505693</c:v>
                </c:pt>
                <c:pt idx="10">
                  <c:v>16.401914168564922</c:v>
                </c:pt>
                <c:pt idx="11">
                  <c:v>16.5440995261959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3"/>
          <c:order val="18"/>
          <c:tx>
            <c:strRef>
              <c:f>Tools!$CK$49</c:f>
              <c:strCache>
                <c:ptCount val="1"/>
                <c:pt idx="0">
                  <c:v>17</c:v>
                </c:pt>
              </c:strCache>
            </c:strRef>
          </c:tx>
          <c:spPr>
            <a:ln w="3175">
              <a:solidFill>
                <a:schemeClr val="accent6">
                  <a:lumMod val="75000"/>
                </a:schemeClr>
              </a:solidFill>
            </a:ln>
          </c:spPr>
          <c:marker>
            <c:symbol val="none"/>
          </c:marker>
          <c:xVal>
            <c:numRef>
              <c:f>Tools!$CL$49:$DJ$49</c:f>
              <c:numCache>
                <c:formatCode>General</c:formatCode>
                <c:ptCount val="25"/>
                <c:pt idx="0">
                  <c:v>17</c:v>
                </c:pt>
                <c:pt idx="1">
                  <c:v>17.000506993166287</c:v>
                </c:pt>
                <c:pt idx="2">
                  <c:v>17.002880000000001</c:v>
                </c:pt>
                <c:pt idx="3">
                  <c:v>17.007554464692483</c:v>
                </c:pt>
                <c:pt idx="4">
                  <c:v>17.014931389521639</c:v>
                </c:pt>
                <c:pt idx="5">
                  <c:v>17.038338769931663</c:v>
                </c:pt>
                <c:pt idx="6">
                  <c:v>17.075273621867883</c:v>
                </c:pt>
                <c:pt idx="7">
                  <c:v>17.129580318906605</c:v>
                </c:pt>
                <c:pt idx="8">
                  <c:v>17.173680880789675</c:v>
                </c:pt>
                <c:pt idx="9">
                  <c:v>17.20674332574032</c:v>
                </c:pt>
                <c:pt idx="10">
                  <c:v>17.311577949886104</c:v>
                </c:pt>
                <c:pt idx="11">
                  <c:v>17.439099233712984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4"/>
          <c:order val="19"/>
          <c:tx>
            <c:strRef>
              <c:f>Tools!$CK$50</c:f>
              <c:strCache>
                <c:ptCount val="1"/>
                <c:pt idx="0">
                  <c:v>18</c:v>
                </c:pt>
              </c:strCache>
            </c:strRef>
          </c:tx>
          <c:spPr>
            <a:ln w="3175">
              <a:solidFill>
                <a:schemeClr val="accent6">
                  <a:lumMod val="75000"/>
                </a:schemeClr>
              </a:solidFill>
            </a:ln>
          </c:spPr>
          <c:marker>
            <c:symbol val="none"/>
          </c:marker>
          <c:xVal>
            <c:numRef>
              <c:f>Tools!$CL$50:$DJ$50</c:f>
              <c:numCache>
                <c:formatCode>General</c:formatCode>
                <c:ptCount val="25"/>
                <c:pt idx="0">
                  <c:v>18</c:v>
                </c:pt>
                <c:pt idx="1">
                  <c:v>18.000259749430523</c:v>
                </c:pt>
                <c:pt idx="2">
                  <c:v>18.00168006833713</c:v>
                </c:pt>
                <c:pt idx="3">
                  <c:v>18.00475359908884</c:v>
                </c:pt>
                <c:pt idx="4">
                  <c:v>18.009654191343962</c:v>
                </c:pt>
                <c:pt idx="5">
                  <c:v>18.025126810933941</c:v>
                </c:pt>
                <c:pt idx="6">
                  <c:v>18.048347220956721</c:v>
                </c:pt>
                <c:pt idx="7">
                  <c:v>18.08240535307517</c:v>
                </c:pt>
                <c:pt idx="8">
                  <c:v>18.111960523917997</c:v>
                </c:pt>
                <c:pt idx="9">
                  <c:v>18.135245808656038</c:v>
                </c:pt>
                <c:pt idx="10">
                  <c:v>18.213980022779044</c:v>
                </c:pt>
                <c:pt idx="11">
                  <c:v>18.321799359453301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5"/>
          <c:order val="20"/>
          <c:tx>
            <c:strRef>
              <c:f>Tools!$CK$51</c:f>
              <c:strCache>
                <c:ptCount val="1"/>
                <c:pt idx="0">
                  <c:v>18.5</c:v>
                </c:pt>
              </c:strCache>
            </c:strRef>
          </c:tx>
          <c:spPr>
            <a:ln w="3175">
              <a:solidFill>
                <a:schemeClr val="accent6">
                  <a:lumMod val="75000"/>
                </a:schemeClr>
              </a:solidFill>
            </a:ln>
          </c:spPr>
          <c:marker>
            <c:symbol val="none"/>
          </c:marker>
          <c:xVal>
            <c:numRef>
              <c:f>Tools!$CL$51:$DJ$51</c:f>
              <c:numCache>
                <c:formatCode>General</c:formatCode>
                <c:ptCount val="25"/>
                <c:pt idx="0">
                  <c:v>18.5</c:v>
                </c:pt>
                <c:pt idx="1">
                  <c:v>18.500129464338141</c:v>
                </c:pt>
                <c:pt idx="2">
                  <c:v>18.501181172766387</c:v>
                </c:pt>
                <c:pt idx="3">
                  <c:v>18.503583496228803</c:v>
                </c:pt>
                <c:pt idx="4">
                  <c:v>18.507525045203746</c:v>
                </c:pt>
                <c:pt idx="5">
                  <c:v>18.519950375499874</c:v>
                </c:pt>
                <c:pt idx="6">
                  <c:v>18.537597755909896</c:v>
                </c:pt>
                <c:pt idx="7">
                  <c:v>18.562008872083016</c:v>
                </c:pt>
                <c:pt idx="8">
                  <c:v>18.584096849810173</c:v>
                </c:pt>
                <c:pt idx="9">
                  <c:v>18.602151742242469</c:v>
                </c:pt>
                <c:pt idx="10">
                  <c:v>18.666167778688941</c:v>
                </c:pt>
                <c:pt idx="11">
                  <c:v>18.755805773221969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6"/>
          <c:order val="21"/>
          <c:tx>
            <c:strRef>
              <c:f>Tools!$CK$52</c:f>
              <c:strCache>
                <c:ptCount val="1"/>
                <c:pt idx="0">
                  <c:v>19</c:v>
                </c:pt>
              </c:strCache>
            </c:strRef>
          </c:tx>
          <c:spPr>
            <a:ln w="3175">
              <a:solidFill>
                <a:schemeClr val="accent6">
                  <a:lumMod val="75000"/>
                </a:schemeClr>
              </a:solidFill>
            </a:ln>
          </c:spPr>
          <c:marker>
            <c:symbol val="none"/>
          </c:marker>
          <c:xVal>
            <c:numRef>
              <c:f>Tools!$CL$52:$DJ$52</c:f>
              <c:numCache>
                <c:formatCode>General</c:formatCode>
                <c:ptCount val="25"/>
                <c:pt idx="0">
                  <c:v>19</c:v>
                </c:pt>
                <c:pt idx="1">
                  <c:v>19.000038254214122</c:v>
                </c:pt>
                <c:pt idx="2">
                  <c:v>19.000782445558087</c:v>
                </c:pt>
                <c:pt idx="3">
                  <c:v>19.002636158542142</c:v>
                </c:pt>
                <c:pt idx="4">
                  <c:v>19.005791283826881</c:v>
                </c:pt>
                <c:pt idx="5">
                  <c:v>19.016035292938497</c:v>
                </c:pt>
                <c:pt idx="6">
                  <c:v>19.029618527562643</c:v>
                </c:pt>
                <c:pt idx="7">
                  <c:v>19.045622536674259</c:v>
                </c:pt>
                <c:pt idx="8">
                  <c:v>19.060368494659581</c:v>
                </c:pt>
                <c:pt idx="9">
                  <c:v>19.072785725740317</c:v>
                </c:pt>
                <c:pt idx="10">
                  <c:v>19.121289780410024</c:v>
                </c:pt>
                <c:pt idx="11">
                  <c:v>19.187312182232347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7"/>
          <c:order val="22"/>
          <c:tx>
            <c:strRef>
              <c:f>Tools!$CK$53</c:f>
              <c:strCache>
                <c:ptCount val="1"/>
                <c:pt idx="0">
                  <c:v>19.5</c:v>
                </c:pt>
              </c:strCache>
            </c:strRef>
          </c:tx>
          <c:spPr>
            <a:ln w="3175">
              <a:solidFill>
                <a:schemeClr val="accent6">
                  <a:lumMod val="75000"/>
                </a:schemeClr>
              </a:solidFill>
            </a:ln>
          </c:spPr>
          <c:marker>
            <c:symbol val="none"/>
          </c:marker>
          <c:xVal>
            <c:numRef>
              <c:f>Tools!$CL$53:$DJ$53</c:f>
              <c:numCache>
                <c:formatCode>General</c:formatCode>
                <c:ptCount val="25"/>
                <c:pt idx="0">
                  <c:v>19.5</c:v>
                </c:pt>
                <c:pt idx="1">
                  <c:v>19.5</c:v>
                </c:pt>
                <c:pt idx="2">
                  <c:v>19.500320404960771</c:v>
                </c:pt>
                <c:pt idx="3">
                  <c:v>19.501672660086054</c:v>
                </c:pt>
                <c:pt idx="4">
                  <c:v>19.504191019994938</c:v>
                </c:pt>
                <c:pt idx="5">
                  <c:v>19.512765416350291</c:v>
                </c:pt>
                <c:pt idx="6">
                  <c:v>19.523662181726145</c:v>
                </c:pt>
                <c:pt idx="7">
                  <c:v>19.533279676031384</c:v>
                </c:pt>
                <c:pt idx="8">
                  <c:v>19.54109165274614</c:v>
                </c:pt>
                <c:pt idx="9">
                  <c:v>19.547069562136169</c:v>
                </c:pt>
                <c:pt idx="10">
                  <c:v>19.576768332067832</c:v>
                </c:pt>
                <c:pt idx="11">
                  <c:v>19.621505016350291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8"/>
          <c:order val="23"/>
          <c:tx>
            <c:strRef>
              <c:f>Tools!$CK$54</c:f>
              <c:strCache>
                <c:ptCount val="1"/>
                <c:pt idx="0">
                  <c:v>20</c:v>
                </c:pt>
              </c:strCache>
            </c:strRef>
          </c:tx>
          <c:spPr>
            <a:ln w="3175">
              <a:solidFill>
                <a:schemeClr val="accent6">
                  <a:lumMod val="75000"/>
                </a:schemeClr>
              </a:solidFill>
            </a:ln>
          </c:spPr>
          <c:marker>
            <c:symbol val="none"/>
          </c:marker>
          <c:xVal>
            <c:numRef>
              <c:f>Tools!$CL$54:$DJ$54</c:f>
              <c:numCache>
                <c:formatCode>General</c:formatCode>
                <c:ptCount val="25"/>
                <c:pt idx="0">
                  <c:v>20</c:v>
                </c:pt>
                <c:pt idx="1">
                  <c:v>20</c:v>
                </c:pt>
                <c:pt idx="2">
                  <c:v>20</c:v>
                </c:pt>
                <c:pt idx="3">
                  <c:v>20.000398562389268</c:v>
                </c:pt>
                <c:pt idx="4">
                  <c:v>20.002059154644392</c:v>
                </c:pt>
                <c:pt idx="5">
                  <c:v>20.008795828904073</c:v>
                </c:pt>
                <c:pt idx="6">
                  <c:v>20.017712184257149</c:v>
                </c:pt>
                <c:pt idx="7">
                  <c:v>20.021194917742342</c:v>
                </c:pt>
                <c:pt idx="8">
                  <c:v>20.021194917742342</c:v>
                </c:pt>
                <c:pt idx="9">
                  <c:v>20.022273277651227</c:v>
                </c:pt>
                <c:pt idx="10">
                  <c:v>20.029407674006581</c:v>
                </c:pt>
                <c:pt idx="11">
                  <c:v>20.046539253961022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9"/>
          <c:order val="24"/>
          <c:tx>
            <c:strRef>
              <c:f>Tools!$CK$35</c:f>
              <c:strCache>
                <c:ptCount val="1"/>
                <c:pt idx="0">
                  <c:v>3</c:v>
                </c:pt>
              </c:strCache>
            </c:strRef>
          </c:tx>
          <c:spPr>
            <a:ln w="3175">
              <a:solidFill>
                <a:schemeClr val="accent6">
                  <a:lumMod val="75000"/>
                </a:schemeClr>
              </a:solidFill>
            </a:ln>
          </c:spPr>
          <c:marker>
            <c:symbol val="none"/>
          </c:marker>
          <c:xVal>
            <c:numRef>
              <c:f>Tools!$CL$35:$DJ$35</c:f>
              <c:numCache>
                <c:formatCode>General</c:formatCode>
                <c:ptCount val="25"/>
                <c:pt idx="0">
                  <c:v>3</c:v>
                </c:pt>
                <c:pt idx="1">
                  <c:v>3.0003136674259681</c:v>
                </c:pt>
                <c:pt idx="2">
                  <c:v>3.0018500227790432</c:v>
                </c:pt>
                <c:pt idx="3">
                  <c:v>3.0049338041002276</c:v>
                </c:pt>
                <c:pt idx="4">
                  <c:v>3.0099520728929385</c:v>
                </c:pt>
                <c:pt idx="5">
                  <c:v>3.0308468337129839</c:v>
                </c:pt>
                <c:pt idx="6">
                  <c:v>3.0843466059225513</c:v>
                </c:pt>
                <c:pt idx="7">
                  <c:v>3.1807183599088837</c:v>
                </c:pt>
                <c:pt idx="8">
                  <c:v>3.2539072538597824</c:v>
                </c:pt>
                <c:pt idx="9">
                  <c:v>3.3041056947608203</c:v>
                </c:pt>
                <c:pt idx="10">
                  <c:v>3.461462596810934</c:v>
                </c:pt>
                <c:pt idx="11">
                  <c:v>3.6195591097949888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0"/>
          <c:order val="25"/>
          <c:tx>
            <c:strRef>
              <c:f>Tools!$CG$5</c:f>
              <c:strCache>
                <c:ptCount val="1"/>
                <c:pt idx="0">
                  <c:v>0</c:v>
                </c:pt>
              </c:strCache>
            </c:strRef>
          </c:tx>
          <c:spPr>
            <a:ln w="3175">
              <a:solidFill>
                <a:sysClr val="windowText" lastClr="000000"/>
              </a:solidFill>
            </a:ln>
          </c:spPr>
          <c:marker>
            <c:symbol val="none"/>
          </c:marker>
          <c:xVal>
            <c:numRef>
              <c:f>Tools!$CH$5:$CI$5</c:f>
              <c:numCache>
                <c:formatCode>General</c:formatCode>
                <c:ptCount val="2"/>
                <c:pt idx="0">
                  <c:v>0</c:v>
                </c:pt>
                <c:pt idx="1">
                  <c:v>0</c:v>
                </c:pt>
              </c:numCache>
            </c:numRef>
          </c:xVal>
          <c:yVal>
            <c:numRef>
              <c:f>Tools!$CH$4:$CI$4</c:f>
              <c:numCache>
                <c:formatCode>General</c:formatCode>
                <c:ptCount val="2"/>
                <c:pt idx="0">
                  <c:v>0</c:v>
                </c:pt>
                <c:pt idx="1">
                  <c:v>7.8833333333333329</c:v>
                </c:pt>
              </c:numCache>
            </c:numRef>
          </c:yVal>
          <c:smooth val="1"/>
        </c:ser>
        <c:ser>
          <c:idx val="51"/>
          <c:order val="26"/>
          <c:tx>
            <c:strRef>
              <c:f>Tools!$CG$6</c:f>
              <c:strCache>
                <c:ptCount val="1"/>
                <c:pt idx="0">
                  <c:v>0.5</c:v>
                </c:pt>
              </c:strCache>
            </c:strRef>
          </c:tx>
          <c:spPr>
            <a:ln w="3175">
              <a:solidFill>
                <a:sysClr val="windowText" lastClr="000000"/>
              </a:solidFill>
            </a:ln>
          </c:spPr>
          <c:marker>
            <c:symbol val="none"/>
          </c:marker>
          <c:xVal>
            <c:numRef>
              <c:f>Tools!$CH$6:$CI$6</c:f>
              <c:numCache>
                <c:formatCode>General</c:formatCode>
                <c:ptCount val="2"/>
                <c:pt idx="0">
                  <c:v>0.5</c:v>
                </c:pt>
                <c:pt idx="1">
                  <c:v>0.5</c:v>
                </c:pt>
              </c:numCache>
            </c:numRef>
          </c:xVal>
          <c:yVal>
            <c:numRef>
              <c:f>Tools!$CH$4:$CI$4</c:f>
              <c:numCache>
                <c:formatCode>General</c:formatCode>
                <c:ptCount val="2"/>
                <c:pt idx="0">
                  <c:v>0</c:v>
                </c:pt>
                <c:pt idx="1">
                  <c:v>7.8833333333333329</c:v>
                </c:pt>
              </c:numCache>
            </c:numRef>
          </c:yVal>
          <c:smooth val="1"/>
        </c:ser>
        <c:ser>
          <c:idx val="52"/>
          <c:order val="27"/>
          <c:tx>
            <c:strRef>
              <c:f>Tools!$CG$7</c:f>
              <c:strCache>
                <c:ptCount val="1"/>
                <c:pt idx="0">
                  <c:v>1</c:v>
                </c:pt>
              </c:strCache>
            </c:strRef>
          </c:tx>
          <c:spPr>
            <a:ln w="3175">
              <a:solidFill>
                <a:sysClr val="windowText" lastClr="000000"/>
              </a:solidFill>
            </a:ln>
          </c:spPr>
          <c:marker>
            <c:symbol val="none"/>
          </c:marker>
          <c:xVal>
            <c:numRef>
              <c:f>Tools!$CH$7:$CI$7</c:f>
              <c:numCache>
                <c:formatCode>General</c:formatCode>
                <c:ptCount val="2"/>
                <c:pt idx="0">
                  <c:v>1</c:v>
                </c:pt>
                <c:pt idx="1">
                  <c:v>1</c:v>
                </c:pt>
              </c:numCache>
            </c:numRef>
          </c:xVal>
          <c:yVal>
            <c:numRef>
              <c:f>Tools!$CH$4:$CI$4</c:f>
              <c:numCache>
                <c:formatCode>General</c:formatCode>
                <c:ptCount val="2"/>
                <c:pt idx="0">
                  <c:v>0</c:v>
                </c:pt>
                <c:pt idx="1">
                  <c:v>7.8833333333333329</c:v>
                </c:pt>
              </c:numCache>
            </c:numRef>
          </c:yVal>
          <c:smooth val="1"/>
        </c:ser>
        <c:ser>
          <c:idx val="53"/>
          <c:order val="28"/>
          <c:tx>
            <c:strRef>
              <c:f>Tools!$CG$8</c:f>
              <c:strCache>
                <c:ptCount val="1"/>
                <c:pt idx="0">
                  <c:v>1.5</c:v>
                </c:pt>
              </c:strCache>
            </c:strRef>
          </c:tx>
          <c:spPr>
            <a:ln w="3175">
              <a:solidFill>
                <a:sysClr val="windowText" lastClr="000000"/>
              </a:solidFill>
            </a:ln>
          </c:spPr>
          <c:marker>
            <c:symbol val="none"/>
          </c:marker>
          <c:xVal>
            <c:numRef>
              <c:f>Tools!$CH$8:$CI$8</c:f>
              <c:numCache>
                <c:formatCode>General</c:formatCode>
                <c:ptCount val="2"/>
                <c:pt idx="0">
                  <c:v>1.5</c:v>
                </c:pt>
                <c:pt idx="1">
                  <c:v>1.5</c:v>
                </c:pt>
              </c:numCache>
            </c:numRef>
          </c:xVal>
          <c:yVal>
            <c:numRef>
              <c:f>Tools!$CH$4:$CI$4</c:f>
              <c:numCache>
                <c:formatCode>General</c:formatCode>
                <c:ptCount val="2"/>
                <c:pt idx="0">
                  <c:v>0</c:v>
                </c:pt>
                <c:pt idx="1">
                  <c:v>7.8833333333333329</c:v>
                </c:pt>
              </c:numCache>
            </c:numRef>
          </c:yVal>
          <c:smooth val="1"/>
        </c:ser>
        <c:ser>
          <c:idx val="54"/>
          <c:order val="29"/>
          <c:tx>
            <c:strRef>
              <c:f>Tools!$CG$9</c:f>
              <c:strCache>
                <c:ptCount val="1"/>
                <c:pt idx="0">
                  <c:v>2</c:v>
                </c:pt>
              </c:strCache>
            </c:strRef>
          </c:tx>
          <c:spPr>
            <a:ln w="3175">
              <a:solidFill>
                <a:sysClr val="windowText" lastClr="000000"/>
              </a:solidFill>
            </a:ln>
          </c:spPr>
          <c:marker>
            <c:symbol val="none"/>
          </c:marker>
          <c:xVal>
            <c:numRef>
              <c:f>Tools!$CH$9:$CI$9</c:f>
              <c:numCache>
                <c:formatCode>General</c:formatCode>
                <c:ptCount val="2"/>
                <c:pt idx="0">
                  <c:v>2</c:v>
                </c:pt>
                <c:pt idx="1">
                  <c:v>2</c:v>
                </c:pt>
              </c:numCache>
            </c:numRef>
          </c:xVal>
          <c:yVal>
            <c:numRef>
              <c:f>Tools!$CH$4:$CI$4</c:f>
              <c:numCache>
                <c:formatCode>General</c:formatCode>
                <c:ptCount val="2"/>
                <c:pt idx="0">
                  <c:v>0</c:v>
                </c:pt>
                <c:pt idx="1">
                  <c:v>7.8833333333333329</c:v>
                </c:pt>
              </c:numCache>
            </c:numRef>
          </c:yVal>
          <c:smooth val="1"/>
        </c:ser>
        <c:ser>
          <c:idx val="55"/>
          <c:order val="30"/>
          <c:tx>
            <c:strRef>
              <c:f>Tools!$CG$10</c:f>
              <c:strCache>
                <c:ptCount val="1"/>
                <c:pt idx="0">
                  <c:v>3</c:v>
                </c:pt>
              </c:strCache>
            </c:strRef>
          </c:tx>
          <c:spPr>
            <a:ln w="3175">
              <a:solidFill>
                <a:sysClr val="windowText" lastClr="000000"/>
              </a:solidFill>
            </a:ln>
          </c:spPr>
          <c:marker>
            <c:symbol val="none"/>
          </c:marker>
          <c:xVal>
            <c:numRef>
              <c:f>Tools!$CH$10:$CI$10</c:f>
              <c:numCache>
                <c:formatCode>General</c:formatCode>
                <c:ptCount val="2"/>
                <c:pt idx="0">
                  <c:v>3</c:v>
                </c:pt>
                <c:pt idx="1">
                  <c:v>3</c:v>
                </c:pt>
              </c:numCache>
            </c:numRef>
          </c:xVal>
          <c:yVal>
            <c:numRef>
              <c:f>Tools!$CH$4:$CI$4</c:f>
              <c:numCache>
                <c:formatCode>General</c:formatCode>
                <c:ptCount val="2"/>
                <c:pt idx="0">
                  <c:v>0</c:v>
                </c:pt>
                <c:pt idx="1">
                  <c:v>7.8833333333333329</c:v>
                </c:pt>
              </c:numCache>
            </c:numRef>
          </c:yVal>
          <c:smooth val="1"/>
        </c:ser>
        <c:ser>
          <c:idx val="56"/>
          <c:order val="31"/>
          <c:tx>
            <c:strRef>
              <c:f>Tools!$CG$11</c:f>
              <c:strCache>
                <c:ptCount val="1"/>
                <c:pt idx="0">
                  <c:v>4</c:v>
                </c:pt>
              </c:strCache>
            </c:strRef>
          </c:tx>
          <c:spPr>
            <a:ln w="3175">
              <a:solidFill>
                <a:sysClr val="windowText" lastClr="000000"/>
              </a:solidFill>
            </a:ln>
          </c:spPr>
          <c:marker>
            <c:symbol val="none"/>
          </c:marker>
          <c:xVal>
            <c:numRef>
              <c:f>Tools!$CH$11:$CI$11</c:f>
              <c:numCache>
                <c:formatCode>General</c:formatCode>
                <c:ptCount val="2"/>
                <c:pt idx="0">
                  <c:v>4</c:v>
                </c:pt>
                <c:pt idx="1">
                  <c:v>4</c:v>
                </c:pt>
              </c:numCache>
            </c:numRef>
          </c:xVal>
          <c:yVal>
            <c:numRef>
              <c:f>Tools!$CH$4:$CI$4</c:f>
              <c:numCache>
                <c:formatCode>General</c:formatCode>
                <c:ptCount val="2"/>
                <c:pt idx="0">
                  <c:v>0</c:v>
                </c:pt>
                <c:pt idx="1">
                  <c:v>7.8833333333333329</c:v>
                </c:pt>
              </c:numCache>
            </c:numRef>
          </c:yVal>
          <c:smooth val="1"/>
        </c:ser>
        <c:ser>
          <c:idx val="57"/>
          <c:order val="32"/>
          <c:tx>
            <c:strRef>
              <c:f>Tools!$CG$12</c:f>
              <c:strCache>
                <c:ptCount val="1"/>
                <c:pt idx="0">
                  <c:v>5</c:v>
                </c:pt>
              </c:strCache>
            </c:strRef>
          </c:tx>
          <c:spPr>
            <a:ln w="3175">
              <a:solidFill>
                <a:sysClr val="windowText" lastClr="000000"/>
              </a:solidFill>
            </a:ln>
          </c:spPr>
          <c:marker>
            <c:symbol val="none"/>
          </c:marker>
          <c:xVal>
            <c:numRef>
              <c:f>Tools!$CH$12:$CI$12</c:f>
              <c:numCache>
                <c:formatCode>General</c:formatCode>
                <c:ptCount val="2"/>
                <c:pt idx="0">
                  <c:v>5</c:v>
                </c:pt>
                <c:pt idx="1">
                  <c:v>5</c:v>
                </c:pt>
              </c:numCache>
            </c:numRef>
          </c:xVal>
          <c:yVal>
            <c:numRef>
              <c:f>Tools!$CH$4:$CI$4</c:f>
              <c:numCache>
                <c:formatCode>General</c:formatCode>
                <c:ptCount val="2"/>
                <c:pt idx="0">
                  <c:v>0</c:v>
                </c:pt>
                <c:pt idx="1">
                  <c:v>7.8833333333333329</c:v>
                </c:pt>
              </c:numCache>
            </c:numRef>
          </c:yVal>
          <c:smooth val="1"/>
        </c:ser>
        <c:ser>
          <c:idx val="58"/>
          <c:order val="33"/>
          <c:tx>
            <c:strRef>
              <c:f>Tools!$CG$13</c:f>
              <c:strCache>
                <c:ptCount val="1"/>
                <c:pt idx="0">
                  <c:v>6</c:v>
                </c:pt>
              </c:strCache>
            </c:strRef>
          </c:tx>
          <c:spPr>
            <a:ln w="3175">
              <a:solidFill>
                <a:sysClr val="windowText" lastClr="000000"/>
              </a:solidFill>
            </a:ln>
          </c:spPr>
          <c:marker>
            <c:symbol val="none"/>
          </c:marker>
          <c:xVal>
            <c:numRef>
              <c:f>Tools!$CH$13:$CI$13</c:f>
              <c:numCache>
                <c:formatCode>General</c:formatCode>
                <c:ptCount val="2"/>
                <c:pt idx="0">
                  <c:v>6</c:v>
                </c:pt>
                <c:pt idx="1">
                  <c:v>6</c:v>
                </c:pt>
              </c:numCache>
            </c:numRef>
          </c:xVal>
          <c:yVal>
            <c:numRef>
              <c:f>Tools!$CH$4:$CI$4</c:f>
              <c:numCache>
                <c:formatCode>General</c:formatCode>
                <c:ptCount val="2"/>
                <c:pt idx="0">
                  <c:v>0</c:v>
                </c:pt>
                <c:pt idx="1">
                  <c:v>7.8833333333333329</c:v>
                </c:pt>
              </c:numCache>
            </c:numRef>
          </c:yVal>
          <c:smooth val="1"/>
        </c:ser>
        <c:ser>
          <c:idx val="59"/>
          <c:order val="34"/>
          <c:tx>
            <c:strRef>
              <c:f>Tools!$CG$14</c:f>
              <c:strCache>
                <c:ptCount val="1"/>
                <c:pt idx="0">
                  <c:v>7</c:v>
                </c:pt>
              </c:strCache>
            </c:strRef>
          </c:tx>
          <c:spPr>
            <a:ln w="3175">
              <a:solidFill>
                <a:sysClr val="windowText" lastClr="000000"/>
              </a:solidFill>
            </a:ln>
          </c:spPr>
          <c:marker>
            <c:symbol val="none"/>
          </c:marker>
          <c:xVal>
            <c:numRef>
              <c:f>Tools!$CH$14:$CI$14</c:f>
              <c:numCache>
                <c:formatCode>General</c:formatCode>
                <c:ptCount val="2"/>
                <c:pt idx="0">
                  <c:v>7</c:v>
                </c:pt>
                <c:pt idx="1">
                  <c:v>7</c:v>
                </c:pt>
              </c:numCache>
            </c:numRef>
          </c:xVal>
          <c:yVal>
            <c:numRef>
              <c:f>Tools!$CH$4:$CI$4</c:f>
              <c:numCache>
                <c:formatCode>General</c:formatCode>
                <c:ptCount val="2"/>
                <c:pt idx="0">
                  <c:v>0</c:v>
                </c:pt>
                <c:pt idx="1">
                  <c:v>7.8833333333333329</c:v>
                </c:pt>
              </c:numCache>
            </c:numRef>
          </c:yVal>
          <c:smooth val="1"/>
        </c:ser>
        <c:ser>
          <c:idx val="60"/>
          <c:order val="35"/>
          <c:tx>
            <c:strRef>
              <c:f>Tools!$CG$15</c:f>
              <c:strCache>
                <c:ptCount val="1"/>
                <c:pt idx="0">
                  <c:v>8</c:v>
                </c:pt>
              </c:strCache>
            </c:strRef>
          </c:tx>
          <c:spPr>
            <a:ln w="3175">
              <a:solidFill>
                <a:sysClr val="windowText" lastClr="000000"/>
              </a:solidFill>
            </a:ln>
          </c:spPr>
          <c:marker>
            <c:symbol val="none"/>
          </c:marker>
          <c:xVal>
            <c:numRef>
              <c:f>Tools!$CH$15:$CI$15</c:f>
              <c:numCache>
                <c:formatCode>General</c:formatCode>
                <c:ptCount val="2"/>
                <c:pt idx="0">
                  <c:v>8</c:v>
                </c:pt>
                <c:pt idx="1">
                  <c:v>8</c:v>
                </c:pt>
              </c:numCache>
            </c:numRef>
          </c:xVal>
          <c:yVal>
            <c:numRef>
              <c:f>Tools!$CH$4:$CI$4</c:f>
              <c:numCache>
                <c:formatCode>General</c:formatCode>
                <c:ptCount val="2"/>
                <c:pt idx="0">
                  <c:v>0</c:v>
                </c:pt>
                <c:pt idx="1">
                  <c:v>7.8833333333333329</c:v>
                </c:pt>
              </c:numCache>
            </c:numRef>
          </c:yVal>
          <c:smooth val="1"/>
        </c:ser>
        <c:ser>
          <c:idx val="61"/>
          <c:order val="36"/>
          <c:tx>
            <c:strRef>
              <c:f>Tools!$CG$16</c:f>
              <c:strCache>
                <c:ptCount val="1"/>
                <c:pt idx="0">
                  <c:v>9</c:v>
                </c:pt>
              </c:strCache>
            </c:strRef>
          </c:tx>
          <c:spPr>
            <a:ln w="3175">
              <a:solidFill>
                <a:sysClr val="windowText" lastClr="000000"/>
              </a:solidFill>
            </a:ln>
          </c:spPr>
          <c:marker>
            <c:symbol val="none"/>
          </c:marker>
          <c:xVal>
            <c:numRef>
              <c:f>Tools!$CH$16:$CI$16</c:f>
              <c:numCache>
                <c:formatCode>General</c:formatCode>
                <c:ptCount val="2"/>
                <c:pt idx="0">
                  <c:v>9</c:v>
                </c:pt>
                <c:pt idx="1">
                  <c:v>9</c:v>
                </c:pt>
              </c:numCache>
            </c:numRef>
          </c:xVal>
          <c:yVal>
            <c:numRef>
              <c:f>Tools!$CH$4:$CI$4</c:f>
              <c:numCache>
                <c:formatCode>General</c:formatCode>
                <c:ptCount val="2"/>
                <c:pt idx="0">
                  <c:v>0</c:v>
                </c:pt>
                <c:pt idx="1">
                  <c:v>7.8833333333333329</c:v>
                </c:pt>
              </c:numCache>
            </c:numRef>
          </c:yVal>
          <c:smooth val="1"/>
        </c:ser>
        <c:ser>
          <c:idx val="62"/>
          <c:order val="37"/>
          <c:tx>
            <c:strRef>
              <c:f>Tools!$CG$17</c:f>
              <c:strCache>
                <c:ptCount val="1"/>
                <c:pt idx="0">
                  <c:v>10</c:v>
                </c:pt>
              </c:strCache>
            </c:strRef>
          </c:tx>
          <c:spPr>
            <a:ln w="3175">
              <a:solidFill>
                <a:sysClr val="windowText" lastClr="000000"/>
              </a:solidFill>
            </a:ln>
          </c:spPr>
          <c:marker>
            <c:symbol val="none"/>
          </c:marker>
          <c:xVal>
            <c:numRef>
              <c:f>Tools!$CH$17:$CI$17</c:f>
              <c:numCache>
                <c:formatCode>General</c:formatCode>
                <c:ptCount val="2"/>
                <c:pt idx="0">
                  <c:v>10</c:v>
                </c:pt>
                <c:pt idx="1">
                  <c:v>10</c:v>
                </c:pt>
              </c:numCache>
            </c:numRef>
          </c:xVal>
          <c:yVal>
            <c:numRef>
              <c:f>Tools!$CH$4:$CI$4</c:f>
              <c:numCache>
                <c:formatCode>General</c:formatCode>
                <c:ptCount val="2"/>
                <c:pt idx="0">
                  <c:v>0</c:v>
                </c:pt>
                <c:pt idx="1">
                  <c:v>7.8833333333333329</c:v>
                </c:pt>
              </c:numCache>
            </c:numRef>
          </c:yVal>
          <c:smooth val="1"/>
        </c:ser>
        <c:ser>
          <c:idx val="63"/>
          <c:order val="38"/>
          <c:tx>
            <c:strRef>
              <c:f>Tools!$CG$18</c:f>
              <c:strCache>
                <c:ptCount val="1"/>
                <c:pt idx="0">
                  <c:v>11</c:v>
                </c:pt>
              </c:strCache>
            </c:strRef>
          </c:tx>
          <c:spPr>
            <a:ln w="3175">
              <a:solidFill>
                <a:sysClr val="windowText" lastClr="000000"/>
              </a:solidFill>
            </a:ln>
          </c:spPr>
          <c:marker>
            <c:symbol val="none"/>
          </c:marker>
          <c:xVal>
            <c:numRef>
              <c:f>Tools!$CH$18:$CI$18</c:f>
              <c:numCache>
                <c:formatCode>General</c:formatCode>
                <c:ptCount val="2"/>
                <c:pt idx="0">
                  <c:v>11</c:v>
                </c:pt>
                <c:pt idx="1">
                  <c:v>11</c:v>
                </c:pt>
              </c:numCache>
            </c:numRef>
          </c:xVal>
          <c:yVal>
            <c:numRef>
              <c:f>Tools!$CH$4:$CI$4</c:f>
              <c:numCache>
                <c:formatCode>General</c:formatCode>
                <c:ptCount val="2"/>
                <c:pt idx="0">
                  <c:v>0</c:v>
                </c:pt>
                <c:pt idx="1">
                  <c:v>7.8833333333333329</c:v>
                </c:pt>
              </c:numCache>
            </c:numRef>
          </c:yVal>
          <c:smooth val="1"/>
        </c:ser>
        <c:ser>
          <c:idx val="64"/>
          <c:order val="39"/>
          <c:tx>
            <c:strRef>
              <c:f>Tools!$CG$19</c:f>
              <c:strCache>
                <c:ptCount val="1"/>
                <c:pt idx="0">
                  <c:v>12</c:v>
                </c:pt>
              </c:strCache>
            </c:strRef>
          </c:tx>
          <c:spPr>
            <a:ln w="3175">
              <a:solidFill>
                <a:sysClr val="windowText" lastClr="000000"/>
              </a:solidFill>
            </a:ln>
          </c:spPr>
          <c:marker>
            <c:symbol val="none"/>
          </c:marker>
          <c:xVal>
            <c:numRef>
              <c:f>Tools!$CH$19:$CI$19</c:f>
              <c:numCache>
                <c:formatCode>General</c:formatCode>
                <c:ptCount val="2"/>
                <c:pt idx="0">
                  <c:v>12</c:v>
                </c:pt>
                <c:pt idx="1">
                  <c:v>12</c:v>
                </c:pt>
              </c:numCache>
            </c:numRef>
          </c:xVal>
          <c:yVal>
            <c:numRef>
              <c:f>Tools!$CH$4:$CI$4</c:f>
              <c:numCache>
                <c:formatCode>General</c:formatCode>
                <c:ptCount val="2"/>
                <c:pt idx="0">
                  <c:v>0</c:v>
                </c:pt>
                <c:pt idx="1">
                  <c:v>7.8833333333333329</c:v>
                </c:pt>
              </c:numCache>
            </c:numRef>
          </c:yVal>
          <c:smooth val="1"/>
        </c:ser>
        <c:ser>
          <c:idx val="65"/>
          <c:order val="40"/>
          <c:tx>
            <c:strRef>
              <c:f>Tools!$CG$20</c:f>
              <c:strCache>
                <c:ptCount val="1"/>
                <c:pt idx="0">
                  <c:v>13</c:v>
                </c:pt>
              </c:strCache>
            </c:strRef>
          </c:tx>
          <c:spPr>
            <a:ln w="3175">
              <a:solidFill>
                <a:sysClr val="windowText" lastClr="000000"/>
              </a:solidFill>
            </a:ln>
          </c:spPr>
          <c:marker>
            <c:symbol val="none"/>
          </c:marker>
          <c:xVal>
            <c:numRef>
              <c:f>Tools!$CH$20:$CI$20</c:f>
              <c:numCache>
                <c:formatCode>General</c:formatCode>
                <c:ptCount val="2"/>
                <c:pt idx="0">
                  <c:v>13</c:v>
                </c:pt>
                <c:pt idx="1">
                  <c:v>13</c:v>
                </c:pt>
              </c:numCache>
            </c:numRef>
          </c:xVal>
          <c:yVal>
            <c:numRef>
              <c:f>Tools!$CH$4:$CI$4</c:f>
              <c:numCache>
                <c:formatCode>General</c:formatCode>
                <c:ptCount val="2"/>
                <c:pt idx="0">
                  <c:v>0</c:v>
                </c:pt>
                <c:pt idx="1">
                  <c:v>7.8833333333333329</c:v>
                </c:pt>
              </c:numCache>
            </c:numRef>
          </c:yVal>
          <c:smooth val="1"/>
        </c:ser>
        <c:ser>
          <c:idx val="66"/>
          <c:order val="41"/>
          <c:tx>
            <c:strRef>
              <c:f>Tools!$CG$21</c:f>
              <c:strCache>
                <c:ptCount val="1"/>
                <c:pt idx="0">
                  <c:v>14</c:v>
                </c:pt>
              </c:strCache>
            </c:strRef>
          </c:tx>
          <c:spPr>
            <a:ln w="3175">
              <a:solidFill>
                <a:sysClr val="windowText" lastClr="000000"/>
              </a:solidFill>
            </a:ln>
          </c:spPr>
          <c:marker>
            <c:symbol val="none"/>
          </c:marker>
          <c:xVal>
            <c:numRef>
              <c:f>Tools!$CH$21:$CI$21</c:f>
              <c:numCache>
                <c:formatCode>General</c:formatCode>
                <c:ptCount val="2"/>
                <c:pt idx="0">
                  <c:v>14</c:v>
                </c:pt>
                <c:pt idx="1">
                  <c:v>14</c:v>
                </c:pt>
              </c:numCache>
            </c:numRef>
          </c:xVal>
          <c:yVal>
            <c:numRef>
              <c:f>Tools!$CH$4:$CI$4</c:f>
              <c:numCache>
                <c:formatCode>General</c:formatCode>
                <c:ptCount val="2"/>
                <c:pt idx="0">
                  <c:v>0</c:v>
                </c:pt>
                <c:pt idx="1">
                  <c:v>7.8833333333333329</c:v>
                </c:pt>
              </c:numCache>
            </c:numRef>
          </c:yVal>
          <c:smooth val="1"/>
        </c:ser>
        <c:ser>
          <c:idx val="67"/>
          <c:order val="42"/>
          <c:tx>
            <c:strRef>
              <c:f>Tools!$CG$22</c:f>
              <c:strCache>
                <c:ptCount val="1"/>
                <c:pt idx="0">
                  <c:v>15</c:v>
                </c:pt>
              </c:strCache>
            </c:strRef>
          </c:tx>
          <c:spPr>
            <a:ln w="3175">
              <a:solidFill>
                <a:sysClr val="windowText" lastClr="000000"/>
              </a:solidFill>
            </a:ln>
          </c:spPr>
          <c:marker>
            <c:symbol val="none"/>
          </c:marker>
          <c:xVal>
            <c:numRef>
              <c:f>Tools!$CH$22:$CI$22</c:f>
              <c:numCache>
                <c:formatCode>General</c:formatCode>
                <c:ptCount val="2"/>
                <c:pt idx="0">
                  <c:v>15</c:v>
                </c:pt>
                <c:pt idx="1">
                  <c:v>15</c:v>
                </c:pt>
              </c:numCache>
            </c:numRef>
          </c:xVal>
          <c:yVal>
            <c:numRef>
              <c:f>Tools!$CH$4:$CI$4</c:f>
              <c:numCache>
                <c:formatCode>General</c:formatCode>
                <c:ptCount val="2"/>
                <c:pt idx="0">
                  <c:v>0</c:v>
                </c:pt>
                <c:pt idx="1">
                  <c:v>7.8833333333333329</c:v>
                </c:pt>
              </c:numCache>
            </c:numRef>
          </c:yVal>
          <c:smooth val="1"/>
        </c:ser>
        <c:ser>
          <c:idx val="68"/>
          <c:order val="43"/>
          <c:tx>
            <c:strRef>
              <c:f>Tools!$CG$23</c:f>
              <c:strCache>
                <c:ptCount val="1"/>
                <c:pt idx="0">
                  <c:v>16</c:v>
                </c:pt>
              </c:strCache>
            </c:strRef>
          </c:tx>
          <c:spPr>
            <a:ln w="3175">
              <a:solidFill>
                <a:sysClr val="windowText" lastClr="000000"/>
              </a:solidFill>
            </a:ln>
          </c:spPr>
          <c:marker>
            <c:symbol val="none"/>
          </c:marker>
          <c:xVal>
            <c:numRef>
              <c:f>Tools!$CH$23:$CI$23</c:f>
              <c:numCache>
                <c:formatCode>General</c:formatCode>
                <c:ptCount val="2"/>
                <c:pt idx="0">
                  <c:v>16</c:v>
                </c:pt>
                <c:pt idx="1">
                  <c:v>16</c:v>
                </c:pt>
              </c:numCache>
            </c:numRef>
          </c:xVal>
          <c:yVal>
            <c:numRef>
              <c:f>Tools!$CH$4:$CI$4</c:f>
              <c:numCache>
                <c:formatCode>General</c:formatCode>
                <c:ptCount val="2"/>
                <c:pt idx="0">
                  <c:v>0</c:v>
                </c:pt>
                <c:pt idx="1">
                  <c:v>7.8833333333333329</c:v>
                </c:pt>
              </c:numCache>
            </c:numRef>
          </c:yVal>
          <c:smooth val="1"/>
        </c:ser>
        <c:ser>
          <c:idx val="69"/>
          <c:order val="44"/>
          <c:tx>
            <c:strRef>
              <c:f>Tools!$CG$24</c:f>
              <c:strCache>
                <c:ptCount val="1"/>
                <c:pt idx="0">
                  <c:v>17</c:v>
                </c:pt>
              </c:strCache>
            </c:strRef>
          </c:tx>
          <c:spPr>
            <a:ln w="3175">
              <a:solidFill>
                <a:sysClr val="windowText" lastClr="000000"/>
              </a:solidFill>
            </a:ln>
          </c:spPr>
          <c:marker>
            <c:symbol val="none"/>
          </c:marker>
          <c:xVal>
            <c:numRef>
              <c:f>Tools!$CH$24:$CI$24</c:f>
              <c:numCache>
                <c:formatCode>General</c:formatCode>
                <c:ptCount val="2"/>
                <c:pt idx="0">
                  <c:v>17</c:v>
                </c:pt>
                <c:pt idx="1">
                  <c:v>17</c:v>
                </c:pt>
              </c:numCache>
            </c:numRef>
          </c:xVal>
          <c:yVal>
            <c:numRef>
              <c:f>Tools!$CH$4:$CI$4</c:f>
              <c:numCache>
                <c:formatCode>General</c:formatCode>
                <c:ptCount val="2"/>
                <c:pt idx="0">
                  <c:v>0</c:v>
                </c:pt>
                <c:pt idx="1">
                  <c:v>7.8833333333333329</c:v>
                </c:pt>
              </c:numCache>
            </c:numRef>
          </c:yVal>
          <c:smooth val="1"/>
        </c:ser>
        <c:ser>
          <c:idx val="70"/>
          <c:order val="45"/>
          <c:tx>
            <c:strRef>
              <c:f>Tools!$CG$25</c:f>
              <c:strCache>
                <c:ptCount val="1"/>
                <c:pt idx="0">
                  <c:v>18</c:v>
                </c:pt>
              </c:strCache>
            </c:strRef>
          </c:tx>
          <c:spPr>
            <a:ln w="3175">
              <a:solidFill>
                <a:sysClr val="windowText" lastClr="000000"/>
              </a:solidFill>
            </a:ln>
          </c:spPr>
          <c:marker>
            <c:symbol val="none"/>
          </c:marker>
          <c:xVal>
            <c:numRef>
              <c:f>Tools!$CH$25:$CI$25</c:f>
              <c:numCache>
                <c:formatCode>General</c:formatCode>
                <c:ptCount val="2"/>
                <c:pt idx="0">
                  <c:v>18</c:v>
                </c:pt>
                <c:pt idx="1">
                  <c:v>18</c:v>
                </c:pt>
              </c:numCache>
            </c:numRef>
          </c:xVal>
          <c:yVal>
            <c:numRef>
              <c:f>Tools!$CH$4:$CI$4</c:f>
              <c:numCache>
                <c:formatCode>General</c:formatCode>
                <c:ptCount val="2"/>
                <c:pt idx="0">
                  <c:v>0</c:v>
                </c:pt>
                <c:pt idx="1">
                  <c:v>7.8833333333333329</c:v>
                </c:pt>
              </c:numCache>
            </c:numRef>
          </c:yVal>
          <c:smooth val="1"/>
        </c:ser>
        <c:ser>
          <c:idx val="71"/>
          <c:order val="46"/>
          <c:tx>
            <c:strRef>
              <c:f>Tools!$CG$26</c:f>
              <c:strCache>
                <c:ptCount val="1"/>
                <c:pt idx="0">
                  <c:v>18.5</c:v>
                </c:pt>
              </c:strCache>
            </c:strRef>
          </c:tx>
          <c:spPr>
            <a:ln w="3175">
              <a:solidFill>
                <a:sysClr val="windowText" lastClr="000000"/>
              </a:solidFill>
            </a:ln>
          </c:spPr>
          <c:marker>
            <c:symbol val="none"/>
          </c:marker>
          <c:xVal>
            <c:numRef>
              <c:f>Tools!$CH$26:$CI$26</c:f>
              <c:numCache>
                <c:formatCode>General</c:formatCode>
                <c:ptCount val="2"/>
                <c:pt idx="0">
                  <c:v>18.5</c:v>
                </c:pt>
                <c:pt idx="1">
                  <c:v>18.5</c:v>
                </c:pt>
              </c:numCache>
            </c:numRef>
          </c:xVal>
          <c:yVal>
            <c:numRef>
              <c:f>Tools!$CH$4:$CI$4</c:f>
              <c:numCache>
                <c:formatCode>General</c:formatCode>
                <c:ptCount val="2"/>
                <c:pt idx="0">
                  <c:v>0</c:v>
                </c:pt>
                <c:pt idx="1">
                  <c:v>7.8833333333333329</c:v>
                </c:pt>
              </c:numCache>
            </c:numRef>
          </c:yVal>
          <c:smooth val="1"/>
        </c:ser>
        <c:ser>
          <c:idx val="72"/>
          <c:order val="47"/>
          <c:tx>
            <c:strRef>
              <c:f>Tools!$CG$27</c:f>
              <c:strCache>
                <c:ptCount val="1"/>
                <c:pt idx="0">
                  <c:v>19</c:v>
                </c:pt>
              </c:strCache>
            </c:strRef>
          </c:tx>
          <c:spPr>
            <a:ln w="3175">
              <a:solidFill>
                <a:sysClr val="windowText" lastClr="000000"/>
              </a:solidFill>
            </a:ln>
          </c:spPr>
          <c:marker>
            <c:symbol val="none"/>
          </c:marker>
          <c:xVal>
            <c:numRef>
              <c:f>Tools!$CH$27:$CI$27</c:f>
              <c:numCache>
                <c:formatCode>General</c:formatCode>
                <c:ptCount val="2"/>
                <c:pt idx="0">
                  <c:v>19</c:v>
                </c:pt>
                <c:pt idx="1">
                  <c:v>19</c:v>
                </c:pt>
              </c:numCache>
            </c:numRef>
          </c:xVal>
          <c:yVal>
            <c:numRef>
              <c:f>Tools!$CH$4:$CI$4</c:f>
              <c:numCache>
                <c:formatCode>General</c:formatCode>
                <c:ptCount val="2"/>
                <c:pt idx="0">
                  <c:v>0</c:v>
                </c:pt>
                <c:pt idx="1">
                  <c:v>7.8833333333333329</c:v>
                </c:pt>
              </c:numCache>
            </c:numRef>
          </c:yVal>
          <c:smooth val="1"/>
        </c:ser>
        <c:ser>
          <c:idx val="73"/>
          <c:order val="48"/>
          <c:tx>
            <c:strRef>
              <c:f>Tools!$CG$28</c:f>
              <c:strCache>
                <c:ptCount val="1"/>
                <c:pt idx="0">
                  <c:v>19.5</c:v>
                </c:pt>
              </c:strCache>
            </c:strRef>
          </c:tx>
          <c:spPr>
            <a:ln w="3175">
              <a:solidFill>
                <a:sysClr val="windowText" lastClr="000000"/>
              </a:solidFill>
            </a:ln>
          </c:spPr>
          <c:marker>
            <c:symbol val="none"/>
          </c:marker>
          <c:xVal>
            <c:numRef>
              <c:f>Tools!$CH$28:$CI$28</c:f>
              <c:numCache>
                <c:formatCode>General</c:formatCode>
                <c:ptCount val="2"/>
                <c:pt idx="0">
                  <c:v>19.5</c:v>
                </c:pt>
                <c:pt idx="1">
                  <c:v>19.5</c:v>
                </c:pt>
              </c:numCache>
            </c:numRef>
          </c:xVal>
          <c:yVal>
            <c:numRef>
              <c:f>Tools!$CH$4:$CI$4</c:f>
              <c:numCache>
                <c:formatCode>General</c:formatCode>
                <c:ptCount val="2"/>
                <c:pt idx="0">
                  <c:v>0</c:v>
                </c:pt>
                <c:pt idx="1">
                  <c:v>7.8833333333333329</c:v>
                </c:pt>
              </c:numCache>
            </c:numRef>
          </c:yVal>
          <c:smooth val="1"/>
        </c:ser>
        <c:ser>
          <c:idx val="74"/>
          <c:order val="49"/>
          <c:tx>
            <c:strRef>
              <c:f>Tools!$CG$29</c:f>
              <c:strCache>
                <c:ptCount val="1"/>
                <c:pt idx="0">
                  <c:v>20</c:v>
                </c:pt>
              </c:strCache>
            </c:strRef>
          </c:tx>
          <c:spPr>
            <a:ln w="3175">
              <a:solidFill>
                <a:sysClr val="windowText" lastClr="000000"/>
              </a:solidFill>
            </a:ln>
          </c:spPr>
          <c:marker>
            <c:symbol val="none"/>
          </c:marker>
          <c:xVal>
            <c:numRef>
              <c:f>Tools!$CH$29:$CI$29</c:f>
              <c:numCache>
                <c:formatCode>General</c:formatCode>
                <c:ptCount val="2"/>
                <c:pt idx="0">
                  <c:v>20</c:v>
                </c:pt>
                <c:pt idx="1">
                  <c:v>20</c:v>
                </c:pt>
              </c:numCache>
            </c:numRef>
          </c:xVal>
          <c:yVal>
            <c:numRef>
              <c:f>Tools!$CH$4:$CI$4</c:f>
              <c:numCache>
                <c:formatCode>General</c:formatCode>
                <c:ptCount val="2"/>
                <c:pt idx="0">
                  <c:v>0</c:v>
                </c:pt>
                <c:pt idx="1">
                  <c:v>7.8833333333333329</c:v>
                </c:pt>
              </c:numCache>
            </c:numRef>
          </c:yVal>
          <c:smooth val="1"/>
        </c:ser>
        <c:ser>
          <c:idx val="75"/>
          <c:order val="50"/>
          <c:tx>
            <c:strRef>
              <c:f>Tools!$CG$31</c:f>
              <c:strCache>
                <c:ptCount val="1"/>
                <c:pt idx="0">
                  <c:v>MDK</c:v>
                </c:pt>
              </c:strCache>
            </c:strRef>
          </c:tx>
          <c:spPr>
            <a:ln w="3175">
              <a:solidFill>
                <a:schemeClr val="tx2">
                  <a:lumMod val="60000"/>
                  <a:lumOff val="40000"/>
                </a:schemeClr>
              </a:solidFill>
            </a:ln>
          </c:spPr>
          <c:marker>
            <c:symbol val="none"/>
          </c:marker>
          <c:xVal>
            <c:numRef>
              <c:f>Tools!$CH$31:$CI$31</c:f>
              <c:numCache>
                <c:formatCode>General</c:formatCode>
                <c:ptCount val="2"/>
                <c:pt idx="0">
                  <c:v>0</c:v>
                </c:pt>
                <c:pt idx="1">
                  <c:v>20</c:v>
                </c:pt>
              </c:numCache>
            </c:numRef>
          </c:xVal>
          <c:yVal>
            <c:numRef>
              <c:f>Tools!$CH$32:$CI$32</c:f>
              <c:numCache>
                <c:formatCode>General</c:formatCode>
                <c:ptCount val="2"/>
                <c:pt idx="0">
                  <c:v>7.8833333333333329</c:v>
                </c:pt>
                <c:pt idx="1">
                  <c:v>7.8833333333333329</c:v>
                </c:pt>
              </c:numCache>
            </c:numRef>
          </c:yVal>
          <c:smooth val="1"/>
        </c:ser>
        <c:ser>
          <c:idx val="76"/>
          <c:order val="51"/>
          <c:tx>
            <c:strRef>
              <c:f>Tools!$CG$34</c:f>
              <c:strCache>
                <c:ptCount val="1"/>
                <c:pt idx="0">
                  <c:v>LWL</c:v>
                </c:pt>
              </c:strCache>
            </c:strRef>
          </c:tx>
          <c:spPr>
            <a:ln w="3175">
              <a:solidFill>
                <a:schemeClr val="accent4">
                  <a:lumMod val="75000"/>
                </a:schemeClr>
              </a:solidFill>
            </a:ln>
          </c:spPr>
          <c:marker>
            <c:symbol val="none"/>
          </c:marker>
          <c:xVal>
            <c:numRef>
              <c:f>Tools!$CH$34:$CI$34</c:f>
              <c:numCache>
                <c:formatCode>General</c:formatCode>
                <c:ptCount val="2"/>
                <c:pt idx="0">
                  <c:v>0</c:v>
                </c:pt>
                <c:pt idx="1">
                  <c:v>20</c:v>
                </c:pt>
              </c:numCache>
            </c:numRef>
          </c:xVal>
          <c:yVal>
            <c:numRef>
              <c:f>Tools!$CH$35:$CI$35</c:f>
              <c:numCache>
                <c:formatCode>General</c:formatCode>
                <c:ptCount val="2"/>
                <c:pt idx="0">
                  <c:v>5.6111111111111107</c:v>
                </c:pt>
                <c:pt idx="1">
                  <c:v>5.6111111111111107</c:v>
                </c:pt>
              </c:numCache>
            </c:numRef>
          </c:yVal>
          <c:smooth val="1"/>
        </c:ser>
        <c:ser>
          <c:idx val="77"/>
          <c:order val="52"/>
          <c:tx>
            <c:strRef>
              <c:f>Tools!$CG$37</c:f>
              <c:strCache>
                <c:ptCount val="1"/>
                <c:pt idx="0">
                  <c:v>KEEL</c:v>
                </c:pt>
              </c:strCache>
            </c:strRef>
          </c:tx>
          <c:spPr>
            <a:ln w="3175">
              <a:solidFill>
                <a:sysClr val="windowText" lastClr="000000"/>
              </a:solidFill>
            </a:ln>
          </c:spPr>
          <c:marker>
            <c:symbol val="none"/>
          </c:marker>
          <c:xVal>
            <c:numRef>
              <c:f>Tools!$CH$37:$CI$37</c:f>
              <c:numCache>
                <c:formatCode>General</c:formatCode>
                <c:ptCount val="2"/>
                <c:pt idx="0">
                  <c:v>0</c:v>
                </c:pt>
                <c:pt idx="1">
                  <c:v>20</c:v>
                </c:pt>
              </c:numCache>
            </c:numRef>
          </c:xVal>
          <c:yVal>
            <c:numRef>
              <c:f>Tools!$CH$38:$CI$38</c:f>
              <c:numCache>
                <c:formatCode>General</c:formatCode>
                <c:ptCount val="2"/>
                <c:pt idx="0">
                  <c:v>3.9416666666666662E-2</c:v>
                </c:pt>
                <c:pt idx="1">
                  <c:v>3.9416666666666662E-2</c:v>
                </c:pt>
              </c:numCache>
            </c:numRef>
          </c:yVal>
          <c:smooth val="1"/>
        </c:ser>
        <c:dLbls>
          <c:showLegendKey val="0"/>
          <c:showVal val="0"/>
          <c:showCatName val="0"/>
          <c:showSerName val="0"/>
          <c:showPercent val="0"/>
          <c:showBubbleSize val="0"/>
        </c:dLbls>
        <c:axId val="532309504"/>
        <c:axId val="532311040"/>
      </c:scatterChart>
      <c:valAx>
        <c:axId val="532309504"/>
        <c:scaling>
          <c:orientation val="minMax"/>
          <c:max val="21"/>
          <c:min val="0"/>
        </c:scaling>
        <c:delete val="0"/>
        <c:axPos val="b"/>
        <c:numFmt formatCode="General" sourceLinked="1"/>
        <c:majorTickMark val="out"/>
        <c:minorTickMark val="none"/>
        <c:tickLblPos val="nextTo"/>
        <c:spPr>
          <a:ln>
            <a:solidFill>
              <a:schemeClr val="bg1"/>
            </a:solidFill>
          </a:ln>
        </c:spPr>
        <c:crossAx val="532311040"/>
        <c:crosses val="autoZero"/>
        <c:crossBetween val="midCat"/>
        <c:majorUnit val="1"/>
        <c:minorUnit val="1"/>
      </c:valAx>
      <c:valAx>
        <c:axId val="532311040"/>
        <c:scaling>
          <c:orientation val="minMax"/>
        </c:scaling>
        <c:delete val="0"/>
        <c:axPos val="l"/>
        <c:majorGridlines>
          <c:spPr>
            <a:ln>
              <a:solidFill>
                <a:schemeClr val="tx1">
                  <a:alpha val="7000"/>
                </a:schemeClr>
              </a:solidFill>
            </a:ln>
          </c:spPr>
        </c:majorGridlines>
        <c:numFmt formatCode="General" sourceLinked="1"/>
        <c:majorTickMark val="out"/>
        <c:minorTickMark val="none"/>
        <c:tickLblPos val="nextTo"/>
        <c:spPr>
          <a:ln>
            <a:solidFill>
              <a:schemeClr val="accent1">
                <a:lumMod val="40000"/>
                <a:lumOff val="60000"/>
                <a:alpha val="12000"/>
              </a:schemeClr>
            </a:solidFill>
          </a:ln>
        </c:spPr>
        <c:crossAx val="532309504"/>
        <c:crossesAt val="0"/>
        <c:crossBetween val="midCat"/>
      </c:valAx>
      <c:spPr>
        <a:ln>
          <a:solidFill>
            <a:schemeClr val="bg1"/>
          </a:solidFill>
        </a:ln>
      </c:spPr>
    </c:plotArea>
    <c:plotVisOnly val="1"/>
    <c:dispBlanksAs val="span"/>
    <c:showDLblsOverMax val="0"/>
  </c:chart>
  <c:txPr>
    <a:bodyPr/>
    <a:lstStyle/>
    <a:p>
      <a:pPr>
        <a:defRPr sz="90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426086508188016E-2"/>
          <c:y val="9.9085606599000189E-2"/>
          <c:w val="0.81325907121528207"/>
          <c:h val="0.84052251702291791"/>
        </c:manualLayout>
      </c:layout>
      <c:scatterChart>
        <c:scatterStyle val="smoothMarker"/>
        <c:varyColors val="0"/>
        <c:ser>
          <c:idx val="0"/>
          <c:order val="0"/>
          <c:tx>
            <c:strRef>
              <c:f>Tools!$D$211</c:f>
              <c:strCache>
                <c:ptCount val="1"/>
                <c:pt idx="0">
                  <c:v>AWP</c:v>
                </c:pt>
              </c:strCache>
            </c:strRef>
          </c:tx>
          <c:spPr>
            <a:ln w="3175"/>
          </c:spPr>
          <c:marker>
            <c:symbol val="none"/>
          </c:marker>
          <c:xVal>
            <c:numRef>
              <c:f>Tools!$E$211:$AC$211</c:f>
              <c:numCache>
                <c:formatCode>General</c:formatCode>
                <c:ptCount val="25"/>
                <c:pt idx="0">
                  <c:v>10.86</c:v>
                </c:pt>
                <c:pt idx="1">
                  <c:v>11.423</c:v>
                </c:pt>
                <c:pt idx="2">
                  <c:v>11.67</c:v>
                </c:pt>
                <c:pt idx="3">
                  <c:v>11.833</c:v>
                </c:pt>
                <c:pt idx="4">
                  <c:v>11.955</c:v>
                </c:pt>
                <c:pt idx="5">
                  <c:v>12.153</c:v>
                </c:pt>
                <c:pt idx="6">
                  <c:v>12.323</c:v>
                </c:pt>
                <c:pt idx="7">
                  <c:v>12.529</c:v>
                </c:pt>
                <c:pt idx="8">
                  <c:v>12.667999999999999</c:v>
                </c:pt>
                <c:pt idx="9">
                  <c:v>12.736000000000001</c:v>
                </c:pt>
                <c:pt idx="10">
                  <c:v>12.862</c:v>
                </c:pt>
                <c:pt idx="11">
                  <c:v>13.009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
          <c:order val="1"/>
          <c:tx>
            <c:strRef>
              <c:f>Tools!$D$212</c:f>
              <c:strCache>
                <c:ptCount val="1"/>
                <c:pt idx="0">
                  <c:v>Mmid</c:v>
                </c:pt>
              </c:strCache>
            </c:strRef>
          </c:tx>
          <c:spPr>
            <a:ln w="3175"/>
          </c:spPr>
          <c:marker>
            <c:symbol val="none"/>
          </c:marker>
          <c:xVal>
            <c:numRef>
              <c:f>Tools!$E$212:$AC$212</c:f>
              <c:numCache>
                <c:formatCode>General</c:formatCode>
                <c:ptCount val="25"/>
                <c:pt idx="0">
                  <c:v>10.412000000000001</c:v>
                </c:pt>
                <c:pt idx="1">
                  <c:v>10.284000000000001</c:v>
                </c:pt>
                <c:pt idx="2">
                  <c:v>10.364000000000001</c:v>
                </c:pt>
                <c:pt idx="3">
                  <c:v>10.368</c:v>
                </c:pt>
                <c:pt idx="4">
                  <c:v>10.294</c:v>
                </c:pt>
                <c:pt idx="5">
                  <c:v>9.9440000000000008</c:v>
                </c:pt>
                <c:pt idx="6">
                  <c:v>9.4600000000000009</c:v>
                </c:pt>
                <c:pt idx="7">
                  <c:v>8.7970000000000006</c:v>
                </c:pt>
                <c:pt idx="8">
                  <c:v>8.4079999999999995</c:v>
                </c:pt>
                <c:pt idx="9">
                  <c:v>8.3089999999999993</c:v>
                </c:pt>
                <c:pt idx="10">
                  <c:v>8.3729999999999993</c:v>
                </c:pt>
                <c:pt idx="11">
                  <c:v>8.8919999999999995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
          <c:order val="2"/>
          <c:spPr>
            <a:ln w="3175"/>
          </c:spPr>
          <c:marker>
            <c:symbol val="none"/>
          </c:marker>
          <c:xVal>
            <c:numRef>
              <c:f>Tools!$E$213:$AC$213</c:f>
              <c:numCache>
                <c:formatCode>General</c:formatCode>
                <c:ptCount val="25"/>
                <c:pt idx="0">
                  <c:v>14.792</c:v>
                </c:pt>
                <c:pt idx="1">
                  <c:v>11.997999999999999</c:v>
                </c:pt>
                <c:pt idx="2">
                  <c:v>12.179</c:v>
                </c:pt>
                <c:pt idx="3">
                  <c:v>12.007</c:v>
                </c:pt>
                <c:pt idx="4">
                  <c:v>11.503</c:v>
                </c:pt>
                <c:pt idx="5">
                  <c:v>9.74</c:v>
                </c:pt>
                <c:pt idx="6">
                  <c:v>7.6769999999999996</c:v>
                </c:pt>
                <c:pt idx="7">
                  <c:v>5.2409999999999997</c:v>
                </c:pt>
                <c:pt idx="8">
                  <c:v>4.0330000000000004</c:v>
                </c:pt>
                <c:pt idx="9">
                  <c:v>3.819</c:v>
                </c:pt>
                <c:pt idx="10">
                  <c:v>4.3159999999999998</c:v>
                </c:pt>
                <c:pt idx="11">
                  <c:v>6.3179999999999996</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
          <c:order val="3"/>
          <c:tx>
            <c:strRef>
              <c:f>Tools!$D$214</c:f>
              <c:strCache>
                <c:ptCount val="1"/>
                <c:pt idx="0">
                  <c:v>IL</c:v>
                </c:pt>
              </c:strCache>
            </c:strRef>
          </c:tx>
          <c:spPr>
            <a:ln w="3175">
              <a:solidFill>
                <a:srgbClr val="FF0000"/>
              </a:solidFill>
            </a:ln>
          </c:spPr>
          <c:marker>
            <c:symbol val="none"/>
          </c:marker>
          <c:xVal>
            <c:numRef>
              <c:f>Tools!$E$214:$AC$214</c:f>
              <c:numCache>
                <c:formatCode>General</c:formatCode>
                <c:ptCount val="25"/>
                <c:pt idx="0">
                  <c:v>10.333</c:v>
                </c:pt>
                <c:pt idx="1">
                  <c:v>10.782999999999999</c:v>
                </c:pt>
                <c:pt idx="2">
                  <c:v>11.035</c:v>
                </c:pt>
                <c:pt idx="3">
                  <c:v>11.225</c:v>
                </c:pt>
                <c:pt idx="4">
                  <c:v>11.377000000000001</c:v>
                </c:pt>
                <c:pt idx="5">
                  <c:v>11.68</c:v>
                </c:pt>
                <c:pt idx="6">
                  <c:v>11.993</c:v>
                </c:pt>
                <c:pt idx="7">
                  <c:v>12.523</c:v>
                </c:pt>
                <c:pt idx="8">
                  <c:v>12.961</c:v>
                </c:pt>
                <c:pt idx="9">
                  <c:v>13.169</c:v>
                </c:pt>
                <c:pt idx="10">
                  <c:v>13.538</c:v>
                </c:pt>
                <c:pt idx="11">
                  <c:v>13.917999999999999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
          <c:order val="4"/>
          <c:tx>
            <c:strRef>
              <c:f>Tools!$D$215</c:f>
              <c:strCache>
                <c:ptCount val="1"/>
                <c:pt idx="0">
                  <c:v>IT</c:v>
                </c:pt>
              </c:strCache>
            </c:strRef>
          </c:tx>
          <c:spPr>
            <a:ln w="3175"/>
          </c:spPr>
          <c:marker>
            <c:symbol val="none"/>
          </c:marker>
          <c:xVal>
            <c:numRef>
              <c:f>Tools!$E$215:$AC$215</c:f>
              <c:numCache>
                <c:formatCode>General</c:formatCode>
                <c:ptCount val="25"/>
                <c:pt idx="0">
                  <c:v>10.125</c:v>
                </c:pt>
                <c:pt idx="1">
                  <c:v>10.36</c:v>
                </c:pt>
                <c:pt idx="2">
                  <c:v>10.513</c:v>
                </c:pt>
                <c:pt idx="3">
                  <c:v>10.622999999999999</c:v>
                </c:pt>
                <c:pt idx="4">
                  <c:v>10.708</c:v>
                </c:pt>
                <c:pt idx="5">
                  <c:v>10.836</c:v>
                </c:pt>
                <c:pt idx="6">
                  <c:v>10.955</c:v>
                </c:pt>
                <c:pt idx="7">
                  <c:v>11.071</c:v>
                </c:pt>
                <c:pt idx="8">
                  <c:v>11.141999999999999</c:v>
                </c:pt>
                <c:pt idx="9">
                  <c:v>11.186</c:v>
                </c:pt>
                <c:pt idx="10">
                  <c:v>11.282</c:v>
                </c:pt>
                <c:pt idx="11">
                  <c:v>11.407999999999999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
          <c:order val="5"/>
          <c:tx>
            <c:strRef>
              <c:f>Tools!$D$216</c:f>
              <c:strCache>
                <c:ptCount val="1"/>
                <c:pt idx="0">
                  <c:v>IF</c:v>
                </c:pt>
              </c:strCache>
            </c:strRef>
          </c:tx>
          <c:spPr>
            <a:ln w="3175">
              <a:solidFill>
                <a:srgbClr val="00FF00"/>
              </a:solidFill>
            </a:ln>
          </c:spPr>
          <c:marker>
            <c:symbol val="none"/>
          </c:marker>
          <c:xVal>
            <c:numRef>
              <c:f>Tools!$E$216:$AC$216</c:f>
              <c:numCache>
                <c:formatCode>General</c:formatCode>
                <c:ptCount val="25"/>
                <c:pt idx="0">
                  <c:v>10.313000000000001</c:v>
                </c:pt>
                <c:pt idx="1">
                  <c:v>10.776999999999999</c:v>
                </c:pt>
                <c:pt idx="2">
                  <c:v>11.028</c:v>
                </c:pt>
                <c:pt idx="3">
                  <c:v>11.218</c:v>
                </c:pt>
                <c:pt idx="4">
                  <c:v>11.372</c:v>
                </c:pt>
                <c:pt idx="5">
                  <c:v>11.68</c:v>
                </c:pt>
                <c:pt idx="6">
                  <c:v>11.98</c:v>
                </c:pt>
                <c:pt idx="7">
                  <c:v>12.466000000000001</c:v>
                </c:pt>
                <c:pt idx="8">
                  <c:v>12.866</c:v>
                </c:pt>
                <c:pt idx="9">
                  <c:v>13.064</c:v>
                </c:pt>
                <c:pt idx="10">
                  <c:v>13.445</c:v>
                </c:pt>
                <c:pt idx="11">
                  <c:v>13.876999999999999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6"/>
          <c:order val="6"/>
          <c:tx>
            <c:strRef>
              <c:f>Tools!$D$217</c:f>
              <c:strCache>
                <c:ptCount val="1"/>
                <c:pt idx="0">
                  <c:v>▼</c:v>
                </c:pt>
              </c:strCache>
            </c:strRef>
          </c:tx>
          <c:spPr>
            <a:ln w="3175"/>
          </c:spPr>
          <c:marker>
            <c:symbol val="none"/>
          </c:marker>
          <c:xVal>
            <c:numRef>
              <c:f>Tools!$E$217:$AC$217</c:f>
              <c:numCache>
                <c:formatCode>General</c:formatCode>
                <c:ptCount val="25"/>
                <c:pt idx="0">
                  <c:v>0</c:v>
                </c:pt>
                <c:pt idx="1">
                  <c:v>0.105</c:v>
                </c:pt>
                <c:pt idx="2">
                  <c:v>0.246</c:v>
                </c:pt>
                <c:pt idx="3">
                  <c:v>0.40300000000000002</c:v>
                </c:pt>
                <c:pt idx="4">
                  <c:v>0.57499999999999996</c:v>
                </c:pt>
                <c:pt idx="5">
                  <c:v>0.94499999999999995</c:v>
                </c:pt>
                <c:pt idx="6">
                  <c:v>1.3480000000000001</c:v>
                </c:pt>
                <c:pt idx="7">
                  <c:v>1.7829999999999999</c:v>
                </c:pt>
                <c:pt idx="8">
                  <c:v>2.0680000000000001</c:v>
                </c:pt>
                <c:pt idx="9">
                  <c:v>2.2589999999999999</c:v>
                </c:pt>
                <c:pt idx="10">
                  <c:v>2.762</c:v>
                </c:pt>
                <c:pt idx="11">
                  <c:v>3.2290000000000001</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7"/>
          <c:order val="7"/>
          <c:tx>
            <c:strRef>
              <c:f>Tools!$D$218</c:f>
              <c:strCache>
                <c:ptCount val="1"/>
                <c:pt idx="0">
                  <c:v>▲</c:v>
                </c:pt>
              </c:strCache>
            </c:strRef>
          </c:tx>
          <c:spPr>
            <a:ln w="3175"/>
          </c:spPr>
          <c:marker>
            <c:symbol val="none"/>
          </c:marker>
          <c:xVal>
            <c:numRef>
              <c:f>Tools!$E$218:$AC$218</c:f>
              <c:numCache>
                <c:formatCode>General</c:formatCode>
                <c:ptCount val="25"/>
                <c:pt idx="0">
                  <c:v>0</c:v>
                </c:pt>
                <c:pt idx="1">
                  <c:v>0.108</c:v>
                </c:pt>
                <c:pt idx="2">
                  <c:v>0.254</c:v>
                </c:pt>
                <c:pt idx="3">
                  <c:v>0.41499999999999998</c:v>
                </c:pt>
                <c:pt idx="4">
                  <c:v>0.59299999999999997</c:v>
                </c:pt>
                <c:pt idx="5">
                  <c:v>0.97399999999999998</c:v>
                </c:pt>
                <c:pt idx="6">
                  <c:v>1.39</c:v>
                </c:pt>
                <c:pt idx="7">
                  <c:v>1.8380000000000001</c:v>
                </c:pt>
                <c:pt idx="8">
                  <c:v>2.133</c:v>
                </c:pt>
                <c:pt idx="9">
                  <c:v>2.33</c:v>
                </c:pt>
                <c:pt idx="10">
                  <c:v>2.8479999999999999</c:v>
                </c:pt>
                <c:pt idx="11">
                  <c:v>3.3290000000000002</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8"/>
          <c:order val="8"/>
          <c:tx>
            <c:strRef>
              <c:f>Tools!$D$219</c:f>
              <c:strCache>
                <c:ptCount val="1"/>
                <c:pt idx="0">
                  <c:v>MT</c:v>
                </c:pt>
              </c:strCache>
            </c:strRef>
          </c:tx>
          <c:spPr>
            <a:ln w="3175">
              <a:solidFill>
                <a:schemeClr val="tx2">
                  <a:lumMod val="75000"/>
                </a:schemeClr>
              </a:solidFill>
            </a:ln>
          </c:spPr>
          <c:marker>
            <c:symbol val="none"/>
          </c:marker>
          <c:xVal>
            <c:numRef>
              <c:f>Tools!$E$219:$AC$219</c:f>
              <c:numCache>
                <c:formatCode>General</c:formatCode>
                <c:ptCount val="25"/>
                <c:pt idx="0">
                  <c:v>0</c:v>
                </c:pt>
                <c:pt idx="1">
                  <c:v>5.0000000000000001E-3</c:v>
                </c:pt>
                <c:pt idx="2">
                  <c:v>2.4E-2</c:v>
                </c:pt>
                <c:pt idx="3">
                  <c:v>0.06</c:v>
                </c:pt>
                <c:pt idx="4">
                  <c:v>0.114</c:v>
                </c:pt>
                <c:pt idx="5">
                  <c:v>0.28100000000000003</c:v>
                </c:pt>
                <c:pt idx="6">
                  <c:v>0.53500000000000003</c:v>
                </c:pt>
                <c:pt idx="7">
                  <c:v>0.88800000000000001</c:v>
                </c:pt>
                <c:pt idx="8">
                  <c:v>1.161</c:v>
                </c:pt>
                <c:pt idx="9">
                  <c:v>1.36</c:v>
                </c:pt>
                <c:pt idx="10">
                  <c:v>1.95</c:v>
                </c:pt>
                <c:pt idx="11">
                  <c:v>2.5750000000000002</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9"/>
          <c:order val="9"/>
          <c:tx>
            <c:strRef>
              <c:f>Tools!$D$220</c:f>
              <c:strCache>
                <c:ptCount val="1"/>
                <c:pt idx="0">
                  <c:v>ML</c:v>
                </c:pt>
              </c:strCache>
            </c:strRef>
          </c:tx>
          <c:spPr>
            <a:ln w="3175"/>
          </c:spPr>
          <c:marker>
            <c:symbol val="none"/>
          </c:marker>
          <c:xVal>
            <c:numRef>
              <c:f>Tools!$E$220:$AC$220</c:f>
              <c:numCache>
                <c:formatCode>General</c:formatCode>
                <c:ptCount val="25"/>
                <c:pt idx="0">
                  <c:v>10</c:v>
                </c:pt>
                <c:pt idx="1">
                  <c:v>10.29</c:v>
                </c:pt>
                <c:pt idx="2">
                  <c:v>10.565</c:v>
                </c:pt>
                <c:pt idx="3">
                  <c:v>10.916</c:v>
                </c:pt>
                <c:pt idx="4">
                  <c:v>11.204000000000001</c:v>
                </c:pt>
                <c:pt idx="5">
                  <c:v>11.461</c:v>
                </c:pt>
                <c:pt idx="6">
                  <c:v>10.922000000000001</c:v>
                </c:pt>
                <c:pt idx="7">
                  <c:v>9.4420000000000002</c:v>
                </c:pt>
                <c:pt idx="8">
                  <c:v>7.9239999999999995</c:v>
                </c:pt>
                <c:pt idx="9">
                  <c:v>6.673</c:v>
                </c:pt>
                <c:pt idx="10">
                  <c:v>3.7290000000000001</c:v>
                </c:pt>
                <c:pt idx="11">
                  <c:v>1.5549999999999997</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0"/>
          <c:order val="10"/>
          <c:tx>
            <c:strRef>
              <c:f>Tools!$D$221</c:f>
              <c:strCache>
                <c:ptCount val="1"/>
                <c:pt idx="0">
                  <c:v>BML</c:v>
                </c:pt>
              </c:strCache>
            </c:strRef>
          </c:tx>
          <c:spPr>
            <a:ln w="3175"/>
          </c:spPr>
          <c:marker>
            <c:symbol val="none"/>
          </c:marker>
          <c:xVal>
            <c:numRef>
              <c:f>Tools!$F$221:$AC$221</c:f>
              <c:numCache>
                <c:formatCode>General</c:formatCode>
                <c:ptCount val="24"/>
                <c:pt idx="0">
                  <c:v>7.4089999999999998</c:v>
                </c:pt>
                <c:pt idx="1">
                  <c:v>4.1689999999999996</c:v>
                </c:pt>
                <c:pt idx="2">
                  <c:v>3.0219999999999998</c:v>
                </c:pt>
                <c:pt idx="3">
                  <c:v>2.3860000000000001</c:v>
                </c:pt>
                <c:pt idx="4">
                  <c:v>1.778</c:v>
                </c:pt>
                <c:pt idx="5">
                  <c:v>1.4690000000000001</c:v>
                </c:pt>
                <c:pt idx="6">
                  <c:v>1.383</c:v>
                </c:pt>
                <c:pt idx="7">
                  <c:v>1.3859999999999999</c:v>
                </c:pt>
                <c:pt idx="8">
                  <c:v>1.3560000000000001</c:v>
                </c:pt>
                <c:pt idx="9">
                  <c:v>1.2470000000000001</c:v>
                </c:pt>
                <c:pt idx="10">
                  <c:v>1.2010000000000001</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1"/>
          <c:order val="11"/>
          <c:tx>
            <c:strRef>
              <c:f>Tools!$D$222</c:f>
              <c:strCache>
                <c:ptCount val="1"/>
                <c:pt idx="0">
                  <c:v>BMT</c:v>
                </c:pt>
              </c:strCache>
            </c:strRef>
          </c:tx>
          <c:spPr>
            <a:ln w="3175"/>
          </c:spPr>
          <c:marker>
            <c:symbol val="none"/>
          </c:marker>
          <c:xVal>
            <c:numRef>
              <c:f>Tools!$F$222:$AC$222</c:f>
              <c:numCache>
                <c:formatCode>General</c:formatCode>
                <c:ptCount val="24"/>
                <c:pt idx="0">
                  <c:v>3.4329999999999998</c:v>
                </c:pt>
                <c:pt idx="1">
                  <c:v>2.081</c:v>
                </c:pt>
                <c:pt idx="2">
                  <c:v>1.546</c:v>
                </c:pt>
                <c:pt idx="3">
                  <c:v>1.232</c:v>
                </c:pt>
                <c:pt idx="4">
                  <c:v>0.88500000000000001</c:v>
                </c:pt>
                <c:pt idx="5">
                  <c:v>0.70799999999999996</c:v>
                </c:pt>
                <c:pt idx="6">
                  <c:v>0.60099999999999998</c:v>
                </c:pt>
                <c:pt idx="7">
                  <c:v>0.55200000000000005</c:v>
                </c:pt>
                <c:pt idx="8">
                  <c:v>0.52500000000000002</c:v>
                </c:pt>
                <c:pt idx="9">
                  <c:v>0.46400000000000002</c:v>
                </c:pt>
                <c:pt idx="10">
                  <c:v>0.436</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2"/>
          <c:order val="12"/>
          <c:tx>
            <c:strRef>
              <c:f>Tools!$D$223</c:f>
              <c:strCache>
                <c:ptCount val="1"/>
                <c:pt idx="0">
                  <c:v>KB </c:v>
                </c:pt>
              </c:strCache>
            </c:strRef>
          </c:tx>
          <c:spPr>
            <a:ln w="3175">
              <a:solidFill>
                <a:srgbClr val="C00000"/>
              </a:solidFill>
            </a:ln>
          </c:spPr>
          <c:marker>
            <c:symbol val="none"/>
          </c:marker>
          <c:xVal>
            <c:numRef>
              <c:f>Tools!$F$223:$AC$223</c:f>
              <c:numCache>
                <c:formatCode>General</c:formatCode>
                <c:ptCount val="24"/>
                <c:pt idx="0">
                  <c:v>0.48599999999999999</c:v>
                </c:pt>
                <c:pt idx="1">
                  <c:v>0.98899999999999999</c:v>
                </c:pt>
                <c:pt idx="2">
                  <c:v>1.486</c:v>
                </c:pt>
                <c:pt idx="3">
                  <c:v>1.98</c:v>
                </c:pt>
                <c:pt idx="4">
                  <c:v>2.9740000000000002</c:v>
                </c:pt>
                <c:pt idx="5">
                  <c:v>3.9710000000000001</c:v>
                </c:pt>
                <c:pt idx="6">
                  <c:v>4.9820000000000002</c:v>
                </c:pt>
                <c:pt idx="7">
                  <c:v>5.6130000000000004</c:v>
                </c:pt>
                <c:pt idx="8">
                  <c:v>6.0190000000000001</c:v>
                </c:pt>
                <c:pt idx="9">
                  <c:v>7.0579999999999998</c:v>
                </c:pt>
                <c:pt idx="10">
                  <c:v>7.9749999999999996</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3"/>
          <c:order val="13"/>
          <c:tx>
            <c:strRef>
              <c:f>Tools!$D$224</c:f>
              <c:strCache>
                <c:ptCount val="1"/>
                <c:pt idx="0">
                  <c:v>KMT</c:v>
                </c:pt>
              </c:strCache>
            </c:strRef>
          </c:tx>
          <c:spPr>
            <a:ln w="3175"/>
          </c:spPr>
          <c:marker>
            <c:symbol val="none"/>
          </c:marker>
          <c:xVal>
            <c:numRef>
              <c:f>Tools!$F$224:$AC$224</c:f>
              <c:numCache>
                <c:formatCode>General</c:formatCode>
                <c:ptCount val="24"/>
                <c:pt idx="0">
                  <c:v>3.4820000000000002</c:v>
                </c:pt>
                <c:pt idx="1">
                  <c:v>2.1800000000000002</c:v>
                </c:pt>
                <c:pt idx="2">
                  <c:v>1.6950000000000001</c:v>
                </c:pt>
                <c:pt idx="3">
                  <c:v>1.43</c:v>
                </c:pt>
                <c:pt idx="4">
                  <c:v>1.1819999999999999</c:v>
                </c:pt>
                <c:pt idx="5">
                  <c:v>1.105</c:v>
                </c:pt>
                <c:pt idx="6">
                  <c:v>1.099</c:v>
                </c:pt>
                <c:pt idx="7">
                  <c:v>1.113</c:v>
                </c:pt>
                <c:pt idx="8">
                  <c:v>1.127</c:v>
                </c:pt>
                <c:pt idx="9">
                  <c:v>1.17</c:v>
                </c:pt>
                <c:pt idx="10">
                  <c:v>1.234</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4"/>
          <c:order val="14"/>
          <c:tx>
            <c:strRef>
              <c:f>Tools!$D$225</c:f>
              <c:strCache>
                <c:ptCount val="1"/>
                <c:pt idx="0">
                  <c:v>KML</c:v>
                </c:pt>
              </c:strCache>
            </c:strRef>
          </c:tx>
          <c:spPr>
            <a:ln w="3175">
              <a:solidFill>
                <a:schemeClr val="accent6">
                  <a:lumMod val="75000"/>
                </a:schemeClr>
              </a:solidFill>
            </a:ln>
          </c:spPr>
          <c:marker>
            <c:symbol val="none"/>
          </c:marker>
          <c:xVal>
            <c:numRef>
              <c:f>Tools!$F$225:$AC$225</c:f>
              <c:numCache>
                <c:formatCode>General</c:formatCode>
                <c:ptCount val="24"/>
                <c:pt idx="0">
                  <c:v>7.4139999999999997</c:v>
                </c:pt>
                <c:pt idx="1">
                  <c:v>4.1790000000000003</c:v>
                </c:pt>
                <c:pt idx="2">
                  <c:v>3.0369999999999999</c:v>
                </c:pt>
                <c:pt idx="3">
                  <c:v>2.4060000000000001</c:v>
                </c:pt>
                <c:pt idx="4">
                  <c:v>1.8080000000000001</c:v>
                </c:pt>
                <c:pt idx="5">
                  <c:v>1.508</c:v>
                </c:pt>
                <c:pt idx="6">
                  <c:v>1.4330000000000001</c:v>
                </c:pt>
                <c:pt idx="7">
                  <c:v>1.4419999999999999</c:v>
                </c:pt>
                <c:pt idx="8">
                  <c:v>1.417</c:v>
                </c:pt>
                <c:pt idx="9">
                  <c:v>1.3180000000000001</c:v>
                </c:pt>
                <c:pt idx="10">
                  <c:v>1.28</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5"/>
          <c:order val="15"/>
          <c:tx>
            <c:strRef>
              <c:f>Tools!$D$226</c:f>
              <c:strCache>
                <c:ptCount val="1"/>
                <c:pt idx="0">
                  <c:v>TPC</c:v>
                </c:pt>
              </c:strCache>
            </c:strRef>
          </c:tx>
          <c:spPr>
            <a:ln w="3175"/>
          </c:spPr>
          <c:marker>
            <c:symbol val="none"/>
          </c:marker>
          <c:xVal>
            <c:numRef>
              <c:f>Tools!$E$226:$AC$226</c:f>
              <c:numCache>
                <c:formatCode>General</c:formatCode>
                <c:ptCount val="25"/>
                <c:pt idx="0">
                  <c:v>10.881</c:v>
                </c:pt>
                <c:pt idx="1">
                  <c:v>11.459</c:v>
                </c:pt>
                <c:pt idx="2">
                  <c:v>11.712</c:v>
                </c:pt>
                <c:pt idx="3">
                  <c:v>11.879</c:v>
                </c:pt>
                <c:pt idx="4">
                  <c:v>12.004</c:v>
                </c:pt>
                <c:pt idx="5">
                  <c:v>12.206</c:v>
                </c:pt>
                <c:pt idx="6">
                  <c:v>12.381</c:v>
                </c:pt>
                <c:pt idx="7">
                  <c:v>12.592000000000001</c:v>
                </c:pt>
                <c:pt idx="8">
                  <c:v>12.734999999999999</c:v>
                </c:pt>
                <c:pt idx="9">
                  <c:v>12.804</c:v>
                </c:pt>
                <c:pt idx="10">
                  <c:v>12.933</c:v>
                </c:pt>
                <c:pt idx="11">
                  <c:v>13.084</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6"/>
          <c:order val="16"/>
          <c:tx>
            <c:strRef>
              <c:f>Tools!$D$227</c:f>
              <c:strCache>
                <c:ptCount val="1"/>
                <c:pt idx="0">
                  <c:v>LCB</c:v>
                </c:pt>
              </c:strCache>
            </c:strRef>
          </c:tx>
          <c:spPr>
            <a:ln w="3175"/>
          </c:spPr>
          <c:marker>
            <c:symbol val="none"/>
          </c:marker>
          <c:xVal>
            <c:numRef>
              <c:f>Tools!$F$227:$AC$227</c:f>
              <c:numCache>
                <c:formatCode>General</c:formatCode>
                <c:ptCount val="24"/>
                <c:pt idx="0">
                  <c:v>12.763</c:v>
                </c:pt>
                <c:pt idx="1">
                  <c:v>12.291</c:v>
                </c:pt>
                <c:pt idx="2">
                  <c:v>12.273</c:v>
                </c:pt>
                <c:pt idx="3">
                  <c:v>12.093</c:v>
                </c:pt>
                <c:pt idx="4">
                  <c:v>11.547000000000001</c:v>
                </c:pt>
                <c:pt idx="5">
                  <c:v>10.683999999999999</c:v>
                </c:pt>
                <c:pt idx="6">
                  <c:v>9.6869999999999994</c:v>
                </c:pt>
                <c:pt idx="7">
                  <c:v>8.9960000000000004</c:v>
                </c:pt>
                <c:pt idx="8">
                  <c:v>8.5269999999999992</c:v>
                </c:pt>
                <c:pt idx="9">
                  <c:v>7.73</c:v>
                </c:pt>
                <c:pt idx="10">
                  <c:v>7.3840000000000003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7"/>
          <c:order val="17"/>
          <c:tx>
            <c:strRef>
              <c:f>Tools!$D$228</c:f>
              <c:strCache>
                <c:ptCount val="1"/>
                <c:pt idx="0">
                  <c:v>MCT1cm</c:v>
                </c:pt>
              </c:strCache>
            </c:strRef>
          </c:tx>
          <c:spPr>
            <a:ln w="3175">
              <a:solidFill>
                <a:srgbClr val="00B0F0"/>
              </a:solidFill>
            </a:ln>
          </c:spPr>
          <c:marker>
            <c:symbol val="none"/>
          </c:marker>
          <c:xVal>
            <c:numRef>
              <c:f>Tools!$F$228:$AC$228</c:f>
              <c:numCache>
                <c:formatCode>General</c:formatCode>
                <c:ptCount val="24"/>
                <c:pt idx="0">
                  <c:v>10.608000000000001</c:v>
                </c:pt>
                <c:pt idx="1">
                  <c:v>10.805</c:v>
                </c:pt>
                <c:pt idx="2">
                  <c:v>10.952999999999999</c:v>
                </c:pt>
                <c:pt idx="3">
                  <c:v>11.074999999999999</c:v>
                </c:pt>
                <c:pt idx="4">
                  <c:v>11.316000000000001</c:v>
                </c:pt>
                <c:pt idx="5">
                  <c:v>11.55</c:v>
                </c:pt>
                <c:pt idx="6">
                  <c:v>11.931000000000001</c:v>
                </c:pt>
                <c:pt idx="7">
                  <c:v>12.244</c:v>
                </c:pt>
                <c:pt idx="8">
                  <c:v>12.399000000000001</c:v>
                </c:pt>
                <c:pt idx="9">
                  <c:v>12.696999999999999</c:v>
                </c:pt>
                <c:pt idx="10">
                  <c:v>13.035</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8"/>
          <c:order val="18"/>
          <c:tx>
            <c:strRef>
              <c:f>Tools!$D$229</c:f>
              <c:strCache>
                <c:ptCount val="1"/>
                <c:pt idx="0">
                  <c:v>T</c:v>
                </c:pt>
              </c:strCache>
            </c:strRef>
          </c:tx>
          <c:spPr>
            <a:ln w="3175">
              <a:solidFill>
                <a:srgbClr val="00B050"/>
              </a:solidFill>
            </a:ln>
          </c:spPr>
          <c:marker>
            <c:symbol val="none"/>
          </c:marker>
          <c:xVal>
            <c:numRef>
              <c:f>Tools!$E$229:$AC$229</c:f>
              <c:numCache>
                <c:formatCode>General</c:formatCode>
                <c:ptCount val="25"/>
                <c:pt idx="0">
                  <c:v>0</c:v>
                </c:pt>
                <c:pt idx="1">
                  <c:v>0.09</c:v>
                </c:pt>
                <c:pt idx="2">
                  <c:v>0.18</c:v>
                </c:pt>
                <c:pt idx="3">
                  <c:v>0.27</c:v>
                </c:pt>
                <c:pt idx="4">
                  <c:v>0.36</c:v>
                </c:pt>
                <c:pt idx="5">
                  <c:v>0.54</c:v>
                </c:pt>
                <c:pt idx="6">
                  <c:v>0.72</c:v>
                </c:pt>
                <c:pt idx="7">
                  <c:v>0.9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9"/>
          <c:order val="19"/>
          <c:tx>
            <c:strRef>
              <c:f>Tools!$D$230</c:f>
              <c:strCache>
                <c:ptCount val="1"/>
                <c:pt idx="0">
                  <c:v>CW</c:v>
                </c:pt>
              </c:strCache>
            </c:strRef>
          </c:tx>
          <c:spPr>
            <a:ln w="3175">
              <a:solidFill>
                <a:schemeClr val="tx2">
                  <a:lumMod val="60000"/>
                  <a:lumOff val="40000"/>
                </a:schemeClr>
              </a:solidFill>
            </a:ln>
          </c:spPr>
          <c:marker>
            <c:symbol val="none"/>
          </c:marker>
          <c:xVal>
            <c:numRef>
              <c:f>Tools!$E$230:$AC$230</c:f>
              <c:numCache>
                <c:formatCode>General</c:formatCode>
                <c:ptCount val="25"/>
                <c:pt idx="0">
                  <c:v>3.7959999999999998</c:v>
                </c:pt>
                <c:pt idx="1">
                  <c:v>4.9850000000000003</c:v>
                </c:pt>
                <c:pt idx="2">
                  <c:v>5.391</c:v>
                </c:pt>
                <c:pt idx="3">
                  <c:v>5.7329999999999997</c:v>
                </c:pt>
                <c:pt idx="4">
                  <c:v>6.0579999999999998</c:v>
                </c:pt>
                <c:pt idx="5">
                  <c:v>6.6710000000000003</c:v>
                </c:pt>
                <c:pt idx="6">
                  <c:v>7.2</c:v>
                </c:pt>
                <c:pt idx="7">
                  <c:v>7.8369999999999997</c:v>
                </c:pt>
                <c:pt idx="8">
                  <c:v>8.27</c:v>
                </c:pt>
                <c:pt idx="9">
                  <c:v>8.4789999999999992</c:v>
                </c:pt>
                <c:pt idx="10">
                  <c:v>8.8699999999999992</c:v>
                </c:pt>
                <c:pt idx="11">
                  <c:v>9.3239999999999998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0.9</c:v>
                </c:pt>
                <c:pt idx="2">
                  <c:v>1.8</c:v>
                </c:pt>
                <c:pt idx="3">
                  <c:v>2.7</c:v>
                </c:pt>
                <c:pt idx="4">
                  <c:v>3.6</c:v>
                </c:pt>
                <c:pt idx="5">
                  <c:v>5.4</c:v>
                </c:pt>
                <c:pt idx="6">
                  <c:v>7.2</c:v>
                </c:pt>
                <c:pt idx="7">
                  <c:v>9</c:v>
                </c:pt>
                <c:pt idx="8">
                  <c:v>10.1</c:v>
                </c:pt>
                <c:pt idx="9">
                  <c:v>10.8</c:v>
                </c:pt>
                <c:pt idx="10">
                  <c:v>12.6</c:v>
                </c:pt>
                <c:pt idx="11">
                  <c:v>14.19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0"/>
          <c:order val="20"/>
          <c:tx>
            <c:strRef>
              <c:f>Tools!$D$231</c:f>
              <c:strCache>
                <c:ptCount val="1"/>
                <c:pt idx="0">
                  <c:v>CB</c:v>
                </c:pt>
              </c:strCache>
            </c:strRef>
          </c:tx>
          <c:spPr>
            <a:ln w="3175">
              <a:solidFill>
                <a:srgbClr val="FF0000"/>
              </a:solidFill>
            </a:ln>
          </c:spPr>
          <c:marker>
            <c:symbol val="none"/>
          </c:marker>
          <c:xVal>
            <c:numRef>
              <c:f>Tools!$F$231:$AC$231</c:f>
              <c:numCache>
                <c:formatCode>General</c:formatCode>
                <c:ptCount val="24"/>
                <c:pt idx="0">
                  <c:v>4.08</c:v>
                </c:pt>
                <c:pt idx="1">
                  <c:v>4.42</c:v>
                </c:pt>
                <c:pt idx="2">
                  <c:v>4.6669999999999998</c:v>
                </c:pt>
                <c:pt idx="3">
                  <c:v>4.9509999999999996</c:v>
                </c:pt>
                <c:pt idx="4">
                  <c:v>5.4219999999999997</c:v>
                </c:pt>
                <c:pt idx="5">
                  <c:v>5.8040000000000003</c:v>
                </c:pt>
                <c:pt idx="6">
                  <c:v>6.1390000000000002</c:v>
                </c:pt>
                <c:pt idx="7">
                  <c:v>6.3460000000000001</c:v>
                </c:pt>
                <c:pt idx="8">
                  <c:v>6.4829999999999997</c:v>
                </c:pt>
                <c:pt idx="9">
                  <c:v>6.7939999999999996</c:v>
                </c:pt>
                <c:pt idx="10">
                  <c:v>7.0519999999999996</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21"/>
          <c:order val="21"/>
          <c:tx>
            <c:strRef>
              <c:f>Tools!$D$232</c:f>
              <c:strCache>
                <c:ptCount val="1"/>
                <c:pt idx="0">
                  <c:v>CM</c:v>
                </c:pt>
              </c:strCache>
            </c:strRef>
          </c:tx>
          <c:spPr>
            <a:ln w="3175">
              <a:solidFill>
                <a:srgbClr val="00B050"/>
              </a:solidFill>
            </a:ln>
          </c:spPr>
          <c:marker>
            <c:symbol val="none"/>
          </c:marker>
          <c:xVal>
            <c:numRef>
              <c:f>Tools!$F$232:$AC$232</c:f>
              <c:numCache>
                <c:formatCode>General</c:formatCode>
                <c:ptCount val="24"/>
                <c:pt idx="0">
                  <c:v>8.9339999999999993</c:v>
                </c:pt>
                <c:pt idx="1">
                  <c:v>8.9809999999999999</c:v>
                </c:pt>
                <c:pt idx="2">
                  <c:v>9.0679999999999996</c:v>
                </c:pt>
                <c:pt idx="3">
                  <c:v>9.2479999999999993</c:v>
                </c:pt>
                <c:pt idx="4">
                  <c:v>9.4960000000000004</c:v>
                </c:pt>
                <c:pt idx="5">
                  <c:v>9.6240000000000006</c:v>
                </c:pt>
                <c:pt idx="6">
                  <c:v>9.6980000000000004</c:v>
                </c:pt>
                <c:pt idx="7">
                  <c:v>9.7309999999999999</c:v>
                </c:pt>
                <c:pt idx="8">
                  <c:v>9.7490000000000006</c:v>
                </c:pt>
                <c:pt idx="9">
                  <c:v>9.7840000000000007</c:v>
                </c:pt>
                <c:pt idx="10">
                  <c:v>9.8079999999999998</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22"/>
          <c:order val="22"/>
          <c:tx>
            <c:strRef>
              <c:f>Tools!$D$233</c:f>
              <c:strCache>
                <c:ptCount val="1"/>
                <c:pt idx="0">
                  <c:v>CP</c:v>
                </c:pt>
              </c:strCache>
            </c:strRef>
          </c:tx>
          <c:spPr>
            <a:ln w="3175">
              <a:solidFill>
                <a:schemeClr val="tx2">
                  <a:lumMod val="50000"/>
                </a:schemeClr>
              </a:solidFill>
            </a:ln>
          </c:spPr>
          <c:marker>
            <c:symbol val="none"/>
          </c:marker>
          <c:xVal>
            <c:numRef>
              <c:f>Tools!$F$233:$AC$233</c:f>
              <c:numCache>
                <c:formatCode>General</c:formatCode>
                <c:ptCount val="24"/>
                <c:pt idx="0">
                  <c:v>14.567</c:v>
                </c:pt>
                <c:pt idx="1">
                  <c:v>14.922000000000001</c:v>
                </c:pt>
                <c:pt idx="2">
                  <c:v>15.146000000000001</c:v>
                </c:pt>
                <c:pt idx="3">
                  <c:v>15.353999999999999</c:v>
                </c:pt>
                <c:pt idx="4">
                  <c:v>15.71</c:v>
                </c:pt>
                <c:pt idx="5">
                  <c:v>16.030999999999999</c:v>
                </c:pt>
                <c:pt idx="6">
                  <c:v>16.329999999999998</c:v>
                </c:pt>
                <c:pt idx="7">
                  <c:v>16.521999999999998</c:v>
                </c:pt>
                <c:pt idx="8">
                  <c:v>16.649999999999999</c:v>
                </c:pt>
                <c:pt idx="9">
                  <c:v>16.943999999999999</c:v>
                </c:pt>
                <c:pt idx="10">
                  <c:v>17.190000000000001</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0.9</c:v>
                </c:pt>
                <c:pt idx="1">
                  <c:v>1.8</c:v>
                </c:pt>
                <c:pt idx="2">
                  <c:v>2.7</c:v>
                </c:pt>
                <c:pt idx="3">
                  <c:v>3.6</c:v>
                </c:pt>
                <c:pt idx="4">
                  <c:v>5.4</c:v>
                </c:pt>
                <c:pt idx="5">
                  <c:v>7.2</c:v>
                </c:pt>
                <c:pt idx="6">
                  <c:v>9</c:v>
                </c:pt>
                <c:pt idx="7">
                  <c:v>10.1</c:v>
                </c:pt>
                <c:pt idx="8">
                  <c:v>10.8</c:v>
                </c:pt>
                <c:pt idx="9">
                  <c:v>12.6</c:v>
                </c:pt>
                <c:pt idx="10">
                  <c:v>14.19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25"/>
          <c:order val="23"/>
          <c:tx>
            <c:strRef>
              <c:f>Tools!$N$234</c:f>
              <c:strCache>
                <c:ptCount val="1"/>
                <c:pt idx="0">
                  <c:v>MDK</c:v>
                </c:pt>
              </c:strCache>
            </c:strRef>
          </c:tx>
          <c:spPr>
            <a:ln w="3175">
              <a:solidFill>
                <a:sysClr val="windowText" lastClr="000000"/>
              </a:solidFill>
            </a:ln>
          </c:spPr>
          <c:marker>
            <c:symbol val="none"/>
          </c:marker>
          <c:xVal>
            <c:numRef>
              <c:f>Tools!$O$234:$P$234</c:f>
              <c:numCache>
                <c:formatCode>General</c:formatCode>
                <c:ptCount val="2"/>
                <c:pt idx="0">
                  <c:v>0</c:v>
                </c:pt>
                <c:pt idx="1">
                  <c:v>20</c:v>
                </c:pt>
              </c:numCache>
            </c:numRef>
          </c:xVal>
          <c:yVal>
            <c:numRef>
              <c:f>Tools!$O$235:$P$235</c:f>
              <c:numCache>
                <c:formatCode>General</c:formatCode>
                <c:ptCount val="2"/>
                <c:pt idx="0">
                  <c:v>14.19</c:v>
                </c:pt>
                <c:pt idx="1">
                  <c:v>14.19</c:v>
                </c:pt>
              </c:numCache>
            </c:numRef>
          </c:yVal>
          <c:smooth val="1"/>
        </c:ser>
        <c:ser>
          <c:idx val="26"/>
          <c:order val="24"/>
          <c:tx>
            <c:strRef>
              <c:f>Tools!$R$234</c:f>
              <c:strCache>
                <c:ptCount val="1"/>
                <c:pt idx="0">
                  <c:v>LWL</c:v>
                </c:pt>
              </c:strCache>
            </c:strRef>
          </c:tx>
          <c:spPr>
            <a:ln w="3175">
              <a:solidFill>
                <a:sysClr val="windowText" lastClr="000000"/>
              </a:solidFill>
            </a:ln>
          </c:spPr>
          <c:marker>
            <c:symbol val="none"/>
          </c:marker>
          <c:xVal>
            <c:numRef>
              <c:f>Tools!$S$234:$T$234</c:f>
              <c:numCache>
                <c:formatCode>General</c:formatCode>
                <c:ptCount val="2"/>
                <c:pt idx="0">
                  <c:v>0</c:v>
                </c:pt>
                <c:pt idx="1">
                  <c:v>20</c:v>
                </c:pt>
              </c:numCache>
            </c:numRef>
          </c:xVal>
          <c:yVal>
            <c:numRef>
              <c:f>Tools!$S$235:$T$235</c:f>
              <c:numCache>
                <c:formatCode>General</c:formatCode>
                <c:ptCount val="2"/>
                <c:pt idx="0">
                  <c:v>10.1</c:v>
                </c:pt>
                <c:pt idx="1">
                  <c:v>10.1</c:v>
                </c:pt>
              </c:numCache>
            </c:numRef>
          </c:yVal>
          <c:smooth val="1"/>
        </c:ser>
        <c:ser>
          <c:idx val="23"/>
          <c:order val="25"/>
          <c:tx>
            <c:strRef>
              <c:f>Tools!$F$234</c:f>
              <c:strCache>
                <c:ptCount val="1"/>
                <c:pt idx="0">
                  <c:v>2nd Origin</c:v>
                </c:pt>
              </c:strCache>
            </c:strRef>
          </c:tx>
          <c:spPr>
            <a:ln w="3175">
              <a:solidFill>
                <a:sysClr val="windowText" lastClr="000000"/>
              </a:solidFill>
            </a:ln>
          </c:spPr>
          <c:marker>
            <c:symbol val="none"/>
          </c:marker>
          <c:xVal>
            <c:numRef>
              <c:f>Tools!$G$234:$H$234</c:f>
              <c:numCache>
                <c:formatCode>General</c:formatCode>
                <c:ptCount val="2"/>
                <c:pt idx="0">
                  <c:v>10</c:v>
                </c:pt>
                <c:pt idx="1">
                  <c:v>10</c:v>
                </c:pt>
              </c:numCache>
            </c:numRef>
          </c:xVal>
          <c:yVal>
            <c:numRef>
              <c:f>Tools!$G$235:$H$235</c:f>
              <c:numCache>
                <c:formatCode>General</c:formatCode>
                <c:ptCount val="2"/>
                <c:pt idx="0">
                  <c:v>0</c:v>
                </c:pt>
                <c:pt idx="1">
                  <c:v>14.19</c:v>
                </c:pt>
              </c:numCache>
            </c:numRef>
          </c:yVal>
          <c:smooth val="1"/>
        </c:ser>
        <c:ser>
          <c:idx val="24"/>
          <c:order val="26"/>
          <c:tx>
            <c:strRef>
              <c:f>Tools!$J$234</c:f>
              <c:strCache>
                <c:ptCount val="1"/>
                <c:pt idx="0">
                  <c:v>end</c:v>
                </c:pt>
              </c:strCache>
            </c:strRef>
          </c:tx>
          <c:spPr>
            <a:ln w="3175">
              <a:solidFill>
                <a:sysClr val="windowText" lastClr="000000"/>
              </a:solidFill>
            </a:ln>
          </c:spPr>
          <c:marker>
            <c:symbol val="none"/>
          </c:marker>
          <c:xVal>
            <c:numRef>
              <c:f>Tools!$K$234:$L$234</c:f>
              <c:numCache>
                <c:formatCode>General</c:formatCode>
                <c:ptCount val="2"/>
                <c:pt idx="0">
                  <c:v>20</c:v>
                </c:pt>
                <c:pt idx="1">
                  <c:v>20</c:v>
                </c:pt>
              </c:numCache>
            </c:numRef>
          </c:xVal>
          <c:yVal>
            <c:numRef>
              <c:f>Tools!$K$235:$L$235</c:f>
              <c:numCache>
                <c:formatCode>General</c:formatCode>
                <c:ptCount val="2"/>
                <c:pt idx="0">
                  <c:v>0</c:v>
                </c:pt>
                <c:pt idx="1">
                  <c:v>14.19</c:v>
                </c:pt>
              </c:numCache>
            </c:numRef>
          </c:yVal>
          <c:smooth val="1"/>
        </c:ser>
        <c:dLbls>
          <c:showLegendKey val="0"/>
          <c:showVal val="0"/>
          <c:showCatName val="0"/>
          <c:showSerName val="0"/>
          <c:showPercent val="0"/>
          <c:showBubbleSize val="0"/>
        </c:dLbls>
        <c:axId val="544340992"/>
        <c:axId val="532353792"/>
      </c:scatterChart>
      <c:valAx>
        <c:axId val="544340992"/>
        <c:scaling>
          <c:orientation val="minMax"/>
          <c:max val="20.2"/>
          <c:min val="0"/>
        </c:scaling>
        <c:delete val="0"/>
        <c:axPos val="b"/>
        <c:numFmt formatCode="General" sourceLinked="1"/>
        <c:majorTickMark val="out"/>
        <c:minorTickMark val="none"/>
        <c:tickLblPos val="nextTo"/>
        <c:txPr>
          <a:bodyPr/>
          <a:lstStyle/>
          <a:p>
            <a:pPr>
              <a:defRPr>
                <a:solidFill>
                  <a:schemeClr val="bg1"/>
                </a:solidFill>
              </a:defRPr>
            </a:pPr>
            <a:endParaRPr lang="en-US"/>
          </a:p>
        </c:txPr>
        <c:crossAx val="532353792"/>
        <c:crosses val="autoZero"/>
        <c:crossBetween val="midCat"/>
        <c:majorUnit val="1"/>
      </c:valAx>
      <c:valAx>
        <c:axId val="532353792"/>
        <c:scaling>
          <c:orientation val="minMax"/>
        </c:scaling>
        <c:delete val="0"/>
        <c:axPos val="l"/>
        <c:majorGridlines>
          <c:spPr>
            <a:ln>
              <a:solidFill>
                <a:schemeClr val="bg1">
                  <a:lumMod val="85000"/>
                </a:schemeClr>
              </a:solidFill>
            </a:ln>
          </c:spPr>
        </c:majorGridlines>
        <c:numFmt formatCode="General" sourceLinked="1"/>
        <c:majorTickMark val="out"/>
        <c:minorTickMark val="none"/>
        <c:tickLblPos val="nextTo"/>
        <c:crossAx val="544340992"/>
        <c:crosses val="autoZero"/>
        <c:crossBetween val="midCat"/>
      </c:valAx>
    </c:plotArea>
    <c:legend>
      <c:legendPos val="r"/>
      <c:legendEntry>
        <c:idx val="26"/>
        <c:txPr>
          <a:bodyPr/>
          <a:lstStyle/>
          <a:p>
            <a:pPr>
              <a:defRPr sz="1000">
                <a:solidFill>
                  <a:schemeClr val="bg1"/>
                </a:solidFill>
              </a:defRPr>
            </a:pPr>
            <a:endParaRPr lang="en-US"/>
          </a:p>
        </c:txPr>
      </c:legendEntry>
      <c:layout>
        <c:manualLayout>
          <c:xMode val="edge"/>
          <c:yMode val="edge"/>
          <c:x val="0.84695929473912412"/>
          <c:y val="0.14136211784265951"/>
          <c:w val="0.14808009873181413"/>
          <c:h val="0.68705131253841345"/>
        </c:manualLayout>
      </c:layout>
      <c:overlay val="0"/>
      <c:txPr>
        <a:bodyPr/>
        <a:lstStyle/>
        <a:p>
          <a:pPr>
            <a:defRPr sz="10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Bonjean Area &amp; Moment</a:t>
            </a:r>
          </a:p>
        </c:rich>
      </c:tx>
      <c:layout>
        <c:manualLayout>
          <c:xMode val="edge"/>
          <c:yMode val="edge"/>
          <c:x val="0.42948604779516442"/>
          <c:y val="1.940765818769585E-2"/>
        </c:manualLayout>
      </c:layout>
      <c:overlay val="0"/>
    </c:title>
    <c:autoTitleDeleted val="0"/>
    <c:plotArea>
      <c:layout>
        <c:manualLayout>
          <c:layoutTarget val="inner"/>
          <c:xMode val="edge"/>
          <c:yMode val="edge"/>
          <c:x val="1.1993482053380604E-2"/>
          <c:y val="9.0155667319992347E-2"/>
          <c:w val="0.97876077016654528"/>
          <c:h val="0.84038805710785291"/>
        </c:manualLayout>
      </c:layout>
      <c:scatterChart>
        <c:scatterStyle val="smoothMarker"/>
        <c:varyColors val="0"/>
        <c:ser>
          <c:idx val="0"/>
          <c:order val="0"/>
          <c:tx>
            <c:strRef>
              <c:f>Tools!$CK$5</c:f>
              <c:strCache>
                <c:ptCount val="1"/>
                <c:pt idx="0">
                  <c:v>0</c:v>
                </c:pt>
              </c:strCache>
            </c:strRef>
          </c:tx>
          <c:spPr>
            <a:ln w="3175">
              <a:solidFill>
                <a:schemeClr val="accent5">
                  <a:lumMod val="75000"/>
                </a:schemeClr>
              </a:solidFill>
            </a:ln>
          </c:spPr>
          <c:marker>
            <c:symbol val="none"/>
          </c:marker>
          <c:xVal>
            <c:numRef>
              <c:f>Tools!$CL$5:$DJ$5</c:f>
              <c:numCache>
                <c:formatCode>General</c:formatCode>
                <c:ptCount val="25"/>
                <c:pt idx="0">
                  <c:v>0</c:v>
                </c:pt>
                <c:pt idx="1">
                  <c:v>0</c:v>
                </c:pt>
                <c:pt idx="2">
                  <c:v>0</c:v>
                </c:pt>
                <c:pt idx="3">
                  <c:v>0</c:v>
                </c:pt>
                <c:pt idx="4">
                  <c:v>0</c:v>
                </c:pt>
                <c:pt idx="5">
                  <c:v>0</c:v>
                </c:pt>
                <c:pt idx="6">
                  <c:v>0</c:v>
                </c:pt>
                <c:pt idx="7">
                  <c:v>0</c:v>
                </c:pt>
                <c:pt idx="8">
                  <c:v>1.254799869834034E-3</c:v>
                </c:pt>
                <c:pt idx="9">
                  <c:v>1.5061937303395175E-2</c:v>
                </c:pt>
                <c:pt idx="10">
                  <c:v>7.6760603102288771E-2</c:v>
                </c:pt>
                <c:pt idx="11">
                  <c:v>0.14743876776223017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
          <c:order val="1"/>
          <c:tx>
            <c:strRef>
              <c:f>Tools!$CK$6</c:f>
              <c:strCache>
                <c:ptCount val="1"/>
                <c:pt idx="0">
                  <c:v>0.5</c:v>
                </c:pt>
              </c:strCache>
            </c:strRef>
          </c:tx>
          <c:spPr>
            <a:ln w="3175">
              <a:solidFill>
                <a:schemeClr val="accent5">
                  <a:lumMod val="75000"/>
                </a:schemeClr>
              </a:solidFill>
            </a:ln>
          </c:spPr>
          <c:marker>
            <c:symbol val="none"/>
          </c:marker>
          <c:xVal>
            <c:numRef>
              <c:f>Tools!$CL$6:$DJ$6</c:f>
              <c:numCache>
                <c:formatCode>General</c:formatCode>
                <c:ptCount val="25"/>
                <c:pt idx="0">
                  <c:v>0.5</c:v>
                </c:pt>
                <c:pt idx="1">
                  <c:v>0.5</c:v>
                </c:pt>
                <c:pt idx="2">
                  <c:v>0.5</c:v>
                </c:pt>
                <c:pt idx="3">
                  <c:v>0.5</c:v>
                </c:pt>
                <c:pt idx="4">
                  <c:v>0.5</c:v>
                </c:pt>
                <c:pt idx="5">
                  <c:v>0.5</c:v>
                </c:pt>
                <c:pt idx="6">
                  <c:v>0.5</c:v>
                </c:pt>
                <c:pt idx="7">
                  <c:v>0.50026033192320207</c:v>
                </c:pt>
                <c:pt idx="8">
                  <c:v>0.51935133962468816</c:v>
                </c:pt>
                <c:pt idx="9">
                  <c:v>0.54129515131793038</c:v>
                </c:pt>
                <c:pt idx="10">
                  <c:v>0.61915392124959323</c:v>
                </c:pt>
                <c:pt idx="11">
                  <c:v>0.69555808656036444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
          <c:order val="2"/>
          <c:tx>
            <c:strRef>
              <c:f>Tools!$CK$7</c:f>
              <c:strCache>
                <c:ptCount val="1"/>
                <c:pt idx="0">
                  <c:v>1</c:v>
                </c:pt>
              </c:strCache>
            </c:strRef>
          </c:tx>
          <c:spPr>
            <a:ln w="3175">
              <a:solidFill>
                <a:schemeClr val="accent5">
                  <a:lumMod val="75000"/>
                </a:schemeClr>
              </a:solidFill>
            </a:ln>
          </c:spPr>
          <c:marker>
            <c:symbol val="none"/>
          </c:marker>
          <c:xVal>
            <c:numRef>
              <c:f>Tools!$CL$7:$DJ$7</c:f>
              <c:numCache>
                <c:formatCode>General</c:formatCode>
                <c:ptCount val="25"/>
                <c:pt idx="0">
                  <c:v>1</c:v>
                </c:pt>
                <c:pt idx="1">
                  <c:v>1</c:v>
                </c:pt>
                <c:pt idx="2">
                  <c:v>1</c:v>
                </c:pt>
                <c:pt idx="3">
                  <c:v>1</c:v>
                </c:pt>
                <c:pt idx="4">
                  <c:v>1</c:v>
                </c:pt>
                <c:pt idx="5">
                  <c:v>1</c:v>
                </c:pt>
                <c:pt idx="6">
                  <c:v>1</c:v>
                </c:pt>
                <c:pt idx="7">
                  <c:v>1.0159323136999674</c:v>
                </c:pt>
                <c:pt idx="8">
                  <c:v>1.0515370430632389</c:v>
                </c:pt>
                <c:pt idx="9">
                  <c:v>1.0797071265863978</c:v>
                </c:pt>
                <c:pt idx="10">
                  <c:v>1.1638268792710706</c:v>
                </c:pt>
                <c:pt idx="11">
                  <c:v>1.2439563944028635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
          <c:order val="3"/>
          <c:tx>
            <c:strRef>
              <c:f>Tools!$CK$8</c:f>
              <c:strCache>
                <c:ptCount val="1"/>
                <c:pt idx="0">
                  <c:v>1.5</c:v>
                </c:pt>
              </c:strCache>
            </c:strRef>
          </c:tx>
          <c:spPr>
            <a:ln w="3175">
              <a:solidFill>
                <a:schemeClr val="accent5">
                  <a:lumMod val="75000"/>
                </a:schemeClr>
              </a:solidFill>
            </a:ln>
          </c:spPr>
          <c:marker>
            <c:symbol val="none"/>
          </c:marker>
          <c:xVal>
            <c:numRef>
              <c:f>Tools!$CL$8:$DJ$8</c:f>
              <c:numCache>
                <c:formatCode>General</c:formatCode>
                <c:ptCount val="25"/>
                <c:pt idx="0">
                  <c:v>1.5</c:v>
                </c:pt>
                <c:pt idx="1">
                  <c:v>1.5</c:v>
                </c:pt>
                <c:pt idx="2">
                  <c:v>1.5</c:v>
                </c:pt>
                <c:pt idx="3">
                  <c:v>1.5006508298080052</c:v>
                </c:pt>
                <c:pt idx="4">
                  <c:v>1.5027985681744225</c:v>
                </c:pt>
                <c:pt idx="5">
                  <c:v>1.5097624471200781</c:v>
                </c:pt>
                <c:pt idx="6">
                  <c:v>1.523364790107387</c:v>
                </c:pt>
                <c:pt idx="7">
                  <c:v>1.5601366742596812</c:v>
                </c:pt>
                <c:pt idx="8">
                  <c:v>1.604738041002278</c:v>
                </c:pt>
                <c:pt idx="9">
                  <c:v>1.6467100553205336</c:v>
                </c:pt>
                <c:pt idx="10">
                  <c:v>1.7252912463390824</c:v>
                </c:pt>
                <c:pt idx="11">
                  <c:v>1.807628376179629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
          <c:order val="4"/>
          <c:tx>
            <c:strRef>
              <c:f>Tools!$CK$9</c:f>
              <c:strCache>
                <c:ptCount val="1"/>
                <c:pt idx="0">
                  <c:v>2</c:v>
                </c:pt>
              </c:strCache>
            </c:strRef>
          </c:tx>
          <c:spPr>
            <a:ln w="3175">
              <a:solidFill>
                <a:schemeClr val="accent5">
                  <a:lumMod val="75000"/>
                </a:schemeClr>
              </a:solidFill>
            </a:ln>
          </c:spPr>
          <c:marker>
            <c:symbol val="none"/>
          </c:marker>
          <c:xVal>
            <c:numRef>
              <c:f>Tools!$CL$9:$DJ$9</c:f>
              <c:numCache>
                <c:formatCode>General</c:formatCode>
                <c:ptCount val="25"/>
                <c:pt idx="0">
                  <c:v>2</c:v>
                </c:pt>
                <c:pt idx="1">
                  <c:v>2.0002863651155223</c:v>
                </c:pt>
                <c:pt idx="2">
                  <c:v>2.0031565245688254</c:v>
                </c:pt>
                <c:pt idx="3">
                  <c:v>2.0081744223885454</c:v>
                </c:pt>
                <c:pt idx="4">
                  <c:v>2.0145330296127564</c:v>
                </c:pt>
                <c:pt idx="5">
                  <c:v>2.0305955092743249</c:v>
                </c:pt>
                <c:pt idx="6">
                  <c:v>2.0613927757891313</c:v>
                </c:pt>
                <c:pt idx="7">
                  <c:v>2.1206703547022454</c:v>
                </c:pt>
                <c:pt idx="8">
                  <c:v>2.1703069747261092</c:v>
                </c:pt>
                <c:pt idx="9">
                  <c:v>2.2083241132443865</c:v>
                </c:pt>
                <c:pt idx="10">
                  <c:v>2.295769606247966</c:v>
                </c:pt>
                <c:pt idx="11">
                  <c:v>2.3792450374227139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
          <c:order val="5"/>
          <c:tx>
            <c:strRef>
              <c:f>Tools!$CK$10</c:f>
              <c:strCache>
                <c:ptCount val="1"/>
                <c:pt idx="0">
                  <c:v>3</c:v>
                </c:pt>
              </c:strCache>
            </c:strRef>
          </c:tx>
          <c:spPr>
            <a:ln w="3175">
              <a:solidFill>
                <a:schemeClr val="accent5">
                  <a:lumMod val="75000"/>
                </a:schemeClr>
              </a:solidFill>
            </a:ln>
          </c:spPr>
          <c:marker>
            <c:symbol val="none"/>
          </c:marker>
          <c:xVal>
            <c:numRef>
              <c:f>Tools!$CL$10:$DJ$10</c:f>
              <c:numCache>
                <c:formatCode>General</c:formatCode>
                <c:ptCount val="25"/>
                <c:pt idx="0">
                  <c:v>3</c:v>
                </c:pt>
                <c:pt idx="1">
                  <c:v>3.0040872111942729</c:v>
                </c:pt>
                <c:pt idx="2">
                  <c:v>3.0120794012365768</c:v>
                </c:pt>
                <c:pt idx="3">
                  <c:v>3.0217507321835342</c:v>
                </c:pt>
                <c:pt idx="4">
                  <c:v>3.0331662870159453</c:v>
                </c:pt>
                <c:pt idx="5">
                  <c:v>3.0651871135698014</c:v>
                </c:pt>
                <c:pt idx="6">
                  <c:v>3.1258444516758868</c:v>
                </c:pt>
                <c:pt idx="7">
                  <c:v>3.2102700943703222</c:v>
                </c:pt>
                <c:pt idx="8">
                  <c:v>3.2649896951947066</c:v>
                </c:pt>
                <c:pt idx="9">
                  <c:v>3.2990953465668729</c:v>
                </c:pt>
                <c:pt idx="10">
                  <c:v>3.3955222909209244</c:v>
                </c:pt>
                <c:pt idx="11">
                  <c:v>3.4798255776114546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6"/>
          <c:order val="6"/>
          <c:tx>
            <c:strRef>
              <c:f>Tools!$CK$11</c:f>
              <c:strCache>
                <c:ptCount val="1"/>
                <c:pt idx="0">
                  <c:v>4</c:v>
                </c:pt>
              </c:strCache>
            </c:strRef>
          </c:tx>
          <c:spPr>
            <a:ln w="3175"/>
          </c:spPr>
          <c:marker>
            <c:symbol val="none"/>
          </c:marker>
          <c:xVal>
            <c:numRef>
              <c:f>Tools!$CL$11:$DJ$11</c:f>
              <c:numCache>
                <c:formatCode>General</c:formatCode>
                <c:ptCount val="25"/>
                <c:pt idx="0">
                  <c:v>4</c:v>
                </c:pt>
                <c:pt idx="1">
                  <c:v>4.0085519036771888</c:v>
                </c:pt>
                <c:pt idx="2">
                  <c:v>4.0231174747803449</c:v>
                </c:pt>
                <c:pt idx="3">
                  <c:v>4.0401692157500815</c:v>
                </c:pt>
                <c:pt idx="4">
                  <c:v>4.0609697364139281</c:v>
                </c:pt>
                <c:pt idx="5">
                  <c:v>4.118086560364465</c:v>
                </c:pt>
                <c:pt idx="6">
                  <c:v>4.2009502115196877</c:v>
                </c:pt>
                <c:pt idx="7">
                  <c:v>4.2893589326391153</c:v>
                </c:pt>
                <c:pt idx="8">
                  <c:v>4.346751274541707</c:v>
                </c:pt>
                <c:pt idx="9">
                  <c:v>4.3858119101854864</c:v>
                </c:pt>
                <c:pt idx="10">
                  <c:v>4.4792971038073546</c:v>
                </c:pt>
                <c:pt idx="11">
                  <c:v>4.5638073543768307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7"/>
          <c:order val="7"/>
          <c:tx>
            <c:strRef>
              <c:f>Tools!$CK$12</c:f>
              <c:strCache>
                <c:ptCount val="1"/>
                <c:pt idx="0">
                  <c:v>5</c:v>
                </c:pt>
              </c:strCache>
            </c:strRef>
          </c:tx>
          <c:spPr>
            <a:ln w="3175">
              <a:solidFill>
                <a:schemeClr val="accent5">
                  <a:lumMod val="75000"/>
                </a:schemeClr>
              </a:solidFill>
            </a:ln>
          </c:spPr>
          <c:marker>
            <c:symbol val="none"/>
          </c:marker>
          <c:xVal>
            <c:numRef>
              <c:f>Tools!$CL$12:$DJ$12</c:f>
              <c:numCache>
                <c:formatCode>General</c:formatCode>
                <c:ptCount val="25"/>
                <c:pt idx="0">
                  <c:v>5</c:v>
                </c:pt>
                <c:pt idx="1">
                  <c:v>5.0131760494630653</c:v>
                </c:pt>
                <c:pt idx="2">
                  <c:v>5.0350797266514808</c:v>
                </c:pt>
                <c:pt idx="3">
                  <c:v>5.0607386918320856</c:v>
                </c:pt>
                <c:pt idx="4">
                  <c:v>5.0931337455255452</c:v>
                </c:pt>
                <c:pt idx="5">
                  <c:v>5.1739928408721116</c:v>
                </c:pt>
                <c:pt idx="6">
                  <c:v>5.2638594207614711</c:v>
                </c:pt>
                <c:pt idx="7">
                  <c:v>5.3592710706150344</c:v>
                </c:pt>
                <c:pt idx="8">
                  <c:v>5.4176656904219547</c:v>
                </c:pt>
                <c:pt idx="9">
                  <c:v>5.4541099902375532</c:v>
                </c:pt>
                <c:pt idx="10">
                  <c:v>5.5505369345916042</c:v>
                </c:pt>
                <c:pt idx="11">
                  <c:v>5.6350471851610804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8"/>
          <c:order val="8"/>
          <c:tx>
            <c:strRef>
              <c:f>Tools!$CK$13</c:f>
              <c:strCache>
                <c:ptCount val="1"/>
                <c:pt idx="0">
                  <c:v>6</c:v>
                </c:pt>
              </c:strCache>
            </c:strRef>
          </c:tx>
          <c:spPr>
            <a:ln w="3175">
              <a:solidFill>
                <a:schemeClr val="accent5">
                  <a:lumMod val="75000"/>
                </a:schemeClr>
              </a:solidFill>
            </a:ln>
          </c:spPr>
          <c:marker>
            <c:symbol val="none"/>
          </c:marker>
          <c:xVal>
            <c:numRef>
              <c:f>Tools!$CL$13:$DJ$13</c:f>
              <c:numCache>
                <c:formatCode>General</c:formatCode>
                <c:ptCount val="25"/>
                <c:pt idx="0">
                  <c:v>6</c:v>
                </c:pt>
                <c:pt idx="1">
                  <c:v>6.0180214773836642</c:v>
                </c:pt>
                <c:pt idx="2">
                  <c:v>6.0480312398307845</c:v>
                </c:pt>
                <c:pt idx="3">
                  <c:v>6.0828050764725026</c:v>
                </c:pt>
                <c:pt idx="4">
                  <c:v>6.1242303937520335</c:v>
                </c:pt>
                <c:pt idx="5">
                  <c:v>6.2146176374877973</c:v>
                </c:pt>
                <c:pt idx="6">
                  <c:v>6.3091962251871134</c:v>
                </c:pt>
                <c:pt idx="7">
                  <c:v>6.4052326716563623</c:v>
                </c:pt>
                <c:pt idx="8">
                  <c:v>6.4636988827421629</c:v>
                </c:pt>
                <c:pt idx="9">
                  <c:v>6.5005401887406444</c:v>
                </c:pt>
                <c:pt idx="10">
                  <c:v>6.5965766352098925</c:v>
                </c:pt>
                <c:pt idx="11">
                  <c:v>6.6810868857793686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9"/>
          <c:order val="9"/>
          <c:tx>
            <c:strRef>
              <c:f>Tools!$CK$14</c:f>
              <c:strCache>
                <c:ptCount val="1"/>
                <c:pt idx="0">
                  <c:v>7</c:v>
                </c:pt>
              </c:strCache>
            </c:strRef>
          </c:tx>
          <c:spPr>
            <a:ln w="3175">
              <a:solidFill>
                <a:schemeClr val="accent5">
                  <a:lumMod val="75000"/>
                </a:schemeClr>
              </a:solidFill>
            </a:ln>
          </c:spPr>
          <c:marker>
            <c:symbol val="none"/>
          </c:marker>
          <c:xVal>
            <c:numRef>
              <c:f>Tools!$CL$14:$DJ$14</c:f>
              <c:numCache>
                <c:formatCode>General</c:formatCode>
                <c:ptCount val="25"/>
                <c:pt idx="0">
                  <c:v>7</c:v>
                </c:pt>
                <c:pt idx="1">
                  <c:v>7.02503416856492</c:v>
                </c:pt>
                <c:pt idx="2">
                  <c:v>7.0628571428571432</c:v>
                </c:pt>
                <c:pt idx="3">
                  <c:v>7.104266189391474</c:v>
                </c:pt>
                <c:pt idx="4">
                  <c:v>7.150224536283762</c:v>
                </c:pt>
                <c:pt idx="5">
                  <c:v>7.2449593231369995</c:v>
                </c:pt>
                <c:pt idx="6">
                  <c:v>7.3405532053368043</c:v>
                </c:pt>
                <c:pt idx="7">
                  <c:v>7.4363032866905305</c:v>
                </c:pt>
                <c:pt idx="8">
                  <c:v>7.4947694977763319</c:v>
                </c:pt>
                <c:pt idx="9">
                  <c:v>7.5318971688903353</c:v>
                </c:pt>
                <c:pt idx="10">
                  <c:v>7.6276472502440615</c:v>
                </c:pt>
                <c:pt idx="11">
                  <c:v>7.7121575008135377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0"/>
          <c:order val="10"/>
          <c:tx>
            <c:strRef>
              <c:f>Tools!$CK$15</c:f>
              <c:strCache>
                <c:ptCount val="1"/>
                <c:pt idx="0">
                  <c:v>8</c:v>
                </c:pt>
              </c:strCache>
            </c:strRef>
          </c:tx>
          <c:spPr>
            <a:ln w="3175"/>
          </c:spPr>
          <c:marker>
            <c:symbol val="none"/>
          </c:marker>
          <c:xVal>
            <c:numRef>
              <c:f>Tools!$CL$15:$DJ$15</c:f>
              <c:numCache>
                <c:formatCode>General</c:formatCode>
                <c:ptCount val="25"/>
                <c:pt idx="0">
                  <c:v>8</c:v>
                </c:pt>
                <c:pt idx="1">
                  <c:v>8.0323560039049795</c:v>
                </c:pt>
                <c:pt idx="2">
                  <c:v>8.0753530751708436</c:v>
                </c:pt>
                <c:pt idx="3">
                  <c:v>8.1201659616010406</c:v>
                </c:pt>
                <c:pt idx="4">
                  <c:v>8.1679401236576634</c:v>
                </c:pt>
                <c:pt idx="5">
                  <c:v>8.2636251220305894</c:v>
                </c:pt>
                <c:pt idx="6">
                  <c:v>8.3591018548649529</c:v>
                </c:pt>
                <c:pt idx="7">
                  <c:v>8.4549690855841195</c:v>
                </c:pt>
                <c:pt idx="8">
                  <c:v>8.5134352966699218</c:v>
                </c:pt>
                <c:pt idx="9">
                  <c:v>8.5504458184184831</c:v>
                </c:pt>
                <c:pt idx="10">
                  <c:v>8.6463130491376514</c:v>
                </c:pt>
                <c:pt idx="11">
                  <c:v>8.7308232997071258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1"/>
          <c:order val="11"/>
          <c:tx>
            <c:strRef>
              <c:f>Tools!$CK$16</c:f>
              <c:strCache>
                <c:ptCount val="1"/>
                <c:pt idx="0">
                  <c:v>9</c:v>
                </c:pt>
              </c:strCache>
            </c:strRef>
          </c:tx>
          <c:spPr>
            <a:ln w="3175">
              <a:solidFill>
                <a:schemeClr val="accent5">
                  <a:lumMod val="75000"/>
                </a:schemeClr>
              </a:solidFill>
            </a:ln>
          </c:spPr>
          <c:marker>
            <c:symbol val="none"/>
          </c:marker>
          <c:xVal>
            <c:numRef>
              <c:f>Tools!$CL$16:$DJ$16</c:f>
              <c:numCache>
                <c:formatCode>General</c:formatCode>
                <c:ptCount val="25"/>
                <c:pt idx="0">
                  <c:v>9</c:v>
                </c:pt>
                <c:pt idx="1">
                  <c:v>9.0359648551903682</c:v>
                </c:pt>
                <c:pt idx="2">
                  <c:v>9.0807549625772861</c:v>
                </c:pt>
                <c:pt idx="3">
                  <c:v>9.1267946631955752</c:v>
                </c:pt>
                <c:pt idx="4">
                  <c:v>9.1750602017572405</c:v>
                </c:pt>
                <c:pt idx="5">
                  <c:v>9.2707191669378464</c:v>
                </c:pt>
                <c:pt idx="6">
                  <c:v>9.3664041653107706</c:v>
                </c:pt>
                <c:pt idx="7">
                  <c:v>9.4620631304913765</c:v>
                </c:pt>
                <c:pt idx="8">
                  <c:v>9.520529341577177</c:v>
                </c:pt>
                <c:pt idx="9">
                  <c:v>9.5577481288643025</c:v>
                </c:pt>
                <c:pt idx="10">
                  <c:v>9.6534070940449066</c:v>
                </c:pt>
                <c:pt idx="11">
                  <c:v>9.7379173446143827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2"/>
          <c:order val="12"/>
          <c:tx>
            <c:strRef>
              <c:f>Tools!$CK$17</c:f>
              <c:strCache>
                <c:ptCount val="1"/>
                <c:pt idx="0">
                  <c:v>10</c:v>
                </c:pt>
              </c:strCache>
            </c:strRef>
          </c:tx>
          <c:spPr>
            <a:ln w="3175">
              <a:solidFill>
                <a:schemeClr val="accent5">
                  <a:lumMod val="75000"/>
                </a:schemeClr>
              </a:solidFill>
            </a:ln>
          </c:spPr>
          <c:marker>
            <c:symbol val="none"/>
          </c:marker>
          <c:xVal>
            <c:numRef>
              <c:f>Tools!$CL$17:$DJ$17</c:f>
              <c:numCache>
                <c:formatCode>General</c:formatCode>
                <c:ptCount val="25"/>
                <c:pt idx="0">
                  <c:v>10</c:v>
                </c:pt>
                <c:pt idx="1">
                  <c:v>10.037816465994142</c:v>
                </c:pt>
                <c:pt idx="2">
                  <c:v>10.082486169866581</c:v>
                </c:pt>
                <c:pt idx="3">
                  <c:v>10.128958672307192</c:v>
                </c:pt>
                <c:pt idx="4">
                  <c:v>10.176947608200456</c:v>
                </c:pt>
                <c:pt idx="5">
                  <c:v>10.272554506996421</c:v>
                </c:pt>
                <c:pt idx="6">
                  <c:v>10.368291571753986</c:v>
                </c:pt>
                <c:pt idx="7">
                  <c:v>10.463898470549951</c:v>
                </c:pt>
                <c:pt idx="8">
                  <c:v>10.522364681635752</c:v>
                </c:pt>
                <c:pt idx="9">
                  <c:v>10.559635535307518</c:v>
                </c:pt>
                <c:pt idx="10">
                  <c:v>10.655242434103481</c:v>
                </c:pt>
                <c:pt idx="11">
                  <c:v>10.739752684672958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3"/>
          <c:order val="13"/>
          <c:tx>
            <c:strRef>
              <c:f>Tools!$CK$18</c:f>
              <c:strCache>
                <c:ptCount val="1"/>
                <c:pt idx="0">
                  <c:v>11</c:v>
                </c:pt>
              </c:strCache>
            </c:strRef>
          </c:tx>
          <c:spPr>
            <a:ln w="3175">
              <a:solidFill>
                <a:schemeClr val="accent5">
                  <a:lumMod val="75000"/>
                </a:schemeClr>
              </a:solidFill>
            </a:ln>
          </c:spPr>
          <c:marker>
            <c:symbol val="none"/>
          </c:marker>
          <c:xVal>
            <c:numRef>
              <c:f>Tools!$CL$18:$DJ$18</c:f>
              <c:numCache>
                <c:formatCode>General</c:formatCode>
                <c:ptCount val="25"/>
                <c:pt idx="0">
                  <c:v>11</c:v>
                </c:pt>
                <c:pt idx="1">
                  <c:v>11.037936869508624</c:v>
                </c:pt>
                <c:pt idx="2">
                  <c:v>11.081770257077775</c:v>
                </c:pt>
                <c:pt idx="3">
                  <c:v>11.127972665148064</c:v>
                </c:pt>
                <c:pt idx="4">
                  <c:v>11.175476732834364</c:v>
                </c:pt>
                <c:pt idx="5">
                  <c:v>11.271057598438009</c:v>
                </c:pt>
                <c:pt idx="6">
                  <c:v>11.366716563618613</c:v>
                </c:pt>
                <c:pt idx="7">
                  <c:v>11.462401561991539</c:v>
                </c:pt>
                <c:pt idx="8">
                  <c:v>11.52086777307734</c:v>
                </c:pt>
                <c:pt idx="9">
                  <c:v>11.558060527172145</c:v>
                </c:pt>
                <c:pt idx="10">
                  <c:v>11.653745525545069</c:v>
                </c:pt>
                <c:pt idx="11">
                  <c:v>11.738255776114546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4"/>
          <c:order val="14"/>
          <c:tx>
            <c:strRef>
              <c:f>Tools!$CK$19</c:f>
              <c:strCache>
                <c:ptCount val="1"/>
                <c:pt idx="0">
                  <c:v>12</c:v>
                </c:pt>
              </c:strCache>
            </c:strRef>
          </c:tx>
          <c:spPr>
            <a:ln w="3175">
              <a:solidFill>
                <a:schemeClr val="accent5">
                  <a:lumMod val="75000"/>
                </a:schemeClr>
              </a:solidFill>
            </a:ln>
          </c:spPr>
          <c:marker>
            <c:symbol val="none"/>
          </c:marker>
          <c:xVal>
            <c:numRef>
              <c:f>Tools!$CL$19:$DJ$19</c:f>
              <c:numCache>
                <c:formatCode>General</c:formatCode>
                <c:ptCount val="25"/>
                <c:pt idx="0">
                  <c:v>12</c:v>
                </c:pt>
                <c:pt idx="1">
                  <c:v>12.035245688252521</c:v>
                </c:pt>
                <c:pt idx="2">
                  <c:v>12.076836967133096</c:v>
                </c:pt>
                <c:pt idx="3">
                  <c:v>12.121220305890009</c:v>
                </c:pt>
                <c:pt idx="4">
                  <c:v>12.16735437683046</c:v>
                </c:pt>
                <c:pt idx="5">
                  <c:v>12.261620566221932</c:v>
                </c:pt>
                <c:pt idx="6">
                  <c:v>12.357318581191018</c:v>
                </c:pt>
                <c:pt idx="7">
                  <c:v>12.452834363813862</c:v>
                </c:pt>
                <c:pt idx="8">
                  <c:v>12.511300574899664</c:v>
                </c:pt>
                <c:pt idx="9">
                  <c:v>12.54866254474455</c:v>
                </c:pt>
                <c:pt idx="10">
                  <c:v>12.644178327367394</c:v>
                </c:pt>
                <c:pt idx="11">
                  <c:v>12.72868857793687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5"/>
          <c:order val="15"/>
          <c:tx>
            <c:strRef>
              <c:f>Tools!$CK$20</c:f>
              <c:strCache>
                <c:ptCount val="1"/>
                <c:pt idx="0">
                  <c:v>13</c:v>
                </c:pt>
              </c:strCache>
            </c:strRef>
          </c:tx>
          <c:spPr>
            <a:ln w="3175">
              <a:solidFill>
                <a:schemeClr val="accent5">
                  <a:lumMod val="75000"/>
                </a:schemeClr>
              </a:solidFill>
            </a:ln>
          </c:spPr>
          <c:marker>
            <c:symbol val="none"/>
          </c:marker>
          <c:xVal>
            <c:numRef>
              <c:f>Tools!$CL$20:$DJ$20</c:f>
              <c:numCache>
                <c:formatCode>General</c:formatCode>
                <c:ptCount val="25"/>
                <c:pt idx="0">
                  <c:v>13</c:v>
                </c:pt>
                <c:pt idx="1">
                  <c:v>13.030650829808005</c:v>
                </c:pt>
                <c:pt idx="2">
                  <c:v>13.067803449397982</c:v>
                </c:pt>
                <c:pt idx="3">
                  <c:v>13.108281809306867</c:v>
                </c:pt>
                <c:pt idx="4">
                  <c:v>13.150914415880248</c:v>
                </c:pt>
                <c:pt idx="5">
                  <c:v>13.239804751057598</c:v>
                </c:pt>
                <c:pt idx="6">
                  <c:v>13.332183534005857</c:v>
                </c:pt>
                <c:pt idx="7">
                  <c:v>13.426462739993491</c:v>
                </c:pt>
                <c:pt idx="8">
                  <c:v>13.484690313483025</c:v>
                </c:pt>
                <c:pt idx="9">
                  <c:v>13.522017572404817</c:v>
                </c:pt>
                <c:pt idx="10">
                  <c:v>13.61736413927758</c:v>
                </c:pt>
                <c:pt idx="11">
                  <c:v>13.701805401887407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6"/>
          <c:order val="16"/>
          <c:tx>
            <c:strRef>
              <c:f>Tools!$CK$21</c:f>
              <c:strCache>
                <c:ptCount val="1"/>
                <c:pt idx="0">
                  <c:v>14</c:v>
                </c:pt>
              </c:strCache>
            </c:strRef>
          </c:tx>
          <c:spPr>
            <a:ln w="3175">
              <a:solidFill>
                <a:schemeClr val="accent5">
                  <a:lumMod val="75000"/>
                </a:schemeClr>
              </a:solidFill>
            </a:ln>
          </c:spPr>
          <c:marker>
            <c:symbol val="none"/>
          </c:marker>
          <c:xVal>
            <c:numRef>
              <c:f>Tools!$CL$21:$DJ$21</c:f>
              <c:numCache>
                <c:formatCode>General</c:formatCode>
                <c:ptCount val="25"/>
                <c:pt idx="0">
                  <c:v>14</c:v>
                </c:pt>
                <c:pt idx="1">
                  <c:v>14.025030914415881</c:v>
                </c:pt>
                <c:pt idx="2">
                  <c:v>14.055528799219005</c:v>
                </c:pt>
                <c:pt idx="3">
                  <c:v>14.088994467946632</c:v>
                </c:pt>
                <c:pt idx="4">
                  <c:v>14.126989912137976</c:v>
                </c:pt>
                <c:pt idx="5">
                  <c:v>14.205610152945004</c:v>
                </c:pt>
                <c:pt idx="6">
                  <c:v>14.290504393101203</c:v>
                </c:pt>
                <c:pt idx="7">
                  <c:v>14.377949886104783</c:v>
                </c:pt>
                <c:pt idx="8">
                  <c:v>14.433146762121705</c:v>
                </c:pt>
                <c:pt idx="9">
                  <c:v>14.469326391148714</c:v>
                </c:pt>
                <c:pt idx="10">
                  <c:v>14.561978522616336</c:v>
                </c:pt>
                <c:pt idx="11">
                  <c:v>14.645798893589326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7"/>
          <c:order val="17"/>
          <c:tx>
            <c:strRef>
              <c:f>Tools!$CK$22</c:f>
              <c:strCache>
                <c:ptCount val="1"/>
                <c:pt idx="0">
                  <c:v>15</c:v>
                </c:pt>
              </c:strCache>
            </c:strRef>
          </c:tx>
          <c:spPr>
            <a:ln w="3175">
              <a:solidFill>
                <a:schemeClr val="accent5">
                  <a:lumMod val="75000"/>
                </a:schemeClr>
              </a:solidFill>
            </a:ln>
          </c:spPr>
          <c:marker>
            <c:symbol val="none"/>
          </c:marker>
          <c:xVal>
            <c:numRef>
              <c:f>Tools!$CL$22:$DJ$22</c:f>
              <c:numCache>
                <c:formatCode>General</c:formatCode>
                <c:ptCount val="25"/>
                <c:pt idx="0">
                  <c:v>15</c:v>
                </c:pt>
                <c:pt idx="1">
                  <c:v>15.01867881548975</c:v>
                </c:pt>
                <c:pt idx="2">
                  <c:v>15.043215099251546</c:v>
                </c:pt>
                <c:pt idx="3">
                  <c:v>15.071252847380411</c:v>
                </c:pt>
                <c:pt idx="4">
                  <c:v>15.101841848356655</c:v>
                </c:pt>
                <c:pt idx="5">
                  <c:v>15.168252521965506</c:v>
                </c:pt>
                <c:pt idx="6">
                  <c:v>15.240754962577286</c:v>
                </c:pt>
                <c:pt idx="7">
                  <c:v>15.318542141230068</c:v>
                </c:pt>
                <c:pt idx="8">
                  <c:v>15.368321943811694</c:v>
                </c:pt>
                <c:pt idx="9">
                  <c:v>15.400807028961927</c:v>
                </c:pt>
                <c:pt idx="10">
                  <c:v>15.487107061503417</c:v>
                </c:pt>
                <c:pt idx="11">
                  <c:v>15.567960950211519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8"/>
          <c:order val="18"/>
          <c:tx>
            <c:strRef>
              <c:f>Tools!$CK$23</c:f>
              <c:strCache>
                <c:ptCount val="1"/>
                <c:pt idx="0">
                  <c:v>16</c:v>
                </c:pt>
              </c:strCache>
            </c:strRef>
          </c:tx>
          <c:spPr>
            <a:ln w="3175">
              <a:solidFill>
                <a:schemeClr val="accent5">
                  <a:lumMod val="75000"/>
                </a:schemeClr>
              </a:solidFill>
            </a:ln>
          </c:spPr>
          <c:marker>
            <c:symbol val="none"/>
          </c:marker>
          <c:xVal>
            <c:numRef>
              <c:f>Tools!$CL$23:$DJ$23</c:f>
              <c:numCache>
                <c:formatCode>General</c:formatCode>
                <c:ptCount val="25"/>
                <c:pt idx="0">
                  <c:v>16</c:v>
                </c:pt>
                <c:pt idx="1">
                  <c:v>16.012495932313701</c:v>
                </c:pt>
                <c:pt idx="2">
                  <c:v>16.030615034168566</c:v>
                </c:pt>
                <c:pt idx="3">
                  <c:v>16.051793036121055</c:v>
                </c:pt>
                <c:pt idx="4">
                  <c:v>16.075248942401561</c:v>
                </c:pt>
                <c:pt idx="5">
                  <c:v>16.127041978522616</c:v>
                </c:pt>
                <c:pt idx="6">
                  <c:v>16.184900748454279</c:v>
                </c:pt>
                <c:pt idx="7">
                  <c:v>16.249111617312074</c:v>
                </c:pt>
                <c:pt idx="8">
                  <c:v>16.291469790649746</c:v>
                </c:pt>
                <c:pt idx="9">
                  <c:v>16.319648551903676</c:v>
                </c:pt>
                <c:pt idx="10">
                  <c:v>16.396329319882852</c:v>
                </c:pt>
                <c:pt idx="11">
                  <c:v>16.472043605597136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9"/>
          <c:order val="19"/>
          <c:tx>
            <c:strRef>
              <c:f>Tools!$CK$24</c:f>
              <c:strCache>
                <c:ptCount val="1"/>
                <c:pt idx="0">
                  <c:v>17</c:v>
                </c:pt>
              </c:strCache>
            </c:strRef>
          </c:tx>
          <c:spPr>
            <a:ln w="3175">
              <a:solidFill>
                <a:schemeClr val="accent5">
                  <a:lumMod val="75000"/>
                </a:schemeClr>
              </a:solidFill>
            </a:ln>
          </c:spPr>
          <c:marker>
            <c:symbol val="none"/>
          </c:marker>
          <c:xVal>
            <c:numRef>
              <c:f>Tools!$CL$24:$DJ$24</c:f>
              <c:numCache>
                <c:formatCode>General</c:formatCode>
                <c:ptCount val="25"/>
                <c:pt idx="0">
                  <c:v>17</c:v>
                </c:pt>
                <c:pt idx="1">
                  <c:v>17.006758867556133</c:v>
                </c:pt>
                <c:pt idx="2">
                  <c:v>17.019121379759191</c:v>
                </c:pt>
                <c:pt idx="3">
                  <c:v>17.03379433778067</c:v>
                </c:pt>
                <c:pt idx="4">
                  <c:v>17.050608525870484</c:v>
                </c:pt>
                <c:pt idx="5">
                  <c:v>17.087510575984378</c:v>
                </c:pt>
                <c:pt idx="6">
                  <c:v>17.129332899446794</c:v>
                </c:pt>
                <c:pt idx="7">
                  <c:v>17.177012691181258</c:v>
                </c:pt>
                <c:pt idx="8">
                  <c:v>17.209968543225948</c:v>
                </c:pt>
                <c:pt idx="9">
                  <c:v>17.232658639765702</c:v>
                </c:pt>
                <c:pt idx="10">
                  <c:v>17.296452977546373</c:v>
                </c:pt>
                <c:pt idx="11">
                  <c:v>17.364302635860721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0"/>
          <c:order val="20"/>
          <c:tx>
            <c:strRef>
              <c:f>Tools!$CK$25</c:f>
              <c:strCache>
                <c:ptCount val="1"/>
                <c:pt idx="0">
                  <c:v>18</c:v>
                </c:pt>
              </c:strCache>
            </c:strRef>
          </c:tx>
          <c:spPr>
            <a:ln w="3175">
              <a:solidFill>
                <a:schemeClr val="accent5">
                  <a:lumMod val="75000"/>
                </a:schemeClr>
              </a:solidFill>
            </a:ln>
          </c:spPr>
          <c:marker>
            <c:symbol val="none"/>
          </c:marker>
          <c:xVal>
            <c:numRef>
              <c:f>Tools!$CL$25:$DJ$25</c:f>
              <c:numCache>
                <c:formatCode>General</c:formatCode>
                <c:ptCount val="25"/>
                <c:pt idx="0">
                  <c:v>18</c:v>
                </c:pt>
                <c:pt idx="1">
                  <c:v>18.003153270419784</c:v>
                </c:pt>
                <c:pt idx="2">
                  <c:v>18.010507647250243</c:v>
                </c:pt>
                <c:pt idx="3">
                  <c:v>18.020205011389521</c:v>
                </c:pt>
                <c:pt idx="4">
                  <c:v>18.031282134721771</c:v>
                </c:pt>
                <c:pt idx="5">
                  <c:v>18.055701269118124</c:v>
                </c:pt>
                <c:pt idx="6">
                  <c:v>18.081994793361535</c:v>
                </c:pt>
                <c:pt idx="7">
                  <c:v>18.111854864952814</c:v>
                </c:pt>
                <c:pt idx="8">
                  <c:v>18.133928842607659</c:v>
                </c:pt>
                <c:pt idx="9">
                  <c:v>18.14994142531728</c:v>
                </c:pt>
                <c:pt idx="10">
                  <c:v>18.1977643996095</c:v>
                </c:pt>
                <c:pt idx="11">
                  <c:v>18.255058900097623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1"/>
          <c:order val="21"/>
          <c:tx>
            <c:strRef>
              <c:f>Tools!$CK$26</c:f>
              <c:strCache>
                <c:ptCount val="1"/>
                <c:pt idx="0">
                  <c:v>18.5</c:v>
                </c:pt>
              </c:strCache>
            </c:strRef>
          </c:tx>
          <c:spPr>
            <a:ln w="3175">
              <a:solidFill>
                <a:schemeClr val="accent5">
                  <a:lumMod val="75000"/>
                </a:schemeClr>
              </a:solidFill>
            </a:ln>
          </c:spPr>
          <c:marker>
            <c:symbol val="none"/>
          </c:marker>
          <c:xVal>
            <c:numRef>
              <c:f>Tools!$CL$26:$DJ$26</c:f>
              <c:numCache>
                <c:formatCode>General</c:formatCode>
                <c:ptCount val="25"/>
                <c:pt idx="0">
                  <c:v>18.5</c:v>
                </c:pt>
                <c:pt idx="1">
                  <c:v>18.501308601800631</c:v>
                </c:pt>
                <c:pt idx="2">
                  <c:v>18.506730014101311</c:v>
                </c:pt>
                <c:pt idx="3">
                  <c:v>18.514299164768413</c:v>
                </c:pt>
                <c:pt idx="4">
                  <c:v>18.523209024840003</c:v>
                </c:pt>
                <c:pt idx="5">
                  <c:v>18.54283805184944</c:v>
                </c:pt>
                <c:pt idx="6">
                  <c:v>18.562857576743681</c:v>
                </c:pt>
                <c:pt idx="7">
                  <c:v>18.584204794446251</c:v>
                </c:pt>
                <c:pt idx="8">
                  <c:v>18.600694652348412</c:v>
                </c:pt>
                <c:pt idx="9">
                  <c:v>18.613179737498644</c:v>
                </c:pt>
                <c:pt idx="10">
                  <c:v>18.651969194055756</c:v>
                </c:pt>
                <c:pt idx="11">
                  <c:v>18.699605380193081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2"/>
          <c:order val="22"/>
          <c:tx>
            <c:strRef>
              <c:f>Tools!$CK$27</c:f>
              <c:strCache>
                <c:ptCount val="1"/>
                <c:pt idx="0">
                  <c:v>19</c:v>
                </c:pt>
              </c:strCache>
            </c:strRef>
          </c:tx>
          <c:spPr>
            <a:ln w="3175">
              <a:solidFill>
                <a:schemeClr val="accent5">
                  <a:lumMod val="75000"/>
                </a:schemeClr>
              </a:solidFill>
            </a:ln>
          </c:spPr>
          <c:marker>
            <c:symbol val="none"/>
          </c:marker>
          <c:xVal>
            <c:numRef>
              <c:f>Tools!$CL$27:$DJ$27</c:f>
              <c:numCache>
                <c:formatCode>General</c:formatCode>
                <c:ptCount val="25"/>
                <c:pt idx="0">
                  <c:v>19</c:v>
                </c:pt>
                <c:pt idx="1">
                  <c:v>19.000333224861699</c:v>
                </c:pt>
                <c:pt idx="2">
                  <c:v>19.004134070940449</c:v>
                </c:pt>
                <c:pt idx="3">
                  <c:v>19.009965506020176</c:v>
                </c:pt>
                <c:pt idx="4">
                  <c:v>19.017085584119751</c:v>
                </c:pt>
                <c:pt idx="5">
                  <c:v>19.033317279531403</c:v>
                </c:pt>
                <c:pt idx="6">
                  <c:v>19.048741945981124</c:v>
                </c:pt>
                <c:pt idx="7">
                  <c:v>19.062734786853238</c:v>
                </c:pt>
                <c:pt idx="8">
                  <c:v>19.073735980041221</c:v>
                </c:pt>
                <c:pt idx="9">
                  <c:v>19.082324764074194</c:v>
                </c:pt>
                <c:pt idx="10">
                  <c:v>19.111729254799869</c:v>
                </c:pt>
                <c:pt idx="11">
                  <c:v>19.146844126260984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3"/>
          <c:order val="23"/>
          <c:tx>
            <c:strRef>
              <c:f>Tools!$CK$28</c:f>
              <c:strCache>
                <c:ptCount val="1"/>
                <c:pt idx="0">
                  <c:v>19.5</c:v>
                </c:pt>
              </c:strCache>
            </c:strRef>
          </c:tx>
          <c:spPr>
            <a:ln w="3175">
              <a:solidFill>
                <a:schemeClr val="accent5">
                  <a:lumMod val="75000"/>
                </a:schemeClr>
              </a:solidFill>
            </a:ln>
          </c:spPr>
          <c:marker>
            <c:symbol val="none"/>
          </c:marker>
          <c:xVal>
            <c:numRef>
              <c:f>Tools!$CL$28:$DJ$28</c:f>
              <c:numCache>
                <c:formatCode>General</c:formatCode>
                <c:ptCount val="25"/>
                <c:pt idx="0">
                  <c:v>19.5</c:v>
                </c:pt>
                <c:pt idx="1">
                  <c:v>19.5</c:v>
                </c:pt>
                <c:pt idx="2">
                  <c:v>19.501492569693024</c:v>
                </c:pt>
                <c:pt idx="3">
                  <c:v>19.505729471743138</c:v>
                </c:pt>
                <c:pt idx="4">
                  <c:v>19.511411215967026</c:v>
                </c:pt>
                <c:pt idx="5">
                  <c:v>19.525000542358175</c:v>
                </c:pt>
                <c:pt idx="6">
                  <c:v>19.537418375094912</c:v>
                </c:pt>
                <c:pt idx="7">
                  <c:v>19.545853129406659</c:v>
                </c:pt>
                <c:pt idx="8">
                  <c:v>19.551675886755614</c:v>
                </c:pt>
                <c:pt idx="9">
                  <c:v>19.555771775680661</c:v>
                </c:pt>
                <c:pt idx="10">
                  <c:v>19.573838811150885</c:v>
                </c:pt>
                <c:pt idx="11">
                  <c:v>19.59760516324981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4"/>
          <c:order val="24"/>
          <c:tx>
            <c:strRef>
              <c:f>Tools!$CK$29</c:f>
              <c:strCache>
                <c:ptCount val="1"/>
                <c:pt idx="0">
                  <c:v>20</c:v>
                </c:pt>
              </c:strCache>
            </c:strRef>
          </c:tx>
          <c:spPr>
            <a:ln w="3175">
              <a:solidFill>
                <a:schemeClr val="accent5">
                  <a:lumMod val="75000"/>
                </a:schemeClr>
              </a:solidFill>
            </a:ln>
          </c:spPr>
          <c:marker>
            <c:symbol val="none"/>
          </c:marker>
          <c:xVal>
            <c:numRef>
              <c:f>Tools!$CL$29:$DJ$29</c:f>
              <c:numCache>
                <c:formatCode>General</c:formatCode>
                <c:ptCount val="25"/>
                <c:pt idx="0">
                  <c:v>20</c:v>
                </c:pt>
                <c:pt idx="1">
                  <c:v>20</c:v>
                </c:pt>
                <c:pt idx="2">
                  <c:v>20</c:v>
                </c:pt>
                <c:pt idx="3">
                  <c:v>20.001154138192863</c:v>
                </c:pt>
                <c:pt idx="4">
                  <c:v>20.004883392992731</c:v>
                </c:pt>
                <c:pt idx="5">
                  <c:v>20.015498427161297</c:v>
                </c:pt>
                <c:pt idx="6">
                  <c:v>20.025683913656579</c:v>
                </c:pt>
                <c:pt idx="7">
                  <c:v>20.028905521206205</c:v>
                </c:pt>
                <c:pt idx="8">
                  <c:v>20.028905521206205</c:v>
                </c:pt>
                <c:pt idx="9">
                  <c:v>20.029653975485409</c:v>
                </c:pt>
                <c:pt idx="10">
                  <c:v>20.033949452218245</c:v>
                </c:pt>
                <c:pt idx="11">
                  <c:v>20.043021368912029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5"/>
          <c:order val="25"/>
          <c:tx>
            <c:strRef>
              <c:f>Tools!$CK$30</c:f>
              <c:strCache>
                <c:ptCount val="1"/>
                <c:pt idx="0">
                  <c:v>0</c:v>
                </c:pt>
              </c:strCache>
            </c:strRef>
          </c:tx>
          <c:spPr>
            <a:ln w="3175">
              <a:solidFill>
                <a:schemeClr val="accent6">
                  <a:lumMod val="75000"/>
                </a:schemeClr>
              </a:solidFill>
            </a:ln>
          </c:spPr>
          <c:marker>
            <c:symbol val="none"/>
          </c:marker>
          <c:xVal>
            <c:numRef>
              <c:f>Tools!$CL$30:$DJ$30</c:f>
              <c:numCache>
                <c:formatCode>General</c:formatCode>
                <c:ptCount val="25"/>
                <c:pt idx="0">
                  <c:v>0</c:v>
                </c:pt>
                <c:pt idx="1">
                  <c:v>0</c:v>
                </c:pt>
                <c:pt idx="2">
                  <c:v>0</c:v>
                </c:pt>
                <c:pt idx="3">
                  <c:v>0</c:v>
                </c:pt>
                <c:pt idx="4">
                  <c:v>0</c:v>
                </c:pt>
                <c:pt idx="5">
                  <c:v>0</c:v>
                </c:pt>
                <c:pt idx="6">
                  <c:v>0</c:v>
                </c:pt>
                <c:pt idx="7">
                  <c:v>0</c:v>
                </c:pt>
                <c:pt idx="8">
                  <c:v>1.7625755504935398E-3</c:v>
                </c:pt>
                <c:pt idx="9">
                  <c:v>2.204446874209063E-2</c:v>
                </c:pt>
                <c:pt idx="10">
                  <c:v>0.12366451430017722</c:v>
                </c:pt>
                <c:pt idx="11">
                  <c:v>0.25637236122500634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6"/>
          <c:order val="26"/>
          <c:tx>
            <c:strRef>
              <c:f>Tools!$CK$31</c:f>
              <c:strCache>
                <c:ptCount val="1"/>
                <c:pt idx="0">
                  <c:v>0.5</c:v>
                </c:pt>
              </c:strCache>
            </c:strRef>
          </c:tx>
          <c:spPr>
            <a:ln w="3175">
              <a:solidFill>
                <a:schemeClr val="accent6">
                  <a:lumMod val="75000"/>
                </a:schemeClr>
              </a:solidFill>
            </a:ln>
          </c:spPr>
          <c:marker>
            <c:symbol val="none"/>
          </c:marker>
          <c:xVal>
            <c:numRef>
              <c:f>Tools!$CL$31:$DJ$31</c:f>
              <c:numCache>
                <c:formatCode>General</c:formatCode>
                <c:ptCount val="25"/>
                <c:pt idx="0">
                  <c:v>0.5</c:v>
                </c:pt>
                <c:pt idx="1">
                  <c:v>0.5</c:v>
                </c:pt>
                <c:pt idx="2">
                  <c:v>0.5</c:v>
                </c:pt>
                <c:pt idx="3">
                  <c:v>0.5</c:v>
                </c:pt>
                <c:pt idx="4">
                  <c:v>0.5</c:v>
                </c:pt>
                <c:pt idx="5">
                  <c:v>0.5</c:v>
                </c:pt>
                <c:pt idx="6">
                  <c:v>0.5</c:v>
                </c:pt>
                <c:pt idx="7">
                  <c:v>0.50032680334092638</c:v>
                </c:pt>
                <c:pt idx="8">
                  <c:v>0.52619448240951661</c:v>
                </c:pt>
                <c:pt idx="9">
                  <c:v>0.55839176917236144</c:v>
                </c:pt>
                <c:pt idx="10">
                  <c:v>0.68628033409263489</c:v>
                </c:pt>
                <c:pt idx="11">
                  <c:v>0.82967496097190585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7"/>
          <c:order val="27"/>
          <c:tx>
            <c:strRef>
              <c:f>Tools!$CK$32</c:f>
              <c:strCache>
                <c:ptCount val="1"/>
                <c:pt idx="0">
                  <c:v>1</c:v>
                </c:pt>
              </c:strCache>
            </c:strRef>
          </c:tx>
          <c:spPr>
            <a:ln w="3175">
              <a:solidFill>
                <a:schemeClr val="accent6">
                  <a:lumMod val="75000"/>
                </a:schemeClr>
              </a:solidFill>
            </a:ln>
          </c:spPr>
          <c:marker>
            <c:symbol val="none"/>
          </c:marker>
          <c:xVal>
            <c:numRef>
              <c:f>Tools!$CL$32:$DJ$32</c:f>
              <c:numCache>
                <c:formatCode>General</c:formatCode>
                <c:ptCount val="25"/>
                <c:pt idx="0">
                  <c:v>1</c:v>
                </c:pt>
                <c:pt idx="1">
                  <c:v>1</c:v>
                </c:pt>
                <c:pt idx="2">
                  <c:v>1</c:v>
                </c:pt>
                <c:pt idx="3">
                  <c:v>1</c:v>
                </c:pt>
                <c:pt idx="4">
                  <c:v>1</c:v>
                </c:pt>
                <c:pt idx="5">
                  <c:v>1</c:v>
                </c:pt>
                <c:pt idx="6">
                  <c:v>1</c:v>
                </c:pt>
                <c:pt idx="7">
                  <c:v>1.0191825056947608</c:v>
                </c:pt>
                <c:pt idx="8">
                  <c:v>1.0669501797013414</c:v>
                </c:pt>
                <c:pt idx="9">
                  <c:v>1.1081845102505694</c:v>
                </c:pt>
                <c:pt idx="10">
                  <c:v>1.2462170387243736</c:v>
                </c:pt>
                <c:pt idx="11">
                  <c:v>1.3965568628701595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8"/>
          <c:order val="28"/>
          <c:tx>
            <c:strRef>
              <c:f>Tools!$CK$33</c:f>
              <c:strCache>
                <c:ptCount val="1"/>
                <c:pt idx="0">
                  <c:v>1.5</c:v>
                </c:pt>
              </c:strCache>
            </c:strRef>
          </c:tx>
          <c:spPr>
            <a:ln w="3175">
              <a:solidFill>
                <a:schemeClr val="accent6">
                  <a:lumMod val="75000"/>
                </a:schemeClr>
              </a:solidFill>
            </a:ln>
          </c:spPr>
          <c:marker>
            <c:symbol val="none"/>
          </c:marker>
          <c:xVal>
            <c:numRef>
              <c:f>Tools!$CL$33:$DJ$33</c:f>
              <c:numCache>
                <c:formatCode>General</c:formatCode>
                <c:ptCount val="25"/>
                <c:pt idx="0">
                  <c:v>1.5</c:v>
                </c:pt>
                <c:pt idx="1">
                  <c:v>1.5</c:v>
                </c:pt>
                <c:pt idx="2">
                  <c:v>1.5</c:v>
                </c:pt>
                <c:pt idx="3">
                  <c:v>1.5002232346241458</c:v>
                </c:pt>
                <c:pt idx="4">
                  <c:v>1.5011826879271071</c:v>
                </c:pt>
                <c:pt idx="5">
                  <c:v>1.5056519362186789</c:v>
                </c:pt>
                <c:pt idx="6">
                  <c:v>1.5178460136674259</c:v>
                </c:pt>
                <c:pt idx="7">
                  <c:v>1.5612510250569476</c:v>
                </c:pt>
                <c:pt idx="8">
                  <c:v>1.6209804403948367</c:v>
                </c:pt>
                <c:pt idx="9">
                  <c:v>1.6787586332574032</c:v>
                </c:pt>
                <c:pt idx="10">
                  <c:v>1.8130771753986332</c:v>
                </c:pt>
                <c:pt idx="11">
                  <c:v>1.9675262259681092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9"/>
          <c:order val="29"/>
          <c:tx>
            <c:strRef>
              <c:f>Tools!$CK$34</c:f>
              <c:strCache>
                <c:ptCount val="1"/>
                <c:pt idx="0">
                  <c:v>2</c:v>
                </c:pt>
              </c:strCache>
            </c:strRef>
          </c:tx>
          <c:spPr>
            <a:ln w="3175">
              <a:solidFill>
                <a:schemeClr val="accent6">
                  <a:lumMod val="75000"/>
                </a:schemeClr>
              </a:solidFill>
            </a:ln>
          </c:spPr>
          <c:marker>
            <c:symbol val="none"/>
          </c:marker>
          <c:xVal>
            <c:numRef>
              <c:f>Tools!$CL$34:$DJ$34</c:f>
              <c:numCache>
                <c:formatCode>General</c:formatCode>
                <c:ptCount val="25"/>
                <c:pt idx="0">
                  <c:v>2</c:v>
                </c:pt>
                <c:pt idx="1">
                  <c:v>2.0000316719817768</c:v>
                </c:pt>
                <c:pt idx="2">
                  <c:v>2.0006003735763098</c:v>
                </c:pt>
                <c:pt idx="3">
                  <c:v>2.0021998724373575</c:v>
                </c:pt>
                <c:pt idx="4">
                  <c:v>2.0050089384965832</c:v>
                </c:pt>
                <c:pt idx="5">
                  <c:v>2.0155186423690203</c:v>
                </c:pt>
                <c:pt idx="6">
                  <c:v>2.0429278451025059</c:v>
                </c:pt>
                <c:pt idx="7">
                  <c:v>2.1110375489749429</c:v>
                </c:pt>
                <c:pt idx="8">
                  <c:v>2.1774629602632247</c:v>
                </c:pt>
                <c:pt idx="9">
                  <c:v>2.2318925831435079</c:v>
                </c:pt>
                <c:pt idx="10">
                  <c:v>2.3771652938496581</c:v>
                </c:pt>
                <c:pt idx="11">
                  <c:v>2.5337323644646923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0"/>
          <c:order val="30"/>
          <c:tx>
            <c:strRef>
              <c:f>Tools!$CK$36</c:f>
              <c:strCache>
                <c:ptCount val="1"/>
                <c:pt idx="0">
                  <c:v>4</c:v>
                </c:pt>
              </c:strCache>
            </c:strRef>
          </c:tx>
          <c:spPr>
            <a:ln w="3175">
              <a:solidFill>
                <a:schemeClr val="accent6">
                  <a:lumMod val="75000"/>
                </a:schemeClr>
              </a:solidFill>
            </a:ln>
          </c:spPr>
          <c:marker>
            <c:symbol val="none"/>
          </c:marker>
          <c:xVal>
            <c:numRef>
              <c:f>Tools!$CL$36:$DJ$36</c:f>
              <c:numCache>
                <c:formatCode>General</c:formatCode>
                <c:ptCount val="25"/>
                <c:pt idx="0">
                  <c:v>4</c:v>
                </c:pt>
                <c:pt idx="1">
                  <c:v>4.0006277448747154</c:v>
                </c:pt>
                <c:pt idx="2">
                  <c:v>4.0034179498861047</c:v>
                </c:pt>
                <c:pt idx="3">
                  <c:v>4.0088626423690208</c:v>
                </c:pt>
                <c:pt idx="4">
                  <c:v>4.018008200455581</c:v>
                </c:pt>
                <c:pt idx="5">
                  <c:v>4.0546412756264241</c:v>
                </c:pt>
                <c:pt idx="6">
                  <c:v>4.1273563553530748</c:v>
                </c:pt>
                <c:pt idx="7">
                  <c:v>4.2290616856492029</c:v>
                </c:pt>
                <c:pt idx="8">
                  <c:v>4.3058093343457351</c:v>
                </c:pt>
                <c:pt idx="9">
                  <c:v>4.3609578132118454</c:v>
                </c:pt>
                <c:pt idx="10">
                  <c:v>4.5164712528473805</c:v>
                </c:pt>
                <c:pt idx="11">
                  <c:v>4.6749533257403186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1"/>
          <c:order val="31"/>
          <c:tx>
            <c:strRef>
              <c:f>Tools!$CK$37</c:f>
              <c:strCache>
                <c:ptCount val="1"/>
                <c:pt idx="0">
                  <c:v>5</c:v>
                </c:pt>
              </c:strCache>
            </c:strRef>
          </c:tx>
          <c:spPr>
            <a:ln w="3175">
              <a:solidFill>
                <a:schemeClr val="accent6">
                  <a:lumMod val="75000"/>
                </a:schemeClr>
              </a:solidFill>
            </a:ln>
          </c:spPr>
          <c:marker>
            <c:symbol val="none"/>
          </c:marker>
          <c:xVal>
            <c:numRef>
              <c:f>Tools!$CL$37:$DJ$37</c:f>
              <c:numCache>
                <c:formatCode>General</c:formatCode>
                <c:ptCount val="25"/>
                <c:pt idx="0">
                  <c:v>5</c:v>
                </c:pt>
                <c:pt idx="1">
                  <c:v>5.0009608883826875</c:v>
                </c:pt>
                <c:pt idx="2">
                  <c:v>5.0051531662870161</c:v>
                </c:pt>
                <c:pt idx="3">
                  <c:v>5.0133665375854211</c:v>
                </c:pt>
                <c:pt idx="4">
                  <c:v>5.0275797722095668</c:v>
                </c:pt>
                <c:pt idx="5">
                  <c:v>5.0784849202733486</c:v>
                </c:pt>
                <c:pt idx="6">
                  <c:v>5.1585640091116174</c:v>
                </c:pt>
                <c:pt idx="7">
                  <c:v>5.2659473348519361</c:v>
                </c:pt>
                <c:pt idx="8">
                  <c:v>5.3440227790432804</c:v>
                </c:pt>
                <c:pt idx="9">
                  <c:v>5.398476537585422</c:v>
                </c:pt>
                <c:pt idx="10">
                  <c:v>5.5551610022779041</c:v>
                </c:pt>
                <c:pt idx="11">
                  <c:v>5.7136430751708431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2"/>
          <c:order val="32"/>
          <c:tx>
            <c:strRef>
              <c:f>Tools!$CK$38</c:f>
              <c:strCache>
                <c:ptCount val="1"/>
                <c:pt idx="0">
                  <c:v>6</c:v>
                </c:pt>
              </c:strCache>
            </c:strRef>
          </c:tx>
          <c:spPr>
            <a:ln w="3175">
              <a:solidFill>
                <a:schemeClr val="accent6">
                  <a:lumMod val="75000"/>
                </a:schemeClr>
              </a:solidFill>
            </a:ln>
          </c:spPr>
          <c:marker>
            <c:symbol val="none"/>
          </c:marker>
          <c:xVal>
            <c:numRef>
              <c:f>Tools!$CL$38:$DJ$38</c:f>
              <c:numCache>
                <c:formatCode>General</c:formatCode>
                <c:ptCount val="25"/>
                <c:pt idx="0">
                  <c:v>6</c:v>
                </c:pt>
                <c:pt idx="1">
                  <c:v>6.0013153530751708</c:v>
                </c:pt>
                <c:pt idx="2">
                  <c:v>6.0070589521640088</c:v>
                </c:pt>
                <c:pt idx="3">
                  <c:v>6.0181705694760819</c:v>
                </c:pt>
                <c:pt idx="4">
                  <c:v>6.0362853758542139</c:v>
                </c:pt>
                <c:pt idx="5">
                  <c:v>6.0933999088838267</c:v>
                </c:pt>
                <c:pt idx="6">
                  <c:v>6.1769920728929382</c:v>
                </c:pt>
                <c:pt idx="7">
                  <c:v>6.2857235535307519</c:v>
                </c:pt>
                <c:pt idx="8">
                  <c:v>6.3638928777524679</c:v>
                </c:pt>
                <c:pt idx="9">
                  <c:v>6.4180854669703873</c:v>
                </c:pt>
                <c:pt idx="10">
                  <c:v>6.5750356264236904</c:v>
                </c:pt>
                <c:pt idx="11">
                  <c:v>6.7335176993166286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3"/>
          <c:order val="33"/>
          <c:tx>
            <c:strRef>
              <c:f>Tools!$CK$39</c:f>
              <c:strCache>
                <c:ptCount val="1"/>
                <c:pt idx="0">
                  <c:v>7</c:v>
                </c:pt>
              </c:strCache>
            </c:strRef>
          </c:tx>
          <c:spPr>
            <a:ln w="3175">
              <a:solidFill>
                <a:schemeClr val="accent6">
                  <a:lumMod val="75000"/>
                </a:schemeClr>
              </a:solidFill>
            </a:ln>
          </c:spPr>
          <c:marker>
            <c:symbol val="none"/>
          </c:marker>
          <c:xVal>
            <c:numRef>
              <c:f>Tools!$CL$39:$DJ$39</c:f>
              <c:numCache>
                <c:formatCode>General</c:formatCode>
                <c:ptCount val="25"/>
                <c:pt idx="0">
                  <c:v>7</c:v>
                </c:pt>
                <c:pt idx="1">
                  <c:v>7.0017768337129844</c:v>
                </c:pt>
                <c:pt idx="2">
                  <c:v>7.008994259681093</c:v>
                </c:pt>
                <c:pt idx="3">
                  <c:v>7.022181207289294</c:v>
                </c:pt>
                <c:pt idx="4">
                  <c:v>7.0422815489749429</c:v>
                </c:pt>
                <c:pt idx="5">
                  <c:v>7.1020792710706147</c:v>
                </c:pt>
                <c:pt idx="6">
                  <c:v>7.1864258769931659</c:v>
                </c:pt>
                <c:pt idx="7">
                  <c:v>7.2949539863325743</c:v>
                </c:pt>
                <c:pt idx="8">
                  <c:v>7.3731233105542904</c:v>
                </c:pt>
                <c:pt idx="9">
                  <c:v>7.427519271070615</c:v>
                </c:pt>
                <c:pt idx="10">
                  <c:v>7.5842660592255129</c:v>
                </c:pt>
                <c:pt idx="11">
                  <c:v>7.742748132118451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4"/>
          <c:order val="34"/>
          <c:tx>
            <c:strRef>
              <c:f>Tools!$CK$40</c:f>
              <c:strCache>
                <c:ptCount val="1"/>
                <c:pt idx="0">
                  <c:v>8</c:v>
                </c:pt>
              </c:strCache>
            </c:strRef>
          </c:tx>
          <c:spPr>
            <a:ln w="3175">
              <a:solidFill>
                <a:schemeClr val="accent6">
                  <a:lumMod val="75000"/>
                </a:schemeClr>
              </a:solidFill>
            </a:ln>
          </c:spPr>
          <c:marker>
            <c:symbol val="none"/>
          </c:marker>
          <c:xVal>
            <c:numRef>
              <c:f>Tools!$CL$40:$DJ$40</c:f>
              <c:numCache>
                <c:formatCode>General</c:formatCode>
                <c:ptCount val="25"/>
                <c:pt idx="0">
                  <c:v>8</c:v>
                </c:pt>
                <c:pt idx="1">
                  <c:v>8.0022130979498858</c:v>
                </c:pt>
                <c:pt idx="2">
                  <c:v>8.0103883371298412</c:v>
                </c:pt>
                <c:pt idx="3">
                  <c:v>8.0246265831435082</c:v>
                </c:pt>
                <c:pt idx="4">
                  <c:v>8.0455223690205013</c:v>
                </c:pt>
                <c:pt idx="5">
                  <c:v>8.1058678815489742</c:v>
                </c:pt>
                <c:pt idx="6">
                  <c:v>8.190086560364465</c:v>
                </c:pt>
                <c:pt idx="7">
                  <c:v>8.2987425968109338</c:v>
                </c:pt>
                <c:pt idx="8">
                  <c:v>8.3769119210326508</c:v>
                </c:pt>
                <c:pt idx="9">
                  <c:v>8.4311799544419141</c:v>
                </c:pt>
                <c:pt idx="10">
                  <c:v>8.5880546697038724</c:v>
                </c:pt>
                <c:pt idx="11">
                  <c:v>8.7465367425968115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5"/>
          <c:order val="35"/>
          <c:tx>
            <c:strRef>
              <c:f>Tools!$CK$41</c:f>
              <c:strCache>
                <c:ptCount val="1"/>
                <c:pt idx="0">
                  <c:v>9</c:v>
                </c:pt>
              </c:strCache>
            </c:strRef>
          </c:tx>
          <c:spPr>
            <a:ln w="3175">
              <a:solidFill>
                <a:schemeClr val="accent6">
                  <a:lumMod val="75000"/>
                </a:schemeClr>
              </a:solidFill>
            </a:ln>
          </c:spPr>
          <c:marker>
            <c:symbol val="none"/>
          </c:marker>
          <c:xVal>
            <c:numRef>
              <c:f>Tools!$CL$41:$DJ$41</c:f>
              <c:numCache>
                <c:formatCode>General</c:formatCode>
                <c:ptCount val="25"/>
                <c:pt idx="0">
                  <c:v>9</c:v>
                </c:pt>
                <c:pt idx="1">
                  <c:v>9.0024125740318901</c:v>
                </c:pt>
                <c:pt idx="2">
                  <c:v>9.0109164464692491</c:v>
                </c:pt>
                <c:pt idx="3">
                  <c:v>9.0255214578587708</c:v>
                </c:pt>
                <c:pt idx="4">
                  <c:v>9.0466507517084285</c:v>
                </c:pt>
                <c:pt idx="5">
                  <c:v>9.1070061047835988</c:v>
                </c:pt>
                <c:pt idx="6">
                  <c:v>9.1913067881548969</c:v>
                </c:pt>
                <c:pt idx="7">
                  <c:v>9.2998808200455585</c:v>
                </c:pt>
                <c:pt idx="8">
                  <c:v>9.3780501442672737</c:v>
                </c:pt>
                <c:pt idx="9">
                  <c:v>9.432400182232346</c:v>
                </c:pt>
                <c:pt idx="10">
                  <c:v>9.5891928929384971</c:v>
                </c:pt>
                <c:pt idx="11">
                  <c:v>9.7476749658314361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6"/>
          <c:order val="36"/>
          <c:tx>
            <c:strRef>
              <c:f>Tools!$CK$42</c:f>
              <c:strCache>
                <c:ptCount val="1"/>
                <c:pt idx="0">
                  <c:v>10</c:v>
                </c:pt>
              </c:strCache>
            </c:strRef>
          </c:tx>
          <c:spPr>
            <a:ln w="3175">
              <a:solidFill>
                <a:schemeClr val="accent6">
                  <a:lumMod val="75000"/>
                </a:schemeClr>
              </a:solidFill>
            </a:ln>
          </c:spPr>
          <c:marker>
            <c:symbol val="none"/>
          </c:marker>
          <c:xVal>
            <c:numRef>
              <c:f>Tools!$CL$42:$DJ$42</c:f>
              <c:numCache>
                <c:formatCode>General</c:formatCode>
                <c:ptCount val="25"/>
                <c:pt idx="0">
                  <c:v>10</c:v>
                </c:pt>
                <c:pt idx="1">
                  <c:v>10.002488633257403</c:v>
                </c:pt>
                <c:pt idx="2">
                  <c:v>10.010968929384966</c:v>
                </c:pt>
                <c:pt idx="3">
                  <c:v>10.025669681093394</c:v>
                </c:pt>
                <c:pt idx="4">
                  <c:v>10.046755717539863</c:v>
                </c:pt>
                <c:pt idx="5">
                  <c:v>10.107084829157175</c:v>
                </c:pt>
                <c:pt idx="6">
                  <c:v>10.191411753986333</c:v>
                </c:pt>
                <c:pt idx="7">
                  <c:v>10.299959544419135</c:v>
                </c:pt>
                <c:pt idx="8">
                  <c:v>10.37812886864085</c:v>
                </c:pt>
                <c:pt idx="9">
                  <c:v>10.432505148063781</c:v>
                </c:pt>
                <c:pt idx="10">
                  <c:v>10.589271617312074</c:v>
                </c:pt>
                <c:pt idx="11">
                  <c:v>10.747753690205011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7"/>
          <c:order val="37"/>
          <c:tx>
            <c:strRef>
              <c:f>Tools!$CK$43</c:f>
              <c:strCache>
                <c:ptCount val="1"/>
                <c:pt idx="0">
                  <c:v>11</c:v>
                </c:pt>
              </c:strCache>
            </c:strRef>
          </c:tx>
          <c:spPr>
            <a:ln w="3175">
              <a:solidFill>
                <a:schemeClr val="accent6">
                  <a:lumMod val="75000"/>
                </a:schemeClr>
              </a:solidFill>
            </a:ln>
          </c:spPr>
          <c:marker>
            <c:symbol val="none"/>
          </c:marker>
          <c:xVal>
            <c:numRef>
              <c:f>Tools!$CL$43:$DJ$43</c:f>
              <c:numCache>
                <c:formatCode>General</c:formatCode>
                <c:ptCount val="25"/>
                <c:pt idx="0">
                  <c:v>11</c:v>
                </c:pt>
                <c:pt idx="1">
                  <c:v>11.002474077448747</c:v>
                </c:pt>
                <c:pt idx="2">
                  <c:v>11.010798359908884</c:v>
                </c:pt>
                <c:pt idx="3">
                  <c:v>11.025391070615035</c:v>
                </c:pt>
                <c:pt idx="4">
                  <c:v>11.046316173120729</c:v>
                </c:pt>
                <c:pt idx="5">
                  <c:v>11.106612482915718</c:v>
                </c:pt>
                <c:pt idx="6">
                  <c:v>11.190919726651481</c:v>
                </c:pt>
                <c:pt idx="7">
                  <c:v>11.299487198177676</c:v>
                </c:pt>
                <c:pt idx="8">
                  <c:v>11.377656522399393</c:v>
                </c:pt>
                <c:pt idx="9">
                  <c:v>11.432013120728929</c:v>
                </c:pt>
                <c:pt idx="10">
                  <c:v>11.588799271070615</c:v>
                </c:pt>
                <c:pt idx="11">
                  <c:v>11.747281343963554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8"/>
          <c:order val="38"/>
          <c:tx>
            <c:strRef>
              <c:f>Tools!$CK$44</c:f>
              <c:strCache>
                <c:ptCount val="1"/>
                <c:pt idx="0">
                  <c:v>12</c:v>
                </c:pt>
              </c:strCache>
            </c:strRef>
          </c:tx>
          <c:spPr>
            <a:ln w="3175">
              <a:solidFill>
                <a:schemeClr val="accent6">
                  <a:lumMod val="75000"/>
                </a:schemeClr>
              </a:solidFill>
            </a:ln>
          </c:spPr>
          <c:marker>
            <c:symbol val="none"/>
          </c:marker>
          <c:xVal>
            <c:numRef>
              <c:f>Tools!$CL$44:$DJ$44</c:f>
              <c:numCache>
                <c:formatCode>General</c:formatCode>
                <c:ptCount val="25"/>
                <c:pt idx="0">
                  <c:v>12</c:v>
                </c:pt>
                <c:pt idx="1">
                  <c:v>12.002309453302962</c:v>
                </c:pt>
                <c:pt idx="2">
                  <c:v>12.010214487471526</c:v>
                </c:pt>
                <c:pt idx="3">
                  <c:v>12.024239111617312</c:v>
                </c:pt>
                <c:pt idx="4">
                  <c:v>12.044564555808655</c:v>
                </c:pt>
                <c:pt idx="5">
                  <c:v>12.104067061503416</c:v>
                </c:pt>
                <c:pt idx="6">
                  <c:v>12.188393986332574</c:v>
                </c:pt>
                <c:pt idx="7">
                  <c:v>12.296843371298406</c:v>
                </c:pt>
                <c:pt idx="8">
                  <c:v>12.375012695520121</c:v>
                </c:pt>
                <c:pt idx="9">
                  <c:v>12.429487380410023</c:v>
                </c:pt>
                <c:pt idx="10">
                  <c:v>12.586155444191345</c:v>
                </c:pt>
                <c:pt idx="11">
                  <c:v>12.744637517084282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9"/>
          <c:order val="39"/>
          <c:tx>
            <c:strRef>
              <c:f>Tools!$CK$45</c:f>
              <c:strCache>
                <c:ptCount val="1"/>
                <c:pt idx="0">
                  <c:v>13</c:v>
                </c:pt>
              </c:strCache>
            </c:strRef>
          </c:tx>
          <c:spPr>
            <a:ln w="3175">
              <a:solidFill>
                <a:schemeClr val="accent6">
                  <a:lumMod val="75000"/>
                </a:schemeClr>
              </a:solidFill>
            </a:ln>
          </c:spPr>
          <c:marker>
            <c:symbol val="none"/>
          </c:marker>
          <c:xVal>
            <c:numRef>
              <c:f>Tools!$CL$45:$DJ$45</c:f>
              <c:numCache>
                <c:formatCode>General</c:formatCode>
                <c:ptCount val="25"/>
                <c:pt idx="0">
                  <c:v>13</c:v>
                </c:pt>
                <c:pt idx="1">
                  <c:v>13.00201874715262</c:v>
                </c:pt>
                <c:pt idx="2">
                  <c:v>13.009089384965831</c:v>
                </c:pt>
                <c:pt idx="3">
                  <c:v>13.021883530751708</c:v>
                </c:pt>
                <c:pt idx="4">
                  <c:v>13.040680820045559</c:v>
                </c:pt>
                <c:pt idx="5">
                  <c:v>13.096834259681094</c:v>
                </c:pt>
                <c:pt idx="6">
                  <c:v>13.178291025056948</c:v>
                </c:pt>
                <c:pt idx="7">
                  <c:v>13.285339772209568</c:v>
                </c:pt>
                <c:pt idx="8">
                  <c:v>13.363192487977727</c:v>
                </c:pt>
                <c:pt idx="9">
                  <c:v>13.417652482915718</c:v>
                </c:pt>
                <c:pt idx="10">
                  <c:v>13.574015489749431</c:v>
                </c:pt>
                <c:pt idx="11">
                  <c:v>13.732370748974944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0"/>
          <c:order val="40"/>
          <c:tx>
            <c:strRef>
              <c:f>Tools!$CK$46</c:f>
              <c:strCache>
                <c:ptCount val="1"/>
                <c:pt idx="0">
                  <c:v>14</c:v>
                </c:pt>
              </c:strCache>
            </c:strRef>
          </c:tx>
          <c:spPr>
            <a:ln w="3175">
              <a:solidFill>
                <a:schemeClr val="accent6">
                  <a:lumMod val="75000"/>
                </a:schemeClr>
              </a:solidFill>
            </a:ln>
          </c:spPr>
          <c:marker>
            <c:symbol val="none"/>
          </c:marker>
          <c:xVal>
            <c:numRef>
              <c:f>Tools!$CL$46:$DJ$46</c:f>
              <c:numCache>
                <c:formatCode>General</c:formatCode>
                <c:ptCount val="25"/>
                <c:pt idx="0">
                  <c:v>14</c:v>
                </c:pt>
                <c:pt idx="1">
                  <c:v>14.001656492027335</c:v>
                </c:pt>
                <c:pt idx="2">
                  <c:v>14.007455854214124</c:v>
                </c:pt>
                <c:pt idx="3">
                  <c:v>14.018096765375855</c:v>
                </c:pt>
                <c:pt idx="4">
                  <c:v>14.034730569476082</c:v>
                </c:pt>
                <c:pt idx="5">
                  <c:v>14.08463854214123</c:v>
                </c:pt>
                <c:pt idx="6">
                  <c:v>14.159206924829157</c:v>
                </c:pt>
                <c:pt idx="7">
                  <c:v>14.258986788154898</c:v>
                </c:pt>
                <c:pt idx="8">
                  <c:v>14.332797873955961</c:v>
                </c:pt>
                <c:pt idx="9">
                  <c:v>14.385001548974943</c:v>
                </c:pt>
                <c:pt idx="10">
                  <c:v>14.53763826879271</c:v>
                </c:pt>
                <c:pt idx="11">
                  <c:v>14.694847086104783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1"/>
          <c:order val="41"/>
          <c:tx>
            <c:strRef>
              <c:f>Tools!$CK$47</c:f>
              <c:strCache>
                <c:ptCount val="1"/>
                <c:pt idx="0">
                  <c:v>15</c:v>
                </c:pt>
              </c:strCache>
            </c:strRef>
          </c:tx>
          <c:spPr>
            <a:ln w="3175">
              <a:solidFill>
                <a:schemeClr val="accent6">
                  <a:lumMod val="75000"/>
                </a:schemeClr>
              </a:solidFill>
            </a:ln>
          </c:spPr>
          <c:marker>
            <c:symbol val="none"/>
          </c:marker>
          <c:xVal>
            <c:numRef>
              <c:f>Tools!$CL$47:$DJ$47</c:f>
              <c:numCache>
                <c:formatCode>General</c:formatCode>
                <c:ptCount val="25"/>
                <c:pt idx="0">
                  <c:v>15</c:v>
                </c:pt>
                <c:pt idx="1">
                  <c:v>15.001252619589977</c:v>
                </c:pt>
                <c:pt idx="2">
                  <c:v>15.005937129840547</c:v>
                </c:pt>
                <c:pt idx="3">
                  <c:v>15.01481125284738</c:v>
                </c:pt>
                <c:pt idx="4">
                  <c:v>15.028307972665148</c:v>
                </c:pt>
                <c:pt idx="5">
                  <c:v>15.070340227790433</c:v>
                </c:pt>
                <c:pt idx="6">
                  <c:v>15.134349703872438</c:v>
                </c:pt>
                <c:pt idx="7">
                  <c:v>15.222717813211846</c:v>
                </c:pt>
                <c:pt idx="8">
                  <c:v>15.289294234371045</c:v>
                </c:pt>
                <c:pt idx="9">
                  <c:v>15.336776309794988</c:v>
                </c:pt>
                <c:pt idx="10">
                  <c:v>15.478263690205011</c:v>
                </c:pt>
                <c:pt idx="11">
                  <c:v>15.629999044191344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2"/>
          <c:order val="42"/>
          <c:tx>
            <c:strRef>
              <c:f>Tools!$CK$48</c:f>
              <c:strCache>
                <c:ptCount val="1"/>
                <c:pt idx="0">
                  <c:v>16</c:v>
                </c:pt>
              </c:strCache>
            </c:strRef>
          </c:tx>
          <c:spPr>
            <a:ln w="3175">
              <a:solidFill>
                <a:schemeClr val="accent6">
                  <a:lumMod val="75000"/>
                </a:schemeClr>
              </a:solidFill>
            </a:ln>
          </c:spPr>
          <c:marker>
            <c:symbol val="none"/>
          </c:marker>
          <c:xVal>
            <c:numRef>
              <c:f>Tools!$CL$48:$DJ$48</c:f>
              <c:numCache>
                <c:formatCode>General</c:formatCode>
                <c:ptCount val="25"/>
                <c:pt idx="0">
                  <c:v>16</c:v>
                </c:pt>
                <c:pt idx="1">
                  <c:v>16.000862277904329</c:v>
                </c:pt>
                <c:pt idx="2">
                  <c:v>16.004329840546696</c:v>
                </c:pt>
                <c:pt idx="3">
                  <c:v>16.011042323462416</c:v>
                </c:pt>
                <c:pt idx="4">
                  <c:v>16.021386788154899</c:v>
                </c:pt>
                <c:pt idx="5">
                  <c:v>16.054188610478359</c:v>
                </c:pt>
                <c:pt idx="6">
                  <c:v>16.105320091116173</c:v>
                </c:pt>
                <c:pt idx="7">
                  <c:v>16.178291025056946</c:v>
                </c:pt>
                <c:pt idx="8">
                  <c:v>16.234953915464441</c:v>
                </c:pt>
                <c:pt idx="9">
                  <c:v>16.276165102505693</c:v>
                </c:pt>
                <c:pt idx="10">
                  <c:v>16.401914168564922</c:v>
                </c:pt>
                <c:pt idx="11">
                  <c:v>16.5440995261959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3"/>
          <c:order val="43"/>
          <c:tx>
            <c:strRef>
              <c:f>Tools!$CK$49</c:f>
              <c:strCache>
                <c:ptCount val="1"/>
                <c:pt idx="0">
                  <c:v>17</c:v>
                </c:pt>
              </c:strCache>
            </c:strRef>
          </c:tx>
          <c:spPr>
            <a:ln w="3175">
              <a:solidFill>
                <a:schemeClr val="accent6">
                  <a:lumMod val="75000"/>
                </a:schemeClr>
              </a:solidFill>
            </a:ln>
          </c:spPr>
          <c:marker>
            <c:symbol val="none"/>
          </c:marker>
          <c:xVal>
            <c:numRef>
              <c:f>Tools!$CL$49:$DJ$49</c:f>
              <c:numCache>
                <c:formatCode>General</c:formatCode>
                <c:ptCount val="25"/>
                <c:pt idx="0">
                  <c:v>17</c:v>
                </c:pt>
                <c:pt idx="1">
                  <c:v>17.000506993166287</c:v>
                </c:pt>
                <c:pt idx="2">
                  <c:v>17.002880000000001</c:v>
                </c:pt>
                <c:pt idx="3">
                  <c:v>17.007554464692483</c:v>
                </c:pt>
                <c:pt idx="4">
                  <c:v>17.014931389521639</c:v>
                </c:pt>
                <c:pt idx="5">
                  <c:v>17.038338769931663</c:v>
                </c:pt>
                <c:pt idx="6">
                  <c:v>17.075273621867883</c:v>
                </c:pt>
                <c:pt idx="7">
                  <c:v>17.129580318906605</c:v>
                </c:pt>
                <c:pt idx="8">
                  <c:v>17.173680880789675</c:v>
                </c:pt>
                <c:pt idx="9">
                  <c:v>17.20674332574032</c:v>
                </c:pt>
                <c:pt idx="10">
                  <c:v>17.311577949886104</c:v>
                </c:pt>
                <c:pt idx="11">
                  <c:v>17.439099233712984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4"/>
          <c:order val="44"/>
          <c:tx>
            <c:strRef>
              <c:f>Tools!$CK$50</c:f>
              <c:strCache>
                <c:ptCount val="1"/>
                <c:pt idx="0">
                  <c:v>18</c:v>
                </c:pt>
              </c:strCache>
            </c:strRef>
          </c:tx>
          <c:spPr>
            <a:ln w="3175">
              <a:solidFill>
                <a:schemeClr val="accent6">
                  <a:lumMod val="75000"/>
                </a:schemeClr>
              </a:solidFill>
            </a:ln>
          </c:spPr>
          <c:marker>
            <c:symbol val="none"/>
          </c:marker>
          <c:xVal>
            <c:numRef>
              <c:f>Tools!$CL$50:$DJ$50</c:f>
              <c:numCache>
                <c:formatCode>General</c:formatCode>
                <c:ptCount val="25"/>
                <c:pt idx="0">
                  <c:v>18</c:v>
                </c:pt>
                <c:pt idx="1">
                  <c:v>18.000259749430523</c:v>
                </c:pt>
                <c:pt idx="2">
                  <c:v>18.00168006833713</c:v>
                </c:pt>
                <c:pt idx="3">
                  <c:v>18.00475359908884</c:v>
                </c:pt>
                <c:pt idx="4">
                  <c:v>18.009654191343962</c:v>
                </c:pt>
                <c:pt idx="5">
                  <c:v>18.025126810933941</c:v>
                </c:pt>
                <c:pt idx="6">
                  <c:v>18.048347220956721</c:v>
                </c:pt>
                <c:pt idx="7">
                  <c:v>18.08240535307517</c:v>
                </c:pt>
                <c:pt idx="8">
                  <c:v>18.111960523917997</c:v>
                </c:pt>
                <c:pt idx="9">
                  <c:v>18.135245808656038</c:v>
                </c:pt>
                <c:pt idx="10">
                  <c:v>18.213980022779044</c:v>
                </c:pt>
                <c:pt idx="11">
                  <c:v>18.321799359453301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5"/>
          <c:order val="45"/>
          <c:tx>
            <c:strRef>
              <c:f>Tools!$CK$51</c:f>
              <c:strCache>
                <c:ptCount val="1"/>
                <c:pt idx="0">
                  <c:v>18.5</c:v>
                </c:pt>
              </c:strCache>
            </c:strRef>
          </c:tx>
          <c:spPr>
            <a:ln w="3175">
              <a:solidFill>
                <a:schemeClr val="accent6">
                  <a:lumMod val="75000"/>
                </a:schemeClr>
              </a:solidFill>
            </a:ln>
          </c:spPr>
          <c:marker>
            <c:symbol val="none"/>
          </c:marker>
          <c:xVal>
            <c:numRef>
              <c:f>Tools!$CL$51:$DJ$51</c:f>
              <c:numCache>
                <c:formatCode>General</c:formatCode>
                <c:ptCount val="25"/>
                <c:pt idx="0">
                  <c:v>18.5</c:v>
                </c:pt>
                <c:pt idx="1">
                  <c:v>18.500129464338141</c:v>
                </c:pt>
                <c:pt idx="2">
                  <c:v>18.501181172766387</c:v>
                </c:pt>
                <c:pt idx="3">
                  <c:v>18.503583496228803</c:v>
                </c:pt>
                <c:pt idx="4">
                  <c:v>18.507525045203746</c:v>
                </c:pt>
                <c:pt idx="5">
                  <c:v>18.519950375499874</c:v>
                </c:pt>
                <c:pt idx="6">
                  <c:v>18.537597755909896</c:v>
                </c:pt>
                <c:pt idx="7">
                  <c:v>18.562008872083016</c:v>
                </c:pt>
                <c:pt idx="8">
                  <c:v>18.584096849810173</c:v>
                </c:pt>
                <c:pt idx="9">
                  <c:v>18.602151742242469</c:v>
                </c:pt>
                <c:pt idx="10">
                  <c:v>18.666167778688941</c:v>
                </c:pt>
                <c:pt idx="11">
                  <c:v>18.755805773221969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6"/>
          <c:order val="46"/>
          <c:tx>
            <c:strRef>
              <c:f>Tools!$CK$52</c:f>
              <c:strCache>
                <c:ptCount val="1"/>
                <c:pt idx="0">
                  <c:v>19</c:v>
                </c:pt>
              </c:strCache>
            </c:strRef>
          </c:tx>
          <c:spPr>
            <a:ln w="3175">
              <a:solidFill>
                <a:schemeClr val="accent6">
                  <a:lumMod val="75000"/>
                </a:schemeClr>
              </a:solidFill>
            </a:ln>
          </c:spPr>
          <c:marker>
            <c:symbol val="none"/>
          </c:marker>
          <c:xVal>
            <c:numRef>
              <c:f>Tools!$CL$52:$DJ$52</c:f>
              <c:numCache>
                <c:formatCode>General</c:formatCode>
                <c:ptCount val="25"/>
                <c:pt idx="0">
                  <c:v>19</c:v>
                </c:pt>
                <c:pt idx="1">
                  <c:v>19.000038254214122</c:v>
                </c:pt>
                <c:pt idx="2">
                  <c:v>19.000782445558087</c:v>
                </c:pt>
                <c:pt idx="3">
                  <c:v>19.002636158542142</c:v>
                </c:pt>
                <c:pt idx="4">
                  <c:v>19.005791283826881</c:v>
                </c:pt>
                <c:pt idx="5">
                  <c:v>19.016035292938497</c:v>
                </c:pt>
                <c:pt idx="6">
                  <c:v>19.029618527562643</c:v>
                </c:pt>
                <c:pt idx="7">
                  <c:v>19.045622536674259</c:v>
                </c:pt>
                <c:pt idx="8">
                  <c:v>19.060368494659581</c:v>
                </c:pt>
                <c:pt idx="9">
                  <c:v>19.072785725740317</c:v>
                </c:pt>
                <c:pt idx="10">
                  <c:v>19.121289780410024</c:v>
                </c:pt>
                <c:pt idx="11">
                  <c:v>19.187312182232347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7"/>
          <c:order val="47"/>
          <c:tx>
            <c:strRef>
              <c:f>Tools!$CK$53</c:f>
              <c:strCache>
                <c:ptCount val="1"/>
                <c:pt idx="0">
                  <c:v>19.5</c:v>
                </c:pt>
              </c:strCache>
            </c:strRef>
          </c:tx>
          <c:spPr>
            <a:ln w="3175">
              <a:solidFill>
                <a:schemeClr val="accent6">
                  <a:lumMod val="75000"/>
                </a:schemeClr>
              </a:solidFill>
            </a:ln>
          </c:spPr>
          <c:marker>
            <c:symbol val="none"/>
          </c:marker>
          <c:xVal>
            <c:numRef>
              <c:f>Tools!$CL$53:$DJ$53</c:f>
              <c:numCache>
                <c:formatCode>General</c:formatCode>
                <c:ptCount val="25"/>
                <c:pt idx="0">
                  <c:v>19.5</c:v>
                </c:pt>
                <c:pt idx="1">
                  <c:v>19.5</c:v>
                </c:pt>
                <c:pt idx="2">
                  <c:v>19.500320404960771</c:v>
                </c:pt>
                <c:pt idx="3">
                  <c:v>19.501672660086054</c:v>
                </c:pt>
                <c:pt idx="4">
                  <c:v>19.504191019994938</c:v>
                </c:pt>
                <c:pt idx="5">
                  <c:v>19.512765416350291</c:v>
                </c:pt>
                <c:pt idx="6">
                  <c:v>19.523662181726145</c:v>
                </c:pt>
                <c:pt idx="7">
                  <c:v>19.533279676031384</c:v>
                </c:pt>
                <c:pt idx="8">
                  <c:v>19.54109165274614</c:v>
                </c:pt>
                <c:pt idx="9">
                  <c:v>19.547069562136169</c:v>
                </c:pt>
                <c:pt idx="10">
                  <c:v>19.576768332067832</c:v>
                </c:pt>
                <c:pt idx="11">
                  <c:v>19.621505016350291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8"/>
          <c:order val="48"/>
          <c:tx>
            <c:strRef>
              <c:f>Tools!$CK$54</c:f>
              <c:strCache>
                <c:ptCount val="1"/>
                <c:pt idx="0">
                  <c:v>20</c:v>
                </c:pt>
              </c:strCache>
            </c:strRef>
          </c:tx>
          <c:spPr>
            <a:ln w="3175">
              <a:solidFill>
                <a:schemeClr val="accent6">
                  <a:lumMod val="75000"/>
                </a:schemeClr>
              </a:solidFill>
            </a:ln>
          </c:spPr>
          <c:marker>
            <c:symbol val="none"/>
          </c:marker>
          <c:xVal>
            <c:numRef>
              <c:f>Tools!$CL$54:$DJ$54</c:f>
              <c:numCache>
                <c:formatCode>General</c:formatCode>
                <c:ptCount val="25"/>
                <c:pt idx="0">
                  <c:v>20</c:v>
                </c:pt>
                <c:pt idx="1">
                  <c:v>20</c:v>
                </c:pt>
                <c:pt idx="2">
                  <c:v>20</c:v>
                </c:pt>
                <c:pt idx="3">
                  <c:v>20.000398562389268</c:v>
                </c:pt>
                <c:pt idx="4">
                  <c:v>20.002059154644392</c:v>
                </c:pt>
                <c:pt idx="5">
                  <c:v>20.008795828904073</c:v>
                </c:pt>
                <c:pt idx="6">
                  <c:v>20.017712184257149</c:v>
                </c:pt>
                <c:pt idx="7">
                  <c:v>20.021194917742342</c:v>
                </c:pt>
                <c:pt idx="8">
                  <c:v>20.021194917742342</c:v>
                </c:pt>
                <c:pt idx="9">
                  <c:v>20.022273277651227</c:v>
                </c:pt>
                <c:pt idx="10">
                  <c:v>20.029407674006581</c:v>
                </c:pt>
                <c:pt idx="11">
                  <c:v>20.046539253961022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9"/>
          <c:order val="49"/>
          <c:tx>
            <c:strRef>
              <c:f>Tools!$CK$35</c:f>
              <c:strCache>
                <c:ptCount val="1"/>
                <c:pt idx="0">
                  <c:v>3</c:v>
                </c:pt>
              </c:strCache>
            </c:strRef>
          </c:tx>
          <c:spPr>
            <a:ln w="3175">
              <a:solidFill>
                <a:schemeClr val="accent6">
                  <a:lumMod val="75000"/>
                </a:schemeClr>
              </a:solidFill>
            </a:ln>
          </c:spPr>
          <c:marker>
            <c:symbol val="none"/>
          </c:marker>
          <c:xVal>
            <c:numRef>
              <c:f>Tools!$CL$35:$DJ$35</c:f>
              <c:numCache>
                <c:formatCode>General</c:formatCode>
                <c:ptCount val="25"/>
                <c:pt idx="0">
                  <c:v>3</c:v>
                </c:pt>
                <c:pt idx="1">
                  <c:v>3.0003136674259681</c:v>
                </c:pt>
                <c:pt idx="2">
                  <c:v>3.0018500227790432</c:v>
                </c:pt>
                <c:pt idx="3">
                  <c:v>3.0049338041002276</c:v>
                </c:pt>
                <c:pt idx="4">
                  <c:v>3.0099520728929385</c:v>
                </c:pt>
                <c:pt idx="5">
                  <c:v>3.0308468337129839</c:v>
                </c:pt>
                <c:pt idx="6">
                  <c:v>3.0843466059225513</c:v>
                </c:pt>
                <c:pt idx="7">
                  <c:v>3.1807183599088837</c:v>
                </c:pt>
                <c:pt idx="8">
                  <c:v>3.2539072538597824</c:v>
                </c:pt>
                <c:pt idx="9">
                  <c:v>3.3041056947608203</c:v>
                </c:pt>
                <c:pt idx="10">
                  <c:v>3.461462596810934</c:v>
                </c:pt>
                <c:pt idx="11">
                  <c:v>3.6195591097949888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0.5</c:v>
                </c:pt>
                <c:pt idx="2">
                  <c:v>1</c:v>
                </c:pt>
                <c:pt idx="3">
                  <c:v>1.5</c:v>
                </c:pt>
                <c:pt idx="4">
                  <c:v>2</c:v>
                </c:pt>
                <c:pt idx="5">
                  <c:v>3</c:v>
                </c:pt>
                <c:pt idx="6">
                  <c:v>4</c:v>
                </c:pt>
                <c:pt idx="7">
                  <c:v>5</c:v>
                </c:pt>
                <c:pt idx="8">
                  <c:v>5.6111111111111107</c:v>
                </c:pt>
                <c:pt idx="9">
                  <c:v>6</c:v>
                </c:pt>
                <c:pt idx="10">
                  <c:v>7</c:v>
                </c:pt>
                <c:pt idx="11">
                  <c:v>7.8833333333333329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0"/>
          <c:order val="50"/>
          <c:tx>
            <c:strRef>
              <c:f>Tools!$CG$5</c:f>
              <c:strCache>
                <c:ptCount val="1"/>
                <c:pt idx="0">
                  <c:v>0</c:v>
                </c:pt>
              </c:strCache>
            </c:strRef>
          </c:tx>
          <c:spPr>
            <a:ln w="3175">
              <a:solidFill>
                <a:sysClr val="windowText" lastClr="000000"/>
              </a:solidFill>
            </a:ln>
          </c:spPr>
          <c:marker>
            <c:symbol val="none"/>
          </c:marker>
          <c:xVal>
            <c:numRef>
              <c:f>Tools!$CH$5:$CI$5</c:f>
              <c:numCache>
                <c:formatCode>General</c:formatCode>
                <c:ptCount val="2"/>
                <c:pt idx="0">
                  <c:v>0</c:v>
                </c:pt>
                <c:pt idx="1">
                  <c:v>0</c:v>
                </c:pt>
              </c:numCache>
            </c:numRef>
          </c:xVal>
          <c:yVal>
            <c:numRef>
              <c:f>Tools!$CH$4:$CI$4</c:f>
              <c:numCache>
                <c:formatCode>General</c:formatCode>
                <c:ptCount val="2"/>
                <c:pt idx="0">
                  <c:v>0</c:v>
                </c:pt>
                <c:pt idx="1">
                  <c:v>7.8833333333333329</c:v>
                </c:pt>
              </c:numCache>
            </c:numRef>
          </c:yVal>
          <c:smooth val="1"/>
        </c:ser>
        <c:ser>
          <c:idx val="51"/>
          <c:order val="51"/>
          <c:tx>
            <c:strRef>
              <c:f>Tools!$CG$6</c:f>
              <c:strCache>
                <c:ptCount val="1"/>
                <c:pt idx="0">
                  <c:v>0.5</c:v>
                </c:pt>
              </c:strCache>
            </c:strRef>
          </c:tx>
          <c:spPr>
            <a:ln w="3175">
              <a:solidFill>
                <a:sysClr val="windowText" lastClr="000000"/>
              </a:solidFill>
            </a:ln>
          </c:spPr>
          <c:marker>
            <c:symbol val="none"/>
          </c:marker>
          <c:xVal>
            <c:numRef>
              <c:f>Tools!$CH$6:$CI$6</c:f>
              <c:numCache>
                <c:formatCode>General</c:formatCode>
                <c:ptCount val="2"/>
                <c:pt idx="0">
                  <c:v>0.5</c:v>
                </c:pt>
                <c:pt idx="1">
                  <c:v>0.5</c:v>
                </c:pt>
              </c:numCache>
            </c:numRef>
          </c:xVal>
          <c:yVal>
            <c:numRef>
              <c:f>Tools!$CH$4:$CI$4</c:f>
              <c:numCache>
                <c:formatCode>General</c:formatCode>
                <c:ptCount val="2"/>
                <c:pt idx="0">
                  <c:v>0</c:v>
                </c:pt>
                <c:pt idx="1">
                  <c:v>7.8833333333333329</c:v>
                </c:pt>
              </c:numCache>
            </c:numRef>
          </c:yVal>
          <c:smooth val="1"/>
        </c:ser>
        <c:ser>
          <c:idx val="52"/>
          <c:order val="52"/>
          <c:tx>
            <c:strRef>
              <c:f>Tools!$CG$7</c:f>
              <c:strCache>
                <c:ptCount val="1"/>
                <c:pt idx="0">
                  <c:v>1</c:v>
                </c:pt>
              </c:strCache>
            </c:strRef>
          </c:tx>
          <c:spPr>
            <a:ln w="3175">
              <a:solidFill>
                <a:sysClr val="windowText" lastClr="000000"/>
              </a:solidFill>
            </a:ln>
          </c:spPr>
          <c:marker>
            <c:symbol val="none"/>
          </c:marker>
          <c:xVal>
            <c:numRef>
              <c:f>Tools!$CH$7:$CI$7</c:f>
              <c:numCache>
                <c:formatCode>General</c:formatCode>
                <c:ptCount val="2"/>
                <c:pt idx="0">
                  <c:v>1</c:v>
                </c:pt>
                <c:pt idx="1">
                  <c:v>1</c:v>
                </c:pt>
              </c:numCache>
            </c:numRef>
          </c:xVal>
          <c:yVal>
            <c:numRef>
              <c:f>Tools!$CH$4:$CI$4</c:f>
              <c:numCache>
                <c:formatCode>General</c:formatCode>
                <c:ptCount val="2"/>
                <c:pt idx="0">
                  <c:v>0</c:v>
                </c:pt>
                <c:pt idx="1">
                  <c:v>7.8833333333333329</c:v>
                </c:pt>
              </c:numCache>
            </c:numRef>
          </c:yVal>
          <c:smooth val="1"/>
        </c:ser>
        <c:ser>
          <c:idx val="53"/>
          <c:order val="53"/>
          <c:tx>
            <c:strRef>
              <c:f>Tools!$CG$8</c:f>
              <c:strCache>
                <c:ptCount val="1"/>
                <c:pt idx="0">
                  <c:v>1.5</c:v>
                </c:pt>
              </c:strCache>
            </c:strRef>
          </c:tx>
          <c:spPr>
            <a:ln w="3175">
              <a:solidFill>
                <a:sysClr val="windowText" lastClr="000000"/>
              </a:solidFill>
            </a:ln>
          </c:spPr>
          <c:marker>
            <c:symbol val="none"/>
          </c:marker>
          <c:xVal>
            <c:numRef>
              <c:f>Tools!$CH$8:$CI$8</c:f>
              <c:numCache>
                <c:formatCode>General</c:formatCode>
                <c:ptCount val="2"/>
                <c:pt idx="0">
                  <c:v>1.5</c:v>
                </c:pt>
                <c:pt idx="1">
                  <c:v>1.5</c:v>
                </c:pt>
              </c:numCache>
            </c:numRef>
          </c:xVal>
          <c:yVal>
            <c:numRef>
              <c:f>Tools!$CH$4:$CI$4</c:f>
              <c:numCache>
                <c:formatCode>General</c:formatCode>
                <c:ptCount val="2"/>
                <c:pt idx="0">
                  <c:v>0</c:v>
                </c:pt>
                <c:pt idx="1">
                  <c:v>7.8833333333333329</c:v>
                </c:pt>
              </c:numCache>
            </c:numRef>
          </c:yVal>
          <c:smooth val="1"/>
        </c:ser>
        <c:ser>
          <c:idx val="54"/>
          <c:order val="54"/>
          <c:tx>
            <c:strRef>
              <c:f>Tools!$CG$9</c:f>
              <c:strCache>
                <c:ptCount val="1"/>
                <c:pt idx="0">
                  <c:v>2</c:v>
                </c:pt>
              </c:strCache>
            </c:strRef>
          </c:tx>
          <c:spPr>
            <a:ln w="3175">
              <a:solidFill>
                <a:sysClr val="windowText" lastClr="000000"/>
              </a:solidFill>
            </a:ln>
          </c:spPr>
          <c:marker>
            <c:symbol val="none"/>
          </c:marker>
          <c:xVal>
            <c:numRef>
              <c:f>Tools!$CH$9:$CI$9</c:f>
              <c:numCache>
                <c:formatCode>General</c:formatCode>
                <c:ptCount val="2"/>
                <c:pt idx="0">
                  <c:v>2</c:v>
                </c:pt>
                <c:pt idx="1">
                  <c:v>2</c:v>
                </c:pt>
              </c:numCache>
            </c:numRef>
          </c:xVal>
          <c:yVal>
            <c:numRef>
              <c:f>Tools!$CH$4:$CI$4</c:f>
              <c:numCache>
                <c:formatCode>General</c:formatCode>
                <c:ptCount val="2"/>
                <c:pt idx="0">
                  <c:v>0</c:v>
                </c:pt>
                <c:pt idx="1">
                  <c:v>7.8833333333333329</c:v>
                </c:pt>
              </c:numCache>
            </c:numRef>
          </c:yVal>
          <c:smooth val="1"/>
        </c:ser>
        <c:ser>
          <c:idx val="55"/>
          <c:order val="55"/>
          <c:tx>
            <c:strRef>
              <c:f>Tools!$CG$10</c:f>
              <c:strCache>
                <c:ptCount val="1"/>
                <c:pt idx="0">
                  <c:v>3</c:v>
                </c:pt>
              </c:strCache>
            </c:strRef>
          </c:tx>
          <c:spPr>
            <a:ln w="3175">
              <a:solidFill>
                <a:sysClr val="windowText" lastClr="000000"/>
              </a:solidFill>
            </a:ln>
          </c:spPr>
          <c:marker>
            <c:symbol val="none"/>
          </c:marker>
          <c:xVal>
            <c:numRef>
              <c:f>Tools!$CH$10:$CI$10</c:f>
              <c:numCache>
                <c:formatCode>General</c:formatCode>
                <c:ptCount val="2"/>
                <c:pt idx="0">
                  <c:v>3</c:v>
                </c:pt>
                <c:pt idx="1">
                  <c:v>3</c:v>
                </c:pt>
              </c:numCache>
            </c:numRef>
          </c:xVal>
          <c:yVal>
            <c:numRef>
              <c:f>Tools!$CH$4:$CI$4</c:f>
              <c:numCache>
                <c:formatCode>General</c:formatCode>
                <c:ptCount val="2"/>
                <c:pt idx="0">
                  <c:v>0</c:v>
                </c:pt>
                <c:pt idx="1">
                  <c:v>7.8833333333333329</c:v>
                </c:pt>
              </c:numCache>
            </c:numRef>
          </c:yVal>
          <c:smooth val="1"/>
        </c:ser>
        <c:ser>
          <c:idx val="56"/>
          <c:order val="56"/>
          <c:tx>
            <c:strRef>
              <c:f>Tools!$CG$11</c:f>
              <c:strCache>
                <c:ptCount val="1"/>
                <c:pt idx="0">
                  <c:v>4</c:v>
                </c:pt>
              </c:strCache>
            </c:strRef>
          </c:tx>
          <c:spPr>
            <a:ln w="3175">
              <a:solidFill>
                <a:sysClr val="windowText" lastClr="000000"/>
              </a:solidFill>
            </a:ln>
          </c:spPr>
          <c:marker>
            <c:symbol val="none"/>
          </c:marker>
          <c:xVal>
            <c:numRef>
              <c:f>Tools!$CH$11:$CI$11</c:f>
              <c:numCache>
                <c:formatCode>General</c:formatCode>
                <c:ptCount val="2"/>
                <c:pt idx="0">
                  <c:v>4</c:v>
                </c:pt>
                <c:pt idx="1">
                  <c:v>4</c:v>
                </c:pt>
              </c:numCache>
            </c:numRef>
          </c:xVal>
          <c:yVal>
            <c:numRef>
              <c:f>Tools!$CH$4:$CI$4</c:f>
              <c:numCache>
                <c:formatCode>General</c:formatCode>
                <c:ptCount val="2"/>
                <c:pt idx="0">
                  <c:v>0</c:v>
                </c:pt>
                <c:pt idx="1">
                  <c:v>7.8833333333333329</c:v>
                </c:pt>
              </c:numCache>
            </c:numRef>
          </c:yVal>
          <c:smooth val="1"/>
        </c:ser>
        <c:ser>
          <c:idx val="57"/>
          <c:order val="57"/>
          <c:tx>
            <c:strRef>
              <c:f>Tools!$CG$12</c:f>
              <c:strCache>
                <c:ptCount val="1"/>
                <c:pt idx="0">
                  <c:v>5</c:v>
                </c:pt>
              </c:strCache>
            </c:strRef>
          </c:tx>
          <c:spPr>
            <a:ln w="3175">
              <a:solidFill>
                <a:sysClr val="windowText" lastClr="000000"/>
              </a:solidFill>
            </a:ln>
          </c:spPr>
          <c:marker>
            <c:symbol val="none"/>
          </c:marker>
          <c:xVal>
            <c:numRef>
              <c:f>Tools!$CH$12:$CI$12</c:f>
              <c:numCache>
                <c:formatCode>General</c:formatCode>
                <c:ptCount val="2"/>
                <c:pt idx="0">
                  <c:v>5</c:v>
                </c:pt>
                <c:pt idx="1">
                  <c:v>5</c:v>
                </c:pt>
              </c:numCache>
            </c:numRef>
          </c:xVal>
          <c:yVal>
            <c:numRef>
              <c:f>Tools!$CH$4:$CI$4</c:f>
              <c:numCache>
                <c:formatCode>General</c:formatCode>
                <c:ptCount val="2"/>
                <c:pt idx="0">
                  <c:v>0</c:v>
                </c:pt>
                <c:pt idx="1">
                  <c:v>7.8833333333333329</c:v>
                </c:pt>
              </c:numCache>
            </c:numRef>
          </c:yVal>
          <c:smooth val="1"/>
        </c:ser>
        <c:ser>
          <c:idx val="58"/>
          <c:order val="58"/>
          <c:tx>
            <c:strRef>
              <c:f>Tools!$CG$13</c:f>
              <c:strCache>
                <c:ptCount val="1"/>
                <c:pt idx="0">
                  <c:v>6</c:v>
                </c:pt>
              </c:strCache>
            </c:strRef>
          </c:tx>
          <c:spPr>
            <a:ln w="3175">
              <a:solidFill>
                <a:sysClr val="windowText" lastClr="000000"/>
              </a:solidFill>
            </a:ln>
          </c:spPr>
          <c:marker>
            <c:symbol val="none"/>
          </c:marker>
          <c:xVal>
            <c:numRef>
              <c:f>Tools!$CH$13:$CI$13</c:f>
              <c:numCache>
                <c:formatCode>General</c:formatCode>
                <c:ptCount val="2"/>
                <c:pt idx="0">
                  <c:v>6</c:v>
                </c:pt>
                <c:pt idx="1">
                  <c:v>6</c:v>
                </c:pt>
              </c:numCache>
            </c:numRef>
          </c:xVal>
          <c:yVal>
            <c:numRef>
              <c:f>Tools!$CH$4:$CI$4</c:f>
              <c:numCache>
                <c:formatCode>General</c:formatCode>
                <c:ptCount val="2"/>
                <c:pt idx="0">
                  <c:v>0</c:v>
                </c:pt>
                <c:pt idx="1">
                  <c:v>7.8833333333333329</c:v>
                </c:pt>
              </c:numCache>
            </c:numRef>
          </c:yVal>
          <c:smooth val="1"/>
        </c:ser>
        <c:ser>
          <c:idx val="59"/>
          <c:order val="59"/>
          <c:tx>
            <c:strRef>
              <c:f>Tools!$CG$14</c:f>
              <c:strCache>
                <c:ptCount val="1"/>
                <c:pt idx="0">
                  <c:v>7</c:v>
                </c:pt>
              </c:strCache>
            </c:strRef>
          </c:tx>
          <c:spPr>
            <a:ln w="3175">
              <a:solidFill>
                <a:sysClr val="windowText" lastClr="000000"/>
              </a:solidFill>
            </a:ln>
          </c:spPr>
          <c:marker>
            <c:symbol val="none"/>
          </c:marker>
          <c:xVal>
            <c:numRef>
              <c:f>Tools!$CH$14:$CI$14</c:f>
              <c:numCache>
                <c:formatCode>General</c:formatCode>
                <c:ptCount val="2"/>
                <c:pt idx="0">
                  <c:v>7</c:v>
                </c:pt>
                <c:pt idx="1">
                  <c:v>7</c:v>
                </c:pt>
              </c:numCache>
            </c:numRef>
          </c:xVal>
          <c:yVal>
            <c:numRef>
              <c:f>Tools!$CH$4:$CI$4</c:f>
              <c:numCache>
                <c:formatCode>General</c:formatCode>
                <c:ptCount val="2"/>
                <c:pt idx="0">
                  <c:v>0</c:v>
                </c:pt>
                <c:pt idx="1">
                  <c:v>7.8833333333333329</c:v>
                </c:pt>
              </c:numCache>
            </c:numRef>
          </c:yVal>
          <c:smooth val="1"/>
        </c:ser>
        <c:ser>
          <c:idx val="60"/>
          <c:order val="60"/>
          <c:tx>
            <c:strRef>
              <c:f>Tools!$CG$15</c:f>
              <c:strCache>
                <c:ptCount val="1"/>
                <c:pt idx="0">
                  <c:v>8</c:v>
                </c:pt>
              </c:strCache>
            </c:strRef>
          </c:tx>
          <c:spPr>
            <a:ln w="3175">
              <a:solidFill>
                <a:sysClr val="windowText" lastClr="000000"/>
              </a:solidFill>
            </a:ln>
          </c:spPr>
          <c:marker>
            <c:symbol val="none"/>
          </c:marker>
          <c:xVal>
            <c:numRef>
              <c:f>Tools!$CH$15:$CI$15</c:f>
              <c:numCache>
                <c:formatCode>General</c:formatCode>
                <c:ptCount val="2"/>
                <c:pt idx="0">
                  <c:v>8</c:v>
                </c:pt>
                <c:pt idx="1">
                  <c:v>8</c:v>
                </c:pt>
              </c:numCache>
            </c:numRef>
          </c:xVal>
          <c:yVal>
            <c:numRef>
              <c:f>Tools!$CH$4:$CI$4</c:f>
              <c:numCache>
                <c:formatCode>General</c:formatCode>
                <c:ptCount val="2"/>
                <c:pt idx="0">
                  <c:v>0</c:v>
                </c:pt>
                <c:pt idx="1">
                  <c:v>7.8833333333333329</c:v>
                </c:pt>
              </c:numCache>
            </c:numRef>
          </c:yVal>
          <c:smooth val="1"/>
        </c:ser>
        <c:ser>
          <c:idx val="61"/>
          <c:order val="61"/>
          <c:tx>
            <c:strRef>
              <c:f>Tools!$CG$16</c:f>
              <c:strCache>
                <c:ptCount val="1"/>
                <c:pt idx="0">
                  <c:v>9</c:v>
                </c:pt>
              </c:strCache>
            </c:strRef>
          </c:tx>
          <c:spPr>
            <a:ln w="3175">
              <a:solidFill>
                <a:sysClr val="windowText" lastClr="000000"/>
              </a:solidFill>
            </a:ln>
          </c:spPr>
          <c:marker>
            <c:symbol val="none"/>
          </c:marker>
          <c:xVal>
            <c:numRef>
              <c:f>Tools!$CH$16:$CI$16</c:f>
              <c:numCache>
                <c:formatCode>General</c:formatCode>
                <c:ptCount val="2"/>
                <c:pt idx="0">
                  <c:v>9</c:v>
                </c:pt>
                <c:pt idx="1">
                  <c:v>9</c:v>
                </c:pt>
              </c:numCache>
            </c:numRef>
          </c:xVal>
          <c:yVal>
            <c:numRef>
              <c:f>Tools!$CH$4:$CI$4</c:f>
              <c:numCache>
                <c:formatCode>General</c:formatCode>
                <c:ptCount val="2"/>
                <c:pt idx="0">
                  <c:v>0</c:v>
                </c:pt>
                <c:pt idx="1">
                  <c:v>7.8833333333333329</c:v>
                </c:pt>
              </c:numCache>
            </c:numRef>
          </c:yVal>
          <c:smooth val="1"/>
        </c:ser>
        <c:ser>
          <c:idx val="62"/>
          <c:order val="62"/>
          <c:tx>
            <c:strRef>
              <c:f>Tools!$CG$17</c:f>
              <c:strCache>
                <c:ptCount val="1"/>
                <c:pt idx="0">
                  <c:v>10</c:v>
                </c:pt>
              </c:strCache>
            </c:strRef>
          </c:tx>
          <c:spPr>
            <a:ln w="3175">
              <a:solidFill>
                <a:sysClr val="windowText" lastClr="000000"/>
              </a:solidFill>
            </a:ln>
          </c:spPr>
          <c:marker>
            <c:symbol val="none"/>
          </c:marker>
          <c:xVal>
            <c:numRef>
              <c:f>Tools!$CH$17:$CI$17</c:f>
              <c:numCache>
                <c:formatCode>General</c:formatCode>
                <c:ptCount val="2"/>
                <c:pt idx="0">
                  <c:v>10</c:v>
                </c:pt>
                <c:pt idx="1">
                  <c:v>10</c:v>
                </c:pt>
              </c:numCache>
            </c:numRef>
          </c:xVal>
          <c:yVal>
            <c:numRef>
              <c:f>Tools!$CH$4:$CI$4</c:f>
              <c:numCache>
                <c:formatCode>General</c:formatCode>
                <c:ptCount val="2"/>
                <c:pt idx="0">
                  <c:v>0</c:v>
                </c:pt>
                <c:pt idx="1">
                  <c:v>7.8833333333333329</c:v>
                </c:pt>
              </c:numCache>
            </c:numRef>
          </c:yVal>
          <c:smooth val="1"/>
        </c:ser>
        <c:ser>
          <c:idx val="63"/>
          <c:order val="63"/>
          <c:tx>
            <c:strRef>
              <c:f>Tools!$CG$18</c:f>
              <c:strCache>
                <c:ptCount val="1"/>
                <c:pt idx="0">
                  <c:v>11</c:v>
                </c:pt>
              </c:strCache>
            </c:strRef>
          </c:tx>
          <c:spPr>
            <a:ln w="3175">
              <a:solidFill>
                <a:sysClr val="windowText" lastClr="000000"/>
              </a:solidFill>
            </a:ln>
          </c:spPr>
          <c:marker>
            <c:symbol val="none"/>
          </c:marker>
          <c:xVal>
            <c:numRef>
              <c:f>Tools!$CH$18:$CI$18</c:f>
              <c:numCache>
                <c:formatCode>General</c:formatCode>
                <c:ptCount val="2"/>
                <c:pt idx="0">
                  <c:v>11</c:v>
                </c:pt>
                <c:pt idx="1">
                  <c:v>11</c:v>
                </c:pt>
              </c:numCache>
            </c:numRef>
          </c:xVal>
          <c:yVal>
            <c:numRef>
              <c:f>Tools!$CH$4:$CI$4</c:f>
              <c:numCache>
                <c:formatCode>General</c:formatCode>
                <c:ptCount val="2"/>
                <c:pt idx="0">
                  <c:v>0</c:v>
                </c:pt>
                <c:pt idx="1">
                  <c:v>7.8833333333333329</c:v>
                </c:pt>
              </c:numCache>
            </c:numRef>
          </c:yVal>
          <c:smooth val="1"/>
        </c:ser>
        <c:ser>
          <c:idx val="64"/>
          <c:order val="64"/>
          <c:tx>
            <c:strRef>
              <c:f>Tools!$CG$19</c:f>
              <c:strCache>
                <c:ptCount val="1"/>
                <c:pt idx="0">
                  <c:v>12</c:v>
                </c:pt>
              </c:strCache>
            </c:strRef>
          </c:tx>
          <c:spPr>
            <a:ln w="3175">
              <a:solidFill>
                <a:sysClr val="windowText" lastClr="000000"/>
              </a:solidFill>
            </a:ln>
          </c:spPr>
          <c:marker>
            <c:symbol val="none"/>
          </c:marker>
          <c:xVal>
            <c:numRef>
              <c:f>Tools!$CH$19:$CI$19</c:f>
              <c:numCache>
                <c:formatCode>General</c:formatCode>
                <c:ptCount val="2"/>
                <c:pt idx="0">
                  <c:v>12</c:v>
                </c:pt>
                <c:pt idx="1">
                  <c:v>12</c:v>
                </c:pt>
              </c:numCache>
            </c:numRef>
          </c:xVal>
          <c:yVal>
            <c:numRef>
              <c:f>Tools!$CH$4:$CI$4</c:f>
              <c:numCache>
                <c:formatCode>General</c:formatCode>
                <c:ptCount val="2"/>
                <c:pt idx="0">
                  <c:v>0</c:v>
                </c:pt>
                <c:pt idx="1">
                  <c:v>7.8833333333333329</c:v>
                </c:pt>
              </c:numCache>
            </c:numRef>
          </c:yVal>
          <c:smooth val="1"/>
        </c:ser>
        <c:ser>
          <c:idx val="65"/>
          <c:order val="65"/>
          <c:tx>
            <c:strRef>
              <c:f>Tools!$CG$20</c:f>
              <c:strCache>
                <c:ptCount val="1"/>
                <c:pt idx="0">
                  <c:v>13</c:v>
                </c:pt>
              </c:strCache>
            </c:strRef>
          </c:tx>
          <c:spPr>
            <a:ln w="3175">
              <a:solidFill>
                <a:sysClr val="windowText" lastClr="000000"/>
              </a:solidFill>
            </a:ln>
          </c:spPr>
          <c:marker>
            <c:symbol val="none"/>
          </c:marker>
          <c:xVal>
            <c:numRef>
              <c:f>Tools!$CH$20:$CI$20</c:f>
              <c:numCache>
                <c:formatCode>General</c:formatCode>
                <c:ptCount val="2"/>
                <c:pt idx="0">
                  <c:v>13</c:v>
                </c:pt>
                <c:pt idx="1">
                  <c:v>13</c:v>
                </c:pt>
              </c:numCache>
            </c:numRef>
          </c:xVal>
          <c:yVal>
            <c:numRef>
              <c:f>Tools!$CH$4:$CI$4</c:f>
              <c:numCache>
                <c:formatCode>General</c:formatCode>
                <c:ptCount val="2"/>
                <c:pt idx="0">
                  <c:v>0</c:v>
                </c:pt>
                <c:pt idx="1">
                  <c:v>7.8833333333333329</c:v>
                </c:pt>
              </c:numCache>
            </c:numRef>
          </c:yVal>
          <c:smooth val="1"/>
        </c:ser>
        <c:ser>
          <c:idx val="66"/>
          <c:order val="66"/>
          <c:tx>
            <c:strRef>
              <c:f>Tools!$CG$21</c:f>
              <c:strCache>
                <c:ptCount val="1"/>
                <c:pt idx="0">
                  <c:v>14</c:v>
                </c:pt>
              </c:strCache>
            </c:strRef>
          </c:tx>
          <c:spPr>
            <a:ln w="3175">
              <a:solidFill>
                <a:sysClr val="windowText" lastClr="000000"/>
              </a:solidFill>
            </a:ln>
          </c:spPr>
          <c:marker>
            <c:symbol val="none"/>
          </c:marker>
          <c:xVal>
            <c:numRef>
              <c:f>Tools!$CH$21:$CI$21</c:f>
              <c:numCache>
                <c:formatCode>General</c:formatCode>
                <c:ptCount val="2"/>
                <c:pt idx="0">
                  <c:v>14</c:v>
                </c:pt>
                <c:pt idx="1">
                  <c:v>14</c:v>
                </c:pt>
              </c:numCache>
            </c:numRef>
          </c:xVal>
          <c:yVal>
            <c:numRef>
              <c:f>Tools!$CH$4:$CI$4</c:f>
              <c:numCache>
                <c:formatCode>General</c:formatCode>
                <c:ptCount val="2"/>
                <c:pt idx="0">
                  <c:v>0</c:v>
                </c:pt>
                <c:pt idx="1">
                  <c:v>7.8833333333333329</c:v>
                </c:pt>
              </c:numCache>
            </c:numRef>
          </c:yVal>
          <c:smooth val="1"/>
        </c:ser>
        <c:ser>
          <c:idx val="67"/>
          <c:order val="67"/>
          <c:tx>
            <c:strRef>
              <c:f>Tools!$CG$22</c:f>
              <c:strCache>
                <c:ptCount val="1"/>
                <c:pt idx="0">
                  <c:v>15</c:v>
                </c:pt>
              </c:strCache>
            </c:strRef>
          </c:tx>
          <c:spPr>
            <a:ln w="3175">
              <a:solidFill>
                <a:sysClr val="windowText" lastClr="000000"/>
              </a:solidFill>
            </a:ln>
          </c:spPr>
          <c:marker>
            <c:symbol val="none"/>
          </c:marker>
          <c:xVal>
            <c:numRef>
              <c:f>Tools!$CH$22:$CI$22</c:f>
              <c:numCache>
                <c:formatCode>General</c:formatCode>
                <c:ptCount val="2"/>
                <c:pt idx="0">
                  <c:v>15</c:v>
                </c:pt>
                <c:pt idx="1">
                  <c:v>15</c:v>
                </c:pt>
              </c:numCache>
            </c:numRef>
          </c:xVal>
          <c:yVal>
            <c:numRef>
              <c:f>Tools!$CH$4:$CI$4</c:f>
              <c:numCache>
                <c:formatCode>General</c:formatCode>
                <c:ptCount val="2"/>
                <c:pt idx="0">
                  <c:v>0</c:v>
                </c:pt>
                <c:pt idx="1">
                  <c:v>7.8833333333333329</c:v>
                </c:pt>
              </c:numCache>
            </c:numRef>
          </c:yVal>
          <c:smooth val="1"/>
        </c:ser>
        <c:ser>
          <c:idx val="68"/>
          <c:order val="68"/>
          <c:tx>
            <c:strRef>
              <c:f>Tools!$CG$23</c:f>
              <c:strCache>
                <c:ptCount val="1"/>
                <c:pt idx="0">
                  <c:v>16</c:v>
                </c:pt>
              </c:strCache>
            </c:strRef>
          </c:tx>
          <c:spPr>
            <a:ln w="3175">
              <a:solidFill>
                <a:sysClr val="windowText" lastClr="000000"/>
              </a:solidFill>
            </a:ln>
          </c:spPr>
          <c:marker>
            <c:symbol val="none"/>
          </c:marker>
          <c:xVal>
            <c:numRef>
              <c:f>Tools!$CH$23:$CI$23</c:f>
              <c:numCache>
                <c:formatCode>General</c:formatCode>
                <c:ptCount val="2"/>
                <c:pt idx="0">
                  <c:v>16</c:v>
                </c:pt>
                <c:pt idx="1">
                  <c:v>16</c:v>
                </c:pt>
              </c:numCache>
            </c:numRef>
          </c:xVal>
          <c:yVal>
            <c:numRef>
              <c:f>Tools!$CH$4:$CI$4</c:f>
              <c:numCache>
                <c:formatCode>General</c:formatCode>
                <c:ptCount val="2"/>
                <c:pt idx="0">
                  <c:v>0</c:v>
                </c:pt>
                <c:pt idx="1">
                  <c:v>7.8833333333333329</c:v>
                </c:pt>
              </c:numCache>
            </c:numRef>
          </c:yVal>
          <c:smooth val="1"/>
        </c:ser>
        <c:ser>
          <c:idx val="69"/>
          <c:order val="69"/>
          <c:tx>
            <c:strRef>
              <c:f>Tools!$CG$24</c:f>
              <c:strCache>
                <c:ptCount val="1"/>
                <c:pt idx="0">
                  <c:v>17</c:v>
                </c:pt>
              </c:strCache>
            </c:strRef>
          </c:tx>
          <c:spPr>
            <a:ln w="3175">
              <a:solidFill>
                <a:sysClr val="windowText" lastClr="000000"/>
              </a:solidFill>
            </a:ln>
          </c:spPr>
          <c:marker>
            <c:symbol val="none"/>
          </c:marker>
          <c:xVal>
            <c:numRef>
              <c:f>Tools!$CH$24:$CI$24</c:f>
              <c:numCache>
                <c:formatCode>General</c:formatCode>
                <c:ptCount val="2"/>
                <c:pt idx="0">
                  <c:v>17</c:v>
                </c:pt>
                <c:pt idx="1">
                  <c:v>17</c:v>
                </c:pt>
              </c:numCache>
            </c:numRef>
          </c:xVal>
          <c:yVal>
            <c:numRef>
              <c:f>Tools!$CH$4:$CI$4</c:f>
              <c:numCache>
                <c:formatCode>General</c:formatCode>
                <c:ptCount val="2"/>
                <c:pt idx="0">
                  <c:v>0</c:v>
                </c:pt>
                <c:pt idx="1">
                  <c:v>7.8833333333333329</c:v>
                </c:pt>
              </c:numCache>
            </c:numRef>
          </c:yVal>
          <c:smooth val="1"/>
        </c:ser>
        <c:ser>
          <c:idx val="70"/>
          <c:order val="70"/>
          <c:tx>
            <c:strRef>
              <c:f>Tools!$CG$25</c:f>
              <c:strCache>
                <c:ptCount val="1"/>
                <c:pt idx="0">
                  <c:v>18</c:v>
                </c:pt>
              </c:strCache>
            </c:strRef>
          </c:tx>
          <c:spPr>
            <a:ln w="3175">
              <a:solidFill>
                <a:sysClr val="windowText" lastClr="000000"/>
              </a:solidFill>
            </a:ln>
          </c:spPr>
          <c:marker>
            <c:symbol val="none"/>
          </c:marker>
          <c:xVal>
            <c:numRef>
              <c:f>Tools!$CH$25:$CI$25</c:f>
              <c:numCache>
                <c:formatCode>General</c:formatCode>
                <c:ptCount val="2"/>
                <c:pt idx="0">
                  <c:v>18</c:v>
                </c:pt>
                <c:pt idx="1">
                  <c:v>18</c:v>
                </c:pt>
              </c:numCache>
            </c:numRef>
          </c:xVal>
          <c:yVal>
            <c:numRef>
              <c:f>Tools!$CH$4:$CI$4</c:f>
              <c:numCache>
                <c:formatCode>General</c:formatCode>
                <c:ptCount val="2"/>
                <c:pt idx="0">
                  <c:v>0</c:v>
                </c:pt>
                <c:pt idx="1">
                  <c:v>7.8833333333333329</c:v>
                </c:pt>
              </c:numCache>
            </c:numRef>
          </c:yVal>
          <c:smooth val="1"/>
        </c:ser>
        <c:ser>
          <c:idx val="71"/>
          <c:order val="71"/>
          <c:tx>
            <c:strRef>
              <c:f>Tools!$CG$26</c:f>
              <c:strCache>
                <c:ptCount val="1"/>
                <c:pt idx="0">
                  <c:v>18.5</c:v>
                </c:pt>
              </c:strCache>
            </c:strRef>
          </c:tx>
          <c:spPr>
            <a:ln w="3175">
              <a:solidFill>
                <a:sysClr val="windowText" lastClr="000000"/>
              </a:solidFill>
            </a:ln>
          </c:spPr>
          <c:marker>
            <c:symbol val="none"/>
          </c:marker>
          <c:xVal>
            <c:numRef>
              <c:f>Tools!$CH$26:$CI$26</c:f>
              <c:numCache>
                <c:formatCode>General</c:formatCode>
                <c:ptCount val="2"/>
                <c:pt idx="0">
                  <c:v>18.5</c:v>
                </c:pt>
                <c:pt idx="1">
                  <c:v>18.5</c:v>
                </c:pt>
              </c:numCache>
            </c:numRef>
          </c:xVal>
          <c:yVal>
            <c:numRef>
              <c:f>Tools!$CH$4:$CI$4</c:f>
              <c:numCache>
                <c:formatCode>General</c:formatCode>
                <c:ptCount val="2"/>
                <c:pt idx="0">
                  <c:v>0</c:v>
                </c:pt>
                <c:pt idx="1">
                  <c:v>7.8833333333333329</c:v>
                </c:pt>
              </c:numCache>
            </c:numRef>
          </c:yVal>
          <c:smooth val="1"/>
        </c:ser>
        <c:ser>
          <c:idx val="72"/>
          <c:order val="72"/>
          <c:tx>
            <c:strRef>
              <c:f>Tools!$CG$27</c:f>
              <c:strCache>
                <c:ptCount val="1"/>
                <c:pt idx="0">
                  <c:v>19</c:v>
                </c:pt>
              </c:strCache>
            </c:strRef>
          </c:tx>
          <c:spPr>
            <a:ln w="3175">
              <a:solidFill>
                <a:sysClr val="windowText" lastClr="000000"/>
              </a:solidFill>
            </a:ln>
          </c:spPr>
          <c:marker>
            <c:symbol val="none"/>
          </c:marker>
          <c:xVal>
            <c:numRef>
              <c:f>Tools!$CH$27:$CI$27</c:f>
              <c:numCache>
                <c:formatCode>General</c:formatCode>
                <c:ptCount val="2"/>
                <c:pt idx="0">
                  <c:v>19</c:v>
                </c:pt>
                <c:pt idx="1">
                  <c:v>19</c:v>
                </c:pt>
              </c:numCache>
            </c:numRef>
          </c:xVal>
          <c:yVal>
            <c:numRef>
              <c:f>Tools!$CH$4:$CI$4</c:f>
              <c:numCache>
                <c:formatCode>General</c:formatCode>
                <c:ptCount val="2"/>
                <c:pt idx="0">
                  <c:v>0</c:v>
                </c:pt>
                <c:pt idx="1">
                  <c:v>7.8833333333333329</c:v>
                </c:pt>
              </c:numCache>
            </c:numRef>
          </c:yVal>
          <c:smooth val="1"/>
        </c:ser>
        <c:ser>
          <c:idx val="73"/>
          <c:order val="73"/>
          <c:tx>
            <c:strRef>
              <c:f>Tools!$CG$28</c:f>
              <c:strCache>
                <c:ptCount val="1"/>
                <c:pt idx="0">
                  <c:v>19.5</c:v>
                </c:pt>
              </c:strCache>
            </c:strRef>
          </c:tx>
          <c:spPr>
            <a:ln w="3175">
              <a:solidFill>
                <a:sysClr val="windowText" lastClr="000000"/>
              </a:solidFill>
            </a:ln>
          </c:spPr>
          <c:marker>
            <c:symbol val="none"/>
          </c:marker>
          <c:xVal>
            <c:numRef>
              <c:f>Tools!$CH$28:$CI$28</c:f>
              <c:numCache>
                <c:formatCode>General</c:formatCode>
                <c:ptCount val="2"/>
                <c:pt idx="0">
                  <c:v>19.5</c:v>
                </c:pt>
                <c:pt idx="1">
                  <c:v>19.5</c:v>
                </c:pt>
              </c:numCache>
            </c:numRef>
          </c:xVal>
          <c:yVal>
            <c:numRef>
              <c:f>Tools!$CH$4:$CI$4</c:f>
              <c:numCache>
                <c:formatCode>General</c:formatCode>
                <c:ptCount val="2"/>
                <c:pt idx="0">
                  <c:v>0</c:v>
                </c:pt>
                <c:pt idx="1">
                  <c:v>7.8833333333333329</c:v>
                </c:pt>
              </c:numCache>
            </c:numRef>
          </c:yVal>
          <c:smooth val="1"/>
        </c:ser>
        <c:ser>
          <c:idx val="74"/>
          <c:order val="74"/>
          <c:tx>
            <c:strRef>
              <c:f>Tools!$CG$29</c:f>
              <c:strCache>
                <c:ptCount val="1"/>
                <c:pt idx="0">
                  <c:v>20</c:v>
                </c:pt>
              </c:strCache>
            </c:strRef>
          </c:tx>
          <c:spPr>
            <a:ln w="3175">
              <a:solidFill>
                <a:sysClr val="windowText" lastClr="000000"/>
              </a:solidFill>
            </a:ln>
          </c:spPr>
          <c:marker>
            <c:symbol val="none"/>
          </c:marker>
          <c:xVal>
            <c:numRef>
              <c:f>Tools!$CH$29:$CI$29</c:f>
              <c:numCache>
                <c:formatCode>General</c:formatCode>
                <c:ptCount val="2"/>
                <c:pt idx="0">
                  <c:v>20</c:v>
                </c:pt>
                <c:pt idx="1">
                  <c:v>20</c:v>
                </c:pt>
              </c:numCache>
            </c:numRef>
          </c:xVal>
          <c:yVal>
            <c:numRef>
              <c:f>Tools!$CH$4:$CI$4</c:f>
              <c:numCache>
                <c:formatCode>General</c:formatCode>
                <c:ptCount val="2"/>
                <c:pt idx="0">
                  <c:v>0</c:v>
                </c:pt>
                <c:pt idx="1">
                  <c:v>7.8833333333333329</c:v>
                </c:pt>
              </c:numCache>
            </c:numRef>
          </c:yVal>
          <c:smooth val="1"/>
        </c:ser>
        <c:ser>
          <c:idx val="75"/>
          <c:order val="75"/>
          <c:tx>
            <c:strRef>
              <c:f>Tools!$CG$31</c:f>
              <c:strCache>
                <c:ptCount val="1"/>
                <c:pt idx="0">
                  <c:v>MDK</c:v>
                </c:pt>
              </c:strCache>
            </c:strRef>
          </c:tx>
          <c:spPr>
            <a:ln w="3175">
              <a:solidFill>
                <a:schemeClr val="tx2">
                  <a:lumMod val="60000"/>
                  <a:lumOff val="40000"/>
                </a:schemeClr>
              </a:solidFill>
            </a:ln>
          </c:spPr>
          <c:marker>
            <c:symbol val="none"/>
          </c:marker>
          <c:xVal>
            <c:numRef>
              <c:f>Tools!$CH$31:$CI$31</c:f>
              <c:numCache>
                <c:formatCode>General</c:formatCode>
                <c:ptCount val="2"/>
                <c:pt idx="0">
                  <c:v>0</c:v>
                </c:pt>
                <c:pt idx="1">
                  <c:v>20</c:v>
                </c:pt>
              </c:numCache>
            </c:numRef>
          </c:xVal>
          <c:yVal>
            <c:numRef>
              <c:f>Tools!$CH$32:$CI$32</c:f>
              <c:numCache>
                <c:formatCode>General</c:formatCode>
                <c:ptCount val="2"/>
                <c:pt idx="0">
                  <c:v>7.8833333333333329</c:v>
                </c:pt>
                <c:pt idx="1">
                  <c:v>7.8833333333333329</c:v>
                </c:pt>
              </c:numCache>
            </c:numRef>
          </c:yVal>
          <c:smooth val="1"/>
        </c:ser>
        <c:ser>
          <c:idx val="76"/>
          <c:order val="76"/>
          <c:tx>
            <c:strRef>
              <c:f>Tools!$CG$34</c:f>
              <c:strCache>
                <c:ptCount val="1"/>
                <c:pt idx="0">
                  <c:v>LWL</c:v>
                </c:pt>
              </c:strCache>
            </c:strRef>
          </c:tx>
          <c:spPr>
            <a:ln w="3175">
              <a:solidFill>
                <a:schemeClr val="accent4">
                  <a:lumMod val="75000"/>
                </a:schemeClr>
              </a:solidFill>
            </a:ln>
          </c:spPr>
          <c:marker>
            <c:symbol val="none"/>
          </c:marker>
          <c:xVal>
            <c:numRef>
              <c:f>Tools!$CH$34:$CI$34</c:f>
              <c:numCache>
                <c:formatCode>General</c:formatCode>
                <c:ptCount val="2"/>
                <c:pt idx="0">
                  <c:v>0</c:v>
                </c:pt>
                <c:pt idx="1">
                  <c:v>20</c:v>
                </c:pt>
              </c:numCache>
            </c:numRef>
          </c:xVal>
          <c:yVal>
            <c:numRef>
              <c:f>Tools!$CH$35:$CI$35</c:f>
              <c:numCache>
                <c:formatCode>General</c:formatCode>
                <c:ptCount val="2"/>
                <c:pt idx="0">
                  <c:v>5.6111111111111107</c:v>
                </c:pt>
                <c:pt idx="1">
                  <c:v>5.6111111111111107</c:v>
                </c:pt>
              </c:numCache>
            </c:numRef>
          </c:yVal>
          <c:smooth val="1"/>
        </c:ser>
        <c:ser>
          <c:idx val="77"/>
          <c:order val="77"/>
          <c:tx>
            <c:strRef>
              <c:f>Tools!$CG$37</c:f>
              <c:strCache>
                <c:ptCount val="1"/>
                <c:pt idx="0">
                  <c:v>KEEL</c:v>
                </c:pt>
              </c:strCache>
            </c:strRef>
          </c:tx>
          <c:spPr>
            <a:ln w="3175">
              <a:solidFill>
                <a:sysClr val="windowText" lastClr="000000"/>
              </a:solidFill>
            </a:ln>
          </c:spPr>
          <c:marker>
            <c:symbol val="none"/>
          </c:marker>
          <c:xVal>
            <c:numRef>
              <c:f>Tools!$CH$37:$CI$37</c:f>
              <c:numCache>
                <c:formatCode>General</c:formatCode>
                <c:ptCount val="2"/>
                <c:pt idx="0">
                  <c:v>0</c:v>
                </c:pt>
                <c:pt idx="1">
                  <c:v>20</c:v>
                </c:pt>
              </c:numCache>
            </c:numRef>
          </c:xVal>
          <c:yVal>
            <c:numRef>
              <c:f>Tools!$CH$38:$CI$38</c:f>
              <c:numCache>
                <c:formatCode>General</c:formatCode>
                <c:ptCount val="2"/>
                <c:pt idx="0">
                  <c:v>3.9416666666666662E-2</c:v>
                </c:pt>
                <c:pt idx="1">
                  <c:v>3.9416666666666662E-2</c:v>
                </c:pt>
              </c:numCache>
            </c:numRef>
          </c:yVal>
          <c:smooth val="1"/>
        </c:ser>
        <c:dLbls>
          <c:showLegendKey val="0"/>
          <c:showVal val="0"/>
          <c:showCatName val="0"/>
          <c:showSerName val="0"/>
          <c:showPercent val="0"/>
          <c:showBubbleSize val="0"/>
        </c:dLbls>
        <c:axId val="544616448"/>
        <c:axId val="544617984"/>
      </c:scatterChart>
      <c:valAx>
        <c:axId val="544616448"/>
        <c:scaling>
          <c:orientation val="minMax"/>
          <c:max val="21"/>
          <c:min val="0"/>
        </c:scaling>
        <c:delete val="0"/>
        <c:axPos val="b"/>
        <c:numFmt formatCode="General" sourceLinked="1"/>
        <c:majorTickMark val="out"/>
        <c:minorTickMark val="none"/>
        <c:tickLblPos val="nextTo"/>
        <c:spPr>
          <a:ln>
            <a:solidFill>
              <a:schemeClr val="bg1"/>
            </a:solidFill>
          </a:ln>
        </c:spPr>
        <c:crossAx val="544617984"/>
        <c:crosses val="autoZero"/>
        <c:crossBetween val="midCat"/>
        <c:majorUnit val="1"/>
        <c:minorUnit val="1"/>
      </c:valAx>
      <c:valAx>
        <c:axId val="544617984"/>
        <c:scaling>
          <c:orientation val="minMax"/>
        </c:scaling>
        <c:delete val="0"/>
        <c:axPos val="l"/>
        <c:majorGridlines>
          <c:spPr>
            <a:ln>
              <a:solidFill>
                <a:schemeClr val="tx1">
                  <a:alpha val="7000"/>
                </a:schemeClr>
              </a:solidFill>
            </a:ln>
          </c:spPr>
        </c:majorGridlines>
        <c:numFmt formatCode="General" sourceLinked="1"/>
        <c:majorTickMark val="out"/>
        <c:minorTickMark val="none"/>
        <c:tickLblPos val="nextTo"/>
        <c:spPr>
          <a:ln>
            <a:solidFill>
              <a:schemeClr val="accent1">
                <a:lumMod val="40000"/>
                <a:lumOff val="60000"/>
                <a:alpha val="12000"/>
              </a:schemeClr>
            </a:solidFill>
          </a:ln>
        </c:spPr>
        <c:crossAx val="544616448"/>
        <c:crossesAt val="0"/>
        <c:crossBetween val="midCat"/>
      </c:valAx>
      <c:spPr>
        <a:ln>
          <a:solidFill>
            <a:schemeClr val="bg1"/>
          </a:solidFill>
        </a:ln>
      </c:spPr>
    </c:plotArea>
    <c:plotVisOnly val="1"/>
    <c:dispBlanksAs val="span"/>
    <c:showDLblsOverMax val="0"/>
  </c:chart>
  <c:txPr>
    <a:bodyPr/>
    <a:lstStyle/>
    <a:p>
      <a:pPr>
        <a:defRPr sz="900"/>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565463865013437E-2"/>
          <c:y val="4.8409162862424297E-2"/>
          <c:w val="0.82111491280458926"/>
          <c:h val="0.86951254634026776"/>
        </c:manualLayout>
      </c:layout>
      <c:scatterChart>
        <c:scatterStyle val="smoothMarker"/>
        <c:varyColors val="0"/>
        <c:ser>
          <c:idx val="0"/>
          <c:order val="0"/>
          <c:tx>
            <c:strRef>
              <c:f>Tools!$DC$62</c:f>
              <c:strCache>
                <c:ptCount val="1"/>
                <c:pt idx="0">
                  <c:v>STN 0</c:v>
                </c:pt>
              </c:strCache>
            </c:strRef>
          </c:tx>
          <c:spPr>
            <a:ln w="3175"/>
          </c:spPr>
          <c:marker>
            <c:symbol val="none"/>
          </c:marker>
          <c:xVal>
            <c:numRef>
              <c:f>Tools!$DJ$98:$EI$98</c:f>
              <c:numCache>
                <c:formatCode>General</c:formatCode>
                <c:ptCount val="26"/>
                <c:pt idx="0">
                  <c:v>0</c:v>
                </c:pt>
                <c:pt idx="1">
                  <c:v>#N/A</c:v>
                </c:pt>
                <c:pt idx="2">
                  <c:v>#N/A</c:v>
                </c:pt>
                <c:pt idx="3">
                  <c:v>#N/A</c:v>
                </c:pt>
                <c:pt idx="4">
                  <c:v>#N/A</c:v>
                </c:pt>
                <c:pt idx="5">
                  <c:v>#N/A</c:v>
                </c:pt>
                <c:pt idx="6">
                  <c:v>#N/A</c:v>
                </c:pt>
                <c:pt idx="7">
                  <c:v>#N/A</c:v>
                </c:pt>
                <c:pt idx="8">
                  <c:v>#N/A</c:v>
                </c:pt>
                <c:pt idx="9">
                  <c:v>-2.8919999999999999</c:v>
                </c:pt>
                <c:pt idx="10">
                  <c:v>-6.2</c:v>
                </c:pt>
                <c:pt idx="11">
                  <c:v>-9.6</c:v>
                </c:pt>
                <c:pt idx="12">
                  <c:v>-10.89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Tools!$EL$98:$FK$98</c:f>
              <c:numCache>
                <c:formatCode>General</c:formatCode>
                <c:ptCount val="26"/>
                <c:pt idx="0">
                  <c:v>9.9</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
          <c:order val="1"/>
          <c:tx>
            <c:strRef>
              <c:f>Tools!$DC$63</c:f>
              <c:strCache>
                <c:ptCount val="1"/>
                <c:pt idx="0">
                  <c:v>STN 0.5</c:v>
                </c:pt>
              </c:strCache>
            </c:strRef>
          </c:tx>
          <c:spPr>
            <a:ln w="3175"/>
          </c:spPr>
          <c:marker>
            <c:symbol val="none"/>
          </c:marker>
          <c:xVal>
            <c:numRef>
              <c:f>Tools!$DJ$99:$EI$99</c:f>
              <c:numCache>
                <c:formatCode>General</c:formatCode>
                <c:ptCount val="26"/>
                <c:pt idx="0">
                  <c:v>0</c:v>
                </c:pt>
                <c:pt idx="1">
                  <c:v>#N/A</c:v>
                </c:pt>
                <c:pt idx="2">
                  <c:v>#N/A</c:v>
                </c:pt>
                <c:pt idx="3">
                  <c:v>#N/A</c:v>
                </c:pt>
                <c:pt idx="4">
                  <c:v>#N/A</c:v>
                </c:pt>
                <c:pt idx="5">
                  <c:v>#N/A</c:v>
                </c:pt>
                <c:pt idx="6">
                  <c:v>#N/A</c:v>
                </c:pt>
                <c:pt idx="7">
                  <c:v>#N/A</c:v>
                </c:pt>
                <c:pt idx="8">
                  <c:v>-1.2</c:v>
                </c:pt>
                <c:pt idx="9">
                  <c:v>-6.8</c:v>
                </c:pt>
                <c:pt idx="10">
                  <c:v>-8.4600000000000009</c:v>
                </c:pt>
                <c:pt idx="11">
                  <c:v>-10.63</c:v>
                </c:pt>
                <c:pt idx="12">
                  <c:v>-11.52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Tools!$EL$99:$FK$99</c:f>
              <c:numCache>
                <c:formatCode>General</c:formatCode>
                <c:ptCount val="26"/>
                <c:pt idx="0">
                  <c:v>8.9</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
          <c:order val="2"/>
          <c:tx>
            <c:strRef>
              <c:f>Tools!$DC$64</c:f>
              <c:strCache>
                <c:ptCount val="1"/>
                <c:pt idx="0">
                  <c:v>STN 1</c:v>
                </c:pt>
              </c:strCache>
            </c:strRef>
          </c:tx>
          <c:spPr>
            <a:ln w="3175"/>
          </c:spPr>
          <c:marker>
            <c:symbol val="none"/>
          </c:marker>
          <c:xVal>
            <c:numRef>
              <c:f>Tools!$DJ$100:$EI$100</c:f>
              <c:numCache>
                <c:formatCode>General</c:formatCode>
                <c:ptCount val="26"/>
                <c:pt idx="0">
                  <c:v>0</c:v>
                </c:pt>
                <c:pt idx="1">
                  <c:v>#N/A</c:v>
                </c:pt>
                <c:pt idx="2">
                  <c:v>#N/A</c:v>
                </c:pt>
                <c:pt idx="3">
                  <c:v>#N/A</c:v>
                </c:pt>
                <c:pt idx="4">
                  <c:v>#N/A</c:v>
                </c:pt>
                <c:pt idx="5">
                  <c:v>#N/A</c:v>
                </c:pt>
                <c:pt idx="6">
                  <c:v>#N/A</c:v>
                </c:pt>
                <c:pt idx="7">
                  <c:v>#N/A</c:v>
                </c:pt>
                <c:pt idx="8">
                  <c:v>-6.12</c:v>
                </c:pt>
                <c:pt idx="9">
                  <c:v>-8.8000000000000007</c:v>
                </c:pt>
                <c:pt idx="10">
                  <c:v>-9.84</c:v>
                </c:pt>
                <c:pt idx="11">
                  <c:v>-11.33</c:v>
                </c:pt>
                <c:pt idx="12">
                  <c:v>-11.9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Tools!$EL$100:$FK$100</c:f>
              <c:numCache>
                <c:formatCode>General</c:formatCode>
                <c:ptCount val="26"/>
                <c:pt idx="0">
                  <c:v>7.8</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3"/>
          <c:order val="3"/>
          <c:tx>
            <c:strRef>
              <c:f>Tools!$DC$65</c:f>
              <c:strCache>
                <c:ptCount val="1"/>
                <c:pt idx="0">
                  <c:v>STN 1.5</c:v>
                </c:pt>
              </c:strCache>
            </c:strRef>
          </c:tx>
          <c:spPr>
            <a:ln w="3175"/>
          </c:spPr>
          <c:marker>
            <c:symbol val="none"/>
          </c:marker>
          <c:xVal>
            <c:numRef>
              <c:f>Tools!$DJ$101:$EI$101</c:f>
              <c:numCache>
                <c:formatCode>General</c:formatCode>
                <c:ptCount val="26"/>
                <c:pt idx="0">
                  <c:v>0</c:v>
                </c:pt>
                <c:pt idx="1">
                  <c:v>#N/A</c:v>
                </c:pt>
                <c:pt idx="2">
                  <c:v>#N/A</c:v>
                </c:pt>
                <c:pt idx="3">
                  <c:v>#N/A</c:v>
                </c:pt>
                <c:pt idx="4">
                  <c:v>-0.4</c:v>
                </c:pt>
                <c:pt idx="5">
                  <c:v>-0.7</c:v>
                </c:pt>
                <c:pt idx="6">
                  <c:v>-1.2</c:v>
                </c:pt>
                <c:pt idx="7">
                  <c:v>-2.4</c:v>
                </c:pt>
                <c:pt idx="8">
                  <c:v>-8.5500000000000007</c:v>
                </c:pt>
                <c:pt idx="9">
                  <c:v>-10.14</c:v>
                </c:pt>
                <c:pt idx="10">
                  <c:v>-10.78</c:v>
                </c:pt>
                <c:pt idx="11">
                  <c:v>-11.77</c:v>
                </c:pt>
                <c:pt idx="12">
                  <c:v>-12.1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Tools!$EL$101:$FK$101</c:f>
              <c:numCache>
                <c:formatCode>General</c:formatCode>
                <c:ptCount val="26"/>
                <c:pt idx="0">
                  <c:v>1.95</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4"/>
          <c:order val="4"/>
          <c:tx>
            <c:strRef>
              <c:f>Tools!$DC$66</c:f>
              <c:strCache>
                <c:ptCount val="1"/>
                <c:pt idx="0">
                  <c:v>STN 2</c:v>
                </c:pt>
              </c:strCache>
            </c:strRef>
          </c:tx>
          <c:spPr>
            <a:ln w="3175"/>
          </c:spPr>
          <c:marker>
            <c:symbol val="none"/>
          </c:marker>
          <c:xVal>
            <c:numRef>
              <c:f>Tools!$DJ$102:$EI$102</c:f>
              <c:numCache>
                <c:formatCode>General</c:formatCode>
                <c:ptCount val="26"/>
                <c:pt idx="0">
                  <c:v>0</c:v>
                </c:pt>
                <c:pt idx="1">
                  <c:v>#N/A</c:v>
                </c:pt>
                <c:pt idx="2">
                  <c:v>-0.4</c:v>
                </c:pt>
                <c:pt idx="3">
                  <c:v>-1.04</c:v>
                </c:pt>
                <c:pt idx="4">
                  <c:v>-1.5</c:v>
                </c:pt>
                <c:pt idx="5">
                  <c:v>-1.7</c:v>
                </c:pt>
                <c:pt idx="6">
                  <c:v>-2.7</c:v>
                </c:pt>
                <c:pt idx="7">
                  <c:v>-5.5</c:v>
                </c:pt>
                <c:pt idx="8">
                  <c:v>-9.9</c:v>
                </c:pt>
                <c:pt idx="9">
                  <c:v>-10.9</c:v>
                </c:pt>
                <c:pt idx="10">
                  <c:v>-11.34</c:v>
                </c:pt>
                <c:pt idx="11">
                  <c:v>-12</c:v>
                </c:pt>
                <c:pt idx="12">
                  <c:v>-12.2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Tools!$EL$102:$FK$102</c:f>
              <c:numCache>
                <c:formatCode>General</c:formatCode>
                <c:ptCount val="26"/>
                <c:pt idx="0">
                  <c:v>0.56999999999999995</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5"/>
          <c:order val="5"/>
          <c:tx>
            <c:strRef>
              <c:f>Tools!$DC$67</c:f>
              <c:strCache>
                <c:ptCount val="1"/>
                <c:pt idx="0">
                  <c:v>STN 3</c:v>
                </c:pt>
              </c:strCache>
            </c:strRef>
          </c:tx>
          <c:spPr>
            <a:ln w="3175"/>
          </c:spPr>
          <c:marker>
            <c:symbol val="none"/>
          </c:marker>
          <c:xVal>
            <c:numRef>
              <c:f>Tools!$DJ$103:$EI$103</c:f>
              <c:numCache>
                <c:formatCode>General</c:formatCode>
                <c:ptCount val="26"/>
                <c:pt idx="0">
                  <c:v>#N/A</c:v>
                </c:pt>
                <c:pt idx="1">
                  <c:v>-0.3</c:v>
                </c:pt>
                <c:pt idx="2">
                  <c:v>-1.67</c:v>
                </c:pt>
                <c:pt idx="3">
                  <c:v>-2.2999999999999998</c:v>
                </c:pt>
                <c:pt idx="4">
                  <c:v>-2.7</c:v>
                </c:pt>
                <c:pt idx="5">
                  <c:v>-3.1</c:v>
                </c:pt>
                <c:pt idx="6">
                  <c:v>-5.7</c:v>
                </c:pt>
                <c:pt idx="7">
                  <c:v>-9.6999999999999993</c:v>
                </c:pt>
                <c:pt idx="8">
                  <c:v>-11.23</c:v>
                </c:pt>
                <c:pt idx="9">
                  <c:v>-11.7</c:v>
                </c:pt>
                <c:pt idx="10">
                  <c:v>-11.93</c:v>
                </c:pt>
                <c:pt idx="11">
                  <c:v>-12.21</c:v>
                </c:pt>
                <c:pt idx="12">
                  <c:v>-12.23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Tools!$EL$103:$FK$103</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6"/>
          <c:order val="6"/>
          <c:tx>
            <c:strRef>
              <c:f>Tools!$DC$68</c:f>
              <c:strCache>
                <c:ptCount val="1"/>
                <c:pt idx="0">
                  <c:v>STN 4</c:v>
                </c:pt>
              </c:strCache>
            </c:strRef>
          </c:tx>
          <c:spPr>
            <a:ln w="3175"/>
          </c:spPr>
          <c:marker>
            <c:symbol val="none"/>
          </c:marker>
          <c:xVal>
            <c:numRef>
              <c:f>Tools!$DJ$104:$EI$104</c:f>
              <c:numCache>
                <c:formatCode>General</c:formatCode>
                <c:ptCount val="26"/>
                <c:pt idx="0">
                  <c:v>#N/A</c:v>
                </c:pt>
                <c:pt idx="1">
                  <c:v>-1</c:v>
                </c:pt>
                <c:pt idx="2">
                  <c:v>-3.17</c:v>
                </c:pt>
                <c:pt idx="3">
                  <c:v>-4.08</c:v>
                </c:pt>
                <c:pt idx="4">
                  <c:v>-4.8</c:v>
                </c:pt>
                <c:pt idx="5">
                  <c:v>-5.8</c:v>
                </c:pt>
                <c:pt idx="6">
                  <c:v>-9.1999999999999993</c:v>
                </c:pt>
                <c:pt idx="7">
                  <c:v>-11.17</c:v>
                </c:pt>
                <c:pt idx="8">
                  <c:v>-11.91</c:v>
                </c:pt>
                <c:pt idx="9">
                  <c:v>-12.14</c:v>
                </c:pt>
                <c:pt idx="10">
                  <c:v>-12.2</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Tools!$EL$104:$FK$104</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7"/>
          <c:order val="7"/>
          <c:tx>
            <c:strRef>
              <c:f>Tools!$DC$69</c:f>
              <c:strCache>
                <c:ptCount val="1"/>
                <c:pt idx="0">
                  <c:v>STN 5</c:v>
                </c:pt>
              </c:strCache>
            </c:strRef>
          </c:tx>
          <c:spPr>
            <a:ln w="3175"/>
          </c:spPr>
          <c:marker>
            <c:symbol val="none"/>
          </c:marker>
          <c:xVal>
            <c:numRef>
              <c:f>Tools!$DJ$105:$EI$105</c:f>
              <c:numCache>
                <c:formatCode>General</c:formatCode>
                <c:ptCount val="26"/>
                <c:pt idx="0">
                  <c:v>#N/A</c:v>
                </c:pt>
                <c:pt idx="1">
                  <c:v>-1.62</c:v>
                </c:pt>
                <c:pt idx="2">
                  <c:v>-4.8099999999999996</c:v>
                </c:pt>
                <c:pt idx="3">
                  <c:v>-6.09</c:v>
                </c:pt>
                <c:pt idx="4">
                  <c:v>-7.37</c:v>
                </c:pt>
                <c:pt idx="5">
                  <c:v>-9.0299999999999994</c:v>
                </c:pt>
                <c:pt idx="6">
                  <c:v>-11.15</c:v>
                </c:pt>
                <c:pt idx="7">
                  <c:v>-11.95</c:v>
                </c:pt>
                <c:pt idx="8">
                  <c:v>-12.22</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Tools!$EL$105:$FK$105</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8"/>
          <c:order val="8"/>
          <c:tx>
            <c:strRef>
              <c:f>Tools!$DC$70</c:f>
              <c:strCache>
                <c:ptCount val="1"/>
                <c:pt idx="0">
                  <c:v>STN 6</c:v>
                </c:pt>
              </c:strCache>
            </c:strRef>
          </c:tx>
          <c:spPr>
            <a:ln w="3175"/>
          </c:spPr>
          <c:marker>
            <c:symbol val="none"/>
          </c:marker>
          <c:xVal>
            <c:numRef>
              <c:f>Tools!$DJ$106:$EI$106</c:f>
              <c:numCache>
                <c:formatCode>General</c:formatCode>
                <c:ptCount val="26"/>
                <c:pt idx="0">
                  <c:v>#N/A</c:v>
                </c:pt>
                <c:pt idx="1">
                  <c:v>-2.2000000000000002</c:v>
                </c:pt>
                <c:pt idx="2">
                  <c:v>-6.59</c:v>
                </c:pt>
                <c:pt idx="3">
                  <c:v>-8.34</c:v>
                </c:pt>
                <c:pt idx="4">
                  <c:v>-9.82</c:v>
                </c:pt>
                <c:pt idx="5">
                  <c:v>-10.92</c:v>
                </c:pt>
                <c:pt idx="6">
                  <c:v>-11.97</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Tools!$EL$106:$FK$106</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9"/>
          <c:order val="9"/>
          <c:tx>
            <c:strRef>
              <c:f>Tools!$DC$71</c:f>
              <c:strCache>
                <c:ptCount val="1"/>
                <c:pt idx="0">
                  <c:v>STN 7</c:v>
                </c:pt>
              </c:strCache>
            </c:strRef>
          </c:tx>
          <c:spPr>
            <a:ln w="3175"/>
          </c:spPr>
          <c:marker>
            <c:symbol val="none"/>
          </c:marker>
          <c:xVal>
            <c:numRef>
              <c:f>Tools!$DJ$107:$EI$107</c:f>
              <c:numCache>
                <c:formatCode>General</c:formatCode>
                <c:ptCount val="26"/>
                <c:pt idx="0">
                  <c:v>#N/A</c:v>
                </c:pt>
                <c:pt idx="1">
                  <c:v>-3.71</c:v>
                </c:pt>
                <c:pt idx="2">
                  <c:v>-8.58</c:v>
                </c:pt>
                <c:pt idx="3">
                  <c:v>-10.26</c:v>
                </c:pt>
                <c:pt idx="4">
                  <c:v>-11.25</c:v>
                </c:pt>
                <c:pt idx="5">
                  <c:v>-11.86</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Tools!$EL$107:$FK$107</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0"/>
          <c:order val="10"/>
          <c:tx>
            <c:strRef>
              <c:f>Tools!$DC$72</c:f>
              <c:strCache>
                <c:ptCount val="1"/>
                <c:pt idx="0">
                  <c:v>STN 8</c:v>
                </c:pt>
              </c:strCache>
            </c:strRef>
          </c:tx>
          <c:spPr>
            <a:ln w="3175">
              <a:solidFill>
                <a:schemeClr val="accent2">
                  <a:lumMod val="75000"/>
                </a:schemeClr>
              </a:solidFill>
            </a:ln>
          </c:spPr>
          <c:marker>
            <c:symbol val="none"/>
          </c:marker>
          <c:xVal>
            <c:numRef>
              <c:f>Tools!$DJ$108:$EI$108</c:f>
              <c:numCache>
                <c:formatCode>General</c:formatCode>
                <c:ptCount val="26"/>
                <c:pt idx="0">
                  <c:v>#N/A</c:v>
                </c:pt>
                <c:pt idx="1">
                  <c:v>-5.9</c:v>
                </c:pt>
                <c:pt idx="2">
                  <c:v>-10.16</c:v>
                </c:pt>
                <c:pt idx="3">
                  <c:v>-11.35</c:v>
                </c:pt>
                <c:pt idx="4">
                  <c:v>-11.9</c:v>
                </c:pt>
                <c:pt idx="5">
                  <c:v>-12.18</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Tools!$EL$108:$FK$108</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1"/>
          <c:order val="11"/>
          <c:tx>
            <c:strRef>
              <c:f>Tools!$DC$73</c:f>
              <c:strCache>
                <c:ptCount val="1"/>
                <c:pt idx="0">
                  <c:v>STN 9</c:v>
                </c:pt>
              </c:strCache>
            </c:strRef>
          </c:tx>
          <c:spPr>
            <a:ln w="3175"/>
          </c:spPr>
          <c:marker>
            <c:symbol val="none"/>
          </c:marker>
          <c:xVal>
            <c:numRef>
              <c:f>Tools!$DJ$109:$EI$109</c:f>
              <c:numCache>
                <c:formatCode>General</c:formatCode>
                <c:ptCount val="26"/>
                <c:pt idx="0">
                  <c:v>#N/A</c:v>
                </c:pt>
                <c:pt idx="1">
                  <c:v>-7.2</c:v>
                </c:pt>
                <c:pt idx="2">
                  <c:v>-10.78</c:v>
                </c:pt>
                <c:pt idx="3">
                  <c:v>-11.72</c:v>
                </c:pt>
                <c:pt idx="4">
                  <c:v>-12.12</c:v>
                </c:pt>
                <c:pt idx="5">
                  <c:v>-12.25</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Tools!$EL$109:$FK$109</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2"/>
          <c:order val="12"/>
          <c:tx>
            <c:strRef>
              <c:f>Tools!$DC$74</c:f>
              <c:strCache>
                <c:ptCount val="1"/>
                <c:pt idx="0">
                  <c:v>STN 10</c:v>
                </c:pt>
              </c:strCache>
            </c:strRef>
          </c:tx>
          <c:spPr>
            <a:ln w="3175"/>
          </c:spPr>
          <c:marker>
            <c:symbol val="none"/>
          </c:marker>
          <c:xVal>
            <c:numRef>
              <c:f>Tools!$DJ$110:$EI$110</c:f>
              <c:numCache>
                <c:formatCode>General</c:formatCode>
                <c:ptCount val="26"/>
                <c:pt idx="0">
                  <c:v>#N/A</c:v>
                </c:pt>
                <c:pt idx="1">
                  <c:v>-8.25</c:v>
                </c:pt>
                <c:pt idx="2">
                  <c:v>-10.84</c:v>
                </c:pt>
                <c:pt idx="3">
                  <c:v>-11.76</c:v>
                </c:pt>
                <c:pt idx="4">
                  <c:v>-12.14</c:v>
                </c:pt>
                <c:pt idx="5">
                  <c:v>-12.25</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Tools!$EL$110:$FK$110</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3"/>
          <c:order val="13"/>
          <c:tx>
            <c:strRef>
              <c:f>Tools!$DC$75</c:f>
              <c:strCache>
                <c:ptCount val="1"/>
                <c:pt idx="0">
                  <c:v>STN 11</c:v>
                </c:pt>
              </c:strCache>
            </c:strRef>
          </c:tx>
          <c:spPr>
            <a:ln w="3175"/>
          </c:spPr>
          <c:marker>
            <c:symbol val="none"/>
          </c:marker>
          <c:xVal>
            <c:numRef>
              <c:f>Tools!$DJ$111:$EI$111</c:f>
              <c:numCache>
                <c:formatCode>General</c:formatCode>
                <c:ptCount val="26"/>
                <c:pt idx="0">
                  <c:v>#N/A</c:v>
                </c:pt>
                <c:pt idx="1">
                  <c:v>8.6</c:v>
                </c:pt>
                <c:pt idx="2">
                  <c:v>10.65</c:v>
                </c:pt>
                <c:pt idx="3">
                  <c:v>11.62</c:v>
                </c:pt>
                <c:pt idx="4">
                  <c:v>12.04</c:v>
                </c:pt>
                <c:pt idx="5">
                  <c:v>12.21</c:v>
                </c:pt>
                <c:pt idx="6">
                  <c:v>12.25</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Tools!$EL$111:$FK$111</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4"/>
          <c:order val="14"/>
          <c:tx>
            <c:strRef>
              <c:f>Tools!$DC$76</c:f>
              <c:strCache>
                <c:ptCount val="1"/>
                <c:pt idx="0">
                  <c:v>STN 12</c:v>
                </c:pt>
              </c:strCache>
            </c:strRef>
          </c:tx>
          <c:spPr>
            <a:ln w="3175"/>
          </c:spPr>
          <c:marker>
            <c:symbol val="none"/>
          </c:marker>
          <c:xVal>
            <c:numRef>
              <c:f>Tools!$DJ$112:$EI$112</c:f>
              <c:numCache>
                <c:formatCode>General</c:formatCode>
                <c:ptCount val="26"/>
                <c:pt idx="0">
                  <c:v>#N/A</c:v>
                </c:pt>
                <c:pt idx="1">
                  <c:v>7.85</c:v>
                </c:pt>
                <c:pt idx="2">
                  <c:v>10.02</c:v>
                </c:pt>
                <c:pt idx="3">
                  <c:v>11.1</c:v>
                </c:pt>
                <c:pt idx="4">
                  <c:v>11.63</c:v>
                </c:pt>
                <c:pt idx="5">
                  <c:v>11.92</c:v>
                </c:pt>
                <c:pt idx="6">
                  <c:v>12.2</c:v>
                </c:pt>
                <c:pt idx="7">
                  <c:v>12.25</c:v>
                </c:pt>
                <c:pt idx="8">
                  <c:v>12.25</c:v>
                </c:pt>
                <c:pt idx="9">
                  <c:v>12.25</c:v>
                </c:pt>
                <c:pt idx="10">
                  <c:v>12.25</c:v>
                </c:pt>
                <c:pt idx="11">
                  <c:v>12.25</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Tools!$EL$112:$FK$112</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5"/>
          <c:order val="15"/>
          <c:tx>
            <c:strRef>
              <c:f>Tools!$DC$77</c:f>
              <c:strCache>
                <c:ptCount val="1"/>
                <c:pt idx="0">
                  <c:v>STN 13</c:v>
                </c:pt>
              </c:strCache>
            </c:strRef>
          </c:tx>
          <c:spPr>
            <a:ln w="3175">
              <a:solidFill>
                <a:schemeClr val="tx2">
                  <a:lumMod val="60000"/>
                  <a:lumOff val="40000"/>
                </a:schemeClr>
              </a:solidFill>
            </a:ln>
          </c:spPr>
          <c:marker>
            <c:symbol val="none"/>
          </c:marker>
          <c:xVal>
            <c:numRef>
              <c:f>Tools!$DJ$113:$EI$113</c:f>
              <c:numCache>
                <c:formatCode>General</c:formatCode>
                <c:ptCount val="26"/>
                <c:pt idx="0">
                  <c:v>#N/A</c:v>
                </c:pt>
                <c:pt idx="1">
                  <c:v>6.7</c:v>
                </c:pt>
                <c:pt idx="2">
                  <c:v>8.84</c:v>
                </c:pt>
                <c:pt idx="3">
                  <c:v>10.029999999999999</c:v>
                </c:pt>
                <c:pt idx="4">
                  <c:v>10.68</c:v>
                </c:pt>
                <c:pt idx="5">
                  <c:v>11.1</c:v>
                </c:pt>
                <c:pt idx="6">
                  <c:v>11.64</c:v>
                </c:pt>
                <c:pt idx="7">
                  <c:v>11.97</c:v>
                </c:pt>
                <c:pt idx="8">
                  <c:v>12.18</c:v>
                </c:pt>
                <c:pt idx="9">
                  <c:v>12.22</c:v>
                </c:pt>
                <c:pt idx="10">
                  <c:v>12.23</c:v>
                </c:pt>
                <c:pt idx="11">
                  <c:v>12.23</c:v>
                </c:pt>
                <c:pt idx="12">
                  <c:v>12.25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Tools!$EL$113:$FK$113</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6"/>
          <c:order val="16"/>
          <c:tx>
            <c:strRef>
              <c:f>Tools!$DC$78</c:f>
              <c:strCache>
                <c:ptCount val="1"/>
                <c:pt idx="0">
                  <c:v>STN 14</c:v>
                </c:pt>
              </c:strCache>
            </c:strRef>
          </c:tx>
          <c:spPr>
            <a:ln w="3175">
              <a:solidFill>
                <a:schemeClr val="accent4">
                  <a:lumMod val="75000"/>
                </a:schemeClr>
              </a:solidFill>
            </a:ln>
          </c:spPr>
          <c:marker>
            <c:symbol val="none"/>
          </c:marker>
          <c:xVal>
            <c:numRef>
              <c:f>Tools!$DJ$114:$EI$114</c:f>
              <c:numCache>
                <c:formatCode>General</c:formatCode>
                <c:ptCount val="26"/>
                <c:pt idx="0">
                  <c:v>#N/A</c:v>
                </c:pt>
                <c:pt idx="1">
                  <c:v>5.35</c:v>
                </c:pt>
                <c:pt idx="2">
                  <c:v>7.29</c:v>
                </c:pt>
                <c:pt idx="3">
                  <c:v>8.15</c:v>
                </c:pt>
                <c:pt idx="4">
                  <c:v>9.25</c:v>
                </c:pt>
                <c:pt idx="5">
                  <c:v>9.75</c:v>
                </c:pt>
                <c:pt idx="6">
                  <c:v>10.5</c:v>
                </c:pt>
                <c:pt idx="7">
                  <c:v>11.06</c:v>
                </c:pt>
                <c:pt idx="8">
                  <c:v>11.46</c:v>
                </c:pt>
                <c:pt idx="9">
                  <c:v>11.67</c:v>
                </c:pt>
                <c:pt idx="10">
                  <c:v>11.79</c:v>
                </c:pt>
                <c:pt idx="11">
                  <c:v>12.07</c:v>
                </c:pt>
                <c:pt idx="12">
                  <c:v>12.23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Tools!$EL$114:$FK$114</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7"/>
          <c:order val="17"/>
          <c:tx>
            <c:strRef>
              <c:f>Tools!$DC$79</c:f>
              <c:strCache>
                <c:ptCount val="1"/>
                <c:pt idx="0">
                  <c:v>STN 15</c:v>
                </c:pt>
              </c:strCache>
            </c:strRef>
          </c:tx>
          <c:spPr>
            <a:ln w="3175">
              <a:solidFill>
                <a:schemeClr val="accent6">
                  <a:lumMod val="75000"/>
                </a:schemeClr>
              </a:solidFill>
            </a:ln>
          </c:spPr>
          <c:marker>
            <c:symbol val="none"/>
          </c:marker>
          <c:xVal>
            <c:numRef>
              <c:f>Tools!$DJ$115:$EI$115</c:f>
              <c:numCache>
                <c:formatCode>General</c:formatCode>
                <c:ptCount val="26"/>
                <c:pt idx="0">
                  <c:v>#N/A</c:v>
                </c:pt>
                <c:pt idx="1">
                  <c:v>3.8</c:v>
                </c:pt>
                <c:pt idx="2">
                  <c:v>5.65</c:v>
                </c:pt>
                <c:pt idx="3">
                  <c:v>6.8</c:v>
                </c:pt>
                <c:pt idx="4">
                  <c:v>7.54</c:v>
                </c:pt>
                <c:pt idx="5">
                  <c:v>8.08</c:v>
                </c:pt>
                <c:pt idx="6">
                  <c:v>8.91</c:v>
                </c:pt>
                <c:pt idx="7">
                  <c:v>9.64</c:v>
                </c:pt>
                <c:pt idx="8">
                  <c:v>10.26</c:v>
                </c:pt>
                <c:pt idx="9">
                  <c:v>10.6</c:v>
                </c:pt>
                <c:pt idx="10">
                  <c:v>10.8</c:v>
                </c:pt>
                <c:pt idx="11">
                  <c:v>11.29</c:v>
                </c:pt>
                <c:pt idx="12">
                  <c:v>12.15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Tools!$EL$115:$FK$115</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8"/>
          <c:order val="18"/>
          <c:tx>
            <c:strRef>
              <c:f>Tools!$DC$80</c:f>
              <c:strCache>
                <c:ptCount val="1"/>
                <c:pt idx="0">
                  <c:v>STN 16</c:v>
                </c:pt>
              </c:strCache>
            </c:strRef>
          </c:tx>
          <c:spPr>
            <a:ln w="3175">
              <a:solidFill>
                <a:srgbClr val="FF0000"/>
              </a:solidFill>
            </a:ln>
          </c:spPr>
          <c:marker>
            <c:symbol val="none"/>
          </c:marker>
          <c:xVal>
            <c:numRef>
              <c:f>Tools!$DJ$116:$EI$116</c:f>
              <c:numCache>
                <c:formatCode>General</c:formatCode>
                <c:ptCount val="26"/>
                <c:pt idx="0">
                  <c:v>#N/A</c:v>
                </c:pt>
                <c:pt idx="1">
                  <c:v>2.2200000000000002</c:v>
                </c:pt>
                <c:pt idx="2">
                  <c:v>4.05</c:v>
                </c:pt>
                <c:pt idx="3">
                  <c:v>5.0999999999999996</c:v>
                </c:pt>
                <c:pt idx="4">
                  <c:v>5.74</c:v>
                </c:pt>
                <c:pt idx="5">
                  <c:v>6.23</c:v>
                </c:pt>
                <c:pt idx="6">
                  <c:v>7.02</c:v>
                </c:pt>
                <c:pt idx="7">
                  <c:v>7.81</c:v>
                </c:pt>
                <c:pt idx="8">
                  <c:v>8.6300000000000008</c:v>
                </c:pt>
                <c:pt idx="9">
                  <c:v>9.1199999999999992</c:v>
                </c:pt>
                <c:pt idx="10">
                  <c:v>9.43</c:v>
                </c:pt>
                <c:pt idx="11">
                  <c:v>10.199999999999999</c:v>
                </c:pt>
                <c:pt idx="12">
                  <c:v>11.75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Tools!$EL$116:$FK$116</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9"/>
          <c:order val="19"/>
          <c:tx>
            <c:strRef>
              <c:f>Tools!$DC$81</c:f>
              <c:strCache>
                <c:ptCount val="1"/>
                <c:pt idx="0">
                  <c:v>STN 17</c:v>
                </c:pt>
              </c:strCache>
            </c:strRef>
          </c:tx>
          <c:spPr>
            <a:ln w="3175">
              <a:solidFill>
                <a:schemeClr val="tx1"/>
              </a:solidFill>
            </a:ln>
          </c:spPr>
          <c:marker>
            <c:symbol val="none"/>
          </c:marker>
          <c:xVal>
            <c:numRef>
              <c:f>Tools!$DJ$117:$EI$117</c:f>
              <c:numCache>
                <c:formatCode>General</c:formatCode>
                <c:ptCount val="26"/>
                <c:pt idx="0">
                  <c:v>#N/A</c:v>
                </c:pt>
                <c:pt idx="1">
                  <c:v>0.65</c:v>
                </c:pt>
                <c:pt idx="2">
                  <c:v>2.63</c:v>
                </c:pt>
                <c:pt idx="3">
                  <c:v>3.52</c:v>
                </c:pt>
                <c:pt idx="4">
                  <c:v>4.0599999999999996</c:v>
                </c:pt>
                <c:pt idx="5">
                  <c:v>4.43</c:v>
                </c:pt>
                <c:pt idx="6">
                  <c:v>5.03</c:v>
                </c:pt>
                <c:pt idx="7">
                  <c:v>5.69</c:v>
                </c:pt>
                <c:pt idx="8">
                  <c:v>6.59</c:v>
                </c:pt>
                <c:pt idx="9">
                  <c:v>7.22</c:v>
                </c:pt>
                <c:pt idx="10">
                  <c:v>7.64</c:v>
                </c:pt>
                <c:pt idx="11">
                  <c:v>8.73</c:v>
                </c:pt>
                <c:pt idx="12">
                  <c:v>10.94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Tools!$EL$117:$FK$117</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0"/>
          <c:order val="20"/>
          <c:tx>
            <c:strRef>
              <c:f>Tools!$DC$82</c:f>
              <c:strCache>
                <c:ptCount val="1"/>
                <c:pt idx="0">
                  <c:v>STN 18</c:v>
                </c:pt>
              </c:strCache>
            </c:strRef>
          </c:tx>
          <c:spPr>
            <a:ln w="3175">
              <a:solidFill>
                <a:srgbClr val="FF00FF"/>
              </a:solidFill>
            </a:ln>
          </c:spPr>
          <c:marker>
            <c:symbol val="none"/>
          </c:marker>
          <c:xVal>
            <c:numRef>
              <c:f>Tools!$DJ$118:$EI$118</c:f>
              <c:numCache>
                <c:formatCode>General</c:formatCode>
                <c:ptCount val="26"/>
                <c:pt idx="0">
                  <c:v>#N/A</c:v>
                </c:pt>
                <c:pt idx="1">
                  <c:v>0</c:v>
                </c:pt>
                <c:pt idx="2">
                  <c:v>1.49</c:v>
                </c:pt>
                <c:pt idx="3">
                  <c:v>2.23</c:v>
                </c:pt>
                <c:pt idx="4">
                  <c:v>2.69</c:v>
                </c:pt>
                <c:pt idx="5">
                  <c:v>2.97</c:v>
                </c:pt>
                <c:pt idx="6">
                  <c:v>3.25</c:v>
                </c:pt>
                <c:pt idx="7">
                  <c:v>3.51</c:v>
                </c:pt>
                <c:pt idx="8">
                  <c:v>4.28</c:v>
                </c:pt>
                <c:pt idx="9">
                  <c:v>4.97</c:v>
                </c:pt>
                <c:pt idx="10">
                  <c:v>5.47</c:v>
                </c:pt>
                <c:pt idx="11">
                  <c:v>6.84</c:v>
                </c:pt>
                <c:pt idx="12">
                  <c:v>9.77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Tools!$EL$118:$FK$118</c:f>
              <c:numCache>
                <c:formatCode>General</c:formatCode>
                <c:ptCount val="26"/>
                <c:pt idx="0">
                  <c:v>#N/A</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1"/>
          <c:order val="21"/>
          <c:tx>
            <c:strRef>
              <c:f>Tools!$DC$83</c:f>
              <c:strCache>
                <c:ptCount val="1"/>
                <c:pt idx="0">
                  <c:v>STN 18.5</c:v>
                </c:pt>
              </c:strCache>
            </c:strRef>
          </c:tx>
          <c:spPr>
            <a:ln w="3175">
              <a:solidFill>
                <a:schemeClr val="accent3">
                  <a:lumMod val="50000"/>
                </a:schemeClr>
              </a:solidFill>
            </a:ln>
          </c:spPr>
          <c:marker>
            <c:symbol val="none"/>
          </c:marker>
          <c:xVal>
            <c:numRef>
              <c:f>Tools!$DJ$119:$EI$119</c:f>
              <c:numCache>
                <c:formatCode>General</c:formatCode>
                <c:ptCount val="26"/>
                <c:pt idx="0">
                  <c:v>0</c:v>
                </c:pt>
                <c:pt idx="1">
                  <c:v>#N/A</c:v>
                </c:pt>
                <c:pt idx="2">
                  <c:v>1.04</c:v>
                </c:pt>
                <c:pt idx="3">
                  <c:v>1.7</c:v>
                </c:pt>
                <c:pt idx="4">
                  <c:v>2.14</c:v>
                </c:pt>
                <c:pt idx="5">
                  <c:v>2.4</c:v>
                </c:pt>
                <c:pt idx="6">
                  <c:v>2.57</c:v>
                </c:pt>
                <c:pt idx="7">
                  <c:v>2.5499999999999998</c:v>
                </c:pt>
                <c:pt idx="8">
                  <c:v>3.12</c:v>
                </c:pt>
                <c:pt idx="9">
                  <c:v>3.79</c:v>
                </c:pt>
                <c:pt idx="10">
                  <c:v>4.3</c:v>
                </c:pt>
                <c:pt idx="11">
                  <c:v>5.71</c:v>
                </c:pt>
                <c:pt idx="12">
                  <c:v>8.1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Tools!$EL$119:$FK$119</c:f>
              <c:numCache>
                <c:formatCode>General</c:formatCode>
                <c:ptCount val="26"/>
                <c:pt idx="0">
                  <c:v>0.32</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2"/>
          <c:order val="22"/>
          <c:tx>
            <c:strRef>
              <c:f>Tools!$DC$84</c:f>
              <c:strCache>
                <c:ptCount val="1"/>
                <c:pt idx="0">
                  <c:v>STN 19</c:v>
                </c:pt>
              </c:strCache>
            </c:strRef>
          </c:tx>
          <c:spPr>
            <a:ln w="3175">
              <a:solidFill>
                <a:srgbClr val="C00000"/>
              </a:solidFill>
            </a:ln>
          </c:spPr>
          <c:marker>
            <c:symbol val="none"/>
          </c:marker>
          <c:xVal>
            <c:numRef>
              <c:f>Tools!$DJ$20:$EI$20</c:f>
              <c:numCache>
                <c:formatCode>General</c:formatCode>
                <c:ptCount val="26"/>
                <c:pt idx="0">
                  <c:v>0</c:v>
                </c:pt>
              </c:numCache>
            </c:numRef>
          </c:xVal>
          <c:yVal>
            <c:numRef>
              <c:f>Tools!$EL$120:$FK$120</c:f>
              <c:numCache>
                <c:formatCode>General</c:formatCode>
                <c:ptCount val="26"/>
                <c:pt idx="0">
                  <c:v>0.66</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3"/>
          <c:order val="23"/>
          <c:tx>
            <c:strRef>
              <c:f>Tools!$DC$85</c:f>
              <c:strCache>
                <c:ptCount val="1"/>
                <c:pt idx="0">
                  <c:v>STN 19.5</c:v>
                </c:pt>
              </c:strCache>
            </c:strRef>
          </c:tx>
          <c:spPr>
            <a:ln w="3175">
              <a:solidFill>
                <a:schemeClr val="tx2">
                  <a:lumMod val="75000"/>
                </a:schemeClr>
              </a:solidFill>
            </a:ln>
          </c:spPr>
          <c:marker>
            <c:symbol val="none"/>
          </c:marker>
          <c:xVal>
            <c:numRef>
              <c:f>Tools!$DJ$121:$EI$121</c:f>
              <c:numCache>
                <c:formatCode>General</c:formatCode>
                <c:ptCount val="26"/>
                <c:pt idx="0">
                  <c:v>0</c:v>
                </c:pt>
                <c:pt idx="1">
                  <c:v>#N/A</c:v>
                </c:pt>
                <c:pt idx="2">
                  <c:v>#N/A</c:v>
                </c:pt>
                <c:pt idx="3">
                  <c:v>0.86</c:v>
                </c:pt>
                <c:pt idx="4">
                  <c:v>1.29</c:v>
                </c:pt>
                <c:pt idx="5">
                  <c:v>1.6</c:v>
                </c:pt>
                <c:pt idx="6">
                  <c:v>1.77</c:v>
                </c:pt>
                <c:pt idx="7">
                  <c:v>1.31</c:v>
                </c:pt>
                <c:pt idx="8">
                  <c:v>1</c:v>
                </c:pt>
                <c:pt idx="9">
                  <c:v>1.44</c:v>
                </c:pt>
                <c:pt idx="10">
                  <c:v>1.74</c:v>
                </c:pt>
                <c:pt idx="11">
                  <c:v>2.79</c:v>
                </c:pt>
                <c:pt idx="12">
                  <c:v>4.0999999999999996</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Tools!$EL$121:$FK$121</c:f>
              <c:numCache>
                <c:formatCode>General</c:formatCode>
                <c:ptCount val="26"/>
                <c:pt idx="0">
                  <c:v>1</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4"/>
          <c:order val="24"/>
          <c:tx>
            <c:strRef>
              <c:f>Tools!$DC$86</c:f>
              <c:strCache>
                <c:ptCount val="1"/>
                <c:pt idx="0">
                  <c:v>STN 20</c:v>
                </c:pt>
              </c:strCache>
            </c:strRef>
          </c:tx>
          <c:spPr>
            <a:ln w="3175">
              <a:solidFill>
                <a:schemeClr val="accent6">
                  <a:lumMod val="75000"/>
                </a:schemeClr>
              </a:solidFill>
            </a:ln>
          </c:spPr>
          <c:marker>
            <c:symbol val="none"/>
          </c:marker>
          <c:xVal>
            <c:numRef>
              <c:f>Tools!$DJ$122:$EI$122</c:f>
              <c:numCache>
                <c:formatCode>General</c:formatCode>
                <c:ptCount val="26"/>
                <c:pt idx="0">
                  <c:v>0</c:v>
                </c:pt>
                <c:pt idx="1">
                  <c:v>#N/A</c:v>
                </c:pt>
                <c:pt idx="2">
                  <c:v>#N/A</c:v>
                </c:pt>
                <c:pt idx="3">
                  <c:v>#N/A</c:v>
                </c:pt>
                <c:pt idx="4">
                  <c:v>0.76</c:v>
                </c:pt>
                <c:pt idx="5">
                  <c:v>1.1499999999999999</c:v>
                </c:pt>
                <c:pt idx="6">
                  <c:v>1.45</c:v>
                </c:pt>
                <c:pt idx="7">
                  <c:v>1.04</c:v>
                </c:pt>
                <c:pt idx="8">
                  <c:v>0</c:v>
                </c:pt>
                <c:pt idx="9">
                  <c:v>0</c:v>
                </c:pt>
                <c:pt idx="10">
                  <c:v>0.25</c:v>
                </c:pt>
                <c:pt idx="11">
                  <c:v>0.85</c:v>
                </c:pt>
                <c:pt idx="12">
                  <c:v>1.78</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Tools!$EL$122:$FK$122</c:f>
              <c:numCache>
                <c:formatCode>General</c:formatCode>
                <c:ptCount val="26"/>
                <c:pt idx="0">
                  <c:v>2</c:v>
                </c:pt>
                <c:pt idx="1">
                  <c:v>0</c:v>
                </c:pt>
                <c:pt idx="2">
                  <c:v>0.9</c:v>
                </c:pt>
                <c:pt idx="3">
                  <c:v>1.8</c:v>
                </c:pt>
                <c:pt idx="4">
                  <c:v>2.7</c:v>
                </c:pt>
                <c:pt idx="5">
                  <c:v>3.6</c:v>
                </c:pt>
                <c:pt idx="6">
                  <c:v>5.4</c:v>
                </c:pt>
                <c:pt idx="7">
                  <c:v>7.2</c:v>
                </c:pt>
                <c:pt idx="8">
                  <c:v>9</c:v>
                </c:pt>
                <c:pt idx="9">
                  <c:v>10.1</c:v>
                </c:pt>
                <c:pt idx="10">
                  <c:v>10.8</c:v>
                </c:pt>
                <c:pt idx="11">
                  <c:v>12.6</c:v>
                </c:pt>
                <c:pt idx="12">
                  <c:v>14.19</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5"/>
          <c:order val="25"/>
          <c:tx>
            <c:v>a</c:v>
          </c:tx>
          <c:marker>
            <c:symbol val="none"/>
          </c:marker>
          <c:xVal>
            <c:numRef>
              <c:f>Tools!$E$182</c:f>
              <c:numCache>
                <c:formatCode>General</c:formatCode>
                <c:ptCount val="1"/>
              </c:numCache>
            </c:numRef>
          </c:xVal>
          <c:yVal>
            <c:numRef>
              <c:f>Tools!$F$182</c:f>
              <c:numCache>
                <c:formatCode>General</c:formatCode>
                <c:ptCount val="1"/>
              </c:numCache>
            </c:numRef>
          </c:yVal>
          <c:smooth val="1"/>
        </c:ser>
        <c:ser>
          <c:idx val="26"/>
          <c:order val="26"/>
          <c:tx>
            <c:strRef>
              <c:f>Tools!$CP$62</c:f>
              <c:strCache>
                <c:ptCount val="1"/>
                <c:pt idx="0">
                  <c:v>WL 0</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Tools!$CQ$62:$CR$62</c:f>
              <c:numCache>
                <c:formatCode>General</c:formatCode>
                <c:ptCount val="2"/>
                <c:pt idx="0">
                  <c:v>0</c:v>
                </c:pt>
                <c:pt idx="1">
                  <c:v>0</c:v>
                </c:pt>
              </c:numCache>
            </c:numRef>
          </c:yVal>
          <c:smooth val="1"/>
        </c:ser>
        <c:ser>
          <c:idx val="27"/>
          <c:order val="27"/>
          <c:tx>
            <c:strRef>
              <c:f>Tools!$CP$63</c:f>
              <c:strCache>
                <c:ptCount val="1"/>
                <c:pt idx="0">
                  <c:v>WL 0.5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Tools!$CQ$63:$CR$63</c:f>
              <c:numCache>
                <c:formatCode>General</c:formatCode>
                <c:ptCount val="2"/>
                <c:pt idx="0">
                  <c:v>0.9</c:v>
                </c:pt>
                <c:pt idx="1">
                  <c:v>0.9</c:v>
                </c:pt>
              </c:numCache>
            </c:numRef>
          </c:yVal>
          <c:smooth val="1"/>
        </c:ser>
        <c:ser>
          <c:idx val="28"/>
          <c:order val="28"/>
          <c:tx>
            <c:strRef>
              <c:f>Tools!$CP$64</c:f>
              <c:strCache>
                <c:ptCount val="1"/>
                <c:pt idx="0">
                  <c:v>WL 1</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Tools!$CQ$64:$CR$64</c:f>
              <c:numCache>
                <c:formatCode>General</c:formatCode>
                <c:ptCount val="2"/>
                <c:pt idx="0">
                  <c:v>1.8</c:v>
                </c:pt>
                <c:pt idx="1">
                  <c:v>1.8</c:v>
                </c:pt>
              </c:numCache>
            </c:numRef>
          </c:yVal>
          <c:smooth val="1"/>
        </c:ser>
        <c:ser>
          <c:idx val="29"/>
          <c:order val="29"/>
          <c:tx>
            <c:strRef>
              <c:f>Tools!$CP$65</c:f>
              <c:strCache>
                <c:ptCount val="1"/>
                <c:pt idx="0">
                  <c:v>WL 1.5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Tools!$CQ$65:$CR$65</c:f>
              <c:numCache>
                <c:formatCode>General</c:formatCode>
                <c:ptCount val="2"/>
                <c:pt idx="0">
                  <c:v>2.7</c:v>
                </c:pt>
                <c:pt idx="1">
                  <c:v>2.7</c:v>
                </c:pt>
              </c:numCache>
            </c:numRef>
          </c:yVal>
          <c:smooth val="1"/>
        </c:ser>
        <c:ser>
          <c:idx val="30"/>
          <c:order val="30"/>
          <c:tx>
            <c:strRef>
              <c:f>Tools!$CP$66</c:f>
              <c:strCache>
                <c:ptCount val="1"/>
                <c:pt idx="0">
                  <c:v>WL 2</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Tools!$CQ$66:$CR$66</c:f>
              <c:numCache>
                <c:formatCode>General</c:formatCode>
                <c:ptCount val="2"/>
                <c:pt idx="0">
                  <c:v>3.6</c:v>
                </c:pt>
                <c:pt idx="1">
                  <c:v>3.6</c:v>
                </c:pt>
              </c:numCache>
            </c:numRef>
          </c:yVal>
          <c:smooth val="1"/>
        </c:ser>
        <c:ser>
          <c:idx val="31"/>
          <c:order val="31"/>
          <c:tx>
            <c:strRef>
              <c:f>Tools!$CP$67</c:f>
              <c:strCache>
                <c:ptCount val="1"/>
                <c:pt idx="0">
                  <c:v>WL 3</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Tools!$CQ$67:$CR$67</c:f>
              <c:numCache>
                <c:formatCode>General</c:formatCode>
                <c:ptCount val="2"/>
                <c:pt idx="0">
                  <c:v>5.4</c:v>
                </c:pt>
                <c:pt idx="1">
                  <c:v>5.4</c:v>
                </c:pt>
              </c:numCache>
            </c:numRef>
          </c:yVal>
          <c:smooth val="1"/>
        </c:ser>
        <c:ser>
          <c:idx val="32"/>
          <c:order val="32"/>
          <c:tx>
            <c:strRef>
              <c:f>Tools!$CP$68</c:f>
              <c:strCache>
                <c:ptCount val="1"/>
                <c:pt idx="0">
                  <c:v>WL 4</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Tools!$CQ$68:$CR$68</c:f>
              <c:numCache>
                <c:formatCode>General</c:formatCode>
                <c:ptCount val="2"/>
                <c:pt idx="0">
                  <c:v>7.2</c:v>
                </c:pt>
                <c:pt idx="1">
                  <c:v>7.2</c:v>
                </c:pt>
              </c:numCache>
            </c:numRef>
          </c:yVal>
          <c:smooth val="1"/>
        </c:ser>
        <c:ser>
          <c:idx val="33"/>
          <c:order val="33"/>
          <c:tx>
            <c:strRef>
              <c:f>Tools!$CP$69</c:f>
              <c:strCache>
                <c:ptCount val="1"/>
                <c:pt idx="0">
                  <c:v>WL 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Tools!$CQ$69:$CR$69</c:f>
              <c:numCache>
                <c:formatCode>General</c:formatCode>
                <c:ptCount val="2"/>
                <c:pt idx="0">
                  <c:v>9</c:v>
                </c:pt>
                <c:pt idx="1">
                  <c:v>9</c:v>
                </c:pt>
              </c:numCache>
            </c:numRef>
          </c:yVal>
          <c:smooth val="1"/>
        </c:ser>
        <c:ser>
          <c:idx val="34"/>
          <c:order val="34"/>
          <c:tx>
            <c:strRef>
              <c:f>Tools!$CP$70</c:f>
              <c:strCache>
                <c:ptCount val="1"/>
                <c:pt idx="0">
                  <c:v>LWL</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Tools!$CQ$70:$CR$70</c:f>
              <c:numCache>
                <c:formatCode>General</c:formatCode>
                <c:ptCount val="2"/>
                <c:pt idx="0">
                  <c:v>10.1</c:v>
                </c:pt>
                <c:pt idx="1">
                  <c:v>10.1</c:v>
                </c:pt>
              </c:numCache>
            </c:numRef>
          </c:yVal>
          <c:smooth val="1"/>
        </c:ser>
        <c:ser>
          <c:idx val="35"/>
          <c:order val="35"/>
          <c:tx>
            <c:strRef>
              <c:f>Tools!$CP$71</c:f>
              <c:strCache>
                <c:ptCount val="1"/>
                <c:pt idx="0">
                  <c:v>WL 6</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Tools!$CQ$71:$CR$71</c:f>
              <c:numCache>
                <c:formatCode>General</c:formatCode>
                <c:ptCount val="2"/>
                <c:pt idx="0">
                  <c:v>10.8</c:v>
                </c:pt>
                <c:pt idx="1">
                  <c:v>10.8</c:v>
                </c:pt>
              </c:numCache>
            </c:numRef>
          </c:yVal>
          <c:smooth val="1"/>
        </c:ser>
        <c:ser>
          <c:idx val="36"/>
          <c:order val="36"/>
          <c:tx>
            <c:strRef>
              <c:f>Tools!$CP$72</c:f>
              <c:strCache>
                <c:ptCount val="1"/>
                <c:pt idx="0">
                  <c:v>WL 7</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Tools!$CQ$72:$CR$72</c:f>
              <c:numCache>
                <c:formatCode>General</c:formatCode>
                <c:ptCount val="2"/>
                <c:pt idx="0">
                  <c:v>12.6</c:v>
                </c:pt>
                <c:pt idx="1">
                  <c:v>12.6</c:v>
                </c:pt>
              </c:numCache>
            </c:numRef>
          </c:yVal>
          <c:smooth val="1"/>
        </c:ser>
        <c:ser>
          <c:idx val="37"/>
          <c:order val="37"/>
          <c:tx>
            <c:strRef>
              <c:f>Tools!$CP$73</c:f>
              <c:strCache>
                <c:ptCount val="1"/>
                <c:pt idx="0">
                  <c:v>MDK</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Tools!$CQ$73:$CR$73</c:f>
              <c:numCache>
                <c:formatCode>General</c:formatCode>
                <c:ptCount val="2"/>
                <c:pt idx="0">
                  <c:v>14.19</c:v>
                </c:pt>
                <c:pt idx="1">
                  <c:v>14.19</c:v>
                </c:pt>
              </c:numCache>
            </c:numRef>
          </c:yVal>
          <c:smooth val="1"/>
        </c:ser>
        <c:ser>
          <c:idx val="38"/>
          <c:order val="38"/>
          <c:tx>
            <c:strRef>
              <c:f>Tools!$CP$74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Tools!$CQ$74:$CR$74</c:f>
              <c:numCache>
                <c:formatCode>General</c:formatCode>
                <c:ptCount val="2"/>
                <c:pt idx="0">
                  <c:v>0</c:v>
                </c:pt>
                <c:pt idx="1">
                  <c:v>0</c:v>
                </c:pt>
              </c:numCache>
            </c:numRef>
          </c:yVal>
          <c:smooth val="1"/>
        </c:ser>
        <c:ser>
          <c:idx val="39"/>
          <c:order val="39"/>
          <c:tx>
            <c:strRef>
              <c:f>Tools!$CP$75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Tools!$CQ$75:$CR$75</c:f>
              <c:numCache>
                <c:formatCode>General</c:formatCode>
                <c:ptCount val="2"/>
                <c:pt idx="0">
                  <c:v>0</c:v>
                </c:pt>
                <c:pt idx="1">
                  <c:v>0</c:v>
                </c:pt>
              </c:numCache>
            </c:numRef>
          </c:yVal>
          <c:smooth val="1"/>
        </c:ser>
        <c:ser>
          <c:idx val="40"/>
          <c:order val="40"/>
          <c:tx>
            <c:strRef>
              <c:f>Tools!$CP$76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Tools!$CQ$76:$CR$76</c:f>
              <c:numCache>
                <c:formatCode>General</c:formatCode>
                <c:ptCount val="2"/>
                <c:pt idx="0">
                  <c:v>0</c:v>
                </c:pt>
                <c:pt idx="1">
                  <c:v>0</c:v>
                </c:pt>
              </c:numCache>
            </c:numRef>
          </c:yVal>
          <c:smooth val="1"/>
        </c:ser>
        <c:ser>
          <c:idx val="41"/>
          <c:order val="41"/>
          <c:tx>
            <c:strRef>
              <c:f>Tools!$CP$77</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Tools!$CQ$77:$CR$77</c:f>
              <c:numCache>
                <c:formatCode>General</c:formatCode>
                <c:ptCount val="2"/>
                <c:pt idx="0">
                  <c:v>0</c:v>
                </c:pt>
                <c:pt idx="1">
                  <c:v>0</c:v>
                </c:pt>
              </c:numCache>
            </c:numRef>
          </c:yVal>
          <c:smooth val="1"/>
        </c:ser>
        <c:ser>
          <c:idx val="42"/>
          <c:order val="42"/>
          <c:tx>
            <c:strRef>
              <c:f>Tools!$CP$78</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Tools!$CQ$78:$CR$78</c:f>
              <c:numCache>
                <c:formatCode>General</c:formatCode>
                <c:ptCount val="2"/>
                <c:pt idx="0">
                  <c:v>0</c:v>
                </c:pt>
                <c:pt idx="1">
                  <c:v>0</c:v>
                </c:pt>
              </c:numCache>
            </c:numRef>
          </c:yVal>
          <c:smooth val="1"/>
        </c:ser>
        <c:ser>
          <c:idx val="43"/>
          <c:order val="43"/>
          <c:tx>
            <c:strRef>
              <c:f>Tools!$CP$79</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Tools!$CQ$79:$CR$79</c:f>
              <c:numCache>
                <c:formatCode>General</c:formatCode>
                <c:ptCount val="2"/>
                <c:pt idx="0">
                  <c:v>0</c:v>
                </c:pt>
                <c:pt idx="1">
                  <c:v>0</c:v>
                </c:pt>
              </c:numCache>
            </c:numRef>
          </c:yVal>
          <c:smooth val="1"/>
        </c:ser>
        <c:ser>
          <c:idx val="44"/>
          <c:order val="44"/>
          <c:tx>
            <c:strRef>
              <c:f>Tools!$CP$80</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Tools!$CQ$80:$CR$80</c:f>
              <c:numCache>
                <c:formatCode>General</c:formatCode>
                <c:ptCount val="2"/>
                <c:pt idx="0">
                  <c:v>0</c:v>
                </c:pt>
                <c:pt idx="1">
                  <c:v>0</c:v>
                </c:pt>
              </c:numCache>
            </c:numRef>
          </c:yVal>
          <c:smooth val="1"/>
        </c:ser>
        <c:ser>
          <c:idx val="45"/>
          <c:order val="45"/>
          <c:tx>
            <c:strRef>
              <c:f>Tools!$CP$81</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Tools!$CQ$81:$CR$81</c:f>
              <c:numCache>
                <c:formatCode>General</c:formatCode>
                <c:ptCount val="2"/>
                <c:pt idx="0">
                  <c:v>0</c:v>
                </c:pt>
                <c:pt idx="1">
                  <c:v>0</c:v>
                </c:pt>
              </c:numCache>
            </c:numRef>
          </c:yVal>
          <c:smooth val="1"/>
        </c:ser>
        <c:ser>
          <c:idx val="46"/>
          <c:order val="46"/>
          <c:tx>
            <c:strRef>
              <c:f>Tools!$CP$82</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Tools!$CQ$82:$CR$82</c:f>
              <c:numCache>
                <c:formatCode>General</c:formatCode>
                <c:ptCount val="2"/>
                <c:pt idx="0">
                  <c:v>0</c:v>
                </c:pt>
                <c:pt idx="1">
                  <c:v>0</c:v>
                </c:pt>
              </c:numCache>
            </c:numRef>
          </c:yVal>
          <c:smooth val="1"/>
        </c:ser>
        <c:ser>
          <c:idx val="47"/>
          <c:order val="47"/>
          <c:tx>
            <c:strRef>
              <c:f>Tools!$CP$83</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Tools!$CQ$83:$CR$83</c:f>
              <c:numCache>
                <c:formatCode>General</c:formatCode>
                <c:ptCount val="2"/>
                <c:pt idx="0">
                  <c:v>0</c:v>
                </c:pt>
                <c:pt idx="1">
                  <c:v>0</c:v>
                </c:pt>
              </c:numCache>
            </c:numRef>
          </c:yVal>
          <c:smooth val="1"/>
        </c:ser>
        <c:ser>
          <c:idx val="48"/>
          <c:order val="48"/>
          <c:tx>
            <c:strRef>
              <c:f>Tools!$CP$84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Tools!$CQ$84:$CR$84</c:f>
              <c:numCache>
                <c:formatCode>General</c:formatCode>
                <c:ptCount val="2"/>
                <c:pt idx="0">
                  <c:v>0</c:v>
                </c:pt>
                <c:pt idx="1">
                  <c:v>0</c:v>
                </c:pt>
              </c:numCache>
            </c:numRef>
          </c:yVal>
          <c:smooth val="1"/>
        </c:ser>
        <c:ser>
          <c:idx val="49"/>
          <c:order val="49"/>
          <c:tx>
            <c:strRef>
              <c:f>Tools!$CP$85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Tools!$CQ$85:$CR$85</c:f>
              <c:numCache>
                <c:formatCode>General</c:formatCode>
                <c:ptCount val="2"/>
                <c:pt idx="0">
                  <c:v>0</c:v>
                </c:pt>
                <c:pt idx="1">
                  <c:v>0</c:v>
                </c:pt>
              </c:numCache>
            </c:numRef>
          </c:yVal>
          <c:smooth val="1"/>
        </c:ser>
        <c:ser>
          <c:idx val="50"/>
          <c:order val="50"/>
          <c:tx>
            <c:strRef>
              <c:f>Tools!$CP$86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Tools!$CQ$86:$CR$86</c:f>
              <c:numCache>
                <c:formatCode>General</c:formatCode>
                <c:ptCount val="2"/>
                <c:pt idx="0">
                  <c:v>0</c:v>
                </c:pt>
                <c:pt idx="1">
                  <c:v>0</c:v>
                </c:pt>
              </c:numCache>
            </c:numRef>
          </c:yVal>
          <c:smooth val="1"/>
        </c:ser>
        <c:ser>
          <c:idx val="51"/>
          <c:order val="51"/>
          <c:tx>
            <c:strRef>
              <c:f>Tools!$CV$62</c:f>
              <c:strCache>
                <c:ptCount val="1"/>
                <c:pt idx="0">
                  <c:v>BTK 1</c:v>
                </c:pt>
              </c:strCache>
            </c:strRef>
          </c:tx>
          <c:spPr>
            <a:ln w="3175">
              <a:solidFill>
                <a:schemeClr val="bg1">
                  <a:lumMod val="75000"/>
                </a:schemeClr>
              </a:solidFill>
            </a:ln>
          </c:spPr>
          <c:marker>
            <c:symbol val="none"/>
          </c:marker>
          <c:xVal>
            <c:numRef>
              <c:f>Tools!$CW$62:$CX$62</c:f>
              <c:numCache>
                <c:formatCode>General</c:formatCode>
                <c:ptCount val="2"/>
                <c:pt idx="0">
                  <c:v>-4.083333333333333</c:v>
                </c:pt>
                <c:pt idx="1">
                  <c:v>-4.083333333333333</c:v>
                </c:pt>
              </c:numCache>
            </c:numRef>
          </c:xVal>
          <c:yVal>
            <c:numRef>
              <c:f>Tools!$CW$61:$CX$61</c:f>
              <c:numCache>
                <c:formatCode>General</c:formatCode>
                <c:ptCount val="2"/>
                <c:pt idx="0">
                  <c:v>0</c:v>
                </c:pt>
                <c:pt idx="1">
                  <c:v>14.19</c:v>
                </c:pt>
              </c:numCache>
            </c:numRef>
          </c:yVal>
          <c:smooth val="1"/>
        </c:ser>
        <c:ser>
          <c:idx val="52"/>
          <c:order val="52"/>
          <c:tx>
            <c:strRef>
              <c:f>Tools!$CV$63</c:f>
              <c:strCache>
                <c:ptCount val="1"/>
                <c:pt idx="0">
                  <c:v>BTK 2</c:v>
                </c:pt>
              </c:strCache>
            </c:strRef>
          </c:tx>
          <c:spPr>
            <a:ln w="3175">
              <a:solidFill>
                <a:schemeClr val="bg1">
                  <a:lumMod val="75000"/>
                </a:schemeClr>
              </a:solidFill>
            </a:ln>
          </c:spPr>
          <c:marker>
            <c:symbol val="none"/>
          </c:marker>
          <c:xVal>
            <c:numRef>
              <c:f>Tools!$CW$63:$CX$63</c:f>
              <c:numCache>
                <c:formatCode>General</c:formatCode>
                <c:ptCount val="2"/>
                <c:pt idx="0">
                  <c:v>-8.1666666666666661</c:v>
                </c:pt>
                <c:pt idx="1">
                  <c:v>-8.1666666666666661</c:v>
                </c:pt>
              </c:numCache>
            </c:numRef>
          </c:xVal>
          <c:yVal>
            <c:numRef>
              <c:f>Tools!$CW$61:$CX$61</c:f>
              <c:numCache>
                <c:formatCode>General</c:formatCode>
                <c:ptCount val="2"/>
                <c:pt idx="0">
                  <c:v>0</c:v>
                </c:pt>
                <c:pt idx="1">
                  <c:v>14.19</c:v>
                </c:pt>
              </c:numCache>
            </c:numRef>
          </c:yVal>
          <c:smooth val="1"/>
        </c:ser>
        <c:ser>
          <c:idx val="53"/>
          <c:order val="53"/>
          <c:tx>
            <c:strRef>
              <c:f>Tools!$CV$64</c:f>
              <c:strCache>
                <c:ptCount val="1"/>
                <c:pt idx="0">
                  <c:v>SIDE</c:v>
                </c:pt>
              </c:strCache>
            </c:strRef>
          </c:tx>
          <c:spPr>
            <a:ln w="3175">
              <a:solidFill>
                <a:schemeClr val="bg1">
                  <a:lumMod val="75000"/>
                </a:schemeClr>
              </a:solidFill>
            </a:ln>
          </c:spPr>
          <c:marker>
            <c:symbol val="none"/>
          </c:marker>
          <c:xVal>
            <c:numRef>
              <c:f>Tools!$CW$64:$CX$64</c:f>
              <c:numCache>
                <c:formatCode>General</c:formatCode>
                <c:ptCount val="2"/>
                <c:pt idx="0">
                  <c:v>-12.25</c:v>
                </c:pt>
                <c:pt idx="1">
                  <c:v>-12.25</c:v>
                </c:pt>
              </c:numCache>
            </c:numRef>
          </c:xVal>
          <c:yVal>
            <c:numRef>
              <c:f>Tools!$CW$61:$CX$61</c:f>
              <c:numCache>
                <c:formatCode>General</c:formatCode>
                <c:ptCount val="2"/>
                <c:pt idx="0">
                  <c:v>0</c:v>
                </c:pt>
                <c:pt idx="1">
                  <c:v>14.19</c:v>
                </c:pt>
              </c:numCache>
            </c:numRef>
          </c:yVal>
          <c:smooth val="1"/>
        </c:ser>
        <c:ser>
          <c:idx val="54"/>
          <c:order val="54"/>
          <c:tx>
            <c:strRef>
              <c:f>Tools!$CV$65</c:f>
              <c:strCache>
                <c:ptCount val="1"/>
                <c:pt idx="0">
                  <c:v> </c:v>
                </c:pt>
              </c:strCache>
            </c:strRef>
          </c:tx>
          <c:spPr>
            <a:ln w="3175">
              <a:solidFill>
                <a:schemeClr val="bg1">
                  <a:lumMod val="75000"/>
                </a:schemeClr>
              </a:solidFill>
            </a:ln>
          </c:spPr>
          <c:marker>
            <c:symbol val="none"/>
          </c:marker>
          <c:xVal>
            <c:numRef>
              <c:f>Tools!$CW$65:$CX$65</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5"/>
          <c:order val="55"/>
          <c:tx>
            <c:strRef>
              <c:f>Tools!$CV$66</c:f>
              <c:strCache>
                <c:ptCount val="1"/>
                <c:pt idx="0">
                  <c:v> </c:v>
                </c:pt>
              </c:strCache>
            </c:strRef>
          </c:tx>
          <c:spPr>
            <a:ln w="3175">
              <a:solidFill>
                <a:schemeClr val="bg1">
                  <a:lumMod val="75000"/>
                </a:schemeClr>
              </a:solidFill>
            </a:ln>
          </c:spPr>
          <c:marker>
            <c:symbol val="none"/>
          </c:marker>
          <c:xVal>
            <c:numRef>
              <c:f>Tools!$CW$66:$CX$66</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6"/>
          <c:order val="56"/>
          <c:tx>
            <c:strRef>
              <c:f>Tools!$CV$67</c:f>
              <c:strCache>
                <c:ptCount val="1"/>
                <c:pt idx="0">
                  <c:v> </c:v>
                </c:pt>
              </c:strCache>
            </c:strRef>
          </c:tx>
          <c:spPr>
            <a:ln w="3175">
              <a:solidFill>
                <a:schemeClr val="bg1">
                  <a:lumMod val="75000"/>
                </a:schemeClr>
              </a:solidFill>
            </a:ln>
          </c:spPr>
          <c:marker>
            <c:symbol val="none"/>
          </c:marker>
          <c:xVal>
            <c:numRef>
              <c:f>Tools!$CW$67:$CX$67</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7"/>
          <c:order val="57"/>
          <c:tx>
            <c:strRef>
              <c:f>Tools!$CV$68</c:f>
              <c:strCache>
                <c:ptCount val="1"/>
                <c:pt idx="0">
                  <c:v> </c:v>
                </c:pt>
              </c:strCache>
            </c:strRef>
          </c:tx>
          <c:spPr>
            <a:ln w="3175">
              <a:solidFill>
                <a:schemeClr val="bg1">
                  <a:lumMod val="75000"/>
                </a:schemeClr>
              </a:solidFill>
            </a:ln>
          </c:spPr>
          <c:marker>
            <c:symbol val="none"/>
          </c:marker>
          <c:xVal>
            <c:numRef>
              <c:f>Tools!$CW$68:$CX$68</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8"/>
          <c:order val="58"/>
          <c:tx>
            <c:strRef>
              <c:f>Tools!$CV$69</c:f>
              <c:strCache>
                <c:ptCount val="1"/>
                <c:pt idx="0">
                  <c:v> </c:v>
                </c:pt>
              </c:strCache>
            </c:strRef>
          </c:tx>
          <c:spPr>
            <a:ln w="3175">
              <a:solidFill>
                <a:schemeClr val="bg1">
                  <a:lumMod val="75000"/>
                </a:schemeClr>
              </a:solidFill>
            </a:ln>
          </c:spPr>
          <c:marker>
            <c:symbol val="none"/>
          </c:marker>
          <c:xVal>
            <c:numRef>
              <c:f>Tools!$CW$69:$CX$69</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9"/>
          <c:order val="59"/>
          <c:tx>
            <c:strRef>
              <c:f>Tools!$CV$70</c:f>
              <c:strCache>
                <c:ptCount val="1"/>
                <c:pt idx="0">
                  <c:v> </c:v>
                </c:pt>
              </c:strCache>
            </c:strRef>
          </c:tx>
          <c:spPr>
            <a:ln w="3175">
              <a:solidFill>
                <a:schemeClr val="bg1">
                  <a:lumMod val="75000"/>
                </a:schemeClr>
              </a:solidFill>
            </a:ln>
          </c:spPr>
          <c:marker>
            <c:symbol val="none"/>
          </c:marker>
          <c:xVal>
            <c:numRef>
              <c:f>Tools!$CW$70:$CX$70</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0"/>
          <c:order val="60"/>
          <c:tx>
            <c:strRef>
              <c:f>Tools!$CV$71</c:f>
              <c:strCache>
                <c:ptCount val="1"/>
                <c:pt idx="0">
                  <c:v> </c:v>
                </c:pt>
              </c:strCache>
            </c:strRef>
          </c:tx>
          <c:spPr>
            <a:ln w="3175">
              <a:solidFill>
                <a:schemeClr val="bg1">
                  <a:lumMod val="75000"/>
                </a:schemeClr>
              </a:solidFill>
            </a:ln>
          </c:spPr>
          <c:marker>
            <c:symbol val="none"/>
          </c:marker>
          <c:xVal>
            <c:numRef>
              <c:f>Tools!$CW$71:$CX$71</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1"/>
          <c:order val="61"/>
          <c:tx>
            <c:strRef>
              <c:f>Tools!$CV$72</c:f>
              <c:strCache>
                <c:ptCount val="1"/>
                <c:pt idx="0">
                  <c:v>CL</c:v>
                </c:pt>
              </c:strCache>
            </c:strRef>
          </c:tx>
          <c:spPr>
            <a:ln w="3175">
              <a:solidFill>
                <a:schemeClr val="bg1">
                  <a:lumMod val="75000"/>
                </a:schemeClr>
              </a:solidFill>
            </a:ln>
          </c:spPr>
          <c:marker>
            <c:symbol val="none"/>
          </c:marker>
          <c:xVal>
            <c:numRef>
              <c:f>Tools!$CW$72:$CX$72</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2"/>
          <c:order val="62"/>
          <c:tx>
            <c:strRef>
              <c:f>Tools!$CV$62</c:f>
              <c:strCache>
                <c:ptCount val="1"/>
                <c:pt idx="0">
                  <c:v>BTK 1</c:v>
                </c:pt>
              </c:strCache>
            </c:strRef>
          </c:tx>
          <c:spPr>
            <a:ln w="3175">
              <a:solidFill>
                <a:schemeClr val="bg1">
                  <a:lumMod val="75000"/>
                </a:schemeClr>
              </a:solidFill>
            </a:ln>
          </c:spPr>
          <c:marker>
            <c:symbol val="none"/>
          </c:marker>
          <c:xVal>
            <c:numRef>
              <c:f>Tools!$CY$62:$CZ$62</c:f>
              <c:numCache>
                <c:formatCode>General</c:formatCode>
                <c:ptCount val="2"/>
                <c:pt idx="0">
                  <c:v>4.083333333333333</c:v>
                </c:pt>
                <c:pt idx="1">
                  <c:v>4.083333333333333</c:v>
                </c:pt>
              </c:numCache>
            </c:numRef>
          </c:xVal>
          <c:yVal>
            <c:numRef>
              <c:f>Tools!$CW$61:$CX$61</c:f>
              <c:numCache>
                <c:formatCode>General</c:formatCode>
                <c:ptCount val="2"/>
                <c:pt idx="0">
                  <c:v>0</c:v>
                </c:pt>
                <c:pt idx="1">
                  <c:v>14.19</c:v>
                </c:pt>
              </c:numCache>
            </c:numRef>
          </c:yVal>
          <c:smooth val="1"/>
        </c:ser>
        <c:ser>
          <c:idx val="63"/>
          <c:order val="63"/>
          <c:tx>
            <c:strRef>
              <c:f>Tools!$CV$63</c:f>
              <c:strCache>
                <c:ptCount val="1"/>
                <c:pt idx="0">
                  <c:v>BTK 2</c:v>
                </c:pt>
              </c:strCache>
            </c:strRef>
          </c:tx>
          <c:spPr>
            <a:ln w="3175">
              <a:solidFill>
                <a:schemeClr val="bg1">
                  <a:lumMod val="75000"/>
                </a:schemeClr>
              </a:solidFill>
            </a:ln>
          </c:spPr>
          <c:marker>
            <c:symbol val="none"/>
          </c:marker>
          <c:xVal>
            <c:numRef>
              <c:f>Tools!$CY$63:$CZ$63</c:f>
              <c:numCache>
                <c:formatCode>General</c:formatCode>
                <c:ptCount val="2"/>
                <c:pt idx="0">
                  <c:v>8.1666666666666661</c:v>
                </c:pt>
                <c:pt idx="1">
                  <c:v>8.1666666666666661</c:v>
                </c:pt>
              </c:numCache>
            </c:numRef>
          </c:xVal>
          <c:yVal>
            <c:numRef>
              <c:f>Tools!$CW$61:$CX$61</c:f>
              <c:numCache>
                <c:formatCode>General</c:formatCode>
                <c:ptCount val="2"/>
                <c:pt idx="0">
                  <c:v>0</c:v>
                </c:pt>
                <c:pt idx="1">
                  <c:v>14.19</c:v>
                </c:pt>
              </c:numCache>
            </c:numRef>
          </c:yVal>
          <c:smooth val="1"/>
        </c:ser>
        <c:ser>
          <c:idx val="64"/>
          <c:order val="64"/>
          <c:tx>
            <c:strRef>
              <c:f>Tools!$CV$64</c:f>
              <c:strCache>
                <c:ptCount val="1"/>
                <c:pt idx="0">
                  <c:v>SIDE</c:v>
                </c:pt>
              </c:strCache>
            </c:strRef>
          </c:tx>
          <c:spPr>
            <a:ln w="3175">
              <a:solidFill>
                <a:schemeClr val="bg1">
                  <a:lumMod val="75000"/>
                </a:schemeClr>
              </a:solidFill>
            </a:ln>
          </c:spPr>
          <c:marker>
            <c:symbol val="none"/>
          </c:marker>
          <c:xVal>
            <c:numRef>
              <c:f>Tools!$CY$64:$CZ$64</c:f>
              <c:numCache>
                <c:formatCode>General</c:formatCode>
                <c:ptCount val="2"/>
                <c:pt idx="0">
                  <c:v>12.25</c:v>
                </c:pt>
                <c:pt idx="1">
                  <c:v>12.25</c:v>
                </c:pt>
              </c:numCache>
            </c:numRef>
          </c:xVal>
          <c:yVal>
            <c:numRef>
              <c:f>Tools!$CW$61:$CX$61</c:f>
              <c:numCache>
                <c:formatCode>General</c:formatCode>
                <c:ptCount val="2"/>
                <c:pt idx="0">
                  <c:v>0</c:v>
                </c:pt>
                <c:pt idx="1">
                  <c:v>14.19</c:v>
                </c:pt>
              </c:numCache>
            </c:numRef>
          </c:yVal>
          <c:smooth val="1"/>
        </c:ser>
        <c:ser>
          <c:idx val="65"/>
          <c:order val="65"/>
          <c:tx>
            <c:strRef>
              <c:f>Tools!$CV$65</c:f>
              <c:strCache>
                <c:ptCount val="1"/>
                <c:pt idx="0">
                  <c:v> </c:v>
                </c:pt>
              </c:strCache>
            </c:strRef>
          </c:tx>
          <c:spPr>
            <a:ln w="3175">
              <a:solidFill>
                <a:schemeClr val="bg1">
                  <a:lumMod val="75000"/>
                </a:schemeClr>
              </a:solidFill>
            </a:ln>
          </c:spPr>
          <c:marker>
            <c:symbol val="none"/>
          </c:marker>
          <c:xVal>
            <c:numRef>
              <c:f>Tools!$CY$65:$CZ$65</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6"/>
          <c:order val="66"/>
          <c:tx>
            <c:strRef>
              <c:f>Tools!$CV$66</c:f>
              <c:strCache>
                <c:ptCount val="1"/>
                <c:pt idx="0">
                  <c:v> </c:v>
                </c:pt>
              </c:strCache>
            </c:strRef>
          </c:tx>
          <c:spPr>
            <a:ln w="3175">
              <a:solidFill>
                <a:schemeClr val="bg1">
                  <a:lumMod val="75000"/>
                </a:schemeClr>
              </a:solidFill>
            </a:ln>
          </c:spPr>
          <c:marker>
            <c:symbol val="none"/>
          </c:marker>
          <c:xVal>
            <c:numRef>
              <c:f>Tools!$CY$66:$CZ$66</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7"/>
          <c:order val="67"/>
          <c:tx>
            <c:strRef>
              <c:f>Tools!$CV$67</c:f>
              <c:strCache>
                <c:ptCount val="1"/>
                <c:pt idx="0">
                  <c:v> </c:v>
                </c:pt>
              </c:strCache>
            </c:strRef>
          </c:tx>
          <c:spPr>
            <a:ln w="3175">
              <a:solidFill>
                <a:schemeClr val="bg1">
                  <a:lumMod val="75000"/>
                </a:schemeClr>
              </a:solidFill>
            </a:ln>
          </c:spPr>
          <c:marker>
            <c:symbol val="none"/>
          </c:marker>
          <c:xVal>
            <c:numRef>
              <c:f>Tools!$CY$67:$CZ$67</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8"/>
          <c:order val="68"/>
          <c:tx>
            <c:strRef>
              <c:f>Tools!$CV$68</c:f>
              <c:strCache>
                <c:ptCount val="1"/>
                <c:pt idx="0">
                  <c:v> </c:v>
                </c:pt>
              </c:strCache>
            </c:strRef>
          </c:tx>
          <c:spPr>
            <a:ln w="3175">
              <a:solidFill>
                <a:schemeClr val="bg1">
                  <a:lumMod val="75000"/>
                </a:schemeClr>
              </a:solidFill>
            </a:ln>
          </c:spPr>
          <c:marker>
            <c:symbol val="none"/>
          </c:marker>
          <c:xVal>
            <c:numRef>
              <c:f>Tools!$CY$68:$CZ$68</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9"/>
          <c:order val="69"/>
          <c:tx>
            <c:strRef>
              <c:f>Tools!$CV$69</c:f>
              <c:strCache>
                <c:ptCount val="1"/>
                <c:pt idx="0">
                  <c:v> </c:v>
                </c:pt>
              </c:strCache>
            </c:strRef>
          </c:tx>
          <c:spPr>
            <a:ln w="3175">
              <a:solidFill>
                <a:schemeClr val="bg1">
                  <a:lumMod val="75000"/>
                </a:schemeClr>
              </a:solidFill>
            </a:ln>
          </c:spPr>
          <c:marker>
            <c:symbol val="none"/>
          </c:marker>
          <c:xVal>
            <c:numRef>
              <c:f>Tools!$CY$69:$CZ$69</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70"/>
          <c:order val="70"/>
          <c:tx>
            <c:strRef>
              <c:f>Tools!$CV$70</c:f>
              <c:strCache>
                <c:ptCount val="1"/>
                <c:pt idx="0">
                  <c:v> </c:v>
                </c:pt>
              </c:strCache>
            </c:strRef>
          </c:tx>
          <c:spPr>
            <a:ln w="3175">
              <a:solidFill>
                <a:schemeClr val="bg1">
                  <a:lumMod val="75000"/>
                </a:schemeClr>
              </a:solidFill>
            </a:ln>
          </c:spPr>
          <c:marker>
            <c:symbol val="none"/>
          </c:marker>
          <c:xVal>
            <c:numRef>
              <c:f>Tools!$CY$70:$CZ$70</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71"/>
          <c:order val="71"/>
          <c:tx>
            <c:strRef>
              <c:f>Tools!$CV$71</c:f>
              <c:strCache>
                <c:ptCount val="1"/>
                <c:pt idx="0">
                  <c:v> </c:v>
                </c:pt>
              </c:strCache>
            </c:strRef>
          </c:tx>
          <c:spPr>
            <a:ln w="3175">
              <a:solidFill>
                <a:schemeClr val="bg1">
                  <a:lumMod val="75000"/>
                </a:schemeClr>
              </a:solidFill>
            </a:ln>
          </c:spPr>
          <c:marker>
            <c:symbol val="none"/>
          </c:marker>
          <c:xVal>
            <c:numRef>
              <c:f>Tools!$CY$71:$CZ$71</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dLbls>
          <c:showLegendKey val="0"/>
          <c:showVal val="0"/>
          <c:showCatName val="0"/>
          <c:showSerName val="0"/>
          <c:showPercent val="0"/>
          <c:showBubbleSize val="0"/>
        </c:dLbls>
        <c:axId val="562032640"/>
        <c:axId val="562034176"/>
      </c:scatterChart>
      <c:valAx>
        <c:axId val="562032640"/>
        <c:scaling>
          <c:orientation val="minMax"/>
        </c:scaling>
        <c:delete val="1"/>
        <c:axPos val="b"/>
        <c:numFmt formatCode="General" sourceLinked="1"/>
        <c:majorTickMark val="out"/>
        <c:minorTickMark val="none"/>
        <c:tickLblPos val="nextTo"/>
        <c:crossAx val="562034176"/>
        <c:crosses val="autoZero"/>
        <c:crossBetween val="midCat"/>
        <c:majorUnit val="0.1"/>
        <c:minorUnit val="5.000000000000001E-2"/>
      </c:valAx>
      <c:valAx>
        <c:axId val="562034176"/>
        <c:scaling>
          <c:orientation val="minMax"/>
          <c:min val="0"/>
        </c:scaling>
        <c:delete val="0"/>
        <c:axPos val="l"/>
        <c:majorGridlines>
          <c:spPr>
            <a:ln>
              <a:noFill/>
            </a:ln>
          </c:spPr>
        </c:majorGridlines>
        <c:numFmt formatCode="General" sourceLinked="1"/>
        <c:majorTickMark val="out"/>
        <c:minorTickMark val="none"/>
        <c:tickLblPos val="nextTo"/>
        <c:crossAx val="562032640"/>
        <c:crosses val="autoZero"/>
        <c:crossBetween val="midCat"/>
        <c:majorUnit val="1"/>
      </c:valAx>
      <c:spPr>
        <a:noFill/>
        <a:ln>
          <a:noFill/>
        </a:ln>
      </c:spPr>
    </c:plotArea>
    <c:legend>
      <c:legendPos val="r"/>
      <c:legendEntry>
        <c:idx val="25"/>
        <c:txPr>
          <a:bodyPr/>
          <a:lstStyle/>
          <a:p>
            <a:pPr>
              <a:defRPr sz="1400">
                <a:solidFill>
                  <a:schemeClr val="bg1"/>
                </a:solidFill>
              </a:defRPr>
            </a:pPr>
            <a:endParaRPr lang="en-US"/>
          </a:p>
        </c:txPr>
      </c:legendEntry>
      <c:layout>
        <c:manualLayout>
          <c:xMode val="edge"/>
          <c:yMode val="edge"/>
          <c:x val="0.81867932506519137"/>
          <c:y val="2.9591106189184382E-2"/>
          <c:w val="0.18132067493480877"/>
          <c:h val="0.95350286467109902"/>
        </c:manualLayout>
      </c:layout>
      <c:overlay val="0"/>
      <c:txPr>
        <a:bodyPr/>
        <a:lstStyle/>
        <a:p>
          <a:pPr>
            <a:defRPr sz="1400"/>
          </a:pPr>
          <a:endParaRPr lang="en-US"/>
        </a:p>
      </c:txPr>
    </c:legend>
    <c:plotVisOnly val="1"/>
    <c:dispBlanksAs val="gap"/>
    <c:showDLblsOverMax val="0"/>
  </c:chart>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565463865013437E-2"/>
          <c:y val="4.8409162862424297E-2"/>
          <c:w val="0.82111491280458926"/>
          <c:h val="0.86951254634026776"/>
        </c:manualLayout>
      </c:layout>
      <c:scatterChart>
        <c:scatterStyle val="smoothMarker"/>
        <c:varyColors val="0"/>
        <c:ser>
          <c:idx val="0"/>
          <c:order val="0"/>
          <c:tx>
            <c:strRef>
              <c:f>Tools!$DC$62</c:f>
              <c:strCache>
                <c:ptCount val="1"/>
                <c:pt idx="0">
                  <c:v>STN 0</c:v>
                </c:pt>
              </c:strCache>
            </c:strRef>
          </c:tx>
          <c:spPr>
            <a:ln w="3175"/>
          </c:spPr>
          <c:marker>
            <c:symbol val="none"/>
          </c:marker>
          <c:xVal>
            <c:numRef>
              <c:f>Tools!BP_1</c:f>
              <c:numCache>
                <c:formatCode>General</c:formatCode>
                <c:ptCount val="12"/>
                <c:pt idx="0">
                  <c:v>#N/A</c:v>
                </c:pt>
                <c:pt idx="1">
                  <c:v>#N/A</c:v>
                </c:pt>
                <c:pt idx="2">
                  <c:v>#N/A</c:v>
                </c:pt>
                <c:pt idx="3">
                  <c:v>#N/A</c:v>
                </c:pt>
                <c:pt idx="4">
                  <c:v>#N/A</c:v>
                </c:pt>
                <c:pt idx="5">
                  <c:v>#N/A</c:v>
                </c:pt>
                <c:pt idx="6">
                  <c:v>#N/A</c:v>
                </c:pt>
                <c:pt idx="7">
                  <c:v>#N/A</c:v>
                </c:pt>
                <c:pt idx="8">
                  <c:v>-2.8919999999999999</c:v>
                </c:pt>
                <c:pt idx="9">
                  <c:v>-6.2</c:v>
                </c:pt>
                <c:pt idx="10">
                  <c:v>-9.6</c:v>
                </c:pt>
                <c:pt idx="11">
                  <c:v>-10.89</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
          <c:order val="1"/>
          <c:tx>
            <c:strRef>
              <c:f>Tools!$DC$63</c:f>
              <c:strCache>
                <c:ptCount val="1"/>
                <c:pt idx="0">
                  <c:v>STN 0.5</c:v>
                </c:pt>
              </c:strCache>
            </c:strRef>
          </c:tx>
          <c:spPr>
            <a:ln w="3175"/>
          </c:spPr>
          <c:marker>
            <c:symbol val="none"/>
          </c:marker>
          <c:xVal>
            <c:numRef>
              <c:f>Tools!BP_2</c:f>
              <c:numCache>
                <c:formatCode>General</c:formatCode>
                <c:ptCount val="12"/>
                <c:pt idx="0">
                  <c:v>#N/A</c:v>
                </c:pt>
                <c:pt idx="1">
                  <c:v>#N/A</c:v>
                </c:pt>
                <c:pt idx="2">
                  <c:v>#N/A</c:v>
                </c:pt>
                <c:pt idx="3">
                  <c:v>#N/A</c:v>
                </c:pt>
                <c:pt idx="4">
                  <c:v>#N/A</c:v>
                </c:pt>
                <c:pt idx="5">
                  <c:v>#N/A</c:v>
                </c:pt>
                <c:pt idx="6">
                  <c:v>#N/A</c:v>
                </c:pt>
                <c:pt idx="7">
                  <c:v>-1.2</c:v>
                </c:pt>
                <c:pt idx="8">
                  <c:v>-6.8</c:v>
                </c:pt>
                <c:pt idx="9">
                  <c:v>-8.4600000000000009</c:v>
                </c:pt>
                <c:pt idx="10">
                  <c:v>-10.63</c:v>
                </c:pt>
                <c:pt idx="11">
                  <c:v>-11.52</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2"/>
          <c:order val="2"/>
          <c:tx>
            <c:strRef>
              <c:f>Tools!$DC$64</c:f>
              <c:strCache>
                <c:ptCount val="1"/>
                <c:pt idx="0">
                  <c:v>STN 1</c:v>
                </c:pt>
              </c:strCache>
            </c:strRef>
          </c:tx>
          <c:spPr>
            <a:ln w="3175"/>
          </c:spPr>
          <c:marker>
            <c:symbol val="none"/>
          </c:marker>
          <c:xVal>
            <c:numRef>
              <c:f>Tools!BP_3</c:f>
              <c:numCache>
                <c:formatCode>General</c:formatCode>
                <c:ptCount val="12"/>
                <c:pt idx="0">
                  <c:v>#N/A</c:v>
                </c:pt>
                <c:pt idx="1">
                  <c:v>#N/A</c:v>
                </c:pt>
                <c:pt idx="2">
                  <c:v>#N/A</c:v>
                </c:pt>
                <c:pt idx="3">
                  <c:v>#N/A</c:v>
                </c:pt>
                <c:pt idx="4">
                  <c:v>#N/A</c:v>
                </c:pt>
                <c:pt idx="5">
                  <c:v>#N/A</c:v>
                </c:pt>
                <c:pt idx="6">
                  <c:v>#N/A</c:v>
                </c:pt>
                <c:pt idx="7">
                  <c:v>-6.12</c:v>
                </c:pt>
                <c:pt idx="8">
                  <c:v>-8.8000000000000007</c:v>
                </c:pt>
                <c:pt idx="9">
                  <c:v>-9.84</c:v>
                </c:pt>
                <c:pt idx="10">
                  <c:v>-11.33</c:v>
                </c:pt>
                <c:pt idx="11">
                  <c:v>-11.9</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3"/>
          <c:order val="3"/>
          <c:tx>
            <c:strRef>
              <c:f>Tools!$DC$65</c:f>
              <c:strCache>
                <c:ptCount val="1"/>
                <c:pt idx="0">
                  <c:v>STN 1.5</c:v>
                </c:pt>
              </c:strCache>
            </c:strRef>
          </c:tx>
          <c:spPr>
            <a:ln w="3175"/>
          </c:spPr>
          <c:marker>
            <c:symbol val="none"/>
          </c:marker>
          <c:xVal>
            <c:numRef>
              <c:f>Tools!BP_4</c:f>
              <c:numCache>
                <c:formatCode>General</c:formatCode>
                <c:ptCount val="12"/>
                <c:pt idx="0">
                  <c:v>#N/A</c:v>
                </c:pt>
                <c:pt idx="1">
                  <c:v>#N/A</c:v>
                </c:pt>
                <c:pt idx="2">
                  <c:v>#N/A</c:v>
                </c:pt>
                <c:pt idx="3">
                  <c:v>-0.4</c:v>
                </c:pt>
                <c:pt idx="4">
                  <c:v>-0.7</c:v>
                </c:pt>
                <c:pt idx="5">
                  <c:v>-1.2</c:v>
                </c:pt>
                <c:pt idx="6">
                  <c:v>-2.4</c:v>
                </c:pt>
                <c:pt idx="7">
                  <c:v>-8.5500000000000007</c:v>
                </c:pt>
                <c:pt idx="8">
                  <c:v>-10.14</c:v>
                </c:pt>
                <c:pt idx="9">
                  <c:v>-10.78</c:v>
                </c:pt>
                <c:pt idx="10">
                  <c:v>-11.77</c:v>
                </c:pt>
                <c:pt idx="11">
                  <c:v>-12.1</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4"/>
          <c:order val="4"/>
          <c:tx>
            <c:strRef>
              <c:f>Tools!$DC$66</c:f>
              <c:strCache>
                <c:ptCount val="1"/>
                <c:pt idx="0">
                  <c:v>STN 2</c:v>
                </c:pt>
              </c:strCache>
            </c:strRef>
          </c:tx>
          <c:spPr>
            <a:ln w="3175"/>
          </c:spPr>
          <c:marker>
            <c:symbol val="none"/>
          </c:marker>
          <c:xVal>
            <c:numRef>
              <c:f>Tools!BP_5</c:f>
              <c:numCache>
                <c:formatCode>General</c:formatCode>
                <c:ptCount val="12"/>
                <c:pt idx="0">
                  <c:v>#N/A</c:v>
                </c:pt>
                <c:pt idx="1">
                  <c:v>-0.4</c:v>
                </c:pt>
                <c:pt idx="2">
                  <c:v>-1.04</c:v>
                </c:pt>
                <c:pt idx="3">
                  <c:v>-1.5</c:v>
                </c:pt>
                <c:pt idx="4">
                  <c:v>-1.7</c:v>
                </c:pt>
                <c:pt idx="5">
                  <c:v>-2.7</c:v>
                </c:pt>
                <c:pt idx="6">
                  <c:v>-5.5</c:v>
                </c:pt>
                <c:pt idx="7">
                  <c:v>-9.9</c:v>
                </c:pt>
                <c:pt idx="8">
                  <c:v>-10.9</c:v>
                </c:pt>
                <c:pt idx="9">
                  <c:v>-11.34</c:v>
                </c:pt>
                <c:pt idx="10">
                  <c:v>-12</c:v>
                </c:pt>
                <c:pt idx="11">
                  <c:v>-12.2</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5"/>
          <c:order val="5"/>
          <c:tx>
            <c:strRef>
              <c:f>Tools!$DC$67</c:f>
              <c:strCache>
                <c:ptCount val="1"/>
                <c:pt idx="0">
                  <c:v>STN 3</c:v>
                </c:pt>
              </c:strCache>
            </c:strRef>
          </c:tx>
          <c:spPr>
            <a:ln w="3175"/>
          </c:spPr>
          <c:marker>
            <c:symbol val="none"/>
          </c:marker>
          <c:xVal>
            <c:numRef>
              <c:f>Tools!BP_6</c:f>
              <c:numCache>
                <c:formatCode>General</c:formatCode>
                <c:ptCount val="12"/>
                <c:pt idx="0">
                  <c:v>-0.3</c:v>
                </c:pt>
                <c:pt idx="1">
                  <c:v>-1.67</c:v>
                </c:pt>
                <c:pt idx="2">
                  <c:v>-2.2999999999999998</c:v>
                </c:pt>
                <c:pt idx="3">
                  <c:v>-2.7</c:v>
                </c:pt>
                <c:pt idx="4">
                  <c:v>-3.1</c:v>
                </c:pt>
                <c:pt idx="5">
                  <c:v>-5.7</c:v>
                </c:pt>
                <c:pt idx="6">
                  <c:v>-9.6999999999999993</c:v>
                </c:pt>
                <c:pt idx="7">
                  <c:v>-11.23</c:v>
                </c:pt>
                <c:pt idx="8">
                  <c:v>-11.7</c:v>
                </c:pt>
                <c:pt idx="9">
                  <c:v>-11.93</c:v>
                </c:pt>
                <c:pt idx="10">
                  <c:v>-12.21</c:v>
                </c:pt>
                <c:pt idx="11">
                  <c:v>-12.23</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6"/>
          <c:order val="6"/>
          <c:tx>
            <c:strRef>
              <c:f>Tools!$DC$68</c:f>
              <c:strCache>
                <c:ptCount val="1"/>
                <c:pt idx="0">
                  <c:v>STN 4</c:v>
                </c:pt>
              </c:strCache>
            </c:strRef>
          </c:tx>
          <c:spPr>
            <a:ln w="3175"/>
          </c:spPr>
          <c:marker>
            <c:symbol val="none"/>
          </c:marker>
          <c:xVal>
            <c:numRef>
              <c:f>Tools!BP_7</c:f>
              <c:numCache>
                <c:formatCode>General</c:formatCode>
                <c:ptCount val="12"/>
                <c:pt idx="0">
                  <c:v>-1</c:v>
                </c:pt>
                <c:pt idx="1">
                  <c:v>-3.17</c:v>
                </c:pt>
                <c:pt idx="2">
                  <c:v>-4.08</c:v>
                </c:pt>
                <c:pt idx="3">
                  <c:v>-4.8</c:v>
                </c:pt>
                <c:pt idx="4">
                  <c:v>-5.8</c:v>
                </c:pt>
                <c:pt idx="5">
                  <c:v>-9.1999999999999993</c:v>
                </c:pt>
                <c:pt idx="6">
                  <c:v>-11.17</c:v>
                </c:pt>
                <c:pt idx="7">
                  <c:v>-11.91</c:v>
                </c:pt>
                <c:pt idx="8">
                  <c:v>-12.14</c:v>
                </c:pt>
                <c:pt idx="9">
                  <c:v>-12.2</c:v>
                </c:pt>
                <c:pt idx="10">
                  <c:v>-12.25</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7"/>
          <c:order val="7"/>
          <c:tx>
            <c:strRef>
              <c:f>Tools!$DC$69</c:f>
              <c:strCache>
                <c:ptCount val="1"/>
                <c:pt idx="0">
                  <c:v>STN 5</c:v>
                </c:pt>
              </c:strCache>
            </c:strRef>
          </c:tx>
          <c:spPr>
            <a:ln w="3175"/>
          </c:spPr>
          <c:marker>
            <c:symbol val="none"/>
          </c:marker>
          <c:xVal>
            <c:numRef>
              <c:f>Tools!BP_8</c:f>
              <c:numCache>
                <c:formatCode>General</c:formatCode>
                <c:ptCount val="12"/>
                <c:pt idx="0">
                  <c:v>-1.62</c:v>
                </c:pt>
                <c:pt idx="1">
                  <c:v>-4.8099999999999996</c:v>
                </c:pt>
                <c:pt idx="2">
                  <c:v>-6.09</c:v>
                </c:pt>
                <c:pt idx="3">
                  <c:v>-7.37</c:v>
                </c:pt>
                <c:pt idx="4">
                  <c:v>-9.0299999999999994</c:v>
                </c:pt>
                <c:pt idx="5">
                  <c:v>-11.15</c:v>
                </c:pt>
                <c:pt idx="6">
                  <c:v>-11.95</c:v>
                </c:pt>
                <c:pt idx="7">
                  <c:v>-12.22</c:v>
                </c:pt>
                <c:pt idx="8">
                  <c:v>-12.25</c:v>
                </c:pt>
                <c:pt idx="9">
                  <c:v>-12.25</c:v>
                </c:pt>
                <c:pt idx="10">
                  <c:v>-12.25</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8"/>
          <c:order val="8"/>
          <c:tx>
            <c:strRef>
              <c:f>Tools!$DC$70</c:f>
              <c:strCache>
                <c:ptCount val="1"/>
                <c:pt idx="0">
                  <c:v>STN 6</c:v>
                </c:pt>
              </c:strCache>
            </c:strRef>
          </c:tx>
          <c:spPr>
            <a:ln w="3175"/>
          </c:spPr>
          <c:marker>
            <c:symbol val="none"/>
          </c:marker>
          <c:xVal>
            <c:numRef>
              <c:f>Tools!BP_9</c:f>
              <c:numCache>
                <c:formatCode>General</c:formatCode>
                <c:ptCount val="12"/>
                <c:pt idx="0">
                  <c:v>-2.2000000000000002</c:v>
                </c:pt>
                <c:pt idx="1">
                  <c:v>-6.59</c:v>
                </c:pt>
                <c:pt idx="2">
                  <c:v>-8.34</c:v>
                </c:pt>
                <c:pt idx="3">
                  <c:v>-9.82</c:v>
                </c:pt>
                <c:pt idx="4">
                  <c:v>-10.92</c:v>
                </c:pt>
                <c:pt idx="5">
                  <c:v>-11.97</c:v>
                </c:pt>
                <c:pt idx="6">
                  <c:v>-12.25</c:v>
                </c:pt>
                <c:pt idx="7">
                  <c:v>-12.25</c:v>
                </c:pt>
                <c:pt idx="8">
                  <c:v>-12.25</c:v>
                </c:pt>
                <c:pt idx="9">
                  <c:v>-12.25</c:v>
                </c:pt>
                <c:pt idx="10">
                  <c:v>-12.25</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9"/>
          <c:order val="9"/>
          <c:tx>
            <c:strRef>
              <c:f>Tools!$DC$71</c:f>
              <c:strCache>
                <c:ptCount val="1"/>
                <c:pt idx="0">
                  <c:v>STN 7</c:v>
                </c:pt>
              </c:strCache>
            </c:strRef>
          </c:tx>
          <c:spPr>
            <a:ln w="3175"/>
          </c:spPr>
          <c:marker>
            <c:symbol val="none"/>
          </c:marker>
          <c:xVal>
            <c:numRef>
              <c:f>Tools!BP_10</c:f>
              <c:numCache>
                <c:formatCode>General</c:formatCode>
                <c:ptCount val="12"/>
                <c:pt idx="0">
                  <c:v>-3.71</c:v>
                </c:pt>
                <c:pt idx="1">
                  <c:v>-8.58</c:v>
                </c:pt>
                <c:pt idx="2">
                  <c:v>-10.26</c:v>
                </c:pt>
                <c:pt idx="3">
                  <c:v>-11.25</c:v>
                </c:pt>
                <c:pt idx="4">
                  <c:v>-11.86</c:v>
                </c:pt>
                <c:pt idx="5">
                  <c:v>-12.25</c:v>
                </c:pt>
                <c:pt idx="6">
                  <c:v>-12.25</c:v>
                </c:pt>
                <c:pt idx="7">
                  <c:v>-12.25</c:v>
                </c:pt>
                <c:pt idx="8">
                  <c:v>-12.25</c:v>
                </c:pt>
                <c:pt idx="9">
                  <c:v>-12.25</c:v>
                </c:pt>
                <c:pt idx="10">
                  <c:v>-12.25</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0"/>
          <c:order val="10"/>
          <c:tx>
            <c:strRef>
              <c:f>Tools!$DC$72</c:f>
              <c:strCache>
                <c:ptCount val="1"/>
                <c:pt idx="0">
                  <c:v>STN 8</c:v>
                </c:pt>
              </c:strCache>
            </c:strRef>
          </c:tx>
          <c:spPr>
            <a:ln w="3175">
              <a:solidFill>
                <a:schemeClr val="accent2">
                  <a:lumMod val="75000"/>
                </a:schemeClr>
              </a:solidFill>
            </a:ln>
          </c:spPr>
          <c:marker>
            <c:symbol val="none"/>
          </c:marker>
          <c:xVal>
            <c:numRef>
              <c:f>Tools!BP_11</c:f>
              <c:numCache>
                <c:formatCode>General</c:formatCode>
                <c:ptCount val="12"/>
                <c:pt idx="0">
                  <c:v>-5.9</c:v>
                </c:pt>
                <c:pt idx="1">
                  <c:v>-10.16</c:v>
                </c:pt>
                <c:pt idx="2">
                  <c:v>-11.35</c:v>
                </c:pt>
                <c:pt idx="3">
                  <c:v>-11.9</c:v>
                </c:pt>
                <c:pt idx="4">
                  <c:v>-12.18</c:v>
                </c:pt>
                <c:pt idx="5">
                  <c:v>-12.25</c:v>
                </c:pt>
                <c:pt idx="6">
                  <c:v>-12.25</c:v>
                </c:pt>
                <c:pt idx="7">
                  <c:v>-12.25</c:v>
                </c:pt>
                <c:pt idx="8">
                  <c:v>-12.25</c:v>
                </c:pt>
                <c:pt idx="9">
                  <c:v>-12.25</c:v>
                </c:pt>
                <c:pt idx="10">
                  <c:v>-12.25</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1"/>
          <c:order val="11"/>
          <c:tx>
            <c:strRef>
              <c:f>Tools!$DC$73</c:f>
              <c:strCache>
                <c:ptCount val="1"/>
                <c:pt idx="0">
                  <c:v>STN 9</c:v>
                </c:pt>
              </c:strCache>
            </c:strRef>
          </c:tx>
          <c:spPr>
            <a:ln w="3175"/>
          </c:spPr>
          <c:marker>
            <c:symbol val="none"/>
          </c:marker>
          <c:xVal>
            <c:numRef>
              <c:f>Tools!BP_12</c:f>
              <c:numCache>
                <c:formatCode>General</c:formatCode>
                <c:ptCount val="12"/>
                <c:pt idx="0">
                  <c:v>-7.2</c:v>
                </c:pt>
                <c:pt idx="1">
                  <c:v>-10.78</c:v>
                </c:pt>
                <c:pt idx="2">
                  <c:v>-11.72</c:v>
                </c:pt>
                <c:pt idx="3">
                  <c:v>-12.12</c:v>
                </c:pt>
                <c:pt idx="4">
                  <c:v>-12.25</c:v>
                </c:pt>
                <c:pt idx="5">
                  <c:v>-12.25</c:v>
                </c:pt>
                <c:pt idx="6">
                  <c:v>-12.25</c:v>
                </c:pt>
                <c:pt idx="7">
                  <c:v>-12.25</c:v>
                </c:pt>
                <c:pt idx="8">
                  <c:v>-12.25</c:v>
                </c:pt>
                <c:pt idx="9">
                  <c:v>-12.25</c:v>
                </c:pt>
                <c:pt idx="10">
                  <c:v>-12.25</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2"/>
          <c:order val="12"/>
          <c:tx>
            <c:strRef>
              <c:f>Tools!$DC$74</c:f>
              <c:strCache>
                <c:ptCount val="1"/>
                <c:pt idx="0">
                  <c:v>STN 10</c:v>
                </c:pt>
              </c:strCache>
            </c:strRef>
          </c:tx>
          <c:spPr>
            <a:ln w="3175"/>
          </c:spPr>
          <c:marker>
            <c:symbol val="none"/>
          </c:marker>
          <c:xVal>
            <c:numRef>
              <c:f>Tools!BP_13</c:f>
              <c:numCache>
                <c:formatCode>General</c:formatCode>
                <c:ptCount val="12"/>
                <c:pt idx="0">
                  <c:v>-8.25</c:v>
                </c:pt>
                <c:pt idx="1">
                  <c:v>-10.84</c:v>
                </c:pt>
                <c:pt idx="2">
                  <c:v>-11.76</c:v>
                </c:pt>
                <c:pt idx="3">
                  <c:v>-12.14</c:v>
                </c:pt>
                <c:pt idx="4">
                  <c:v>-12.25</c:v>
                </c:pt>
                <c:pt idx="5">
                  <c:v>-12.25</c:v>
                </c:pt>
                <c:pt idx="6">
                  <c:v>-12.25</c:v>
                </c:pt>
                <c:pt idx="7">
                  <c:v>-12.25</c:v>
                </c:pt>
                <c:pt idx="8">
                  <c:v>-12.25</c:v>
                </c:pt>
                <c:pt idx="9">
                  <c:v>-12.25</c:v>
                </c:pt>
                <c:pt idx="10">
                  <c:v>-12.25</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3"/>
          <c:order val="13"/>
          <c:tx>
            <c:strRef>
              <c:f>Tools!$DC$75</c:f>
              <c:strCache>
                <c:ptCount val="1"/>
                <c:pt idx="0">
                  <c:v>STN 11</c:v>
                </c:pt>
              </c:strCache>
            </c:strRef>
          </c:tx>
          <c:spPr>
            <a:ln w="3175"/>
          </c:spPr>
          <c:marker>
            <c:symbol val="none"/>
          </c:marker>
          <c:xVal>
            <c:numRef>
              <c:f>Tools!BP_14</c:f>
              <c:numCache>
                <c:formatCode>General</c:formatCode>
                <c:ptCount val="12"/>
                <c:pt idx="0">
                  <c:v>8.6</c:v>
                </c:pt>
                <c:pt idx="1">
                  <c:v>10.65</c:v>
                </c:pt>
                <c:pt idx="2">
                  <c:v>11.62</c:v>
                </c:pt>
                <c:pt idx="3">
                  <c:v>12.04</c:v>
                </c:pt>
                <c:pt idx="4">
                  <c:v>12.21</c:v>
                </c:pt>
                <c:pt idx="5">
                  <c:v>12.25</c:v>
                </c:pt>
                <c:pt idx="6">
                  <c:v>12.25</c:v>
                </c:pt>
                <c:pt idx="7">
                  <c:v>12.25</c:v>
                </c:pt>
                <c:pt idx="8">
                  <c:v>12.25</c:v>
                </c:pt>
                <c:pt idx="9">
                  <c:v>12.25</c:v>
                </c:pt>
                <c:pt idx="10">
                  <c:v>12.25</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4"/>
          <c:order val="14"/>
          <c:tx>
            <c:strRef>
              <c:f>Tools!$DC$76</c:f>
              <c:strCache>
                <c:ptCount val="1"/>
                <c:pt idx="0">
                  <c:v>STN 12</c:v>
                </c:pt>
              </c:strCache>
            </c:strRef>
          </c:tx>
          <c:spPr>
            <a:ln w="3175"/>
          </c:spPr>
          <c:marker>
            <c:symbol val="none"/>
          </c:marker>
          <c:xVal>
            <c:numRef>
              <c:f>Tools!BP_15</c:f>
              <c:numCache>
                <c:formatCode>General</c:formatCode>
                <c:ptCount val="12"/>
                <c:pt idx="0">
                  <c:v>7.85</c:v>
                </c:pt>
                <c:pt idx="1">
                  <c:v>10.02</c:v>
                </c:pt>
                <c:pt idx="2">
                  <c:v>11.1</c:v>
                </c:pt>
                <c:pt idx="3">
                  <c:v>11.63</c:v>
                </c:pt>
                <c:pt idx="4">
                  <c:v>11.92</c:v>
                </c:pt>
                <c:pt idx="5">
                  <c:v>12.2</c:v>
                </c:pt>
                <c:pt idx="6">
                  <c:v>12.25</c:v>
                </c:pt>
                <c:pt idx="7">
                  <c:v>12.25</c:v>
                </c:pt>
                <c:pt idx="8">
                  <c:v>12.25</c:v>
                </c:pt>
                <c:pt idx="9">
                  <c:v>12.25</c:v>
                </c:pt>
                <c:pt idx="10">
                  <c:v>12.25</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5"/>
          <c:order val="15"/>
          <c:tx>
            <c:strRef>
              <c:f>Tools!$DC$77</c:f>
              <c:strCache>
                <c:ptCount val="1"/>
                <c:pt idx="0">
                  <c:v>STN 13</c:v>
                </c:pt>
              </c:strCache>
            </c:strRef>
          </c:tx>
          <c:spPr>
            <a:ln w="3175">
              <a:solidFill>
                <a:schemeClr val="tx2">
                  <a:lumMod val="60000"/>
                  <a:lumOff val="40000"/>
                </a:schemeClr>
              </a:solidFill>
            </a:ln>
          </c:spPr>
          <c:marker>
            <c:symbol val="none"/>
          </c:marker>
          <c:xVal>
            <c:numRef>
              <c:f>Tools!BP_16</c:f>
              <c:numCache>
                <c:formatCode>General</c:formatCode>
                <c:ptCount val="12"/>
                <c:pt idx="0">
                  <c:v>6.7</c:v>
                </c:pt>
                <c:pt idx="1">
                  <c:v>8.84</c:v>
                </c:pt>
                <c:pt idx="2">
                  <c:v>10.029999999999999</c:v>
                </c:pt>
                <c:pt idx="3">
                  <c:v>10.68</c:v>
                </c:pt>
                <c:pt idx="4">
                  <c:v>11.1</c:v>
                </c:pt>
                <c:pt idx="5">
                  <c:v>11.64</c:v>
                </c:pt>
                <c:pt idx="6">
                  <c:v>11.97</c:v>
                </c:pt>
                <c:pt idx="7">
                  <c:v>12.18</c:v>
                </c:pt>
                <c:pt idx="8">
                  <c:v>12.22</c:v>
                </c:pt>
                <c:pt idx="9">
                  <c:v>12.23</c:v>
                </c:pt>
                <c:pt idx="10">
                  <c:v>12.23</c:v>
                </c:pt>
                <c:pt idx="11">
                  <c:v>12.25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6"/>
          <c:order val="16"/>
          <c:tx>
            <c:strRef>
              <c:f>Tools!$DC$78</c:f>
              <c:strCache>
                <c:ptCount val="1"/>
                <c:pt idx="0">
                  <c:v>STN 14</c:v>
                </c:pt>
              </c:strCache>
            </c:strRef>
          </c:tx>
          <c:spPr>
            <a:ln w="3175">
              <a:solidFill>
                <a:schemeClr val="accent4">
                  <a:lumMod val="75000"/>
                </a:schemeClr>
              </a:solidFill>
            </a:ln>
          </c:spPr>
          <c:marker>
            <c:symbol val="none"/>
          </c:marker>
          <c:xVal>
            <c:numRef>
              <c:f>Tools!BP_17</c:f>
              <c:numCache>
                <c:formatCode>General</c:formatCode>
                <c:ptCount val="12"/>
                <c:pt idx="0">
                  <c:v>5.35</c:v>
                </c:pt>
                <c:pt idx="1">
                  <c:v>7.29</c:v>
                </c:pt>
                <c:pt idx="2">
                  <c:v>8.15</c:v>
                </c:pt>
                <c:pt idx="3">
                  <c:v>9.25</c:v>
                </c:pt>
                <c:pt idx="4">
                  <c:v>9.75</c:v>
                </c:pt>
                <c:pt idx="5">
                  <c:v>10.5</c:v>
                </c:pt>
                <c:pt idx="6">
                  <c:v>11.06</c:v>
                </c:pt>
                <c:pt idx="7">
                  <c:v>11.46</c:v>
                </c:pt>
                <c:pt idx="8">
                  <c:v>11.67</c:v>
                </c:pt>
                <c:pt idx="9">
                  <c:v>11.79</c:v>
                </c:pt>
                <c:pt idx="10">
                  <c:v>12.07</c:v>
                </c:pt>
                <c:pt idx="11">
                  <c:v>12.23</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7"/>
          <c:order val="17"/>
          <c:tx>
            <c:strRef>
              <c:f>Tools!$DC$79</c:f>
              <c:strCache>
                <c:ptCount val="1"/>
                <c:pt idx="0">
                  <c:v>STN 15</c:v>
                </c:pt>
              </c:strCache>
            </c:strRef>
          </c:tx>
          <c:spPr>
            <a:ln w="3175">
              <a:solidFill>
                <a:schemeClr val="accent6">
                  <a:lumMod val="75000"/>
                </a:schemeClr>
              </a:solidFill>
            </a:ln>
          </c:spPr>
          <c:marker>
            <c:symbol val="none"/>
          </c:marker>
          <c:xVal>
            <c:numRef>
              <c:f>Tools!BP_18</c:f>
              <c:numCache>
                <c:formatCode>General</c:formatCode>
                <c:ptCount val="12"/>
                <c:pt idx="0">
                  <c:v>3.8</c:v>
                </c:pt>
                <c:pt idx="1">
                  <c:v>5.65</c:v>
                </c:pt>
                <c:pt idx="2">
                  <c:v>6.8</c:v>
                </c:pt>
                <c:pt idx="3">
                  <c:v>7.54</c:v>
                </c:pt>
                <c:pt idx="4">
                  <c:v>8.08</c:v>
                </c:pt>
                <c:pt idx="5">
                  <c:v>8.91</c:v>
                </c:pt>
                <c:pt idx="6">
                  <c:v>9.64</c:v>
                </c:pt>
                <c:pt idx="7">
                  <c:v>10.26</c:v>
                </c:pt>
                <c:pt idx="8">
                  <c:v>10.6</c:v>
                </c:pt>
                <c:pt idx="9">
                  <c:v>10.8</c:v>
                </c:pt>
                <c:pt idx="10">
                  <c:v>11.29</c:v>
                </c:pt>
                <c:pt idx="11">
                  <c:v>12.15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8"/>
          <c:order val="18"/>
          <c:tx>
            <c:strRef>
              <c:f>Tools!$DC$80</c:f>
              <c:strCache>
                <c:ptCount val="1"/>
                <c:pt idx="0">
                  <c:v>STN 16</c:v>
                </c:pt>
              </c:strCache>
            </c:strRef>
          </c:tx>
          <c:spPr>
            <a:ln w="3175">
              <a:solidFill>
                <a:srgbClr val="FF0000"/>
              </a:solidFill>
            </a:ln>
          </c:spPr>
          <c:marker>
            <c:symbol val="none"/>
          </c:marker>
          <c:xVal>
            <c:numRef>
              <c:f>Tools!BP_19</c:f>
              <c:numCache>
                <c:formatCode>General</c:formatCode>
                <c:ptCount val="12"/>
                <c:pt idx="0">
                  <c:v>2.2200000000000002</c:v>
                </c:pt>
                <c:pt idx="1">
                  <c:v>4.05</c:v>
                </c:pt>
                <c:pt idx="2">
                  <c:v>5.0999999999999996</c:v>
                </c:pt>
                <c:pt idx="3">
                  <c:v>5.74</c:v>
                </c:pt>
                <c:pt idx="4">
                  <c:v>6.23</c:v>
                </c:pt>
                <c:pt idx="5">
                  <c:v>7.02</c:v>
                </c:pt>
                <c:pt idx="6">
                  <c:v>7.81</c:v>
                </c:pt>
                <c:pt idx="7">
                  <c:v>8.6300000000000008</c:v>
                </c:pt>
                <c:pt idx="8">
                  <c:v>9.1199999999999992</c:v>
                </c:pt>
                <c:pt idx="9">
                  <c:v>9.43</c:v>
                </c:pt>
                <c:pt idx="10">
                  <c:v>10.199999999999999</c:v>
                </c:pt>
                <c:pt idx="11">
                  <c:v>11.75</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19"/>
          <c:order val="19"/>
          <c:tx>
            <c:strRef>
              <c:f>Tools!$DC$81</c:f>
              <c:strCache>
                <c:ptCount val="1"/>
                <c:pt idx="0">
                  <c:v>STN 17</c:v>
                </c:pt>
              </c:strCache>
            </c:strRef>
          </c:tx>
          <c:spPr>
            <a:ln w="3175">
              <a:solidFill>
                <a:schemeClr val="tx1"/>
              </a:solidFill>
            </a:ln>
          </c:spPr>
          <c:marker>
            <c:symbol val="none"/>
          </c:marker>
          <c:xVal>
            <c:numRef>
              <c:f>Tools!BP_20</c:f>
              <c:numCache>
                <c:formatCode>General</c:formatCode>
                <c:ptCount val="12"/>
                <c:pt idx="0">
                  <c:v>0.65</c:v>
                </c:pt>
                <c:pt idx="1">
                  <c:v>2.63</c:v>
                </c:pt>
                <c:pt idx="2">
                  <c:v>3.52</c:v>
                </c:pt>
                <c:pt idx="3">
                  <c:v>4.0599999999999996</c:v>
                </c:pt>
                <c:pt idx="4">
                  <c:v>4.43</c:v>
                </c:pt>
                <c:pt idx="5">
                  <c:v>5.03</c:v>
                </c:pt>
                <c:pt idx="6">
                  <c:v>5.69</c:v>
                </c:pt>
                <c:pt idx="7">
                  <c:v>6.59</c:v>
                </c:pt>
                <c:pt idx="8">
                  <c:v>7.22</c:v>
                </c:pt>
                <c:pt idx="9">
                  <c:v>7.64</c:v>
                </c:pt>
                <c:pt idx="10">
                  <c:v>8.73</c:v>
                </c:pt>
                <c:pt idx="11">
                  <c:v>10.94</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20"/>
          <c:order val="20"/>
          <c:tx>
            <c:strRef>
              <c:f>Tools!$DC$82</c:f>
              <c:strCache>
                <c:ptCount val="1"/>
                <c:pt idx="0">
                  <c:v>STN 18</c:v>
                </c:pt>
              </c:strCache>
            </c:strRef>
          </c:tx>
          <c:spPr>
            <a:ln w="3175">
              <a:solidFill>
                <a:srgbClr val="FF00FF"/>
              </a:solidFill>
            </a:ln>
          </c:spPr>
          <c:marker>
            <c:symbol val="none"/>
          </c:marker>
          <c:xVal>
            <c:numRef>
              <c:f>Tools!BP_21</c:f>
              <c:numCache>
                <c:formatCode>General</c:formatCode>
                <c:ptCount val="12"/>
                <c:pt idx="0">
                  <c:v>0</c:v>
                </c:pt>
                <c:pt idx="1">
                  <c:v>1.49</c:v>
                </c:pt>
                <c:pt idx="2">
                  <c:v>2.23</c:v>
                </c:pt>
                <c:pt idx="3">
                  <c:v>2.69</c:v>
                </c:pt>
                <c:pt idx="4">
                  <c:v>2.97</c:v>
                </c:pt>
                <c:pt idx="5">
                  <c:v>3.25</c:v>
                </c:pt>
                <c:pt idx="6">
                  <c:v>3.51</c:v>
                </c:pt>
                <c:pt idx="7">
                  <c:v>4.28</c:v>
                </c:pt>
                <c:pt idx="8">
                  <c:v>4.97</c:v>
                </c:pt>
                <c:pt idx="9">
                  <c:v>5.47</c:v>
                </c:pt>
                <c:pt idx="10">
                  <c:v>6.84</c:v>
                </c:pt>
                <c:pt idx="11">
                  <c:v>9.77</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21"/>
          <c:order val="21"/>
          <c:tx>
            <c:strRef>
              <c:f>Tools!$DC$83</c:f>
              <c:strCache>
                <c:ptCount val="1"/>
                <c:pt idx="0">
                  <c:v>STN 18.5</c:v>
                </c:pt>
              </c:strCache>
            </c:strRef>
          </c:tx>
          <c:spPr>
            <a:ln w="3175">
              <a:solidFill>
                <a:schemeClr val="accent3">
                  <a:lumMod val="50000"/>
                </a:schemeClr>
              </a:solidFill>
            </a:ln>
          </c:spPr>
          <c:marker>
            <c:symbol val="none"/>
          </c:marker>
          <c:xVal>
            <c:numRef>
              <c:f>Tools!BP_22</c:f>
              <c:numCache>
                <c:formatCode>General</c:formatCode>
                <c:ptCount val="12"/>
                <c:pt idx="0">
                  <c:v>#N/A</c:v>
                </c:pt>
                <c:pt idx="1">
                  <c:v>1.04</c:v>
                </c:pt>
                <c:pt idx="2">
                  <c:v>1.7</c:v>
                </c:pt>
                <c:pt idx="3">
                  <c:v>2.14</c:v>
                </c:pt>
                <c:pt idx="4">
                  <c:v>2.4</c:v>
                </c:pt>
                <c:pt idx="5">
                  <c:v>2.57</c:v>
                </c:pt>
                <c:pt idx="6">
                  <c:v>2.5499999999999998</c:v>
                </c:pt>
                <c:pt idx="7">
                  <c:v>3.12</c:v>
                </c:pt>
                <c:pt idx="8">
                  <c:v>3.79</c:v>
                </c:pt>
                <c:pt idx="9">
                  <c:v>4.3</c:v>
                </c:pt>
                <c:pt idx="10">
                  <c:v>5.71</c:v>
                </c:pt>
                <c:pt idx="11">
                  <c:v>8.1</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22"/>
          <c:order val="22"/>
          <c:tx>
            <c:strRef>
              <c:f>Tools!$DC$84</c:f>
              <c:strCache>
                <c:ptCount val="1"/>
                <c:pt idx="0">
                  <c:v>STN 19</c:v>
                </c:pt>
              </c:strCache>
            </c:strRef>
          </c:tx>
          <c:spPr>
            <a:ln w="3175">
              <a:solidFill>
                <a:srgbClr val="C00000"/>
              </a:solidFill>
            </a:ln>
          </c:spPr>
          <c:marker>
            <c:symbol val="none"/>
          </c:marker>
          <c:xVal>
            <c:numRef>
              <c:f>Tools!BP_23</c:f>
              <c:numCache>
                <c:formatCode>General</c:formatCode>
                <c:ptCount val="12"/>
                <c:pt idx="0">
                  <c:v>#N/A</c:v>
                </c:pt>
                <c:pt idx="1">
                  <c:v>0.64</c:v>
                </c:pt>
                <c:pt idx="2">
                  <c:v>1.27</c:v>
                </c:pt>
                <c:pt idx="3">
                  <c:v>1.68</c:v>
                </c:pt>
                <c:pt idx="4">
                  <c:v>1.96</c:v>
                </c:pt>
                <c:pt idx="5">
                  <c:v>2.1</c:v>
                </c:pt>
                <c:pt idx="6">
                  <c:v>1.8</c:v>
                </c:pt>
                <c:pt idx="7">
                  <c:v>2</c:v>
                </c:pt>
                <c:pt idx="8">
                  <c:v>2.61</c:v>
                </c:pt>
                <c:pt idx="9">
                  <c:v>3.1</c:v>
                </c:pt>
                <c:pt idx="10">
                  <c:v>4.42</c:v>
                </c:pt>
                <c:pt idx="11">
                  <c:v>5.76</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23"/>
          <c:order val="23"/>
          <c:tx>
            <c:strRef>
              <c:f>Tools!$DC$85</c:f>
              <c:strCache>
                <c:ptCount val="1"/>
                <c:pt idx="0">
                  <c:v>STN 19.5</c:v>
                </c:pt>
              </c:strCache>
            </c:strRef>
          </c:tx>
          <c:spPr>
            <a:ln w="3175">
              <a:solidFill>
                <a:schemeClr val="tx2">
                  <a:lumMod val="75000"/>
                </a:schemeClr>
              </a:solidFill>
            </a:ln>
          </c:spPr>
          <c:marker>
            <c:symbol val="none"/>
          </c:marker>
          <c:xVal>
            <c:numRef>
              <c:f>Tools!BP_24</c:f>
              <c:numCache>
                <c:formatCode>General</c:formatCode>
                <c:ptCount val="12"/>
                <c:pt idx="0">
                  <c:v>#N/A</c:v>
                </c:pt>
                <c:pt idx="1">
                  <c:v>#N/A</c:v>
                </c:pt>
                <c:pt idx="2">
                  <c:v>0.86</c:v>
                </c:pt>
                <c:pt idx="3">
                  <c:v>1.29</c:v>
                </c:pt>
                <c:pt idx="4">
                  <c:v>1.6</c:v>
                </c:pt>
                <c:pt idx="5">
                  <c:v>1.77</c:v>
                </c:pt>
                <c:pt idx="6">
                  <c:v>1.31</c:v>
                </c:pt>
                <c:pt idx="7">
                  <c:v>1</c:v>
                </c:pt>
                <c:pt idx="8">
                  <c:v>1.44</c:v>
                </c:pt>
                <c:pt idx="9">
                  <c:v>1.74</c:v>
                </c:pt>
                <c:pt idx="10">
                  <c:v>2.79</c:v>
                </c:pt>
                <c:pt idx="11">
                  <c:v>4.0999999999999996</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24"/>
          <c:order val="24"/>
          <c:tx>
            <c:strRef>
              <c:f>Tools!$DC$86</c:f>
              <c:strCache>
                <c:ptCount val="1"/>
                <c:pt idx="0">
                  <c:v>STN 20</c:v>
                </c:pt>
              </c:strCache>
            </c:strRef>
          </c:tx>
          <c:spPr>
            <a:ln w="3175">
              <a:solidFill>
                <a:schemeClr val="accent6">
                  <a:lumMod val="75000"/>
                </a:schemeClr>
              </a:solidFill>
            </a:ln>
          </c:spPr>
          <c:marker>
            <c:symbol val="none"/>
          </c:marker>
          <c:xVal>
            <c:numRef>
              <c:f>Tools!BP_25</c:f>
              <c:numCache>
                <c:formatCode>General</c:formatCode>
                <c:ptCount val="12"/>
                <c:pt idx="0">
                  <c:v>#N/A</c:v>
                </c:pt>
                <c:pt idx="1">
                  <c:v>#N/A</c:v>
                </c:pt>
                <c:pt idx="2">
                  <c:v>#N/A</c:v>
                </c:pt>
                <c:pt idx="3">
                  <c:v>0.76</c:v>
                </c:pt>
                <c:pt idx="4">
                  <c:v>1.1499999999999999</c:v>
                </c:pt>
                <c:pt idx="5">
                  <c:v>1.45</c:v>
                </c:pt>
                <c:pt idx="6">
                  <c:v>1.04</c:v>
                </c:pt>
                <c:pt idx="7">
                  <c:v>0</c:v>
                </c:pt>
                <c:pt idx="8">
                  <c:v>0</c:v>
                </c:pt>
                <c:pt idx="9">
                  <c:v>0.25</c:v>
                </c:pt>
                <c:pt idx="10">
                  <c:v>0.85</c:v>
                </c:pt>
                <c:pt idx="11">
                  <c:v>1.78</c:v>
                </c:pt>
              </c:numCache>
            </c:numRef>
          </c:xVal>
          <c:yVal>
            <c:numRef>
              <c:f>Tools!WL_List</c:f>
              <c:numCache>
                <c:formatCode>General</c:formatCode>
                <c:ptCount val="12"/>
                <c:pt idx="0">
                  <c:v>0</c:v>
                </c:pt>
                <c:pt idx="1">
                  <c:v>0.9</c:v>
                </c:pt>
                <c:pt idx="2">
                  <c:v>1.8</c:v>
                </c:pt>
                <c:pt idx="3">
                  <c:v>2.7</c:v>
                </c:pt>
                <c:pt idx="4">
                  <c:v>3.6</c:v>
                </c:pt>
                <c:pt idx="5">
                  <c:v>5.4</c:v>
                </c:pt>
                <c:pt idx="6">
                  <c:v>7.2</c:v>
                </c:pt>
                <c:pt idx="7">
                  <c:v>9</c:v>
                </c:pt>
                <c:pt idx="8">
                  <c:v>10.1</c:v>
                </c:pt>
                <c:pt idx="9">
                  <c:v>10.8</c:v>
                </c:pt>
                <c:pt idx="10">
                  <c:v>12.6</c:v>
                </c:pt>
                <c:pt idx="11">
                  <c:v>14.19</c:v>
                </c:pt>
              </c:numCache>
            </c:numRef>
          </c:yVal>
          <c:smooth val="1"/>
        </c:ser>
        <c:ser>
          <c:idx val="25"/>
          <c:order val="25"/>
          <c:tx>
            <c:v>a</c:v>
          </c:tx>
          <c:marker>
            <c:symbol val="none"/>
          </c:marker>
          <c:xVal>
            <c:numRef>
              <c:f>Tools!$E$182</c:f>
              <c:numCache>
                <c:formatCode>General</c:formatCode>
                <c:ptCount val="1"/>
              </c:numCache>
            </c:numRef>
          </c:xVal>
          <c:yVal>
            <c:numRef>
              <c:f>Tools!$F$182</c:f>
              <c:numCache>
                <c:formatCode>General</c:formatCode>
                <c:ptCount val="1"/>
              </c:numCache>
            </c:numRef>
          </c:yVal>
          <c:smooth val="1"/>
        </c:ser>
        <c:ser>
          <c:idx val="26"/>
          <c:order val="26"/>
          <c:tx>
            <c:strRef>
              <c:f>Tools!$CP$62</c:f>
              <c:strCache>
                <c:ptCount val="1"/>
                <c:pt idx="0">
                  <c:v>WL 0</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Tools!$CQ$62:$CR$62</c:f>
              <c:numCache>
                <c:formatCode>General</c:formatCode>
                <c:ptCount val="2"/>
                <c:pt idx="0">
                  <c:v>0</c:v>
                </c:pt>
                <c:pt idx="1">
                  <c:v>0</c:v>
                </c:pt>
              </c:numCache>
            </c:numRef>
          </c:yVal>
          <c:smooth val="1"/>
        </c:ser>
        <c:ser>
          <c:idx val="27"/>
          <c:order val="27"/>
          <c:tx>
            <c:strRef>
              <c:f>Tools!$CP$63</c:f>
              <c:strCache>
                <c:ptCount val="1"/>
                <c:pt idx="0">
                  <c:v>WL 0.5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Tools!$CQ$63:$CR$63</c:f>
              <c:numCache>
                <c:formatCode>General</c:formatCode>
                <c:ptCount val="2"/>
                <c:pt idx="0">
                  <c:v>0.9</c:v>
                </c:pt>
                <c:pt idx="1">
                  <c:v>0.9</c:v>
                </c:pt>
              </c:numCache>
            </c:numRef>
          </c:yVal>
          <c:smooth val="1"/>
        </c:ser>
        <c:ser>
          <c:idx val="28"/>
          <c:order val="28"/>
          <c:tx>
            <c:strRef>
              <c:f>Tools!$CP$64</c:f>
              <c:strCache>
                <c:ptCount val="1"/>
                <c:pt idx="0">
                  <c:v>WL 1</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Tools!$CQ$64:$CR$64</c:f>
              <c:numCache>
                <c:formatCode>General</c:formatCode>
                <c:ptCount val="2"/>
                <c:pt idx="0">
                  <c:v>1.8</c:v>
                </c:pt>
                <c:pt idx="1">
                  <c:v>1.8</c:v>
                </c:pt>
              </c:numCache>
            </c:numRef>
          </c:yVal>
          <c:smooth val="1"/>
        </c:ser>
        <c:ser>
          <c:idx val="29"/>
          <c:order val="29"/>
          <c:tx>
            <c:strRef>
              <c:f>Tools!$CP$65</c:f>
              <c:strCache>
                <c:ptCount val="1"/>
                <c:pt idx="0">
                  <c:v>WL 1.5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Tools!$CQ$65:$CR$65</c:f>
              <c:numCache>
                <c:formatCode>General</c:formatCode>
                <c:ptCount val="2"/>
                <c:pt idx="0">
                  <c:v>2.7</c:v>
                </c:pt>
                <c:pt idx="1">
                  <c:v>2.7</c:v>
                </c:pt>
              </c:numCache>
            </c:numRef>
          </c:yVal>
          <c:smooth val="1"/>
        </c:ser>
        <c:ser>
          <c:idx val="30"/>
          <c:order val="30"/>
          <c:tx>
            <c:strRef>
              <c:f>Tools!$CP$66</c:f>
              <c:strCache>
                <c:ptCount val="1"/>
                <c:pt idx="0">
                  <c:v>WL 2</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Tools!$CQ$66:$CR$66</c:f>
              <c:numCache>
                <c:formatCode>General</c:formatCode>
                <c:ptCount val="2"/>
                <c:pt idx="0">
                  <c:v>3.6</c:v>
                </c:pt>
                <c:pt idx="1">
                  <c:v>3.6</c:v>
                </c:pt>
              </c:numCache>
            </c:numRef>
          </c:yVal>
          <c:smooth val="1"/>
        </c:ser>
        <c:ser>
          <c:idx val="31"/>
          <c:order val="31"/>
          <c:tx>
            <c:strRef>
              <c:f>Tools!$CP$67</c:f>
              <c:strCache>
                <c:ptCount val="1"/>
                <c:pt idx="0">
                  <c:v>WL 3</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Tools!$CQ$67:$CR$67</c:f>
              <c:numCache>
                <c:formatCode>General</c:formatCode>
                <c:ptCount val="2"/>
                <c:pt idx="0">
                  <c:v>5.4</c:v>
                </c:pt>
                <c:pt idx="1">
                  <c:v>5.4</c:v>
                </c:pt>
              </c:numCache>
            </c:numRef>
          </c:yVal>
          <c:smooth val="1"/>
        </c:ser>
        <c:ser>
          <c:idx val="32"/>
          <c:order val="32"/>
          <c:tx>
            <c:strRef>
              <c:f>Tools!$CP$68</c:f>
              <c:strCache>
                <c:ptCount val="1"/>
                <c:pt idx="0">
                  <c:v>WL 4</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Tools!$CQ$68:$CR$68</c:f>
              <c:numCache>
                <c:formatCode>General</c:formatCode>
                <c:ptCount val="2"/>
                <c:pt idx="0">
                  <c:v>7.2</c:v>
                </c:pt>
                <c:pt idx="1">
                  <c:v>7.2</c:v>
                </c:pt>
              </c:numCache>
            </c:numRef>
          </c:yVal>
          <c:smooth val="1"/>
        </c:ser>
        <c:ser>
          <c:idx val="33"/>
          <c:order val="33"/>
          <c:tx>
            <c:strRef>
              <c:f>Tools!$CP$69</c:f>
              <c:strCache>
                <c:ptCount val="1"/>
                <c:pt idx="0">
                  <c:v>WL 5</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Tools!$CQ$69:$CR$69</c:f>
              <c:numCache>
                <c:formatCode>General</c:formatCode>
                <c:ptCount val="2"/>
                <c:pt idx="0">
                  <c:v>9</c:v>
                </c:pt>
                <c:pt idx="1">
                  <c:v>9</c:v>
                </c:pt>
              </c:numCache>
            </c:numRef>
          </c:yVal>
          <c:smooth val="1"/>
        </c:ser>
        <c:ser>
          <c:idx val="34"/>
          <c:order val="34"/>
          <c:tx>
            <c:strRef>
              <c:f>Tools!$CP$70</c:f>
              <c:strCache>
                <c:ptCount val="1"/>
                <c:pt idx="0">
                  <c:v>LWL</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Tools!$CQ$70:$CR$70</c:f>
              <c:numCache>
                <c:formatCode>General</c:formatCode>
                <c:ptCount val="2"/>
                <c:pt idx="0">
                  <c:v>10.1</c:v>
                </c:pt>
                <c:pt idx="1">
                  <c:v>10.1</c:v>
                </c:pt>
              </c:numCache>
            </c:numRef>
          </c:yVal>
          <c:smooth val="1"/>
        </c:ser>
        <c:ser>
          <c:idx val="35"/>
          <c:order val="35"/>
          <c:tx>
            <c:strRef>
              <c:f>Tools!$CP$71</c:f>
              <c:strCache>
                <c:ptCount val="1"/>
                <c:pt idx="0">
                  <c:v>WL 6</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Tools!$CQ$71:$CR$71</c:f>
              <c:numCache>
                <c:formatCode>General</c:formatCode>
                <c:ptCount val="2"/>
                <c:pt idx="0">
                  <c:v>10.8</c:v>
                </c:pt>
                <c:pt idx="1">
                  <c:v>10.8</c:v>
                </c:pt>
              </c:numCache>
            </c:numRef>
          </c:yVal>
          <c:smooth val="1"/>
        </c:ser>
        <c:ser>
          <c:idx val="36"/>
          <c:order val="36"/>
          <c:tx>
            <c:strRef>
              <c:f>Tools!$CP$72</c:f>
              <c:strCache>
                <c:ptCount val="1"/>
                <c:pt idx="0">
                  <c:v>WL 7</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Tools!$CQ$72:$CR$72</c:f>
              <c:numCache>
                <c:formatCode>General</c:formatCode>
                <c:ptCount val="2"/>
                <c:pt idx="0">
                  <c:v>12.6</c:v>
                </c:pt>
                <c:pt idx="1">
                  <c:v>12.6</c:v>
                </c:pt>
              </c:numCache>
            </c:numRef>
          </c:yVal>
          <c:smooth val="1"/>
        </c:ser>
        <c:ser>
          <c:idx val="37"/>
          <c:order val="37"/>
          <c:tx>
            <c:strRef>
              <c:f>Tools!$CP$73</c:f>
              <c:strCache>
                <c:ptCount val="1"/>
                <c:pt idx="0">
                  <c:v>MDK</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Tools!$CQ$73:$CR$73</c:f>
              <c:numCache>
                <c:formatCode>General</c:formatCode>
                <c:ptCount val="2"/>
                <c:pt idx="0">
                  <c:v>14.19</c:v>
                </c:pt>
                <c:pt idx="1">
                  <c:v>14.19</c:v>
                </c:pt>
              </c:numCache>
            </c:numRef>
          </c:yVal>
          <c:smooth val="1"/>
        </c:ser>
        <c:ser>
          <c:idx val="38"/>
          <c:order val="38"/>
          <c:tx>
            <c:strRef>
              <c:f>Tools!$CP$74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Tools!$CQ$74:$CR$74</c:f>
              <c:numCache>
                <c:formatCode>General</c:formatCode>
                <c:ptCount val="2"/>
                <c:pt idx="0">
                  <c:v>0</c:v>
                </c:pt>
                <c:pt idx="1">
                  <c:v>0</c:v>
                </c:pt>
              </c:numCache>
            </c:numRef>
          </c:yVal>
          <c:smooth val="1"/>
        </c:ser>
        <c:ser>
          <c:idx val="39"/>
          <c:order val="39"/>
          <c:tx>
            <c:strRef>
              <c:f>Tools!$CP$75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Tools!$CQ$75:$CR$75</c:f>
              <c:numCache>
                <c:formatCode>General</c:formatCode>
                <c:ptCount val="2"/>
                <c:pt idx="0">
                  <c:v>0</c:v>
                </c:pt>
                <c:pt idx="1">
                  <c:v>0</c:v>
                </c:pt>
              </c:numCache>
            </c:numRef>
          </c:yVal>
          <c:smooth val="1"/>
        </c:ser>
        <c:ser>
          <c:idx val="40"/>
          <c:order val="40"/>
          <c:tx>
            <c:strRef>
              <c:f>Tools!$CP$76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Tools!$CQ$76:$CR$76</c:f>
              <c:numCache>
                <c:formatCode>General</c:formatCode>
                <c:ptCount val="2"/>
                <c:pt idx="0">
                  <c:v>0</c:v>
                </c:pt>
                <c:pt idx="1">
                  <c:v>0</c:v>
                </c:pt>
              </c:numCache>
            </c:numRef>
          </c:yVal>
          <c:smooth val="1"/>
        </c:ser>
        <c:ser>
          <c:idx val="41"/>
          <c:order val="41"/>
          <c:tx>
            <c:strRef>
              <c:f>Tools!$CP$77</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Tools!$CQ$77:$CR$77</c:f>
              <c:numCache>
                <c:formatCode>General</c:formatCode>
                <c:ptCount val="2"/>
                <c:pt idx="0">
                  <c:v>0</c:v>
                </c:pt>
                <c:pt idx="1">
                  <c:v>0</c:v>
                </c:pt>
              </c:numCache>
            </c:numRef>
          </c:yVal>
          <c:smooth val="1"/>
        </c:ser>
        <c:ser>
          <c:idx val="42"/>
          <c:order val="42"/>
          <c:tx>
            <c:strRef>
              <c:f>Tools!$CP$78</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Tools!$CQ$78:$CR$78</c:f>
              <c:numCache>
                <c:formatCode>General</c:formatCode>
                <c:ptCount val="2"/>
                <c:pt idx="0">
                  <c:v>0</c:v>
                </c:pt>
                <c:pt idx="1">
                  <c:v>0</c:v>
                </c:pt>
              </c:numCache>
            </c:numRef>
          </c:yVal>
          <c:smooth val="1"/>
        </c:ser>
        <c:ser>
          <c:idx val="43"/>
          <c:order val="43"/>
          <c:tx>
            <c:strRef>
              <c:f>Tools!$CP$79</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Tools!$CQ$79:$CR$79</c:f>
              <c:numCache>
                <c:formatCode>General</c:formatCode>
                <c:ptCount val="2"/>
                <c:pt idx="0">
                  <c:v>0</c:v>
                </c:pt>
                <c:pt idx="1">
                  <c:v>0</c:v>
                </c:pt>
              </c:numCache>
            </c:numRef>
          </c:yVal>
          <c:smooth val="1"/>
        </c:ser>
        <c:ser>
          <c:idx val="44"/>
          <c:order val="44"/>
          <c:tx>
            <c:strRef>
              <c:f>Tools!$CP$80</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Tools!$CQ$80:$CR$80</c:f>
              <c:numCache>
                <c:formatCode>General</c:formatCode>
                <c:ptCount val="2"/>
                <c:pt idx="0">
                  <c:v>0</c:v>
                </c:pt>
                <c:pt idx="1">
                  <c:v>0</c:v>
                </c:pt>
              </c:numCache>
            </c:numRef>
          </c:yVal>
          <c:smooth val="1"/>
        </c:ser>
        <c:ser>
          <c:idx val="45"/>
          <c:order val="45"/>
          <c:tx>
            <c:strRef>
              <c:f>Tools!$CP$81</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Tools!$CQ$81:$CR$81</c:f>
              <c:numCache>
                <c:formatCode>General</c:formatCode>
                <c:ptCount val="2"/>
                <c:pt idx="0">
                  <c:v>0</c:v>
                </c:pt>
                <c:pt idx="1">
                  <c:v>0</c:v>
                </c:pt>
              </c:numCache>
            </c:numRef>
          </c:yVal>
          <c:smooth val="1"/>
        </c:ser>
        <c:ser>
          <c:idx val="46"/>
          <c:order val="46"/>
          <c:tx>
            <c:strRef>
              <c:f>Tools!$CP$82</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Tools!$CQ$82:$CR$82</c:f>
              <c:numCache>
                <c:formatCode>General</c:formatCode>
                <c:ptCount val="2"/>
                <c:pt idx="0">
                  <c:v>0</c:v>
                </c:pt>
                <c:pt idx="1">
                  <c:v>0</c:v>
                </c:pt>
              </c:numCache>
            </c:numRef>
          </c:yVal>
          <c:smooth val="1"/>
        </c:ser>
        <c:ser>
          <c:idx val="47"/>
          <c:order val="47"/>
          <c:tx>
            <c:strRef>
              <c:f>Tools!$CP$83</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Tools!$CQ$83:$CR$83</c:f>
              <c:numCache>
                <c:formatCode>General</c:formatCode>
                <c:ptCount val="2"/>
                <c:pt idx="0">
                  <c:v>0</c:v>
                </c:pt>
                <c:pt idx="1">
                  <c:v>0</c:v>
                </c:pt>
              </c:numCache>
            </c:numRef>
          </c:yVal>
          <c:smooth val="1"/>
        </c:ser>
        <c:ser>
          <c:idx val="48"/>
          <c:order val="48"/>
          <c:tx>
            <c:strRef>
              <c:f>Tools!$CP$84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Tools!$CQ$84:$CR$84</c:f>
              <c:numCache>
                <c:formatCode>General</c:formatCode>
                <c:ptCount val="2"/>
                <c:pt idx="0">
                  <c:v>0</c:v>
                </c:pt>
                <c:pt idx="1">
                  <c:v>0</c:v>
                </c:pt>
              </c:numCache>
            </c:numRef>
          </c:yVal>
          <c:smooth val="1"/>
        </c:ser>
        <c:ser>
          <c:idx val="49"/>
          <c:order val="49"/>
          <c:tx>
            <c:strRef>
              <c:f>Tools!$CP$85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Tools!$CQ$85:$CR$85</c:f>
              <c:numCache>
                <c:formatCode>General</c:formatCode>
                <c:ptCount val="2"/>
                <c:pt idx="0">
                  <c:v>0</c:v>
                </c:pt>
                <c:pt idx="1">
                  <c:v>0</c:v>
                </c:pt>
              </c:numCache>
            </c:numRef>
          </c:yVal>
          <c:smooth val="1"/>
        </c:ser>
        <c:ser>
          <c:idx val="50"/>
          <c:order val="50"/>
          <c:tx>
            <c:strRef>
              <c:f>Tools!$CP$86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-12.25</c:v>
                </c:pt>
                <c:pt idx="1">
                  <c:v>12.25</c:v>
                </c:pt>
              </c:numCache>
            </c:numRef>
          </c:xVal>
          <c:yVal>
            <c:numRef>
              <c:f>Tools!$CQ$86:$CR$86</c:f>
              <c:numCache>
                <c:formatCode>General</c:formatCode>
                <c:ptCount val="2"/>
                <c:pt idx="0">
                  <c:v>0</c:v>
                </c:pt>
                <c:pt idx="1">
                  <c:v>0</c:v>
                </c:pt>
              </c:numCache>
            </c:numRef>
          </c:yVal>
          <c:smooth val="1"/>
        </c:ser>
        <c:ser>
          <c:idx val="51"/>
          <c:order val="51"/>
          <c:tx>
            <c:strRef>
              <c:f>Tools!$CV$62</c:f>
              <c:strCache>
                <c:ptCount val="1"/>
                <c:pt idx="0">
                  <c:v>BTK 1</c:v>
                </c:pt>
              </c:strCache>
            </c:strRef>
          </c:tx>
          <c:spPr>
            <a:ln w="3175">
              <a:solidFill>
                <a:schemeClr val="bg1">
                  <a:lumMod val="75000"/>
                </a:schemeClr>
              </a:solidFill>
            </a:ln>
          </c:spPr>
          <c:marker>
            <c:symbol val="none"/>
          </c:marker>
          <c:xVal>
            <c:numRef>
              <c:f>Tools!$CW$62:$CX$62</c:f>
              <c:numCache>
                <c:formatCode>General</c:formatCode>
                <c:ptCount val="2"/>
                <c:pt idx="0">
                  <c:v>-4.083333333333333</c:v>
                </c:pt>
                <c:pt idx="1">
                  <c:v>-4.083333333333333</c:v>
                </c:pt>
              </c:numCache>
            </c:numRef>
          </c:xVal>
          <c:yVal>
            <c:numRef>
              <c:f>Tools!$CW$61:$CX$61</c:f>
              <c:numCache>
                <c:formatCode>General</c:formatCode>
                <c:ptCount val="2"/>
                <c:pt idx="0">
                  <c:v>0</c:v>
                </c:pt>
                <c:pt idx="1">
                  <c:v>14.19</c:v>
                </c:pt>
              </c:numCache>
            </c:numRef>
          </c:yVal>
          <c:smooth val="1"/>
        </c:ser>
        <c:ser>
          <c:idx val="52"/>
          <c:order val="52"/>
          <c:tx>
            <c:strRef>
              <c:f>Tools!$CV$63</c:f>
              <c:strCache>
                <c:ptCount val="1"/>
                <c:pt idx="0">
                  <c:v>BTK 2</c:v>
                </c:pt>
              </c:strCache>
            </c:strRef>
          </c:tx>
          <c:spPr>
            <a:ln w="3175">
              <a:solidFill>
                <a:schemeClr val="bg1">
                  <a:lumMod val="75000"/>
                </a:schemeClr>
              </a:solidFill>
            </a:ln>
          </c:spPr>
          <c:marker>
            <c:symbol val="none"/>
          </c:marker>
          <c:xVal>
            <c:numRef>
              <c:f>Tools!$CW$63:$CX$63</c:f>
              <c:numCache>
                <c:formatCode>General</c:formatCode>
                <c:ptCount val="2"/>
                <c:pt idx="0">
                  <c:v>-8.1666666666666661</c:v>
                </c:pt>
                <c:pt idx="1">
                  <c:v>-8.1666666666666661</c:v>
                </c:pt>
              </c:numCache>
            </c:numRef>
          </c:xVal>
          <c:yVal>
            <c:numRef>
              <c:f>Tools!$CW$61:$CX$61</c:f>
              <c:numCache>
                <c:formatCode>General</c:formatCode>
                <c:ptCount val="2"/>
                <c:pt idx="0">
                  <c:v>0</c:v>
                </c:pt>
                <c:pt idx="1">
                  <c:v>14.19</c:v>
                </c:pt>
              </c:numCache>
            </c:numRef>
          </c:yVal>
          <c:smooth val="1"/>
        </c:ser>
        <c:ser>
          <c:idx val="53"/>
          <c:order val="53"/>
          <c:tx>
            <c:strRef>
              <c:f>Tools!$CV$64</c:f>
              <c:strCache>
                <c:ptCount val="1"/>
                <c:pt idx="0">
                  <c:v>SIDE</c:v>
                </c:pt>
              </c:strCache>
            </c:strRef>
          </c:tx>
          <c:spPr>
            <a:ln w="3175">
              <a:solidFill>
                <a:schemeClr val="bg1">
                  <a:lumMod val="75000"/>
                </a:schemeClr>
              </a:solidFill>
            </a:ln>
          </c:spPr>
          <c:marker>
            <c:symbol val="none"/>
          </c:marker>
          <c:xVal>
            <c:numRef>
              <c:f>Tools!$CW$64:$CX$64</c:f>
              <c:numCache>
                <c:formatCode>General</c:formatCode>
                <c:ptCount val="2"/>
                <c:pt idx="0">
                  <c:v>-12.25</c:v>
                </c:pt>
                <c:pt idx="1">
                  <c:v>-12.25</c:v>
                </c:pt>
              </c:numCache>
            </c:numRef>
          </c:xVal>
          <c:yVal>
            <c:numRef>
              <c:f>Tools!$CW$61:$CX$61</c:f>
              <c:numCache>
                <c:formatCode>General</c:formatCode>
                <c:ptCount val="2"/>
                <c:pt idx="0">
                  <c:v>0</c:v>
                </c:pt>
                <c:pt idx="1">
                  <c:v>14.19</c:v>
                </c:pt>
              </c:numCache>
            </c:numRef>
          </c:yVal>
          <c:smooth val="1"/>
        </c:ser>
        <c:ser>
          <c:idx val="54"/>
          <c:order val="54"/>
          <c:tx>
            <c:strRef>
              <c:f>Tools!$CV$65</c:f>
              <c:strCache>
                <c:ptCount val="1"/>
                <c:pt idx="0">
                  <c:v> </c:v>
                </c:pt>
              </c:strCache>
            </c:strRef>
          </c:tx>
          <c:spPr>
            <a:ln w="3175">
              <a:solidFill>
                <a:schemeClr val="bg1">
                  <a:lumMod val="75000"/>
                </a:schemeClr>
              </a:solidFill>
            </a:ln>
          </c:spPr>
          <c:marker>
            <c:symbol val="none"/>
          </c:marker>
          <c:xVal>
            <c:numRef>
              <c:f>Tools!$CW$65:$CX$65</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5"/>
          <c:order val="55"/>
          <c:tx>
            <c:strRef>
              <c:f>Tools!$CV$66</c:f>
              <c:strCache>
                <c:ptCount val="1"/>
                <c:pt idx="0">
                  <c:v> </c:v>
                </c:pt>
              </c:strCache>
            </c:strRef>
          </c:tx>
          <c:spPr>
            <a:ln w="3175">
              <a:solidFill>
                <a:schemeClr val="bg1">
                  <a:lumMod val="75000"/>
                </a:schemeClr>
              </a:solidFill>
            </a:ln>
          </c:spPr>
          <c:marker>
            <c:symbol val="none"/>
          </c:marker>
          <c:xVal>
            <c:numRef>
              <c:f>Tools!$CW$66:$CX$66</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6"/>
          <c:order val="56"/>
          <c:tx>
            <c:strRef>
              <c:f>Tools!$CV$67</c:f>
              <c:strCache>
                <c:ptCount val="1"/>
                <c:pt idx="0">
                  <c:v> </c:v>
                </c:pt>
              </c:strCache>
            </c:strRef>
          </c:tx>
          <c:spPr>
            <a:ln w="3175">
              <a:solidFill>
                <a:schemeClr val="bg1">
                  <a:lumMod val="75000"/>
                </a:schemeClr>
              </a:solidFill>
            </a:ln>
          </c:spPr>
          <c:marker>
            <c:symbol val="none"/>
          </c:marker>
          <c:xVal>
            <c:numRef>
              <c:f>Tools!$CW$67:$CX$67</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7"/>
          <c:order val="57"/>
          <c:tx>
            <c:strRef>
              <c:f>Tools!$CV$68</c:f>
              <c:strCache>
                <c:ptCount val="1"/>
                <c:pt idx="0">
                  <c:v> </c:v>
                </c:pt>
              </c:strCache>
            </c:strRef>
          </c:tx>
          <c:spPr>
            <a:ln w="3175">
              <a:solidFill>
                <a:schemeClr val="bg1">
                  <a:lumMod val="75000"/>
                </a:schemeClr>
              </a:solidFill>
            </a:ln>
          </c:spPr>
          <c:marker>
            <c:symbol val="none"/>
          </c:marker>
          <c:xVal>
            <c:numRef>
              <c:f>Tools!$CW$68:$CX$68</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8"/>
          <c:order val="58"/>
          <c:tx>
            <c:strRef>
              <c:f>Tools!$CV$69</c:f>
              <c:strCache>
                <c:ptCount val="1"/>
                <c:pt idx="0">
                  <c:v> </c:v>
                </c:pt>
              </c:strCache>
            </c:strRef>
          </c:tx>
          <c:spPr>
            <a:ln w="3175">
              <a:solidFill>
                <a:schemeClr val="bg1">
                  <a:lumMod val="75000"/>
                </a:schemeClr>
              </a:solidFill>
            </a:ln>
          </c:spPr>
          <c:marker>
            <c:symbol val="none"/>
          </c:marker>
          <c:xVal>
            <c:numRef>
              <c:f>Tools!$CW$69:$CX$69</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59"/>
          <c:order val="59"/>
          <c:tx>
            <c:strRef>
              <c:f>Tools!$CV$70</c:f>
              <c:strCache>
                <c:ptCount val="1"/>
                <c:pt idx="0">
                  <c:v> </c:v>
                </c:pt>
              </c:strCache>
            </c:strRef>
          </c:tx>
          <c:spPr>
            <a:ln w="3175">
              <a:solidFill>
                <a:schemeClr val="bg1">
                  <a:lumMod val="75000"/>
                </a:schemeClr>
              </a:solidFill>
            </a:ln>
          </c:spPr>
          <c:marker>
            <c:symbol val="none"/>
          </c:marker>
          <c:xVal>
            <c:numRef>
              <c:f>Tools!$CW$70:$CX$70</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0"/>
          <c:order val="60"/>
          <c:tx>
            <c:strRef>
              <c:f>Tools!$CV$71</c:f>
              <c:strCache>
                <c:ptCount val="1"/>
                <c:pt idx="0">
                  <c:v> </c:v>
                </c:pt>
              </c:strCache>
            </c:strRef>
          </c:tx>
          <c:spPr>
            <a:ln w="3175">
              <a:solidFill>
                <a:schemeClr val="bg1">
                  <a:lumMod val="75000"/>
                </a:schemeClr>
              </a:solidFill>
            </a:ln>
          </c:spPr>
          <c:marker>
            <c:symbol val="none"/>
          </c:marker>
          <c:xVal>
            <c:numRef>
              <c:f>Tools!$CW$71:$CX$71</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1"/>
          <c:order val="61"/>
          <c:tx>
            <c:strRef>
              <c:f>Tools!$CV$72</c:f>
              <c:strCache>
                <c:ptCount val="1"/>
                <c:pt idx="0">
                  <c:v>CL</c:v>
                </c:pt>
              </c:strCache>
            </c:strRef>
          </c:tx>
          <c:spPr>
            <a:ln w="3175">
              <a:solidFill>
                <a:schemeClr val="bg1">
                  <a:lumMod val="75000"/>
                </a:schemeClr>
              </a:solidFill>
            </a:ln>
          </c:spPr>
          <c:marker>
            <c:symbol val="none"/>
          </c:marker>
          <c:xVal>
            <c:numRef>
              <c:f>Tools!$CW$72:$CX$72</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2"/>
          <c:order val="62"/>
          <c:tx>
            <c:strRef>
              <c:f>Tools!$CV$62</c:f>
              <c:strCache>
                <c:ptCount val="1"/>
                <c:pt idx="0">
                  <c:v>BTK 1</c:v>
                </c:pt>
              </c:strCache>
            </c:strRef>
          </c:tx>
          <c:spPr>
            <a:ln w="3175">
              <a:solidFill>
                <a:schemeClr val="bg1">
                  <a:lumMod val="75000"/>
                </a:schemeClr>
              </a:solidFill>
            </a:ln>
          </c:spPr>
          <c:marker>
            <c:symbol val="none"/>
          </c:marker>
          <c:xVal>
            <c:numRef>
              <c:f>Tools!$CY$62:$CZ$62</c:f>
              <c:numCache>
                <c:formatCode>General</c:formatCode>
                <c:ptCount val="2"/>
                <c:pt idx="0">
                  <c:v>4.083333333333333</c:v>
                </c:pt>
                <c:pt idx="1">
                  <c:v>4.083333333333333</c:v>
                </c:pt>
              </c:numCache>
            </c:numRef>
          </c:xVal>
          <c:yVal>
            <c:numRef>
              <c:f>Tools!$CW$61:$CX$61</c:f>
              <c:numCache>
                <c:formatCode>General</c:formatCode>
                <c:ptCount val="2"/>
                <c:pt idx="0">
                  <c:v>0</c:v>
                </c:pt>
                <c:pt idx="1">
                  <c:v>14.19</c:v>
                </c:pt>
              </c:numCache>
            </c:numRef>
          </c:yVal>
          <c:smooth val="1"/>
        </c:ser>
        <c:ser>
          <c:idx val="63"/>
          <c:order val="63"/>
          <c:tx>
            <c:strRef>
              <c:f>Tools!$CV$63</c:f>
              <c:strCache>
                <c:ptCount val="1"/>
                <c:pt idx="0">
                  <c:v>BTK 2</c:v>
                </c:pt>
              </c:strCache>
            </c:strRef>
          </c:tx>
          <c:spPr>
            <a:ln w="3175">
              <a:solidFill>
                <a:schemeClr val="bg1">
                  <a:lumMod val="75000"/>
                </a:schemeClr>
              </a:solidFill>
            </a:ln>
          </c:spPr>
          <c:marker>
            <c:symbol val="none"/>
          </c:marker>
          <c:xVal>
            <c:numRef>
              <c:f>Tools!$CY$63:$CZ$63</c:f>
              <c:numCache>
                <c:formatCode>General</c:formatCode>
                <c:ptCount val="2"/>
                <c:pt idx="0">
                  <c:v>8.1666666666666661</c:v>
                </c:pt>
                <c:pt idx="1">
                  <c:v>8.1666666666666661</c:v>
                </c:pt>
              </c:numCache>
            </c:numRef>
          </c:xVal>
          <c:yVal>
            <c:numRef>
              <c:f>Tools!$CW$61:$CX$61</c:f>
              <c:numCache>
                <c:formatCode>General</c:formatCode>
                <c:ptCount val="2"/>
                <c:pt idx="0">
                  <c:v>0</c:v>
                </c:pt>
                <c:pt idx="1">
                  <c:v>14.19</c:v>
                </c:pt>
              </c:numCache>
            </c:numRef>
          </c:yVal>
          <c:smooth val="1"/>
        </c:ser>
        <c:ser>
          <c:idx val="64"/>
          <c:order val="64"/>
          <c:tx>
            <c:strRef>
              <c:f>Tools!$CV$64</c:f>
              <c:strCache>
                <c:ptCount val="1"/>
                <c:pt idx="0">
                  <c:v>SIDE</c:v>
                </c:pt>
              </c:strCache>
            </c:strRef>
          </c:tx>
          <c:spPr>
            <a:ln w="3175">
              <a:solidFill>
                <a:schemeClr val="bg1">
                  <a:lumMod val="75000"/>
                </a:schemeClr>
              </a:solidFill>
            </a:ln>
          </c:spPr>
          <c:marker>
            <c:symbol val="none"/>
          </c:marker>
          <c:xVal>
            <c:numRef>
              <c:f>Tools!$CY$64:$CZ$64</c:f>
              <c:numCache>
                <c:formatCode>General</c:formatCode>
                <c:ptCount val="2"/>
                <c:pt idx="0">
                  <c:v>12.25</c:v>
                </c:pt>
                <c:pt idx="1">
                  <c:v>12.25</c:v>
                </c:pt>
              </c:numCache>
            </c:numRef>
          </c:xVal>
          <c:yVal>
            <c:numRef>
              <c:f>Tools!$CW$61:$CX$61</c:f>
              <c:numCache>
                <c:formatCode>General</c:formatCode>
                <c:ptCount val="2"/>
                <c:pt idx="0">
                  <c:v>0</c:v>
                </c:pt>
                <c:pt idx="1">
                  <c:v>14.19</c:v>
                </c:pt>
              </c:numCache>
            </c:numRef>
          </c:yVal>
          <c:smooth val="1"/>
        </c:ser>
        <c:ser>
          <c:idx val="65"/>
          <c:order val="65"/>
          <c:tx>
            <c:strRef>
              <c:f>Tools!$CV$65</c:f>
              <c:strCache>
                <c:ptCount val="1"/>
                <c:pt idx="0">
                  <c:v> </c:v>
                </c:pt>
              </c:strCache>
            </c:strRef>
          </c:tx>
          <c:spPr>
            <a:ln w="3175">
              <a:solidFill>
                <a:schemeClr val="bg1">
                  <a:lumMod val="75000"/>
                </a:schemeClr>
              </a:solidFill>
            </a:ln>
          </c:spPr>
          <c:marker>
            <c:symbol val="none"/>
          </c:marker>
          <c:xVal>
            <c:numRef>
              <c:f>Tools!$CY$65:$CZ$65</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6"/>
          <c:order val="66"/>
          <c:tx>
            <c:strRef>
              <c:f>Tools!$CV$66</c:f>
              <c:strCache>
                <c:ptCount val="1"/>
                <c:pt idx="0">
                  <c:v> </c:v>
                </c:pt>
              </c:strCache>
            </c:strRef>
          </c:tx>
          <c:spPr>
            <a:ln w="3175">
              <a:solidFill>
                <a:schemeClr val="bg1">
                  <a:lumMod val="75000"/>
                </a:schemeClr>
              </a:solidFill>
            </a:ln>
          </c:spPr>
          <c:marker>
            <c:symbol val="none"/>
          </c:marker>
          <c:xVal>
            <c:numRef>
              <c:f>Tools!$CY$66:$CZ$66</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7"/>
          <c:order val="67"/>
          <c:tx>
            <c:strRef>
              <c:f>Tools!$CV$67</c:f>
              <c:strCache>
                <c:ptCount val="1"/>
                <c:pt idx="0">
                  <c:v> </c:v>
                </c:pt>
              </c:strCache>
            </c:strRef>
          </c:tx>
          <c:spPr>
            <a:ln w="3175">
              <a:solidFill>
                <a:schemeClr val="bg1">
                  <a:lumMod val="75000"/>
                </a:schemeClr>
              </a:solidFill>
            </a:ln>
          </c:spPr>
          <c:marker>
            <c:symbol val="none"/>
          </c:marker>
          <c:xVal>
            <c:numRef>
              <c:f>Tools!$CY$67:$CZ$67</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8"/>
          <c:order val="68"/>
          <c:tx>
            <c:strRef>
              <c:f>Tools!$CV$68</c:f>
              <c:strCache>
                <c:ptCount val="1"/>
                <c:pt idx="0">
                  <c:v> </c:v>
                </c:pt>
              </c:strCache>
            </c:strRef>
          </c:tx>
          <c:spPr>
            <a:ln w="3175">
              <a:solidFill>
                <a:schemeClr val="bg1">
                  <a:lumMod val="75000"/>
                </a:schemeClr>
              </a:solidFill>
            </a:ln>
          </c:spPr>
          <c:marker>
            <c:symbol val="none"/>
          </c:marker>
          <c:xVal>
            <c:numRef>
              <c:f>Tools!$CY$68:$CZ$68</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69"/>
          <c:order val="69"/>
          <c:tx>
            <c:strRef>
              <c:f>Tools!$CV$69</c:f>
              <c:strCache>
                <c:ptCount val="1"/>
                <c:pt idx="0">
                  <c:v> </c:v>
                </c:pt>
              </c:strCache>
            </c:strRef>
          </c:tx>
          <c:spPr>
            <a:ln w="3175">
              <a:solidFill>
                <a:schemeClr val="bg1">
                  <a:lumMod val="75000"/>
                </a:schemeClr>
              </a:solidFill>
            </a:ln>
          </c:spPr>
          <c:marker>
            <c:symbol val="none"/>
          </c:marker>
          <c:xVal>
            <c:numRef>
              <c:f>Tools!$CY$69:$CZ$69</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70"/>
          <c:order val="70"/>
          <c:tx>
            <c:strRef>
              <c:f>Tools!$CV$70</c:f>
              <c:strCache>
                <c:ptCount val="1"/>
                <c:pt idx="0">
                  <c:v> </c:v>
                </c:pt>
              </c:strCache>
            </c:strRef>
          </c:tx>
          <c:spPr>
            <a:ln w="3175">
              <a:solidFill>
                <a:schemeClr val="bg1">
                  <a:lumMod val="75000"/>
                </a:schemeClr>
              </a:solidFill>
            </a:ln>
          </c:spPr>
          <c:marker>
            <c:symbol val="none"/>
          </c:marker>
          <c:xVal>
            <c:numRef>
              <c:f>Tools!$CY$70:$CZ$70</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ser>
          <c:idx val="71"/>
          <c:order val="71"/>
          <c:tx>
            <c:strRef>
              <c:f>Tools!$CV$71</c:f>
              <c:strCache>
                <c:ptCount val="1"/>
                <c:pt idx="0">
                  <c:v> </c:v>
                </c:pt>
              </c:strCache>
            </c:strRef>
          </c:tx>
          <c:spPr>
            <a:ln w="3175">
              <a:solidFill>
                <a:schemeClr val="bg1">
                  <a:lumMod val="75000"/>
                </a:schemeClr>
              </a:solidFill>
            </a:ln>
          </c:spPr>
          <c:marker>
            <c:symbol val="none"/>
          </c:marker>
          <c:xVal>
            <c:numRef>
              <c:f>Tools!$CY$71:$CZ$71</c:f>
              <c:numCache>
                <c:formatCode>General</c:formatCode>
                <c:ptCount val="2"/>
                <c:pt idx="0">
                  <c:v>0</c:v>
                </c:pt>
                <c:pt idx="1">
                  <c:v>0</c:v>
                </c:pt>
              </c:numCache>
            </c:numRef>
          </c:xVal>
          <c:yVal>
            <c:numRef>
              <c:f>Tools!$CW$61:$CX$61</c:f>
              <c:numCache>
                <c:formatCode>General</c:formatCode>
                <c:ptCount val="2"/>
                <c:pt idx="0">
                  <c:v>0</c:v>
                </c:pt>
                <c:pt idx="1">
                  <c:v>14.19</c:v>
                </c:pt>
              </c:numCache>
            </c:numRef>
          </c:yVal>
          <c:smooth val="1"/>
        </c:ser>
        <c:dLbls>
          <c:showLegendKey val="0"/>
          <c:showVal val="0"/>
          <c:showCatName val="0"/>
          <c:showSerName val="0"/>
          <c:showPercent val="0"/>
          <c:showBubbleSize val="0"/>
        </c:dLbls>
        <c:axId val="563862144"/>
        <c:axId val="563868032"/>
      </c:scatterChart>
      <c:valAx>
        <c:axId val="563862144"/>
        <c:scaling>
          <c:orientation val="minMax"/>
        </c:scaling>
        <c:delete val="1"/>
        <c:axPos val="b"/>
        <c:numFmt formatCode="General" sourceLinked="1"/>
        <c:majorTickMark val="out"/>
        <c:minorTickMark val="none"/>
        <c:tickLblPos val="nextTo"/>
        <c:crossAx val="563868032"/>
        <c:crosses val="autoZero"/>
        <c:crossBetween val="midCat"/>
        <c:majorUnit val="0.1"/>
        <c:minorUnit val="5.000000000000001E-2"/>
      </c:valAx>
      <c:valAx>
        <c:axId val="563868032"/>
        <c:scaling>
          <c:orientation val="minMax"/>
          <c:min val="0"/>
        </c:scaling>
        <c:delete val="0"/>
        <c:axPos val="l"/>
        <c:majorGridlines>
          <c:spPr>
            <a:ln>
              <a:noFill/>
            </a:ln>
          </c:spPr>
        </c:majorGridlines>
        <c:numFmt formatCode="General" sourceLinked="1"/>
        <c:majorTickMark val="out"/>
        <c:minorTickMark val="none"/>
        <c:tickLblPos val="nextTo"/>
        <c:crossAx val="563862144"/>
        <c:crosses val="autoZero"/>
        <c:crossBetween val="midCat"/>
        <c:majorUnit val="1"/>
      </c:valAx>
      <c:spPr>
        <a:noFill/>
        <a:ln>
          <a:noFill/>
        </a:ln>
      </c:spPr>
    </c:plotArea>
    <c:legend>
      <c:legendPos val="r"/>
      <c:legendEntry>
        <c:idx val="25"/>
        <c:txPr>
          <a:bodyPr/>
          <a:lstStyle/>
          <a:p>
            <a:pPr>
              <a:defRPr sz="1400">
                <a:solidFill>
                  <a:schemeClr val="bg1"/>
                </a:solidFill>
              </a:defRPr>
            </a:pPr>
            <a:endParaRPr lang="en-US"/>
          </a:p>
        </c:txPr>
      </c:legendEntry>
      <c:layout>
        <c:manualLayout>
          <c:xMode val="edge"/>
          <c:yMode val="edge"/>
          <c:x val="0.81867932506519137"/>
          <c:y val="2.9591106189184382E-2"/>
          <c:w val="0.18132067493480877"/>
          <c:h val="0.95350286467109902"/>
        </c:manualLayout>
      </c:layout>
      <c:overlay val="0"/>
      <c:txPr>
        <a:bodyPr/>
        <a:lstStyle/>
        <a:p>
          <a:pPr>
            <a:defRPr sz="1400"/>
          </a:pPr>
          <a:endParaRPr lang="en-US"/>
        </a:p>
      </c:txPr>
    </c:legend>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Drop" dropStyle="combo" dx="16" fmlaLink="Tools!$L$55" fmlaRange="Tools!$L$62:$L$63" noThreeD="1" val="0"/>
</file>

<file path=xl/ctrlProps/ctrlProp2.xml><?xml version="1.0" encoding="utf-8"?>
<formControlPr xmlns="http://schemas.microsoft.com/office/spreadsheetml/2009/9/main" objectType="Drop" dropStyle="combo" dx="16" fmlaLink="Tools!$L$55" fmlaRange="Tools!$L$62:$L$63" noThreeD="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editAs="oneCell">
    <xdr:from>
      <xdr:col>0</xdr:col>
      <xdr:colOff>108857</xdr:colOff>
      <xdr:row>27</xdr:row>
      <xdr:rowOff>100631</xdr:rowOff>
    </xdr:from>
    <xdr:to>
      <xdr:col>43</xdr:col>
      <xdr:colOff>217714</xdr:colOff>
      <xdr:row>46</xdr:row>
      <xdr:rowOff>0</xdr:rowOff>
    </xdr:to>
    <xdr:graphicFrame macro="">
      <xdr:nvGraphicFramePr>
        <xdr:cNvPr id="5" name="Chart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95251</xdr:colOff>
      <xdr:row>0</xdr:row>
      <xdr:rowOff>68034</xdr:rowOff>
    </xdr:from>
    <xdr:to>
      <xdr:col>15</xdr:col>
      <xdr:colOff>517072</xdr:colOff>
      <xdr:row>27</xdr:row>
      <xdr:rowOff>95249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0.34263</cdr:x>
      <cdr:y>0.71166</cdr:y>
    </cdr:from>
    <cdr:to>
      <cdr:x>0.51257</cdr:x>
      <cdr:y>1</cdr:y>
    </cdr:to>
    <cdr:sp macro="" textlink="">
      <cdr:nvSpPr>
        <cdr:cNvPr id="2" name="TextBox 1"/>
        <cdr:cNvSpPr txBox="1"/>
      </cdr:nvSpPr>
      <cdr:spPr>
        <a:xfrm xmlns:a="http://schemas.openxmlformats.org/drawingml/2006/main">
          <a:off x="8480564" y="2504238"/>
          <a:ext cx="4206252" cy="1014631"/>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ctr"/>
          <a:r>
            <a:rPr lang="en-IN" sz="2000" b="0"/>
            <a:t>Halfbreadth Plan</a:t>
          </a:r>
        </a:p>
      </cdr:txBody>
    </cdr:sp>
  </cdr:relSizeAnchor>
  <cdr:relSizeAnchor xmlns:cdr="http://schemas.openxmlformats.org/drawingml/2006/chartDrawing">
    <cdr:from>
      <cdr:x>0.28092</cdr:x>
      <cdr:y>0.01394</cdr:y>
    </cdr:from>
    <cdr:to>
      <cdr:x>0.31941</cdr:x>
      <cdr:y>0.08741</cdr:y>
    </cdr:to>
    <cdr:sp macro="" textlink="">
      <cdr:nvSpPr>
        <cdr:cNvPr id="3" name="TextBox 2"/>
        <cdr:cNvSpPr txBox="1"/>
      </cdr:nvSpPr>
      <cdr:spPr>
        <a:xfrm xmlns:a="http://schemas.openxmlformats.org/drawingml/2006/main">
          <a:off x="6953250" y="49048"/>
          <a:ext cx="952500" cy="258536"/>
        </a:xfrm>
        <a:prstGeom xmlns:a="http://schemas.openxmlformats.org/drawingml/2006/main" prst="rect">
          <a:avLst/>
        </a:prstGeom>
      </cdr:spPr>
      <cdr:txBody>
        <a:bodyPr xmlns:a="http://schemas.openxmlformats.org/drawingml/2006/main" vertOverflow="clip" wrap="none" rtlCol="0" anchor="t"/>
        <a:lstStyle xmlns:a="http://schemas.openxmlformats.org/drawingml/2006/main"/>
        <a:p xmlns:a="http://schemas.openxmlformats.org/drawingml/2006/main">
          <a:r>
            <a:rPr lang="en-IN" sz="1200">
              <a:solidFill>
                <a:srgbClr val="C00000"/>
              </a:solidFill>
            </a:rPr>
            <a:t>(Length &amp; breadth</a:t>
          </a:r>
          <a:r>
            <a:rPr lang="en-IN" sz="1200" baseline="0">
              <a:solidFill>
                <a:srgbClr val="C00000"/>
              </a:solidFill>
            </a:rPr>
            <a:t> </a:t>
          </a:r>
          <a:r>
            <a:rPr lang="en-IN" sz="1200">
              <a:solidFill>
                <a:srgbClr val="C00000"/>
              </a:solidFill>
            </a:rPr>
            <a:t>are not uniformly scaled)</a:t>
          </a:r>
        </a:p>
      </cdr:txBody>
    </cdr:sp>
  </cdr:relSizeAnchor>
</c:userShapes>
</file>

<file path=xl/drawings/drawing3.xml><?xml version="1.0" encoding="utf-8"?>
<c:userShapes xmlns:c="http://schemas.openxmlformats.org/drawingml/2006/chart">
  <cdr:relSizeAnchor xmlns:cdr="http://schemas.openxmlformats.org/drawingml/2006/chartDrawing">
    <cdr:from>
      <cdr:x>0.32846</cdr:x>
      <cdr:y>0.80969</cdr:y>
    </cdr:from>
    <cdr:to>
      <cdr:x>0.4152</cdr:x>
      <cdr:y>0.99646</cdr:y>
    </cdr:to>
    <cdr:sp macro="" textlink="">
      <cdr:nvSpPr>
        <cdr:cNvPr id="2" name="TextBox 1"/>
        <cdr:cNvSpPr txBox="1"/>
      </cdr:nvSpPr>
      <cdr:spPr>
        <a:xfrm xmlns:a="http://schemas.openxmlformats.org/drawingml/2006/main">
          <a:off x="3462771" y="3964132"/>
          <a:ext cx="914400" cy="914400"/>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ctr"/>
          <a:r>
            <a:rPr lang="en-IN" sz="2000"/>
            <a:t>Body</a:t>
          </a:r>
          <a:r>
            <a:rPr lang="en-IN" sz="2000" baseline="0"/>
            <a:t> Plan</a:t>
          </a:r>
          <a:endParaRPr lang="en-IN" sz="2000"/>
        </a:p>
      </cdr:txBody>
    </cdr:sp>
  </cdr:relSizeAnchor>
  <cdr:relSizeAnchor xmlns:cdr="http://schemas.openxmlformats.org/drawingml/2006/chartDrawing">
    <cdr:from>
      <cdr:x>0.5363</cdr:x>
      <cdr:y>0.94221</cdr:y>
    </cdr:from>
    <cdr:to>
      <cdr:x>0.66623</cdr:x>
      <cdr:y>0.99246</cdr:y>
    </cdr:to>
    <cdr:sp macro="" textlink="">
      <cdr:nvSpPr>
        <cdr:cNvPr id="3" name="TextBox 1"/>
        <cdr:cNvSpPr txBox="1"/>
      </cdr:nvSpPr>
      <cdr:spPr>
        <a:xfrm xmlns:a="http://schemas.openxmlformats.org/drawingml/2006/main">
          <a:off x="4422320" y="5102680"/>
          <a:ext cx="1071336" cy="272142"/>
        </a:xfrm>
        <a:prstGeom xmlns:a="http://schemas.openxmlformats.org/drawingml/2006/main" prst="rect">
          <a:avLst/>
        </a:prstGeom>
      </cdr:spPr>
      <cdr:txBody>
        <a:bodyPr xmlns:a="http://schemas.openxmlformats.org/drawingml/2006/main" wrap="non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a:solidFill>
                <a:srgbClr val="C00000"/>
              </a:solidFill>
            </a:rPr>
            <a:t>(Breadth &amp; depth are not uniformly scaled)</a:t>
          </a: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31748</xdr:colOff>
      <xdr:row>42</xdr:row>
      <xdr:rowOff>47623</xdr:rowOff>
    </xdr:from>
    <xdr:to>
      <xdr:col>28</xdr:col>
      <xdr:colOff>47624</xdr:colOff>
      <xdr:row>55</xdr:row>
      <xdr:rowOff>142874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163285</xdr:colOff>
      <xdr:row>0</xdr:row>
      <xdr:rowOff>95251</xdr:rowOff>
    </xdr:from>
    <xdr:to>
      <xdr:col>31</xdr:col>
      <xdr:colOff>349251</xdr:colOff>
      <xdr:row>13</xdr:row>
      <xdr:rowOff>111125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88446</xdr:colOff>
      <xdr:row>14</xdr:row>
      <xdr:rowOff>140607</xdr:rowOff>
    </xdr:from>
    <xdr:to>
      <xdr:col>31</xdr:col>
      <xdr:colOff>428625</xdr:colOff>
      <xdr:row>28</xdr:row>
      <xdr:rowOff>95250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149680</xdr:colOff>
      <xdr:row>1</xdr:row>
      <xdr:rowOff>68036</xdr:rowOff>
    </xdr:from>
    <xdr:to>
      <xdr:col>13</xdr:col>
      <xdr:colOff>299358</xdr:colOff>
      <xdr:row>27</xdr:row>
      <xdr:rowOff>95251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29482</xdr:colOff>
      <xdr:row>28</xdr:row>
      <xdr:rowOff>133804</xdr:rowOff>
    </xdr:from>
    <xdr:to>
      <xdr:col>32</xdr:col>
      <xdr:colOff>247196</xdr:colOff>
      <xdr:row>41</xdr:row>
      <xdr:rowOff>162885</xdr:rowOff>
    </xdr:to>
    <xdr:graphicFrame macro="">
      <xdr:nvGraphicFramePr>
        <xdr:cNvPr id="7" name="Chart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272143</xdr:colOff>
      <xdr:row>13</xdr:row>
      <xdr:rowOff>68036</xdr:rowOff>
    </xdr:from>
    <xdr:to>
      <xdr:col>32</xdr:col>
      <xdr:colOff>353785</xdr:colOff>
      <xdr:row>14</xdr:row>
      <xdr:rowOff>149678</xdr:rowOff>
    </xdr:to>
    <xdr:sp macro="" textlink="">
      <xdr:nvSpPr>
        <xdr:cNvPr id="4" name="TextBox 3"/>
        <xdr:cNvSpPr txBox="1"/>
      </xdr:nvSpPr>
      <xdr:spPr>
        <a:xfrm>
          <a:off x="12409714" y="2952750"/>
          <a:ext cx="7429500" cy="272142"/>
        </a:xfrm>
        <a:prstGeom prst="rect">
          <a:avLst/>
        </a:prstGeom>
        <a:solidFill>
          <a:schemeClr val="accent3">
            <a:lumMod val="20000"/>
            <a:lumOff val="80000"/>
          </a:schemeClr>
        </a:solidFill>
        <a:ln w="9525" cmpd="sng">
          <a:solidFill>
            <a:schemeClr val="accent1">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rgbClr val="C00000"/>
              </a:solidFill>
            </a:rPr>
            <a:t>Adjust Red dots (Rise of keel points) </a:t>
          </a:r>
          <a:r>
            <a:rPr lang="en-IN" sz="1200" baseline="0">
              <a:solidFill>
                <a:srgbClr val="C00000"/>
              </a:solidFill>
            </a:rPr>
            <a:t> to make it coincided it with </a:t>
          </a:r>
          <a:r>
            <a:rPr lang="en-IN" sz="1200">
              <a:solidFill>
                <a:srgbClr val="C00000"/>
              </a:solidFill>
            </a:rPr>
            <a:t>blue line (stem/stern offset data)  (Not necessary)</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0.2576</cdr:x>
      <cdr:y>0.02504</cdr:y>
    </cdr:from>
    <cdr:to>
      <cdr:x>0.29098</cdr:x>
      <cdr:y>0.09662</cdr:y>
    </cdr:to>
    <cdr:sp macro="" textlink="">
      <cdr:nvSpPr>
        <cdr:cNvPr id="2" name="TextBox 1"/>
        <cdr:cNvSpPr txBox="1"/>
      </cdr:nvSpPr>
      <cdr:spPr>
        <a:xfrm xmlns:a="http://schemas.openxmlformats.org/drawingml/2006/main">
          <a:off x="5180693" y="64407"/>
          <a:ext cx="671261" cy="18408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a:solidFill>
                <a:srgbClr val="C00000"/>
              </a:solidFill>
            </a:rPr>
            <a:t>(Length &amp; depth</a:t>
          </a:r>
          <a:r>
            <a:rPr lang="en-IN" sz="1200" baseline="0">
              <a:solidFill>
                <a:srgbClr val="C00000"/>
              </a:solidFill>
            </a:rPr>
            <a:t> </a:t>
          </a:r>
          <a:r>
            <a:rPr lang="en-IN" sz="1200">
              <a:solidFill>
                <a:srgbClr val="C00000"/>
              </a:solidFill>
            </a:rPr>
            <a:t>are not uniformly scaled)</a:t>
          </a:r>
        </a:p>
      </cdr:txBody>
    </cdr:sp>
  </cdr:relSizeAnchor>
</c:userShapes>
</file>

<file path=xl/drawings/drawing6.xml><?xml version="1.0" encoding="utf-8"?>
<c:userShapes xmlns:c="http://schemas.openxmlformats.org/drawingml/2006/chart">
  <cdr:relSizeAnchor xmlns:cdr="http://schemas.openxmlformats.org/drawingml/2006/chartDrawing">
    <cdr:from>
      <cdr:x>0.79402</cdr:x>
      <cdr:y>0.73626</cdr:y>
    </cdr:from>
    <cdr:to>
      <cdr:x>0.88364</cdr:x>
      <cdr:y>0.96154</cdr:y>
    </cdr:to>
    <cdr:sp macro="" textlink="">
      <cdr:nvSpPr>
        <cdr:cNvPr id="2" name="TextBox 1"/>
        <cdr:cNvSpPr txBox="1"/>
      </cdr:nvSpPr>
      <cdr:spPr>
        <a:xfrm xmlns:a="http://schemas.openxmlformats.org/drawingml/2006/main">
          <a:off x="5416550" y="2127249"/>
          <a:ext cx="611415" cy="65087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a:solidFill>
                <a:srgbClr val="C00000"/>
              </a:solidFill>
            </a:rPr>
            <a:t>(Dimensions</a:t>
          </a:r>
          <a:r>
            <a:rPr lang="en-IN" sz="1200" baseline="0">
              <a:solidFill>
                <a:srgbClr val="C00000"/>
              </a:solidFill>
            </a:rPr>
            <a:t> </a:t>
          </a:r>
          <a:r>
            <a:rPr lang="en-IN" sz="1200">
              <a:solidFill>
                <a:srgbClr val="C00000"/>
              </a:solidFill>
            </a:rPr>
            <a:t>are not </a:t>
          </a:r>
        </a:p>
        <a:p xmlns:a="http://schemas.openxmlformats.org/drawingml/2006/main">
          <a:r>
            <a:rPr lang="en-IN" sz="1200">
              <a:solidFill>
                <a:srgbClr val="C00000"/>
              </a:solidFill>
            </a:rPr>
            <a:t>uniformly scaled)</a:t>
          </a:r>
        </a:p>
      </cdr:txBody>
    </cdr:sp>
  </cdr:relSizeAnchor>
</c:userShapes>
</file>

<file path=xl/drawings/drawing7.xml><?xml version="1.0" encoding="utf-8"?>
<c:userShapes xmlns:c="http://schemas.openxmlformats.org/drawingml/2006/chart">
  <cdr:relSizeAnchor xmlns:cdr="http://schemas.openxmlformats.org/drawingml/2006/chartDrawing">
    <cdr:from>
      <cdr:x>0.79467</cdr:x>
      <cdr:y>0.67336</cdr:y>
    </cdr:from>
    <cdr:to>
      <cdr:x>0.88231</cdr:x>
      <cdr:y>0.92163</cdr:y>
    </cdr:to>
    <cdr:sp macro="" textlink="">
      <cdr:nvSpPr>
        <cdr:cNvPr id="2" name="TextBox 1"/>
        <cdr:cNvSpPr txBox="1"/>
      </cdr:nvSpPr>
      <cdr:spPr>
        <a:xfrm xmlns:a="http://schemas.openxmlformats.org/drawingml/2006/main">
          <a:off x="5543550" y="1765300"/>
          <a:ext cx="611415" cy="65087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a:solidFill>
                <a:srgbClr val="C00000"/>
              </a:solidFill>
            </a:rPr>
            <a:t>(Dimensions</a:t>
          </a:r>
          <a:r>
            <a:rPr lang="en-IN" sz="1200" baseline="0">
              <a:solidFill>
                <a:srgbClr val="C00000"/>
              </a:solidFill>
            </a:rPr>
            <a:t> </a:t>
          </a:r>
          <a:r>
            <a:rPr lang="en-IN" sz="1200">
              <a:solidFill>
                <a:srgbClr val="C00000"/>
              </a:solidFill>
            </a:rPr>
            <a:t>are not </a:t>
          </a:r>
        </a:p>
        <a:p xmlns:a="http://schemas.openxmlformats.org/drawingml/2006/main">
          <a:r>
            <a:rPr lang="en-IN" sz="1200">
              <a:solidFill>
                <a:srgbClr val="C00000"/>
              </a:solidFill>
            </a:rPr>
            <a:t>uniformly scaled)</a:t>
          </a:r>
        </a:p>
      </cdr:txBody>
    </cdr:sp>
  </cdr:relSizeAnchor>
</c:userShapes>
</file>

<file path=xl/drawings/drawing8.xml><?xml version="1.0" encoding="utf-8"?>
<c:userShapes xmlns:c="http://schemas.openxmlformats.org/drawingml/2006/chart">
  <cdr:relSizeAnchor xmlns:cdr="http://schemas.openxmlformats.org/drawingml/2006/chartDrawing">
    <cdr:from>
      <cdr:x>0.32846</cdr:x>
      <cdr:y>0.80969</cdr:y>
    </cdr:from>
    <cdr:to>
      <cdr:x>0.4152</cdr:x>
      <cdr:y>0.99646</cdr:y>
    </cdr:to>
    <cdr:sp macro="" textlink="">
      <cdr:nvSpPr>
        <cdr:cNvPr id="2" name="TextBox 1"/>
        <cdr:cNvSpPr txBox="1"/>
      </cdr:nvSpPr>
      <cdr:spPr>
        <a:xfrm xmlns:a="http://schemas.openxmlformats.org/drawingml/2006/main">
          <a:off x="3462771" y="3964132"/>
          <a:ext cx="914400" cy="914400"/>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ctr"/>
          <a:r>
            <a:rPr lang="en-IN" sz="2000"/>
            <a:t>Body</a:t>
          </a:r>
          <a:r>
            <a:rPr lang="en-IN" sz="2000" baseline="0"/>
            <a:t> Plan</a:t>
          </a:r>
          <a:endParaRPr lang="en-IN" sz="2000"/>
        </a:p>
      </cdr:txBody>
    </cdr:sp>
  </cdr:relSizeAnchor>
  <cdr:relSizeAnchor xmlns:cdr="http://schemas.openxmlformats.org/drawingml/2006/chartDrawing">
    <cdr:from>
      <cdr:x>0.43482</cdr:x>
      <cdr:y>0.00337</cdr:y>
    </cdr:from>
    <cdr:to>
      <cdr:x>0.56475</cdr:x>
      <cdr:y>0.05362</cdr:y>
    </cdr:to>
    <cdr:sp macro="" textlink="">
      <cdr:nvSpPr>
        <cdr:cNvPr id="3" name="TextBox 1"/>
        <cdr:cNvSpPr txBox="1"/>
      </cdr:nvSpPr>
      <cdr:spPr>
        <a:xfrm xmlns:a="http://schemas.openxmlformats.org/drawingml/2006/main">
          <a:off x="3537195" y="18098"/>
          <a:ext cx="1056955" cy="270199"/>
        </a:xfrm>
        <a:prstGeom xmlns:a="http://schemas.openxmlformats.org/drawingml/2006/main" prst="rect">
          <a:avLst/>
        </a:prstGeom>
      </cdr:spPr>
      <cdr:txBody>
        <a:bodyPr xmlns:a="http://schemas.openxmlformats.org/drawingml/2006/main" wrap="non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a:solidFill>
                <a:srgbClr val="C00000"/>
              </a:solidFill>
            </a:rPr>
            <a:t>(Dimensions are not uniformly scaled)</a:t>
          </a:r>
        </a:p>
      </cdr:txBody>
    </cdr:sp>
  </cdr:relSizeAnchor>
</c:userShapes>
</file>

<file path=xl/drawings/drawing9.xml><?xml version="1.0" encoding="utf-8"?>
<c:userShapes xmlns:c="http://schemas.openxmlformats.org/drawingml/2006/chart">
  <cdr:relSizeAnchor xmlns:cdr="http://schemas.openxmlformats.org/drawingml/2006/chartDrawing">
    <cdr:from>
      <cdr:x>0.83006</cdr:x>
      <cdr:y>0.6302</cdr:y>
    </cdr:from>
    <cdr:to>
      <cdr:x>1</cdr:x>
      <cdr:y>0.91854</cdr:y>
    </cdr:to>
    <cdr:sp macro="" textlink="">
      <cdr:nvSpPr>
        <cdr:cNvPr id="2" name="TextBox 1"/>
        <cdr:cNvSpPr txBox="1"/>
      </cdr:nvSpPr>
      <cdr:spPr>
        <a:xfrm xmlns:a="http://schemas.openxmlformats.org/drawingml/2006/main">
          <a:off x="14476140" y="1579015"/>
          <a:ext cx="2963732" cy="722459"/>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l"/>
          <a:r>
            <a:rPr lang="en-IN" sz="2000" b="0"/>
            <a:t>Halfbreadth Plan</a:t>
          </a:r>
        </a:p>
      </cdr:txBody>
    </cdr:sp>
  </cdr:relSizeAnchor>
  <cdr:relSizeAnchor xmlns:cdr="http://schemas.openxmlformats.org/drawingml/2006/chartDrawing">
    <cdr:from>
      <cdr:x>0.28092</cdr:x>
      <cdr:y>0</cdr:y>
    </cdr:from>
    <cdr:to>
      <cdr:x>0.31941</cdr:x>
      <cdr:y>0.07347</cdr:y>
    </cdr:to>
    <cdr:sp macro="" textlink="">
      <cdr:nvSpPr>
        <cdr:cNvPr id="3" name="TextBox 2"/>
        <cdr:cNvSpPr txBox="1"/>
      </cdr:nvSpPr>
      <cdr:spPr>
        <a:xfrm xmlns:a="http://schemas.openxmlformats.org/drawingml/2006/main">
          <a:off x="4899209" y="0"/>
          <a:ext cx="671261" cy="18408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r>
            <a:rPr lang="en-IN" sz="1200">
              <a:solidFill>
                <a:srgbClr val="C00000"/>
              </a:solidFill>
            </a:rPr>
            <a:t>(Dimensions are not uniformly scaled)</a:t>
          </a: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54428</xdr:colOff>
      <xdr:row>0</xdr:row>
      <xdr:rowOff>81642</xdr:rowOff>
    </xdr:from>
    <xdr:to>
      <xdr:col>13</xdr:col>
      <xdr:colOff>544285</xdr:colOff>
      <xdr:row>27</xdr:row>
      <xdr:rowOff>54428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176893</xdr:colOff>
      <xdr:row>48</xdr:row>
      <xdr:rowOff>1</xdr:rowOff>
    </xdr:from>
    <xdr:to>
      <xdr:col>34</xdr:col>
      <xdr:colOff>255074</xdr:colOff>
      <xdr:row>67</xdr:row>
      <xdr:rowOff>40823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149678</xdr:colOff>
      <xdr:row>29</xdr:row>
      <xdr:rowOff>0</xdr:rowOff>
    </xdr:from>
    <xdr:to>
      <xdr:col>29</xdr:col>
      <xdr:colOff>340178</xdr:colOff>
      <xdr:row>45</xdr:row>
      <xdr:rowOff>163286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0.40909</cdr:x>
      <cdr:y>0.02629</cdr:y>
    </cdr:from>
    <cdr:to>
      <cdr:x>0.60909</cdr:x>
      <cdr:y>0.30389</cdr:y>
    </cdr:to>
    <cdr:sp macro="" textlink="">
      <cdr:nvSpPr>
        <cdr:cNvPr id="2" name="TextBox 1"/>
        <cdr:cNvSpPr txBox="1"/>
      </cdr:nvSpPr>
      <cdr:spPr>
        <a:xfrm xmlns:a="http://schemas.openxmlformats.org/drawingml/2006/main">
          <a:off x="1870364" y="8659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600"/>
            <a:t>Area</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13607</xdr:colOff>
      <xdr:row>0</xdr:row>
      <xdr:rowOff>27215</xdr:rowOff>
    </xdr:from>
    <xdr:to>
      <xdr:col>13</xdr:col>
      <xdr:colOff>530678</xdr:colOff>
      <xdr:row>26</xdr:row>
      <xdr:rowOff>176893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48</xdr:row>
      <xdr:rowOff>0</xdr:rowOff>
    </xdr:from>
    <xdr:to>
      <xdr:col>33</xdr:col>
      <xdr:colOff>298120</xdr:colOff>
      <xdr:row>75</xdr:row>
      <xdr:rowOff>103911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244929</xdr:colOff>
      <xdr:row>28</xdr:row>
      <xdr:rowOff>40821</xdr:rowOff>
    </xdr:from>
    <xdr:to>
      <xdr:col>30</xdr:col>
      <xdr:colOff>13607</xdr:colOff>
      <xdr:row>47</xdr:row>
      <xdr:rowOff>68035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0.40909</cdr:x>
      <cdr:y>0.02629</cdr:y>
    </cdr:from>
    <cdr:to>
      <cdr:x>0.60909</cdr:x>
      <cdr:y>0.30389</cdr:y>
    </cdr:to>
    <cdr:sp macro="" textlink="">
      <cdr:nvSpPr>
        <cdr:cNvPr id="2" name="TextBox 1"/>
        <cdr:cNvSpPr txBox="1"/>
      </cdr:nvSpPr>
      <cdr:spPr>
        <a:xfrm xmlns:a="http://schemas.openxmlformats.org/drawingml/2006/main">
          <a:off x="1870364" y="8659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600"/>
            <a:t>Moment</a:t>
          </a:r>
        </a:p>
      </cdr:txBody>
    </cdr:sp>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12</xdr:col>
          <xdr:colOff>247650</xdr:colOff>
          <xdr:row>0</xdr:row>
          <xdr:rowOff>180975</xdr:rowOff>
        </xdr:to>
        <xdr:sp macro="" textlink="">
          <xdr:nvSpPr>
            <xdr:cNvPr id="4099" name="Drop Down 3"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xdr:twoCellAnchor>
    <xdr:from>
      <xdr:col>0</xdr:col>
      <xdr:colOff>28575</xdr:colOff>
      <xdr:row>25</xdr:row>
      <xdr:rowOff>104775</xdr:rowOff>
    </xdr:from>
    <xdr:to>
      <xdr:col>19</xdr:col>
      <xdr:colOff>56592</xdr:colOff>
      <xdr:row>42</xdr:row>
      <xdr:rowOff>176892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c:userShapes xmlns:c="http://schemas.openxmlformats.org/drawingml/2006/chart">
  <cdr:relSizeAnchor xmlns:cdr="http://schemas.openxmlformats.org/drawingml/2006/chartDrawing">
    <cdr:from>
      <cdr:x>0.47238</cdr:x>
      <cdr:y>0</cdr:y>
    </cdr:from>
    <cdr:to>
      <cdr:x>0.53191</cdr:x>
      <cdr:y>0.17357</cdr:y>
    </cdr:to>
    <cdr:sp macro="" textlink="">
      <cdr:nvSpPr>
        <cdr:cNvPr id="2" name="TextBox 1"/>
        <cdr:cNvSpPr txBox="1"/>
      </cdr:nvSpPr>
      <cdr:spPr>
        <a:xfrm xmlns:a="http://schemas.openxmlformats.org/drawingml/2006/main">
          <a:off x="7256318" y="0"/>
          <a:ext cx="914400" cy="914400"/>
        </a:xfrm>
        <a:prstGeom xmlns:a="http://schemas.openxmlformats.org/drawingml/2006/main" prst="rect">
          <a:avLst/>
        </a:prstGeom>
      </cdr:spPr>
      <cdr:txBody>
        <a:bodyPr xmlns:a="http://schemas.openxmlformats.org/drawingml/2006/main" vertOverflow="clip" wrap="none" rtlCol="0" anchor="t"/>
        <a:lstStyle xmlns:a="http://schemas.openxmlformats.org/drawingml/2006/main"/>
        <a:p xmlns:a="http://schemas.openxmlformats.org/drawingml/2006/main">
          <a:pPr algn="ctr"/>
          <a:r>
            <a:rPr lang="en-IN" sz="1400"/>
            <a:t>Hydrostatic Curves</a:t>
          </a:r>
        </a:p>
      </cdr:txBody>
    </cdr:sp>
  </cdr:relSizeAnchor>
</c:userShapes>
</file>

<file path=xl/drawings/drawing16.xml><?xml version="1.0" encoding="utf-8"?>
<xdr:wsDr xmlns:xdr="http://schemas.openxmlformats.org/drawingml/2006/spreadsheetDrawing" xmlns:a="http://schemas.openxmlformats.org/drawingml/2006/main">
  <xdr:twoCellAnchor>
    <xdr:from>
      <xdr:col>0</xdr:col>
      <xdr:colOff>219075</xdr:colOff>
      <xdr:row>0</xdr:row>
      <xdr:rowOff>123825</xdr:rowOff>
    </xdr:from>
    <xdr:to>
      <xdr:col>19</xdr:col>
      <xdr:colOff>219075</xdr:colOff>
      <xdr:row>12</xdr:row>
      <xdr:rowOff>180974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47625</xdr:colOff>
          <xdr:row>1</xdr:row>
          <xdr:rowOff>0</xdr:rowOff>
        </xdr:from>
        <xdr:to>
          <xdr:col>14</xdr:col>
          <xdr:colOff>600075</xdr:colOff>
          <xdr:row>1</xdr:row>
          <xdr:rowOff>209550</xdr:rowOff>
        </xdr:to>
        <xdr:sp macro="" textlink="">
          <xdr:nvSpPr>
            <xdr:cNvPr id="7170" name="Drop Down 2" hidden="1">
              <a:extLst>
                <a:ext uri="{63B3BB69-23CF-44E3-9099-C40C66FF867C}">
                  <a14:compatExt spid="_x0000_s7170"/>
                </a:ext>
              </a:extLst>
            </xdr:cNvPr>
            <xdr:cNvSpPr/>
          </xdr:nvSpPr>
          <xdr:spPr>
            <a:xfrm>
              <a:off x="0" y="0"/>
              <a:ext cx="0" cy="0"/>
            </a:xfrm>
            <a:prstGeom prst="rect">
              <a:avLst/>
            </a:prstGeom>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84</xdr:col>
      <xdr:colOff>415637</xdr:colOff>
      <xdr:row>154</xdr:row>
      <xdr:rowOff>60614</xdr:rowOff>
    </xdr:from>
    <xdr:to>
      <xdr:col>98</xdr:col>
      <xdr:colOff>632114</xdr:colOff>
      <xdr:row>184</xdr:row>
      <xdr:rowOff>8660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71</xdr:col>
      <xdr:colOff>0</xdr:colOff>
      <xdr:row>154</xdr:row>
      <xdr:rowOff>0</xdr:rowOff>
    </xdr:from>
    <xdr:to>
      <xdr:col>82</xdr:col>
      <xdr:colOff>351250</xdr:colOff>
      <xdr:row>180</xdr:row>
      <xdr:rowOff>69274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c:userShapes xmlns:c="http://schemas.openxmlformats.org/drawingml/2006/chart">
  <cdr:relSizeAnchor xmlns:cdr="http://schemas.openxmlformats.org/drawingml/2006/chartDrawing">
    <cdr:from>
      <cdr:x>0.32846</cdr:x>
      <cdr:y>0.80969</cdr:y>
    </cdr:from>
    <cdr:to>
      <cdr:x>0.4152</cdr:x>
      <cdr:y>0.99646</cdr:y>
    </cdr:to>
    <cdr:sp macro="" textlink="">
      <cdr:nvSpPr>
        <cdr:cNvPr id="2" name="TextBox 1"/>
        <cdr:cNvSpPr txBox="1"/>
      </cdr:nvSpPr>
      <cdr:spPr>
        <a:xfrm xmlns:a="http://schemas.openxmlformats.org/drawingml/2006/main">
          <a:off x="3462771" y="3964132"/>
          <a:ext cx="914400" cy="914400"/>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ctr"/>
          <a:r>
            <a:rPr lang="en-IN" sz="2000"/>
            <a:t>Body</a:t>
          </a:r>
          <a:r>
            <a:rPr lang="en-IN" sz="2000" baseline="0"/>
            <a:t> Plan</a:t>
          </a:r>
          <a:endParaRPr lang="en-IN" sz="2000"/>
        </a:p>
      </cdr:txBody>
    </cdr:sp>
  </cdr:relSizeAnchor>
</c:userShapes>
</file>

<file path=xl/drawings/drawing20.xml><?xml version="1.0" encoding="utf-8"?>
<c:userShapes xmlns:c="http://schemas.openxmlformats.org/drawingml/2006/chart">
  <cdr:relSizeAnchor xmlns:cdr="http://schemas.openxmlformats.org/drawingml/2006/chartDrawing">
    <cdr:from>
      <cdr:x>0.32846</cdr:x>
      <cdr:y>0.80969</cdr:y>
    </cdr:from>
    <cdr:to>
      <cdr:x>0.4152</cdr:x>
      <cdr:y>0.99646</cdr:y>
    </cdr:to>
    <cdr:sp macro="" textlink="">
      <cdr:nvSpPr>
        <cdr:cNvPr id="2" name="TextBox 1"/>
        <cdr:cNvSpPr txBox="1"/>
      </cdr:nvSpPr>
      <cdr:spPr>
        <a:xfrm xmlns:a="http://schemas.openxmlformats.org/drawingml/2006/main">
          <a:off x="3462771" y="3964132"/>
          <a:ext cx="914400" cy="914400"/>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ctr"/>
          <a:r>
            <a:rPr lang="en-IN" sz="2000"/>
            <a:t>Body</a:t>
          </a:r>
          <a:r>
            <a:rPr lang="en-IN" sz="2000" baseline="0"/>
            <a:t> Plan</a:t>
          </a:r>
          <a:endParaRPr lang="en-IN" sz="2000"/>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0</xdr:rowOff>
        </xdr:from>
        <xdr:to>
          <xdr:col>2</xdr:col>
          <xdr:colOff>219075</xdr:colOff>
          <xdr:row>7</xdr:row>
          <xdr:rowOff>28575</xdr:rowOff>
        </xdr:to>
        <xdr:sp macro="" textlink="">
          <xdr:nvSpPr>
            <xdr:cNvPr id="63490" name="Button 2" hidden="1">
              <a:extLst>
                <a:ext uri="{63B3BB69-23CF-44E3-9099-C40C66FF867C}">
                  <a14:compatExt spid="_x0000_s634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Linesplan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95250</xdr:rowOff>
        </xdr:from>
        <xdr:to>
          <xdr:col>2</xdr:col>
          <xdr:colOff>219075</xdr:colOff>
          <xdr:row>8</xdr:row>
          <xdr:rowOff>123825</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Halfbreadth Splines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0</xdr:rowOff>
        </xdr:from>
        <xdr:to>
          <xdr:col>2</xdr:col>
          <xdr:colOff>219075</xdr:colOff>
          <xdr:row>10</xdr:row>
          <xdr:rowOff>28575</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Bodyplan Splines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85725</xdr:rowOff>
        </xdr:from>
        <xdr:to>
          <xdr:col>2</xdr:col>
          <xdr:colOff>219075</xdr:colOff>
          <xdr:row>11</xdr:row>
          <xdr:rowOff>114300</xdr:rowOff>
        </xdr:to>
        <xdr:sp macro="" textlink="">
          <xdr:nvSpPr>
            <xdr:cNvPr id="63493" name="Button 5" hidden="1">
              <a:extLst>
                <a:ext uri="{63B3BB69-23CF-44E3-9099-C40C66FF867C}">
                  <a14:compatExt spid="_x0000_s634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Bonjean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xdr:row>
          <xdr:rowOff>171450</xdr:rowOff>
        </xdr:from>
        <xdr:to>
          <xdr:col>2</xdr:col>
          <xdr:colOff>219075</xdr:colOff>
          <xdr:row>13</xdr:row>
          <xdr:rowOff>9525</xdr:rowOff>
        </xdr:to>
        <xdr:sp macro="" textlink="">
          <xdr:nvSpPr>
            <xdr:cNvPr id="63494" name="Button 6" hidden="1">
              <a:extLst>
                <a:ext uri="{63B3BB69-23CF-44E3-9099-C40C66FF867C}">
                  <a14:compatExt spid="_x0000_s634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Bonj Area Splines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66675</xdr:rowOff>
        </xdr:from>
        <xdr:to>
          <xdr:col>2</xdr:col>
          <xdr:colOff>219075</xdr:colOff>
          <xdr:row>14</xdr:row>
          <xdr:rowOff>95250</xdr:rowOff>
        </xdr:to>
        <xdr:sp macro="" textlink="">
          <xdr:nvSpPr>
            <xdr:cNvPr id="63495" name="Button 7" hidden="1">
              <a:extLst>
                <a:ext uri="{63B3BB69-23CF-44E3-9099-C40C66FF867C}">
                  <a14:compatExt spid="_x0000_s634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Bonj Moment Splines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14</xdr:row>
          <xdr:rowOff>152400</xdr:rowOff>
        </xdr:from>
        <xdr:to>
          <xdr:col>2</xdr:col>
          <xdr:colOff>228600</xdr:colOff>
          <xdr:row>15</xdr:row>
          <xdr:rowOff>180975</xdr:rowOff>
        </xdr:to>
        <xdr:sp macro="" textlink="">
          <xdr:nvSpPr>
            <xdr:cNvPr id="63497" name="Button 9" hidden="1">
              <a:extLst>
                <a:ext uri="{63B3BB69-23CF-44E3-9099-C40C66FF867C}">
                  <a14:compatExt spid="_x0000_s634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3D Hull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0</xdr:rowOff>
        </xdr:from>
        <xdr:to>
          <xdr:col>3</xdr:col>
          <xdr:colOff>0</xdr:colOff>
          <xdr:row>21</xdr:row>
          <xdr:rowOff>0</xdr:rowOff>
        </xdr:to>
        <xdr:sp macro="" textlink="">
          <xdr:nvSpPr>
            <xdr:cNvPr id="63498" name="Button 10" hidden="1">
              <a:extLst>
                <a:ext uri="{63B3BB69-23CF-44E3-9099-C40C66FF867C}">
                  <a14:compatExt spid="_x0000_s634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3D Hull (Rhino)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6</xdr:row>
          <xdr:rowOff>0</xdr:rowOff>
        </xdr:from>
        <xdr:to>
          <xdr:col>10</xdr:col>
          <xdr:colOff>0</xdr:colOff>
          <xdr:row>8</xdr:row>
          <xdr:rowOff>0</xdr:rowOff>
        </xdr:to>
        <xdr:sp macro="" textlink="">
          <xdr:nvSpPr>
            <xdr:cNvPr id="64517" name="Button 5" hidden="1">
              <a:extLst>
                <a:ext uri="{63B3BB69-23CF-44E3-9099-C40C66FF867C}">
                  <a14:compatExt spid="_x0000_s6451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cs typeface="Calibri"/>
                </a:rPr>
                <a:t>Copy table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xdr:colOff>
          <xdr:row>3</xdr:row>
          <xdr:rowOff>85725</xdr:rowOff>
        </xdr:from>
        <xdr:to>
          <xdr:col>16</xdr:col>
          <xdr:colOff>228600</xdr:colOff>
          <xdr:row>4</xdr:row>
          <xdr:rowOff>114300</xdr:rowOff>
        </xdr:to>
        <xdr:sp macro="" textlink="">
          <xdr:nvSpPr>
            <xdr:cNvPr id="65537" name="Button 1" hidden="1">
              <a:extLst>
                <a:ext uri="{63B3BB69-23CF-44E3-9099-C40C66FF867C}">
                  <a14:compatExt spid="_x0000_s655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3D Hull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printerSettings" Target="../printerSettings/printerSettings53.bin"/><Relationship Id="rId2" Type="http://schemas.openxmlformats.org/officeDocument/2006/relationships/hyperlink" Target="mailto:abdulrahimom@outlook.com" TargetMode="External"/><Relationship Id="rId1" Type="http://schemas.openxmlformats.org/officeDocument/2006/relationships/hyperlink" Target="mailto:abdupalakkad@yahoo.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printerSettings" Target="../printerSettings/printerSettings58.bin"/><Relationship Id="rId4" Type="http://schemas.openxmlformats.org/officeDocument/2006/relationships/ctrlProp" Target="../ctrlProps/ctrlProp1.xm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17.xml"/></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21.xml"/><Relationship Id="rId1" Type="http://schemas.openxmlformats.org/officeDocument/2006/relationships/printerSettings" Target="../printerSettings/printerSettings6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2.xml"/><Relationship Id="rId1" Type="http://schemas.openxmlformats.org/officeDocument/2006/relationships/printerSettings" Target="../printerSettings/printerSettings63.bin"/><Relationship Id="rId4" Type="http://schemas.openxmlformats.org/officeDocument/2006/relationships/ctrlProp" Target="../ctrlProps/ctrlProp11.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mailto:abdulrahimom@outlook.com" TargetMode="External"/></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79998168889431442"/>
  </sheetPr>
  <dimension ref="A1:BH57"/>
  <sheetViews>
    <sheetView zoomScale="55" zoomScaleNormal="55" workbookViewId="0">
      <pane ySplit="1" topLeftCell="A2" activePane="bottomLeft" state="frozen"/>
      <selection activeCell="AG8" sqref="AG8:AG10"/>
      <selection pane="bottomLeft" activeCell="A5" sqref="A5"/>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25</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sheetProtection password="CB5D" sheet="1" objects="1" scenarios="1"/>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65" priority="14">
      <formula>ISERROR(A1)</formula>
    </cfRule>
  </conditionalFormatting>
  <conditionalFormatting sqref="G33:I34 G35:H57">
    <cfRule type="containsErrors" dxfId="464" priority="13">
      <formula>ISERROR(G33)</formula>
    </cfRule>
  </conditionalFormatting>
  <conditionalFormatting sqref="T12:T33">
    <cfRule type="containsErrors" dxfId="463" priority="12">
      <formula>ISERROR(T12)</formula>
    </cfRule>
  </conditionalFormatting>
  <conditionalFormatting sqref="I35:I57">
    <cfRule type="containsErrors" dxfId="462" priority="11">
      <formula>ISERROR(I35)</formula>
    </cfRule>
  </conditionalFormatting>
  <conditionalFormatting sqref="AY2:BC29">
    <cfRule type="containsErrors" dxfId="461" priority="8">
      <formula>ISERROR(AY2)</formula>
    </cfRule>
  </conditionalFormatting>
  <conditionalFormatting sqref="BE10:BG11 BE12:BF34">
    <cfRule type="containsErrors" dxfId="460" priority="10">
      <formula>ISERROR(BE10)</formula>
    </cfRule>
  </conditionalFormatting>
  <conditionalFormatting sqref="BG12:BG28 BG34">
    <cfRule type="containsErrors" dxfId="459" priority="9">
      <formula>ISERROR(BG12)</formula>
    </cfRule>
  </conditionalFormatting>
  <conditionalFormatting sqref="BE2:BG6">
    <cfRule type="containsErrors" dxfId="458" priority="7">
      <formula>ISERROR(BE2)</formula>
    </cfRule>
  </conditionalFormatting>
  <conditionalFormatting sqref="BF7:BG8">
    <cfRule type="containsErrors" dxfId="457" priority="5">
      <formula>ISERROR(BF7)</formula>
    </cfRule>
  </conditionalFormatting>
  <conditionalFormatting sqref="BE7:BE8">
    <cfRule type="containsErrors" dxfId="456" priority="6">
      <formula>ISERROR(BE7)</formula>
    </cfRule>
  </conditionalFormatting>
  <conditionalFormatting sqref="S30:S33">
    <cfRule type="containsErrors" dxfId="455" priority="4">
      <formula>ISERROR(S30)</formula>
    </cfRule>
  </conditionalFormatting>
  <conditionalFormatting sqref="AP27:AP28">
    <cfRule type="containsErrors" dxfId="454" priority="3">
      <formula>ISERROR(AP27)</formula>
    </cfRule>
  </conditionalFormatting>
  <conditionalFormatting sqref="BG29:BG32">
    <cfRule type="containsErrors" dxfId="453" priority="2">
      <formula>ISERROR(BG29)</formula>
    </cfRule>
  </conditionalFormatting>
  <conditionalFormatting sqref="BG33">
    <cfRule type="containsErrors" dxfId="452" priority="1">
      <formula>ISERROR(BG33)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24</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51" priority="14">
      <formula>ISERROR(A1)</formula>
    </cfRule>
  </conditionalFormatting>
  <conditionalFormatting sqref="G33:I34 G35:H57">
    <cfRule type="containsErrors" dxfId="450" priority="13">
      <formula>ISERROR(G33)</formula>
    </cfRule>
  </conditionalFormatting>
  <conditionalFormatting sqref="T12:T33">
    <cfRule type="containsErrors" dxfId="449" priority="12">
      <formula>ISERROR(T12)</formula>
    </cfRule>
  </conditionalFormatting>
  <conditionalFormatting sqref="I35:I57">
    <cfRule type="containsErrors" dxfId="448" priority="11">
      <formula>ISERROR(I35)</formula>
    </cfRule>
  </conditionalFormatting>
  <conditionalFormatting sqref="AY2:BC29">
    <cfRule type="containsErrors" dxfId="447" priority="8">
      <formula>ISERROR(AY2)</formula>
    </cfRule>
  </conditionalFormatting>
  <conditionalFormatting sqref="BE10:BG11 BE12:BF34">
    <cfRule type="containsErrors" dxfId="446" priority="10">
      <formula>ISERROR(BE10)</formula>
    </cfRule>
  </conditionalFormatting>
  <conditionalFormatting sqref="BG12:BG28 BG34">
    <cfRule type="containsErrors" dxfId="445" priority="9">
      <formula>ISERROR(BG12)</formula>
    </cfRule>
  </conditionalFormatting>
  <conditionalFormatting sqref="BE2:BG6">
    <cfRule type="containsErrors" dxfId="444" priority="7">
      <formula>ISERROR(BE2)</formula>
    </cfRule>
  </conditionalFormatting>
  <conditionalFormatting sqref="BF7:BG8">
    <cfRule type="containsErrors" dxfId="443" priority="5">
      <formula>ISERROR(BF7)</formula>
    </cfRule>
  </conditionalFormatting>
  <conditionalFormatting sqref="BE7:BE8">
    <cfRule type="containsErrors" dxfId="442" priority="6">
      <formula>ISERROR(BE7)</formula>
    </cfRule>
  </conditionalFormatting>
  <conditionalFormatting sqref="S30:S33">
    <cfRule type="containsErrors" dxfId="441" priority="4">
      <formula>ISERROR(S30)</formula>
    </cfRule>
  </conditionalFormatting>
  <conditionalFormatting sqref="AP27:AP28">
    <cfRule type="containsErrors" dxfId="440" priority="3">
      <formula>ISERROR(AP27)</formula>
    </cfRule>
  </conditionalFormatting>
  <conditionalFormatting sqref="BG29:BG32">
    <cfRule type="containsErrors" dxfId="439" priority="2">
      <formula>ISERROR(BG29)</formula>
    </cfRule>
  </conditionalFormatting>
  <conditionalFormatting sqref="BG33">
    <cfRule type="containsErrors" dxfId="438" priority="1">
      <formula>ISERROR(BG33)</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23</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37" priority="14">
      <formula>ISERROR(A1)</formula>
    </cfRule>
  </conditionalFormatting>
  <conditionalFormatting sqref="G33:I34 G35:H57">
    <cfRule type="containsErrors" dxfId="436" priority="13">
      <formula>ISERROR(G33)</formula>
    </cfRule>
  </conditionalFormatting>
  <conditionalFormatting sqref="T12:T33">
    <cfRule type="containsErrors" dxfId="435" priority="12">
      <formula>ISERROR(T12)</formula>
    </cfRule>
  </conditionalFormatting>
  <conditionalFormatting sqref="I35:I57">
    <cfRule type="containsErrors" dxfId="434" priority="11">
      <formula>ISERROR(I35)</formula>
    </cfRule>
  </conditionalFormatting>
  <conditionalFormatting sqref="AY2:BC29">
    <cfRule type="containsErrors" dxfId="433" priority="8">
      <formula>ISERROR(AY2)</formula>
    </cfRule>
  </conditionalFormatting>
  <conditionalFormatting sqref="BE10:BG11 BE12:BF34">
    <cfRule type="containsErrors" dxfId="432" priority="10">
      <formula>ISERROR(BE10)</formula>
    </cfRule>
  </conditionalFormatting>
  <conditionalFormatting sqref="BG12:BG28 BG34">
    <cfRule type="containsErrors" dxfId="431" priority="9">
      <formula>ISERROR(BG12)</formula>
    </cfRule>
  </conditionalFormatting>
  <conditionalFormatting sqref="BE2:BG6">
    <cfRule type="containsErrors" dxfId="430" priority="7">
      <formula>ISERROR(BE2)</formula>
    </cfRule>
  </conditionalFormatting>
  <conditionalFormatting sqref="BF7:BG8">
    <cfRule type="containsErrors" dxfId="429" priority="5">
      <formula>ISERROR(BF7)</formula>
    </cfRule>
  </conditionalFormatting>
  <conditionalFormatting sqref="BE7:BE8">
    <cfRule type="containsErrors" dxfId="428" priority="6">
      <formula>ISERROR(BE7)</formula>
    </cfRule>
  </conditionalFormatting>
  <conditionalFormatting sqref="S30:S33">
    <cfRule type="containsErrors" dxfId="427" priority="4">
      <formula>ISERROR(S30)</formula>
    </cfRule>
  </conditionalFormatting>
  <conditionalFormatting sqref="AP27:AP28">
    <cfRule type="containsErrors" dxfId="426" priority="3">
      <formula>ISERROR(AP27)</formula>
    </cfRule>
  </conditionalFormatting>
  <conditionalFormatting sqref="BG29:BG32">
    <cfRule type="containsErrors" dxfId="425" priority="2">
      <formula>ISERROR(BG29)</formula>
    </cfRule>
  </conditionalFormatting>
  <conditionalFormatting sqref="BG33">
    <cfRule type="containsErrors" dxfId="424" priority="1">
      <formula>ISERROR(BG33)</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22</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23" priority="14">
      <formula>ISERROR(A1)</formula>
    </cfRule>
  </conditionalFormatting>
  <conditionalFormatting sqref="G33:I34 G35:H57">
    <cfRule type="containsErrors" dxfId="422" priority="13">
      <formula>ISERROR(G33)</formula>
    </cfRule>
  </conditionalFormatting>
  <conditionalFormatting sqref="T12:T33">
    <cfRule type="containsErrors" dxfId="421" priority="12">
      <formula>ISERROR(T12)</formula>
    </cfRule>
  </conditionalFormatting>
  <conditionalFormatting sqref="I35:I57">
    <cfRule type="containsErrors" dxfId="420" priority="11">
      <formula>ISERROR(I35)</formula>
    </cfRule>
  </conditionalFormatting>
  <conditionalFormatting sqref="AY2:BC29">
    <cfRule type="containsErrors" dxfId="419" priority="8">
      <formula>ISERROR(AY2)</formula>
    </cfRule>
  </conditionalFormatting>
  <conditionalFormatting sqref="BE10:BG11 BE12:BF34">
    <cfRule type="containsErrors" dxfId="418" priority="10">
      <formula>ISERROR(BE10)</formula>
    </cfRule>
  </conditionalFormatting>
  <conditionalFormatting sqref="BG12:BG28 BG34">
    <cfRule type="containsErrors" dxfId="417" priority="9">
      <formula>ISERROR(BG12)</formula>
    </cfRule>
  </conditionalFormatting>
  <conditionalFormatting sqref="BE2:BG6">
    <cfRule type="containsErrors" dxfId="416" priority="7">
      <formula>ISERROR(BE2)</formula>
    </cfRule>
  </conditionalFormatting>
  <conditionalFormatting sqref="BF7:BG8">
    <cfRule type="containsErrors" dxfId="415" priority="5">
      <formula>ISERROR(BF7)</formula>
    </cfRule>
  </conditionalFormatting>
  <conditionalFormatting sqref="BE7:BE8">
    <cfRule type="containsErrors" dxfId="414" priority="6">
      <formula>ISERROR(BE7)</formula>
    </cfRule>
  </conditionalFormatting>
  <conditionalFormatting sqref="S30:S33">
    <cfRule type="containsErrors" dxfId="413" priority="4">
      <formula>ISERROR(S30)</formula>
    </cfRule>
  </conditionalFormatting>
  <conditionalFormatting sqref="AP27:AP28">
    <cfRule type="containsErrors" dxfId="412" priority="3">
      <formula>ISERROR(AP27)</formula>
    </cfRule>
  </conditionalFormatting>
  <conditionalFormatting sqref="BG29:BG32">
    <cfRule type="containsErrors" dxfId="411" priority="2">
      <formula>ISERROR(BG29)</formula>
    </cfRule>
  </conditionalFormatting>
  <conditionalFormatting sqref="BG33">
    <cfRule type="containsErrors" dxfId="410" priority="1">
      <formula>ISERROR(BG33)</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21</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09" priority="14">
      <formula>ISERROR(A1)</formula>
    </cfRule>
  </conditionalFormatting>
  <conditionalFormatting sqref="G33:I34 G35:H57">
    <cfRule type="containsErrors" dxfId="408" priority="13">
      <formula>ISERROR(G33)</formula>
    </cfRule>
  </conditionalFormatting>
  <conditionalFormatting sqref="T12:T33">
    <cfRule type="containsErrors" dxfId="407" priority="12">
      <formula>ISERROR(T12)</formula>
    </cfRule>
  </conditionalFormatting>
  <conditionalFormatting sqref="I35:I57">
    <cfRule type="containsErrors" dxfId="406" priority="11">
      <formula>ISERROR(I35)</formula>
    </cfRule>
  </conditionalFormatting>
  <conditionalFormatting sqref="AY2:BC29">
    <cfRule type="containsErrors" dxfId="405" priority="8">
      <formula>ISERROR(AY2)</formula>
    </cfRule>
  </conditionalFormatting>
  <conditionalFormatting sqref="BE10:BG11 BE12:BF34">
    <cfRule type="containsErrors" dxfId="404" priority="10">
      <formula>ISERROR(BE10)</formula>
    </cfRule>
  </conditionalFormatting>
  <conditionalFormatting sqref="BG12:BG28 BG34">
    <cfRule type="containsErrors" dxfId="403" priority="9">
      <formula>ISERROR(BG12)</formula>
    </cfRule>
  </conditionalFormatting>
  <conditionalFormatting sqref="BE2:BG6">
    <cfRule type="containsErrors" dxfId="402" priority="7">
      <formula>ISERROR(BE2)</formula>
    </cfRule>
  </conditionalFormatting>
  <conditionalFormatting sqref="BF7:BG8">
    <cfRule type="containsErrors" dxfId="401" priority="5">
      <formula>ISERROR(BF7)</formula>
    </cfRule>
  </conditionalFormatting>
  <conditionalFormatting sqref="BE7:BE8">
    <cfRule type="containsErrors" dxfId="400" priority="6">
      <formula>ISERROR(BE7)</formula>
    </cfRule>
  </conditionalFormatting>
  <conditionalFormatting sqref="S30:S33">
    <cfRule type="containsErrors" dxfId="399" priority="4">
      <formula>ISERROR(S30)</formula>
    </cfRule>
  </conditionalFormatting>
  <conditionalFormatting sqref="AP27:AP28">
    <cfRule type="containsErrors" dxfId="398" priority="3">
      <formula>ISERROR(AP27)</formula>
    </cfRule>
  </conditionalFormatting>
  <conditionalFormatting sqref="BG29:BG32">
    <cfRule type="containsErrors" dxfId="397" priority="2">
      <formula>ISERROR(BG29)</formula>
    </cfRule>
  </conditionalFormatting>
  <conditionalFormatting sqref="BG33">
    <cfRule type="containsErrors" dxfId="396" priority="1">
      <formula>ISERROR(BG33)</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20</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95" priority="14">
      <formula>ISERROR(A1)</formula>
    </cfRule>
  </conditionalFormatting>
  <conditionalFormatting sqref="G33:I34 G35:H57">
    <cfRule type="containsErrors" dxfId="394" priority="13">
      <formula>ISERROR(G33)</formula>
    </cfRule>
  </conditionalFormatting>
  <conditionalFormatting sqref="T12:T33">
    <cfRule type="containsErrors" dxfId="393" priority="12">
      <formula>ISERROR(T12)</formula>
    </cfRule>
  </conditionalFormatting>
  <conditionalFormatting sqref="I35:I57">
    <cfRule type="containsErrors" dxfId="392" priority="11">
      <formula>ISERROR(I35)</formula>
    </cfRule>
  </conditionalFormatting>
  <conditionalFormatting sqref="AY2:BC29">
    <cfRule type="containsErrors" dxfId="391" priority="8">
      <formula>ISERROR(AY2)</formula>
    </cfRule>
  </conditionalFormatting>
  <conditionalFormatting sqref="BE10:BG11 BE12:BF34">
    <cfRule type="containsErrors" dxfId="390" priority="10">
      <formula>ISERROR(BE10)</formula>
    </cfRule>
  </conditionalFormatting>
  <conditionalFormatting sqref="BG12:BG28 BG34">
    <cfRule type="containsErrors" dxfId="389" priority="9">
      <formula>ISERROR(BG12)</formula>
    </cfRule>
  </conditionalFormatting>
  <conditionalFormatting sqref="BE2:BG6">
    <cfRule type="containsErrors" dxfId="388" priority="7">
      <formula>ISERROR(BE2)</formula>
    </cfRule>
  </conditionalFormatting>
  <conditionalFormatting sqref="BF7:BG8">
    <cfRule type="containsErrors" dxfId="387" priority="5">
      <formula>ISERROR(BF7)</formula>
    </cfRule>
  </conditionalFormatting>
  <conditionalFormatting sqref="BE7:BE8">
    <cfRule type="containsErrors" dxfId="386" priority="6">
      <formula>ISERROR(BE7)</formula>
    </cfRule>
  </conditionalFormatting>
  <conditionalFormatting sqref="S30:S33">
    <cfRule type="containsErrors" dxfId="385" priority="4">
      <formula>ISERROR(S30)</formula>
    </cfRule>
  </conditionalFormatting>
  <conditionalFormatting sqref="AP27:AP28">
    <cfRule type="containsErrors" dxfId="384" priority="3">
      <formula>ISERROR(AP27)</formula>
    </cfRule>
  </conditionalFormatting>
  <conditionalFormatting sqref="BG29:BG32">
    <cfRule type="containsErrors" dxfId="383" priority="2">
      <formula>ISERROR(BG29)</formula>
    </cfRule>
  </conditionalFormatting>
  <conditionalFormatting sqref="BG33">
    <cfRule type="containsErrors" dxfId="382" priority="1">
      <formula>ISERROR(BG33)</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19</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81" priority="14">
      <formula>ISERROR(A1)</formula>
    </cfRule>
  </conditionalFormatting>
  <conditionalFormatting sqref="G33:I34 G35:H57">
    <cfRule type="containsErrors" dxfId="380" priority="13">
      <formula>ISERROR(G33)</formula>
    </cfRule>
  </conditionalFormatting>
  <conditionalFormatting sqref="T12:T33">
    <cfRule type="containsErrors" dxfId="379" priority="12">
      <formula>ISERROR(T12)</formula>
    </cfRule>
  </conditionalFormatting>
  <conditionalFormatting sqref="I35:I57">
    <cfRule type="containsErrors" dxfId="378" priority="11">
      <formula>ISERROR(I35)</formula>
    </cfRule>
  </conditionalFormatting>
  <conditionalFormatting sqref="AY2:BC29">
    <cfRule type="containsErrors" dxfId="377" priority="8">
      <formula>ISERROR(AY2)</formula>
    </cfRule>
  </conditionalFormatting>
  <conditionalFormatting sqref="BE10:BG11 BE12:BF34">
    <cfRule type="containsErrors" dxfId="376" priority="10">
      <formula>ISERROR(BE10)</formula>
    </cfRule>
  </conditionalFormatting>
  <conditionalFormatting sqref="BG12:BG28 BG34">
    <cfRule type="containsErrors" dxfId="375" priority="9">
      <formula>ISERROR(BG12)</formula>
    </cfRule>
  </conditionalFormatting>
  <conditionalFormatting sqref="BE2:BG6">
    <cfRule type="containsErrors" dxfId="374" priority="7">
      <formula>ISERROR(BE2)</formula>
    </cfRule>
  </conditionalFormatting>
  <conditionalFormatting sqref="BF7:BG8">
    <cfRule type="containsErrors" dxfId="373" priority="5">
      <formula>ISERROR(BF7)</formula>
    </cfRule>
  </conditionalFormatting>
  <conditionalFormatting sqref="BE7:BE8">
    <cfRule type="containsErrors" dxfId="372" priority="6">
      <formula>ISERROR(BE7)</formula>
    </cfRule>
  </conditionalFormatting>
  <conditionalFormatting sqref="S30:S33">
    <cfRule type="containsErrors" dxfId="371" priority="4">
      <formula>ISERROR(S30)</formula>
    </cfRule>
  </conditionalFormatting>
  <conditionalFormatting sqref="AP27:AP28">
    <cfRule type="containsErrors" dxfId="370" priority="3">
      <formula>ISERROR(AP27)</formula>
    </cfRule>
  </conditionalFormatting>
  <conditionalFormatting sqref="BG29:BG32">
    <cfRule type="containsErrors" dxfId="369" priority="2">
      <formula>ISERROR(BG29)</formula>
    </cfRule>
  </conditionalFormatting>
  <conditionalFormatting sqref="BG33">
    <cfRule type="containsErrors" dxfId="368" priority="1">
      <formula>ISERROR(BG33)</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18</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67" priority="14">
      <formula>ISERROR(A1)</formula>
    </cfRule>
  </conditionalFormatting>
  <conditionalFormatting sqref="G33:I34 G35:H57">
    <cfRule type="containsErrors" dxfId="366" priority="13">
      <formula>ISERROR(G33)</formula>
    </cfRule>
  </conditionalFormatting>
  <conditionalFormatting sqref="T12:T33">
    <cfRule type="containsErrors" dxfId="365" priority="12">
      <formula>ISERROR(T12)</formula>
    </cfRule>
  </conditionalFormatting>
  <conditionalFormatting sqref="I35:I57">
    <cfRule type="containsErrors" dxfId="364" priority="11">
      <formula>ISERROR(I35)</formula>
    </cfRule>
  </conditionalFormatting>
  <conditionalFormatting sqref="AY2:BC29">
    <cfRule type="containsErrors" dxfId="363" priority="8">
      <formula>ISERROR(AY2)</formula>
    </cfRule>
  </conditionalFormatting>
  <conditionalFormatting sqref="BE10:BG11 BE12:BF34">
    <cfRule type="containsErrors" dxfId="362" priority="10">
      <formula>ISERROR(BE10)</formula>
    </cfRule>
  </conditionalFormatting>
  <conditionalFormatting sqref="BG12:BG28 BG34">
    <cfRule type="containsErrors" dxfId="361" priority="9">
      <formula>ISERROR(BG12)</formula>
    </cfRule>
  </conditionalFormatting>
  <conditionalFormatting sqref="BE2:BG6">
    <cfRule type="containsErrors" dxfId="360" priority="7">
      <formula>ISERROR(BE2)</formula>
    </cfRule>
  </conditionalFormatting>
  <conditionalFormatting sqref="BF7:BG8">
    <cfRule type="containsErrors" dxfId="359" priority="5">
      <formula>ISERROR(BF7)</formula>
    </cfRule>
  </conditionalFormatting>
  <conditionalFormatting sqref="BE7:BE8">
    <cfRule type="containsErrors" dxfId="358" priority="6">
      <formula>ISERROR(BE7)</formula>
    </cfRule>
  </conditionalFormatting>
  <conditionalFormatting sqref="S30:S33">
    <cfRule type="containsErrors" dxfId="357" priority="4">
      <formula>ISERROR(S30)</formula>
    </cfRule>
  </conditionalFormatting>
  <conditionalFormatting sqref="AP27:AP28">
    <cfRule type="containsErrors" dxfId="356" priority="3">
      <formula>ISERROR(AP27)</formula>
    </cfRule>
  </conditionalFormatting>
  <conditionalFormatting sqref="BG29:BG32">
    <cfRule type="containsErrors" dxfId="355" priority="2">
      <formula>ISERROR(BG29)</formula>
    </cfRule>
  </conditionalFormatting>
  <conditionalFormatting sqref="BG33">
    <cfRule type="containsErrors" dxfId="354" priority="1">
      <formula>ISERROR(BG33)</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17</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53" priority="14">
      <formula>ISERROR(A1)</formula>
    </cfRule>
  </conditionalFormatting>
  <conditionalFormatting sqref="G33:I34 G35:H57">
    <cfRule type="containsErrors" dxfId="352" priority="13">
      <formula>ISERROR(G33)</formula>
    </cfRule>
  </conditionalFormatting>
  <conditionalFormatting sqref="T12:T33">
    <cfRule type="containsErrors" dxfId="351" priority="12">
      <formula>ISERROR(T12)</formula>
    </cfRule>
  </conditionalFormatting>
  <conditionalFormatting sqref="I35:I57">
    <cfRule type="containsErrors" dxfId="350" priority="11">
      <formula>ISERROR(I35)</formula>
    </cfRule>
  </conditionalFormatting>
  <conditionalFormatting sqref="AY2:BC29">
    <cfRule type="containsErrors" dxfId="349" priority="8">
      <formula>ISERROR(AY2)</formula>
    </cfRule>
  </conditionalFormatting>
  <conditionalFormatting sqref="BE10:BG11 BE12:BF34">
    <cfRule type="containsErrors" dxfId="348" priority="10">
      <formula>ISERROR(BE10)</formula>
    </cfRule>
  </conditionalFormatting>
  <conditionalFormatting sqref="BG12:BG28 BG34">
    <cfRule type="containsErrors" dxfId="347" priority="9">
      <formula>ISERROR(BG12)</formula>
    </cfRule>
  </conditionalFormatting>
  <conditionalFormatting sqref="BE2:BG6">
    <cfRule type="containsErrors" dxfId="346" priority="7">
      <formula>ISERROR(BE2)</formula>
    </cfRule>
  </conditionalFormatting>
  <conditionalFormatting sqref="BF7:BG8">
    <cfRule type="containsErrors" dxfId="345" priority="5">
      <formula>ISERROR(BF7)</formula>
    </cfRule>
  </conditionalFormatting>
  <conditionalFormatting sqref="BE7:BE8">
    <cfRule type="containsErrors" dxfId="344" priority="6">
      <formula>ISERROR(BE7)</formula>
    </cfRule>
  </conditionalFormatting>
  <conditionalFormatting sqref="S30:S33">
    <cfRule type="containsErrors" dxfId="343" priority="4">
      <formula>ISERROR(S30)</formula>
    </cfRule>
  </conditionalFormatting>
  <conditionalFormatting sqref="AP27:AP28">
    <cfRule type="containsErrors" dxfId="342" priority="3">
      <formula>ISERROR(AP27)</formula>
    </cfRule>
  </conditionalFormatting>
  <conditionalFormatting sqref="BG29:BG32">
    <cfRule type="containsErrors" dxfId="341" priority="2">
      <formula>ISERROR(BG29)</formula>
    </cfRule>
  </conditionalFormatting>
  <conditionalFormatting sqref="BG33">
    <cfRule type="containsErrors" dxfId="340" priority="1">
      <formula>ISERROR(BG33)</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16</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39" priority="14">
      <formula>ISERROR(A1)</formula>
    </cfRule>
  </conditionalFormatting>
  <conditionalFormatting sqref="G33:I34 G35:H57">
    <cfRule type="containsErrors" dxfId="338" priority="13">
      <formula>ISERROR(G33)</formula>
    </cfRule>
  </conditionalFormatting>
  <conditionalFormatting sqref="T12:T33">
    <cfRule type="containsErrors" dxfId="337" priority="12">
      <formula>ISERROR(T12)</formula>
    </cfRule>
  </conditionalFormatting>
  <conditionalFormatting sqref="I35:I57">
    <cfRule type="containsErrors" dxfId="336" priority="11">
      <formula>ISERROR(I35)</formula>
    </cfRule>
  </conditionalFormatting>
  <conditionalFormatting sqref="AY2:BC29">
    <cfRule type="containsErrors" dxfId="335" priority="8">
      <formula>ISERROR(AY2)</formula>
    </cfRule>
  </conditionalFormatting>
  <conditionalFormatting sqref="BE10:BG11 BE12:BF34">
    <cfRule type="containsErrors" dxfId="334" priority="10">
      <formula>ISERROR(BE10)</formula>
    </cfRule>
  </conditionalFormatting>
  <conditionalFormatting sqref="BG12:BG28 BG34">
    <cfRule type="containsErrors" dxfId="333" priority="9">
      <formula>ISERROR(BG12)</formula>
    </cfRule>
  </conditionalFormatting>
  <conditionalFormatting sqref="BE2:BG6">
    <cfRule type="containsErrors" dxfId="332" priority="7">
      <formula>ISERROR(BE2)</formula>
    </cfRule>
  </conditionalFormatting>
  <conditionalFormatting sqref="BF7:BG8">
    <cfRule type="containsErrors" dxfId="331" priority="5">
      <formula>ISERROR(BF7)</formula>
    </cfRule>
  </conditionalFormatting>
  <conditionalFormatting sqref="BE7:BE8">
    <cfRule type="containsErrors" dxfId="330" priority="6">
      <formula>ISERROR(BE7)</formula>
    </cfRule>
  </conditionalFormatting>
  <conditionalFormatting sqref="S30:S33">
    <cfRule type="containsErrors" dxfId="329" priority="4">
      <formula>ISERROR(S30)</formula>
    </cfRule>
  </conditionalFormatting>
  <conditionalFormatting sqref="AP27:AP28">
    <cfRule type="containsErrors" dxfId="328" priority="3">
      <formula>ISERROR(AP27)</formula>
    </cfRule>
  </conditionalFormatting>
  <conditionalFormatting sqref="BG29:BG32">
    <cfRule type="containsErrors" dxfId="327" priority="2">
      <formula>ISERROR(BG29)</formula>
    </cfRule>
  </conditionalFormatting>
  <conditionalFormatting sqref="BG33">
    <cfRule type="containsErrors" dxfId="326" priority="1">
      <formula>ISERROR(BG33)</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15</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25" priority="14">
      <formula>ISERROR(A1)</formula>
    </cfRule>
  </conditionalFormatting>
  <conditionalFormatting sqref="G33:I34 G35:H57">
    <cfRule type="containsErrors" dxfId="324" priority="13">
      <formula>ISERROR(G33)</formula>
    </cfRule>
  </conditionalFormatting>
  <conditionalFormatting sqref="T12:T33">
    <cfRule type="containsErrors" dxfId="323" priority="12">
      <formula>ISERROR(T12)</formula>
    </cfRule>
  </conditionalFormatting>
  <conditionalFormatting sqref="I35:I57">
    <cfRule type="containsErrors" dxfId="322" priority="11">
      <formula>ISERROR(I35)</formula>
    </cfRule>
  </conditionalFormatting>
  <conditionalFormatting sqref="AY2:BC29">
    <cfRule type="containsErrors" dxfId="321" priority="8">
      <formula>ISERROR(AY2)</formula>
    </cfRule>
  </conditionalFormatting>
  <conditionalFormatting sqref="BE10:BG11 BE12:BF34">
    <cfRule type="containsErrors" dxfId="320" priority="10">
      <formula>ISERROR(BE10)</formula>
    </cfRule>
  </conditionalFormatting>
  <conditionalFormatting sqref="BG12:BG28 BG34">
    <cfRule type="containsErrors" dxfId="319" priority="9">
      <formula>ISERROR(BG12)</formula>
    </cfRule>
  </conditionalFormatting>
  <conditionalFormatting sqref="BE2:BG6">
    <cfRule type="containsErrors" dxfId="318" priority="7">
      <formula>ISERROR(BE2)</formula>
    </cfRule>
  </conditionalFormatting>
  <conditionalFormatting sqref="BF7:BG8">
    <cfRule type="containsErrors" dxfId="317" priority="5">
      <formula>ISERROR(BF7)</formula>
    </cfRule>
  </conditionalFormatting>
  <conditionalFormatting sqref="BE7:BE8">
    <cfRule type="containsErrors" dxfId="316" priority="6">
      <formula>ISERROR(BE7)</formula>
    </cfRule>
  </conditionalFormatting>
  <conditionalFormatting sqref="S30:S33">
    <cfRule type="containsErrors" dxfId="315" priority="4">
      <formula>ISERROR(S30)</formula>
    </cfRule>
  </conditionalFormatting>
  <conditionalFormatting sqref="AP27:AP28">
    <cfRule type="containsErrors" dxfId="314" priority="3">
      <formula>ISERROR(AP27)</formula>
    </cfRule>
  </conditionalFormatting>
  <conditionalFormatting sqref="BG29:BG32">
    <cfRule type="containsErrors" dxfId="313" priority="2">
      <formula>ISERROR(BG29)</formula>
    </cfRule>
  </conditionalFormatting>
  <conditionalFormatting sqref="BG33">
    <cfRule type="containsErrors" dxfId="312" priority="1">
      <formula>ISERROR(BG33)</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14</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11" priority="14">
      <formula>ISERROR(A1)</formula>
    </cfRule>
  </conditionalFormatting>
  <conditionalFormatting sqref="G33:I34 G35:H57">
    <cfRule type="containsErrors" dxfId="310" priority="13">
      <formula>ISERROR(G33)</formula>
    </cfRule>
  </conditionalFormatting>
  <conditionalFormatting sqref="T12:T33">
    <cfRule type="containsErrors" dxfId="309" priority="12">
      <formula>ISERROR(T12)</formula>
    </cfRule>
  </conditionalFormatting>
  <conditionalFormatting sqref="I35:I57">
    <cfRule type="containsErrors" dxfId="308" priority="11">
      <formula>ISERROR(I35)</formula>
    </cfRule>
  </conditionalFormatting>
  <conditionalFormatting sqref="AY2:BC29">
    <cfRule type="containsErrors" dxfId="307" priority="8">
      <formula>ISERROR(AY2)</formula>
    </cfRule>
  </conditionalFormatting>
  <conditionalFormatting sqref="BE10:BG11 BE12:BF34">
    <cfRule type="containsErrors" dxfId="306" priority="10">
      <formula>ISERROR(BE10)</formula>
    </cfRule>
  </conditionalFormatting>
  <conditionalFormatting sqref="BG12:BG28 BG34">
    <cfRule type="containsErrors" dxfId="305" priority="9">
      <formula>ISERROR(BG12)</formula>
    </cfRule>
  </conditionalFormatting>
  <conditionalFormatting sqref="BE2:BG6">
    <cfRule type="containsErrors" dxfId="304" priority="7">
      <formula>ISERROR(BE2)</formula>
    </cfRule>
  </conditionalFormatting>
  <conditionalFormatting sqref="BF7:BG8">
    <cfRule type="containsErrors" dxfId="303" priority="5">
      <formula>ISERROR(BF7)</formula>
    </cfRule>
  </conditionalFormatting>
  <conditionalFormatting sqref="BE7:BE8">
    <cfRule type="containsErrors" dxfId="302" priority="6">
      <formula>ISERROR(BE7)</formula>
    </cfRule>
  </conditionalFormatting>
  <conditionalFormatting sqref="S30:S33">
    <cfRule type="containsErrors" dxfId="301" priority="4">
      <formula>ISERROR(S30)</formula>
    </cfRule>
  </conditionalFormatting>
  <conditionalFormatting sqref="AP27:AP28">
    <cfRule type="containsErrors" dxfId="300" priority="3">
      <formula>ISERROR(AP27)</formula>
    </cfRule>
  </conditionalFormatting>
  <conditionalFormatting sqref="BG29:BG32">
    <cfRule type="containsErrors" dxfId="299" priority="2">
      <formula>ISERROR(BG29)</formula>
    </cfRule>
  </conditionalFormatting>
  <conditionalFormatting sqref="BG33">
    <cfRule type="containsErrors" dxfId="298" priority="1">
      <formula>ISERROR(BG33)</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13</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131.69999999999999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14.19</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506"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507"/>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507"/>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97" priority="14">
      <formula>ISERROR(A1)</formula>
    </cfRule>
  </conditionalFormatting>
  <conditionalFormatting sqref="G33:I34 G35:H57">
    <cfRule type="containsErrors" dxfId="296" priority="13">
      <formula>ISERROR(G33)</formula>
    </cfRule>
  </conditionalFormatting>
  <conditionalFormatting sqref="T12:T33">
    <cfRule type="containsErrors" dxfId="295" priority="12">
      <formula>ISERROR(T12)</formula>
    </cfRule>
  </conditionalFormatting>
  <conditionalFormatting sqref="I35:I57">
    <cfRule type="containsErrors" dxfId="294" priority="11">
      <formula>ISERROR(I35)</formula>
    </cfRule>
  </conditionalFormatting>
  <conditionalFormatting sqref="AY2:BC29">
    <cfRule type="containsErrors" dxfId="293" priority="8">
      <formula>ISERROR(AY2)</formula>
    </cfRule>
  </conditionalFormatting>
  <conditionalFormatting sqref="BE10:BG11 BE12:BF34">
    <cfRule type="containsErrors" dxfId="292" priority="10">
      <formula>ISERROR(BE10)</formula>
    </cfRule>
  </conditionalFormatting>
  <conditionalFormatting sqref="BG12:BG28 BG34">
    <cfRule type="containsErrors" dxfId="291" priority="9">
      <formula>ISERROR(BG12)</formula>
    </cfRule>
  </conditionalFormatting>
  <conditionalFormatting sqref="BE2:BG6">
    <cfRule type="containsErrors" dxfId="290" priority="7">
      <formula>ISERROR(BE2)</formula>
    </cfRule>
  </conditionalFormatting>
  <conditionalFormatting sqref="BF7:BG8">
    <cfRule type="containsErrors" dxfId="289" priority="5">
      <formula>ISERROR(BF7)</formula>
    </cfRule>
  </conditionalFormatting>
  <conditionalFormatting sqref="BE7:BE8">
    <cfRule type="containsErrors" dxfId="288" priority="6">
      <formula>ISERROR(BE7)</formula>
    </cfRule>
  </conditionalFormatting>
  <conditionalFormatting sqref="S30:S33">
    <cfRule type="containsErrors" dxfId="287" priority="4">
      <formula>ISERROR(S30)</formula>
    </cfRule>
  </conditionalFormatting>
  <conditionalFormatting sqref="AP27:AP28">
    <cfRule type="containsErrors" dxfId="286" priority="3">
      <formula>ISERROR(AP27)</formula>
    </cfRule>
  </conditionalFormatting>
  <conditionalFormatting sqref="BG29:BG32">
    <cfRule type="containsErrors" dxfId="285" priority="2">
      <formula>ISERROR(BG29)</formula>
    </cfRule>
  </conditionalFormatting>
  <conditionalFormatting sqref="BG33">
    <cfRule type="containsErrors" dxfId="284" priority="1">
      <formula>ISERROR(BG33)</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7.8833333333333329</v>
      </c>
      <c r="C1" s="3"/>
      <c r="D1" s="4"/>
      <c r="E1" s="4" t="s">
        <v>1</v>
      </c>
      <c r="F1" s="5">
        <v>12</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10.89</v>
      </c>
      <c r="C4" s="22">
        <f>IF(A4="  ","  ",IF(A5="  ","?",1*(A5-A4)))</f>
        <v>0.5</v>
      </c>
      <c r="D4" s="23">
        <f>IFERROR(B4*C4,"  ")</f>
        <v>5.4450000000000003</v>
      </c>
      <c r="E4" s="24">
        <f t="shared" ref="E4:E28" si="1">IFERROR(A4-(Long_Div/2),"  ")</f>
        <v>-10</v>
      </c>
      <c r="F4" s="23">
        <f>IFERROR(D4*E4,"  ")</f>
        <v>-54.45</v>
      </c>
      <c r="G4" s="23">
        <f>IFERROR(F4*E4,"  ")</f>
        <v>544.5</v>
      </c>
      <c r="H4" s="23">
        <f>IFERROR(B4^3,"  ")</f>
        <v>1291.4679690000003</v>
      </c>
      <c r="I4" s="23">
        <f>IFERROR(H4*C4,"  ")</f>
        <v>645.73398450000013</v>
      </c>
      <c r="J4" s="4"/>
      <c r="K4" s="25">
        <f t="shared" ref="K4:K28" si="2">VLOOKUP(A4,AREA_TABLE,Count_WL+1,FALSE)</f>
        <v>67.961899999999986</v>
      </c>
      <c r="L4" s="23">
        <f>IFERROR(K4*C4,"  ")</f>
        <v>33.980949999999993</v>
      </c>
      <c r="M4" s="26">
        <f t="shared" ref="M4:M28" si="3">VLOOKUP(A4,MOMENT_TABLE,Count_WL+1,FALSE)</f>
        <v>844.10599933333333</v>
      </c>
      <c r="N4" s="27">
        <f>IFERROR(M4*C4,"  ")</f>
        <v>422.05299966666666</v>
      </c>
      <c r="O4" s="23">
        <f>IFERROR(L4*E4,"  ")</f>
        <v>-339.80949999999996</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10.89</v>
      </c>
      <c r="AQ4" s="34" t="str">
        <f t="shared" ref="AQ4:AQ28" ca="1" si="18">CONCATENATE(AI4,IF(NOT(OR(AI4="",AK4="")),"+",""),AK4)</f>
        <v>(1/2)*(1/3)</v>
      </c>
      <c r="AR4" s="23">
        <f t="shared" ref="AR4:AR28" ca="1" si="19">IFERROR(AP4*AM4,"  ")</f>
        <v>1.8149999999999999</v>
      </c>
      <c r="AS4" s="24">
        <f t="shared" ref="AS4:AS28" si="20">IFERROR(AO4-(Long_Div/2),"  ")</f>
        <v>-10</v>
      </c>
      <c r="AT4" s="23">
        <f ca="1">IFERROR(AR4*AS4,"  ")</f>
        <v>-18.149999999999999</v>
      </c>
      <c r="AU4" s="23">
        <f ca="1">IFERROR(AT4*AS4,"  ")</f>
        <v>181.5</v>
      </c>
      <c r="AV4" s="23">
        <f t="shared" ref="AV4:AV28" si="21">IFERROR(AP4^3,"  ")</f>
        <v>1291.4679690000003</v>
      </c>
      <c r="AW4" s="23">
        <f t="shared" ref="AW4:AW28" ca="1" si="22">IFERROR(AV4*AM4,"  ")</f>
        <v>215.24466150000003</v>
      </c>
      <c r="AY4" s="35">
        <f t="shared" ref="AY4:AY28" si="23">IF(ROW(AY4)-3&gt;Max_STN_count," ",VLOOKUP(AO4,AREA_TABLE,Count_WL+1,FALSE))</f>
        <v>67.961899999999986</v>
      </c>
      <c r="AZ4" s="23">
        <f t="shared" ref="AZ4:AZ7" ca="1" si="24">IFERROR(AY4*AM4,"  ")</f>
        <v>11.326983333333331</v>
      </c>
      <c r="BA4" s="36">
        <f t="shared" ref="BA4:BA28" si="25">IF(ROW(AY4)-3&gt;Max_STN_count," ",VLOOKUP(AO4,MOMENT_TABLE,Count_WL+1,FALSE))</f>
        <v>844.10599933333333</v>
      </c>
      <c r="BB4" s="27">
        <f ca="1">IFERROR(BA4*AM4,"  ")</f>
        <v>140.68433322222222</v>
      </c>
      <c r="BC4" s="23">
        <f ca="1">IFERROR(AZ4*AS4,"  ")</f>
        <v>-113.26983333333331</v>
      </c>
      <c r="BE4" s="16" t="s">
        <v>26</v>
      </c>
      <c r="BF4" s="9" t="s">
        <v>8</v>
      </c>
      <c r="BG4" s="28">
        <f>LBP</f>
        <v>131.69999999999999</v>
      </c>
    </row>
    <row r="5" spans="1:60" x14ac:dyDescent="0.25">
      <c r="A5" s="20">
        <f>Tools!$AD4</f>
        <v>0.5</v>
      </c>
      <c r="B5" s="33">
        <f t="shared" si="0"/>
        <v>11.52</v>
      </c>
      <c r="C5" s="22">
        <f>IF(A5="  ","  ",IF(AND(A4="  ",A6="  "),"?",IF(A4="  ",2*(A6-A5),IF(A6="  ",2*(A5-A4),2*(A6-A4)))))</f>
        <v>2</v>
      </c>
      <c r="D5" s="23">
        <f t="shared" ref="D5:D28" si="26">IFERROR(B5*C5,"  ")</f>
        <v>23.04</v>
      </c>
      <c r="E5" s="24">
        <f t="shared" si="1"/>
        <v>-9.5</v>
      </c>
      <c r="F5" s="23">
        <f t="shared" ref="F5:F28" si="27">IFERROR(D5*E5,"  ")</f>
        <v>-218.88</v>
      </c>
      <c r="G5" s="23">
        <f t="shared" ref="G5:G28" si="28">IFERROR(F5*E5,"  ")</f>
        <v>2079.36</v>
      </c>
      <c r="H5" s="23">
        <f t="shared" ref="H5:H28" si="29">IFERROR(B5^3,"  ")</f>
        <v>1528.8238079999999</v>
      </c>
      <c r="I5" s="23">
        <f t="shared" ref="I5:I28" si="30">IFERROR(H5*C5,"  ")</f>
        <v>3057.6476159999997</v>
      </c>
      <c r="J5" s="4"/>
      <c r="K5" s="37">
        <f t="shared" si="2"/>
        <v>90.142499999999984</v>
      </c>
      <c r="L5" s="23">
        <f t="shared" ref="L5:L28" si="31">IFERROR(K5*C5,"  ")</f>
        <v>180.28499999999997</v>
      </c>
      <c r="M5" s="38">
        <f t="shared" si="3"/>
        <v>1085.4548089999998</v>
      </c>
      <c r="N5" s="27">
        <f t="shared" ref="N5:N28" si="32">IFERROR(M5*C5,"  ")</f>
        <v>2170.9096179999997</v>
      </c>
      <c r="O5" s="23">
        <f t="shared" ref="O5:O28" si="33">IFERROR(L5*E5,"  ")</f>
        <v>-1712.7074999999998</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11.52</v>
      </c>
      <c r="AQ5" s="34" t="str">
        <f t="shared" ca="1" si="18"/>
        <v>(1/2)*(4/3)</v>
      </c>
      <c r="AR5" s="23">
        <f t="shared" ca="1" si="19"/>
        <v>7.68</v>
      </c>
      <c r="AS5" s="24">
        <f t="shared" si="20"/>
        <v>-9.5</v>
      </c>
      <c r="AT5" s="23">
        <f t="shared" ref="AT5:AT28" ca="1" si="37">IFERROR(AR5*AS5,"  ")</f>
        <v>-72.959999999999994</v>
      </c>
      <c r="AU5" s="23">
        <f ca="1">IFERROR(AT5*AS5,"  ")</f>
        <v>693.11999999999989</v>
      </c>
      <c r="AV5" s="23">
        <f t="shared" si="21"/>
        <v>1528.8238079999999</v>
      </c>
      <c r="AW5" s="23">
        <f t="shared" ca="1" si="22"/>
        <v>1019.2158719999999</v>
      </c>
      <c r="AY5" s="35">
        <f t="shared" si="23"/>
        <v>90.142499999999984</v>
      </c>
      <c r="AZ5" s="23">
        <f t="shared" ca="1" si="24"/>
        <v>60.094999999999985</v>
      </c>
      <c r="BA5" s="36">
        <f t="shared" si="25"/>
        <v>1085.4548089999998</v>
      </c>
      <c r="BB5" s="27">
        <f t="shared" ref="BB5:BB28" ca="1" si="38">IFERROR(BA5*AM5,"  ")</f>
        <v>723.63653933333319</v>
      </c>
      <c r="BC5" s="23">
        <f t="shared" ref="BC5:BC28" ca="1" si="39">IFERROR(AZ5*AS5,"  ")</f>
        <v>-570.9024999999998</v>
      </c>
      <c r="BE5" s="8" t="s">
        <v>27</v>
      </c>
      <c r="BF5" s="9" t="s">
        <v>8</v>
      </c>
      <c r="BG5" s="10">
        <f>BREADTH</f>
        <v>24.5</v>
      </c>
    </row>
    <row r="6" spans="1:60" x14ac:dyDescent="0.25">
      <c r="A6" s="20">
        <f>Tools!$AD5</f>
        <v>1</v>
      </c>
      <c r="B6" s="33">
        <f t="shared" si="0"/>
        <v>11.9</v>
      </c>
      <c r="C6" s="22">
        <f>IF(A6="  ","  ",IF(AND(A5="  ",A7="  "),"?",IF(A5="  ",1*(A7-A6),IF(A7="  ",1*(A6-A5),1*(A7-A5)))))</f>
        <v>1</v>
      </c>
      <c r="D6" s="23">
        <f t="shared" si="26"/>
        <v>11.9</v>
      </c>
      <c r="E6" s="24">
        <f t="shared" si="1"/>
        <v>-9</v>
      </c>
      <c r="F6" s="23">
        <f t="shared" si="27"/>
        <v>-107.10000000000001</v>
      </c>
      <c r="G6" s="23">
        <f t="shared" si="28"/>
        <v>963.90000000000009</v>
      </c>
      <c r="H6" s="23">
        <f t="shared" si="29"/>
        <v>1685.1590000000001</v>
      </c>
      <c r="I6" s="23">
        <f t="shared" si="30"/>
        <v>1685.1590000000001</v>
      </c>
      <c r="J6" s="4"/>
      <c r="K6" s="37">
        <f t="shared" si="2"/>
        <v>112.45169999999999</v>
      </c>
      <c r="L6" s="23">
        <f t="shared" si="31"/>
        <v>112.45169999999999</v>
      </c>
      <c r="M6" s="38">
        <f t="shared" si="3"/>
        <v>1305.6634709999998</v>
      </c>
      <c r="N6" s="27">
        <f t="shared" si="32"/>
        <v>1305.6634709999998</v>
      </c>
      <c r="O6" s="23">
        <f t="shared" si="33"/>
        <v>-1012.0652999999999</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11.9</v>
      </c>
      <c r="AQ6" s="34" t="str">
        <f t="shared" ca="1" si="18"/>
        <v>(1/2)*(2/3)</v>
      </c>
      <c r="AR6" s="23">
        <f t="shared" ca="1" si="19"/>
        <v>3.9666666666666668</v>
      </c>
      <c r="AS6" s="24">
        <f t="shared" si="20"/>
        <v>-9</v>
      </c>
      <c r="AT6" s="23">
        <f t="shared" ca="1" si="37"/>
        <v>-35.700000000000003</v>
      </c>
      <c r="AU6" s="23">
        <f ca="1">IFERROR(AT6*AS6,"  ")</f>
        <v>321.3</v>
      </c>
      <c r="AV6" s="23">
        <f t="shared" si="21"/>
        <v>1685.1590000000001</v>
      </c>
      <c r="AW6" s="23">
        <f t="shared" ca="1" si="22"/>
        <v>561.71966666666663</v>
      </c>
      <c r="AY6" s="35">
        <f t="shared" si="23"/>
        <v>112.45169999999999</v>
      </c>
      <c r="AZ6" s="23">
        <f t="shared" ca="1" si="24"/>
        <v>37.483899999999991</v>
      </c>
      <c r="BA6" s="36">
        <f t="shared" si="25"/>
        <v>1305.6634709999998</v>
      </c>
      <c r="BB6" s="27">
        <f t="shared" ca="1" si="38"/>
        <v>435.22115699999995</v>
      </c>
      <c r="BC6" s="23">
        <f t="shared" ca="1" si="39"/>
        <v>-337.35509999999994</v>
      </c>
      <c r="BE6" s="8" t="s">
        <v>28</v>
      </c>
      <c r="BF6" s="9" t="s">
        <v>8</v>
      </c>
      <c r="BG6" s="10">
        <f>DEPTH</f>
        <v>14.19</v>
      </c>
    </row>
    <row r="7" spans="1:60" x14ac:dyDescent="0.25">
      <c r="A7" s="20">
        <f>Tools!$AD6</f>
        <v>1.5</v>
      </c>
      <c r="B7" s="33">
        <f t="shared" si="0"/>
        <v>12.1</v>
      </c>
      <c r="C7" s="22">
        <f>IF(A7="  ","  ",IF(AND(A6="  ",A8="  "),"?",IF(A6="  ",2*(A8-A7),IF(A8="  ",2*(A7-A6),2*(A8-A6)))))</f>
        <v>2</v>
      </c>
      <c r="D7" s="23">
        <f t="shared" si="26"/>
        <v>24.2</v>
      </c>
      <c r="E7" s="24">
        <f t="shared" si="1"/>
        <v>-8.5</v>
      </c>
      <c r="F7" s="23">
        <f t="shared" si="27"/>
        <v>-205.7</v>
      </c>
      <c r="G7" s="23">
        <f t="shared" si="28"/>
        <v>1748.4499999999998</v>
      </c>
      <c r="H7" s="23">
        <f t="shared" si="29"/>
        <v>1771.5609999999999</v>
      </c>
      <c r="I7" s="23">
        <f t="shared" si="30"/>
        <v>3543.1219999999998</v>
      </c>
      <c r="J7" s="4"/>
      <c r="K7" s="37">
        <f t="shared" si="2"/>
        <v>141.80129999999997</v>
      </c>
      <c r="L7" s="23">
        <f t="shared" si="31"/>
        <v>283.60259999999994</v>
      </c>
      <c r="M7" s="38">
        <f t="shared" si="3"/>
        <v>1539.3300989999996</v>
      </c>
      <c r="N7" s="27">
        <f t="shared" si="32"/>
        <v>3078.6601979999991</v>
      </c>
      <c r="O7" s="23">
        <f t="shared" si="33"/>
        <v>-2410.6220999999996</v>
      </c>
      <c r="P7" s="4"/>
      <c r="Q7" s="39" t="s">
        <v>29</v>
      </c>
      <c r="R7" s="40" t="s">
        <v>8</v>
      </c>
      <c r="S7" s="41">
        <f>IF(MAX(B4:B28)=0," ",2*MAX(B4:B28))</f>
        <v>24.5</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12.1</v>
      </c>
      <c r="AQ7" s="34" t="str">
        <f t="shared" ca="1" si="18"/>
        <v>(1/2)*(4/3)</v>
      </c>
      <c r="AR7" s="23">
        <f t="shared" ca="1" si="19"/>
        <v>8.0666666666666664</v>
      </c>
      <c r="AS7" s="24">
        <f t="shared" si="20"/>
        <v>-8.5</v>
      </c>
      <c r="AT7" s="23">
        <f t="shared" ca="1" si="37"/>
        <v>-68.566666666666663</v>
      </c>
      <c r="AU7" s="23">
        <f t="shared" ref="AU7:AU28" ca="1" si="40">IFERROR(AT7*AS7,"  ")</f>
        <v>582.81666666666661</v>
      </c>
      <c r="AV7" s="23">
        <f t="shared" si="21"/>
        <v>1771.5609999999999</v>
      </c>
      <c r="AW7" s="23">
        <f t="shared" ca="1" si="22"/>
        <v>1181.0406666666665</v>
      </c>
      <c r="AY7" s="35">
        <f t="shared" si="23"/>
        <v>141.80129999999997</v>
      </c>
      <c r="AZ7" s="23">
        <f t="shared" ca="1" si="24"/>
        <v>94.53419999999997</v>
      </c>
      <c r="BA7" s="36">
        <f t="shared" si="25"/>
        <v>1539.3300989999996</v>
      </c>
      <c r="BB7" s="27">
        <f t="shared" ca="1" si="38"/>
        <v>1026.2200659999996</v>
      </c>
      <c r="BC7" s="23">
        <f t="shared" ca="1" si="39"/>
        <v>-803.54069999999979</v>
      </c>
      <c r="BE7" s="8" t="s">
        <v>29</v>
      </c>
      <c r="BF7" s="9" t="s">
        <v>8</v>
      </c>
      <c r="BG7" s="10">
        <f>IF(MAX(AP4:AP28)=0," ",2*MAX(AP4:AP28))</f>
        <v>24.5</v>
      </c>
    </row>
    <row r="8" spans="1:60" x14ac:dyDescent="0.25">
      <c r="A8" s="20">
        <f>Tools!$AD7</f>
        <v>2</v>
      </c>
      <c r="B8" s="33">
        <f t="shared" si="0"/>
        <v>12.2</v>
      </c>
      <c r="C8" s="22">
        <f>IF(A8="  ","  ",IF(AND(A7="  ",A9="  "),"?",IF(A7="  ",1*(A9-A8),IF(A9="  ",1*(A8-A7),1*(A9-A7)))))</f>
        <v>1.5</v>
      </c>
      <c r="D8" s="23">
        <f t="shared" si="26"/>
        <v>18.299999999999997</v>
      </c>
      <c r="E8" s="24">
        <f t="shared" si="1"/>
        <v>-8</v>
      </c>
      <c r="F8" s="23">
        <f t="shared" si="27"/>
        <v>-146.39999999999998</v>
      </c>
      <c r="G8" s="23">
        <f t="shared" si="28"/>
        <v>1171.1999999999998</v>
      </c>
      <c r="H8" s="23">
        <f t="shared" si="29"/>
        <v>1815.8479999999995</v>
      </c>
      <c r="I8" s="23">
        <f t="shared" si="30"/>
        <v>2723.771999999999</v>
      </c>
      <c r="J8" s="4"/>
      <c r="K8" s="37">
        <f t="shared" si="2"/>
        <v>174.81299999999996</v>
      </c>
      <c r="L8" s="23">
        <f t="shared" si="31"/>
        <v>262.21949999999993</v>
      </c>
      <c r="M8" s="38">
        <f t="shared" si="3"/>
        <v>1757.3138099999996</v>
      </c>
      <c r="N8" s="27">
        <f t="shared" si="32"/>
        <v>2635.9707149999995</v>
      </c>
      <c r="O8" s="23">
        <f t="shared" si="33"/>
        <v>-2097.7559999999994</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12.2</v>
      </c>
      <c r="AQ8" s="34" t="str">
        <f t="shared" ca="1" si="18"/>
        <v>(1/2)*(1/3)+1/3</v>
      </c>
      <c r="AR8" s="23">
        <f t="shared" ca="1" si="19"/>
        <v>6.1</v>
      </c>
      <c r="AS8" s="24">
        <f t="shared" si="20"/>
        <v>-8</v>
      </c>
      <c r="AT8" s="23">
        <f t="shared" ca="1" si="37"/>
        <v>-48.8</v>
      </c>
      <c r="AU8" s="23">
        <f t="shared" ca="1" si="40"/>
        <v>390.4</v>
      </c>
      <c r="AV8" s="23">
        <f t="shared" si="21"/>
        <v>1815.8479999999995</v>
      </c>
      <c r="AW8" s="23">
        <f t="shared" ca="1" si="22"/>
        <v>907.92399999999975</v>
      </c>
      <c r="AY8" s="35">
        <f t="shared" si="23"/>
        <v>174.81299999999996</v>
      </c>
      <c r="AZ8" s="23">
        <f ca="1">IFERROR(AY8*AM8,"  ")</f>
        <v>87.40649999999998</v>
      </c>
      <c r="BA8" s="36">
        <f t="shared" si="25"/>
        <v>1757.3138099999996</v>
      </c>
      <c r="BB8" s="27">
        <f t="shared" ca="1" si="38"/>
        <v>878.65690499999982</v>
      </c>
      <c r="BC8" s="23">
        <f t="shared" ca="1" si="39"/>
        <v>-699.25199999999984</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f t="shared" si="0"/>
        <v>12.23</v>
      </c>
      <c r="C9" s="22">
        <f>IF(A9="  ","  ",IF(AND(A8="  ",A10="  "),"?",IF(A8="  ",2*(A10-A9),IF(A10="  ",2*(A9-A8),2*(A10-A8)))))</f>
        <v>4</v>
      </c>
      <c r="D9" s="23">
        <f t="shared" si="26"/>
        <v>48.92</v>
      </c>
      <c r="E9" s="24">
        <f t="shared" si="1"/>
        <v>-7</v>
      </c>
      <c r="F9" s="23">
        <f t="shared" si="27"/>
        <v>-342.44</v>
      </c>
      <c r="G9" s="23">
        <f t="shared" si="28"/>
        <v>2397.08</v>
      </c>
      <c r="H9" s="23">
        <f t="shared" si="29"/>
        <v>1829.2765670000001</v>
      </c>
      <c r="I9" s="23">
        <f t="shared" si="30"/>
        <v>7317.1062680000005</v>
      </c>
      <c r="J9" s="4"/>
      <c r="K9" s="37">
        <f t="shared" si="2"/>
        <v>221.17559999999997</v>
      </c>
      <c r="L9" s="23">
        <f t="shared" si="31"/>
        <v>884.7023999999999</v>
      </c>
      <c r="M9" s="38">
        <f t="shared" si="3"/>
        <v>2039.8983689999998</v>
      </c>
      <c r="N9" s="27">
        <f t="shared" si="32"/>
        <v>8159.5934759999991</v>
      </c>
      <c r="O9" s="23">
        <f t="shared" si="33"/>
        <v>-6192.9167999999991</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12.23</v>
      </c>
      <c r="AQ9" s="34" t="str">
        <f t="shared" ca="1" si="18"/>
        <v>4/3</v>
      </c>
      <c r="AR9" s="23">
        <f t="shared" ca="1" si="19"/>
        <v>16.306666666666665</v>
      </c>
      <c r="AS9" s="24">
        <f t="shared" si="20"/>
        <v>-7</v>
      </c>
      <c r="AT9" s="23">
        <f t="shared" ca="1" si="37"/>
        <v>-114.14666666666665</v>
      </c>
      <c r="AU9" s="23">
        <f t="shared" ca="1" si="40"/>
        <v>799.02666666666653</v>
      </c>
      <c r="AV9" s="23">
        <f t="shared" si="21"/>
        <v>1829.2765670000001</v>
      </c>
      <c r="AW9" s="23">
        <f t="shared" ca="1" si="22"/>
        <v>2439.0354226666668</v>
      </c>
      <c r="AY9" s="35">
        <f t="shared" si="23"/>
        <v>221.17559999999997</v>
      </c>
      <c r="AZ9" s="23">
        <f t="shared" ref="AZ9:AZ28" ca="1" si="41">IFERROR(AY9*AM9,"  ")</f>
        <v>294.90079999999995</v>
      </c>
      <c r="BA9" s="36">
        <f t="shared" si="25"/>
        <v>2039.8983689999998</v>
      </c>
      <c r="BB9" s="27">
        <f t="shared" ca="1" si="38"/>
        <v>2719.8644919999997</v>
      </c>
      <c r="BC9" s="23">
        <f t="shared" ca="1" si="39"/>
        <v>-2064.3055999999997</v>
      </c>
    </row>
    <row r="10" spans="1:60" x14ac:dyDescent="0.25">
      <c r="A10" s="20">
        <f>Tools!$AD9</f>
        <v>4</v>
      </c>
      <c r="B10" s="33">
        <f t="shared" si="0"/>
        <v>12.25</v>
      </c>
      <c r="C10" s="22">
        <f>IF(A10="  ","  ",IF(AND(A9="  ",A11="  "),"?",IF(A9="  ",1*(A11-A10),IF(A11="  ",1*(A10-A9),1*(A11-A9)))))</f>
        <v>2</v>
      </c>
      <c r="D10" s="23">
        <f t="shared" si="26"/>
        <v>24.5</v>
      </c>
      <c r="E10" s="24">
        <f t="shared" si="1"/>
        <v>-6</v>
      </c>
      <c r="F10" s="23">
        <f t="shared" si="27"/>
        <v>-147</v>
      </c>
      <c r="G10" s="23">
        <f t="shared" si="28"/>
        <v>882</v>
      </c>
      <c r="H10" s="23">
        <f t="shared" si="29"/>
        <v>1838.265625</v>
      </c>
      <c r="I10" s="23">
        <f>IFERROR(H10*C10,"  ")</f>
        <v>3676.53125</v>
      </c>
      <c r="J10" s="4"/>
      <c r="K10" s="37">
        <f t="shared" si="2"/>
        <v>259.88699999999994</v>
      </c>
      <c r="L10" s="23">
        <f t="shared" si="31"/>
        <v>519.77399999999989</v>
      </c>
      <c r="M10" s="38">
        <f t="shared" si="3"/>
        <v>2222.2838249999995</v>
      </c>
      <c r="N10" s="27">
        <f t="shared" si="32"/>
        <v>4444.567649999999</v>
      </c>
      <c r="O10" s="23">
        <f t="shared" si="33"/>
        <v>-3118.6439999999993</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12.25</v>
      </c>
      <c r="AQ10" s="34" t="str">
        <f t="shared" ca="1" si="18"/>
        <v>2/3</v>
      </c>
      <c r="AR10" s="23">
        <f t="shared" ca="1" si="19"/>
        <v>8.1666666666666661</v>
      </c>
      <c r="AS10" s="24">
        <f t="shared" si="20"/>
        <v>-6</v>
      </c>
      <c r="AT10" s="23">
        <f t="shared" ca="1" si="37"/>
        <v>-49</v>
      </c>
      <c r="AU10" s="23">
        <f ca="1">IFERROR(AT10*AS10,"  ")</f>
        <v>294</v>
      </c>
      <c r="AV10" s="23">
        <f t="shared" si="21"/>
        <v>1838.265625</v>
      </c>
      <c r="AW10" s="23">
        <f t="shared" ca="1" si="22"/>
        <v>1225.5104166666665</v>
      </c>
      <c r="AY10" s="35">
        <f t="shared" si="23"/>
        <v>259.88699999999994</v>
      </c>
      <c r="AZ10" s="23">
        <f t="shared" ca="1" si="41"/>
        <v>173.25799999999995</v>
      </c>
      <c r="BA10" s="36">
        <f t="shared" si="25"/>
        <v>2222.2838249999995</v>
      </c>
      <c r="BB10" s="27">
        <f t="shared" ca="1" si="38"/>
        <v>1481.5225499999997</v>
      </c>
      <c r="BC10" s="23">
        <f t="shared" ca="1" si="39"/>
        <v>-1039.5479999999998</v>
      </c>
      <c r="BE10" s="43" t="s">
        <v>31</v>
      </c>
      <c r="BF10" s="44" t="s">
        <v>32</v>
      </c>
      <c r="BG10" s="506" t="s">
        <v>33</v>
      </c>
    </row>
    <row r="11" spans="1:60" x14ac:dyDescent="0.25">
      <c r="A11" s="20">
        <f>Tools!$AD10</f>
        <v>5</v>
      </c>
      <c r="B11" s="33">
        <f t="shared" si="0"/>
        <v>12.25</v>
      </c>
      <c r="C11" s="22">
        <f>IF(A11="  ","  ",IF(AND(A10="  ",A12="  "),"?",IF(A10="  ",2*(A12-A11),IF(A12="  ",2*(A11-A10),2*(A12-A10)))))</f>
        <v>4</v>
      </c>
      <c r="D11" s="23">
        <f t="shared" si="26"/>
        <v>49</v>
      </c>
      <c r="E11" s="24">
        <f t="shared" si="1"/>
        <v>-5</v>
      </c>
      <c r="F11" s="23">
        <f t="shared" si="27"/>
        <v>-245</v>
      </c>
      <c r="G11" s="23">
        <f t="shared" si="28"/>
        <v>1225</v>
      </c>
      <c r="H11" s="23">
        <f t="shared" si="29"/>
        <v>1838.265625</v>
      </c>
      <c r="I11" s="23">
        <f t="shared" si="30"/>
        <v>7353.0625</v>
      </c>
      <c r="J11" s="4"/>
      <c r="K11" s="37">
        <f t="shared" si="2"/>
        <v>292.72499999999997</v>
      </c>
      <c r="L11" s="23">
        <f t="shared" si="31"/>
        <v>1170.8999999999999</v>
      </c>
      <c r="M11" s="38">
        <f t="shared" si="3"/>
        <v>2349.6698249999999</v>
      </c>
      <c r="N11" s="27">
        <f t="shared" si="32"/>
        <v>9398.6792999999998</v>
      </c>
      <c r="O11" s="23">
        <f t="shared" si="33"/>
        <v>-5854.4999999999991</v>
      </c>
      <c r="P11" s="4"/>
      <c r="Q11" s="47" t="s">
        <v>34</v>
      </c>
      <c r="R11" s="48" t="s">
        <v>35</v>
      </c>
      <c r="S11">
        <f>IF(Tools!$L$49="Use 141 rule only",I35,IF(Tools!$L$49="Use 141 and 1331 rules",BG12," "))</f>
        <v>3008.5986999999996</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12.25</v>
      </c>
      <c r="AQ11" s="34" t="str">
        <f t="shared" ca="1" si="18"/>
        <v>4/3</v>
      </c>
      <c r="AR11" s="23">
        <f t="shared" ca="1" si="19"/>
        <v>16.333333333333332</v>
      </c>
      <c r="AS11" s="24">
        <f t="shared" si="20"/>
        <v>-5</v>
      </c>
      <c r="AT11" s="23">
        <f t="shared" ca="1" si="37"/>
        <v>-81.666666666666657</v>
      </c>
      <c r="AU11" s="23">
        <f t="shared" ca="1" si="40"/>
        <v>408.33333333333326</v>
      </c>
      <c r="AV11" s="23">
        <f t="shared" si="21"/>
        <v>1838.265625</v>
      </c>
      <c r="AW11" s="23">
        <f t="shared" ca="1" si="22"/>
        <v>2451.020833333333</v>
      </c>
      <c r="AY11" s="35">
        <f t="shared" si="23"/>
        <v>292.72499999999997</v>
      </c>
      <c r="AZ11" s="23">
        <f t="shared" ca="1" si="41"/>
        <v>390.29999999999995</v>
      </c>
      <c r="BA11" s="36">
        <f t="shared" si="25"/>
        <v>2349.6698249999999</v>
      </c>
      <c r="BB11" s="27">
        <f t="shared" ca="1" si="38"/>
        <v>3132.8930999999998</v>
      </c>
      <c r="BC11" s="23">
        <f ca="1">IFERROR(AZ11*AS11,"  ")</f>
        <v>-1951.4999999999998</v>
      </c>
      <c r="BE11" s="45"/>
      <c r="BF11" s="46"/>
      <c r="BG11" s="507"/>
    </row>
    <row r="12" spans="1:60" x14ac:dyDescent="0.25">
      <c r="A12" s="20">
        <f>Tools!$AD11</f>
        <v>6</v>
      </c>
      <c r="B12" s="33">
        <f t="shared" si="0"/>
        <v>12.25</v>
      </c>
      <c r="C12" s="22">
        <f>IF(A12="  ","  ",IF(AND(A11="  ",A13="  "),"?",IF(A11="  ",1*(A13-A12),IF(A13="  ",1*(A12-A11),1*(A13-A11)))))</f>
        <v>2</v>
      </c>
      <c r="D12" s="23">
        <f t="shared" si="26"/>
        <v>24.5</v>
      </c>
      <c r="E12" s="24">
        <f t="shared" si="1"/>
        <v>-4</v>
      </c>
      <c r="F12" s="23">
        <f t="shared" si="27"/>
        <v>-98</v>
      </c>
      <c r="G12" s="23">
        <f t="shared" si="28"/>
        <v>392</v>
      </c>
      <c r="H12" s="23">
        <f t="shared" si="29"/>
        <v>1838.265625</v>
      </c>
      <c r="I12" s="23">
        <f t="shared" si="30"/>
        <v>3676.53125</v>
      </c>
      <c r="J12" s="4"/>
      <c r="K12" s="37">
        <f t="shared" si="2"/>
        <v>313.94699999999995</v>
      </c>
      <c r="L12" s="23">
        <f t="shared" si="31"/>
        <v>627.89399999999989</v>
      </c>
      <c r="M12" s="38">
        <f t="shared" si="3"/>
        <v>2415.1070249999998</v>
      </c>
      <c r="N12" s="27">
        <f t="shared" si="32"/>
        <v>4830.2140499999996</v>
      </c>
      <c r="O12" s="23">
        <f t="shared" si="33"/>
        <v>-2511.5759999999996</v>
      </c>
      <c r="P12" s="4"/>
      <c r="Q12" s="47" t="s">
        <v>36</v>
      </c>
      <c r="R12" s="48" t="s">
        <v>37</v>
      </c>
      <c r="S12">
        <f>IF(Tools!$L$49="Use 141 rule only",I36,IF(Tools!$L$49="Use 141 and 1331 rules",BG13," "))</f>
        <v>-11078.470324500002</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12.25</v>
      </c>
      <c r="AQ12" s="34" t="str">
        <f t="shared" ca="1" si="18"/>
        <v>2/3</v>
      </c>
      <c r="AR12" s="23">
        <f t="shared" ca="1" si="19"/>
        <v>8.1666666666666661</v>
      </c>
      <c r="AS12" s="24">
        <f t="shared" si="20"/>
        <v>-4</v>
      </c>
      <c r="AT12" s="23">
        <f t="shared" ca="1" si="37"/>
        <v>-32.666666666666664</v>
      </c>
      <c r="AU12" s="23">
        <f t="shared" ca="1" si="40"/>
        <v>130.66666666666666</v>
      </c>
      <c r="AV12" s="23">
        <f t="shared" si="21"/>
        <v>1838.265625</v>
      </c>
      <c r="AW12" s="23">
        <f t="shared" ca="1" si="22"/>
        <v>1225.5104166666665</v>
      </c>
      <c r="AY12" s="35">
        <f t="shared" si="23"/>
        <v>313.94699999999995</v>
      </c>
      <c r="AZ12" s="23">
        <f t="shared" ca="1" si="41"/>
        <v>209.29799999999994</v>
      </c>
      <c r="BA12" s="36">
        <f t="shared" si="25"/>
        <v>2415.1070249999998</v>
      </c>
      <c r="BB12" s="27">
        <f t="shared" ca="1" si="38"/>
        <v>1610.0713499999997</v>
      </c>
      <c r="BC12" s="23">
        <f t="shared" ca="1" si="39"/>
        <v>-837.19199999999978</v>
      </c>
      <c r="BE12" s="47" t="s">
        <v>34</v>
      </c>
      <c r="BF12" s="48" t="s">
        <v>38</v>
      </c>
      <c r="BG12" s="49">
        <f ca="1">IF(WL_No="  ","  ",2*h*$AR$29)</f>
        <v>3008.5986999999991</v>
      </c>
    </row>
    <row r="13" spans="1:60" x14ac:dyDescent="0.25">
      <c r="A13" s="20">
        <f>Tools!$AD12</f>
        <v>7</v>
      </c>
      <c r="B13" s="33">
        <f t="shared" si="0"/>
        <v>12.25</v>
      </c>
      <c r="C13" s="22">
        <f>IF(A13="  ","  ",IF(AND(A12="  ",A14="  "),"?",IF(A12="  ",2*(A14-A13),IF(A14="  ",2*(A13-A12),2*(A14-A12)))))</f>
        <v>4</v>
      </c>
      <c r="D13" s="23">
        <f t="shared" si="26"/>
        <v>49</v>
      </c>
      <c r="E13" s="24">
        <f t="shared" si="1"/>
        <v>-3</v>
      </c>
      <c r="F13" s="23">
        <f t="shared" si="27"/>
        <v>-147</v>
      </c>
      <c r="G13" s="23">
        <f t="shared" si="28"/>
        <v>441</v>
      </c>
      <c r="H13" s="23">
        <f t="shared" si="29"/>
        <v>1838.265625</v>
      </c>
      <c r="I13" s="23">
        <f t="shared" si="30"/>
        <v>7353.0625</v>
      </c>
      <c r="J13" s="4"/>
      <c r="K13" s="37">
        <f t="shared" si="2"/>
        <v>328.26899999999995</v>
      </c>
      <c r="L13" s="23">
        <f t="shared" si="31"/>
        <v>1313.0759999999998</v>
      </c>
      <c r="M13" s="38">
        <f t="shared" si="3"/>
        <v>2445.4982249999998</v>
      </c>
      <c r="N13" s="27">
        <f t="shared" si="32"/>
        <v>9781.9928999999993</v>
      </c>
      <c r="O13" s="23">
        <f t="shared" si="33"/>
        <v>-3939.2279999999992</v>
      </c>
      <c r="P13" s="4"/>
      <c r="Q13" s="50" t="s">
        <v>39</v>
      </c>
      <c r="R13" s="48" t="s">
        <v>40</v>
      </c>
      <c r="S13">
        <f>IF(Tools!$L$49="Use 141 rule only",I37,IF(Tools!$L$49="Use 141 and 1331 rules",BG14," "))</f>
        <v>-3.6822691987801508</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12.25</v>
      </c>
      <c r="AQ13" s="34" t="str">
        <f t="shared" ca="1" si="18"/>
        <v>4/3</v>
      </c>
      <c r="AR13" s="23">
        <f t="shared" ca="1" si="19"/>
        <v>16.333333333333332</v>
      </c>
      <c r="AS13" s="24">
        <f t="shared" si="20"/>
        <v>-3</v>
      </c>
      <c r="AT13" s="23">
        <f t="shared" ca="1" si="37"/>
        <v>-49</v>
      </c>
      <c r="AU13" s="23">
        <f t="shared" ca="1" si="40"/>
        <v>147</v>
      </c>
      <c r="AV13" s="23">
        <f t="shared" si="21"/>
        <v>1838.265625</v>
      </c>
      <c r="AW13" s="23">
        <f t="shared" ca="1" si="22"/>
        <v>2451.020833333333</v>
      </c>
      <c r="AY13" s="35">
        <f t="shared" si="23"/>
        <v>328.26899999999995</v>
      </c>
      <c r="AZ13" s="23">
        <f t="shared" ca="1" si="41"/>
        <v>437.69199999999989</v>
      </c>
      <c r="BA13" s="36">
        <f t="shared" si="25"/>
        <v>2445.4982249999998</v>
      </c>
      <c r="BB13" s="27">
        <f t="shared" ca="1" si="38"/>
        <v>3260.6642999999995</v>
      </c>
      <c r="BC13" s="23">
        <f t="shared" ca="1" si="39"/>
        <v>-1313.0759999999996</v>
      </c>
      <c r="BE13" s="47" t="s">
        <v>36</v>
      </c>
      <c r="BF13" s="48" t="s">
        <v>41</v>
      </c>
      <c r="BG13" s="49">
        <f ca="1">IF(WL_No="  ","  ",2*(h^2)*$AT$29)</f>
        <v>-11078.470324499993</v>
      </c>
    </row>
    <row r="14" spans="1:60" x14ac:dyDescent="0.25">
      <c r="A14" s="20">
        <f>Tools!$AD13</f>
        <v>8</v>
      </c>
      <c r="B14" s="33">
        <f t="shared" si="0"/>
        <v>12.25</v>
      </c>
      <c r="C14" s="22">
        <f>IF(A14="  ","  ",IF(AND(A13="  ",A15="  "),"?",IF(A13="  ",1*(A15-A14),IF(A15="  ",1*(A14-A13),1*(A15-A13)))))</f>
        <v>2</v>
      </c>
      <c r="D14" s="23">
        <f t="shared" si="26"/>
        <v>24.5</v>
      </c>
      <c r="E14" s="24">
        <f t="shared" si="1"/>
        <v>-2</v>
      </c>
      <c r="F14" s="23">
        <f t="shared" si="27"/>
        <v>-49</v>
      </c>
      <c r="G14" s="23">
        <f t="shared" si="28"/>
        <v>98</v>
      </c>
      <c r="H14" s="23">
        <f t="shared" si="29"/>
        <v>1838.265625</v>
      </c>
      <c r="I14" s="23">
        <f t="shared" si="30"/>
        <v>3676.53125</v>
      </c>
      <c r="J14" s="4"/>
      <c r="K14" s="37">
        <f t="shared" si="2"/>
        <v>336.87299999999999</v>
      </c>
      <c r="L14" s="23">
        <f t="shared" si="31"/>
        <v>673.74599999999998</v>
      </c>
      <c r="M14" s="38">
        <f t="shared" si="3"/>
        <v>2457.9722249999995</v>
      </c>
      <c r="N14" s="27">
        <f t="shared" si="32"/>
        <v>4915.9444499999991</v>
      </c>
      <c r="O14" s="23">
        <f t="shared" si="33"/>
        <v>-1347.492</v>
      </c>
      <c r="P14" s="4"/>
      <c r="Q14" s="50" t="s">
        <v>42</v>
      </c>
      <c r="R14" s="48" t="s">
        <v>43</v>
      </c>
      <c r="S14">
        <f>IF(Tools!$L$49="Use 141 rule only",I38,IF(Tools!$L$49="Use 141 and 1331 rules",BG15," "))</f>
        <v>3917625.5775067406</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12.25</v>
      </c>
      <c r="AQ14" s="34" t="str">
        <f t="shared" ca="1" si="18"/>
        <v>2/3</v>
      </c>
      <c r="AR14" s="23">
        <f t="shared" ca="1" si="19"/>
        <v>8.1666666666666661</v>
      </c>
      <c r="AS14" s="24">
        <f t="shared" si="20"/>
        <v>-2</v>
      </c>
      <c r="AT14" s="23">
        <f t="shared" ca="1" si="37"/>
        <v>-16.333333333333332</v>
      </c>
      <c r="AU14" s="23">
        <f t="shared" ca="1" si="40"/>
        <v>32.666666666666664</v>
      </c>
      <c r="AV14" s="23">
        <f t="shared" si="21"/>
        <v>1838.265625</v>
      </c>
      <c r="AW14" s="23">
        <f t="shared" ca="1" si="22"/>
        <v>1225.5104166666665</v>
      </c>
      <c r="AY14" s="35">
        <f t="shared" si="23"/>
        <v>336.87299999999999</v>
      </c>
      <c r="AZ14" s="23">
        <f t="shared" ca="1" si="41"/>
        <v>224.58199999999999</v>
      </c>
      <c r="BA14" s="36">
        <f t="shared" si="25"/>
        <v>2457.9722249999995</v>
      </c>
      <c r="BB14" s="27">
        <f t="shared" ca="1" si="38"/>
        <v>1638.6481499999995</v>
      </c>
      <c r="BC14" s="23">
        <f t="shared" ca="1" si="39"/>
        <v>-449.16399999999999</v>
      </c>
      <c r="BE14" s="50" t="s">
        <v>39</v>
      </c>
      <c r="BF14" s="48" t="s">
        <v>40</v>
      </c>
      <c r="BG14" s="49">
        <f>IF(WL_No="  ","  ",Mmid/AWP)</f>
        <v>-3.6822691987801508</v>
      </c>
    </row>
    <row r="15" spans="1:60" x14ac:dyDescent="0.25">
      <c r="A15" s="20">
        <f>Tools!$AD14</f>
        <v>9</v>
      </c>
      <c r="B15" s="33">
        <f t="shared" si="0"/>
        <v>12.25</v>
      </c>
      <c r="C15" s="22">
        <f>IF(A15="  ","  ",IF(AND(A14="  ",A16="  "),"?",IF(A14="  ",2*(A16-A15),IF(A16="  ",2*(A15-A14),2*(A16-A14)))))</f>
        <v>4</v>
      </c>
      <c r="D15" s="23">
        <f t="shared" si="26"/>
        <v>49</v>
      </c>
      <c r="E15" s="24">
        <f t="shared" si="1"/>
        <v>-1</v>
      </c>
      <c r="F15" s="23">
        <f t="shared" si="27"/>
        <v>-49</v>
      </c>
      <c r="G15" s="23">
        <f t="shared" si="28"/>
        <v>49</v>
      </c>
      <c r="H15" s="23">
        <f t="shared" si="29"/>
        <v>1838.265625</v>
      </c>
      <c r="I15" s="23">
        <f t="shared" si="30"/>
        <v>7353.0625</v>
      </c>
      <c r="J15" s="4"/>
      <c r="K15" s="37">
        <f t="shared" si="2"/>
        <v>340.14299999999997</v>
      </c>
      <c r="L15" s="23">
        <f t="shared" si="31"/>
        <v>1360.5719999999999</v>
      </c>
      <c r="M15" s="38">
        <f t="shared" si="3"/>
        <v>2461.7198250000001</v>
      </c>
      <c r="N15" s="27">
        <f t="shared" si="32"/>
        <v>9846.8793000000005</v>
      </c>
      <c r="O15" s="23">
        <f t="shared" si="33"/>
        <v>-1360.5719999999999</v>
      </c>
      <c r="P15" s="4"/>
      <c r="Q15" s="51" t="s">
        <v>44</v>
      </c>
      <c r="R15" s="48" t="s">
        <v>45</v>
      </c>
      <c r="S15">
        <f>IF(Tools!$L$49="Use 141 rule only",I39,IF(Tools!$L$49="Use 141 and 1331 rules",BG16," "))</f>
        <v>140814.88155053332</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12.25</v>
      </c>
      <c r="AQ15" s="34" t="str">
        <f t="shared" ca="1" si="18"/>
        <v>4/3</v>
      </c>
      <c r="AR15" s="23">
        <f t="shared" ca="1" si="19"/>
        <v>16.333333333333332</v>
      </c>
      <c r="AS15" s="24">
        <f t="shared" si="20"/>
        <v>-1</v>
      </c>
      <c r="AT15" s="23">
        <f t="shared" ca="1" si="37"/>
        <v>-16.333333333333332</v>
      </c>
      <c r="AU15" s="23">
        <f t="shared" ca="1" si="40"/>
        <v>16.333333333333332</v>
      </c>
      <c r="AV15" s="23">
        <f t="shared" si="21"/>
        <v>1838.265625</v>
      </c>
      <c r="AW15" s="23">
        <f t="shared" ca="1" si="22"/>
        <v>2451.020833333333</v>
      </c>
      <c r="AY15" s="35">
        <f t="shared" si="23"/>
        <v>340.14299999999997</v>
      </c>
      <c r="AZ15" s="23">
        <f t="shared" ca="1" si="41"/>
        <v>453.52399999999994</v>
      </c>
      <c r="BA15" s="36">
        <f t="shared" si="25"/>
        <v>2461.7198250000001</v>
      </c>
      <c r="BB15" s="27">
        <f ca="1">IFERROR(BA15*AM15,"  ")</f>
        <v>3282.2930999999999</v>
      </c>
      <c r="BC15" s="23">
        <f t="shared" ca="1" si="39"/>
        <v>-453.52399999999994</v>
      </c>
      <c r="BE15" s="50" t="s">
        <v>42</v>
      </c>
      <c r="BF15" s="48" t="s">
        <v>46</v>
      </c>
      <c r="BG15" s="49">
        <f ca="1">IF(WL_No="  ","  ",2*(h^3)*$AU$29)</f>
        <v>3917625.5775067406</v>
      </c>
    </row>
    <row r="16" spans="1:60" x14ac:dyDescent="0.25">
      <c r="A16" s="20">
        <f>Tools!$AD15</f>
        <v>10</v>
      </c>
      <c r="B16" s="33">
        <f t="shared" si="0"/>
        <v>12.25</v>
      </c>
      <c r="C16" s="22">
        <f>IF(A16="  ","  ",IF(AND(A15="  ",A17="  "),"?",IF(A15="  ",1*(A17-A16),IF(A17="  ",1*(A16-A15),1*(A17-A15)))))</f>
        <v>2</v>
      </c>
      <c r="D16" s="23">
        <f t="shared" si="26"/>
        <v>24.5</v>
      </c>
      <c r="E16" s="24">
        <f t="shared" si="1"/>
        <v>0</v>
      </c>
      <c r="F16" s="23">
        <f t="shared" si="27"/>
        <v>0</v>
      </c>
      <c r="G16" s="23">
        <f t="shared" si="28"/>
        <v>0</v>
      </c>
      <c r="H16" s="23">
        <f t="shared" si="29"/>
        <v>1838.265625</v>
      </c>
      <c r="I16" s="23">
        <f t="shared" si="30"/>
        <v>3676.53125</v>
      </c>
      <c r="J16" s="4"/>
      <c r="K16" s="37">
        <f t="shared" si="2"/>
        <v>340.98899999999998</v>
      </c>
      <c r="L16" s="23">
        <f t="shared" si="31"/>
        <v>681.97799999999995</v>
      </c>
      <c r="M16" s="38">
        <f t="shared" si="3"/>
        <v>2461.9790249999996</v>
      </c>
      <c r="N16" s="27">
        <f t="shared" si="32"/>
        <v>4923.9580499999993</v>
      </c>
      <c r="O16" s="23">
        <f t="shared" si="33"/>
        <v>0</v>
      </c>
      <c r="P16" s="4"/>
      <c r="Q16" s="50" t="s">
        <v>47</v>
      </c>
      <c r="R16" s="48" t="s">
        <v>48</v>
      </c>
      <c r="S16">
        <f>IF(Tools!$L$49="Use 141 rule only",I40,IF(Tools!$L$49="Use 141 and 1331 rules",BG17," "))</f>
        <v>3876831.6674612341</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12.25</v>
      </c>
      <c r="AQ16" s="34" t="str">
        <f t="shared" ca="1" si="18"/>
        <v>2/3</v>
      </c>
      <c r="AR16" s="23">
        <f t="shared" ca="1" si="19"/>
        <v>8.1666666666666661</v>
      </c>
      <c r="AS16" s="24">
        <f t="shared" si="20"/>
        <v>0</v>
      </c>
      <c r="AT16" s="23">
        <f t="shared" ca="1" si="37"/>
        <v>0</v>
      </c>
      <c r="AU16" s="23">
        <f t="shared" ca="1" si="40"/>
        <v>0</v>
      </c>
      <c r="AV16" s="23">
        <f t="shared" si="21"/>
        <v>1838.265625</v>
      </c>
      <c r="AW16" s="23">
        <f t="shared" ca="1" si="22"/>
        <v>1225.5104166666665</v>
      </c>
      <c r="AY16" s="35">
        <f t="shared" si="23"/>
        <v>340.98899999999998</v>
      </c>
      <c r="AZ16" s="23">
        <f t="shared" ca="1" si="41"/>
        <v>227.32599999999996</v>
      </c>
      <c r="BA16" s="36">
        <f t="shared" si="25"/>
        <v>2461.9790249999996</v>
      </c>
      <c r="BB16" s="27">
        <f t="shared" ca="1" si="38"/>
        <v>1641.3193499999998</v>
      </c>
      <c r="BC16" s="23">
        <f ca="1">IFERROR(AZ16*AS16,"  ")</f>
        <v>0</v>
      </c>
      <c r="BE16" s="51" t="s">
        <v>44</v>
      </c>
      <c r="BF16" s="48" t="s">
        <v>49</v>
      </c>
      <c r="BG16" s="49">
        <f ca="1">IF(WL_No="  ","  ",2/3*h*$AW$29)</f>
        <v>140814.88155053329</v>
      </c>
    </row>
    <row r="17" spans="1:59" x14ac:dyDescent="0.25">
      <c r="A17" s="20">
        <f>Tools!$AD16</f>
        <v>11</v>
      </c>
      <c r="B17" s="33">
        <f t="shared" si="0"/>
        <v>12.25</v>
      </c>
      <c r="C17" s="22">
        <f>IF(A17="  ","  ",IF(AND(A16="  ",A18="  "),"?",IF(A16="  ",2*(A18-A17),IF(A18="  ",2*(A17-A16),2*(A18-A16)))))</f>
        <v>4</v>
      </c>
      <c r="D17" s="23">
        <f t="shared" si="26"/>
        <v>49</v>
      </c>
      <c r="E17" s="24">
        <f t="shared" si="1"/>
        <v>1</v>
      </c>
      <c r="F17" s="23">
        <f t="shared" si="27"/>
        <v>49</v>
      </c>
      <c r="G17" s="23">
        <f t="shared" si="28"/>
        <v>49</v>
      </c>
      <c r="H17" s="23">
        <f t="shared" si="29"/>
        <v>1838.265625</v>
      </c>
      <c r="I17" s="23">
        <f t="shared" si="30"/>
        <v>7353.0625</v>
      </c>
      <c r="J17" s="4"/>
      <c r="K17" s="37">
        <f t="shared" si="2"/>
        <v>340.29899999999998</v>
      </c>
      <c r="L17" s="23">
        <f t="shared" si="31"/>
        <v>1361.1959999999999</v>
      </c>
      <c r="M17" s="38">
        <f t="shared" si="3"/>
        <v>2460.4238249999999</v>
      </c>
      <c r="N17" s="27">
        <f t="shared" si="32"/>
        <v>9841.6952999999994</v>
      </c>
      <c r="O17" s="23">
        <f t="shared" si="33"/>
        <v>1361.1959999999999</v>
      </c>
      <c r="P17" s="4"/>
      <c r="Q17" s="50" t="s">
        <v>50</v>
      </c>
      <c r="R17" s="48" t="s">
        <v>51</v>
      </c>
      <c r="S17">
        <f>IF(Tools!$L$49="Use 141 rule only",I41,IF(Tools!$L$49="Use 141 and 1331 rules",BG18," "))</f>
        <v>32287.456103999986</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12.25</v>
      </c>
      <c r="AQ17" s="34" t="str">
        <f t="shared" ca="1" si="18"/>
        <v>4/3</v>
      </c>
      <c r="AR17" s="23">
        <f t="shared" ca="1" si="19"/>
        <v>16.333333333333332</v>
      </c>
      <c r="AS17" s="24">
        <f t="shared" si="20"/>
        <v>1</v>
      </c>
      <c r="AT17" s="23">
        <f t="shared" ca="1" si="37"/>
        <v>16.333333333333332</v>
      </c>
      <c r="AU17" s="23">
        <f t="shared" ca="1" si="40"/>
        <v>16.333333333333332</v>
      </c>
      <c r="AV17" s="23">
        <f t="shared" si="21"/>
        <v>1838.265625</v>
      </c>
      <c r="AW17" s="23">
        <f t="shared" ca="1" si="22"/>
        <v>2451.020833333333</v>
      </c>
      <c r="AY17" s="35">
        <f t="shared" si="23"/>
        <v>340.29899999999998</v>
      </c>
      <c r="AZ17" s="23">
        <f t="shared" ca="1" si="41"/>
        <v>453.73199999999997</v>
      </c>
      <c r="BA17" s="36">
        <f t="shared" si="25"/>
        <v>2460.4238249999999</v>
      </c>
      <c r="BB17" s="27">
        <f t="shared" ca="1" si="38"/>
        <v>3280.5650999999998</v>
      </c>
      <c r="BC17" s="23">
        <f t="shared" ca="1" si="39"/>
        <v>453.73199999999997</v>
      </c>
      <c r="BE17" s="50" t="s">
        <v>47</v>
      </c>
      <c r="BF17" s="48" t="s">
        <v>48</v>
      </c>
      <c r="BG17" s="49">
        <f>IF(WL_No="  ","  ",IL-AWP*(LCF^2))</f>
        <v>3876831.6674612341</v>
      </c>
    </row>
    <row r="18" spans="1:59" x14ac:dyDescent="0.25">
      <c r="A18" s="20">
        <f>Tools!$AD17</f>
        <v>12</v>
      </c>
      <c r="B18" s="33">
        <f t="shared" si="0"/>
        <v>12.25</v>
      </c>
      <c r="C18" s="22">
        <f>IF(A18="  ","  ",IF(AND(A17="  ",A19="  "),"?",IF(A17="  ",1*(A19-A18),IF(A19="  ",1*(A18-A17),1*(A19-A17)))))</f>
        <v>2</v>
      </c>
      <c r="D18" s="23">
        <f t="shared" si="26"/>
        <v>24.5</v>
      </c>
      <c r="E18" s="24">
        <f t="shared" si="1"/>
        <v>2</v>
      </c>
      <c r="F18" s="23">
        <f t="shared" si="27"/>
        <v>49</v>
      </c>
      <c r="G18" s="23">
        <f t="shared" si="28"/>
        <v>98</v>
      </c>
      <c r="H18" s="23">
        <f t="shared" si="29"/>
        <v>1838.265625</v>
      </c>
      <c r="I18" s="23">
        <f t="shared" si="30"/>
        <v>3676.53125</v>
      </c>
      <c r="J18" s="4"/>
      <c r="K18" s="37">
        <f t="shared" si="2"/>
        <v>335.88899999999995</v>
      </c>
      <c r="L18" s="23">
        <f t="shared" si="31"/>
        <v>671.77799999999991</v>
      </c>
      <c r="M18" s="38">
        <f t="shared" si="3"/>
        <v>2451.7190249999999</v>
      </c>
      <c r="N18" s="27">
        <f t="shared" si="32"/>
        <v>4903.4380499999997</v>
      </c>
      <c r="O18" s="23">
        <f t="shared" si="33"/>
        <v>1343.5559999999998</v>
      </c>
      <c r="P18" s="4"/>
      <c r="Q18" s="50" t="s">
        <v>52</v>
      </c>
      <c r="R18" s="48" t="s">
        <v>53</v>
      </c>
      <c r="S18">
        <f>IF(Tools!$L$49="Use 141 rule only",I42,IF(Tools!$L$49="Use 141 and 1331 rules",BG19," "))</f>
        <v>33293.210361639583</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12.25</v>
      </c>
      <c r="AQ18" s="34" t="str">
        <f t="shared" ca="1" si="18"/>
        <v>2/3</v>
      </c>
      <c r="AR18" s="23">
        <f t="shared" ca="1" si="19"/>
        <v>8.1666666666666661</v>
      </c>
      <c r="AS18" s="24">
        <f t="shared" si="20"/>
        <v>2</v>
      </c>
      <c r="AT18" s="23">
        <f t="shared" ca="1" si="37"/>
        <v>16.333333333333332</v>
      </c>
      <c r="AU18" s="23">
        <f t="shared" ca="1" si="40"/>
        <v>32.666666666666664</v>
      </c>
      <c r="AV18" s="23">
        <f t="shared" si="21"/>
        <v>1838.265625</v>
      </c>
      <c r="AW18" s="23">
        <f t="shared" ca="1" si="22"/>
        <v>1225.5104166666665</v>
      </c>
      <c r="AY18" s="35">
        <f t="shared" si="23"/>
        <v>335.88899999999995</v>
      </c>
      <c r="AZ18" s="23">
        <f t="shared" ca="1" si="41"/>
        <v>223.92599999999996</v>
      </c>
      <c r="BA18" s="36">
        <f t="shared" si="25"/>
        <v>2451.7190249999999</v>
      </c>
      <c r="BB18" s="27">
        <f t="shared" ca="1" si="38"/>
        <v>1634.4793499999998</v>
      </c>
      <c r="BC18" s="23">
        <f t="shared" ca="1" si="39"/>
        <v>447.85199999999992</v>
      </c>
      <c r="BE18" s="50" t="s">
        <v>50</v>
      </c>
      <c r="BF18" s="48" t="s">
        <v>54</v>
      </c>
      <c r="BG18" s="49">
        <f ca="1">IF(WL_No="  ","  ",h*$AZ$29)</f>
        <v>32287.456103999994</v>
      </c>
    </row>
    <row r="19" spans="1:59" x14ac:dyDescent="0.25">
      <c r="A19" s="20">
        <f>Tools!$AD18</f>
        <v>13</v>
      </c>
      <c r="B19" s="33">
        <f t="shared" si="0"/>
        <v>12.25</v>
      </c>
      <c r="C19" s="22">
        <f>IF(A19="  ","  ",IF(AND(A18="  ",A20="  "),"?",IF(A18="  ",2*(A20-A19),IF(A20="  ",2*(A19-A18),2*(A20-A18)))))</f>
        <v>4</v>
      </c>
      <c r="D19" s="23">
        <f t="shared" si="26"/>
        <v>49</v>
      </c>
      <c r="E19" s="24">
        <f t="shared" si="1"/>
        <v>3</v>
      </c>
      <c r="F19" s="23">
        <f t="shared" si="27"/>
        <v>147</v>
      </c>
      <c r="G19" s="23">
        <f t="shared" si="28"/>
        <v>441</v>
      </c>
      <c r="H19" s="23">
        <f t="shared" si="29"/>
        <v>1838.265625</v>
      </c>
      <c r="I19" s="23">
        <f t="shared" si="30"/>
        <v>7353.0625</v>
      </c>
      <c r="J19" s="4"/>
      <c r="K19" s="37">
        <f t="shared" si="2"/>
        <v>323.49720000000002</v>
      </c>
      <c r="L19" s="23">
        <f t="shared" si="31"/>
        <v>1293.9888000000001</v>
      </c>
      <c r="M19" s="38">
        <f t="shared" si="3"/>
        <v>2411.3306909999997</v>
      </c>
      <c r="N19" s="27">
        <f t="shared" si="32"/>
        <v>9645.3227639999986</v>
      </c>
      <c r="O19" s="23">
        <f t="shared" si="33"/>
        <v>3881.9664000000002</v>
      </c>
      <c r="P19" s="4"/>
      <c r="Q19" s="50" t="s">
        <v>55</v>
      </c>
      <c r="R19" s="48" t="s">
        <v>56</v>
      </c>
      <c r="S19">
        <f>IF(Tools!$L$49="Use 141 rule only",I43,IF(Tools!$L$49="Use 141 and 1331 rules",BG20," "))</f>
        <v>257498.19110795169</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12.25</v>
      </c>
      <c r="AQ19" s="34" t="str">
        <f t="shared" ca="1" si="18"/>
        <v>4/3</v>
      </c>
      <c r="AR19" s="23">
        <f t="shared" ca="1" si="19"/>
        <v>16.333333333333332</v>
      </c>
      <c r="AS19" s="24">
        <f t="shared" si="20"/>
        <v>3</v>
      </c>
      <c r="AT19" s="23">
        <f t="shared" ca="1" si="37"/>
        <v>49</v>
      </c>
      <c r="AU19" s="23">
        <f t="shared" ca="1" si="40"/>
        <v>147</v>
      </c>
      <c r="AV19" s="23">
        <f t="shared" si="21"/>
        <v>1838.265625</v>
      </c>
      <c r="AW19" s="23">
        <f t="shared" ca="1" si="22"/>
        <v>2451.020833333333</v>
      </c>
      <c r="AY19" s="35">
        <f t="shared" si="23"/>
        <v>323.49720000000002</v>
      </c>
      <c r="AZ19" s="23">
        <f t="shared" ca="1" si="41"/>
        <v>431.32960000000003</v>
      </c>
      <c r="BA19" s="36">
        <f t="shared" si="25"/>
        <v>2411.3306909999997</v>
      </c>
      <c r="BB19" s="27">
        <f t="shared" ca="1" si="38"/>
        <v>3215.1075879999994</v>
      </c>
      <c r="BC19" s="23">
        <f t="shared" ca="1" si="39"/>
        <v>1293.9888000000001</v>
      </c>
      <c r="BE19" s="50" t="s">
        <v>52</v>
      </c>
      <c r="BF19" s="48" t="s">
        <v>53</v>
      </c>
      <c r="BG19" s="49">
        <f>IF(WL_No="  ","  ",V_Disp*1.025*1.006)</f>
        <v>33293.210361639583</v>
      </c>
    </row>
    <row r="20" spans="1:59" x14ac:dyDescent="0.25">
      <c r="A20" s="20">
        <f>Tools!$AD19</f>
        <v>14</v>
      </c>
      <c r="B20" s="33">
        <f t="shared" si="0"/>
        <v>12.23</v>
      </c>
      <c r="C20" s="22">
        <f>IF(A20="  ","  ",IF(AND(A19="  ",A21="  "),"?",IF(A19="  ",1*(A21-A20),IF(A21="  ",1*(A20-A19),1*(A21-A19)))))</f>
        <v>2</v>
      </c>
      <c r="D20" s="23">
        <f t="shared" si="26"/>
        <v>24.46</v>
      </c>
      <c r="E20" s="24">
        <f t="shared" si="1"/>
        <v>4</v>
      </c>
      <c r="F20" s="23">
        <f t="shared" si="27"/>
        <v>97.84</v>
      </c>
      <c r="G20" s="23">
        <f t="shared" si="28"/>
        <v>391.36</v>
      </c>
      <c r="H20" s="23">
        <f t="shared" si="29"/>
        <v>1829.2765670000001</v>
      </c>
      <c r="I20" s="23">
        <f t="shared" si="30"/>
        <v>3658.5531340000002</v>
      </c>
      <c r="J20" s="4"/>
      <c r="K20" s="37">
        <f t="shared" si="2"/>
        <v>297.68099999999998</v>
      </c>
      <c r="L20" s="23">
        <f t="shared" si="31"/>
        <v>595.36199999999997</v>
      </c>
      <c r="M20" s="38">
        <f t="shared" si="3"/>
        <v>2287.7840309999997</v>
      </c>
      <c r="N20" s="27">
        <f t="shared" si="32"/>
        <v>4575.5680619999994</v>
      </c>
      <c r="O20" s="23">
        <f t="shared" si="33"/>
        <v>2381.4479999999999</v>
      </c>
      <c r="P20" s="4"/>
      <c r="Q20" s="50" t="s">
        <v>57</v>
      </c>
      <c r="R20" s="48" t="s">
        <v>58</v>
      </c>
      <c r="S20">
        <f>IF(Tools!$L$49="Use 141 rule only",I44,IF(Tools!$L$49="Use 141 and 1331 rules",BG21," "))</f>
        <v>-84449.021579347405</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12.23</v>
      </c>
      <c r="AQ20" s="34" t="str">
        <f t="shared" ca="1" si="18"/>
        <v>2/3</v>
      </c>
      <c r="AR20" s="23">
        <f t="shared" ca="1" si="19"/>
        <v>8.1533333333333324</v>
      </c>
      <c r="AS20" s="24">
        <f t="shared" si="20"/>
        <v>4</v>
      </c>
      <c r="AT20" s="23">
        <f t="shared" ca="1" si="37"/>
        <v>32.61333333333333</v>
      </c>
      <c r="AU20" s="23">
        <f t="shared" ca="1" si="40"/>
        <v>130.45333333333332</v>
      </c>
      <c r="AV20" s="23">
        <f t="shared" si="21"/>
        <v>1829.2765670000001</v>
      </c>
      <c r="AW20" s="23">
        <f t="shared" ca="1" si="22"/>
        <v>1219.5177113333334</v>
      </c>
      <c r="AY20" s="35">
        <f t="shared" si="23"/>
        <v>297.68099999999998</v>
      </c>
      <c r="AZ20" s="23">
        <f t="shared" ca="1" si="41"/>
        <v>198.45399999999998</v>
      </c>
      <c r="BA20" s="36">
        <f t="shared" si="25"/>
        <v>2287.7840309999997</v>
      </c>
      <c r="BB20" s="27">
        <f t="shared" ca="1" si="38"/>
        <v>1525.1893539999996</v>
      </c>
      <c r="BC20" s="23">
        <f t="shared" ca="1" si="39"/>
        <v>793.81599999999992</v>
      </c>
      <c r="BE20" s="50" t="s">
        <v>55</v>
      </c>
      <c r="BF20" s="48" t="s">
        <v>59</v>
      </c>
      <c r="BG20" s="49">
        <f ca="1">IF(WL_No="  ","  ",h*$BB$29)</f>
        <v>257498.19110795154</v>
      </c>
    </row>
    <row r="21" spans="1:59" x14ac:dyDescent="0.25">
      <c r="A21" s="20">
        <f>Tools!$AD20</f>
        <v>15</v>
      </c>
      <c r="B21" s="33">
        <f t="shared" si="0"/>
        <v>12.15</v>
      </c>
      <c r="C21" s="22">
        <f>IF(A21="  ","  ",IF(AND(A20="  ",A22="  "),"?",IF(A20="  ",2*(A22-A21),IF(A22="  ",2*(A21-A20),2*(A22-A20)))))</f>
        <v>4</v>
      </c>
      <c r="D21" s="23">
        <f t="shared" si="26"/>
        <v>48.6</v>
      </c>
      <c r="E21" s="24">
        <f t="shared" si="1"/>
        <v>5</v>
      </c>
      <c r="F21" s="23">
        <f t="shared" si="27"/>
        <v>243</v>
      </c>
      <c r="G21" s="23">
        <f t="shared" si="28"/>
        <v>1215</v>
      </c>
      <c r="H21" s="23">
        <f t="shared" si="29"/>
        <v>1793.6133750000001</v>
      </c>
      <c r="I21" s="23">
        <f t="shared" si="30"/>
        <v>7174.4535000000005</v>
      </c>
      <c r="J21" s="4"/>
      <c r="K21" s="37">
        <f t="shared" si="2"/>
        <v>261.80159999999995</v>
      </c>
      <c r="L21" s="23">
        <f t="shared" si="31"/>
        <v>1047.2063999999998</v>
      </c>
      <c r="M21" s="38">
        <f t="shared" si="3"/>
        <v>2074.2718530000002</v>
      </c>
      <c r="N21" s="27">
        <f t="shared" si="32"/>
        <v>8297.0874120000008</v>
      </c>
      <c r="O21" s="23">
        <f t="shared" si="33"/>
        <v>5236.0319999999992</v>
      </c>
      <c r="P21" s="4"/>
      <c r="Q21" s="50" t="s">
        <v>60</v>
      </c>
      <c r="R21" s="48" t="s">
        <v>61</v>
      </c>
      <c r="S21">
        <f>IF(Tools!$L$49="Use 141 rule only",I45,IF(Tools!$L$49="Use 141 and 1331 rules",BG22," "))</f>
        <v>120.07237903703867</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12.15</v>
      </c>
      <c r="AQ21" s="34" t="str">
        <f t="shared" ca="1" si="18"/>
        <v>4/3</v>
      </c>
      <c r="AR21" s="23">
        <f t="shared" ca="1" si="19"/>
        <v>16.2</v>
      </c>
      <c r="AS21" s="24">
        <f t="shared" si="20"/>
        <v>5</v>
      </c>
      <c r="AT21" s="23">
        <f t="shared" ca="1" si="37"/>
        <v>81</v>
      </c>
      <c r="AU21" s="23">
        <f t="shared" ca="1" si="40"/>
        <v>405</v>
      </c>
      <c r="AV21" s="23">
        <f t="shared" si="21"/>
        <v>1793.6133750000001</v>
      </c>
      <c r="AW21" s="23">
        <f t="shared" ca="1" si="22"/>
        <v>2391.4845</v>
      </c>
      <c r="AY21" s="35">
        <f t="shared" si="23"/>
        <v>261.80159999999995</v>
      </c>
      <c r="AZ21" s="23">
        <f t="shared" ca="1" si="41"/>
        <v>349.0687999999999</v>
      </c>
      <c r="BA21" s="36">
        <f t="shared" si="25"/>
        <v>2074.2718530000002</v>
      </c>
      <c r="BB21" s="27">
        <f t="shared" ca="1" si="38"/>
        <v>2765.695804</v>
      </c>
      <c r="BC21" s="23">
        <f t="shared" ca="1" si="39"/>
        <v>1745.3439999999996</v>
      </c>
      <c r="BE21" s="50" t="s">
        <v>57</v>
      </c>
      <c r="BF21" s="48" t="s">
        <v>62</v>
      </c>
      <c r="BG21" s="49">
        <f ca="1">IF(WL_No="  ","  ",(h^2)*$BC$29)</f>
        <v>-84449.021579347391</v>
      </c>
    </row>
    <row r="22" spans="1:59" x14ac:dyDescent="0.25">
      <c r="A22" s="20">
        <f>Tools!$AD21</f>
        <v>16</v>
      </c>
      <c r="B22" s="33">
        <f t="shared" si="0"/>
        <v>11.75</v>
      </c>
      <c r="C22" s="22">
        <f>IF(A22="  ","  ",IF(AND(A21="  ",A23="  "),"?",IF(A21="  ",1*(A23-A22),IF(A23="  ",1*(A22-A21),1*(A23-A21)))))</f>
        <v>2</v>
      </c>
      <c r="D22" s="23">
        <f t="shared" si="26"/>
        <v>23.5</v>
      </c>
      <c r="E22" s="24">
        <f t="shared" si="1"/>
        <v>6</v>
      </c>
      <c r="F22" s="23">
        <f t="shared" si="27"/>
        <v>141</v>
      </c>
      <c r="G22" s="23">
        <f t="shared" si="28"/>
        <v>846</v>
      </c>
      <c r="H22" s="23">
        <f t="shared" si="29"/>
        <v>1622.234375</v>
      </c>
      <c r="I22" s="23">
        <f t="shared" si="30"/>
        <v>3244.46875</v>
      </c>
      <c r="J22" s="4"/>
      <c r="K22" s="37">
        <f t="shared" si="2"/>
        <v>217.58849999999995</v>
      </c>
      <c r="L22" s="23">
        <f t="shared" si="31"/>
        <v>435.17699999999991</v>
      </c>
      <c r="M22" s="38">
        <f t="shared" si="3"/>
        <v>1791.4476899999997</v>
      </c>
      <c r="N22" s="27">
        <f t="shared" si="32"/>
        <v>3582.8953799999995</v>
      </c>
      <c r="O22" s="23">
        <f t="shared" si="33"/>
        <v>2611.0619999999994</v>
      </c>
      <c r="P22" s="4"/>
      <c r="Q22" s="50" t="s">
        <v>63</v>
      </c>
      <c r="R22" s="48" t="s">
        <v>64</v>
      </c>
      <c r="S22">
        <f>IF(Tools!$L$49="Use 141 rule only",I46,IF(Tools!$L$49="Use 141 and 1331 rules",BG23," "))</f>
        <v>4.361287587878075</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11.75</v>
      </c>
      <c r="AQ22" s="34" t="str">
        <f t="shared" ca="1" si="18"/>
        <v>2/3</v>
      </c>
      <c r="AR22" s="23">
        <f t="shared" ca="1" si="19"/>
        <v>7.833333333333333</v>
      </c>
      <c r="AS22" s="24">
        <f t="shared" si="20"/>
        <v>6</v>
      </c>
      <c r="AT22" s="23">
        <f t="shared" ca="1" si="37"/>
        <v>47</v>
      </c>
      <c r="AU22" s="23">
        <f t="shared" ca="1" si="40"/>
        <v>282</v>
      </c>
      <c r="AV22" s="23">
        <f t="shared" si="21"/>
        <v>1622.234375</v>
      </c>
      <c r="AW22" s="23">
        <f t="shared" ca="1" si="22"/>
        <v>1081.4895833333333</v>
      </c>
      <c r="AY22" s="35">
        <f t="shared" si="23"/>
        <v>217.58849999999995</v>
      </c>
      <c r="AZ22" s="23">
        <f t="shared" ca="1" si="41"/>
        <v>145.05899999999997</v>
      </c>
      <c r="BA22" s="36">
        <f t="shared" si="25"/>
        <v>1791.4476899999997</v>
      </c>
      <c r="BB22" s="27">
        <f t="shared" ca="1" si="38"/>
        <v>1194.2984599999997</v>
      </c>
      <c r="BC22" s="23">
        <f t="shared" ca="1" si="39"/>
        <v>870.35399999999981</v>
      </c>
      <c r="BE22" s="50" t="s">
        <v>60</v>
      </c>
      <c r="BF22" s="48" t="s">
        <v>61</v>
      </c>
      <c r="BG22" s="49">
        <f>IF(WL_No="  ","  ",IF/V_Disp)</f>
        <v>120.07237903703867</v>
      </c>
    </row>
    <row r="23" spans="1:59" x14ac:dyDescent="0.25">
      <c r="A23" s="20">
        <f>Tools!$AD22</f>
        <v>17</v>
      </c>
      <c r="B23" s="33">
        <f t="shared" si="0"/>
        <v>10.94</v>
      </c>
      <c r="C23" s="22">
        <f>IF(A23="  ","  ",IF(AND(A22="  ",A24="  "),"?",IF(A22="  ",2*(A24-A23),IF(A24="  ",2*(A23-A22),2*(A24-A22)))))</f>
        <v>4</v>
      </c>
      <c r="D23" s="23">
        <f t="shared" si="26"/>
        <v>43.76</v>
      </c>
      <c r="E23" s="24">
        <f t="shared" si="1"/>
        <v>7</v>
      </c>
      <c r="F23" s="23">
        <f t="shared" si="27"/>
        <v>306.32</v>
      </c>
      <c r="G23" s="23">
        <f t="shared" si="28"/>
        <v>2144.2399999999998</v>
      </c>
      <c r="H23" s="23">
        <f t="shared" si="29"/>
        <v>1309.3385839999999</v>
      </c>
      <c r="I23" s="23">
        <f t="shared" si="30"/>
        <v>5237.3543359999994</v>
      </c>
      <c r="J23" s="4"/>
      <c r="K23" s="37">
        <f t="shared" si="2"/>
        <v>167.92529999999996</v>
      </c>
      <c r="L23" s="23">
        <f t="shared" si="31"/>
        <v>671.70119999999986</v>
      </c>
      <c r="M23" s="38">
        <f t="shared" si="3"/>
        <v>1445.7342269999999</v>
      </c>
      <c r="N23" s="27">
        <f t="shared" si="32"/>
        <v>5782.9369079999997</v>
      </c>
      <c r="O23" s="23">
        <f t="shared" si="33"/>
        <v>4701.9083999999993</v>
      </c>
      <c r="P23" s="4"/>
      <c r="Q23" s="50" t="s">
        <v>65</v>
      </c>
      <c r="R23" s="48" t="s">
        <v>66</v>
      </c>
      <c r="S23">
        <f>IF(Tools!$L$49="Use 141 rule only",I47,IF(Tools!$L$49="Use 141 and 1331 rules",BG24," "))</f>
        <v>7.9751774273740654</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10.94</v>
      </c>
      <c r="AQ23" s="34" t="str">
        <f t="shared" ca="1" si="18"/>
        <v>4/3</v>
      </c>
      <c r="AR23" s="23">
        <f t="shared" ca="1" si="19"/>
        <v>14.586666666666666</v>
      </c>
      <c r="AS23" s="24">
        <f t="shared" si="20"/>
        <v>7</v>
      </c>
      <c r="AT23" s="23">
        <f t="shared" ca="1" si="37"/>
        <v>102.10666666666665</v>
      </c>
      <c r="AU23" s="23">
        <f t="shared" ca="1" si="40"/>
        <v>714.74666666666656</v>
      </c>
      <c r="AV23" s="23">
        <f t="shared" si="21"/>
        <v>1309.3385839999999</v>
      </c>
      <c r="AW23" s="23">
        <f t="shared" ca="1" si="22"/>
        <v>1745.7847786666664</v>
      </c>
      <c r="AY23" s="35">
        <f t="shared" si="23"/>
        <v>167.92529999999996</v>
      </c>
      <c r="AZ23" s="23">
        <f t="shared" ca="1" si="41"/>
        <v>223.90039999999993</v>
      </c>
      <c r="BA23" s="36">
        <f t="shared" si="25"/>
        <v>1445.7342269999999</v>
      </c>
      <c r="BB23" s="27">
        <f t="shared" ca="1" si="38"/>
        <v>1927.6456359999997</v>
      </c>
      <c r="BC23" s="23">
        <f t="shared" ca="1" si="39"/>
        <v>1567.3027999999995</v>
      </c>
      <c r="BE23" s="50" t="s">
        <v>63</v>
      </c>
      <c r="BF23" s="48" t="s">
        <v>64</v>
      </c>
      <c r="BG23" s="49">
        <f>IF(WL_No="  ","  ",IT/V_Disp)</f>
        <v>4.361287587878075</v>
      </c>
    </row>
    <row r="24" spans="1:59" x14ac:dyDescent="0.25">
      <c r="A24" s="20">
        <f>Tools!$AD23</f>
        <v>18</v>
      </c>
      <c r="B24" s="33">
        <f t="shared" si="0"/>
        <v>9.77</v>
      </c>
      <c r="C24" s="22">
        <f>IF(A24="  ","  ",IF(AND(A23="  ",A25="  "),"?",IF(A23="  ",1*(A25-A24),IF(A25="  ",1*(A24-A23),1*(A25-A23)))))</f>
        <v>1.5</v>
      </c>
      <c r="D24" s="23">
        <f t="shared" si="26"/>
        <v>14.654999999999999</v>
      </c>
      <c r="E24" s="24">
        <f t="shared" si="1"/>
        <v>8</v>
      </c>
      <c r="F24" s="23">
        <f t="shared" si="27"/>
        <v>117.24</v>
      </c>
      <c r="G24" s="23">
        <f t="shared" si="28"/>
        <v>937.92</v>
      </c>
      <c r="H24" s="23">
        <f t="shared" si="29"/>
        <v>932.57483299999978</v>
      </c>
      <c r="I24" s="23">
        <f t="shared" si="30"/>
        <v>1398.8622494999997</v>
      </c>
      <c r="J24" s="4"/>
      <c r="K24" s="37">
        <f t="shared" si="2"/>
        <v>117.5694</v>
      </c>
      <c r="L24" s="23">
        <f t="shared" si="31"/>
        <v>176.35410000000002</v>
      </c>
      <c r="M24" s="38">
        <f t="shared" si="3"/>
        <v>1059.5243909999999</v>
      </c>
      <c r="N24" s="27">
        <f t="shared" si="32"/>
        <v>1589.2865864999999</v>
      </c>
      <c r="O24" s="23">
        <f t="shared" si="33"/>
        <v>1410.8328000000001</v>
      </c>
      <c r="P24" s="4"/>
      <c r="Q24" s="50" t="s">
        <v>67</v>
      </c>
      <c r="R24" s="48" t="s">
        <v>68</v>
      </c>
      <c r="S24">
        <f>IF(Tools!$L$49="Use 141 rule only",I48,IF(Tools!$L$49="Use 141 and 1331 rules",BG25," "))</f>
        <v>12.336465015252141</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9.77</v>
      </c>
      <c r="AQ24" s="34" t="str">
        <f t="shared" ca="1" si="18"/>
        <v>(1/2)*(1/3)+1/3</v>
      </c>
      <c r="AR24" s="23">
        <f t="shared" ca="1" si="19"/>
        <v>4.8849999999999998</v>
      </c>
      <c r="AS24" s="24">
        <f t="shared" si="20"/>
        <v>8</v>
      </c>
      <c r="AT24" s="23">
        <f t="shared" ca="1" si="37"/>
        <v>39.08</v>
      </c>
      <c r="AU24" s="23">
        <f t="shared" ca="1" si="40"/>
        <v>312.64</v>
      </c>
      <c r="AV24" s="23">
        <f t="shared" si="21"/>
        <v>932.57483299999978</v>
      </c>
      <c r="AW24" s="23">
        <f t="shared" ca="1" si="22"/>
        <v>466.28741649999989</v>
      </c>
      <c r="AY24" s="35">
        <f t="shared" si="23"/>
        <v>117.5694</v>
      </c>
      <c r="AZ24" s="23">
        <f t="shared" ca="1" si="41"/>
        <v>58.784700000000001</v>
      </c>
      <c r="BA24" s="36">
        <f t="shared" si="25"/>
        <v>1059.5243909999999</v>
      </c>
      <c r="BB24" s="27">
        <f t="shared" ca="1" si="38"/>
        <v>529.76219549999996</v>
      </c>
      <c r="BC24" s="23">
        <f t="shared" ca="1" si="39"/>
        <v>470.27760000000001</v>
      </c>
      <c r="BE24" s="50" t="s">
        <v>65</v>
      </c>
      <c r="BF24" s="48" t="s">
        <v>66</v>
      </c>
      <c r="BG24" s="49">
        <f>IF(WL_No="  ","  ",MT/V_Disp)</f>
        <v>7.9751774273740654</v>
      </c>
    </row>
    <row r="25" spans="1:59" x14ac:dyDescent="0.25">
      <c r="A25" s="20">
        <f>Tools!$AD24</f>
        <v>18.5</v>
      </c>
      <c r="B25" s="33">
        <f t="shared" si="0"/>
        <v>8.1</v>
      </c>
      <c r="C25" s="22">
        <f>IF(A25="  ","  ",IF(AND(A24="  ",A26="  "),"?",IF(A24="  ",2*(A26-A25),IF(A26="  ",2*(A25-A24),2*(A26-A24)))))</f>
        <v>2</v>
      </c>
      <c r="D25" s="23">
        <f t="shared" si="26"/>
        <v>16.2</v>
      </c>
      <c r="E25" s="24">
        <f t="shared" si="1"/>
        <v>8.5</v>
      </c>
      <c r="F25" s="23">
        <f t="shared" si="27"/>
        <v>137.69999999999999</v>
      </c>
      <c r="G25" s="23">
        <f t="shared" si="28"/>
        <v>1170.4499999999998</v>
      </c>
      <c r="H25" s="23">
        <f t="shared" si="29"/>
        <v>531.44099999999992</v>
      </c>
      <c r="I25" s="23">
        <f t="shared" si="30"/>
        <v>1062.8819999999998</v>
      </c>
      <c r="J25" s="4"/>
      <c r="K25" s="37">
        <f t="shared" si="2"/>
        <v>92.008099999999985</v>
      </c>
      <c r="L25" s="23">
        <f t="shared" si="31"/>
        <v>184.01619999999997</v>
      </c>
      <c r="M25" s="38">
        <f t="shared" si="3"/>
        <v>842.24050833333308</v>
      </c>
      <c r="N25" s="27">
        <f t="shared" si="32"/>
        <v>1684.4810166666662</v>
      </c>
      <c r="O25" s="23">
        <f t="shared" si="33"/>
        <v>1564.1376999999998</v>
      </c>
      <c r="P25" s="4"/>
      <c r="Q25" s="50" t="s">
        <v>69</v>
      </c>
      <c r="R25" s="48" t="s">
        <v>70</v>
      </c>
      <c r="S25">
        <f>IF(Tools!$L$49="Use 141 rule only",I49,IF(Tools!$L$49="Use 141 and 1331 rules",BG26," "))</f>
        <v>128.04755646441274</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8.1</v>
      </c>
      <c r="AQ25" s="34" t="str">
        <f t="shared" ca="1" si="18"/>
        <v>(1/2)*(4/3)</v>
      </c>
      <c r="AR25" s="23">
        <f t="shared" ca="1" si="19"/>
        <v>5.3999999999999995</v>
      </c>
      <c r="AS25" s="24">
        <f t="shared" si="20"/>
        <v>8.5</v>
      </c>
      <c r="AT25" s="23">
        <f t="shared" ca="1" si="37"/>
        <v>45.9</v>
      </c>
      <c r="AU25" s="23">
        <f t="shared" ca="1" si="40"/>
        <v>390.15</v>
      </c>
      <c r="AV25" s="23">
        <f t="shared" si="21"/>
        <v>531.44099999999992</v>
      </c>
      <c r="AW25" s="23">
        <f t="shared" ca="1" si="22"/>
        <v>354.29399999999993</v>
      </c>
      <c r="AY25" s="35">
        <f t="shared" si="23"/>
        <v>92.008099999999985</v>
      </c>
      <c r="AZ25" s="23">
        <f t="shared" ca="1" si="41"/>
        <v>61.338733333333323</v>
      </c>
      <c r="BA25" s="36">
        <f t="shared" si="25"/>
        <v>842.24050833333308</v>
      </c>
      <c r="BB25" s="27">
        <f t="shared" ca="1" si="38"/>
        <v>561.49367222222202</v>
      </c>
      <c r="BC25" s="23">
        <f t="shared" ca="1" si="39"/>
        <v>521.37923333333322</v>
      </c>
      <c r="BE25" s="50" t="s">
        <v>67</v>
      </c>
      <c r="BF25" s="48" t="s">
        <v>68</v>
      </c>
      <c r="BG25" s="49">
        <f>IF(WL_No="  ","  ",KB+BMT)</f>
        <v>12.336465015252141</v>
      </c>
    </row>
    <row r="26" spans="1:59" x14ac:dyDescent="0.25">
      <c r="A26" s="20">
        <f>Tools!$AD25</f>
        <v>19</v>
      </c>
      <c r="B26" s="33">
        <f t="shared" si="0"/>
        <v>5.76</v>
      </c>
      <c r="C26" s="22">
        <f>IF(A26="  ","  ",IF(AND(A25="  ",A27="  "),"?",IF(A25="  ",1*(A27-A26),IF(A27="  ",1*(A26-A25),1*(A27-A25)))))</f>
        <v>1</v>
      </c>
      <c r="D26" s="23">
        <f t="shared" si="26"/>
        <v>5.76</v>
      </c>
      <c r="E26" s="24">
        <f t="shared" si="1"/>
        <v>9</v>
      </c>
      <c r="F26" s="23">
        <f t="shared" si="27"/>
        <v>51.839999999999996</v>
      </c>
      <c r="G26" s="23">
        <f t="shared" si="28"/>
        <v>466.55999999999995</v>
      </c>
      <c r="H26" s="23">
        <f t="shared" si="29"/>
        <v>191.10297599999998</v>
      </c>
      <c r="I26" s="23">
        <f t="shared" si="30"/>
        <v>191.10297599999998</v>
      </c>
      <c r="J26" s="4"/>
      <c r="K26" s="37">
        <f t="shared" si="2"/>
        <v>67.687799999999982</v>
      </c>
      <c r="L26" s="23">
        <f t="shared" si="31"/>
        <v>67.687799999999982</v>
      </c>
      <c r="M26" s="38">
        <f t="shared" si="3"/>
        <v>616.72536000000002</v>
      </c>
      <c r="N26" s="27">
        <f t="shared" si="32"/>
        <v>616.72536000000002</v>
      </c>
      <c r="O26" s="23">
        <f t="shared" si="33"/>
        <v>609.19019999999978</v>
      </c>
      <c r="P26" s="4"/>
      <c r="Q26" s="50" t="s">
        <v>71</v>
      </c>
      <c r="R26" s="48" t="s">
        <v>72</v>
      </c>
      <c r="S26">
        <f>IF(Tools!$L$49="Use 141 rule only",I50,IF(Tools!$L$49="Use 141 and 1331 rules",BG27," "))</f>
        <v>30.838136674999991</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5.76</v>
      </c>
      <c r="AQ26" s="34" t="str">
        <f t="shared" ca="1" si="18"/>
        <v>(1/2)*(2/3)</v>
      </c>
      <c r="AR26" s="23">
        <f t="shared" ca="1" si="19"/>
        <v>1.92</v>
      </c>
      <c r="AS26" s="24">
        <f t="shared" si="20"/>
        <v>9</v>
      </c>
      <c r="AT26" s="23">
        <f t="shared" ca="1" si="37"/>
        <v>17.28</v>
      </c>
      <c r="AU26" s="23">
        <f t="shared" ca="1" si="40"/>
        <v>155.52000000000001</v>
      </c>
      <c r="AV26" s="23">
        <f t="shared" si="21"/>
        <v>191.10297599999998</v>
      </c>
      <c r="AW26" s="23">
        <f t="shared" ca="1" si="22"/>
        <v>63.700991999999992</v>
      </c>
      <c r="AY26" s="35">
        <f t="shared" si="23"/>
        <v>67.687799999999982</v>
      </c>
      <c r="AZ26" s="23">
        <f t="shared" ca="1" si="41"/>
        <v>22.562599999999993</v>
      </c>
      <c r="BA26" s="36">
        <f t="shared" si="25"/>
        <v>616.72536000000002</v>
      </c>
      <c r="BB26" s="27">
        <f t="shared" ca="1" si="38"/>
        <v>205.57512</v>
      </c>
      <c r="BC26" s="23">
        <f t="shared" ca="1" si="39"/>
        <v>203.06339999999994</v>
      </c>
      <c r="BE26" s="50" t="s">
        <v>69</v>
      </c>
      <c r="BF26" s="48" t="s">
        <v>70</v>
      </c>
      <c r="BG26" s="49">
        <f>IF(WL_No="  ","  ",KB+BML)</f>
        <v>128.04755646441274</v>
      </c>
    </row>
    <row r="27" spans="1:59" x14ac:dyDescent="0.25">
      <c r="A27" s="20">
        <f>Tools!$AD26</f>
        <v>19.5</v>
      </c>
      <c r="B27" s="33">
        <f t="shared" si="0"/>
        <v>4.0999999999999996</v>
      </c>
      <c r="C27" s="22">
        <f>IF(A27="  ","  ",IF(AND(A26="  ",A28="  "),"?",IF(A26="  ",2*(A28-A27),IF(A28="  ",2*(A27-A26),2*(A28-A26)))))</f>
        <v>2</v>
      </c>
      <c r="D27" s="23">
        <f t="shared" si="26"/>
        <v>8.1999999999999993</v>
      </c>
      <c r="E27" s="24">
        <f t="shared" si="1"/>
        <v>9.5</v>
      </c>
      <c r="F27" s="23">
        <f t="shared" si="27"/>
        <v>77.899999999999991</v>
      </c>
      <c r="G27" s="23">
        <f t="shared" si="28"/>
        <v>740.05</v>
      </c>
      <c r="H27" s="23">
        <f t="shared" si="29"/>
        <v>68.920999999999992</v>
      </c>
      <c r="I27" s="23">
        <f t="shared" si="30"/>
        <v>137.84199999999998</v>
      </c>
      <c r="J27" s="4"/>
      <c r="K27" s="37">
        <f t="shared" si="2"/>
        <v>44.991099999999996</v>
      </c>
      <c r="L27" s="23">
        <f t="shared" si="31"/>
        <v>89.982199999999992</v>
      </c>
      <c r="M27" s="38">
        <f t="shared" si="3"/>
        <v>400.05526633333329</v>
      </c>
      <c r="N27" s="27">
        <f t="shared" si="32"/>
        <v>800.11053266666659</v>
      </c>
      <c r="O27" s="23">
        <f t="shared" si="33"/>
        <v>854.83089999999993</v>
      </c>
      <c r="P27" s="4"/>
      <c r="Q27" s="50" t="s">
        <v>73</v>
      </c>
      <c r="R27" s="48" t="s">
        <v>74</v>
      </c>
      <c r="S27">
        <f>IF(Tools!$L$49="Use 141 rule only",I51,IF(Tools!$L$49="Use 141 and 1331 rules",BG28," "))</f>
        <v>-2.615536551016334</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4.0999999999999996</v>
      </c>
      <c r="AQ27" s="34" t="str">
        <f t="shared" ca="1" si="18"/>
        <v>(1/2)*(4/3)</v>
      </c>
      <c r="AR27" s="23">
        <f t="shared" ca="1" si="19"/>
        <v>2.7333333333333329</v>
      </c>
      <c r="AS27" s="24">
        <f t="shared" si="20"/>
        <v>9.5</v>
      </c>
      <c r="AT27" s="23">
        <f t="shared" ca="1" si="37"/>
        <v>25.966666666666661</v>
      </c>
      <c r="AU27" s="23">
        <f t="shared" ca="1" si="40"/>
        <v>246.68333333333328</v>
      </c>
      <c r="AV27" s="23">
        <f t="shared" si="21"/>
        <v>68.920999999999992</v>
      </c>
      <c r="AW27" s="23">
        <f t="shared" ca="1" si="22"/>
        <v>45.947333333333326</v>
      </c>
      <c r="AY27" s="35">
        <f t="shared" si="23"/>
        <v>44.991099999999996</v>
      </c>
      <c r="AZ27" s="23">
        <f t="shared" ca="1" si="41"/>
        <v>29.994066666666662</v>
      </c>
      <c r="BA27" s="36">
        <f t="shared" si="25"/>
        <v>400.05526633333329</v>
      </c>
      <c r="BB27" s="27">
        <f t="shared" ca="1" si="38"/>
        <v>266.70351088888884</v>
      </c>
      <c r="BC27" s="23">
        <f t="shared" ca="1" si="39"/>
        <v>284.94363333333331</v>
      </c>
      <c r="BE27" s="50" t="s">
        <v>71</v>
      </c>
      <c r="BF27" s="48" t="s">
        <v>72</v>
      </c>
      <c r="BG27" s="49">
        <f>IF(WL_No="  ","  ",AWP*1.025/100)</f>
        <v>30.838136674999991</v>
      </c>
    </row>
    <row r="28" spans="1:59" ht="15.75" thickBot="1" x14ac:dyDescent="0.3">
      <c r="A28" s="20">
        <f>Tools!$AD27</f>
        <v>20</v>
      </c>
      <c r="B28" s="52">
        <f t="shared" si="0"/>
        <v>1.78</v>
      </c>
      <c r="C28" s="22">
        <f>IF(A28="  ","  ",IF(A27="  ","?",1*(A28-A27)))</f>
        <v>0.5</v>
      </c>
      <c r="D28" s="53">
        <f t="shared" si="26"/>
        <v>0.89</v>
      </c>
      <c r="E28" s="24">
        <f t="shared" si="1"/>
        <v>10</v>
      </c>
      <c r="F28" s="53">
        <f t="shared" si="27"/>
        <v>8.9</v>
      </c>
      <c r="G28" s="53">
        <f t="shared" si="28"/>
        <v>89</v>
      </c>
      <c r="H28" s="23">
        <f t="shared" si="29"/>
        <v>5.6397520000000005</v>
      </c>
      <c r="I28" s="53">
        <f t="shared" si="30"/>
        <v>2.8198760000000003</v>
      </c>
      <c r="J28" s="4"/>
      <c r="K28" s="35">
        <f t="shared" si="2"/>
        <v>19.830699999999997</v>
      </c>
      <c r="L28" s="53">
        <f t="shared" si="31"/>
        <v>9.9153499999999983</v>
      </c>
      <c r="M28" s="36">
        <f t="shared" si="3"/>
        <v>153.23049366666663</v>
      </c>
      <c r="N28" s="54">
        <f t="shared" si="32"/>
        <v>76.615246833333316</v>
      </c>
      <c r="O28" s="53">
        <f t="shared" si="33"/>
        <v>99.15349999999998</v>
      </c>
      <c r="P28" s="4"/>
      <c r="Q28" s="50" t="s">
        <v>75</v>
      </c>
      <c r="R28" s="55" t="s">
        <v>76</v>
      </c>
      <c r="S28">
        <f>IF(Tools!$L$49="Use 141 rule only",I52,IF(Tools!$L$49="Use 141 and 1331 rules",BG29," "))</f>
        <v>303.53796309055826</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1.78</v>
      </c>
      <c r="AQ28" s="34" t="str">
        <f t="shared" ca="1" si="18"/>
        <v>(1/2)*(1/3)</v>
      </c>
      <c r="AR28" s="23">
        <f t="shared" ca="1" si="19"/>
        <v>0.29666666666666663</v>
      </c>
      <c r="AS28" s="24">
        <f t="shared" si="20"/>
        <v>10</v>
      </c>
      <c r="AT28" s="53">
        <f t="shared" ca="1" si="37"/>
        <v>2.9666666666666663</v>
      </c>
      <c r="AU28" s="53">
        <f t="shared" ca="1" si="40"/>
        <v>29.666666666666664</v>
      </c>
      <c r="AV28" s="23">
        <f t="shared" si="21"/>
        <v>5.6397520000000005</v>
      </c>
      <c r="AW28" s="23">
        <f t="shared" ca="1" si="22"/>
        <v>0.93995866666666672</v>
      </c>
      <c r="AY28" s="35">
        <f t="shared" si="23"/>
        <v>19.830699999999997</v>
      </c>
      <c r="AZ28" s="23">
        <f t="shared" ca="1" si="41"/>
        <v>3.3051166666666658</v>
      </c>
      <c r="BA28" s="36">
        <f t="shared" si="25"/>
        <v>153.23049366666663</v>
      </c>
      <c r="BB28" s="27">
        <f t="shared" ca="1" si="38"/>
        <v>25.538415611111105</v>
      </c>
      <c r="BC28" s="53">
        <f t="shared" ca="1" si="39"/>
        <v>33.05116666666666</v>
      </c>
      <c r="BE28" s="50" t="s">
        <v>73</v>
      </c>
      <c r="BF28" s="48" t="s">
        <v>74</v>
      </c>
      <c r="BG28" s="49">
        <f>IF(WL_No="  ","  ",ML/V_Disp)</f>
        <v>-2.615536551016334</v>
      </c>
    </row>
    <row r="29" spans="1:59" ht="15.75" thickBot="1" x14ac:dyDescent="0.3">
      <c r="A29" s="56" t="s">
        <v>77</v>
      </c>
      <c r="B29" s="56"/>
      <c r="C29" s="56"/>
      <c r="D29" s="57">
        <f>SUM(D4:D28)</f>
        <v>685.33</v>
      </c>
      <c r="E29" s="42"/>
      <c r="F29" s="58">
        <f>SUM(F4:F28)</f>
        <v>-383.23000000000019</v>
      </c>
      <c r="G29" s="58">
        <f>SUM(G4:G28)</f>
        <v>20580.07</v>
      </c>
      <c r="H29" s="42"/>
      <c r="I29" s="58">
        <f>SUM(I4:I28)</f>
        <v>96228.848440000002</v>
      </c>
      <c r="J29" s="4"/>
      <c r="K29" s="42"/>
      <c r="L29" s="58">
        <f>SUM(L4:L28)</f>
        <v>14709.547199999995</v>
      </c>
      <c r="M29" s="42"/>
      <c r="N29" s="58">
        <f>SUM(N4:N28)</f>
        <v>117311.24879633336</v>
      </c>
      <c r="O29" s="58">
        <f>SUM(O4:O28)</f>
        <v>-5842.575299999995</v>
      </c>
      <c r="P29" s="4"/>
      <c r="Q29" s="50" t="s">
        <v>78</v>
      </c>
      <c r="R29" s="48" t="s">
        <v>79</v>
      </c>
      <c r="S29">
        <f>IF(Tools!$L$49="Use 141 rule only",I53,IF(Tools!$L$49="Use 141 and 1331 rules",BG30," "))</f>
        <v>14.19</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228.4433333333333</v>
      </c>
      <c r="AS29" s="42"/>
      <c r="AT29" s="58">
        <f ca="1">SUM(AT4:AT28)</f>
        <v>-127.74333333333328</v>
      </c>
      <c r="AU29" s="58">
        <f ca="1">SUM(AU4:AU28)</f>
        <v>6860.0233333333326</v>
      </c>
      <c r="AV29" s="42"/>
      <c r="AW29" s="58">
        <f ca="1">SUM(AW4:AW28)</f>
        <v>32076.282813333331</v>
      </c>
      <c r="AY29" s="42"/>
      <c r="AZ29" s="58">
        <f ca="1">SUM(AZ4:AZ28)</f>
        <v>4903.1823999999997</v>
      </c>
      <c r="BA29" s="42"/>
      <c r="BB29" s="58">
        <f ca="1">SUM(BB4:BB28)</f>
        <v>39103.749598777766</v>
      </c>
      <c r="BC29" s="58">
        <f ca="1">SUM(BC4:BC28)</f>
        <v>-1947.525099999998</v>
      </c>
      <c r="BE29" s="50" t="s">
        <v>75</v>
      </c>
      <c r="BF29" s="55" t="s">
        <v>76</v>
      </c>
      <c r="BG29" s="49">
        <f ca="1">IF(WL_No="  ","  ",M_Disp*BML/100/BG8)</f>
        <v>303.53796309055826</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0.93242176870748295</v>
      </c>
      <c r="AA30" s="60"/>
      <c r="AB30" s="60"/>
      <c r="BE30" s="50" t="s">
        <v>78</v>
      </c>
      <c r="BF30" s="48" t="s">
        <v>79</v>
      </c>
      <c r="BG30" s="49">
        <f>IF(WL_No="  ","  ",WLS*WL_No)</f>
        <v>14.19</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0.70517933008298439</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0.93242176870748295</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0.98082581869957286</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0.70517933008298439</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0.71896489329567792</v>
      </c>
      <c r="AF33" s="63"/>
      <c r="AG33" s="63"/>
      <c r="AH33" s="63">
        <f ca="1">Long_Div-AH32</f>
        <v>20</v>
      </c>
      <c r="AI33" s="63"/>
      <c r="AJ33" s="63">
        <f ca="1">AJ32+AJ31</f>
        <v>0</v>
      </c>
      <c r="BE33" s="50" t="s">
        <v>85</v>
      </c>
      <c r="BF33" s="48" t="s">
        <v>86</v>
      </c>
      <c r="BG33" s="65">
        <f>IFERROR(IF(WL_No="  ","  ",(VLOOKUP(Long_Div/2,AREA_TABLE,Count_WL+1,FALSE))/(B_current*T)),"-")</f>
        <v>0.98082581869957286</v>
      </c>
    </row>
    <row r="34" spans="1:59" x14ac:dyDescent="0.25">
      <c r="G34" s="45"/>
      <c r="H34" s="46"/>
      <c r="I34" s="507"/>
      <c r="BE34" s="50" t="s">
        <v>88</v>
      </c>
      <c r="BF34" s="48" t="s">
        <v>89</v>
      </c>
      <c r="BG34" s="49">
        <f>IF(WL_No="  ","  ",CB/CM)</f>
        <v>0.71896489329567792</v>
      </c>
    </row>
    <row r="35" spans="1:59" x14ac:dyDescent="0.25">
      <c r="G35" s="47" t="s">
        <v>34</v>
      </c>
      <c r="H35" s="48" t="s">
        <v>35</v>
      </c>
      <c r="I35" s="49">
        <f>IF(WL_No="  ","  ",2/3*h*$D$29)</f>
        <v>3008.5986999999996</v>
      </c>
    </row>
    <row r="36" spans="1:59" x14ac:dyDescent="0.25">
      <c r="G36" s="47" t="s">
        <v>36</v>
      </c>
      <c r="H36" s="48" t="s">
        <v>37</v>
      </c>
      <c r="I36" s="49">
        <f>IF(WL_No="  ","  ",2/3*(h^2)*$F$29)</f>
        <v>-11078.470324500002</v>
      </c>
    </row>
    <row r="37" spans="1:59" x14ac:dyDescent="0.25">
      <c r="G37" s="50" t="s">
        <v>39</v>
      </c>
      <c r="H37" s="48" t="s">
        <v>40</v>
      </c>
      <c r="I37" s="49">
        <f>IF(WL_No="  ","  ",Mmid/AWP)</f>
        <v>-3.6822691987801508</v>
      </c>
    </row>
    <row r="38" spans="1:59" x14ac:dyDescent="0.25">
      <c r="G38" s="50" t="s">
        <v>42</v>
      </c>
      <c r="H38" s="48" t="s">
        <v>43</v>
      </c>
      <c r="I38" s="49">
        <f>IF(WL_No="  ","  ",2/3*(h^3)*$G$29)</f>
        <v>3917625.5775067406</v>
      </c>
    </row>
    <row r="39" spans="1:59" x14ac:dyDescent="0.25">
      <c r="G39" s="51" t="s">
        <v>44</v>
      </c>
      <c r="H39" s="48" t="s">
        <v>45</v>
      </c>
      <c r="I39" s="49">
        <f>IF(WL_No="  ","  ",2/9*h*$I$29)</f>
        <v>140814.88155053332</v>
      </c>
    </row>
    <row r="40" spans="1:59" x14ac:dyDescent="0.25">
      <c r="G40" s="50" t="s">
        <v>47</v>
      </c>
      <c r="H40" s="48" t="s">
        <v>48</v>
      </c>
      <c r="I40" s="49">
        <f>IF(WL_No="  ","  ",IL-AWP*(LCF^2))</f>
        <v>3876831.6674612341</v>
      </c>
    </row>
    <row r="41" spans="1:59" x14ac:dyDescent="0.25">
      <c r="G41" s="50" t="s">
        <v>50</v>
      </c>
      <c r="H41" s="48" t="s">
        <v>51</v>
      </c>
      <c r="I41" s="49">
        <f>IF(WL_No="  ","  ",h/3*$L$29)</f>
        <v>32287.456103999986</v>
      </c>
    </row>
    <row r="42" spans="1:59" x14ac:dyDescent="0.25">
      <c r="G42" s="50" t="s">
        <v>52</v>
      </c>
      <c r="H42" s="48" t="s">
        <v>53</v>
      </c>
      <c r="I42" s="49">
        <f>IF(WL_No="  ","  ",V_Disp*1.025*1.006)</f>
        <v>33293.210361639583</v>
      </c>
    </row>
    <row r="43" spans="1:59" x14ac:dyDescent="0.25">
      <c r="G43" s="50" t="s">
        <v>55</v>
      </c>
      <c r="H43" s="48" t="s">
        <v>56</v>
      </c>
      <c r="I43" s="49">
        <f>IF(WL_No="  ","  ",h/3*$N$29)</f>
        <v>257498.19110795169</v>
      </c>
    </row>
    <row r="44" spans="1:59" x14ac:dyDescent="0.25">
      <c r="G44" s="50" t="s">
        <v>57</v>
      </c>
      <c r="H44" s="48" t="s">
        <v>58</v>
      </c>
      <c r="I44" s="49">
        <f>IF(WL_No="  ","  ",(h^2)/3*$O$29)</f>
        <v>-84449.021579347405</v>
      </c>
    </row>
    <row r="45" spans="1:59" x14ac:dyDescent="0.25">
      <c r="G45" s="50" t="s">
        <v>60</v>
      </c>
      <c r="H45" s="48" t="s">
        <v>61</v>
      </c>
      <c r="I45" s="49">
        <f>IF(WL_No="  ","  ",IF/V_Disp)</f>
        <v>120.07237903703867</v>
      </c>
    </row>
    <row r="46" spans="1:59" x14ac:dyDescent="0.25">
      <c r="G46" s="50" t="s">
        <v>63</v>
      </c>
      <c r="H46" s="48" t="s">
        <v>64</v>
      </c>
      <c r="I46" s="49">
        <f>IF(WL_No="  ","  ",IT/V_Disp)</f>
        <v>4.361287587878075</v>
      </c>
    </row>
    <row r="47" spans="1:59" x14ac:dyDescent="0.25">
      <c r="G47" s="50" t="s">
        <v>65</v>
      </c>
      <c r="H47" s="48" t="s">
        <v>66</v>
      </c>
      <c r="I47" s="49">
        <f>IF(WL_No="  ","  ",MT/V_Disp)</f>
        <v>7.9751774273740654</v>
      </c>
    </row>
    <row r="48" spans="1:59" x14ac:dyDescent="0.25">
      <c r="G48" s="50" t="s">
        <v>67</v>
      </c>
      <c r="H48" s="48" t="s">
        <v>68</v>
      </c>
      <c r="I48" s="49">
        <f>IF(WL_No="  ","  ",KB+BMT)</f>
        <v>12.336465015252141</v>
      </c>
    </row>
    <row r="49" spans="7:9" x14ac:dyDescent="0.25">
      <c r="G49" s="50" t="s">
        <v>69</v>
      </c>
      <c r="H49" s="48" t="s">
        <v>70</v>
      </c>
      <c r="I49" s="49">
        <f>IF(WL_No="  ","  ",KB+BML)</f>
        <v>128.04755646441274</v>
      </c>
    </row>
    <row r="50" spans="7:9" x14ac:dyDescent="0.25">
      <c r="G50" s="50" t="s">
        <v>71</v>
      </c>
      <c r="H50" s="48" t="s">
        <v>72</v>
      </c>
      <c r="I50" s="49">
        <f>IF(WL_No="  ","  ",AWP*1.025/100)</f>
        <v>30.838136674999991</v>
      </c>
    </row>
    <row r="51" spans="7:9" x14ac:dyDescent="0.25">
      <c r="G51" s="50" t="s">
        <v>73</v>
      </c>
      <c r="H51" s="48" t="s">
        <v>74</v>
      </c>
      <c r="I51" s="49">
        <f>IF(WL_No="  ","  ",ML/V_Disp)</f>
        <v>-2.615536551016334</v>
      </c>
    </row>
    <row r="52" spans="7:9" x14ac:dyDescent="0.25">
      <c r="G52" s="50" t="s">
        <v>75</v>
      </c>
      <c r="H52" s="55" t="s">
        <v>76</v>
      </c>
      <c r="I52" s="49">
        <f>IF(WL_No="  ","  ",M_Disp*BML/100/LBP)</f>
        <v>303.53796309055826</v>
      </c>
    </row>
    <row r="53" spans="7:9" x14ac:dyDescent="0.25">
      <c r="G53" s="50" t="s">
        <v>78</v>
      </c>
      <c r="H53" s="48" t="s">
        <v>79</v>
      </c>
      <c r="I53" s="49">
        <f>IF(WL_No="  ","  ",WLS*WL_No)</f>
        <v>14.19</v>
      </c>
    </row>
    <row r="54" spans="7:9" x14ac:dyDescent="0.25">
      <c r="G54" s="50" t="s">
        <v>80</v>
      </c>
      <c r="H54" s="48" t="s">
        <v>81</v>
      </c>
      <c r="I54" s="49">
        <f>IF(WL_No="  ","  ",AWP/(LBP*B_current))</f>
        <v>0.93242176870748295</v>
      </c>
    </row>
    <row r="55" spans="7:9" x14ac:dyDescent="0.25">
      <c r="G55" s="50" t="s">
        <v>82</v>
      </c>
      <c r="H55" s="48" t="s">
        <v>83</v>
      </c>
      <c r="I55" s="49">
        <f>IF(WL_No="  ","  ",V_Disp/(LBP*B_current*T))</f>
        <v>0.70517933008298439</v>
      </c>
    </row>
    <row r="56" spans="7:9" x14ac:dyDescent="0.25">
      <c r="G56" s="50" t="s">
        <v>85</v>
      </c>
      <c r="H56" s="48" t="s">
        <v>86</v>
      </c>
      <c r="I56" s="65">
        <f>IF(WL_No="  ","  ",(VLOOKUP(Long_Div/2,AREA_TABLE,Count_WL+1,FALSE))/(B_current*T))</f>
        <v>0.98082581869957286</v>
      </c>
    </row>
    <row r="57" spans="7:9" x14ac:dyDescent="0.25">
      <c r="G57" s="50" t="s">
        <v>88</v>
      </c>
      <c r="H57" s="48" t="s">
        <v>89</v>
      </c>
      <c r="I57" s="49">
        <f>IF(WL_No="  ","  ",CB/CM)</f>
        <v>0.71896489329567792</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83" priority="14">
      <formula>ISERROR(A1)</formula>
    </cfRule>
  </conditionalFormatting>
  <conditionalFormatting sqref="G33:I34 G35:H57">
    <cfRule type="containsErrors" dxfId="282" priority="13">
      <formula>ISERROR(G33)</formula>
    </cfRule>
  </conditionalFormatting>
  <conditionalFormatting sqref="T12:T33">
    <cfRule type="containsErrors" dxfId="281" priority="12">
      <formula>ISERROR(T12)</formula>
    </cfRule>
  </conditionalFormatting>
  <conditionalFormatting sqref="I35:I57">
    <cfRule type="containsErrors" dxfId="280" priority="11">
      <formula>ISERROR(I35)</formula>
    </cfRule>
  </conditionalFormatting>
  <conditionalFormatting sqref="AY2:BC29">
    <cfRule type="containsErrors" dxfId="279" priority="8">
      <formula>ISERROR(AY2)</formula>
    </cfRule>
  </conditionalFormatting>
  <conditionalFormatting sqref="BE10:BG11 BE12:BF34">
    <cfRule type="containsErrors" dxfId="278" priority="10">
      <formula>ISERROR(BE10)</formula>
    </cfRule>
  </conditionalFormatting>
  <conditionalFormatting sqref="BG12:BG28 BG34">
    <cfRule type="containsErrors" dxfId="277" priority="9">
      <formula>ISERROR(BG12)</formula>
    </cfRule>
  </conditionalFormatting>
  <conditionalFormatting sqref="BE2:BG6">
    <cfRule type="containsErrors" dxfId="276" priority="7">
      <formula>ISERROR(BE2)</formula>
    </cfRule>
  </conditionalFormatting>
  <conditionalFormatting sqref="BF7:BG8">
    <cfRule type="containsErrors" dxfId="275" priority="5">
      <formula>ISERROR(BF7)</formula>
    </cfRule>
  </conditionalFormatting>
  <conditionalFormatting sqref="BE7:BE8">
    <cfRule type="containsErrors" dxfId="274" priority="6">
      <formula>ISERROR(BE7)</formula>
    </cfRule>
  </conditionalFormatting>
  <conditionalFormatting sqref="S30:S33">
    <cfRule type="containsErrors" dxfId="273" priority="4">
      <formula>ISERROR(S30)</formula>
    </cfRule>
  </conditionalFormatting>
  <conditionalFormatting sqref="AP27:AP28">
    <cfRule type="containsErrors" dxfId="272" priority="3">
      <formula>ISERROR(AP27)</formula>
    </cfRule>
  </conditionalFormatting>
  <conditionalFormatting sqref="BG29:BG32">
    <cfRule type="containsErrors" dxfId="271" priority="2">
      <formula>ISERROR(BG29)</formula>
    </cfRule>
  </conditionalFormatting>
  <conditionalFormatting sqref="BG33">
    <cfRule type="containsErrors" dxfId="270" priority="1">
      <formula>ISERROR(BG33)</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7</v>
      </c>
      <c r="C1" s="3"/>
      <c r="D1" s="4"/>
      <c r="E1" s="4" t="s">
        <v>1</v>
      </c>
      <c r="F1" s="5">
        <v>11</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9.6</v>
      </c>
      <c r="C4" s="22">
        <f>IF(A4="  ","  ",IF(A5="  ","?",1*(A5-A4)))</f>
        <v>0.5</v>
      </c>
      <c r="D4" s="23">
        <f>IFERROR(B4*C4,"  ")</f>
        <v>4.8</v>
      </c>
      <c r="E4" s="24">
        <f t="shared" ref="E4:E28" si="1">IFERROR(A4-(Long_Div/2),"  ")</f>
        <v>-10</v>
      </c>
      <c r="F4" s="23">
        <f>IFERROR(D4*E4,"  ")</f>
        <v>-48</v>
      </c>
      <c r="G4" s="23">
        <f>IFERROR(F4*E4,"  ")</f>
        <v>480</v>
      </c>
      <c r="H4" s="23">
        <f>IFERROR(B4^3,"  ")</f>
        <v>884.73599999999999</v>
      </c>
      <c r="I4" s="23">
        <f>IFERROR(H4*C4,"  ")</f>
        <v>442.36799999999999</v>
      </c>
      <c r="J4" s="4"/>
      <c r="K4" s="25">
        <f t="shared" ref="K4:K28" si="2">VLOOKUP(A4,AREA_TABLE,Count_WL+1,FALSE)</f>
        <v>35.382800000000003</v>
      </c>
      <c r="L4" s="23">
        <f>IFERROR(K4*C4,"  ")</f>
        <v>17.691400000000002</v>
      </c>
      <c r="M4" s="26">
        <f t="shared" ref="M4:M28" si="3">VLOOKUP(A4,MOMENT_TABLE,Count_WL+1,FALSE)</f>
        <v>407.16541333333345</v>
      </c>
      <c r="N4" s="27">
        <f>IFERROR(M4*C4,"  ")</f>
        <v>203.58270666666672</v>
      </c>
      <c r="O4" s="23">
        <f>IFERROR(L4*E4,"  ")</f>
        <v>-176.91400000000002</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9.6</v>
      </c>
      <c r="AQ4" s="34" t="str">
        <f t="shared" ref="AQ4:AQ28" ca="1" si="18">CONCATENATE(AI4,IF(NOT(OR(AI4="",AK4="")),"+",""),AK4)</f>
        <v>(1/2)*(1/3)</v>
      </c>
      <c r="AR4" s="23">
        <f t="shared" ref="AR4:AR28" ca="1" si="19">IFERROR(AP4*AM4,"  ")</f>
        <v>1.5999999999999999</v>
      </c>
      <c r="AS4" s="24">
        <f t="shared" ref="AS4:AS28" si="20">IFERROR(AO4-(Long_Div/2),"  ")</f>
        <v>-10</v>
      </c>
      <c r="AT4" s="23">
        <f ca="1">IFERROR(AR4*AS4,"  ")</f>
        <v>-15.999999999999998</v>
      </c>
      <c r="AU4" s="23">
        <f ca="1">IFERROR(AT4*AS4,"  ")</f>
        <v>159.99999999999997</v>
      </c>
      <c r="AV4" s="23">
        <f t="shared" ref="AV4:AV28" si="21">IFERROR(AP4^3,"  ")</f>
        <v>884.73599999999999</v>
      </c>
      <c r="AW4" s="23">
        <f t="shared" ref="AW4:AW28" ca="1" si="22">IFERROR(AV4*AM4,"  ")</f>
        <v>147.45599999999999</v>
      </c>
      <c r="AY4" s="35">
        <f t="shared" ref="AY4:AY28" si="23">IF(ROW(AY4)-3&gt;Max_STN_count," ",VLOOKUP(AO4,AREA_TABLE,Count_WL+1,FALSE))</f>
        <v>35.382800000000003</v>
      </c>
      <c r="AZ4" s="23">
        <f t="shared" ref="AZ4:AZ7" ca="1" si="24">IFERROR(AY4*AM4,"  ")</f>
        <v>5.8971333333333336</v>
      </c>
      <c r="BA4" s="36">
        <f t="shared" ref="BA4:BA28" si="25">IF(ROW(AY4)-3&gt;Max_STN_count," ",VLOOKUP(AO4,MOMENT_TABLE,Count_WL+1,FALSE))</f>
        <v>407.16541333333345</v>
      </c>
      <c r="BB4" s="27">
        <f ca="1">IFERROR(BA4*AM4,"  ")</f>
        <v>67.860902222222236</v>
      </c>
      <c r="BC4" s="23">
        <f ca="1">IFERROR(AZ4*AS4,"  ")</f>
        <v>-58.971333333333334</v>
      </c>
      <c r="BE4" s="16" t="s">
        <v>26</v>
      </c>
      <c r="BF4" s="9" t="s">
        <v>8</v>
      </c>
      <c r="BG4" s="28">
        <f>LBP</f>
        <v>131.69999999999999</v>
      </c>
    </row>
    <row r="5" spans="1:60" x14ac:dyDescent="0.25">
      <c r="A5" s="20">
        <f>Tools!$AD4</f>
        <v>0.5</v>
      </c>
      <c r="B5" s="33">
        <f t="shared" si="0"/>
        <v>10.63</v>
      </c>
      <c r="C5" s="22">
        <f>IF(A5="  ","  ",IF(AND(A4="  ",A6="  "),"?",IF(A4="  ",2*(A6-A5),IF(A6="  ",2*(A5-A4),2*(A6-A4)))))</f>
        <v>2</v>
      </c>
      <c r="D5" s="23">
        <f t="shared" ref="D5:D28" si="26">IFERROR(B5*C5,"  ")</f>
        <v>21.26</v>
      </c>
      <c r="E5" s="24">
        <f t="shared" si="1"/>
        <v>-9.5</v>
      </c>
      <c r="F5" s="23">
        <f t="shared" ref="F5:F28" si="27">IFERROR(D5*E5,"  ")</f>
        <v>-201.97000000000003</v>
      </c>
      <c r="G5" s="23">
        <f t="shared" ref="G5:G28" si="28">IFERROR(F5*E5,"  ")</f>
        <v>1918.7150000000001</v>
      </c>
      <c r="H5" s="23">
        <f t="shared" ref="H5:H28" si="29">IFERROR(B5^3,"  ")</f>
        <v>1201.1570470000001</v>
      </c>
      <c r="I5" s="23">
        <f t="shared" ref="I5:I28" si="30">IFERROR(H5*C5,"  ")</f>
        <v>2402.3140940000003</v>
      </c>
      <c r="J5" s="4"/>
      <c r="K5" s="37">
        <f t="shared" si="2"/>
        <v>54.924000000000007</v>
      </c>
      <c r="L5" s="23">
        <f t="shared" ref="L5:L28" si="31">IFERROR(K5*C5,"  ")</f>
        <v>109.84800000000001</v>
      </c>
      <c r="M5" s="38">
        <f t="shared" si="3"/>
        <v>613.3280000000002</v>
      </c>
      <c r="N5" s="27">
        <f t="shared" ref="N5:N28" si="32">IFERROR(M5*C5,"  ")</f>
        <v>1226.6560000000004</v>
      </c>
      <c r="O5" s="23">
        <f t="shared" ref="O5:O28" si="33">IFERROR(L5*E5,"  ")</f>
        <v>-1043.556</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10.63</v>
      </c>
      <c r="AQ5" s="34" t="str">
        <f t="shared" ca="1" si="18"/>
        <v>(1/2)*(4/3)</v>
      </c>
      <c r="AR5" s="23">
        <f t="shared" ca="1" si="19"/>
        <v>7.0866666666666669</v>
      </c>
      <c r="AS5" s="24">
        <f t="shared" si="20"/>
        <v>-9.5</v>
      </c>
      <c r="AT5" s="23">
        <f t="shared" ref="AT5:AT28" ca="1" si="37">IFERROR(AR5*AS5,"  ")</f>
        <v>-67.323333333333338</v>
      </c>
      <c r="AU5" s="23">
        <f ca="1">IFERROR(AT5*AS5,"  ")</f>
        <v>639.57166666666672</v>
      </c>
      <c r="AV5" s="23">
        <f t="shared" si="21"/>
        <v>1201.1570470000001</v>
      </c>
      <c r="AW5" s="23">
        <f t="shared" ca="1" si="22"/>
        <v>800.77136466666673</v>
      </c>
      <c r="AY5" s="35">
        <f t="shared" si="23"/>
        <v>54.924000000000007</v>
      </c>
      <c r="AZ5" s="23">
        <f t="shared" ca="1" si="24"/>
        <v>36.616</v>
      </c>
      <c r="BA5" s="36">
        <f t="shared" si="25"/>
        <v>613.3280000000002</v>
      </c>
      <c r="BB5" s="27">
        <f t="shared" ref="BB5:BB28" ca="1" si="38">IFERROR(BA5*AM5,"  ")</f>
        <v>408.88533333333345</v>
      </c>
      <c r="BC5" s="23">
        <f t="shared" ref="BC5:BC28" ca="1" si="39">IFERROR(AZ5*AS5,"  ")</f>
        <v>-347.85199999999998</v>
      </c>
      <c r="BE5" s="8" t="s">
        <v>27</v>
      </c>
      <c r="BF5" s="9" t="s">
        <v>8</v>
      </c>
      <c r="BG5" s="10">
        <f>BREADTH</f>
        <v>24.5</v>
      </c>
    </row>
    <row r="6" spans="1:60" x14ac:dyDescent="0.25">
      <c r="A6" s="20">
        <f>Tools!$AD5</f>
        <v>1</v>
      </c>
      <c r="B6" s="33">
        <f t="shared" si="0"/>
        <v>11.33</v>
      </c>
      <c r="C6" s="22">
        <f>IF(A6="  ","  ",IF(AND(A5="  ",A7="  "),"?",IF(A5="  ",1*(A7-A6),IF(A7="  ",1*(A6-A5),1*(A7-A5)))))</f>
        <v>1</v>
      </c>
      <c r="D6" s="23">
        <f t="shared" si="26"/>
        <v>11.33</v>
      </c>
      <c r="E6" s="24">
        <f t="shared" si="1"/>
        <v>-9</v>
      </c>
      <c r="F6" s="23">
        <f t="shared" si="27"/>
        <v>-101.97</v>
      </c>
      <c r="G6" s="23">
        <f t="shared" si="28"/>
        <v>917.73</v>
      </c>
      <c r="H6" s="23">
        <f t="shared" si="29"/>
        <v>1454.419637</v>
      </c>
      <c r="I6" s="23">
        <f t="shared" si="30"/>
        <v>1454.419637</v>
      </c>
      <c r="J6" s="4"/>
      <c r="K6" s="37">
        <f t="shared" si="2"/>
        <v>75.516000000000005</v>
      </c>
      <c r="L6" s="23">
        <f t="shared" si="31"/>
        <v>75.516000000000005</v>
      </c>
      <c r="M6" s="38">
        <f t="shared" si="3"/>
        <v>810.66960000000006</v>
      </c>
      <c r="N6" s="27">
        <f t="shared" si="32"/>
        <v>810.66960000000006</v>
      </c>
      <c r="O6" s="23">
        <f t="shared" si="33"/>
        <v>-679.64400000000001</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11.33</v>
      </c>
      <c r="AQ6" s="34" t="str">
        <f t="shared" ca="1" si="18"/>
        <v>(1/2)*(2/3)</v>
      </c>
      <c r="AR6" s="23">
        <f t="shared" ca="1" si="19"/>
        <v>3.7766666666666664</v>
      </c>
      <c r="AS6" s="24">
        <f t="shared" si="20"/>
        <v>-9</v>
      </c>
      <c r="AT6" s="23">
        <f t="shared" ca="1" si="37"/>
        <v>-33.989999999999995</v>
      </c>
      <c r="AU6" s="23">
        <f ca="1">IFERROR(AT6*AS6,"  ")</f>
        <v>305.90999999999997</v>
      </c>
      <c r="AV6" s="23">
        <f t="shared" si="21"/>
        <v>1454.419637</v>
      </c>
      <c r="AW6" s="23">
        <f t="shared" ca="1" si="22"/>
        <v>484.80654566666664</v>
      </c>
      <c r="AY6" s="35">
        <f t="shared" si="23"/>
        <v>75.516000000000005</v>
      </c>
      <c r="AZ6" s="23">
        <f t="shared" ca="1" si="24"/>
        <v>25.172000000000001</v>
      </c>
      <c r="BA6" s="36">
        <f t="shared" si="25"/>
        <v>810.66960000000006</v>
      </c>
      <c r="BB6" s="27">
        <f t="shared" ca="1" si="38"/>
        <v>270.22320000000002</v>
      </c>
      <c r="BC6" s="23">
        <f t="shared" ca="1" si="39"/>
        <v>-226.548</v>
      </c>
      <c r="BE6" s="8" t="s">
        <v>28</v>
      </c>
      <c r="BF6" s="9" t="s">
        <v>8</v>
      </c>
      <c r="BG6" s="10">
        <f>DEPTH</f>
        <v>14.19</v>
      </c>
    </row>
    <row r="7" spans="1:60" x14ac:dyDescent="0.25">
      <c r="A7" s="20">
        <f>Tools!$AD6</f>
        <v>1.5</v>
      </c>
      <c r="B7" s="33">
        <f t="shared" si="0"/>
        <v>11.77</v>
      </c>
      <c r="C7" s="22">
        <f>IF(A7="  ","  ",IF(AND(A6="  ",A8="  "),"?",IF(A6="  ",2*(A8-A7),IF(A8="  ",2*(A7-A6),2*(A8-A6)))))</f>
        <v>2</v>
      </c>
      <c r="D7" s="23">
        <f t="shared" si="26"/>
        <v>23.54</v>
      </c>
      <c r="E7" s="24">
        <f t="shared" si="1"/>
        <v>-8.5</v>
      </c>
      <c r="F7" s="23">
        <f t="shared" si="27"/>
        <v>-200.09</v>
      </c>
      <c r="G7" s="23">
        <f t="shared" si="28"/>
        <v>1700.7650000000001</v>
      </c>
      <c r="H7" s="23">
        <f t="shared" si="29"/>
        <v>1630.5322329999997</v>
      </c>
      <c r="I7" s="23">
        <f t="shared" si="30"/>
        <v>3261.0644659999994</v>
      </c>
      <c r="J7" s="4"/>
      <c r="K7" s="37">
        <f t="shared" si="2"/>
        <v>103.848</v>
      </c>
      <c r="L7" s="23">
        <f t="shared" si="31"/>
        <v>207.696</v>
      </c>
      <c r="M7" s="38">
        <f t="shared" si="3"/>
        <v>1030.8065999999999</v>
      </c>
      <c r="N7" s="27">
        <f t="shared" si="32"/>
        <v>2061.6131999999998</v>
      </c>
      <c r="O7" s="23">
        <f t="shared" si="33"/>
        <v>-1765.4159999999999</v>
      </c>
      <c r="P7" s="4"/>
      <c r="Q7" s="39" t="s">
        <v>29</v>
      </c>
      <c r="R7" s="40" t="s">
        <v>8</v>
      </c>
      <c r="S7" s="41">
        <f>IF(MAX(B4:B28)=0," ",2*MAX(B4:B28))</f>
        <v>24.5</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11.77</v>
      </c>
      <c r="AQ7" s="34" t="str">
        <f t="shared" ca="1" si="18"/>
        <v>(1/2)*(4/3)</v>
      </c>
      <c r="AR7" s="23">
        <f t="shared" ca="1" si="19"/>
        <v>7.8466666666666658</v>
      </c>
      <c r="AS7" s="24">
        <f t="shared" si="20"/>
        <v>-8.5</v>
      </c>
      <c r="AT7" s="23">
        <f t="shared" ca="1" si="37"/>
        <v>-66.696666666666658</v>
      </c>
      <c r="AU7" s="23">
        <f t="shared" ref="AU7:AU28" ca="1" si="40">IFERROR(AT7*AS7,"  ")</f>
        <v>566.92166666666662</v>
      </c>
      <c r="AV7" s="23">
        <f t="shared" si="21"/>
        <v>1630.5322329999997</v>
      </c>
      <c r="AW7" s="23">
        <f t="shared" ca="1" si="22"/>
        <v>1087.0214886666663</v>
      </c>
      <c r="AY7" s="35">
        <f t="shared" si="23"/>
        <v>103.848</v>
      </c>
      <c r="AZ7" s="23">
        <f t="shared" ca="1" si="24"/>
        <v>69.231999999999999</v>
      </c>
      <c r="BA7" s="36">
        <f t="shared" si="25"/>
        <v>1030.8065999999999</v>
      </c>
      <c r="BB7" s="27">
        <f t="shared" ca="1" si="38"/>
        <v>687.20439999999985</v>
      </c>
      <c r="BC7" s="23">
        <f t="shared" ca="1" si="39"/>
        <v>-588.47199999999998</v>
      </c>
      <c r="BE7" s="8" t="s">
        <v>29</v>
      </c>
      <c r="BF7" s="9" t="s">
        <v>8</v>
      </c>
      <c r="BG7" s="10">
        <f>IF(MAX(AP4:AP28)=0," ",2*MAX(AP4:AP28))</f>
        <v>24.5</v>
      </c>
    </row>
    <row r="8" spans="1:60" x14ac:dyDescent="0.25">
      <c r="A8" s="20">
        <f>Tools!$AD7</f>
        <v>2</v>
      </c>
      <c r="B8" s="33">
        <f t="shared" si="0"/>
        <v>12</v>
      </c>
      <c r="C8" s="22">
        <f>IF(A8="  ","  ",IF(AND(A7="  ",A9="  "),"?",IF(A7="  ",1*(A9-A8),IF(A9="  ",1*(A8-A7),1*(A9-A7)))))</f>
        <v>1.5</v>
      </c>
      <c r="D8" s="23">
        <f t="shared" si="26"/>
        <v>18</v>
      </c>
      <c r="E8" s="24">
        <f t="shared" si="1"/>
        <v>-8</v>
      </c>
      <c r="F8" s="23">
        <f t="shared" si="27"/>
        <v>-144</v>
      </c>
      <c r="G8" s="23">
        <f t="shared" si="28"/>
        <v>1152</v>
      </c>
      <c r="H8" s="23">
        <f t="shared" si="29"/>
        <v>1728</v>
      </c>
      <c r="I8" s="23">
        <f t="shared" si="30"/>
        <v>2592</v>
      </c>
      <c r="J8" s="4"/>
      <c r="K8" s="37">
        <f t="shared" si="2"/>
        <v>136.33499999999998</v>
      </c>
      <c r="L8" s="23">
        <f t="shared" si="31"/>
        <v>204.50249999999997</v>
      </c>
      <c r="M8" s="38">
        <f t="shared" si="3"/>
        <v>1241.81673</v>
      </c>
      <c r="N8" s="27">
        <f t="shared" si="32"/>
        <v>1862.725095</v>
      </c>
      <c r="O8" s="23">
        <f t="shared" si="33"/>
        <v>-1636.0199999999998</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12</v>
      </c>
      <c r="AQ8" s="34" t="str">
        <f t="shared" ca="1" si="18"/>
        <v>(1/2)*(1/3)+1/3</v>
      </c>
      <c r="AR8" s="23">
        <f t="shared" ca="1" si="19"/>
        <v>6</v>
      </c>
      <c r="AS8" s="24">
        <f t="shared" si="20"/>
        <v>-8</v>
      </c>
      <c r="AT8" s="23">
        <f t="shared" ca="1" si="37"/>
        <v>-48</v>
      </c>
      <c r="AU8" s="23">
        <f t="shared" ca="1" si="40"/>
        <v>384</v>
      </c>
      <c r="AV8" s="23">
        <f t="shared" si="21"/>
        <v>1728</v>
      </c>
      <c r="AW8" s="23">
        <f t="shared" ca="1" si="22"/>
        <v>864</v>
      </c>
      <c r="AY8" s="35">
        <f t="shared" si="23"/>
        <v>136.33499999999998</v>
      </c>
      <c r="AZ8" s="23">
        <f ca="1">IFERROR(AY8*AM8,"  ")</f>
        <v>68.16749999999999</v>
      </c>
      <c r="BA8" s="36">
        <f t="shared" si="25"/>
        <v>1241.81673</v>
      </c>
      <c r="BB8" s="27">
        <f t="shared" ca="1" si="38"/>
        <v>620.908365</v>
      </c>
      <c r="BC8" s="23">
        <f t="shared" ca="1" si="39"/>
        <v>-545.33999999999992</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f t="shared" si="0"/>
        <v>12.21</v>
      </c>
      <c r="C9" s="22">
        <f>IF(A9="  ","  ",IF(AND(A8="  ",A10="  "),"?",IF(A8="  ",2*(A10-A9),IF(A10="  ",2*(A9-A8),2*(A10-A8)))))</f>
        <v>4</v>
      </c>
      <c r="D9" s="23">
        <f t="shared" si="26"/>
        <v>48.84</v>
      </c>
      <c r="E9" s="24">
        <f t="shared" si="1"/>
        <v>-7</v>
      </c>
      <c r="F9" s="23">
        <f t="shared" si="27"/>
        <v>-341.88</v>
      </c>
      <c r="G9" s="23">
        <f t="shared" si="28"/>
        <v>2393.16</v>
      </c>
      <c r="H9" s="23">
        <f t="shared" si="29"/>
        <v>1820.3168610000005</v>
      </c>
      <c r="I9" s="23">
        <f t="shared" si="30"/>
        <v>7281.2674440000019</v>
      </c>
      <c r="J9" s="4"/>
      <c r="K9" s="37">
        <f t="shared" si="2"/>
        <v>182.316</v>
      </c>
      <c r="L9" s="23">
        <f t="shared" si="31"/>
        <v>729.26400000000001</v>
      </c>
      <c r="M9" s="38">
        <f t="shared" si="3"/>
        <v>1519.3656000000001</v>
      </c>
      <c r="N9" s="27">
        <f t="shared" si="32"/>
        <v>6077.4624000000003</v>
      </c>
      <c r="O9" s="23">
        <f t="shared" si="33"/>
        <v>-5104.848</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12.21</v>
      </c>
      <c r="AQ9" s="34" t="str">
        <f t="shared" ca="1" si="18"/>
        <v>4/3</v>
      </c>
      <c r="AR9" s="23">
        <f t="shared" ca="1" si="19"/>
        <v>16.28</v>
      </c>
      <c r="AS9" s="24">
        <f t="shared" si="20"/>
        <v>-7</v>
      </c>
      <c r="AT9" s="23">
        <f t="shared" ca="1" si="37"/>
        <v>-113.96000000000001</v>
      </c>
      <c r="AU9" s="23">
        <f t="shared" ca="1" si="40"/>
        <v>797.72</v>
      </c>
      <c r="AV9" s="23">
        <f t="shared" si="21"/>
        <v>1820.3168610000005</v>
      </c>
      <c r="AW9" s="23">
        <f t="shared" ca="1" si="22"/>
        <v>2427.0891480000005</v>
      </c>
      <c r="AY9" s="35">
        <f t="shared" si="23"/>
        <v>182.316</v>
      </c>
      <c r="AZ9" s="23">
        <f t="shared" ref="AZ9:AZ28" ca="1" si="41">IFERROR(AY9*AM9,"  ")</f>
        <v>243.08799999999999</v>
      </c>
      <c r="BA9" s="36">
        <f t="shared" si="25"/>
        <v>1519.3656000000001</v>
      </c>
      <c r="BB9" s="27">
        <f t="shared" ca="1" si="38"/>
        <v>2025.8208</v>
      </c>
      <c r="BC9" s="23">
        <f t="shared" ca="1" si="39"/>
        <v>-1701.616</v>
      </c>
    </row>
    <row r="10" spans="1:60" x14ac:dyDescent="0.25">
      <c r="A10" s="20">
        <f>Tools!$AD9</f>
        <v>4</v>
      </c>
      <c r="B10" s="33">
        <f t="shared" si="0"/>
        <v>12.25</v>
      </c>
      <c r="C10" s="22">
        <f>IF(A10="  ","  ",IF(AND(A9="  ",A11="  "),"?",IF(A9="  ",1*(A11-A10),IF(A11="  ",1*(A10-A9),1*(A11-A9)))))</f>
        <v>2</v>
      </c>
      <c r="D10" s="23">
        <f t="shared" si="26"/>
        <v>24.5</v>
      </c>
      <c r="E10" s="24">
        <f t="shared" si="1"/>
        <v>-6</v>
      </c>
      <c r="F10" s="23">
        <f t="shared" si="27"/>
        <v>-147</v>
      </c>
      <c r="G10" s="23">
        <f t="shared" si="28"/>
        <v>882</v>
      </c>
      <c r="H10" s="23">
        <f t="shared" si="29"/>
        <v>1838.265625</v>
      </c>
      <c r="I10" s="23">
        <f>IFERROR(H10*C10,"  ")</f>
        <v>3676.53125</v>
      </c>
      <c r="J10" s="4"/>
      <c r="K10" s="37">
        <f t="shared" si="2"/>
        <v>220.93199999999999</v>
      </c>
      <c r="L10" s="23">
        <f t="shared" si="31"/>
        <v>441.86399999999998</v>
      </c>
      <c r="M10" s="38">
        <f t="shared" si="3"/>
        <v>1700.4816000000001</v>
      </c>
      <c r="N10" s="27">
        <f t="shared" si="32"/>
        <v>3400.9632000000001</v>
      </c>
      <c r="O10" s="23">
        <f t="shared" si="33"/>
        <v>-2651.1839999999997</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12.25</v>
      </c>
      <c r="AQ10" s="34" t="str">
        <f t="shared" ca="1" si="18"/>
        <v>2/3</v>
      </c>
      <c r="AR10" s="23">
        <f t="shared" ca="1" si="19"/>
        <v>8.1666666666666661</v>
      </c>
      <c r="AS10" s="24">
        <f t="shared" si="20"/>
        <v>-6</v>
      </c>
      <c r="AT10" s="23">
        <f t="shared" ca="1" si="37"/>
        <v>-49</v>
      </c>
      <c r="AU10" s="23">
        <f ca="1">IFERROR(AT10*AS10,"  ")</f>
        <v>294</v>
      </c>
      <c r="AV10" s="23">
        <f t="shared" si="21"/>
        <v>1838.265625</v>
      </c>
      <c r="AW10" s="23">
        <f t="shared" ca="1" si="22"/>
        <v>1225.5104166666665</v>
      </c>
      <c r="AY10" s="35">
        <f t="shared" si="23"/>
        <v>220.93199999999999</v>
      </c>
      <c r="AZ10" s="23">
        <f t="shared" ca="1" si="41"/>
        <v>147.28799999999998</v>
      </c>
      <c r="BA10" s="36">
        <f t="shared" si="25"/>
        <v>1700.4816000000001</v>
      </c>
      <c r="BB10" s="27">
        <f t="shared" ca="1" si="38"/>
        <v>1133.6543999999999</v>
      </c>
      <c r="BC10" s="23">
        <f t="shared" ca="1" si="39"/>
        <v>-883.72799999999984</v>
      </c>
      <c r="BE10" s="43" t="s">
        <v>31</v>
      </c>
      <c r="BF10" s="44" t="s">
        <v>32</v>
      </c>
      <c r="BG10" s="506" t="s">
        <v>33</v>
      </c>
    </row>
    <row r="11" spans="1:60" x14ac:dyDescent="0.25">
      <c r="A11" s="20">
        <f>Tools!$AD10</f>
        <v>5</v>
      </c>
      <c r="B11" s="33">
        <f t="shared" si="0"/>
        <v>12.25</v>
      </c>
      <c r="C11" s="22">
        <f>IF(A11="  ","  ",IF(AND(A10="  ",A12="  "),"?",IF(A10="  ",2*(A12-A11),IF(A12="  ",2*(A11-A10),2*(A12-A10)))))</f>
        <v>4</v>
      </c>
      <c r="D11" s="23">
        <f t="shared" si="26"/>
        <v>49</v>
      </c>
      <c r="E11" s="24">
        <f t="shared" si="1"/>
        <v>-5</v>
      </c>
      <c r="F11" s="23">
        <f t="shared" si="27"/>
        <v>-245</v>
      </c>
      <c r="G11" s="23">
        <f t="shared" si="28"/>
        <v>1225</v>
      </c>
      <c r="H11" s="23">
        <f t="shared" si="29"/>
        <v>1838.265625</v>
      </c>
      <c r="I11" s="23">
        <f t="shared" si="30"/>
        <v>7353.0625</v>
      </c>
      <c r="J11" s="4"/>
      <c r="K11" s="37">
        <f t="shared" si="2"/>
        <v>253.76999999999998</v>
      </c>
      <c r="L11" s="23">
        <f t="shared" si="31"/>
        <v>1015.0799999999999</v>
      </c>
      <c r="M11" s="38">
        <f t="shared" si="3"/>
        <v>1827.8676</v>
      </c>
      <c r="N11" s="27">
        <f t="shared" si="32"/>
        <v>7311.4704000000002</v>
      </c>
      <c r="O11" s="23">
        <f t="shared" si="33"/>
        <v>-5075.3999999999996</v>
      </c>
      <c r="P11" s="4"/>
      <c r="Q11" s="47" t="s">
        <v>34</v>
      </c>
      <c r="R11" s="48" t="s">
        <v>35</v>
      </c>
      <c r="S11">
        <f>IF(Tools!$L$49="Use 141 rule only",I35,IF(Tools!$L$49="Use 141 and 1331 rules",BG12," "))</f>
        <v>2861.9068499999985</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12.25</v>
      </c>
      <c r="AQ11" s="34" t="str">
        <f t="shared" ca="1" si="18"/>
        <v>4/3</v>
      </c>
      <c r="AR11" s="23">
        <f t="shared" ca="1" si="19"/>
        <v>16.333333333333332</v>
      </c>
      <c r="AS11" s="24">
        <f t="shared" si="20"/>
        <v>-5</v>
      </c>
      <c r="AT11" s="23">
        <f t="shared" ca="1" si="37"/>
        <v>-81.666666666666657</v>
      </c>
      <c r="AU11" s="23">
        <f t="shared" ca="1" si="40"/>
        <v>408.33333333333326</v>
      </c>
      <c r="AV11" s="23">
        <f t="shared" si="21"/>
        <v>1838.265625</v>
      </c>
      <c r="AW11" s="23">
        <f t="shared" ca="1" si="22"/>
        <v>2451.020833333333</v>
      </c>
      <c r="AY11" s="35">
        <f t="shared" si="23"/>
        <v>253.76999999999998</v>
      </c>
      <c r="AZ11" s="23">
        <f t="shared" ca="1" si="41"/>
        <v>338.35999999999996</v>
      </c>
      <c r="BA11" s="36">
        <f t="shared" si="25"/>
        <v>1827.8676</v>
      </c>
      <c r="BB11" s="27">
        <f t="shared" ca="1" si="38"/>
        <v>2437.1567999999997</v>
      </c>
      <c r="BC11" s="23">
        <f ca="1">IFERROR(AZ11*AS11,"  ")</f>
        <v>-1691.7999999999997</v>
      </c>
      <c r="BE11" s="45"/>
      <c r="BF11" s="46"/>
      <c r="BG11" s="507"/>
    </row>
    <row r="12" spans="1:60" x14ac:dyDescent="0.25">
      <c r="A12" s="20">
        <f>Tools!$AD11</f>
        <v>6</v>
      </c>
      <c r="B12" s="33">
        <f t="shared" si="0"/>
        <v>12.25</v>
      </c>
      <c r="C12" s="22">
        <f>IF(A12="  ","  ",IF(AND(A11="  ",A13="  "),"?",IF(A11="  ",1*(A13-A12),IF(A13="  ",1*(A12-A11),1*(A13-A11)))))</f>
        <v>2</v>
      </c>
      <c r="D12" s="23">
        <f t="shared" si="26"/>
        <v>24.5</v>
      </c>
      <c r="E12" s="24">
        <f t="shared" si="1"/>
        <v>-4</v>
      </c>
      <c r="F12" s="23">
        <f t="shared" si="27"/>
        <v>-98</v>
      </c>
      <c r="G12" s="23">
        <f t="shared" si="28"/>
        <v>392</v>
      </c>
      <c r="H12" s="23">
        <f t="shared" si="29"/>
        <v>1838.265625</v>
      </c>
      <c r="I12" s="23">
        <f t="shared" si="30"/>
        <v>3676.53125</v>
      </c>
      <c r="J12" s="4"/>
      <c r="K12" s="37">
        <f t="shared" si="2"/>
        <v>274.99199999999996</v>
      </c>
      <c r="L12" s="23">
        <f t="shared" si="31"/>
        <v>549.98399999999992</v>
      </c>
      <c r="M12" s="38">
        <f t="shared" si="3"/>
        <v>1893.3048000000001</v>
      </c>
      <c r="N12" s="27">
        <f t="shared" si="32"/>
        <v>3786.6096000000002</v>
      </c>
      <c r="O12" s="23">
        <f t="shared" si="33"/>
        <v>-2199.9359999999997</v>
      </c>
      <c r="P12" s="4"/>
      <c r="Q12" s="47" t="s">
        <v>36</v>
      </c>
      <c r="R12" s="48" t="s">
        <v>37</v>
      </c>
      <c r="S12">
        <f>IF(Tools!$L$49="Use 141 rule only",I36,IF(Tools!$L$49="Use 141 and 1331 rules",BG13," "))</f>
        <v>-16268.350493999995</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12.25</v>
      </c>
      <c r="AQ12" s="34" t="str">
        <f t="shared" ca="1" si="18"/>
        <v>2/3</v>
      </c>
      <c r="AR12" s="23">
        <f t="shared" ca="1" si="19"/>
        <v>8.1666666666666661</v>
      </c>
      <c r="AS12" s="24">
        <f t="shared" si="20"/>
        <v>-4</v>
      </c>
      <c r="AT12" s="23">
        <f t="shared" ca="1" si="37"/>
        <v>-32.666666666666664</v>
      </c>
      <c r="AU12" s="23">
        <f t="shared" ca="1" si="40"/>
        <v>130.66666666666666</v>
      </c>
      <c r="AV12" s="23">
        <f t="shared" si="21"/>
        <v>1838.265625</v>
      </c>
      <c r="AW12" s="23">
        <f t="shared" ca="1" si="22"/>
        <v>1225.5104166666665</v>
      </c>
      <c r="AY12" s="35">
        <f t="shared" si="23"/>
        <v>274.99199999999996</v>
      </c>
      <c r="AZ12" s="23">
        <f t="shared" ca="1" si="41"/>
        <v>183.32799999999997</v>
      </c>
      <c r="BA12" s="36">
        <f t="shared" si="25"/>
        <v>1893.3048000000001</v>
      </c>
      <c r="BB12" s="27">
        <f t="shared" ca="1" si="38"/>
        <v>1262.2031999999999</v>
      </c>
      <c r="BC12" s="23">
        <f t="shared" ca="1" si="39"/>
        <v>-733.3119999999999</v>
      </c>
      <c r="BE12" s="47" t="s">
        <v>34</v>
      </c>
      <c r="BF12" s="48" t="s">
        <v>38</v>
      </c>
      <c r="BG12" s="49">
        <f ca="1">IF(WL_No="  ","  ",2*h*$AR$29)</f>
        <v>2861.9068499999998</v>
      </c>
    </row>
    <row r="13" spans="1:60" x14ac:dyDescent="0.25">
      <c r="A13" s="20">
        <f>Tools!$AD12</f>
        <v>7</v>
      </c>
      <c r="B13" s="33">
        <f t="shared" si="0"/>
        <v>12.25</v>
      </c>
      <c r="C13" s="22">
        <f>IF(A13="  ","  ",IF(AND(A12="  ",A14="  "),"?",IF(A12="  ",2*(A14-A13),IF(A14="  ",2*(A13-A12),2*(A14-A12)))))</f>
        <v>4</v>
      </c>
      <c r="D13" s="23">
        <f t="shared" si="26"/>
        <v>49</v>
      </c>
      <c r="E13" s="24">
        <f t="shared" si="1"/>
        <v>-3</v>
      </c>
      <c r="F13" s="23">
        <f t="shared" si="27"/>
        <v>-147</v>
      </c>
      <c r="G13" s="23">
        <f t="shared" si="28"/>
        <v>441</v>
      </c>
      <c r="H13" s="23">
        <f t="shared" si="29"/>
        <v>1838.265625</v>
      </c>
      <c r="I13" s="23">
        <f t="shared" si="30"/>
        <v>7353.0625</v>
      </c>
      <c r="J13" s="4"/>
      <c r="K13" s="37">
        <f t="shared" si="2"/>
        <v>289.31399999999996</v>
      </c>
      <c r="L13" s="23">
        <f t="shared" si="31"/>
        <v>1157.2559999999999</v>
      </c>
      <c r="M13" s="38">
        <f t="shared" si="3"/>
        <v>1923.6960000000001</v>
      </c>
      <c r="N13" s="27">
        <f t="shared" si="32"/>
        <v>7694.7840000000006</v>
      </c>
      <c r="O13" s="23">
        <f t="shared" si="33"/>
        <v>-3471.7679999999996</v>
      </c>
      <c r="P13" s="4"/>
      <c r="Q13" s="50" t="s">
        <v>39</v>
      </c>
      <c r="R13" s="48" t="s">
        <v>40</v>
      </c>
      <c r="S13">
        <f>IF(Tools!$L$49="Use 141 rule only",I37,IF(Tools!$L$49="Use 141 and 1331 rules",BG14," "))</f>
        <v>-5.6844444444444457</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12.25</v>
      </c>
      <c r="AQ13" s="34" t="str">
        <f t="shared" ca="1" si="18"/>
        <v>4/3</v>
      </c>
      <c r="AR13" s="23">
        <f t="shared" ca="1" si="19"/>
        <v>16.333333333333332</v>
      </c>
      <c r="AS13" s="24">
        <f t="shared" si="20"/>
        <v>-3</v>
      </c>
      <c r="AT13" s="23">
        <f t="shared" ca="1" si="37"/>
        <v>-49</v>
      </c>
      <c r="AU13" s="23">
        <f t="shared" ca="1" si="40"/>
        <v>147</v>
      </c>
      <c r="AV13" s="23">
        <f t="shared" si="21"/>
        <v>1838.265625</v>
      </c>
      <c r="AW13" s="23">
        <f t="shared" ca="1" si="22"/>
        <v>2451.020833333333</v>
      </c>
      <c r="AY13" s="35">
        <f t="shared" si="23"/>
        <v>289.31399999999996</v>
      </c>
      <c r="AZ13" s="23">
        <f t="shared" ca="1" si="41"/>
        <v>385.75199999999995</v>
      </c>
      <c r="BA13" s="36">
        <f t="shared" si="25"/>
        <v>1923.6960000000001</v>
      </c>
      <c r="BB13" s="27">
        <f t="shared" ca="1" si="38"/>
        <v>2564.9279999999999</v>
      </c>
      <c r="BC13" s="23">
        <f t="shared" ca="1" si="39"/>
        <v>-1157.2559999999999</v>
      </c>
      <c r="BE13" s="47" t="s">
        <v>36</v>
      </c>
      <c r="BF13" s="48" t="s">
        <v>41</v>
      </c>
      <c r="BG13" s="49">
        <f ca="1">IF(WL_No="  ","  ",2*(h^2)*$AT$29)</f>
        <v>-16268.350493999989</v>
      </c>
    </row>
    <row r="14" spans="1:60" x14ac:dyDescent="0.25">
      <c r="A14" s="20">
        <f>Tools!$AD13</f>
        <v>8</v>
      </c>
      <c r="B14" s="33">
        <f t="shared" si="0"/>
        <v>12.25</v>
      </c>
      <c r="C14" s="22">
        <f>IF(A14="  ","  ",IF(AND(A13="  ",A15="  "),"?",IF(A13="  ",1*(A15-A14),IF(A15="  ",1*(A14-A13),1*(A15-A13)))))</f>
        <v>2</v>
      </c>
      <c r="D14" s="23">
        <f t="shared" si="26"/>
        <v>24.5</v>
      </c>
      <c r="E14" s="24">
        <f t="shared" si="1"/>
        <v>-2</v>
      </c>
      <c r="F14" s="23">
        <f t="shared" si="27"/>
        <v>-49</v>
      </c>
      <c r="G14" s="23">
        <f t="shared" si="28"/>
        <v>98</v>
      </c>
      <c r="H14" s="23">
        <f t="shared" si="29"/>
        <v>1838.265625</v>
      </c>
      <c r="I14" s="23">
        <f t="shared" si="30"/>
        <v>3676.53125</v>
      </c>
      <c r="J14" s="4"/>
      <c r="K14" s="37">
        <f t="shared" si="2"/>
        <v>297.91800000000001</v>
      </c>
      <c r="L14" s="23">
        <f t="shared" si="31"/>
        <v>595.83600000000001</v>
      </c>
      <c r="M14" s="38">
        <f t="shared" si="3"/>
        <v>1936.17</v>
      </c>
      <c r="N14" s="27">
        <f t="shared" si="32"/>
        <v>3872.34</v>
      </c>
      <c r="O14" s="23">
        <f t="shared" si="33"/>
        <v>-1191.672</v>
      </c>
      <c r="P14" s="4"/>
      <c r="Q14" s="50" t="s">
        <v>42</v>
      </c>
      <c r="R14" s="48" t="s">
        <v>43</v>
      </c>
      <c r="S14">
        <f>IF(Tools!$L$49="Use 141 rule only",I38,IF(Tools!$L$49="Use 141 and 1331 rules",BG15," "))</f>
        <v>3537504.8765351535</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12.25</v>
      </c>
      <c r="AQ14" s="34" t="str">
        <f t="shared" ca="1" si="18"/>
        <v>2/3</v>
      </c>
      <c r="AR14" s="23">
        <f t="shared" ca="1" si="19"/>
        <v>8.1666666666666661</v>
      </c>
      <c r="AS14" s="24">
        <f t="shared" si="20"/>
        <v>-2</v>
      </c>
      <c r="AT14" s="23">
        <f t="shared" ca="1" si="37"/>
        <v>-16.333333333333332</v>
      </c>
      <c r="AU14" s="23">
        <f t="shared" ca="1" si="40"/>
        <v>32.666666666666664</v>
      </c>
      <c r="AV14" s="23">
        <f t="shared" si="21"/>
        <v>1838.265625</v>
      </c>
      <c r="AW14" s="23">
        <f t="shared" ca="1" si="22"/>
        <v>1225.5104166666665</v>
      </c>
      <c r="AY14" s="35">
        <f t="shared" si="23"/>
        <v>297.91800000000001</v>
      </c>
      <c r="AZ14" s="23">
        <f t="shared" ca="1" si="41"/>
        <v>198.61199999999999</v>
      </c>
      <c r="BA14" s="36">
        <f t="shared" si="25"/>
        <v>1936.17</v>
      </c>
      <c r="BB14" s="27">
        <f t="shared" ca="1" si="38"/>
        <v>1290.78</v>
      </c>
      <c r="BC14" s="23">
        <f t="shared" ca="1" si="39"/>
        <v>-397.22399999999999</v>
      </c>
      <c r="BE14" s="50" t="s">
        <v>39</v>
      </c>
      <c r="BF14" s="48" t="s">
        <v>40</v>
      </c>
      <c r="BG14" s="49">
        <f>IF(WL_No="  ","  ",Mmid/AWP)</f>
        <v>-5.6844444444444457</v>
      </c>
    </row>
    <row r="15" spans="1:60" x14ac:dyDescent="0.25">
      <c r="A15" s="20">
        <f>Tools!$AD14</f>
        <v>9</v>
      </c>
      <c r="B15" s="33">
        <f t="shared" si="0"/>
        <v>12.25</v>
      </c>
      <c r="C15" s="22">
        <f>IF(A15="  ","  ",IF(AND(A14="  ",A16="  "),"?",IF(A14="  ",2*(A16-A15),IF(A16="  ",2*(A15-A14),2*(A16-A14)))))</f>
        <v>4</v>
      </c>
      <c r="D15" s="23">
        <f t="shared" si="26"/>
        <v>49</v>
      </c>
      <c r="E15" s="24">
        <f t="shared" si="1"/>
        <v>-1</v>
      </c>
      <c r="F15" s="23">
        <f t="shared" si="27"/>
        <v>-49</v>
      </c>
      <c r="G15" s="23">
        <f t="shared" si="28"/>
        <v>49</v>
      </c>
      <c r="H15" s="23">
        <f t="shared" si="29"/>
        <v>1838.265625</v>
      </c>
      <c r="I15" s="23">
        <f t="shared" si="30"/>
        <v>7353.0625</v>
      </c>
      <c r="J15" s="4"/>
      <c r="K15" s="37">
        <f t="shared" si="2"/>
        <v>301.18799999999999</v>
      </c>
      <c r="L15" s="23">
        <f t="shared" si="31"/>
        <v>1204.752</v>
      </c>
      <c r="M15" s="38">
        <f t="shared" si="3"/>
        <v>1939.9176000000002</v>
      </c>
      <c r="N15" s="27">
        <f t="shared" si="32"/>
        <v>7759.6704000000009</v>
      </c>
      <c r="O15" s="23">
        <f t="shared" si="33"/>
        <v>-1204.752</v>
      </c>
      <c r="P15" s="4"/>
      <c r="Q15" s="51" t="s">
        <v>44</v>
      </c>
      <c r="R15" s="48" t="s">
        <v>45</v>
      </c>
      <c r="S15">
        <f>IF(Tools!$L$49="Use 141 rule only",I39,IF(Tools!$L$49="Use 141 and 1331 rules",BG16," "))</f>
        <v>128165.72978681501</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12.25</v>
      </c>
      <c r="AQ15" s="34" t="str">
        <f t="shared" ca="1" si="18"/>
        <v>4/3</v>
      </c>
      <c r="AR15" s="23">
        <f t="shared" ca="1" si="19"/>
        <v>16.333333333333332</v>
      </c>
      <c r="AS15" s="24">
        <f t="shared" si="20"/>
        <v>-1</v>
      </c>
      <c r="AT15" s="23">
        <f t="shared" ca="1" si="37"/>
        <v>-16.333333333333332</v>
      </c>
      <c r="AU15" s="23">
        <f t="shared" ca="1" si="40"/>
        <v>16.333333333333332</v>
      </c>
      <c r="AV15" s="23">
        <f t="shared" si="21"/>
        <v>1838.265625</v>
      </c>
      <c r="AW15" s="23">
        <f t="shared" ca="1" si="22"/>
        <v>2451.020833333333</v>
      </c>
      <c r="AY15" s="35">
        <f t="shared" si="23"/>
        <v>301.18799999999999</v>
      </c>
      <c r="AZ15" s="23">
        <f t="shared" ca="1" si="41"/>
        <v>401.58399999999995</v>
      </c>
      <c r="BA15" s="36">
        <f t="shared" si="25"/>
        <v>1939.9176000000002</v>
      </c>
      <c r="BB15" s="27">
        <f ca="1">IFERROR(BA15*AM15,"  ")</f>
        <v>2586.5568000000003</v>
      </c>
      <c r="BC15" s="23">
        <f t="shared" ca="1" si="39"/>
        <v>-401.58399999999995</v>
      </c>
      <c r="BE15" s="50" t="s">
        <v>42</v>
      </c>
      <c r="BF15" s="48" t="s">
        <v>46</v>
      </c>
      <c r="BG15" s="49">
        <f ca="1">IF(WL_No="  ","  ",2*(h^3)*$AU$29)</f>
        <v>3537504.876535153</v>
      </c>
    </row>
    <row r="16" spans="1:60" x14ac:dyDescent="0.25">
      <c r="A16" s="20">
        <f>Tools!$AD15</f>
        <v>10</v>
      </c>
      <c r="B16" s="33">
        <f t="shared" si="0"/>
        <v>12.25</v>
      </c>
      <c r="C16" s="22">
        <f>IF(A16="  ","  ",IF(AND(A15="  ",A17="  "),"?",IF(A15="  ",1*(A17-A16),IF(A17="  ",1*(A16-A15),1*(A17-A15)))))</f>
        <v>2</v>
      </c>
      <c r="D16" s="23">
        <f t="shared" si="26"/>
        <v>24.5</v>
      </c>
      <c r="E16" s="24">
        <f t="shared" si="1"/>
        <v>0</v>
      </c>
      <c r="F16" s="23">
        <f t="shared" si="27"/>
        <v>0</v>
      </c>
      <c r="G16" s="23">
        <f t="shared" si="28"/>
        <v>0</v>
      </c>
      <c r="H16" s="23">
        <f t="shared" si="29"/>
        <v>1838.265625</v>
      </c>
      <c r="I16" s="23">
        <f t="shared" si="30"/>
        <v>3676.53125</v>
      </c>
      <c r="J16" s="4"/>
      <c r="K16" s="37">
        <f t="shared" si="2"/>
        <v>302.03399999999999</v>
      </c>
      <c r="L16" s="23">
        <f t="shared" si="31"/>
        <v>604.06799999999998</v>
      </c>
      <c r="M16" s="38">
        <f t="shared" si="3"/>
        <v>1940.1768000000002</v>
      </c>
      <c r="N16" s="27">
        <f t="shared" si="32"/>
        <v>3880.3536000000004</v>
      </c>
      <c r="O16" s="23">
        <f t="shared" si="33"/>
        <v>0</v>
      </c>
      <c r="P16" s="4"/>
      <c r="Q16" s="50" t="s">
        <v>47</v>
      </c>
      <c r="R16" s="48" t="s">
        <v>48</v>
      </c>
      <c r="S16">
        <f>IF(Tools!$L$49="Use 141 rule only",I40,IF(Tools!$L$49="Use 141 and 1331 rules",BG17," "))</f>
        <v>3445028.3419492603</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12.25</v>
      </c>
      <c r="AQ16" s="34" t="str">
        <f t="shared" ca="1" si="18"/>
        <v>2/3</v>
      </c>
      <c r="AR16" s="23">
        <f t="shared" ca="1" si="19"/>
        <v>8.1666666666666661</v>
      </c>
      <c r="AS16" s="24">
        <f t="shared" si="20"/>
        <v>0</v>
      </c>
      <c r="AT16" s="23">
        <f t="shared" ca="1" si="37"/>
        <v>0</v>
      </c>
      <c r="AU16" s="23">
        <f t="shared" ca="1" si="40"/>
        <v>0</v>
      </c>
      <c r="AV16" s="23">
        <f t="shared" si="21"/>
        <v>1838.265625</v>
      </c>
      <c r="AW16" s="23">
        <f t="shared" ca="1" si="22"/>
        <v>1225.5104166666665</v>
      </c>
      <c r="AY16" s="35">
        <f t="shared" si="23"/>
        <v>302.03399999999999</v>
      </c>
      <c r="AZ16" s="23">
        <f t="shared" ca="1" si="41"/>
        <v>201.35599999999999</v>
      </c>
      <c r="BA16" s="36">
        <f t="shared" si="25"/>
        <v>1940.1768000000002</v>
      </c>
      <c r="BB16" s="27">
        <f t="shared" ca="1" si="38"/>
        <v>1293.4512</v>
      </c>
      <c r="BC16" s="23">
        <f ca="1">IFERROR(AZ16*AS16,"  ")</f>
        <v>0</v>
      </c>
      <c r="BE16" s="51" t="s">
        <v>44</v>
      </c>
      <c r="BF16" s="48" t="s">
        <v>49</v>
      </c>
      <c r="BG16" s="49">
        <f ca="1">IF(WL_No="  ","  ",2/3*h*$AW$29)</f>
        <v>128165.72978681499</v>
      </c>
    </row>
    <row r="17" spans="1:59" x14ac:dyDescent="0.25">
      <c r="A17" s="20">
        <f>Tools!$AD16</f>
        <v>11</v>
      </c>
      <c r="B17" s="33">
        <f t="shared" si="0"/>
        <v>12.25</v>
      </c>
      <c r="C17" s="22">
        <f>IF(A17="  ","  ",IF(AND(A16="  ",A18="  "),"?",IF(A16="  ",2*(A18-A17),IF(A18="  ",2*(A17-A16),2*(A18-A16)))))</f>
        <v>4</v>
      </c>
      <c r="D17" s="23">
        <f t="shared" si="26"/>
        <v>49</v>
      </c>
      <c r="E17" s="24">
        <f t="shared" si="1"/>
        <v>1</v>
      </c>
      <c r="F17" s="23">
        <f t="shared" si="27"/>
        <v>49</v>
      </c>
      <c r="G17" s="23">
        <f t="shared" si="28"/>
        <v>49</v>
      </c>
      <c r="H17" s="23">
        <f t="shared" si="29"/>
        <v>1838.265625</v>
      </c>
      <c r="I17" s="23">
        <f t="shared" si="30"/>
        <v>7353.0625</v>
      </c>
      <c r="J17" s="4"/>
      <c r="K17" s="37">
        <f t="shared" si="2"/>
        <v>301.34399999999999</v>
      </c>
      <c r="L17" s="23">
        <f t="shared" si="31"/>
        <v>1205.376</v>
      </c>
      <c r="M17" s="38">
        <f t="shared" si="3"/>
        <v>1938.6216000000002</v>
      </c>
      <c r="N17" s="27">
        <f t="shared" si="32"/>
        <v>7754.4864000000007</v>
      </c>
      <c r="O17" s="23">
        <f t="shared" si="33"/>
        <v>1205.376</v>
      </c>
      <c r="P17" s="4"/>
      <c r="Q17" s="50" t="s">
        <v>50</v>
      </c>
      <c r="R17" s="48" t="s">
        <v>51</v>
      </c>
      <c r="S17">
        <f>IF(Tools!$L$49="Use 141 rule only",I41,IF(Tools!$L$49="Use 141 and 1331 rules",BG18," "))</f>
        <v>27620.40419175</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12.25</v>
      </c>
      <c r="AQ17" s="34" t="str">
        <f t="shared" ca="1" si="18"/>
        <v>4/3</v>
      </c>
      <c r="AR17" s="23">
        <f t="shared" ca="1" si="19"/>
        <v>16.333333333333332</v>
      </c>
      <c r="AS17" s="24">
        <f t="shared" si="20"/>
        <v>1</v>
      </c>
      <c r="AT17" s="23">
        <f t="shared" ca="1" si="37"/>
        <v>16.333333333333332</v>
      </c>
      <c r="AU17" s="23">
        <f t="shared" ca="1" si="40"/>
        <v>16.333333333333332</v>
      </c>
      <c r="AV17" s="23">
        <f t="shared" si="21"/>
        <v>1838.265625</v>
      </c>
      <c r="AW17" s="23">
        <f t="shared" ca="1" si="22"/>
        <v>2451.020833333333</v>
      </c>
      <c r="AY17" s="35">
        <f t="shared" si="23"/>
        <v>301.34399999999999</v>
      </c>
      <c r="AZ17" s="23">
        <f t="shared" ca="1" si="41"/>
        <v>401.79199999999997</v>
      </c>
      <c r="BA17" s="36">
        <f t="shared" si="25"/>
        <v>1938.6216000000002</v>
      </c>
      <c r="BB17" s="27">
        <f t="shared" ca="1" si="38"/>
        <v>2584.8288000000002</v>
      </c>
      <c r="BC17" s="23">
        <f t="shared" ca="1" si="39"/>
        <v>401.79199999999997</v>
      </c>
      <c r="BE17" s="50" t="s">
        <v>47</v>
      </c>
      <c r="BF17" s="48" t="s">
        <v>48</v>
      </c>
      <c r="BG17" s="49">
        <f>IF(WL_No="  ","  ",IL-AWP*(LCF^2))</f>
        <v>3445028.3419492603</v>
      </c>
    </row>
    <row r="18" spans="1:59" x14ac:dyDescent="0.25">
      <c r="A18" s="20">
        <f>Tools!$AD17</f>
        <v>12</v>
      </c>
      <c r="B18" s="33">
        <f t="shared" si="0"/>
        <v>12.25</v>
      </c>
      <c r="C18" s="22">
        <f>IF(A18="  ","  ",IF(AND(A17="  ",A19="  "),"?",IF(A17="  ",1*(A19-A18),IF(A19="  ",1*(A18-A17),1*(A19-A17)))))</f>
        <v>2</v>
      </c>
      <c r="D18" s="23">
        <f t="shared" si="26"/>
        <v>24.5</v>
      </c>
      <c r="E18" s="24">
        <f t="shared" si="1"/>
        <v>2</v>
      </c>
      <c r="F18" s="23">
        <f t="shared" si="27"/>
        <v>49</v>
      </c>
      <c r="G18" s="23">
        <f t="shared" si="28"/>
        <v>98</v>
      </c>
      <c r="H18" s="23">
        <f t="shared" si="29"/>
        <v>1838.265625</v>
      </c>
      <c r="I18" s="23">
        <f t="shared" si="30"/>
        <v>3676.53125</v>
      </c>
      <c r="J18" s="4"/>
      <c r="K18" s="37">
        <f t="shared" si="2"/>
        <v>296.93399999999997</v>
      </c>
      <c r="L18" s="23">
        <f t="shared" si="31"/>
        <v>593.86799999999994</v>
      </c>
      <c r="M18" s="38">
        <f t="shared" si="3"/>
        <v>1929.9168000000002</v>
      </c>
      <c r="N18" s="27">
        <f t="shared" si="32"/>
        <v>3859.8336000000004</v>
      </c>
      <c r="O18" s="23">
        <f t="shared" si="33"/>
        <v>1187.7359999999999</v>
      </c>
      <c r="P18" s="4"/>
      <c r="Q18" s="50" t="s">
        <v>52</v>
      </c>
      <c r="R18" s="48" t="s">
        <v>53</v>
      </c>
      <c r="S18">
        <f>IF(Tools!$L$49="Use 141 rule only",I42,IF(Tools!$L$49="Use 141 and 1331 rules",BG19," "))</f>
        <v>28480.77978232301</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12.25</v>
      </c>
      <c r="AQ18" s="34" t="str">
        <f t="shared" ca="1" si="18"/>
        <v>2/3</v>
      </c>
      <c r="AR18" s="23">
        <f t="shared" ca="1" si="19"/>
        <v>8.1666666666666661</v>
      </c>
      <c r="AS18" s="24">
        <f t="shared" si="20"/>
        <v>2</v>
      </c>
      <c r="AT18" s="23">
        <f t="shared" ca="1" si="37"/>
        <v>16.333333333333332</v>
      </c>
      <c r="AU18" s="23">
        <f t="shared" ca="1" si="40"/>
        <v>32.666666666666664</v>
      </c>
      <c r="AV18" s="23">
        <f t="shared" si="21"/>
        <v>1838.265625</v>
      </c>
      <c r="AW18" s="23">
        <f t="shared" ca="1" si="22"/>
        <v>1225.5104166666665</v>
      </c>
      <c r="AY18" s="35">
        <f t="shared" si="23"/>
        <v>296.93399999999997</v>
      </c>
      <c r="AZ18" s="23">
        <f t="shared" ca="1" si="41"/>
        <v>197.95599999999996</v>
      </c>
      <c r="BA18" s="36">
        <f t="shared" si="25"/>
        <v>1929.9168000000002</v>
      </c>
      <c r="BB18" s="27">
        <f t="shared" ca="1" si="38"/>
        <v>1286.6112000000001</v>
      </c>
      <c r="BC18" s="23">
        <f t="shared" ca="1" si="39"/>
        <v>395.91199999999992</v>
      </c>
      <c r="BE18" s="50" t="s">
        <v>50</v>
      </c>
      <c r="BF18" s="48" t="s">
        <v>54</v>
      </c>
      <c r="BG18" s="49">
        <f ca="1">IF(WL_No="  ","  ",h*$AZ$29)</f>
        <v>27620.40419175</v>
      </c>
    </row>
    <row r="19" spans="1:59" x14ac:dyDescent="0.25">
      <c r="A19" s="20">
        <f>Tools!$AD18</f>
        <v>13</v>
      </c>
      <c r="B19" s="33">
        <f t="shared" si="0"/>
        <v>12.23</v>
      </c>
      <c r="C19" s="22">
        <f>IF(A19="  ","  ",IF(AND(A18="  ",A20="  "),"?",IF(A18="  ",2*(A20-A19),IF(A20="  ",2*(A19-A18),2*(A20-A18)))))</f>
        <v>4</v>
      </c>
      <c r="D19" s="23">
        <f t="shared" si="26"/>
        <v>48.92</v>
      </c>
      <c r="E19" s="24">
        <f t="shared" si="1"/>
        <v>3</v>
      </c>
      <c r="F19" s="23">
        <f t="shared" si="27"/>
        <v>146.76</v>
      </c>
      <c r="G19" s="23">
        <f t="shared" si="28"/>
        <v>440.28</v>
      </c>
      <c r="H19" s="23">
        <f t="shared" si="29"/>
        <v>1829.2765670000001</v>
      </c>
      <c r="I19" s="23">
        <f t="shared" si="30"/>
        <v>7317.1062680000005</v>
      </c>
      <c r="J19" s="4"/>
      <c r="K19" s="37">
        <f t="shared" si="2"/>
        <v>284.57400000000001</v>
      </c>
      <c r="L19" s="23">
        <f t="shared" si="31"/>
        <v>1138.296</v>
      </c>
      <c r="M19" s="38">
        <f t="shared" si="3"/>
        <v>1889.9459999999999</v>
      </c>
      <c r="N19" s="27">
        <f t="shared" si="32"/>
        <v>7559.7839999999997</v>
      </c>
      <c r="O19" s="23">
        <f t="shared" si="33"/>
        <v>3414.8879999999999</v>
      </c>
      <c r="P19" s="4"/>
      <c r="Q19" s="50" t="s">
        <v>55</v>
      </c>
      <c r="R19" s="48" t="s">
        <v>56</v>
      </c>
      <c r="S19">
        <f>IF(Tools!$L$49="Use 141 rule only",I43,IF(Tools!$L$49="Use 141 and 1331 rules",BG20," "))</f>
        <v>194952.12643786415</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12.23</v>
      </c>
      <c r="AQ19" s="34" t="str">
        <f t="shared" ca="1" si="18"/>
        <v>4/3</v>
      </c>
      <c r="AR19" s="23">
        <f t="shared" ca="1" si="19"/>
        <v>16.306666666666665</v>
      </c>
      <c r="AS19" s="24">
        <f t="shared" si="20"/>
        <v>3</v>
      </c>
      <c r="AT19" s="23">
        <f t="shared" ca="1" si="37"/>
        <v>48.919999999999995</v>
      </c>
      <c r="AU19" s="23">
        <f t="shared" ca="1" si="40"/>
        <v>146.76</v>
      </c>
      <c r="AV19" s="23">
        <f t="shared" si="21"/>
        <v>1829.2765670000001</v>
      </c>
      <c r="AW19" s="23">
        <f t="shared" ca="1" si="22"/>
        <v>2439.0354226666668</v>
      </c>
      <c r="AY19" s="35">
        <f t="shared" si="23"/>
        <v>284.57400000000001</v>
      </c>
      <c r="AZ19" s="23">
        <f t="shared" ca="1" si="41"/>
        <v>379.43200000000002</v>
      </c>
      <c r="BA19" s="36">
        <f t="shared" si="25"/>
        <v>1889.9459999999999</v>
      </c>
      <c r="BB19" s="27">
        <f t="shared" ca="1" si="38"/>
        <v>2519.9279999999999</v>
      </c>
      <c r="BC19" s="23">
        <f t="shared" ca="1" si="39"/>
        <v>1138.296</v>
      </c>
      <c r="BE19" s="50" t="s">
        <v>52</v>
      </c>
      <c r="BF19" s="48" t="s">
        <v>53</v>
      </c>
      <c r="BG19" s="49">
        <f>IF(WL_No="  ","  ",V_Disp*1.025*1.006)</f>
        <v>28480.77978232301</v>
      </c>
    </row>
    <row r="20" spans="1:59" x14ac:dyDescent="0.25">
      <c r="A20" s="20">
        <f>Tools!$AD19</f>
        <v>14</v>
      </c>
      <c r="B20" s="33">
        <f t="shared" si="0"/>
        <v>12.07</v>
      </c>
      <c r="C20" s="22">
        <f>IF(A20="  ","  ",IF(AND(A19="  ",A21="  "),"?",IF(A19="  ",1*(A21-A20),IF(A21="  ",1*(A20-A19),1*(A21-A19)))))</f>
        <v>2</v>
      </c>
      <c r="D20" s="23">
        <f t="shared" si="26"/>
        <v>24.14</v>
      </c>
      <c r="E20" s="24">
        <f t="shared" si="1"/>
        <v>4</v>
      </c>
      <c r="F20" s="23">
        <f t="shared" si="27"/>
        <v>96.56</v>
      </c>
      <c r="G20" s="23">
        <f t="shared" si="28"/>
        <v>386.24</v>
      </c>
      <c r="H20" s="23">
        <f t="shared" si="29"/>
        <v>1758.416743</v>
      </c>
      <c r="I20" s="23">
        <f t="shared" si="30"/>
        <v>3516.833486</v>
      </c>
      <c r="J20" s="4"/>
      <c r="K20" s="37">
        <f t="shared" si="2"/>
        <v>259.04399999999998</v>
      </c>
      <c r="L20" s="23">
        <f t="shared" si="31"/>
        <v>518.08799999999997</v>
      </c>
      <c r="M20" s="38">
        <f t="shared" si="3"/>
        <v>1770.174</v>
      </c>
      <c r="N20" s="27">
        <f t="shared" si="32"/>
        <v>3540.348</v>
      </c>
      <c r="O20" s="23">
        <f t="shared" si="33"/>
        <v>2072.3519999999999</v>
      </c>
      <c r="P20" s="4"/>
      <c r="Q20" s="50" t="s">
        <v>57</v>
      </c>
      <c r="R20" s="48" t="s">
        <v>58</v>
      </c>
      <c r="S20">
        <f>IF(Tools!$L$49="Use 141 rule only",I44,IF(Tools!$L$49="Use 141 and 1331 rules",BG21," "))</f>
        <v>-62708.299028639973</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12.07</v>
      </c>
      <c r="AQ20" s="34" t="str">
        <f t="shared" ca="1" si="18"/>
        <v>2/3</v>
      </c>
      <c r="AR20" s="23">
        <f t="shared" ca="1" si="19"/>
        <v>8.0466666666666669</v>
      </c>
      <c r="AS20" s="24">
        <f t="shared" si="20"/>
        <v>4</v>
      </c>
      <c r="AT20" s="23">
        <f t="shared" ca="1" si="37"/>
        <v>32.186666666666667</v>
      </c>
      <c r="AU20" s="23">
        <f t="shared" ca="1" si="40"/>
        <v>128.74666666666667</v>
      </c>
      <c r="AV20" s="23">
        <f t="shared" si="21"/>
        <v>1758.416743</v>
      </c>
      <c r="AW20" s="23">
        <f t="shared" ca="1" si="22"/>
        <v>1172.2778286666667</v>
      </c>
      <c r="AY20" s="35">
        <f t="shared" si="23"/>
        <v>259.04399999999998</v>
      </c>
      <c r="AZ20" s="23">
        <f t="shared" ca="1" si="41"/>
        <v>172.69599999999997</v>
      </c>
      <c r="BA20" s="36">
        <f t="shared" si="25"/>
        <v>1770.174</v>
      </c>
      <c r="BB20" s="27">
        <f t="shared" ca="1" si="38"/>
        <v>1180.116</v>
      </c>
      <c r="BC20" s="23">
        <f t="shared" ca="1" si="39"/>
        <v>690.78399999999988</v>
      </c>
      <c r="BE20" s="50" t="s">
        <v>55</v>
      </c>
      <c r="BF20" s="48" t="s">
        <v>59</v>
      </c>
      <c r="BG20" s="49">
        <f ca="1">IF(WL_No="  ","  ",h*$BB$29)</f>
        <v>194952.12643786409</v>
      </c>
    </row>
    <row r="21" spans="1:59" x14ac:dyDescent="0.25">
      <c r="A21" s="20">
        <f>Tools!$AD20</f>
        <v>15</v>
      </c>
      <c r="B21" s="33">
        <f t="shared" si="0"/>
        <v>11.29</v>
      </c>
      <c r="C21" s="22">
        <f>IF(A21="  ","  ",IF(AND(A20="  ",A22="  "),"?",IF(A20="  ",2*(A22-A21),IF(A22="  ",2*(A21-A20),2*(A22-A20)))))</f>
        <v>4</v>
      </c>
      <c r="D21" s="23">
        <f t="shared" si="26"/>
        <v>45.16</v>
      </c>
      <c r="E21" s="24">
        <f t="shared" si="1"/>
        <v>5</v>
      </c>
      <c r="F21" s="23">
        <f t="shared" si="27"/>
        <v>225.79999999999998</v>
      </c>
      <c r="G21" s="23">
        <f t="shared" si="28"/>
        <v>1129</v>
      </c>
      <c r="H21" s="23">
        <f t="shared" si="29"/>
        <v>1439.0696889999997</v>
      </c>
      <c r="I21" s="23">
        <f t="shared" si="30"/>
        <v>5756.2787559999988</v>
      </c>
      <c r="J21" s="4"/>
      <c r="K21" s="37">
        <f t="shared" si="2"/>
        <v>224.53199999999998</v>
      </c>
      <c r="L21" s="23">
        <f t="shared" si="31"/>
        <v>898.12799999999993</v>
      </c>
      <c r="M21" s="38">
        <f t="shared" si="3"/>
        <v>1574.6832000000004</v>
      </c>
      <c r="N21" s="27">
        <f t="shared" si="32"/>
        <v>6298.7328000000016</v>
      </c>
      <c r="O21" s="23">
        <f t="shared" si="33"/>
        <v>4490.6399999999994</v>
      </c>
      <c r="P21" s="4"/>
      <c r="Q21" s="50" t="s">
        <v>60</v>
      </c>
      <c r="R21" s="48" t="s">
        <v>61</v>
      </c>
      <c r="S21">
        <f>IF(Tools!$L$49="Use 141 rule only",I45,IF(Tools!$L$49="Use 141 and 1331 rules",BG22," "))</f>
        <v>124.72765851045234</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11.29</v>
      </c>
      <c r="AQ21" s="34" t="str">
        <f t="shared" ca="1" si="18"/>
        <v>4/3</v>
      </c>
      <c r="AR21" s="23">
        <f t="shared" ca="1" si="19"/>
        <v>15.053333333333331</v>
      </c>
      <c r="AS21" s="24">
        <f t="shared" si="20"/>
        <v>5</v>
      </c>
      <c r="AT21" s="23">
        <f t="shared" ca="1" si="37"/>
        <v>75.266666666666652</v>
      </c>
      <c r="AU21" s="23">
        <f t="shared" ca="1" si="40"/>
        <v>376.33333333333326</v>
      </c>
      <c r="AV21" s="23">
        <f t="shared" si="21"/>
        <v>1439.0696889999997</v>
      </c>
      <c r="AW21" s="23">
        <f t="shared" ca="1" si="22"/>
        <v>1918.7595853333328</v>
      </c>
      <c r="AY21" s="35">
        <f t="shared" si="23"/>
        <v>224.53199999999998</v>
      </c>
      <c r="AZ21" s="23">
        <f t="shared" ca="1" si="41"/>
        <v>299.37599999999998</v>
      </c>
      <c r="BA21" s="36">
        <f t="shared" si="25"/>
        <v>1574.6832000000004</v>
      </c>
      <c r="BB21" s="27">
        <f t="shared" ca="1" si="38"/>
        <v>2099.5776000000005</v>
      </c>
      <c r="BC21" s="23">
        <f t="shared" ca="1" si="39"/>
        <v>1496.8799999999999</v>
      </c>
      <c r="BE21" s="50" t="s">
        <v>57</v>
      </c>
      <c r="BF21" s="48" t="s">
        <v>62</v>
      </c>
      <c r="BG21" s="49">
        <f ca="1">IF(WL_No="  ","  ",(h^2)*$BC$29)</f>
        <v>-62708.299028639995</v>
      </c>
    </row>
    <row r="22" spans="1:59" x14ac:dyDescent="0.25">
      <c r="A22" s="20">
        <f>Tools!$AD21</f>
        <v>16</v>
      </c>
      <c r="B22" s="33">
        <f t="shared" si="0"/>
        <v>10.199999999999999</v>
      </c>
      <c r="C22" s="22">
        <f>IF(A22="  ","  ",IF(AND(A21="  ",A23="  "),"?",IF(A21="  ",1*(A23-A22),IF(A23="  ",1*(A22-A21),1*(A23-A21)))))</f>
        <v>2</v>
      </c>
      <c r="D22" s="23">
        <f t="shared" si="26"/>
        <v>20.399999999999999</v>
      </c>
      <c r="E22" s="24">
        <f t="shared" si="1"/>
        <v>6</v>
      </c>
      <c r="F22" s="23">
        <f t="shared" si="27"/>
        <v>122.39999999999999</v>
      </c>
      <c r="G22" s="23">
        <f t="shared" si="28"/>
        <v>734.4</v>
      </c>
      <c r="H22" s="23">
        <f t="shared" si="29"/>
        <v>1061.2079999999999</v>
      </c>
      <c r="I22" s="23">
        <f t="shared" si="30"/>
        <v>2122.4159999999997</v>
      </c>
      <c r="J22" s="4"/>
      <c r="K22" s="37">
        <f t="shared" si="2"/>
        <v>182.68799999999999</v>
      </c>
      <c r="L22" s="23">
        <f t="shared" si="31"/>
        <v>365.37599999999998</v>
      </c>
      <c r="M22" s="38">
        <f t="shared" si="3"/>
        <v>1323.3024</v>
      </c>
      <c r="N22" s="27">
        <f t="shared" si="32"/>
        <v>2646.6048000000001</v>
      </c>
      <c r="O22" s="23">
        <f t="shared" si="33"/>
        <v>2192.2559999999999</v>
      </c>
      <c r="P22" s="4"/>
      <c r="Q22" s="50" t="s">
        <v>63</v>
      </c>
      <c r="R22" s="48" t="s">
        <v>64</v>
      </c>
      <c r="S22">
        <f>IF(Tools!$L$49="Use 141 rule only",I46,IF(Tools!$L$49="Use 141 and 1331 rules",BG23," "))</f>
        <v>4.640255403108732</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10.199999999999999</v>
      </c>
      <c r="AQ22" s="34" t="str">
        <f t="shared" ca="1" si="18"/>
        <v>2/3</v>
      </c>
      <c r="AR22" s="23">
        <f t="shared" ca="1" si="19"/>
        <v>6.7999999999999989</v>
      </c>
      <c r="AS22" s="24">
        <f t="shared" si="20"/>
        <v>6</v>
      </c>
      <c r="AT22" s="23">
        <f t="shared" ca="1" si="37"/>
        <v>40.799999999999997</v>
      </c>
      <c r="AU22" s="23">
        <f t="shared" ca="1" si="40"/>
        <v>244.79999999999998</v>
      </c>
      <c r="AV22" s="23">
        <f t="shared" si="21"/>
        <v>1061.2079999999999</v>
      </c>
      <c r="AW22" s="23">
        <f t="shared" ca="1" si="22"/>
        <v>707.47199999999987</v>
      </c>
      <c r="AY22" s="35">
        <f t="shared" si="23"/>
        <v>182.68799999999999</v>
      </c>
      <c r="AZ22" s="23">
        <f t="shared" ca="1" si="41"/>
        <v>121.79199999999999</v>
      </c>
      <c r="BA22" s="36">
        <f t="shared" si="25"/>
        <v>1323.3024</v>
      </c>
      <c r="BB22" s="27">
        <f t="shared" ca="1" si="38"/>
        <v>882.20159999999998</v>
      </c>
      <c r="BC22" s="23">
        <f t="shared" ca="1" si="39"/>
        <v>730.75199999999995</v>
      </c>
      <c r="BE22" s="50" t="s">
        <v>60</v>
      </c>
      <c r="BF22" s="48" t="s">
        <v>61</v>
      </c>
      <c r="BG22" s="49">
        <f>IF(WL_No="  ","  ",IF/V_Disp)</f>
        <v>124.72765851045234</v>
      </c>
    </row>
    <row r="23" spans="1:59" x14ac:dyDescent="0.25">
      <c r="A23" s="20">
        <f>Tools!$AD22</f>
        <v>17</v>
      </c>
      <c r="B23" s="33">
        <f t="shared" si="0"/>
        <v>8.73</v>
      </c>
      <c r="C23" s="22">
        <f>IF(A23="  ","  ",IF(AND(A22="  ",A24="  "),"?",IF(A22="  ",2*(A24-A23),IF(A24="  ",2*(A23-A22),2*(A24-A22)))))</f>
        <v>4</v>
      </c>
      <c r="D23" s="23">
        <f t="shared" si="26"/>
        <v>34.92</v>
      </c>
      <c r="E23" s="24">
        <f t="shared" si="1"/>
        <v>7</v>
      </c>
      <c r="F23" s="23">
        <f t="shared" si="27"/>
        <v>244.44</v>
      </c>
      <c r="G23" s="23">
        <f t="shared" si="28"/>
        <v>1711.08</v>
      </c>
      <c r="H23" s="23">
        <f t="shared" si="29"/>
        <v>665.33861700000011</v>
      </c>
      <c r="I23" s="23">
        <f t="shared" si="30"/>
        <v>2661.3544680000005</v>
      </c>
      <c r="J23" s="4"/>
      <c r="K23" s="37">
        <f t="shared" si="2"/>
        <v>136.64999999999998</v>
      </c>
      <c r="L23" s="23">
        <f t="shared" si="31"/>
        <v>546.59999999999991</v>
      </c>
      <c r="M23" s="38">
        <f t="shared" si="3"/>
        <v>1025.8704000000002</v>
      </c>
      <c r="N23" s="27">
        <f t="shared" si="32"/>
        <v>4103.481600000001</v>
      </c>
      <c r="O23" s="23">
        <f t="shared" si="33"/>
        <v>3826.1999999999994</v>
      </c>
      <c r="P23" s="4"/>
      <c r="Q23" s="50" t="s">
        <v>65</v>
      </c>
      <c r="R23" s="48" t="s">
        <v>66</v>
      </c>
      <c r="S23">
        <f>IF(Tools!$L$49="Use 141 rule only",I47,IF(Tools!$L$49="Use 141 and 1331 rules",BG24," "))</f>
        <v>7.058264791653369</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8.73</v>
      </c>
      <c r="AQ23" s="34" t="str">
        <f t="shared" ca="1" si="18"/>
        <v>4/3</v>
      </c>
      <c r="AR23" s="23">
        <f t="shared" ca="1" si="19"/>
        <v>11.64</v>
      </c>
      <c r="AS23" s="24">
        <f t="shared" si="20"/>
        <v>7</v>
      </c>
      <c r="AT23" s="23">
        <f t="shared" ca="1" si="37"/>
        <v>81.48</v>
      </c>
      <c r="AU23" s="23">
        <f t="shared" ca="1" si="40"/>
        <v>570.36</v>
      </c>
      <c r="AV23" s="23">
        <f t="shared" si="21"/>
        <v>665.33861700000011</v>
      </c>
      <c r="AW23" s="23">
        <f t="shared" ca="1" si="22"/>
        <v>887.11815600000011</v>
      </c>
      <c r="AY23" s="35">
        <f t="shared" si="23"/>
        <v>136.64999999999998</v>
      </c>
      <c r="AZ23" s="23">
        <f t="shared" ca="1" si="41"/>
        <v>182.19999999999996</v>
      </c>
      <c r="BA23" s="36">
        <f t="shared" si="25"/>
        <v>1025.8704000000002</v>
      </c>
      <c r="BB23" s="27">
        <f t="shared" ca="1" si="38"/>
        <v>1367.8272000000002</v>
      </c>
      <c r="BC23" s="23">
        <f t="shared" ca="1" si="39"/>
        <v>1275.3999999999996</v>
      </c>
      <c r="BE23" s="50" t="s">
        <v>63</v>
      </c>
      <c r="BF23" s="48" t="s">
        <v>64</v>
      </c>
      <c r="BG23" s="49">
        <f>IF(WL_No="  ","  ",IT/V_Disp)</f>
        <v>4.640255403108732</v>
      </c>
    </row>
    <row r="24" spans="1:59" x14ac:dyDescent="0.25">
      <c r="A24" s="20">
        <f>Tools!$AD23</f>
        <v>18</v>
      </c>
      <c r="B24" s="33">
        <f t="shared" si="0"/>
        <v>6.84</v>
      </c>
      <c r="C24" s="22">
        <f>IF(A24="  ","  ",IF(AND(A23="  ",A25="  "),"?",IF(A23="  ",1*(A25-A24),IF(A25="  ",1*(A24-A23),1*(A25-A23)))))</f>
        <v>1.5</v>
      </c>
      <c r="D24" s="23">
        <f t="shared" si="26"/>
        <v>10.26</v>
      </c>
      <c r="E24" s="24">
        <f t="shared" si="1"/>
        <v>8</v>
      </c>
      <c r="F24" s="23">
        <f t="shared" si="27"/>
        <v>82.08</v>
      </c>
      <c r="G24" s="23">
        <f t="shared" si="28"/>
        <v>656.64</v>
      </c>
      <c r="H24" s="23">
        <f t="shared" si="29"/>
        <v>320.01350399999995</v>
      </c>
      <c r="I24" s="23">
        <f t="shared" si="30"/>
        <v>480.0202559999999</v>
      </c>
      <c r="J24" s="4"/>
      <c r="K24" s="37">
        <f t="shared" si="2"/>
        <v>91.159500000000008</v>
      </c>
      <c r="L24" s="23">
        <f t="shared" si="31"/>
        <v>136.73925000000003</v>
      </c>
      <c r="M24" s="38">
        <f t="shared" si="3"/>
        <v>704.529225</v>
      </c>
      <c r="N24" s="27">
        <f t="shared" si="32"/>
        <v>1056.7938374999999</v>
      </c>
      <c r="O24" s="23">
        <f t="shared" si="33"/>
        <v>1093.9140000000002</v>
      </c>
      <c r="P24" s="4"/>
      <c r="Q24" s="50" t="s">
        <v>67</v>
      </c>
      <c r="R24" s="48" t="s">
        <v>68</v>
      </c>
      <c r="S24">
        <f>IF(Tools!$L$49="Use 141 rule only",I48,IF(Tools!$L$49="Use 141 and 1331 rules",BG25," "))</f>
        <v>11.6985201947621</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6.84</v>
      </c>
      <c r="AQ24" s="34" t="str">
        <f t="shared" ca="1" si="18"/>
        <v>(1/2)*(1/3)+1/3</v>
      </c>
      <c r="AR24" s="23">
        <f t="shared" ca="1" si="19"/>
        <v>3.42</v>
      </c>
      <c r="AS24" s="24">
        <f t="shared" si="20"/>
        <v>8</v>
      </c>
      <c r="AT24" s="23">
        <f t="shared" ca="1" si="37"/>
        <v>27.36</v>
      </c>
      <c r="AU24" s="23">
        <f t="shared" ca="1" si="40"/>
        <v>218.88</v>
      </c>
      <c r="AV24" s="23">
        <f t="shared" si="21"/>
        <v>320.01350399999995</v>
      </c>
      <c r="AW24" s="23">
        <f t="shared" ca="1" si="22"/>
        <v>160.00675199999998</v>
      </c>
      <c r="AY24" s="35">
        <f t="shared" si="23"/>
        <v>91.159500000000008</v>
      </c>
      <c r="AZ24" s="23">
        <f t="shared" ca="1" si="41"/>
        <v>45.579750000000004</v>
      </c>
      <c r="BA24" s="36">
        <f t="shared" si="25"/>
        <v>704.529225</v>
      </c>
      <c r="BB24" s="27">
        <f t="shared" ca="1" si="38"/>
        <v>352.2646125</v>
      </c>
      <c r="BC24" s="23">
        <f t="shared" ca="1" si="39"/>
        <v>364.63800000000003</v>
      </c>
      <c r="BE24" s="50" t="s">
        <v>65</v>
      </c>
      <c r="BF24" s="48" t="s">
        <v>66</v>
      </c>
      <c r="BG24" s="49">
        <f>IF(WL_No="  ","  ",MT/V_Disp)</f>
        <v>7.058264791653369</v>
      </c>
    </row>
    <row r="25" spans="1:59" x14ac:dyDescent="0.25">
      <c r="A25" s="20">
        <f>Tools!$AD24</f>
        <v>18.5</v>
      </c>
      <c r="B25" s="33">
        <f t="shared" si="0"/>
        <v>5.71</v>
      </c>
      <c r="C25" s="22">
        <f>IF(A25="  ","  ",IF(AND(A24="  ",A26="  "),"?",IF(A24="  ",2*(A26-A25),IF(A26="  ",2*(A25-A24),2*(A26-A24)))))</f>
        <v>2</v>
      </c>
      <c r="D25" s="23">
        <f t="shared" si="26"/>
        <v>11.42</v>
      </c>
      <c r="E25" s="24">
        <f t="shared" si="1"/>
        <v>8.5</v>
      </c>
      <c r="F25" s="23">
        <f t="shared" si="27"/>
        <v>97.07</v>
      </c>
      <c r="G25" s="23">
        <f t="shared" si="28"/>
        <v>825.09499999999991</v>
      </c>
      <c r="H25" s="23">
        <f t="shared" si="29"/>
        <v>186.16941100000003</v>
      </c>
      <c r="I25" s="23">
        <f t="shared" si="30"/>
        <v>372.33882200000005</v>
      </c>
      <c r="J25" s="4"/>
      <c r="K25" s="37">
        <f t="shared" si="2"/>
        <v>70.050200000000004</v>
      </c>
      <c r="L25" s="23">
        <f t="shared" si="31"/>
        <v>140.10040000000001</v>
      </c>
      <c r="M25" s="38">
        <f t="shared" si="3"/>
        <v>547.10741133333329</v>
      </c>
      <c r="N25" s="27">
        <f t="shared" si="32"/>
        <v>1094.2148226666666</v>
      </c>
      <c r="O25" s="23">
        <f t="shared" si="33"/>
        <v>1190.8534</v>
      </c>
      <c r="P25" s="4"/>
      <c r="Q25" s="50" t="s">
        <v>69</v>
      </c>
      <c r="R25" s="48" t="s">
        <v>70</v>
      </c>
      <c r="S25">
        <f>IF(Tools!$L$49="Use 141 rule only",I49,IF(Tools!$L$49="Use 141 and 1331 rules",BG26," "))</f>
        <v>131.78592330210572</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5.71</v>
      </c>
      <c r="AQ25" s="34" t="str">
        <f t="shared" ca="1" si="18"/>
        <v>(1/2)*(4/3)</v>
      </c>
      <c r="AR25" s="23">
        <f t="shared" ca="1" si="19"/>
        <v>3.8066666666666666</v>
      </c>
      <c r="AS25" s="24">
        <f t="shared" si="20"/>
        <v>8.5</v>
      </c>
      <c r="AT25" s="23">
        <f t="shared" ca="1" si="37"/>
        <v>32.356666666666669</v>
      </c>
      <c r="AU25" s="23">
        <f t="shared" ca="1" si="40"/>
        <v>275.03166666666669</v>
      </c>
      <c r="AV25" s="23">
        <f t="shared" si="21"/>
        <v>186.16941100000003</v>
      </c>
      <c r="AW25" s="23">
        <f t="shared" ca="1" si="22"/>
        <v>124.11294066666667</v>
      </c>
      <c r="AY25" s="35">
        <f t="shared" si="23"/>
        <v>70.050200000000004</v>
      </c>
      <c r="AZ25" s="23">
        <f t="shared" ca="1" si="41"/>
        <v>46.700133333333333</v>
      </c>
      <c r="BA25" s="36">
        <f t="shared" si="25"/>
        <v>547.10741133333329</v>
      </c>
      <c r="BB25" s="27">
        <f t="shared" ca="1" si="38"/>
        <v>364.73827422222217</v>
      </c>
      <c r="BC25" s="23">
        <f t="shared" ca="1" si="39"/>
        <v>396.95113333333336</v>
      </c>
      <c r="BE25" s="50" t="s">
        <v>67</v>
      </c>
      <c r="BF25" s="48" t="s">
        <v>68</v>
      </c>
      <c r="BG25" s="49">
        <f>IF(WL_No="  ","  ",KB+BMT)</f>
        <v>11.6985201947621</v>
      </c>
    </row>
    <row r="26" spans="1:59" x14ac:dyDescent="0.25">
      <c r="A26" s="20">
        <f>Tools!$AD25</f>
        <v>19</v>
      </c>
      <c r="B26" s="33">
        <f t="shared" si="0"/>
        <v>4.42</v>
      </c>
      <c r="C26" s="22">
        <f>IF(A26="  ","  ",IF(AND(A25="  ",A27="  "),"?",IF(A25="  ",1*(A27-A26),IF(A27="  ",1*(A26-A25),1*(A27-A25)))))</f>
        <v>1</v>
      </c>
      <c r="D26" s="23">
        <f t="shared" si="26"/>
        <v>4.42</v>
      </c>
      <c r="E26" s="24">
        <f t="shared" si="1"/>
        <v>9</v>
      </c>
      <c r="F26" s="23">
        <f t="shared" si="27"/>
        <v>39.78</v>
      </c>
      <c r="G26" s="23">
        <f t="shared" si="28"/>
        <v>358.02</v>
      </c>
      <c r="H26" s="23">
        <f t="shared" si="29"/>
        <v>86.350887999999998</v>
      </c>
      <c r="I26" s="23">
        <f t="shared" si="30"/>
        <v>86.350887999999998</v>
      </c>
      <c r="J26" s="4"/>
      <c r="K26" s="37">
        <f t="shared" si="2"/>
        <v>51.501599999999996</v>
      </c>
      <c r="L26" s="23">
        <f t="shared" si="31"/>
        <v>51.501599999999996</v>
      </c>
      <c r="M26" s="38">
        <f t="shared" si="3"/>
        <v>399.34660200000008</v>
      </c>
      <c r="N26" s="27">
        <f t="shared" si="32"/>
        <v>399.34660200000008</v>
      </c>
      <c r="O26" s="23">
        <f t="shared" si="33"/>
        <v>463.51439999999997</v>
      </c>
      <c r="P26" s="4"/>
      <c r="Q26" s="50" t="s">
        <v>71</v>
      </c>
      <c r="R26" s="48" t="s">
        <v>72</v>
      </c>
      <c r="S26">
        <f>IF(Tools!$L$49="Use 141 rule only",I50,IF(Tools!$L$49="Use 141 and 1331 rules",BG27," "))</f>
        <v>29.334545212499982</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4.42</v>
      </c>
      <c r="AQ26" s="34" t="str">
        <f t="shared" ca="1" si="18"/>
        <v>(1/2)*(2/3)</v>
      </c>
      <c r="AR26" s="23">
        <f t="shared" ca="1" si="19"/>
        <v>1.4733333333333332</v>
      </c>
      <c r="AS26" s="24">
        <f t="shared" si="20"/>
        <v>9</v>
      </c>
      <c r="AT26" s="23">
        <f t="shared" ca="1" si="37"/>
        <v>13.259999999999998</v>
      </c>
      <c r="AU26" s="23">
        <f t="shared" ca="1" si="40"/>
        <v>119.33999999999997</v>
      </c>
      <c r="AV26" s="23">
        <f t="shared" si="21"/>
        <v>86.350887999999998</v>
      </c>
      <c r="AW26" s="23">
        <f t="shared" ca="1" si="22"/>
        <v>28.78362933333333</v>
      </c>
      <c r="AY26" s="35">
        <f t="shared" si="23"/>
        <v>51.501599999999996</v>
      </c>
      <c r="AZ26" s="23">
        <f t="shared" ca="1" si="41"/>
        <v>17.167199999999998</v>
      </c>
      <c r="BA26" s="36">
        <f t="shared" si="25"/>
        <v>399.34660200000008</v>
      </c>
      <c r="BB26" s="27">
        <f t="shared" ca="1" si="38"/>
        <v>133.11553400000003</v>
      </c>
      <c r="BC26" s="23">
        <f t="shared" ca="1" si="39"/>
        <v>154.50479999999999</v>
      </c>
      <c r="BE26" s="50" t="s">
        <v>69</v>
      </c>
      <c r="BF26" s="48" t="s">
        <v>70</v>
      </c>
      <c r="BG26" s="49">
        <f>IF(WL_No="  ","  ",KB+BML)</f>
        <v>131.78592330210572</v>
      </c>
    </row>
    <row r="27" spans="1:59" x14ac:dyDescent="0.25">
      <c r="A27" s="20">
        <f>Tools!$AD26</f>
        <v>19.5</v>
      </c>
      <c r="B27" s="33">
        <f t="shared" si="0"/>
        <v>2.79</v>
      </c>
      <c r="C27" s="22">
        <f>IF(A27="  ","  ",IF(AND(A26="  ",A28="  "),"?",IF(A26="  ",2*(A28-A27),IF(A28="  ",2*(A27-A26),2*(A28-A26)))))</f>
        <v>2</v>
      </c>
      <c r="D27" s="23">
        <f t="shared" si="26"/>
        <v>5.58</v>
      </c>
      <c r="E27" s="24">
        <f t="shared" si="1"/>
        <v>9.5</v>
      </c>
      <c r="F27" s="23">
        <f t="shared" si="27"/>
        <v>53.01</v>
      </c>
      <c r="G27" s="23">
        <f t="shared" si="28"/>
        <v>503.59499999999997</v>
      </c>
      <c r="H27" s="23">
        <f t="shared" si="29"/>
        <v>21.717639000000002</v>
      </c>
      <c r="I27" s="23">
        <f t="shared" si="30"/>
        <v>43.435278000000004</v>
      </c>
      <c r="J27" s="4"/>
      <c r="K27" s="37">
        <f t="shared" si="2"/>
        <v>34.036000000000001</v>
      </c>
      <c r="L27" s="23">
        <f t="shared" si="31"/>
        <v>68.072000000000003</v>
      </c>
      <c r="M27" s="38">
        <f t="shared" si="3"/>
        <v>252.75973333333334</v>
      </c>
      <c r="N27" s="27">
        <f t="shared" si="32"/>
        <v>505.51946666666669</v>
      </c>
      <c r="O27" s="23">
        <f t="shared" si="33"/>
        <v>646.68399999999997</v>
      </c>
      <c r="P27" s="4"/>
      <c r="Q27" s="50" t="s">
        <v>73</v>
      </c>
      <c r="R27" s="48" t="s">
        <v>74</v>
      </c>
      <c r="S27">
        <f>IF(Tools!$L$49="Use 141 rule only",I51,IF(Tools!$L$49="Use 141 and 1331 rules",BG28," "))</f>
        <v>-2.2703613818718282</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2.79</v>
      </c>
      <c r="AQ27" s="34" t="str">
        <f t="shared" ca="1" si="18"/>
        <v>(1/2)*(4/3)</v>
      </c>
      <c r="AR27" s="23">
        <f t="shared" ca="1" si="19"/>
        <v>1.8599999999999999</v>
      </c>
      <c r="AS27" s="24">
        <f t="shared" si="20"/>
        <v>9.5</v>
      </c>
      <c r="AT27" s="23">
        <f t="shared" ca="1" si="37"/>
        <v>17.669999999999998</v>
      </c>
      <c r="AU27" s="23">
        <f t="shared" ca="1" si="40"/>
        <v>167.86499999999998</v>
      </c>
      <c r="AV27" s="23">
        <f t="shared" si="21"/>
        <v>21.717639000000002</v>
      </c>
      <c r="AW27" s="23">
        <f t="shared" ca="1" si="22"/>
        <v>14.478426000000001</v>
      </c>
      <c r="AY27" s="35">
        <f t="shared" si="23"/>
        <v>34.036000000000001</v>
      </c>
      <c r="AZ27" s="23">
        <f t="shared" ca="1" si="41"/>
        <v>22.690666666666665</v>
      </c>
      <c r="BA27" s="36">
        <f t="shared" si="25"/>
        <v>252.75973333333334</v>
      </c>
      <c r="BB27" s="27">
        <f t="shared" ca="1" si="38"/>
        <v>168.5064888888889</v>
      </c>
      <c r="BC27" s="23">
        <f t="shared" ca="1" si="39"/>
        <v>215.56133333333332</v>
      </c>
      <c r="BE27" s="50" t="s">
        <v>71</v>
      </c>
      <c r="BF27" s="48" t="s">
        <v>72</v>
      </c>
      <c r="BG27" s="49">
        <f>IF(WL_No="  ","  ",AWP*1.025/100)</f>
        <v>29.334545212499982</v>
      </c>
    </row>
    <row r="28" spans="1:59" ht="15.75" thickBot="1" x14ac:dyDescent="0.3">
      <c r="A28" s="20">
        <f>Tools!$AD27</f>
        <v>20</v>
      </c>
      <c r="B28" s="52">
        <f t="shared" si="0"/>
        <v>0.85</v>
      </c>
      <c r="C28" s="22">
        <f>IF(A28="  ","  ",IF(A27="  ","?",1*(A28-A27)))</f>
        <v>0.5</v>
      </c>
      <c r="D28" s="53">
        <f t="shared" si="26"/>
        <v>0.42499999999999999</v>
      </c>
      <c r="E28" s="24">
        <f t="shared" si="1"/>
        <v>10</v>
      </c>
      <c r="F28" s="53">
        <f t="shared" si="27"/>
        <v>4.25</v>
      </c>
      <c r="G28" s="53">
        <f t="shared" si="28"/>
        <v>42.5</v>
      </c>
      <c r="H28" s="23">
        <f t="shared" si="29"/>
        <v>0.61412499999999992</v>
      </c>
      <c r="I28" s="53">
        <f t="shared" si="30"/>
        <v>0.30706249999999996</v>
      </c>
      <c r="J28" s="4"/>
      <c r="K28" s="35">
        <f t="shared" si="2"/>
        <v>15.648999999999999</v>
      </c>
      <c r="L28" s="53">
        <f t="shared" si="31"/>
        <v>7.8244999999999996</v>
      </c>
      <c r="M28" s="36">
        <f t="shared" si="3"/>
        <v>96.824766666666676</v>
      </c>
      <c r="N28" s="54">
        <f t="shared" si="32"/>
        <v>48.412383333333338</v>
      </c>
      <c r="O28" s="53">
        <f t="shared" si="33"/>
        <v>78.24499999999999</v>
      </c>
      <c r="P28" s="4"/>
      <c r="Q28" s="50" t="s">
        <v>75</v>
      </c>
      <c r="R28" s="55" t="s">
        <v>76</v>
      </c>
      <c r="S28">
        <f>IF(Tools!$L$49="Use 141 rule only",I52,IF(Tools!$L$49="Use 141 and 1331 rules",BG29," "))</f>
        <v>269.72976270318759</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0.85</v>
      </c>
      <c r="AQ28" s="34" t="str">
        <f t="shared" ca="1" si="18"/>
        <v>(1/2)*(1/3)</v>
      </c>
      <c r="AR28" s="23">
        <f t="shared" ca="1" si="19"/>
        <v>0.14166666666666666</v>
      </c>
      <c r="AS28" s="24">
        <f t="shared" si="20"/>
        <v>10</v>
      </c>
      <c r="AT28" s="53">
        <f t="shared" ca="1" si="37"/>
        <v>1.4166666666666665</v>
      </c>
      <c r="AU28" s="53">
        <f t="shared" ca="1" si="40"/>
        <v>14.166666666666664</v>
      </c>
      <c r="AV28" s="23">
        <f t="shared" si="21"/>
        <v>0.61412499999999992</v>
      </c>
      <c r="AW28" s="23">
        <f t="shared" ca="1" si="22"/>
        <v>0.10235416666666665</v>
      </c>
      <c r="AY28" s="35">
        <f t="shared" si="23"/>
        <v>15.648999999999999</v>
      </c>
      <c r="AZ28" s="23">
        <f t="shared" ca="1" si="41"/>
        <v>2.6081666666666665</v>
      </c>
      <c r="BA28" s="36">
        <f t="shared" si="25"/>
        <v>96.824766666666676</v>
      </c>
      <c r="BB28" s="27">
        <f t="shared" ca="1" si="38"/>
        <v>16.137461111111111</v>
      </c>
      <c r="BC28" s="53">
        <f t="shared" ca="1" si="39"/>
        <v>26.081666666666663</v>
      </c>
      <c r="BE28" s="50" t="s">
        <v>73</v>
      </c>
      <c r="BF28" s="48" t="s">
        <v>74</v>
      </c>
      <c r="BG28" s="49">
        <f>IF(WL_No="  ","  ",ML/V_Disp)</f>
        <v>-2.2703613818718282</v>
      </c>
    </row>
    <row r="29" spans="1:59" ht="15.75" thickBot="1" x14ac:dyDescent="0.3">
      <c r="A29" s="56" t="s">
        <v>77</v>
      </c>
      <c r="B29" s="56"/>
      <c r="C29" s="56"/>
      <c r="D29" s="57">
        <f>SUM(D4:D28)</f>
        <v>651.91499999999985</v>
      </c>
      <c r="E29" s="42"/>
      <c r="F29" s="58">
        <f>SUM(F4:F28)</f>
        <v>-562.76</v>
      </c>
      <c r="G29" s="58">
        <f>SUM(G4:G28)</f>
        <v>18583.22</v>
      </c>
      <c r="H29" s="42"/>
      <c r="I29" s="58">
        <f>SUM(I4:I28)</f>
        <v>87584.781175500015</v>
      </c>
      <c r="J29" s="4"/>
      <c r="K29" s="42"/>
      <c r="L29" s="58">
        <f>SUM(L4:L28)</f>
        <v>12583.327650000001</v>
      </c>
      <c r="M29" s="42"/>
      <c r="N29" s="58">
        <f>SUM(N4:N28)</f>
        <v>88816.458513833335</v>
      </c>
      <c r="O29" s="58">
        <f>SUM(O4:O28)</f>
        <v>-4338.4511999999995</v>
      </c>
      <c r="P29" s="4"/>
      <c r="Q29" s="50" t="s">
        <v>78</v>
      </c>
      <c r="R29" s="48" t="s">
        <v>79</v>
      </c>
      <c r="S29">
        <f>IF(Tools!$L$49="Use 141 rule only",I53,IF(Tools!$L$49="Use 141 and 1331 rules",BG30," "))</f>
        <v>12.6</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217.30500000000004</v>
      </c>
      <c r="AS29" s="42"/>
      <c r="AT29" s="58">
        <f ca="1">SUM(AT4:AT28)</f>
        <v>-187.58666666666659</v>
      </c>
      <c r="AU29" s="58">
        <f ca="1">SUM(AU4:AU28)</f>
        <v>6194.4066666666658</v>
      </c>
      <c r="AV29" s="42"/>
      <c r="AW29" s="58">
        <f ca="1">SUM(AW4:AW28)</f>
        <v>29194.927058500005</v>
      </c>
      <c r="AY29" s="42"/>
      <c r="AZ29" s="58">
        <f ca="1">SUM(AZ4:AZ28)</f>
        <v>4194.4425500000007</v>
      </c>
      <c r="BA29" s="42"/>
      <c r="BB29" s="58">
        <f ca="1">SUM(BB4:BB28)</f>
        <v>29605.486171277771</v>
      </c>
      <c r="BC29" s="58">
        <f ca="1">SUM(BC4:BC28)</f>
        <v>-1446.1504000000002</v>
      </c>
      <c r="BE29" s="50" t="s">
        <v>75</v>
      </c>
      <c r="BF29" s="55" t="s">
        <v>76</v>
      </c>
      <c r="BG29" s="49">
        <f ca="1">IF(WL_No="  ","  ",M_Disp*BML/100/BG8)</f>
        <v>269.72976270318759</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0.88695918367346904</v>
      </c>
      <c r="AA30" s="60"/>
      <c r="AB30" s="60"/>
      <c r="BE30" s="50" t="s">
        <v>78</v>
      </c>
      <c r="BF30" s="48" t="s">
        <v>79</v>
      </c>
      <c r="BG30" s="49">
        <f>IF(WL_No="  ","  ",WLS*WL_No)</f>
        <v>12.6</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0.67937197116942027</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0.88695918367346904</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0.9784062196307094</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0.67937197116942027</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0.69436595714389782</v>
      </c>
      <c r="AF33" s="63"/>
      <c r="AG33" s="63"/>
      <c r="AH33" s="63">
        <f ca="1">Long_Div-AH32</f>
        <v>20</v>
      </c>
      <c r="AI33" s="63"/>
      <c r="AJ33" s="63">
        <f ca="1">AJ32+AJ31</f>
        <v>0</v>
      </c>
      <c r="BE33" s="50" t="s">
        <v>85</v>
      </c>
      <c r="BF33" s="48" t="s">
        <v>86</v>
      </c>
      <c r="BG33" s="65">
        <f>IFERROR(IF(WL_No="  ","  ",(VLOOKUP(Long_Div/2,AREA_TABLE,Count_WL+1,FALSE))/(B_current*T)),"-")</f>
        <v>0.9784062196307094</v>
      </c>
    </row>
    <row r="34" spans="1:59" x14ac:dyDescent="0.25">
      <c r="G34" s="45"/>
      <c r="H34" s="46"/>
      <c r="I34" s="507"/>
      <c r="BE34" s="50" t="s">
        <v>88</v>
      </c>
      <c r="BF34" s="48" t="s">
        <v>89</v>
      </c>
      <c r="BG34" s="49">
        <f>IF(WL_No="  ","  ",CB/CM)</f>
        <v>0.69436595714389782</v>
      </c>
    </row>
    <row r="35" spans="1:59" x14ac:dyDescent="0.25">
      <c r="G35" s="47" t="s">
        <v>34</v>
      </c>
      <c r="H35" s="48" t="s">
        <v>35</v>
      </c>
      <c r="I35" s="49">
        <f>IF(WL_No="  ","  ",2/3*h*$D$29)</f>
        <v>2861.9068499999985</v>
      </c>
    </row>
    <row r="36" spans="1:59" x14ac:dyDescent="0.25">
      <c r="G36" s="47" t="s">
        <v>36</v>
      </c>
      <c r="H36" s="48" t="s">
        <v>37</v>
      </c>
      <c r="I36" s="49">
        <f>IF(WL_No="  ","  ",2/3*(h^2)*$F$29)</f>
        <v>-16268.350493999995</v>
      </c>
    </row>
    <row r="37" spans="1:59" x14ac:dyDescent="0.25">
      <c r="G37" s="50" t="s">
        <v>39</v>
      </c>
      <c r="H37" s="48" t="s">
        <v>40</v>
      </c>
      <c r="I37" s="49">
        <f>IF(WL_No="  ","  ",Mmid/AWP)</f>
        <v>-5.6844444444444457</v>
      </c>
    </row>
    <row r="38" spans="1:59" x14ac:dyDescent="0.25">
      <c r="G38" s="50" t="s">
        <v>42</v>
      </c>
      <c r="H38" s="48" t="s">
        <v>43</v>
      </c>
      <c r="I38" s="49">
        <f>IF(WL_No="  ","  ",2/3*(h^3)*$G$29)</f>
        <v>3537504.8765351535</v>
      </c>
    </row>
    <row r="39" spans="1:59" x14ac:dyDescent="0.25">
      <c r="G39" s="51" t="s">
        <v>44</v>
      </c>
      <c r="H39" s="48" t="s">
        <v>45</v>
      </c>
      <c r="I39" s="49">
        <f>IF(WL_No="  ","  ",2/9*h*$I$29)</f>
        <v>128165.72978681501</v>
      </c>
    </row>
    <row r="40" spans="1:59" x14ac:dyDescent="0.25">
      <c r="G40" s="50" t="s">
        <v>47</v>
      </c>
      <c r="H40" s="48" t="s">
        <v>48</v>
      </c>
      <c r="I40" s="49">
        <f>IF(WL_No="  ","  ",IL-AWP*(LCF^2))</f>
        <v>3445028.3419492603</v>
      </c>
    </row>
    <row r="41" spans="1:59" x14ac:dyDescent="0.25">
      <c r="G41" s="50" t="s">
        <v>50</v>
      </c>
      <c r="H41" s="48" t="s">
        <v>51</v>
      </c>
      <c r="I41" s="49">
        <f>IF(WL_No="  ","  ",h/3*$L$29)</f>
        <v>27620.40419175</v>
      </c>
    </row>
    <row r="42" spans="1:59" x14ac:dyDescent="0.25">
      <c r="G42" s="50" t="s">
        <v>52</v>
      </c>
      <c r="H42" s="48" t="s">
        <v>53</v>
      </c>
      <c r="I42" s="49">
        <f>IF(WL_No="  ","  ",V_Disp*1.025*1.006)</f>
        <v>28480.77978232301</v>
      </c>
    </row>
    <row r="43" spans="1:59" x14ac:dyDescent="0.25">
      <c r="G43" s="50" t="s">
        <v>55</v>
      </c>
      <c r="H43" s="48" t="s">
        <v>56</v>
      </c>
      <c r="I43" s="49">
        <f>IF(WL_No="  ","  ",h/3*$N$29)</f>
        <v>194952.12643786415</v>
      </c>
    </row>
    <row r="44" spans="1:59" x14ac:dyDescent="0.25">
      <c r="G44" s="50" t="s">
        <v>57</v>
      </c>
      <c r="H44" s="48" t="s">
        <v>58</v>
      </c>
      <c r="I44" s="49">
        <f>IF(WL_No="  ","  ",(h^2)/3*$O$29)</f>
        <v>-62708.299028639973</v>
      </c>
    </row>
    <row r="45" spans="1:59" x14ac:dyDescent="0.25">
      <c r="G45" s="50" t="s">
        <v>60</v>
      </c>
      <c r="H45" s="48" t="s">
        <v>61</v>
      </c>
      <c r="I45" s="49">
        <f>IF(WL_No="  ","  ",IF/V_Disp)</f>
        <v>124.72765851045234</v>
      </c>
    </row>
    <row r="46" spans="1:59" x14ac:dyDescent="0.25">
      <c r="G46" s="50" t="s">
        <v>63</v>
      </c>
      <c r="H46" s="48" t="s">
        <v>64</v>
      </c>
      <c r="I46" s="49">
        <f>IF(WL_No="  ","  ",IT/V_Disp)</f>
        <v>4.640255403108732</v>
      </c>
    </row>
    <row r="47" spans="1:59" x14ac:dyDescent="0.25">
      <c r="G47" s="50" t="s">
        <v>65</v>
      </c>
      <c r="H47" s="48" t="s">
        <v>66</v>
      </c>
      <c r="I47" s="49">
        <f>IF(WL_No="  ","  ",MT/V_Disp)</f>
        <v>7.058264791653369</v>
      </c>
    </row>
    <row r="48" spans="1:59" x14ac:dyDescent="0.25">
      <c r="G48" s="50" t="s">
        <v>67</v>
      </c>
      <c r="H48" s="48" t="s">
        <v>68</v>
      </c>
      <c r="I48" s="49">
        <f>IF(WL_No="  ","  ",KB+BMT)</f>
        <v>11.6985201947621</v>
      </c>
    </row>
    <row r="49" spans="7:9" x14ac:dyDescent="0.25">
      <c r="G49" s="50" t="s">
        <v>69</v>
      </c>
      <c r="H49" s="48" t="s">
        <v>70</v>
      </c>
      <c r="I49" s="49">
        <f>IF(WL_No="  ","  ",KB+BML)</f>
        <v>131.78592330210572</v>
      </c>
    </row>
    <row r="50" spans="7:9" x14ac:dyDescent="0.25">
      <c r="G50" s="50" t="s">
        <v>71</v>
      </c>
      <c r="H50" s="48" t="s">
        <v>72</v>
      </c>
      <c r="I50" s="49">
        <f>IF(WL_No="  ","  ",AWP*1.025/100)</f>
        <v>29.334545212499982</v>
      </c>
    </row>
    <row r="51" spans="7:9" x14ac:dyDescent="0.25">
      <c r="G51" s="50" t="s">
        <v>73</v>
      </c>
      <c r="H51" s="48" t="s">
        <v>74</v>
      </c>
      <c r="I51" s="49">
        <f>IF(WL_No="  ","  ",ML/V_Disp)</f>
        <v>-2.2703613818718282</v>
      </c>
    </row>
    <row r="52" spans="7:9" x14ac:dyDescent="0.25">
      <c r="G52" s="50" t="s">
        <v>75</v>
      </c>
      <c r="H52" s="55" t="s">
        <v>76</v>
      </c>
      <c r="I52" s="49">
        <f>IF(WL_No="  ","  ",M_Disp*BML/100/LBP)</f>
        <v>269.72976270318759</v>
      </c>
    </row>
    <row r="53" spans="7:9" x14ac:dyDescent="0.25">
      <c r="G53" s="50" t="s">
        <v>78</v>
      </c>
      <c r="H53" s="48" t="s">
        <v>79</v>
      </c>
      <c r="I53" s="49">
        <f>IF(WL_No="  ","  ",WLS*WL_No)</f>
        <v>12.6</v>
      </c>
    </row>
    <row r="54" spans="7:9" x14ac:dyDescent="0.25">
      <c r="G54" s="50" t="s">
        <v>80</v>
      </c>
      <c r="H54" s="48" t="s">
        <v>81</v>
      </c>
      <c r="I54" s="49">
        <f>IF(WL_No="  ","  ",AWP/(LBP*B_current))</f>
        <v>0.88695918367346904</v>
      </c>
    </row>
    <row r="55" spans="7:9" x14ac:dyDescent="0.25">
      <c r="G55" s="50" t="s">
        <v>82</v>
      </c>
      <c r="H55" s="48" t="s">
        <v>83</v>
      </c>
      <c r="I55" s="49">
        <f>IF(WL_No="  ","  ",V_Disp/(LBP*B_current*T))</f>
        <v>0.67937197116942027</v>
      </c>
    </row>
    <row r="56" spans="7:9" x14ac:dyDescent="0.25">
      <c r="G56" s="50" t="s">
        <v>85</v>
      </c>
      <c r="H56" s="48" t="s">
        <v>86</v>
      </c>
      <c r="I56" s="65">
        <f>IF(WL_No="  ","  ",(VLOOKUP(Long_Div/2,AREA_TABLE,Count_WL+1,FALSE))/(B_current*T))</f>
        <v>0.9784062196307094</v>
      </c>
    </row>
    <row r="57" spans="7:9" x14ac:dyDescent="0.25">
      <c r="G57" s="50" t="s">
        <v>88</v>
      </c>
      <c r="H57" s="48" t="s">
        <v>89</v>
      </c>
      <c r="I57" s="49">
        <f>IF(WL_No="  ","  ",CB/CM)</f>
        <v>0.69436595714389782</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69" priority="14">
      <formula>ISERROR(A1)</formula>
    </cfRule>
  </conditionalFormatting>
  <conditionalFormatting sqref="G33:I34 G35:H57">
    <cfRule type="containsErrors" dxfId="268" priority="13">
      <formula>ISERROR(G33)</formula>
    </cfRule>
  </conditionalFormatting>
  <conditionalFormatting sqref="T12:T33">
    <cfRule type="containsErrors" dxfId="267" priority="12">
      <formula>ISERROR(T12)</formula>
    </cfRule>
  </conditionalFormatting>
  <conditionalFormatting sqref="I35:I57">
    <cfRule type="containsErrors" dxfId="266" priority="11">
      <formula>ISERROR(I35)</formula>
    </cfRule>
  </conditionalFormatting>
  <conditionalFormatting sqref="AY2:BC29">
    <cfRule type="containsErrors" dxfId="265" priority="8">
      <formula>ISERROR(AY2)</formula>
    </cfRule>
  </conditionalFormatting>
  <conditionalFormatting sqref="BE10:BG11 BE12:BF34">
    <cfRule type="containsErrors" dxfId="264" priority="10">
      <formula>ISERROR(BE10)</formula>
    </cfRule>
  </conditionalFormatting>
  <conditionalFormatting sqref="BG12:BG28 BG34">
    <cfRule type="containsErrors" dxfId="263" priority="9">
      <formula>ISERROR(BG12)</formula>
    </cfRule>
  </conditionalFormatting>
  <conditionalFormatting sqref="BE2:BG6">
    <cfRule type="containsErrors" dxfId="262" priority="7">
      <formula>ISERROR(BE2)</formula>
    </cfRule>
  </conditionalFormatting>
  <conditionalFormatting sqref="BF7:BG8">
    <cfRule type="containsErrors" dxfId="261" priority="5">
      <formula>ISERROR(BF7)</formula>
    </cfRule>
  </conditionalFormatting>
  <conditionalFormatting sqref="BE7:BE8">
    <cfRule type="containsErrors" dxfId="260" priority="6">
      <formula>ISERROR(BE7)</formula>
    </cfRule>
  </conditionalFormatting>
  <conditionalFormatting sqref="S30:S33">
    <cfRule type="containsErrors" dxfId="259" priority="4">
      <formula>ISERROR(S30)</formula>
    </cfRule>
  </conditionalFormatting>
  <conditionalFormatting sqref="AP27:AP28">
    <cfRule type="containsErrors" dxfId="258" priority="3">
      <formula>ISERROR(AP27)</formula>
    </cfRule>
  </conditionalFormatting>
  <conditionalFormatting sqref="BG29:BG32">
    <cfRule type="containsErrors" dxfId="257" priority="2">
      <formula>ISERROR(BG29)</formula>
    </cfRule>
  </conditionalFormatting>
  <conditionalFormatting sqref="BG33">
    <cfRule type="containsErrors" dxfId="256" priority="1">
      <formula>ISERROR(BG33)</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6</v>
      </c>
      <c r="C1" s="3"/>
      <c r="D1" s="4"/>
      <c r="E1" s="4" t="s">
        <v>1</v>
      </c>
      <c r="F1" s="5">
        <v>10</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6.2</v>
      </c>
      <c r="C4" s="22">
        <f>IF(A4="  ","  ",IF(A5="  ","?",1*(A5-A4)))</f>
        <v>0.5</v>
      </c>
      <c r="D4" s="23">
        <f>IFERROR(B4*C4,"  ")</f>
        <v>3.1</v>
      </c>
      <c r="E4" s="24">
        <f t="shared" ref="E4:E28" si="1">IFERROR(A4-(Long_Div/2),"  ")</f>
        <v>-10</v>
      </c>
      <c r="F4" s="23">
        <f>IFERROR(D4*E4,"  ")</f>
        <v>-31</v>
      </c>
      <c r="G4" s="23">
        <f>IFERROR(F4*E4,"  ")</f>
        <v>310</v>
      </c>
      <c r="H4" s="23">
        <f>IFERROR(B4^3,"  ")</f>
        <v>238.32800000000003</v>
      </c>
      <c r="I4" s="23">
        <f>IFERROR(H4*C4,"  ")</f>
        <v>119.16400000000002</v>
      </c>
      <c r="J4" s="4"/>
      <c r="K4" s="25">
        <f t="shared" ref="K4:K28" si="2">VLOOKUP(A4,AREA_TABLE,Count_WL+1,FALSE)</f>
        <v>6.9428000000000045</v>
      </c>
      <c r="L4" s="23">
        <f>IFERROR(K4*C4,"  ")</f>
        <v>3.4714000000000023</v>
      </c>
      <c r="M4" s="26">
        <f t="shared" ref="M4:M28" si="3">VLOOKUP(A4,MOMENT_TABLE,Count_WL+1,FALSE)</f>
        <v>72.581413333333387</v>
      </c>
      <c r="N4" s="27">
        <f>IFERROR(M4*C4,"  ")</f>
        <v>36.290706666666694</v>
      </c>
      <c r="O4" s="23">
        <f>IFERROR(L4*E4,"  ")</f>
        <v>-34.71400000000002</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6.2</v>
      </c>
      <c r="AQ4" s="34" t="str">
        <f t="shared" ref="AQ4:AQ28" ca="1" si="18">CONCATENATE(AI4,IF(NOT(OR(AI4="",AK4="")),"+",""),AK4)</f>
        <v>(1/2)*(1/3)</v>
      </c>
      <c r="AR4" s="23">
        <f t="shared" ref="AR4:AR28" ca="1" si="19">IFERROR(AP4*AM4,"  ")</f>
        <v>1.0333333333333332</v>
      </c>
      <c r="AS4" s="24">
        <f t="shared" ref="AS4:AS28" si="20">IFERROR(AO4-(Long_Div/2),"  ")</f>
        <v>-10</v>
      </c>
      <c r="AT4" s="23">
        <f ca="1">IFERROR(AR4*AS4,"  ")</f>
        <v>-10.333333333333332</v>
      </c>
      <c r="AU4" s="23">
        <f ca="1">IFERROR(AT4*AS4,"  ")</f>
        <v>103.33333333333331</v>
      </c>
      <c r="AV4" s="23">
        <f t="shared" ref="AV4:AV28" si="21">IFERROR(AP4^3,"  ")</f>
        <v>238.32800000000003</v>
      </c>
      <c r="AW4" s="23">
        <f t="shared" ref="AW4:AW28" ca="1" si="22">IFERROR(AV4*AM4,"  ")</f>
        <v>39.721333333333334</v>
      </c>
      <c r="AY4" s="35">
        <f t="shared" ref="AY4:AY28" si="23">IF(ROW(AY4)-3&gt;Max_STN_count," ",VLOOKUP(AO4,AREA_TABLE,Count_WL+1,FALSE))</f>
        <v>6.9428000000000045</v>
      </c>
      <c r="AZ4" s="23">
        <f t="shared" ref="AZ4:AZ7" ca="1" si="24">IFERROR(AY4*AM4,"  ")</f>
        <v>1.157133333333334</v>
      </c>
      <c r="BA4" s="36">
        <f t="shared" ref="BA4:BA28" si="25">IF(ROW(AY4)-3&gt;Max_STN_count," ",VLOOKUP(AO4,MOMENT_TABLE,Count_WL+1,FALSE))</f>
        <v>72.581413333333387</v>
      </c>
      <c r="BB4" s="27">
        <f ca="1">IFERROR(BA4*AM4,"  ")</f>
        <v>12.09690222222223</v>
      </c>
      <c r="BC4" s="23">
        <f ca="1">IFERROR(AZ4*AS4,"  ")</f>
        <v>-11.571333333333341</v>
      </c>
      <c r="BE4" s="16" t="s">
        <v>26</v>
      </c>
      <c r="BF4" s="9" t="s">
        <v>8</v>
      </c>
      <c r="BG4" s="28">
        <f>LBP</f>
        <v>131.69999999999999</v>
      </c>
    </row>
    <row r="5" spans="1:60" x14ac:dyDescent="0.25">
      <c r="A5" s="20">
        <f>Tools!$AD4</f>
        <v>0.5</v>
      </c>
      <c r="B5" s="33">
        <f t="shared" si="0"/>
        <v>8.4600000000000009</v>
      </c>
      <c r="C5" s="22">
        <f>IF(A5="  ","  ",IF(AND(A4="  ",A6="  "),"?",IF(A4="  ",2*(A6-A5),IF(A6="  ",2*(A5-A4),2*(A6-A4)))))</f>
        <v>2</v>
      </c>
      <c r="D5" s="23">
        <f t="shared" ref="D5:D28" si="26">IFERROR(B5*C5,"  ")</f>
        <v>16.920000000000002</v>
      </c>
      <c r="E5" s="24">
        <f t="shared" si="1"/>
        <v>-9.5</v>
      </c>
      <c r="F5" s="23">
        <f t="shared" ref="F5:F28" si="27">IFERROR(D5*E5,"  ")</f>
        <v>-160.74</v>
      </c>
      <c r="G5" s="23">
        <f t="shared" ref="G5:G28" si="28">IFERROR(F5*E5,"  ")</f>
        <v>1527.0300000000002</v>
      </c>
      <c r="H5" s="23">
        <f t="shared" ref="H5:H28" si="29">IFERROR(B5^3,"  ")</f>
        <v>605.49573600000019</v>
      </c>
      <c r="I5" s="23">
        <f t="shared" ref="I5:I28" si="30">IFERROR(H5*C5,"  ")</f>
        <v>1210.9914720000004</v>
      </c>
      <c r="J5" s="4"/>
      <c r="K5" s="37">
        <f t="shared" si="2"/>
        <v>19.035</v>
      </c>
      <c r="L5" s="23">
        <f t="shared" ref="L5:L28" si="31">IFERROR(K5*C5,"  ")</f>
        <v>38.07</v>
      </c>
      <c r="M5" s="38">
        <f t="shared" si="3"/>
        <v>192.25489999999999</v>
      </c>
      <c r="N5" s="27">
        <f t="shared" ref="N5:N28" si="32">IFERROR(M5*C5,"  ")</f>
        <v>384.50979999999998</v>
      </c>
      <c r="O5" s="23">
        <f t="shared" ref="O5:O28" si="33">IFERROR(L5*E5,"  ")</f>
        <v>-361.66500000000002</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8.4600000000000009</v>
      </c>
      <c r="AQ5" s="34" t="str">
        <f t="shared" ca="1" si="18"/>
        <v>(1/2)*(4/3)</v>
      </c>
      <c r="AR5" s="23">
        <f t="shared" ca="1" si="19"/>
        <v>5.6400000000000006</v>
      </c>
      <c r="AS5" s="24">
        <f t="shared" si="20"/>
        <v>-9.5</v>
      </c>
      <c r="AT5" s="23">
        <f t="shared" ref="AT5:AT28" ca="1" si="37">IFERROR(AR5*AS5,"  ")</f>
        <v>-53.580000000000005</v>
      </c>
      <c r="AU5" s="23">
        <f ca="1">IFERROR(AT5*AS5,"  ")</f>
        <v>509.01000000000005</v>
      </c>
      <c r="AV5" s="23">
        <f t="shared" si="21"/>
        <v>605.49573600000019</v>
      </c>
      <c r="AW5" s="23">
        <f t="shared" ca="1" si="22"/>
        <v>403.66382400000009</v>
      </c>
      <c r="AY5" s="35">
        <f t="shared" si="23"/>
        <v>19.035</v>
      </c>
      <c r="AZ5" s="23">
        <f t="shared" ca="1" si="24"/>
        <v>12.69</v>
      </c>
      <c r="BA5" s="36">
        <f t="shared" si="25"/>
        <v>192.25489999999999</v>
      </c>
      <c r="BB5" s="27">
        <f t="shared" ref="BB5:BB28" ca="1" si="38">IFERROR(BA5*AM5,"  ")</f>
        <v>128.16993333333332</v>
      </c>
      <c r="BC5" s="23">
        <f t="shared" ref="BC5:BC28" ca="1" si="39">IFERROR(AZ5*AS5,"  ")</f>
        <v>-120.55499999999999</v>
      </c>
      <c r="BE5" s="8" t="s">
        <v>27</v>
      </c>
      <c r="BF5" s="9" t="s">
        <v>8</v>
      </c>
      <c r="BG5" s="10">
        <f>BREADTH</f>
        <v>24.5</v>
      </c>
    </row>
    <row r="6" spans="1:60" x14ac:dyDescent="0.25">
      <c r="A6" s="20">
        <f>Tools!$AD5</f>
        <v>1</v>
      </c>
      <c r="B6" s="33">
        <f t="shared" si="0"/>
        <v>9.84</v>
      </c>
      <c r="C6" s="22">
        <f>IF(A6="  ","  ",IF(AND(A5="  ",A7="  "),"?",IF(A5="  ",1*(A7-A6),IF(A7="  ",1*(A6-A5),1*(A7-A5)))))</f>
        <v>1</v>
      </c>
      <c r="D6" s="23">
        <f t="shared" si="26"/>
        <v>9.84</v>
      </c>
      <c r="E6" s="24">
        <f t="shared" si="1"/>
        <v>-9</v>
      </c>
      <c r="F6" s="23">
        <f t="shared" si="27"/>
        <v>-88.56</v>
      </c>
      <c r="G6" s="23">
        <f t="shared" si="28"/>
        <v>797.04</v>
      </c>
      <c r="H6" s="23">
        <f t="shared" si="29"/>
        <v>952.76390399999991</v>
      </c>
      <c r="I6" s="23">
        <f t="shared" si="30"/>
        <v>952.76390399999991</v>
      </c>
      <c r="J6" s="4"/>
      <c r="K6" s="37">
        <f t="shared" si="2"/>
        <v>36.741</v>
      </c>
      <c r="L6" s="23">
        <f t="shared" si="31"/>
        <v>36.741</v>
      </c>
      <c r="M6" s="38">
        <f t="shared" si="3"/>
        <v>356.19749999999999</v>
      </c>
      <c r="N6" s="27">
        <f t="shared" si="32"/>
        <v>356.19749999999999</v>
      </c>
      <c r="O6" s="23">
        <f t="shared" si="33"/>
        <v>-330.66899999999998</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9.84</v>
      </c>
      <c r="AQ6" s="34" t="str">
        <f t="shared" ca="1" si="18"/>
        <v>(1/2)*(2/3)</v>
      </c>
      <c r="AR6" s="23">
        <f t="shared" ca="1" si="19"/>
        <v>3.28</v>
      </c>
      <c r="AS6" s="24">
        <f t="shared" si="20"/>
        <v>-9</v>
      </c>
      <c r="AT6" s="23">
        <f t="shared" ca="1" si="37"/>
        <v>-29.52</v>
      </c>
      <c r="AU6" s="23">
        <f ca="1">IFERROR(AT6*AS6,"  ")</f>
        <v>265.68</v>
      </c>
      <c r="AV6" s="23">
        <f t="shared" si="21"/>
        <v>952.76390399999991</v>
      </c>
      <c r="AW6" s="23">
        <f t="shared" ca="1" si="22"/>
        <v>317.58796799999993</v>
      </c>
      <c r="AY6" s="35">
        <f t="shared" si="23"/>
        <v>36.741</v>
      </c>
      <c r="AZ6" s="23">
        <f t="shared" ca="1" si="24"/>
        <v>12.247</v>
      </c>
      <c r="BA6" s="36">
        <f t="shared" si="25"/>
        <v>356.19749999999999</v>
      </c>
      <c r="BB6" s="27">
        <f t="shared" ca="1" si="38"/>
        <v>118.73249999999999</v>
      </c>
      <c r="BC6" s="23">
        <f t="shared" ca="1" si="39"/>
        <v>-110.223</v>
      </c>
      <c r="BE6" s="8" t="s">
        <v>28</v>
      </c>
      <c r="BF6" s="9" t="s">
        <v>8</v>
      </c>
      <c r="BG6" s="10">
        <f>DEPTH</f>
        <v>14.19</v>
      </c>
    </row>
    <row r="7" spans="1:60" x14ac:dyDescent="0.25">
      <c r="A7" s="20">
        <f>Tools!$AD6</f>
        <v>1.5</v>
      </c>
      <c r="B7" s="33">
        <f t="shared" si="0"/>
        <v>10.78</v>
      </c>
      <c r="C7" s="22">
        <f>IF(A7="  ","  ",IF(AND(A6="  ",A8="  "),"?",IF(A6="  ",2*(A8-A7),IF(A8="  ",2*(A7-A6),2*(A8-A6)))))</f>
        <v>2</v>
      </c>
      <c r="D7" s="23">
        <f t="shared" si="26"/>
        <v>21.56</v>
      </c>
      <c r="E7" s="24">
        <f t="shared" si="1"/>
        <v>-8.5</v>
      </c>
      <c r="F7" s="23">
        <f t="shared" si="27"/>
        <v>-183.26</v>
      </c>
      <c r="G7" s="23">
        <f t="shared" si="28"/>
        <v>1557.71</v>
      </c>
      <c r="H7" s="23">
        <f t="shared" si="29"/>
        <v>1252.7265519999999</v>
      </c>
      <c r="I7" s="23">
        <f t="shared" si="30"/>
        <v>2505.4531039999997</v>
      </c>
      <c r="J7" s="4"/>
      <c r="K7" s="37">
        <f t="shared" si="2"/>
        <v>67.626000000000005</v>
      </c>
      <c r="L7" s="23">
        <f t="shared" si="31"/>
        <v>135.25200000000001</v>
      </c>
      <c r="M7" s="38">
        <f t="shared" si="3"/>
        <v>588.56280000000004</v>
      </c>
      <c r="N7" s="27">
        <f t="shared" si="32"/>
        <v>1177.1256000000001</v>
      </c>
      <c r="O7" s="23">
        <f t="shared" si="33"/>
        <v>-1149.6420000000001</v>
      </c>
      <c r="P7" s="4"/>
      <c r="Q7" s="39" t="s">
        <v>29</v>
      </c>
      <c r="R7" s="40" t="s">
        <v>8</v>
      </c>
      <c r="S7" s="41">
        <f>IF(MAX(B4:B28)=0," ",2*MAX(B4:B28))</f>
        <v>24.5</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10.78</v>
      </c>
      <c r="AQ7" s="34" t="str">
        <f t="shared" ca="1" si="18"/>
        <v>(1/2)*(4/3)</v>
      </c>
      <c r="AR7" s="23">
        <f t="shared" ca="1" si="19"/>
        <v>7.1866666666666656</v>
      </c>
      <c r="AS7" s="24">
        <f t="shared" si="20"/>
        <v>-8.5</v>
      </c>
      <c r="AT7" s="23">
        <f t="shared" ca="1" si="37"/>
        <v>-61.086666666666659</v>
      </c>
      <c r="AU7" s="23">
        <f t="shared" ref="AU7:AU28" ca="1" si="40">IFERROR(AT7*AS7,"  ")</f>
        <v>519.23666666666657</v>
      </c>
      <c r="AV7" s="23">
        <f t="shared" si="21"/>
        <v>1252.7265519999999</v>
      </c>
      <c r="AW7" s="23">
        <f t="shared" ca="1" si="22"/>
        <v>835.15103466666653</v>
      </c>
      <c r="AY7" s="35">
        <f t="shared" si="23"/>
        <v>67.626000000000005</v>
      </c>
      <c r="AZ7" s="23">
        <f t="shared" ca="1" si="24"/>
        <v>45.084000000000003</v>
      </c>
      <c r="BA7" s="36">
        <f t="shared" si="25"/>
        <v>588.56280000000004</v>
      </c>
      <c r="BB7" s="27">
        <f t="shared" ca="1" si="38"/>
        <v>392.37520000000001</v>
      </c>
      <c r="BC7" s="23">
        <f t="shared" ca="1" si="39"/>
        <v>-383.21400000000006</v>
      </c>
      <c r="BE7" s="8" t="s">
        <v>29</v>
      </c>
      <c r="BF7" s="9" t="s">
        <v>8</v>
      </c>
      <c r="BG7" s="10">
        <f>IF(MAX(AP4:AP28)=0," ",2*MAX(AP4:AP28))</f>
        <v>24.5</v>
      </c>
    </row>
    <row r="8" spans="1:60" x14ac:dyDescent="0.25">
      <c r="A8" s="20">
        <f>Tools!$AD7</f>
        <v>2</v>
      </c>
      <c r="B8" s="33">
        <f t="shared" si="0"/>
        <v>11.34</v>
      </c>
      <c r="C8" s="22">
        <f>IF(A8="  ","  ",IF(AND(A7="  ",A9="  "),"?",IF(A7="  ",1*(A9-A8),IF(A9="  ",1*(A8-A7),1*(A9-A7)))))</f>
        <v>1.5</v>
      </c>
      <c r="D8" s="23">
        <f t="shared" si="26"/>
        <v>17.009999999999998</v>
      </c>
      <c r="E8" s="24">
        <f t="shared" si="1"/>
        <v>-8</v>
      </c>
      <c r="F8" s="23">
        <f t="shared" si="27"/>
        <v>-136.07999999999998</v>
      </c>
      <c r="G8" s="23">
        <f t="shared" si="28"/>
        <v>1088.6399999999999</v>
      </c>
      <c r="H8" s="23">
        <f t="shared" si="29"/>
        <v>1458.2741039999999</v>
      </c>
      <c r="I8" s="23">
        <f t="shared" si="30"/>
        <v>2187.4111559999997</v>
      </c>
      <c r="J8" s="4"/>
      <c r="K8" s="37">
        <f t="shared" si="2"/>
        <v>96.026999999999987</v>
      </c>
      <c r="L8" s="23">
        <f t="shared" si="31"/>
        <v>144.04049999999998</v>
      </c>
      <c r="M8" s="38">
        <f t="shared" si="3"/>
        <v>763.50632999999993</v>
      </c>
      <c r="N8" s="27">
        <f t="shared" si="32"/>
        <v>1145.2594949999998</v>
      </c>
      <c r="O8" s="23">
        <f t="shared" si="33"/>
        <v>-1152.3239999999998</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11.34</v>
      </c>
      <c r="AQ8" s="34" t="str">
        <f t="shared" ca="1" si="18"/>
        <v>(1/2)*(1/3)+1/3</v>
      </c>
      <c r="AR8" s="23">
        <f t="shared" ca="1" si="19"/>
        <v>5.67</v>
      </c>
      <c r="AS8" s="24">
        <f t="shared" si="20"/>
        <v>-8</v>
      </c>
      <c r="AT8" s="23">
        <f t="shared" ca="1" si="37"/>
        <v>-45.36</v>
      </c>
      <c r="AU8" s="23">
        <f t="shared" ca="1" si="40"/>
        <v>362.88</v>
      </c>
      <c r="AV8" s="23">
        <f t="shared" si="21"/>
        <v>1458.2741039999999</v>
      </c>
      <c r="AW8" s="23">
        <f t="shared" ca="1" si="22"/>
        <v>729.13705199999993</v>
      </c>
      <c r="AY8" s="35">
        <f t="shared" si="23"/>
        <v>96.026999999999987</v>
      </c>
      <c r="AZ8" s="23">
        <f ca="1">IFERROR(AY8*AM8,"  ")</f>
        <v>48.013499999999993</v>
      </c>
      <c r="BA8" s="36">
        <f t="shared" si="25"/>
        <v>763.50632999999993</v>
      </c>
      <c r="BB8" s="27">
        <f t="shared" ca="1" si="38"/>
        <v>381.75316499999997</v>
      </c>
      <c r="BC8" s="23">
        <f t="shared" ca="1" si="39"/>
        <v>-384.10799999999995</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f t="shared" si="0"/>
        <v>11.93</v>
      </c>
      <c r="C9" s="22">
        <f>IF(A9="  ","  ",IF(AND(A8="  ",A10="  "),"?",IF(A8="  ",2*(A10-A9),IF(A10="  ",2*(A9-A8),2*(A10-A8)))))</f>
        <v>4</v>
      </c>
      <c r="D9" s="23">
        <f t="shared" si="26"/>
        <v>47.72</v>
      </c>
      <c r="E9" s="24">
        <f t="shared" si="1"/>
        <v>-7</v>
      </c>
      <c r="F9" s="23">
        <f t="shared" si="27"/>
        <v>-334.03999999999996</v>
      </c>
      <c r="G9" s="23">
        <f t="shared" si="28"/>
        <v>2338.2799999999997</v>
      </c>
      <c r="H9" s="23">
        <f t="shared" si="29"/>
        <v>1697.9360569999999</v>
      </c>
      <c r="I9" s="23">
        <f t="shared" si="30"/>
        <v>6791.7442279999996</v>
      </c>
      <c r="J9" s="4"/>
      <c r="K9" s="37">
        <f t="shared" si="2"/>
        <v>137.86799999999999</v>
      </c>
      <c r="L9" s="23">
        <f t="shared" si="31"/>
        <v>551.47199999999998</v>
      </c>
      <c r="M9" s="38">
        <f t="shared" si="3"/>
        <v>1001.268</v>
      </c>
      <c r="N9" s="27">
        <f t="shared" si="32"/>
        <v>4005.0720000000001</v>
      </c>
      <c r="O9" s="23">
        <f t="shared" si="33"/>
        <v>-3860.3040000000001</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11.93</v>
      </c>
      <c r="AQ9" s="34" t="str">
        <f t="shared" ca="1" si="18"/>
        <v>4/3</v>
      </c>
      <c r="AR9" s="23">
        <f t="shared" ca="1" si="19"/>
        <v>15.906666666666666</v>
      </c>
      <c r="AS9" s="24">
        <f t="shared" si="20"/>
        <v>-7</v>
      </c>
      <c r="AT9" s="23">
        <f t="shared" ca="1" si="37"/>
        <v>-111.34666666666666</v>
      </c>
      <c r="AU9" s="23">
        <f t="shared" ca="1" si="40"/>
        <v>779.42666666666662</v>
      </c>
      <c r="AV9" s="23">
        <f t="shared" si="21"/>
        <v>1697.9360569999999</v>
      </c>
      <c r="AW9" s="23">
        <f t="shared" ca="1" si="22"/>
        <v>2263.9147426666664</v>
      </c>
      <c r="AY9" s="35">
        <f t="shared" si="23"/>
        <v>137.86799999999999</v>
      </c>
      <c r="AZ9" s="23">
        <f t="shared" ref="AZ9:AZ28" ca="1" si="41">IFERROR(AY9*AM9,"  ")</f>
        <v>183.82399999999998</v>
      </c>
      <c r="BA9" s="36">
        <f t="shared" si="25"/>
        <v>1001.268</v>
      </c>
      <c r="BB9" s="27">
        <f t="shared" ca="1" si="38"/>
        <v>1335.0239999999999</v>
      </c>
      <c r="BC9" s="23">
        <f t="shared" ca="1" si="39"/>
        <v>-1286.7679999999998</v>
      </c>
    </row>
    <row r="10" spans="1:60" x14ac:dyDescent="0.25">
      <c r="A10" s="20">
        <f>Tools!$AD9</f>
        <v>4</v>
      </c>
      <c r="B10" s="33">
        <f t="shared" si="0"/>
        <v>12.2</v>
      </c>
      <c r="C10" s="22">
        <f>IF(A10="  ","  ",IF(AND(A9="  ",A11="  "),"?",IF(A9="  ",1*(A11-A10),IF(A11="  ",1*(A10-A9),1*(A11-A9)))))</f>
        <v>2</v>
      </c>
      <c r="D10" s="23">
        <f t="shared" si="26"/>
        <v>24.4</v>
      </c>
      <c r="E10" s="24">
        <f t="shared" si="1"/>
        <v>-6</v>
      </c>
      <c r="F10" s="23">
        <f t="shared" si="27"/>
        <v>-146.39999999999998</v>
      </c>
      <c r="G10" s="23">
        <f t="shared" si="28"/>
        <v>878.39999999999986</v>
      </c>
      <c r="H10" s="23">
        <f t="shared" si="29"/>
        <v>1815.8479999999995</v>
      </c>
      <c r="I10" s="23">
        <f>IFERROR(H10*C10,"  ")</f>
        <v>3631.695999999999</v>
      </c>
      <c r="J10" s="4"/>
      <c r="K10" s="37">
        <f t="shared" si="2"/>
        <v>177.83999999999997</v>
      </c>
      <c r="L10" s="23">
        <f t="shared" si="31"/>
        <v>355.67999999999995</v>
      </c>
      <c r="M10" s="38">
        <f t="shared" si="3"/>
        <v>1188.4535999999998</v>
      </c>
      <c r="N10" s="27">
        <f t="shared" si="32"/>
        <v>2376.9071999999996</v>
      </c>
      <c r="O10" s="23">
        <f t="shared" si="33"/>
        <v>-2134.08</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12.2</v>
      </c>
      <c r="AQ10" s="34" t="str">
        <f t="shared" ca="1" si="18"/>
        <v>2/3</v>
      </c>
      <c r="AR10" s="23">
        <f t="shared" ca="1" si="19"/>
        <v>8.1333333333333329</v>
      </c>
      <c r="AS10" s="24">
        <f t="shared" si="20"/>
        <v>-6</v>
      </c>
      <c r="AT10" s="23">
        <f t="shared" ca="1" si="37"/>
        <v>-48.8</v>
      </c>
      <c r="AU10" s="23">
        <f ca="1">IFERROR(AT10*AS10,"  ")</f>
        <v>292.79999999999995</v>
      </c>
      <c r="AV10" s="23">
        <f t="shared" si="21"/>
        <v>1815.8479999999995</v>
      </c>
      <c r="AW10" s="23">
        <f t="shared" ca="1" si="22"/>
        <v>1210.565333333333</v>
      </c>
      <c r="AY10" s="35">
        <f t="shared" si="23"/>
        <v>177.83999999999997</v>
      </c>
      <c r="AZ10" s="23">
        <f t="shared" ca="1" si="41"/>
        <v>118.55999999999997</v>
      </c>
      <c r="BA10" s="36">
        <f t="shared" si="25"/>
        <v>1188.4535999999998</v>
      </c>
      <c r="BB10" s="27">
        <f t="shared" ca="1" si="38"/>
        <v>792.30239999999981</v>
      </c>
      <c r="BC10" s="23">
        <f t="shared" ca="1" si="39"/>
        <v>-711.3599999999999</v>
      </c>
      <c r="BE10" s="43" t="s">
        <v>31</v>
      </c>
      <c r="BF10" s="44" t="s">
        <v>32</v>
      </c>
      <c r="BG10" s="506" t="s">
        <v>33</v>
      </c>
    </row>
    <row r="11" spans="1:60" x14ac:dyDescent="0.25">
      <c r="A11" s="20">
        <f>Tools!$AD10</f>
        <v>5</v>
      </c>
      <c r="B11" s="33">
        <f t="shared" si="0"/>
        <v>12.25</v>
      </c>
      <c r="C11" s="22">
        <f>IF(A11="  ","  ",IF(AND(A10="  ",A12="  "),"?",IF(A10="  ",2*(A12-A11),IF(A12="  ",2*(A11-A10),2*(A12-A10)))))</f>
        <v>4</v>
      </c>
      <c r="D11" s="23">
        <f t="shared" si="26"/>
        <v>49</v>
      </c>
      <c r="E11" s="24">
        <f t="shared" si="1"/>
        <v>-5</v>
      </c>
      <c r="F11" s="23">
        <f t="shared" si="27"/>
        <v>-245</v>
      </c>
      <c r="G11" s="23">
        <f t="shared" si="28"/>
        <v>1225</v>
      </c>
      <c r="H11" s="23">
        <f t="shared" si="29"/>
        <v>1838.265625</v>
      </c>
      <c r="I11" s="23">
        <f t="shared" si="30"/>
        <v>7353.0625</v>
      </c>
      <c r="J11" s="4"/>
      <c r="K11" s="37">
        <f t="shared" si="2"/>
        <v>209.322</v>
      </c>
      <c r="L11" s="23">
        <f t="shared" si="31"/>
        <v>837.28800000000001</v>
      </c>
      <c r="M11" s="38">
        <f t="shared" si="3"/>
        <v>1311.9840000000002</v>
      </c>
      <c r="N11" s="27">
        <f t="shared" si="32"/>
        <v>5247.9360000000006</v>
      </c>
      <c r="O11" s="23">
        <f t="shared" si="33"/>
        <v>-4186.4400000000005</v>
      </c>
      <c r="P11" s="4"/>
      <c r="Q11" s="47" t="s">
        <v>34</v>
      </c>
      <c r="R11" s="48" t="s">
        <v>35</v>
      </c>
      <c r="S11">
        <f>IF(Tools!$L$49="Use 141 rule only",I35,IF(Tools!$L$49="Use 141 and 1331 rules",BG12," "))</f>
        <v>2735.7601999999997</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12.25</v>
      </c>
      <c r="AQ11" s="34" t="str">
        <f t="shared" ca="1" si="18"/>
        <v>4/3</v>
      </c>
      <c r="AR11" s="23">
        <f t="shared" ca="1" si="19"/>
        <v>16.333333333333332</v>
      </c>
      <c r="AS11" s="24">
        <f t="shared" si="20"/>
        <v>-5</v>
      </c>
      <c r="AT11" s="23">
        <f t="shared" ca="1" si="37"/>
        <v>-81.666666666666657</v>
      </c>
      <c r="AU11" s="23">
        <f t="shared" ca="1" si="40"/>
        <v>408.33333333333326</v>
      </c>
      <c r="AV11" s="23">
        <f t="shared" si="21"/>
        <v>1838.265625</v>
      </c>
      <c r="AW11" s="23">
        <f t="shared" ca="1" si="22"/>
        <v>2451.020833333333</v>
      </c>
      <c r="AY11" s="35">
        <f t="shared" si="23"/>
        <v>209.322</v>
      </c>
      <c r="AZ11" s="23">
        <f t="shared" ca="1" si="41"/>
        <v>279.096</v>
      </c>
      <c r="BA11" s="36">
        <f t="shared" si="25"/>
        <v>1311.9840000000002</v>
      </c>
      <c r="BB11" s="27">
        <f t="shared" ca="1" si="38"/>
        <v>1749.3120000000001</v>
      </c>
      <c r="BC11" s="23">
        <f ca="1">IFERROR(AZ11*AS11,"  ")</f>
        <v>-1395.48</v>
      </c>
      <c r="BE11" s="45"/>
      <c r="BF11" s="46"/>
      <c r="BG11" s="507"/>
    </row>
    <row r="12" spans="1:60" x14ac:dyDescent="0.25">
      <c r="A12" s="20">
        <f>Tools!$AD11</f>
        <v>6</v>
      </c>
      <c r="B12" s="33">
        <f t="shared" si="0"/>
        <v>12.25</v>
      </c>
      <c r="C12" s="22">
        <f>IF(A12="  ","  ",IF(AND(A11="  ",A13="  "),"?",IF(A11="  ",1*(A13-A12),IF(A13="  ",1*(A12-A11),1*(A13-A11)))))</f>
        <v>2</v>
      </c>
      <c r="D12" s="23">
        <f t="shared" si="26"/>
        <v>24.5</v>
      </c>
      <c r="E12" s="24">
        <f t="shared" si="1"/>
        <v>-4</v>
      </c>
      <c r="F12" s="23">
        <f t="shared" si="27"/>
        <v>-98</v>
      </c>
      <c r="G12" s="23">
        <f t="shared" si="28"/>
        <v>392</v>
      </c>
      <c r="H12" s="23">
        <f t="shared" si="29"/>
        <v>1838.265625</v>
      </c>
      <c r="I12" s="23">
        <f t="shared" si="30"/>
        <v>3676.53125</v>
      </c>
      <c r="J12" s="4"/>
      <c r="K12" s="37">
        <f t="shared" si="2"/>
        <v>230.72399999999999</v>
      </c>
      <c r="L12" s="23">
        <f t="shared" si="31"/>
        <v>461.44799999999998</v>
      </c>
      <c r="M12" s="38">
        <f t="shared" si="3"/>
        <v>1376.5464000000002</v>
      </c>
      <c r="N12" s="27">
        <f t="shared" si="32"/>
        <v>2753.0928000000004</v>
      </c>
      <c r="O12" s="23">
        <f t="shared" si="33"/>
        <v>-1845.7919999999999</v>
      </c>
      <c r="P12" s="4"/>
      <c r="Q12" s="47" t="s">
        <v>36</v>
      </c>
      <c r="R12" s="48" t="s">
        <v>37</v>
      </c>
      <c r="S12">
        <f>IF(Tools!$L$49="Use 141 rule only",I36,IF(Tools!$L$49="Use 141 and 1331 rules",BG13," "))</f>
        <v>-16910.400505499994</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12.25</v>
      </c>
      <c r="AQ12" s="34" t="str">
        <f t="shared" ca="1" si="18"/>
        <v>2/3</v>
      </c>
      <c r="AR12" s="23">
        <f t="shared" ca="1" si="19"/>
        <v>8.1666666666666661</v>
      </c>
      <c r="AS12" s="24">
        <f t="shared" si="20"/>
        <v>-4</v>
      </c>
      <c r="AT12" s="23">
        <f t="shared" ca="1" si="37"/>
        <v>-32.666666666666664</v>
      </c>
      <c r="AU12" s="23">
        <f t="shared" ca="1" si="40"/>
        <v>130.66666666666666</v>
      </c>
      <c r="AV12" s="23">
        <f t="shared" si="21"/>
        <v>1838.265625</v>
      </c>
      <c r="AW12" s="23">
        <f t="shared" ca="1" si="22"/>
        <v>1225.5104166666665</v>
      </c>
      <c r="AY12" s="35">
        <f t="shared" si="23"/>
        <v>230.72399999999999</v>
      </c>
      <c r="AZ12" s="23">
        <f t="shared" ca="1" si="41"/>
        <v>153.81599999999997</v>
      </c>
      <c r="BA12" s="36">
        <f t="shared" si="25"/>
        <v>1376.5464000000002</v>
      </c>
      <c r="BB12" s="27">
        <f t="shared" ca="1" si="38"/>
        <v>917.69760000000008</v>
      </c>
      <c r="BC12" s="23">
        <f t="shared" ca="1" si="39"/>
        <v>-615.2639999999999</v>
      </c>
      <c r="BE12" s="47" t="s">
        <v>34</v>
      </c>
      <c r="BF12" s="48" t="s">
        <v>38</v>
      </c>
      <c r="BG12" s="49">
        <f ca="1">IF(WL_No="  ","  ",2*h*$AR$29)</f>
        <v>2735.7601999999997</v>
      </c>
    </row>
    <row r="13" spans="1:60" x14ac:dyDescent="0.25">
      <c r="A13" s="20">
        <f>Tools!$AD12</f>
        <v>7</v>
      </c>
      <c r="B13" s="33">
        <f t="shared" si="0"/>
        <v>12.25</v>
      </c>
      <c r="C13" s="22">
        <f>IF(A13="  ","  ",IF(AND(A12="  ",A14="  "),"?",IF(A12="  ",2*(A14-A13),IF(A14="  ",2*(A13-A12),2*(A14-A12)))))</f>
        <v>4</v>
      </c>
      <c r="D13" s="23">
        <f t="shared" si="26"/>
        <v>49</v>
      </c>
      <c r="E13" s="24">
        <f t="shared" si="1"/>
        <v>-3</v>
      </c>
      <c r="F13" s="23">
        <f t="shared" si="27"/>
        <v>-147</v>
      </c>
      <c r="G13" s="23">
        <f t="shared" si="28"/>
        <v>441</v>
      </c>
      <c r="H13" s="23">
        <f t="shared" si="29"/>
        <v>1838.265625</v>
      </c>
      <c r="I13" s="23">
        <f t="shared" si="30"/>
        <v>7353.0625</v>
      </c>
      <c r="J13" s="4"/>
      <c r="K13" s="37">
        <f t="shared" si="2"/>
        <v>245.178</v>
      </c>
      <c r="L13" s="23">
        <f t="shared" si="31"/>
        <v>980.71199999999999</v>
      </c>
      <c r="M13" s="38">
        <f t="shared" si="3"/>
        <v>1407.6072000000001</v>
      </c>
      <c r="N13" s="27">
        <f t="shared" si="32"/>
        <v>5630.4288000000006</v>
      </c>
      <c r="O13" s="23">
        <f t="shared" si="33"/>
        <v>-2942.136</v>
      </c>
      <c r="P13" s="4"/>
      <c r="Q13" s="50" t="s">
        <v>39</v>
      </c>
      <c r="R13" s="48" t="s">
        <v>40</v>
      </c>
      <c r="S13">
        <f>IF(Tools!$L$49="Use 141 rule only",I37,IF(Tools!$L$49="Use 141 and 1331 rules",BG14," "))</f>
        <v>-6.1812437016592305</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12.25</v>
      </c>
      <c r="AQ13" s="34" t="str">
        <f t="shared" ca="1" si="18"/>
        <v>4/3</v>
      </c>
      <c r="AR13" s="23">
        <f t="shared" ca="1" si="19"/>
        <v>16.333333333333332</v>
      </c>
      <c r="AS13" s="24">
        <f t="shared" si="20"/>
        <v>-3</v>
      </c>
      <c r="AT13" s="23">
        <f t="shared" ca="1" si="37"/>
        <v>-49</v>
      </c>
      <c r="AU13" s="23">
        <f t="shared" ca="1" si="40"/>
        <v>147</v>
      </c>
      <c r="AV13" s="23">
        <f t="shared" si="21"/>
        <v>1838.265625</v>
      </c>
      <c r="AW13" s="23">
        <f t="shared" ca="1" si="22"/>
        <v>2451.020833333333</v>
      </c>
      <c r="AY13" s="35">
        <f t="shared" si="23"/>
        <v>245.178</v>
      </c>
      <c r="AZ13" s="23">
        <f t="shared" ca="1" si="41"/>
        <v>326.904</v>
      </c>
      <c r="BA13" s="36">
        <f t="shared" si="25"/>
        <v>1407.6072000000001</v>
      </c>
      <c r="BB13" s="27">
        <f t="shared" ca="1" si="38"/>
        <v>1876.8096</v>
      </c>
      <c r="BC13" s="23">
        <f t="shared" ca="1" si="39"/>
        <v>-980.71199999999999</v>
      </c>
      <c r="BE13" s="47" t="s">
        <v>36</v>
      </c>
      <c r="BF13" s="48" t="s">
        <v>41</v>
      </c>
      <c r="BG13" s="49">
        <f ca="1">IF(WL_No="  ","  ",2*(h^2)*$AT$29)</f>
        <v>-16910.400505500002</v>
      </c>
    </row>
    <row r="14" spans="1:60" x14ac:dyDescent="0.25">
      <c r="A14" s="20">
        <f>Tools!$AD13</f>
        <v>8</v>
      </c>
      <c r="B14" s="33">
        <f t="shared" si="0"/>
        <v>12.25</v>
      </c>
      <c r="C14" s="22">
        <f>IF(A14="  ","  ",IF(AND(A13="  ",A15="  "),"?",IF(A13="  ",1*(A15-A14),IF(A15="  ",1*(A14-A13),1*(A15-A13)))))</f>
        <v>2</v>
      </c>
      <c r="D14" s="23">
        <f t="shared" si="26"/>
        <v>24.5</v>
      </c>
      <c r="E14" s="24">
        <f t="shared" si="1"/>
        <v>-2</v>
      </c>
      <c r="F14" s="23">
        <f t="shared" si="27"/>
        <v>-49</v>
      </c>
      <c r="G14" s="23">
        <f t="shared" si="28"/>
        <v>98</v>
      </c>
      <c r="H14" s="23">
        <f t="shared" si="29"/>
        <v>1838.265625</v>
      </c>
      <c r="I14" s="23">
        <f t="shared" si="30"/>
        <v>3676.53125</v>
      </c>
      <c r="J14" s="4"/>
      <c r="K14" s="37">
        <f t="shared" si="2"/>
        <v>253.72800000000001</v>
      </c>
      <c r="L14" s="23">
        <f t="shared" si="31"/>
        <v>507.45600000000002</v>
      </c>
      <c r="M14" s="38">
        <f t="shared" si="3"/>
        <v>1419.6600000000003</v>
      </c>
      <c r="N14" s="27">
        <f t="shared" si="32"/>
        <v>2839.3200000000006</v>
      </c>
      <c r="O14" s="23">
        <f t="shared" si="33"/>
        <v>-1014.912</v>
      </c>
      <c r="P14" s="4"/>
      <c r="Q14" s="50" t="s">
        <v>42</v>
      </c>
      <c r="R14" s="48" t="s">
        <v>43</v>
      </c>
      <c r="S14">
        <f>IF(Tools!$L$49="Use 141 rule only",I38,IF(Tools!$L$49="Use 141 and 1331 rules",BG15," "))</f>
        <v>3168963.7845677994</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12.25</v>
      </c>
      <c r="AQ14" s="34" t="str">
        <f t="shared" ca="1" si="18"/>
        <v>2/3</v>
      </c>
      <c r="AR14" s="23">
        <f t="shared" ca="1" si="19"/>
        <v>8.1666666666666661</v>
      </c>
      <c r="AS14" s="24">
        <f t="shared" si="20"/>
        <v>-2</v>
      </c>
      <c r="AT14" s="23">
        <f t="shared" ca="1" si="37"/>
        <v>-16.333333333333332</v>
      </c>
      <c r="AU14" s="23">
        <f t="shared" ca="1" si="40"/>
        <v>32.666666666666664</v>
      </c>
      <c r="AV14" s="23">
        <f t="shared" si="21"/>
        <v>1838.265625</v>
      </c>
      <c r="AW14" s="23">
        <f t="shared" ca="1" si="22"/>
        <v>1225.5104166666665</v>
      </c>
      <c r="AY14" s="35">
        <f t="shared" si="23"/>
        <v>253.72800000000001</v>
      </c>
      <c r="AZ14" s="23">
        <f t="shared" ca="1" si="41"/>
        <v>169.15199999999999</v>
      </c>
      <c r="BA14" s="36">
        <f t="shared" si="25"/>
        <v>1419.6600000000003</v>
      </c>
      <c r="BB14" s="27">
        <f t="shared" ca="1" si="38"/>
        <v>946.44000000000017</v>
      </c>
      <c r="BC14" s="23">
        <f t="shared" ca="1" si="39"/>
        <v>-338.30399999999997</v>
      </c>
      <c r="BE14" s="50" t="s">
        <v>39</v>
      </c>
      <c r="BF14" s="48" t="s">
        <v>40</v>
      </c>
      <c r="BG14" s="49">
        <f>IF(WL_No="  ","  ",Mmid/AWP)</f>
        <v>-6.1812437016592305</v>
      </c>
    </row>
    <row r="15" spans="1:60" x14ac:dyDescent="0.25">
      <c r="A15" s="20">
        <f>Tools!$AD14</f>
        <v>9</v>
      </c>
      <c r="B15" s="33">
        <f t="shared" si="0"/>
        <v>12.25</v>
      </c>
      <c r="C15" s="22">
        <f>IF(A15="  ","  ",IF(AND(A14="  ",A16="  "),"?",IF(A14="  ",2*(A16-A15),IF(A16="  ",2*(A15-A14),2*(A16-A14)))))</f>
        <v>4</v>
      </c>
      <c r="D15" s="23">
        <f t="shared" si="26"/>
        <v>49</v>
      </c>
      <c r="E15" s="24">
        <f t="shared" si="1"/>
        <v>-1</v>
      </c>
      <c r="F15" s="23">
        <f t="shared" si="27"/>
        <v>-49</v>
      </c>
      <c r="G15" s="23">
        <f t="shared" si="28"/>
        <v>49</v>
      </c>
      <c r="H15" s="23">
        <f t="shared" si="29"/>
        <v>1838.265625</v>
      </c>
      <c r="I15" s="23">
        <f t="shared" si="30"/>
        <v>7353.0625</v>
      </c>
      <c r="J15" s="4"/>
      <c r="K15" s="37">
        <f t="shared" si="2"/>
        <v>257.09399999999999</v>
      </c>
      <c r="L15" s="23">
        <f t="shared" si="31"/>
        <v>1028.376</v>
      </c>
      <c r="M15" s="38">
        <f t="shared" si="3"/>
        <v>1423.6776</v>
      </c>
      <c r="N15" s="27">
        <f t="shared" si="32"/>
        <v>5694.7103999999999</v>
      </c>
      <c r="O15" s="23">
        <f t="shared" si="33"/>
        <v>-1028.376</v>
      </c>
      <c r="P15" s="4"/>
      <c r="Q15" s="51" t="s">
        <v>44</v>
      </c>
      <c r="R15" s="48" t="s">
        <v>45</v>
      </c>
      <c r="S15">
        <f>IF(Tools!$L$49="Use 141 rule only",I39,IF(Tools!$L$49="Use 141 and 1331 rules",BG16," "))</f>
        <v>118613.43669851663</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12.25</v>
      </c>
      <c r="AQ15" s="34" t="str">
        <f t="shared" ca="1" si="18"/>
        <v>4/3</v>
      </c>
      <c r="AR15" s="23">
        <f t="shared" ca="1" si="19"/>
        <v>16.333333333333332</v>
      </c>
      <c r="AS15" s="24">
        <f t="shared" si="20"/>
        <v>-1</v>
      </c>
      <c r="AT15" s="23">
        <f t="shared" ca="1" si="37"/>
        <v>-16.333333333333332</v>
      </c>
      <c r="AU15" s="23">
        <f t="shared" ca="1" si="40"/>
        <v>16.333333333333332</v>
      </c>
      <c r="AV15" s="23">
        <f t="shared" si="21"/>
        <v>1838.265625</v>
      </c>
      <c r="AW15" s="23">
        <f t="shared" ca="1" si="22"/>
        <v>2451.020833333333</v>
      </c>
      <c r="AY15" s="35">
        <f t="shared" si="23"/>
        <v>257.09399999999999</v>
      </c>
      <c r="AZ15" s="23">
        <f t="shared" ca="1" si="41"/>
        <v>342.79199999999997</v>
      </c>
      <c r="BA15" s="36">
        <f t="shared" si="25"/>
        <v>1423.6776</v>
      </c>
      <c r="BB15" s="27">
        <f ca="1">IFERROR(BA15*AM15,"  ")</f>
        <v>1898.2367999999999</v>
      </c>
      <c r="BC15" s="23">
        <f t="shared" ca="1" si="39"/>
        <v>-342.79199999999997</v>
      </c>
      <c r="BE15" s="50" t="s">
        <v>42</v>
      </c>
      <c r="BF15" s="48" t="s">
        <v>46</v>
      </c>
      <c r="BG15" s="49">
        <f ca="1">IF(WL_No="  ","  ",2*(h^3)*$AU$29)</f>
        <v>3168963.784567798</v>
      </c>
    </row>
    <row r="16" spans="1:60" x14ac:dyDescent="0.25">
      <c r="A16" s="20">
        <f>Tools!$AD15</f>
        <v>10</v>
      </c>
      <c r="B16" s="33">
        <f t="shared" si="0"/>
        <v>12.25</v>
      </c>
      <c r="C16" s="22">
        <f>IF(A16="  ","  ",IF(AND(A15="  ",A17="  "),"?",IF(A15="  ",1*(A17-A16),IF(A17="  ",1*(A16-A15),1*(A17-A15)))))</f>
        <v>2</v>
      </c>
      <c r="D16" s="23">
        <f t="shared" si="26"/>
        <v>24.5</v>
      </c>
      <c r="E16" s="24">
        <f t="shared" si="1"/>
        <v>0</v>
      </c>
      <c r="F16" s="23">
        <f t="shared" si="27"/>
        <v>0</v>
      </c>
      <c r="G16" s="23">
        <f t="shared" si="28"/>
        <v>0</v>
      </c>
      <c r="H16" s="23">
        <f t="shared" si="29"/>
        <v>1838.265625</v>
      </c>
      <c r="I16" s="23">
        <f t="shared" si="30"/>
        <v>3676.53125</v>
      </c>
      <c r="J16" s="4"/>
      <c r="K16" s="37">
        <f t="shared" si="2"/>
        <v>257.964</v>
      </c>
      <c r="L16" s="23">
        <f t="shared" si="31"/>
        <v>515.928</v>
      </c>
      <c r="M16" s="38">
        <f t="shared" si="3"/>
        <v>1424.0232000000001</v>
      </c>
      <c r="N16" s="27">
        <f t="shared" si="32"/>
        <v>2848.0464000000002</v>
      </c>
      <c r="O16" s="23">
        <f t="shared" si="33"/>
        <v>0</v>
      </c>
      <c r="P16" s="4"/>
      <c r="Q16" s="50" t="s">
        <v>47</v>
      </c>
      <c r="R16" s="48" t="s">
        <v>48</v>
      </c>
      <c r="S16">
        <f>IF(Tools!$L$49="Use 141 rule only",I40,IF(Tools!$L$49="Use 141 and 1331 rules",BG17," "))</f>
        <v>3064436.4779506424</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12.25</v>
      </c>
      <c r="AQ16" s="34" t="str">
        <f t="shared" ca="1" si="18"/>
        <v>2/3</v>
      </c>
      <c r="AR16" s="23">
        <f t="shared" ca="1" si="19"/>
        <v>8.1666666666666661</v>
      </c>
      <c r="AS16" s="24">
        <f t="shared" si="20"/>
        <v>0</v>
      </c>
      <c r="AT16" s="23">
        <f t="shared" ca="1" si="37"/>
        <v>0</v>
      </c>
      <c r="AU16" s="23">
        <f t="shared" ca="1" si="40"/>
        <v>0</v>
      </c>
      <c r="AV16" s="23">
        <f t="shared" si="21"/>
        <v>1838.265625</v>
      </c>
      <c r="AW16" s="23">
        <f t="shared" ca="1" si="22"/>
        <v>1225.5104166666665</v>
      </c>
      <c r="AY16" s="35">
        <f t="shared" si="23"/>
        <v>257.964</v>
      </c>
      <c r="AZ16" s="23">
        <f t="shared" ca="1" si="41"/>
        <v>171.976</v>
      </c>
      <c r="BA16" s="36">
        <f t="shared" si="25"/>
        <v>1424.0232000000001</v>
      </c>
      <c r="BB16" s="27">
        <f t="shared" ca="1" si="38"/>
        <v>949.34879999999998</v>
      </c>
      <c r="BC16" s="23">
        <f ca="1">IFERROR(AZ16*AS16,"  ")</f>
        <v>0</v>
      </c>
      <c r="BE16" s="51" t="s">
        <v>44</v>
      </c>
      <c r="BF16" s="48" t="s">
        <v>49</v>
      </c>
      <c r="BG16" s="49">
        <f ca="1">IF(WL_No="  ","  ",2/3*h*$AW$29)</f>
        <v>118613.43669851669</v>
      </c>
    </row>
    <row r="17" spans="1:59" x14ac:dyDescent="0.25">
      <c r="A17" s="20">
        <f>Tools!$AD16</f>
        <v>11</v>
      </c>
      <c r="B17" s="33">
        <f t="shared" si="0"/>
        <v>12.25</v>
      </c>
      <c r="C17" s="22">
        <f>IF(A17="  ","  ",IF(AND(A16="  ",A18="  "),"?",IF(A16="  ",2*(A18-A17),IF(A18="  ",2*(A17-A16),2*(A18-A16)))))</f>
        <v>4</v>
      </c>
      <c r="D17" s="23">
        <f t="shared" si="26"/>
        <v>49</v>
      </c>
      <c r="E17" s="24">
        <f t="shared" si="1"/>
        <v>1</v>
      </c>
      <c r="F17" s="23">
        <f t="shared" si="27"/>
        <v>49</v>
      </c>
      <c r="G17" s="23">
        <f t="shared" si="28"/>
        <v>49</v>
      </c>
      <c r="H17" s="23">
        <f t="shared" si="29"/>
        <v>1838.265625</v>
      </c>
      <c r="I17" s="23">
        <f t="shared" si="30"/>
        <v>7353.0625</v>
      </c>
      <c r="J17" s="4"/>
      <c r="K17" s="37">
        <f t="shared" si="2"/>
        <v>257.238</v>
      </c>
      <c r="L17" s="23">
        <f t="shared" si="31"/>
        <v>1028.952</v>
      </c>
      <c r="M17" s="38">
        <f t="shared" si="3"/>
        <v>1422.4032000000002</v>
      </c>
      <c r="N17" s="27">
        <f t="shared" si="32"/>
        <v>5689.6128000000008</v>
      </c>
      <c r="O17" s="23">
        <f t="shared" si="33"/>
        <v>1028.952</v>
      </c>
      <c r="P17" s="4"/>
      <c r="Q17" s="50" t="s">
        <v>50</v>
      </c>
      <c r="R17" s="48" t="s">
        <v>51</v>
      </c>
      <c r="S17">
        <f>IF(Tools!$L$49="Use 141 rule only",I41,IF(Tools!$L$49="Use 141 and 1331 rules",BG18," "))</f>
        <v>22592.578896749998</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12.25</v>
      </c>
      <c r="AQ17" s="34" t="str">
        <f t="shared" ca="1" si="18"/>
        <v>4/3</v>
      </c>
      <c r="AR17" s="23">
        <f t="shared" ca="1" si="19"/>
        <v>16.333333333333332</v>
      </c>
      <c r="AS17" s="24">
        <f t="shared" si="20"/>
        <v>1</v>
      </c>
      <c r="AT17" s="23">
        <f t="shared" ca="1" si="37"/>
        <v>16.333333333333332</v>
      </c>
      <c r="AU17" s="23">
        <f t="shared" ca="1" si="40"/>
        <v>16.333333333333332</v>
      </c>
      <c r="AV17" s="23">
        <f t="shared" si="21"/>
        <v>1838.265625</v>
      </c>
      <c r="AW17" s="23">
        <f t="shared" ca="1" si="22"/>
        <v>2451.020833333333</v>
      </c>
      <c r="AY17" s="35">
        <f t="shared" si="23"/>
        <v>257.238</v>
      </c>
      <c r="AZ17" s="23">
        <f t="shared" ca="1" si="41"/>
        <v>342.98399999999998</v>
      </c>
      <c r="BA17" s="36">
        <f t="shared" si="25"/>
        <v>1422.4032000000002</v>
      </c>
      <c r="BB17" s="27">
        <f t="shared" ca="1" si="38"/>
        <v>1896.5376000000001</v>
      </c>
      <c r="BC17" s="23">
        <f t="shared" ca="1" si="39"/>
        <v>342.98399999999998</v>
      </c>
      <c r="BE17" s="50" t="s">
        <v>47</v>
      </c>
      <c r="BF17" s="48" t="s">
        <v>48</v>
      </c>
      <c r="BG17" s="49">
        <f>IF(WL_No="  ","  ",IL-AWP*(LCF^2))</f>
        <v>3064436.4779506424</v>
      </c>
    </row>
    <row r="18" spans="1:59" x14ac:dyDescent="0.25">
      <c r="A18" s="20">
        <f>Tools!$AD17</f>
        <v>12</v>
      </c>
      <c r="B18" s="33">
        <f t="shared" si="0"/>
        <v>12.25</v>
      </c>
      <c r="C18" s="22">
        <f>IF(A18="  ","  ",IF(AND(A17="  ",A19="  "),"?",IF(A17="  ",1*(A19-A18),IF(A19="  ",1*(A18-A17),1*(A19-A17)))))</f>
        <v>2</v>
      </c>
      <c r="D18" s="23">
        <f t="shared" si="26"/>
        <v>24.5</v>
      </c>
      <c r="E18" s="24">
        <f t="shared" si="1"/>
        <v>2</v>
      </c>
      <c r="F18" s="23">
        <f t="shared" si="27"/>
        <v>49</v>
      </c>
      <c r="G18" s="23">
        <f t="shared" si="28"/>
        <v>98</v>
      </c>
      <c r="H18" s="23">
        <f t="shared" si="29"/>
        <v>1838.265625</v>
      </c>
      <c r="I18" s="23">
        <f t="shared" si="30"/>
        <v>3676.53125</v>
      </c>
      <c r="J18" s="4"/>
      <c r="K18" s="37">
        <f t="shared" si="2"/>
        <v>252.90600000000001</v>
      </c>
      <c r="L18" s="23">
        <f t="shared" si="31"/>
        <v>505.81200000000001</v>
      </c>
      <c r="M18" s="38">
        <f t="shared" si="3"/>
        <v>1414.0871999999999</v>
      </c>
      <c r="N18" s="27">
        <f t="shared" si="32"/>
        <v>2828.1743999999999</v>
      </c>
      <c r="O18" s="23">
        <f t="shared" si="33"/>
        <v>1011.624</v>
      </c>
      <c r="P18" s="4"/>
      <c r="Q18" s="50" t="s">
        <v>52</v>
      </c>
      <c r="R18" s="48" t="s">
        <v>53</v>
      </c>
      <c r="S18">
        <f>IF(Tools!$L$49="Use 141 rule only",I42,IF(Tools!$L$49="Use 141 and 1331 rules",BG19," "))</f>
        <v>23296.337729383758</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12.25</v>
      </c>
      <c r="AQ18" s="34" t="str">
        <f t="shared" ca="1" si="18"/>
        <v>2/3</v>
      </c>
      <c r="AR18" s="23">
        <f t="shared" ca="1" si="19"/>
        <v>8.1666666666666661</v>
      </c>
      <c r="AS18" s="24">
        <f t="shared" si="20"/>
        <v>2</v>
      </c>
      <c r="AT18" s="23">
        <f t="shared" ca="1" si="37"/>
        <v>16.333333333333332</v>
      </c>
      <c r="AU18" s="23">
        <f t="shared" ca="1" si="40"/>
        <v>32.666666666666664</v>
      </c>
      <c r="AV18" s="23">
        <f t="shared" si="21"/>
        <v>1838.265625</v>
      </c>
      <c r="AW18" s="23">
        <f t="shared" ca="1" si="22"/>
        <v>1225.5104166666665</v>
      </c>
      <c r="AY18" s="35">
        <f t="shared" si="23"/>
        <v>252.90600000000001</v>
      </c>
      <c r="AZ18" s="23">
        <f t="shared" ca="1" si="41"/>
        <v>168.60399999999998</v>
      </c>
      <c r="BA18" s="36">
        <f t="shared" si="25"/>
        <v>1414.0871999999999</v>
      </c>
      <c r="BB18" s="27">
        <f t="shared" ca="1" si="38"/>
        <v>942.72479999999996</v>
      </c>
      <c r="BC18" s="23">
        <f t="shared" ca="1" si="39"/>
        <v>337.20799999999997</v>
      </c>
      <c r="BE18" s="50" t="s">
        <v>50</v>
      </c>
      <c r="BF18" s="48" t="s">
        <v>54</v>
      </c>
      <c r="BG18" s="49">
        <f ca="1">IF(WL_No="  ","  ",h*$AZ$29)</f>
        <v>22592.578896749994</v>
      </c>
    </row>
    <row r="19" spans="1:59" x14ac:dyDescent="0.25">
      <c r="A19" s="20">
        <f>Tools!$AD18</f>
        <v>13</v>
      </c>
      <c r="B19" s="33">
        <f t="shared" si="0"/>
        <v>12.23</v>
      </c>
      <c r="C19" s="22">
        <f>IF(A19="  ","  ",IF(AND(A18="  ",A20="  "),"?",IF(A18="  ",2*(A20-A19),IF(A20="  ",2*(A19-A18),2*(A20-A18)))))</f>
        <v>4</v>
      </c>
      <c r="D19" s="23">
        <f t="shared" si="26"/>
        <v>48.92</v>
      </c>
      <c r="E19" s="24">
        <f t="shared" si="1"/>
        <v>3</v>
      </c>
      <c r="F19" s="23">
        <f t="shared" si="27"/>
        <v>146.76</v>
      </c>
      <c r="G19" s="23">
        <f t="shared" si="28"/>
        <v>440.28</v>
      </c>
      <c r="H19" s="23">
        <f t="shared" si="29"/>
        <v>1829.2765670000001</v>
      </c>
      <c r="I19" s="23">
        <f t="shared" si="30"/>
        <v>7317.1062680000005</v>
      </c>
      <c r="J19" s="4"/>
      <c r="K19" s="37">
        <f t="shared" si="2"/>
        <v>240.62400000000002</v>
      </c>
      <c r="L19" s="23">
        <f t="shared" si="31"/>
        <v>962.49600000000009</v>
      </c>
      <c r="M19" s="38">
        <f t="shared" si="3"/>
        <v>1375.1208000000001</v>
      </c>
      <c r="N19" s="27">
        <f t="shared" si="32"/>
        <v>5500.4832000000006</v>
      </c>
      <c r="O19" s="23">
        <f t="shared" si="33"/>
        <v>2887.4880000000003</v>
      </c>
      <c r="P19" s="4"/>
      <c r="Q19" s="50" t="s">
        <v>55</v>
      </c>
      <c r="R19" s="48" t="s">
        <v>56</v>
      </c>
      <c r="S19">
        <f>IF(Tools!$L$49="Use 141 rule only",I43,IF(Tools!$L$49="Use 141 and 1331 rules",BG20," "))</f>
        <v>135984.60710536418</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12.23</v>
      </c>
      <c r="AQ19" s="34" t="str">
        <f t="shared" ca="1" si="18"/>
        <v>4/3</v>
      </c>
      <c r="AR19" s="23">
        <f t="shared" ca="1" si="19"/>
        <v>16.306666666666665</v>
      </c>
      <c r="AS19" s="24">
        <f t="shared" si="20"/>
        <v>3</v>
      </c>
      <c r="AT19" s="23">
        <f t="shared" ca="1" si="37"/>
        <v>48.919999999999995</v>
      </c>
      <c r="AU19" s="23">
        <f t="shared" ca="1" si="40"/>
        <v>146.76</v>
      </c>
      <c r="AV19" s="23">
        <f t="shared" si="21"/>
        <v>1829.2765670000001</v>
      </c>
      <c r="AW19" s="23">
        <f t="shared" ca="1" si="22"/>
        <v>2439.0354226666668</v>
      </c>
      <c r="AY19" s="35">
        <f t="shared" si="23"/>
        <v>240.62400000000002</v>
      </c>
      <c r="AZ19" s="23">
        <f t="shared" ca="1" si="41"/>
        <v>320.83199999999999</v>
      </c>
      <c r="BA19" s="36">
        <f t="shared" si="25"/>
        <v>1375.1208000000001</v>
      </c>
      <c r="BB19" s="27">
        <f t="shared" ca="1" si="38"/>
        <v>1833.4944</v>
      </c>
      <c r="BC19" s="23">
        <f t="shared" ca="1" si="39"/>
        <v>962.49599999999998</v>
      </c>
      <c r="BE19" s="50" t="s">
        <v>52</v>
      </c>
      <c r="BF19" s="48" t="s">
        <v>53</v>
      </c>
      <c r="BG19" s="49">
        <f>IF(WL_No="  ","  ",V_Disp*1.025*1.006)</f>
        <v>23296.337729383758</v>
      </c>
    </row>
    <row r="20" spans="1:59" x14ac:dyDescent="0.25">
      <c r="A20" s="20">
        <f>Tools!$AD19</f>
        <v>14</v>
      </c>
      <c r="B20" s="33">
        <f t="shared" si="0"/>
        <v>11.79</v>
      </c>
      <c r="C20" s="22">
        <f>IF(A20="  ","  ",IF(AND(A19="  ",A21="  "),"?",IF(A19="  ",1*(A21-A20),IF(A21="  ",1*(A20-A19),1*(A21-A19)))))</f>
        <v>2</v>
      </c>
      <c r="D20" s="23">
        <f t="shared" si="26"/>
        <v>23.58</v>
      </c>
      <c r="E20" s="24">
        <f t="shared" si="1"/>
        <v>4</v>
      </c>
      <c r="F20" s="23">
        <f t="shared" si="27"/>
        <v>94.32</v>
      </c>
      <c r="G20" s="23">
        <f t="shared" si="28"/>
        <v>377.28</v>
      </c>
      <c r="H20" s="23">
        <f t="shared" si="29"/>
        <v>1638.8583389999999</v>
      </c>
      <c r="I20" s="23">
        <f t="shared" si="30"/>
        <v>3277.7166779999998</v>
      </c>
      <c r="J20" s="4"/>
      <c r="K20" s="37">
        <f t="shared" si="2"/>
        <v>216.33599999999998</v>
      </c>
      <c r="L20" s="23">
        <f t="shared" si="31"/>
        <v>432.67199999999997</v>
      </c>
      <c r="M20" s="38">
        <f t="shared" si="3"/>
        <v>1267.6176</v>
      </c>
      <c r="N20" s="27">
        <f t="shared" si="32"/>
        <v>2535.2352000000001</v>
      </c>
      <c r="O20" s="23">
        <f t="shared" si="33"/>
        <v>1730.6879999999999</v>
      </c>
      <c r="P20" s="4"/>
      <c r="Q20" s="50" t="s">
        <v>57</v>
      </c>
      <c r="R20" s="48" t="s">
        <v>58</v>
      </c>
      <c r="S20">
        <f>IF(Tools!$L$49="Use 141 rule only",I44,IF(Tools!$L$49="Use 141 and 1331 rules",BG21," "))</f>
        <v>-33269.250853889986</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11.79</v>
      </c>
      <c r="AQ20" s="34" t="str">
        <f t="shared" ca="1" si="18"/>
        <v>2/3</v>
      </c>
      <c r="AR20" s="23">
        <f t="shared" ca="1" si="19"/>
        <v>7.8599999999999994</v>
      </c>
      <c r="AS20" s="24">
        <f t="shared" si="20"/>
        <v>4</v>
      </c>
      <c r="AT20" s="23">
        <f t="shared" ca="1" si="37"/>
        <v>31.439999999999998</v>
      </c>
      <c r="AU20" s="23">
        <f t="shared" ca="1" si="40"/>
        <v>125.75999999999999</v>
      </c>
      <c r="AV20" s="23">
        <f t="shared" si="21"/>
        <v>1638.8583389999999</v>
      </c>
      <c r="AW20" s="23">
        <f t="shared" ca="1" si="22"/>
        <v>1092.5722259999998</v>
      </c>
      <c r="AY20" s="35">
        <f t="shared" si="23"/>
        <v>216.33599999999998</v>
      </c>
      <c r="AZ20" s="23">
        <f t="shared" ca="1" si="41"/>
        <v>144.22399999999999</v>
      </c>
      <c r="BA20" s="36">
        <f t="shared" si="25"/>
        <v>1267.6176</v>
      </c>
      <c r="BB20" s="27">
        <f t="shared" ca="1" si="38"/>
        <v>845.07839999999999</v>
      </c>
      <c r="BC20" s="23">
        <f t="shared" ca="1" si="39"/>
        <v>576.89599999999996</v>
      </c>
      <c r="BE20" s="50" t="s">
        <v>55</v>
      </c>
      <c r="BF20" s="48" t="s">
        <v>59</v>
      </c>
      <c r="BG20" s="49">
        <f ca="1">IF(WL_No="  ","  ",h*$BB$29)</f>
        <v>135984.60710536418</v>
      </c>
    </row>
    <row r="21" spans="1:59" x14ac:dyDescent="0.25">
      <c r="A21" s="20">
        <f>Tools!$AD20</f>
        <v>15</v>
      </c>
      <c r="B21" s="33">
        <f t="shared" si="0"/>
        <v>10.8</v>
      </c>
      <c r="C21" s="22">
        <f>IF(A21="  ","  ",IF(AND(A20="  ",A22="  "),"?",IF(A20="  ",2*(A22-A21),IF(A22="  ",2*(A21-A20),2*(A22-A20)))))</f>
        <v>4</v>
      </c>
      <c r="D21" s="23">
        <f t="shared" si="26"/>
        <v>43.2</v>
      </c>
      <c r="E21" s="24">
        <f t="shared" si="1"/>
        <v>5</v>
      </c>
      <c r="F21" s="23">
        <f t="shared" si="27"/>
        <v>216</v>
      </c>
      <c r="G21" s="23">
        <f t="shared" si="28"/>
        <v>1080</v>
      </c>
      <c r="H21" s="23">
        <f t="shared" si="29"/>
        <v>1259.7120000000002</v>
      </c>
      <c r="I21" s="23">
        <f t="shared" si="30"/>
        <v>5038.8480000000009</v>
      </c>
      <c r="J21" s="4"/>
      <c r="K21" s="37">
        <f t="shared" si="2"/>
        <v>184.75200000000001</v>
      </c>
      <c r="L21" s="23">
        <f t="shared" si="31"/>
        <v>739.00800000000004</v>
      </c>
      <c r="M21" s="38">
        <f t="shared" si="3"/>
        <v>1108.836</v>
      </c>
      <c r="N21" s="27">
        <f t="shared" si="32"/>
        <v>4435.3440000000001</v>
      </c>
      <c r="O21" s="23">
        <f t="shared" si="33"/>
        <v>3695.04</v>
      </c>
      <c r="P21" s="4"/>
      <c r="Q21" s="50" t="s">
        <v>60</v>
      </c>
      <c r="R21" s="48" t="s">
        <v>61</v>
      </c>
      <c r="S21">
        <f>IF(Tools!$L$49="Use 141 rule only",I45,IF(Tools!$L$49="Use 141 and 1331 rules",BG22," "))</f>
        <v>135.6390738726808</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10.8</v>
      </c>
      <c r="AQ21" s="34" t="str">
        <f t="shared" ca="1" si="18"/>
        <v>4/3</v>
      </c>
      <c r="AR21" s="23">
        <f t="shared" ca="1" si="19"/>
        <v>14.4</v>
      </c>
      <c r="AS21" s="24">
        <f t="shared" si="20"/>
        <v>5</v>
      </c>
      <c r="AT21" s="23">
        <f t="shared" ca="1" si="37"/>
        <v>72</v>
      </c>
      <c r="AU21" s="23">
        <f t="shared" ca="1" si="40"/>
        <v>360</v>
      </c>
      <c r="AV21" s="23">
        <f t="shared" si="21"/>
        <v>1259.7120000000002</v>
      </c>
      <c r="AW21" s="23">
        <f t="shared" ca="1" si="22"/>
        <v>1679.6160000000002</v>
      </c>
      <c r="AY21" s="35">
        <f t="shared" si="23"/>
        <v>184.75200000000001</v>
      </c>
      <c r="AZ21" s="23">
        <f t="shared" ca="1" si="41"/>
        <v>246.33600000000001</v>
      </c>
      <c r="BA21" s="36">
        <f t="shared" si="25"/>
        <v>1108.836</v>
      </c>
      <c r="BB21" s="27">
        <f t="shared" ca="1" si="38"/>
        <v>1478.4479999999999</v>
      </c>
      <c r="BC21" s="23">
        <f t="shared" ca="1" si="39"/>
        <v>1231.68</v>
      </c>
      <c r="BE21" s="50" t="s">
        <v>57</v>
      </c>
      <c r="BF21" s="48" t="s">
        <v>62</v>
      </c>
      <c r="BG21" s="49">
        <f ca="1">IF(WL_No="  ","  ",(h^2)*$BC$29)</f>
        <v>-33269.250853890058</v>
      </c>
    </row>
    <row r="22" spans="1:59" x14ac:dyDescent="0.25">
      <c r="A22" s="20">
        <f>Tools!$AD21</f>
        <v>16</v>
      </c>
      <c r="B22" s="33">
        <f t="shared" si="0"/>
        <v>9.43</v>
      </c>
      <c r="C22" s="22">
        <f>IF(A22="  ","  ",IF(AND(A21="  ",A23="  "),"?",IF(A21="  ",1*(A23-A22),IF(A23="  ",1*(A22-A21),1*(A23-A21)))))</f>
        <v>2</v>
      </c>
      <c r="D22" s="23">
        <f t="shared" si="26"/>
        <v>18.86</v>
      </c>
      <c r="E22" s="24">
        <f t="shared" si="1"/>
        <v>6</v>
      </c>
      <c r="F22" s="23">
        <f t="shared" si="27"/>
        <v>113.16</v>
      </c>
      <c r="G22" s="23">
        <f t="shared" si="28"/>
        <v>678.96</v>
      </c>
      <c r="H22" s="23">
        <f t="shared" si="29"/>
        <v>838.56180699999993</v>
      </c>
      <c r="I22" s="23">
        <f t="shared" si="30"/>
        <v>1677.1236139999999</v>
      </c>
      <c r="J22" s="4"/>
      <c r="K22" s="37">
        <f t="shared" si="2"/>
        <v>147.34200000000001</v>
      </c>
      <c r="L22" s="23">
        <f t="shared" si="31"/>
        <v>294.68400000000003</v>
      </c>
      <c r="M22" s="38">
        <f t="shared" si="3"/>
        <v>909.2736000000001</v>
      </c>
      <c r="N22" s="27">
        <f t="shared" si="32"/>
        <v>1818.5472000000002</v>
      </c>
      <c r="O22" s="23">
        <f t="shared" si="33"/>
        <v>1768.1040000000003</v>
      </c>
      <c r="P22" s="4"/>
      <c r="Q22" s="50" t="s">
        <v>63</v>
      </c>
      <c r="R22" s="48" t="s">
        <v>64</v>
      </c>
      <c r="S22">
        <f>IF(Tools!$L$49="Use 141 rule only",I46,IF(Tools!$L$49="Use 141 and 1331 rules",BG23," "))</f>
        <v>5.2501061184997999</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9.43</v>
      </c>
      <c r="AQ22" s="34" t="str">
        <f t="shared" ca="1" si="18"/>
        <v>2/3</v>
      </c>
      <c r="AR22" s="23">
        <f t="shared" ca="1" si="19"/>
        <v>6.2866666666666662</v>
      </c>
      <c r="AS22" s="24">
        <f t="shared" si="20"/>
        <v>6</v>
      </c>
      <c r="AT22" s="23">
        <f t="shared" ca="1" si="37"/>
        <v>37.72</v>
      </c>
      <c r="AU22" s="23">
        <f t="shared" ca="1" si="40"/>
        <v>226.32</v>
      </c>
      <c r="AV22" s="23">
        <f t="shared" si="21"/>
        <v>838.56180699999993</v>
      </c>
      <c r="AW22" s="23">
        <f t="shared" ca="1" si="22"/>
        <v>559.04120466666654</v>
      </c>
      <c r="AY22" s="35">
        <f t="shared" si="23"/>
        <v>147.34200000000001</v>
      </c>
      <c r="AZ22" s="23">
        <f t="shared" ca="1" si="41"/>
        <v>98.228000000000009</v>
      </c>
      <c r="BA22" s="36">
        <f t="shared" si="25"/>
        <v>909.2736000000001</v>
      </c>
      <c r="BB22" s="27">
        <f t="shared" ca="1" si="38"/>
        <v>606.18240000000003</v>
      </c>
      <c r="BC22" s="23">
        <f t="shared" ca="1" si="39"/>
        <v>589.36800000000005</v>
      </c>
      <c r="BE22" s="50" t="s">
        <v>60</v>
      </c>
      <c r="BF22" s="48" t="s">
        <v>61</v>
      </c>
      <c r="BG22" s="49">
        <f>IF(WL_No="  ","  ",IF/V_Disp)</f>
        <v>135.6390738726808</v>
      </c>
    </row>
    <row r="23" spans="1:59" x14ac:dyDescent="0.25">
      <c r="A23" s="20">
        <f>Tools!$AD22</f>
        <v>17</v>
      </c>
      <c r="B23" s="33">
        <f t="shared" si="0"/>
        <v>7.64</v>
      </c>
      <c r="C23" s="22">
        <f>IF(A23="  ","  ",IF(AND(A22="  ",A24="  "),"?",IF(A22="  ",2*(A24-A23),IF(A24="  ",2*(A23-A22),2*(A24-A22)))))</f>
        <v>4</v>
      </c>
      <c r="D23" s="23">
        <f t="shared" si="26"/>
        <v>30.56</v>
      </c>
      <c r="E23" s="24">
        <f t="shared" si="1"/>
        <v>7</v>
      </c>
      <c r="F23" s="23">
        <f t="shared" si="27"/>
        <v>213.92</v>
      </c>
      <c r="G23" s="23">
        <f t="shared" si="28"/>
        <v>1497.4399999999998</v>
      </c>
      <c r="H23" s="23">
        <f t="shared" si="29"/>
        <v>445.94374399999998</v>
      </c>
      <c r="I23" s="23">
        <f t="shared" si="30"/>
        <v>1783.7749759999999</v>
      </c>
      <c r="J23" s="4"/>
      <c r="K23" s="37">
        <f t="shared" si="2"/>
        <v>107.244</v>
      </c>
      <c r="L23" s="23">
        <f t="shared" si="31"/>
        <v>428.976</v>
      </c>
      <c r="M23" s="38">
        <f t="shared" si="3"/>
        <v>680.70240000000001</v>
      </c>
      <c r="N23" s="27">
        <f t="shared" si="32"/>
        <v>2722.8096</v>
      </c>
      <c r="O23" s="23">
        <f t="shared" si="33"/>
        <v>3002.8319999999999</v>
      </c>
      <c r="P23" s="4"/>
      <c r="Q23" s="50" t="s">
        <v>65</v>
      </c>
      <c r="R23" s="48" t="s">
        <v>66</v>
      </c>
      <c r="S23">
        <f>IF(Tools!$L$49="Use 141 rule only",I47,IF(Tools!$L$49="Use 141 and 1331 rules",BG24," "))</f>
        <v>6.0189944550741803</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7.64</v>
      </c>
      <c r="AQ23" s="34" t="str">
        <f t="shared" ca="1" si="18"/>
        <v>4/3</v>
      </c>
      <c r="AR23" s="23">
        <f t="shared" ca="1" si="19"/>
        <v>10.186666666666666</v>
      </c>
      <c r="AS23" s="24">
        <f t="shared" si="20"/>
        <v>7</v>
      </c>
      <c r="AT23" s="23">
        <f t="shared" ca="1" si="37"/>
        <v>71.306666666666658</v>
      </c>
      <c r="AU23" s="23">
        <f t="shared" ca="1" si="40"/>
        <v>499.14666666666659</v>
      </c>
      <c r="AV23" s="23">
        <f t="shared" si="21"/>
        <v>445.94374399999998</v>
      </c>
      <c r="AW23" s="23">
        <f t="shared" ca="1" si="22"/>
        <v>594.5916586666666</v>
      </c>
      <c r="AY23" s="35">
        <f t="shared" si="23"/>
        <v>107.244</v>
      </c>
      <c r="AZ23" s="23">
        <f t="shared" ca="1" si="41"/>
        <v>142.99199999999999</v>
      </c>
      <c r="BA23" s="36">
        <f t="shared" si="25"/>
        <v>680.70240000000001</v>
      </c>
      <c r="BB23" s="27">
        <f t="shared" ca="1" si="38"/>
        <v>907.60320000000002</v>
      </c>
      <c r="BC23" s="23">
        <f t="shared" ca="1" si="39"/>
        <v>1000.944</v>
      </c>
      <c r="BE23" s="50" t="s">
        <v>63</v>
      </c>
      <c r="BF23" s="48" t="s">
        <v>64</v>
      </c>
      <c r="BG23" s="49">
        <f>IF(WL_No="  ","  ",IT/V_Disp)</f>
        <v>5.2501061184997999</v>
      </c>
    </row>
    <row r="24" spans="1:59" x14ac:dyDescent="0.25">
      <c r="A24" s="20">
        <f>Tools!$AD23</f>
        <v>18</v>
      </c>
      <c r="B24" s="33">
        <f t="shared" si="0"/>
        <v>5.47</v>
      </c>
      <c r="C24" s="22">
        <f>IF(A24="  ","  ",IF(AND(A23="  ",A25="  "),"?",IF(A23="  ",1*(A25-A24),IF(A25="  ",1*(A24-A23),1*(A25-A23)))))</f>
        <v>1.5</v>
      </c>
      <c r="D24" s="23">
        <f t="shared" si="26"/>
        <v>8.2050000000000001</v>
      </c>
      <c r="E24" s="24">
        <f t="shared" si="1"/>
        <v>8</v>
      </c>
      <c r="F24" s="23">
        <f t="shared" si="27"/>
        <v>65.64</v>
      </c>
      <c r="G24" s="23">
        <f t="shared" si="28"/>
        <v>525.12</v>
      </c>
      <c r="H24" s="23">
        <f t="shared" si="29"/>
        <v>163.66732299999998</v>
      </c>
      <c r="I24" s="23">
        <f t="shared" si="30"/>
        <v>245.50098449999996</v>
      </c>
      <c r="J24" s="4"/>
      <c r="K24" s="37">
        <f t="shared" si="2"/>
        <v>69.115499999999997</v>
      </c>
      <c r="L24" s="23">
        <f t="shared" si="31"/>
        <v>103.67325</v>
      </c>
      <c r="M24" s="38">
        <f t="shared" si="3"/>
        <v>445.29682500000001</v>
      </c>
      <c r="N24" s="27">
        <f t="shared" si="32"/>
        <v>667.94523750000008</v>
      </c>
      <c r="O24" s="23">
        <f t="shared" si="33"/>
        <v>829.38599999999997</v>
      </c>
      <c r="P24" s="4"/>
      <c r="Q24" s="50" t="s">
        <v>67</v>
      </c>
      <c r="R24" s="48" t="s">
        <v>68</v>
      </c>
      <c r="S24">
        <f>IF(Tools!$L$49="Use 141 rule only",I48,IF(Tools!$L$49="Use 141 and 1331 rules",BG25," "))</f>
        <v>11.269100573573979</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5.47</v>
      </c>
      <c r="AQ24" s="34" t="str">
        <f t="shared" ca="1" si="18"/>
        <v>(1/2)*(1/3)+1/3</v>
      </c>
      <c r="AR24" s="23">
        <f t="shared" ca="1" si="19"/>
        <v>2.7349999999999999</v>
      </c>
      <c r="AS24" s="24">
        <f t="shared" si="20"/>
        <v>8</v>
      </c>
      <c r="AT24" s="23">
        <f t="shared" ca="1" si="37"/>
        <v>21.88</v>
      </c>
      <c r="AU24" s="23">
        <f t="shared" ca="1" si="40"/>
        <v>175.04</v>
      </c>
      <c r="AV24" s="23">
        <f t="shared" si="21"/>
        <v>163.66732299999998</v>
      </c>
      <c r="AW24" s="23">
        <f t="shared" ca="1" si="22"/>
        <v>81.833661499999991</v>
      </c>
      <c r="AY24" s="35">
        <f t="shared" si="23"/>
        <v>69.115499999999997</v>
      </c>
      <c r="AZ24" s="23">
        <f t="shared" ca="1" si="41"/>
        <v>34.557749999999999</v>
      </c>
      <c r="BA24" s="36">
        <f t="shared" si="25"/>
        <v>445.29682500000001</v>
      </c>
      <c r="BB24" s="27">
        <f t="shared" ca="1" si="38"/>
        <v>222.64841250000001</v>
      </c>
      <c r="BC24" s="23">
        <f t="shared" ca="1" si="39"/>
        <v>276.46199999999999</v>
      </c>
      <c r="BE24" s="50" t="s">
        <v>65</v>
      </c>
      <c r="BF24" s="48" t="s">
        <v>66</v>
      </c>
      <c r="BG24" s="49">
        <f>IF(WL_No="  ","  ",MT/V_Disp)</f>
        <v>6.0189944550741803</v>
      </c>
    </row>
    <row r="25" spans="1:59" x14ac:dyDescent="0.25">
      <c r="A25" s="20">
        <f>Tools!$AD24</f>
        <v>18.5</v>
      </c>
      <c r="B25" s="33">
        <f t="shared" si="0"/>
        <v>4.3</v>
      </c>
      <c r="C25" s="22">
        <f>IF(A25="  ","  ",IF(AND(A24="  ",A26="  "),"?",IF(A24="  ",2*(A26-A25),IF(A26="  ",2*(A25-A24),2*(A26-A24)))))</f>
        <v>2</v>
      </c>
      <c r="D25" s="23">
        <f t="shared" si="26"/>
        <v>8.6</v>
      </c>
      <c r="E25" s="24">
        <f t="shared" si="1"/>
        <v>8.5</v>
      </c>
      <c r="F25" s="23">
        <f t="shared" si="27"/>
        <v>73.099999999999994</v>
      </c>
      <c r="G25" s="23">
        <f t="shared" si="28"/>
        <v>621.34999999999991</v>
      </c>
      <c r="H25" s="23">
        <f t="shared" si="29"/>
        <v>79.506999999999991</v>
      </c>
      <c r="I25" s="23">
        <f t="shared" si="30"/>
        <v>159.01399999999998</v>
      </c>
      <c r="J25" s="4"/>
      <c r="K25" s="37">
        <f t="shared" si="2"/>
        <v>52.170200000000001</v>
      </c>
      <c r="L25" s="23">
        <f t="shared" si="31"/>
        <v>104.3404</v>
      </c>
      <c r="M25" s="38">
        <f t="shared" si="3"/>
        <v>336.33461133333333</v>
      </c>
      <c r="N25" s="27">
        <f t="shared" si="32"/>
        <v>672.66922266666666</v>
      </c>
      <c r="O25" s="23">
        <f t="shared" si="33"/>
        <v>886.89340000000004</v>
      </c>
      <c r="P25" s="4"/>
      <c r="Q25" s="50" t="s">
        <v>69</v>
      </c>
      <c r="R25" s="48" t="s">
        <v>70</v>
      </c>
      <c r="S25">
        <f>IF(Tools!$L$49="Use 141 rule only",I49,IF(Tools!$L$49="Use 141 and 1331 rules",BG26," "))</f>
        <v>141.65806832775499</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4.3</v>
      </c>
      <c r="AQ25" s="34" t="str">
        <f t="shared" ca="1" si="18"/>
        <v>(1/2)*(4/3)</v>
      </c>
      <c r="AR25" s="23">
        <f t="shared" ca="1" si="19"/>
        <v>2.8666666666666663</v>
      </c>
      <c r="AS25" s="24">
        <f t="shared" si="20"/>
        <v>8.5</v>
      </c>
      <c r="AT25" s="23">
        <f t="shared" ca="1" si="37"/>
        <v>24.366666666666664</v>
      </c>
      <c r="AU25" s="23">
        <f t="shared" ca="1" si="40"/>
        <v>207.11666666666665</v>
      </c>
      <c r="AV25" s="23">
        <f t="shared" si="21"/>
        <v>79.506999999999991</v>
      </c>
      <c r="AW25" s="23">
        <f t="shared" ca="1" si="22"/>
        <v>53.004666666666658</v>
      </c>
      <c r="AY25" s="35">
        <f t="shared" si="23"/>
        <v>52.170200000000001</v>
      </c>
      <c r="AZ25" s="23">
        <f t="shared" ca="1" si="41"/>
        <v>34.780133333333332</v>
      </c>
      <c r="BA25" s="36">
        <f t="shared" si="25"/>
        <v>336.33461133333333</v>
      </c>
      <c r="BB25" s="27">
        <f t="shared" ca="1" si="38"/>
        <v>224.22307422222221</v>
      </c>
      <c r="BC25" s="23">
        <f t="shared" ca="1" si="39"/>
        <v>295.63113333333331</v>
      </c>
      <c r="BE25" s="50" t="s">
        <v>67</v>
      </c>
      <c r="BF25" s="48" t="s">
        <v>68</v>
      </c>
      <c r="BG25" s="49">
        <f>IF(WL_No="  ","  ",KB+BMT)</f>
        <v>11.269100573573979</v>
      </c>
    </row>
    <row r="26" spans="1:59" x14ac:dyDescent="0.25">
      <c r="A26" s="20">
        <f>Tools!$AD25</f>
        <v>19</v>
      </c>
      <c r="B26" s="33">
        <f t="shared" si="0"/>
        <v>3.1</v>
      </c>
      <c r="C26" s="22">
        <f>IF(A26="  ","  ",IF(AND(A25="  ",A27="  "),"?",IF(A25="  ",1*(A27-A26),IF(A27="  ",1*(A26-A25),1*(A27-A25)))))</f>
        <v>1</v>
      </c>
      <c r="D26" s="23">
        <f t="shared" si="26"/>
        <v>3.1</v>
      </c>
      <c r="E26" s="24">
        <f t="shared" si="1"/>
        <v>9</v>
      </c>
      <c r="F26" s="23">
        <f t="shared" si="27"/>
        <v>27.900000000000002</v>
      </c>
      <c r="G26" s="23">
        <f t="shared" si="28"/>
        <v>251.10000000000002</v>
      </c>
      <c r="H26" s="23">
        <f t="shared" si="29"/>
        <v>29.791000000000004</v>
      </c>
      <c r="I26" s="23">
        <f t="shared" si="30"/>
        <v>29.791000000000004</v>
      </c>
      <c r="J26" s="4"/>
      <c r="K26" s="37">
        <f t="shared" si="2"/>
        <v>37.947599999999994</v>
      </c>
      <c r="L26" s="23">
        <f t="shared" si="31"/>
        <v>37.947599999999994</v>
      </c>
      <c r="M26" s="38">
        <f t="shared" si="3"/>
        <v>239.64700200000004</v>
      </c>
      <c r="N26" s="27">
        <f t="shared" si="32"/>
        <v>239.64700200000004</v>
      </c>
      <c r="O26" s="23">
        <f t="shared" si="33"/>
        <v>341.52839999999992</v>
      </c>
      <c r="P26" s="4"/>
      <c r="Q26" s="50" t="s">
        <v>71</v>
      </c>
      <c r="R26" s="48" t="s">
        <v>72</v>
      </c>
      <c r="S26">
        <f>IF(Tools!$L$49="Use 141 rule only",I50,IF(Tools!$L$49="Use 141 and 1331 rules",BG27," "))</f>
        <v>28.041542049999993</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3.1</v>
      </c>
      <c r="AQ26" s="34" t="str">
        <f t="shared" ca="1" si="18"/>
        <v>(1/2)*(2/3)</v>
      </c>
      <c r="AR26" s="23">
        <f t="shared" ca="1" si="19"/>
        <v>1.0333333333333332</v>
      </c>
      <c r="AS26" s="24">
        <f t="shared" si="20"/>
        <v>9</v>
      </c>
      <c r="AT26" s="23">
        <f t="shared" ca="1" si="37"/>
        <v>9.2999999999999989</v>
      </c>
      <c r="AU26" s="23">
        <f t="shared" ca="1" si="40"/>
        <v>83.699999999999989</v>
      </c>
      <c r="AV26" s="23">
        <f t="shared" si="21"/>
        <v>29.791000000000004</v>
      </c>
      <c r="AW26" s="23">
        <f t="shared" ca="1" si="22"/>
        <v>9.9303333333333335</v>
      </c>
      <c r="AY26" s="35">
        <f t="shared" si="23"/>
        <v>37.947599999999994</v>
      </c>
      <c r="AZ26" s="23">
        <f t="shared" ca="1" si="41"/>
        <v>12.649199999999997</v>
      </c>
      <c r="BA26" s="36">
        <f t="shared" si="25"/>
        <v>239.64700200000004</v>
      </c>
      <c r="BB26" s="27">
        <f t="shared" ca="1" si="38"/>
        <v>79.882334000000014</v>
      </c>
      <c r="BC26" s="23">
        <f t="shared" ca="1" si="39"/>
        <v>113.84279999999997</v>
      </c>
      <c r="BE26" s="50" t="s">
        <v>69</v>
      </c>
      <c r="BF26" s="48" t="s">
        <v>70</v>
      </c>
      <c r="BG26" s="49">
        <f>IF(WL_No="  ","  ",KB+BML)</f>
        <v>141.65806832775499</v>
      </c>
    </row>
    <row r="27" spans="1:59" x14ac:dyDescent="0.25">
      <c r="A27" s="20">
        <f>Tools!$AD26</f>
        <v>19.5</v>
      </c>
      <c r="B27" s="33">
        <f t="shared" si="0"/>
        <v>1.74</v>
      </c>
      <c r="C27" s="22">
        <f>IF(A27="  ","  ",IF(AND(A26="  ",A28="  "),"?",IF(A26="  ",2*(A28-A27),IF(A28="  ",2*(A27-A26),2*(A28-A26)))))</f>
        <v>2</v>
      </c>
      <c r="D27" s="23">
        <f t="shared" si="26"/>
        <v>3.48</v>
      </c>
      <c r="E27" s="24">
        <f t="shared" si="1"/>
        <v>9.5</v>
      </c>
      <c r="F27" s="23">
        <f t="shared" si="27"/>
        <v>33.06</v>
      </c>
      <c r="G27" s="23">
        <f t="shared" si="28"/>
        <v>314.07000000000005</v>
      </c>
      <c r="H27" s="23">
        <f t="shared" si="29"/>
        <v>5.2680240000000005</v>
      </c>
      <c r="I27" s="23">
        <f t="shared" si="30"/>
        <v>10.536048000000001</v>
      </c>
      <c r="J27" s="4"/>
      <c r="K27" s="37">
        <f t="shared" si="2"/>
        <v>25.707999999999998</v>
      </c>
      <c r="L27" s="23">
        <f t="shared" si="31"/>
        <v>51.415999999999997</v>
      </c>
      <c r="M27" s="38">
        <f t="shared" si="3"/>
        <v>154.97653333333335</v>
      </c>
      <c r="N27" s="27">
        <f t="shared" si="32"/>
        <v>309.9530666666667</v>
      </c>
      <c r="O27" s="23">
        <f t="shared" si="33"/>
        <v>488.452</v>
      </c>
      <c r="P27" s="4"/>
      <c r="Q27" s="50" t="s">
        <v>73</v>
      </c>
      <c r="R27" s="48" t="s">
        <v>74</v>
      </c>
      <c r="S27">
        <f>IF(Tools!$L$49="Use 141 rule only",I51,IF(Tools!$L$49="Use 141 and 1331 rules",BG28," "))</f>
        <v>-1.4725742911392845</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1.74</v>
      </c>
      <c r="AQ27" s="34" t="str">
        <f t="shared" ca="1" si="18"/>
        <v>(1/2)*(4/3)</v>
      </c>
      <c r="AR27" s="23">
        <f t="shared" ca="1" si="19"/>
        <v>1.1599999999999999</v>
      </c>
      <c r="AS27" s="24">
        <f t="shared" si="20"/>
        <v>9.5</v>
      </c>
      <c r="AT27" s="23">
        <f t="shared" ca="1" si="37"/>
        <v>11.02</v>
      </c>
      <c r="AU27" s="23">
        <f t="shared" ca="1" si="40"/>
        <v>104.69</v>
      </c>
      <c r="AV27" s="23">
        <f t="shared" si="21"/>
        <v>5.2680240000000005</v>
      </c>
      <c r="AW27" s="23">
        <f t="shared" ca="1" si="22"/>
        <v>3.512016</v>
      </c>
      <c r="AY27" s="35">
        <f t="shared" si="23"/>
        <v>25.707999999999998</v>
      </c>
      <c r="AZ27" s="23">
        <f t="shared" ca="1" si="41"/>
        <v>17.138666666666666</v>
      </c>
      <c r="BA27" s="36">
        <f t="shared" si="25"/>
        <v>154.97653333333335</v>
      </c>
      <c r="BB27" s="27">
        <f t="shared" ca="1" si="38"/>
        <v>103.3176888888889</v>
      </c>
      <c r="BC27" s="23">
        <f t="shared" ca="1" si="39"/>
        <v>162.81733333333332</v>
      </c>
      <c r="BE27" s="50" t="s">
        <v>71</v>
      </c>
      <c r="BF27" s="48" t="s">
        <v>72</v>
      </c>
      <c r="BG27" s="49">
        <f>IF(WL_No="  ","  ",AWP*1.025/100)</f>
        <v>28.041542049999993</v>
      </c>
    </row>
    <row r="28" spans="1:59" ht="15.75" thickBot="1" x14ac:dyDescent="0.3">
      <c r="A28" s="20">
        <f>Tools!$AD27</f>
        <v>20</v>
      </c>
      <c r="B28" s="52">
        <f t="shared" si="0"/>
        <v>0.25</v>
      </c>
      <c r="C28" s="22">
        <f>IF(A28="  ","  ",IF(A27="  ","?",1*(A28-A27)))</f>
        <v>0.5</v>
      </c>
      <c r="D28" s="53">
        <f t="shared" si="26"/>
        <v>0.125</v>
      </c>
      <c r="E28" s="24">
        <f t="shared" si="1"/>
        <v>10</v>
      </c>
      <c r="F28" s="53">
        <f t="shared" si="27"/>
        <v>1.25</v>
      </c>
      <c r="G28" s="53">
        <f t="shared" si="28"/>
        <v>12.5</v>
      </c>
      <c r="H28" s="23">
        <f t="shared" si="29"/>
        <v>1.5625E-2</v>
      </c>
      <c r="I28" s="53">
        <f t="shared" si="30"/>
        <v>7.8125E-3</v>
      </c>
      <c r="J28" s="4"/>
      <c r="K28" s="35">
        <f t="shared" si="2"/>
        <v>13.668999999999999</v>
      </c>
      <c r="L28" s="53">
        <f t="shared" si="31"/>
        <v>6.8344999999999994</v>
      </c>
      <c r="M28" s="36">
        <f t="shared" si="3"/>
        <v>73.334766666666667</v>
      </c>
      <c r="N28" s="54">
        <f t="shared" si="32"/>
        <v>36.667383333333333</v>
      </c>
      <c r="O28" s="53">
        <f t="shared" si="33"/>
        <v>68.344999999999999</v>
      </c>
      <c r="P28" s="4"/>
      <c r="Q28" s="50" t="s">
        <v>75</v>
      </c>
      <c r="R28" s="55" t="s">
        <v>76</v>
      </c>
      <c r="S28">
        <f>IF(Tools!$L$49="Use 141 rule only",I52,IF(Tools!$L$49="Use 141 and 1331 rules",BG29," "))</f>
        <v>239.9311825541993</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0.25</v>
      </c>
      <c r="AQ28" s="34" t="str">
        <f t="shared" ca="1" si="18"/>
        <v>(1/2)*(1/3)</v>
      </c>
      <c r="AR28" s="23">
        <f t="shared" ca="1" si="19"/>
        <v>4.1666666666666664E-2</v>
      </c>
      <c r="AS28" s="24">
        <f t="shared" si="20"/>
        <v>10</v>
      </c>
      <c r="AT28" s="53">
        <f t="shared" ca="1" si="37"/>
        <v>0.41666666666666663</v>
      </c>
      <c r="AU28" s="53">
        <f t="shared" ca="1" si="40"/>
        <v>4.1666666666666661</v>
      </c>
      <c r="AV28" s="23">
        <f t="shared" si="21"/>
        <v>1.5625E-2</v>
      </c>
      <c r="AW28" s="23">
        <f t="shared" ca="1" si="22"/>
        <v>2.6041666666666665E-3</v>
      </c>
      <c r="AY28" s="35">
        <f t="shared" si="23"/>
        <v>13.668999999999999</v>
      </c>
      <c r="AZ28" s="23">
        <f t="shared" ca="1" si="41"/>
        <v>2.2781666666666665</v>
      </c>
      <c r="BA28" s="36">
        <f t="shared" si="25"/>
        <v>73.334766666666667</v>
      </c>
      <c r="BB28" s="27">
        <f t="shared" ca="1" si="38"/>
        <v>12.222461111111111</v>
      </c>
      <c r="BC28" s="53">
        <f t="shared" ca="1" si="39"/>
        <v>22.781666666666666</v>
      </c>
      <c r="BE28" s="50" t="s">
        <v>73</v>
      </c>
      <c r="BF28" s="48" t="s">
        <v>74</v>
      </c>
      <c r="BG28" s="49">
        <f>IF(WL_No="  ","  ",ML/V_Disp)</f>
        <v>-1.4725742911392845</v>
      </c>
    </row>
    <row r="29" spans="1:59" ht="15.75" thickBot="1" x14ac:dyDescent="0.3">
      <c r="A29" s="56" t="s">
        <v>77</v>
      </c>
      <c r="B29" s="56"/>
      <c r="C29" s="56"/>
      <c r="D29" s="57">
        <f>SUM(D4:D28)</f>
        <v>623.18000000000006</v>
      </c>
      <c r="E29" s="42"/>
      <c r="F29" s="58">
        <f>SUM(F4:F28)</f>
        <v>-584.97</v>
      </c>
      <c r="G29" s="58">
        <f>SUM(G4:G28)</f>
        <v>16647.200000000004</v>
      </c>
      <c r="H29" s="42"/>
      <c r="I29" s="58">
        <f>SUM(I4:I28)</f>
        <v>81057.018244999985</v>
      </c>
      <c r="J29" s="4"/>
      <c r="K29" s="42"/>
      <c r="L29" s="58">
        <f>SUM(L4:L28)</f>
        <v>10292.746649999999</v>
      </c>
      <c r="M29" s="42"/>
      <c r="N29" s="58">
        <f>SUM(N4:N28)</f>
        <v>61951.985013833342</v>
      </c>
      <c r="O29" s="58">
        <f>SUM(O4:O28)</f>
        <v>-2301.7211999999995</v>
      </c>
      <c r="P29" s="4"/>
      <c r="Q29" s="50" t="s">
        <v>78</v>
      </c>
      <c r="R29" s="48" t="s">
        <v>79</v>
      </c>
      <c r="S29">
        <f>IF(Tools!$L$49="Use 141 rule only",I53,IF(Tools!$L$49="Use 141 and 1331 rules",BG30," "))</f>
        <v>10.8</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207.72666666666666</v>
      </c>
      <c r="AS29" s="42"/>
      <c r="AT29" s="58">
        <f ca="1">SUM(AT4:AT28)</f>
        <v>-194.99000000000007</v>
      </c>
      <c r="AU29" s="58">
        <f ca="1">SUM(AU4:AU28)</f>
        <v>5549.0666666666657</v>
      </c>
      <c r="AV29" s="42"/>
      <c r="AW29" s="58">
        <f ca="1">SUM(AW4:AW28)</f>
        <v>27019.006081666677</v>
      </c>
      <c r="AY29" s="42"/>
      <c r="AZ29" s="58">
        <f ca="1">SUM(AZ4:AZ28)</f>
        <v>3430.9155499999997</v>
      </c>
      <c r="BA29" s="42"/>
      <c r="BB29" s="58">
        <f ca="1">SUM(BB4:BB28)</f>
        <v>20650.661671277783</v>
      </c>
      <c r="BC29" s="58">
        <f ca="1">SUM(BC4:BC28)</f>
        <v>-767.24040000000161</v>
      </c>
      <c r="BE29" s="50" t="s">
        <v>75</v>
      </c>
      <c r="BF29" s="55" t="s">
        <v>76</v>
      </c>
      <c r="BG29" s="49">
        <f ca="1">IF(WL_No="  ","  ",M_Disp*BML/100/BG8)</f>
        <v>239.9311825541993</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0.8478639455782313</v>
      </c>
      <c r="AA30" s="60"/>
      <c r="AB30" s="60"/>
      <c r="BE30" s="50" t="s">
        <v>78</v>
      </c>
      <c r="BF30" s="48" t="s">
        <v>79</v>
      </c>
      <c r="BG30" s="49">
        <f>IF(WL_No="  ","  ",WLS*WL_No)</f>
        <v>10.8</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0.64832115457294026</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0.8478639455782313</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0.97492063492063485</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0.64832115457294026</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0.66499890488595315</v>
      </c>
      <c r="AF33" s="63"/>
      <c r="AG33" s="63"/>
      <c r="AH33" s="63">
        <f ca="1">Long_Div-AH32</f>
        <v>20</v>
      </c>
      <c r="AI33" s="63"/>
      <c r="AJ33" s="63">
        <f ca="1">AJ32+AJ31</f>
        <v>0</v>
      </c>
      <c r="BE33" s="50" t="s">
        <v>85</v>
      </c>
      <c r="BF33" s="48" t="s">
        <v>86</v>
      </c>
      <c r="BG33" s="65">
        <f>IFERROR(IF(WL_No="  ","  ",(VLOOKUP(Long_Div/2,AREA_TABLE,Count_WL+1,FALSE))/(B_current*T)),"-")</f>
        <v>0.97492063492063485</v>
      </c>
    </row>
    <row r="34" spans="1:59" x14ac:dyDescent="0.25">
      <c r="G34" s="45"/>
      <c r="H34" s="46"/>
      <c r="I34" s="507"/>
      <c r="BE34" s="50" t="s">
        <v>88</v>
      </c>
      <c r="BF34" s="48" t="s">
        <v>89</v>
      </c>
      <c r="BG34" s="49">
        <f>IF(WL_No="  ","  ",CB/CM)</f>
        <v>0.66499890488595315</v>
      </c>
    </row>
    <row r="35" spans="1:59" x14ac:dyDescent="0.25">
      <c r="G35" s="47" t="s">
        <v>34</v>
      </c>
      <c r="H35" s="48" t="s">
        <v>35</v>
      </c>
      <c r="I35" s="49">
        <f>IF(WL_No="  ","  ",2/3*h*$D$29)</f>
        <v>2735.7601999999997</v>
      </c>
    </row>
    <row r="36" spans="1:59" x14ac:dyDescent="0.25">
      <c r="G36" s="47" t="s">
        <v>36</v>
      </c>
      <c r="H36" s="48" t="s">
        <v>37</v>
      </c>
      <c r="I36" s="49">
        <f>IF(WL_No="  ","  ",2/3*(h^2)*$F$29)</f>
        <v>-16910.400505499994</v>
      </c>
    </row>
    <row r="37" spans="1:59" x14ac:dyDescent="0.25">
      <c r="G37" s="50" t="s">
        <v>39</v>
      </c>
      <c r="H37" s="48" t="s">
        <v>40</v>
      </c>
      <c r="I37" s="49">
        <f>IF(WL_No="  ","  ",Mmid/AWP)</f>
        <v>-6.1812437016592305</v>
      </c>
    </row>
    <row r="38" spans="1:59" x14ac:dyDescent="0.25">
      <c r="G38" s="50" t="s">
        <v>42</v>
      </c>
      <c r="H38" s="48" t="s">
        <v>43</v>
      </c>
      <c r="I38" s="49">
        <f>IF(WL_No="  ","  ",2/3*(h^3)*$G$29)</f>
        <v>3168963.7845677994</v>
      </c>
    </row>
    <row r="39" spans="1:59" x14ac:dyDescent="0.25">
      <c r="G39" s="51" t="s">
        <v>44</v>
      </c>
      <c r="H39" s="48" t="s">
        <v>45</v>
      </c>
      <c r="I39" s="49">
        <f>IF(WL_No="  ","  ",2/9*h*$I$29)</f>
        <v>118613.43669851663</v>
      </c>
    </row>
    <row r="40" spans="1:59" x14ac:dyDescent="0.25">
      <c r="G40" s="50" t="s">
        <v>47</v>
      </c>
      <c r="H40" s="48" t="s">
        <v>48</v>
      </c>
      <c r="I40" s="49">
        <f>IF(WL_No="  ","  ",IL-AWP*(LCF^2))</f>
        <v>3064436.4779506424</v>
      </c>
    </row>
    <row r="41" spans="1:59" x14ac:dyDescent="0.25">
      <c r="G41" s="50" t="s">
        <v>50</v>
      </c>
      <c r="H41" s="48" t="s">
        <v>51</v>
      </c>
      <c r="I41" s="49">
        <f>IF(WL_No="  ","  ",h/3*$L$29)</f>
        <v>22592.578896749998</v>
      </c>
    </row>
    <row r="42" spans="1:59" x14ac:dyDescent="0.25">
      <c r="G42" s="50" t="s">
        <v>52</v>
      </c>
      <c r="H42" s="48" t="s">
        <v>53</v>
      </c>
      <c r="I42" s="49">
        <f>IF(WL_No="  ","  ",V_Disp*1.025*1.006)</f>
        <v>23296.337729383758</v>
      </c>
    </row>
    <row r="43" spans="1:59" x14ac:dyDescent="0.25">
      <c r="G43" s="50" t="s">
        <v>55</v>
      </c>
      <c r="H43" s="48" t="s">
        <v>56</v>
      </c>
      <c r="I43" s="49">
        <f>IF(WL_No="  ","  ",h/3*$N$29)</f>
        <v>135984.60710536418</v>
      </c>
    </row>
    <row r="44" spans="1:59" x14ac:dyDescent="0.25">
      <c r="G44" s="50" t="s">
        <v>57</v>
      </c>
      <c r="H44" s="48" t="s">
        <v>58</v>
      </c>
      <c r="I44" s="49">
        <f>IF(WL_No="  ","  ",(h^2)/3*$O$29)</f>
        <v>-33269.250853889986</v>
      </c>
    </row>
    <row r="45" spans="1:59" x14ac:dyDescent="0.25">
      <c r="G45" s="50" t="s">
        <v>60</v>
      </c>
      <c r="H45" s="48" t="s">
        <v>61</v>
      </c>
      <c r="I45" s="49">
        <f>IF(WL_No="  ","  ",IF/V_Disp)</f>
        <v>135.6390738726808</v>
      </c>
    </row>
    <row r="46" spans="1:59" x14ac:dyDescent="0.25">
      <c r="G46" s="50" t="s">
        <v>63</v>
      </c>
      <c r="H46" s="48" t="s">
        <v>64</v>
      </c>
      <c r="I46" s="49">
        <f>IF(WL_No="  ","  ",IT/V_Disp)</f>
        <v>5.2501061184997999</v>
      </c>
    </row>
    <row r="47" spans="1:59" x14ac:dyDescent="0.25">
      <c r="G47" s="50" t="s">
        <v>65</v>
      </c>
      <c r="H47" s="48" t="s">
        <v>66</v>
      </c>
      <c r="I47" s="49">
        <f>IF(WL_No="  ","  ",MT/V_Disp)</f>
        <v>6.0189944550741803</v>
      </c>
    </row>
    <row r="48" spans="1:59" x14ac:dyDescent="0.25">
      <c r="G48" s="50" t="s">
        <v>67</v>
      </c>
      <c r="H48" s="48" t="s">
        <v>68</v>
      </c>
      <c r="I48" s="49">
        <f>IF(WL_No="  ","  ",KB+BMT)</f>
        <v>11.269100573573979</v>
      </c>
    </row>
    <row r="49" spans="7:9" x14ac:dyDescent="0.25">
      <c r="G49" s="50" t="s">
        <v>69</v>
      </c>
      <c r="H49" s="48" t="s">
        <v>70</v>
      </c>
      <c r="I49" s="49">
        <f>IF(WL_No="  ","  ",KB+BML)</f>
        <v>141.65806832775499</v>
      </c>
    </row>
    <row r="50" spans="7:9" x14ac:dyDescent="0.25">
      <c r="G50" s="50" t="s">
        <v>71</v>
      </c>
      <c r="H50" s="48" t="s">
        <v>72</v>
      </c>
      <c r="I50" s="49">
        <f>IF(WL_No="  ","  ",AWP*1.025/100)</f>
        <v>28.041542049999993</v>
      </c>
    </row>
    <row r="51" spans="7:9" x14ac:dyDescent="0.25">
      <c r="G51" s="50" t="s">
        <v>73</v>
      </c>
      <c r="H51" s="48" t="s">
        <v>74</v>
      </c>
      <c r="I51" s="49">
        <f>IF(WL_No="  ","  ",ML/V_Disp)</f>
        <v>-1.4725742911392845</v>
      </c>
    </row>
    <row r="52" spans="7:9" x14ac:dyDescent="0.25">
      <c r="G52" s="50" t="s">
        <v>75</v>
      </c>
      <c r="H52" s="55" t="s">
        <v>76</v>
      </c>
      <c r="I52" s="49">
        <f>IF(WL_No="  ","  ",M_Disp*BML/100/LBP)</f>
        <v>239.9311825541993</v>
      </c>
    </row>
    <row r="53" spans="7:9" x14ac:dyDescent="0.25">
      <c r="G53" s="50" t="s">
        <v>78</v>
      </c>
      <c r="H53" s="48" t="s">
        <v>79</v>
      </c>
      <c r="I53" s="49">
        <f>IF(WL_No="  ","  ",WLS*WL_No)</f>
        <v>10.8</v>
      </c>
    </row>
    <row r="54" spans="7:9" x14ac:dyDescent="0.25">
      <c r="G54" s="50" t="s">
        <v>80</v>
      </c>
      <c r="H54" s="48" t="s">
        <v>81</v>
      </c>
      <c r="I54" s="49">
        <f>IF(WL_No="  ","  ",AWP/(LBP*B_current))</f>
        <v>0.8478639455782313</v>
      </c>
    </row>
    <row r="55" spans="7:9" x14ac:dyDescent="0.25">
      <c r="G55" s="50" t="s">
        <v>82</v>
      </c>
      <c r="H55" s="48" t="s">
        <v>83</v>
      </c>
      <c r="I55" s="49">
        <f>IF(WL_No="  ","  ",V_Disp/(LBP*B_current*T))</f>
        <v>0.64832115457294026</v>
      </c>
    </row>
    <row r="56" spans="7:9" x14ac:dyDescent="0.25">
      <c r="G56" s="50" t="s">
        <v>85</v>
      </c>
      <c r="H56" s="48" t="s">
        <v>86</v>
      </c>
      <c r="I56" s="65">
        <f>IF(WL_No="  ","  ",(VLOOKUP(Long_Div/2,AREA_TABLE,Count_WL+1,FALSE))/(B_current*T))</f>
        <v>0.97492063492063485</v>
      </c>
    </row>
    <row r="57" spans="7:9" x14ac:dyDescent="0.25">
      <c r="G57" s="50" t="s">
        <v>88</v>
      </c>
      <c r="H57" s="48" t="s">
        <v>89</v>
      </c>
      <c r="I57" s="49">
        <f>IF(WL_No="  ","  ",CB/CM)</f>
        <v>0.66499890488595315</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55" priority="14">
      <formula>ISERROR(A1)</formula>
    </cfRule>
  </conditionalFormatting>
  <conditionalFormatting sqref="G33:I34 G35:H57">
    <cfRule type="containsErrors" dxfId="254" priority="13">
      <formula>ISERROR(G33)</formula>
    </cfRule>
  </conditionalFormatting>
  <conditionalFormatting sqref="T12:T33">
    <cfRule type="containsErrors" dxfId="253" priority="12">
      <formula>ISERROR(T12)</formula>
    </cfRule>
  </conditionalFormatting>
  <conditionalFormatting sqref="I35:I57">
    <cfRule type="containsErrors" dxfId="252" priority="11">
      <formula>ISERROR(I35)</formula>
    </cfRule>
  </conditionalFormatting>
  <conditionalFormatting sqref="AY2:BC29">
    <cfRule type="containsErrors" dxfId="251" priority="8">
      <formula>ISERROR(AY2)</formula>
    </cfRule>
  </conditionalFormatting>
  <conditionalFormatting sqref="BE10:BG11 BE12:BF34">
    <cfRule type="containsErrors" dxfId="250" priority="10">
      <formula>ISERROR(BE10)</formula>
    </cfRule>
  </conditionalFormatting>
  <conditionalFormatting sqref="BG12:BG28 BG34">
    <cfRule type="containsErrors" dxfId="249" priority="9">
      <formula>ISERROR(BG12)</formula>
    </cfRule>
  </conditionalFormatting>
  <conditionalFormatting sqref="BE2:BG6">
    <cfRule type="containsErrors" dxfId="248" priority="7">
      <formula>ISERROR(BE2)</formula>
    </cfRule>
  </conditionalFormatting>
  <conditionalFormatting sqref="BF7:BG8">
    <cfRule type="containsErrors" dxfId="247" priority="5">
      <formula>ISERROR(BF7)</formula>
    </cfRule>
  </conditionalFormatting>
  <conditionalFormatting sqref="BE7:BE8">
    <cfRule type="containsErrors" dxfId="246" priority="6">
      <formula>ISERROR(BE7)</formula>
    </cfRule>
  </conditionalFormatting>
  <conditionalFormatting sqref="S30:S33">
    <cfRule type="containsErrors" dxfId="245" priority="4">
      <formula>ISERROR(S30)</formula>
    </cfRule>
  </conditionalFormatting>
  <conditionalFormatting sqref="AP27:AP28">
    <cfRule type="containsErrors" dxfId="244" priority="3">
      <formula>ISERROR(AP27)</formula>
    </cfRule>
  </conditionalFormatting>
  <conditionalFormatting sqref="BG29:BG32">
    <cfRule type="containsErrors" dxfId="243" priority="2">
      <formula>ISERROR(BG29)</formula>
    </cfRule>
  </conditionalFormatting>
  <conditionalFormatting sqref="BG33">
    <cfRule type="containsErrors" dxfId="242" priority="1">
      <formula>ISERROR(BG33)</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5.6111111111111107</v>
      </c>
      <c r="C1" s="3"/>
      <c r="D1" s="4"/>
      <c r="E1" s="4" t="s">
        <v>1</v>
      </c>
      <c r="F1" s="5">
        <v>9</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2.8919999999999999</v>
      </c>
      <c r="C4" s="22">
        <f>IF(A4="  ","  ",IF(A5="  ","?",1*(A5-A4)))</f>
        <v>0.5</v>
      </c>
      <c r="D4" s="23">
        <f>IFERROR(B4*C4,"  ")</f>
        <v>1.446</v>
      </c>
      <c r="E4" s="24">
        <f t="shared" ref="E4:E28" si="1">IFERROR(A4-(Long_Div/2),"  ")</f>
        <v>-10</v>
      </c>
      <c r="F4" s="23">
        <f>IFERROR(D4*E4,"  ")</f>
        <v>-14.459999999999999</v>
      </c>
      <c r="G4" s="23">
        <f>IFERROR(F4*E4,"  ")</f>
        <v>144.6</v>
      </c>
      <c r="H4" s="23">
        <f>IFERROR(B4^3,"  ")</f>
        <v>24.187716288000001</v>
      </c>
      <c r="I4" s="23">
        <f>IFERROR(H4*C4,"  ")</f>
        <v>12.093858144</v>
      </c>
      <c r="J4" s="4"/>
      <c r="K4" s="25">
        <f t="shared" ref="K4:K28" si="2">VLOOKUP(A4,AREA_TABLE,Count_WL+1,FALSE)</f>
        <v>0.57839999999999792</v>
      </c>
      <c r="L4" s="23">
        <f>IFERROR(K4*C4,"  ")</f>
        <v>0.28919999999999896</v>
      </c>
      <c r="M4" s="26">
        <f t="shared" ref="M4:M28" si="3">VLOOKUP(A4,MOMENT_TABLE,Count_WL+1,FALSE)</f>
        <v>5.8032799999999796</v>
      </c>
      <c r="N4" s="27">
        <f>IFERROR(M4*C4,"  ")</f>
        <v>2.9016399999999898</v>
      </c>
      <c r="O4" s="23">
        <f>IFERROR(L4*E4,"  ")</f>
        <v>-2.8919999999999897</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2.8919999999999999</v>
      </c>
      <c r="AQ4" s="34" t="str">
        <f t="shared" ref="AQ4:AQ28" ca="1" si="18">CONCATENATE(AI4,IF(NOT(OR(AI4="",AK4="")),"+",""),AK4)</f>
        <v>(1/2)*(1/3)</v>
      </c>
      <c r="AR4" s="23">
        <f t="shared" ref="AR4:AR28" ca="1" si="19">IFERROR(AP4*AM4,"  ")</f>
        <v>0.48199999999999998</v>
      </c>
      <c r="AS4" s="24">
        <f t="shared" ref="AS4:AS28" si="20">IFERROR(AO4-(Long_Div/2),"  ")</f>
        <v>-10</v>
      </c>
      <c r="AT4" s="23">
        <f ca="1">IFERROR(AR4*AS4,"  ")</f>
        <v>-4.82</v>
      </c>
      <c r="AU4" s="23">
        <f ca="1">IFERROR(AT4*AS4,"  ")</f>
        <v>48.2</v>
      </c>
      <c r="AV4" s="23">
        <f t="shared" ref="AV4:AV28" si="21">IFERROR(AP4^3,"  ")</f>
        <v>24.187716288000001</v>
      </c>
      <c r="AW4" s="23">
        <f t="shared" ref="AW4:AW28" ca="1" si="22">IFERROR(AV4*AM4,"  ")</f>
        <v>4.0312860480000001</v>
      </c>
      <c r="AY4" s="35">
        <f t="shared" ref="AY4:AY28" si="23">IF(ROW(AY4)-3&gt;Max_STN_count," ",VLOOKUP(AO4,AREA_TABLE,Count_WL+1,FALSE))</f>
        <v>0.57839999999999792</v>
      </c>
      <c r="AZ4" s="23">
        <f t="shared" ref="AZ4:AZ7" ca="1" si="24">IFERROR(AY4*AM4,"  ")</f>
        <v>9.6399999999999653E-2</v>
      </c>
      <c r="BA4" s="36">
        <f t="shared" ref="BA4:BA28" si="25">IF(ROW(AY4)-3&gt;Max_STN_count," ",VLOOKUP(AO4,MOMENT_TABLE,Count_WL+1,FALSE))</f>
        <v>5.8032799999999796</v>
      </c>
      <c r="BB4" s="27">
        <f ca="1">IFERROR(BA4*AM4,"  ")</f>
        <v>0.96721333333332993</v>
      </c>
      <c r="BC4" s="23">
        <f ca="1">IFERROR(AZ4*AS4,"  ")</f>
        <v>-0.96399999999999653</v>
      </c>
      <c r="BE4" s="16" t="s">
        <v>26</v>
      </c>
      <c r="BF4" s="9" t="s">
        <v>8</v>
      </c>
      <c r="BG4" s="28">
        <f>LBP</f>
        <v>131.69999999999999</v>
      </c>
    </row>
    <row r="5" spans="1:60" x14ac:dyDescent="0.25">
      <c r="A5" s="20">
        <f>Tools!$AD4</f>
        <v>0.5</v>
      </c>
      <c r="B5" s="33">
        <f t="shared" si="0"/>
        <v>6.8</v>
      </c>
      <c r="C5" s="22">
        <f>IF(A5="  ","  ",IF(AND(A4="  ",A6="  "),"?",IF(A4="  ",2*(A6-A5),IF(A6="  ",2*(A5-A4),2*(A6-A4)))))</f>
        <v>2</v>
      </c>
      <c r="D5" s="23">
        <f t="shared" ref="D5:D28" si="26">IFERROR(B5*C5,"  ")</f>
        <v>13.6</v>
      </c>
      <c r="E5" s="24">
        <f t="shared" si="1"/>
        <v>-9.5</v>
      </c>
      <c r="F5" s="23">
        <f t="shared" ref="F5:F28" si="27">IFERROR(D5*E5,"  ")</f>
        <v>-129.19999999999999</v>
      </c>
      <c r="G5" s="23">
        <f t="shared" ref="G5:G28" si="28">IFERROR(F5*E5,"  ")</f>
        <v>1227.3999999999999</v>
      </c>
      <c r="H5" s="23">
        <f t="shared" ref="H5:H28" si="29">IFERROR(B5^3,"  ")</f>
        <v>314.43199999999996</v>
      </c>
      <c r="I5" s="23">
        <f t="shared" ref="I5:I28" si="30">IFERROR(H5*C5,"  ")</f>
        <v>628.86399999999992</v>
      </c>
      <c r="J5" s="4"/>
      <c r="K5" s="37">
        <f t="shared" si="2"/>
        <v>8.9199999999999946</v>
      </c>
      <c r="L5" s="23">
        <f t="shared" ref="L5:L28" si="31">IFERROR(K5*C5,"  ")</f>
        <v>17.839999999999989</v>
      </c>
      <c r="M5" s="38">
        <f t="shared" si="3"/>
        <v>86.245333333333278</v>
      </c>
      <c r="N5" s="27">
        <f t="shared" ref="N5:N28" si="32">IFERROR(M5*C5,"  ")</f>
        <v>172.49066666666656</v>
      </c>
      <c r="O5" s="23">
        <f t="shared" ref="O5:O28" si="33">IFERROR(L5*E5,"  ")</f>
        <v>-169.4799999999999</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6.8</v>
      </c>
      <c r="AQ5" s="34" t="str">
        <f t="shared" ca="1" si="18"/>
        <v>(1/2)*(4/3)</v>
      </c>
      <c r="AR5" s="23">
        <f t="shared" ca="1" si="19"/>
        <v>4.5333333333333332</v>
      </c>
      <c r="AS5" s="24">
        <f t="shared" si="20"/>
        <v>-9.5</v>
      </c>
      <c r="AT5" s="23">
        <f t="shared" ref="AT5:AT28" ca="1" si="37">IFERROR(AR5*AS5,"  ")</f>
        <v>-43.066666666666663</v>
      </c>
      <c r="AU5" s="23">
        <f ca="1">IFERROR(AT5*AS5,"  ")</f>
        <v>409.13333333333333</v>
      </c>
      <c r="AV5" s="23">
        <f t="shared" si="21"/>
        <v>314.43199999999996</v>
      </c>
      <c r="AW5" s="23">
        <f t="shared" ca="1" si="22"/>
        <v>209.6213333333333</v>
      </c>
      <c r="AY5" s="35">
        <f t="shared" si="23"/>
        <v>8.9199999999999946</v>
      </c>
      <c r="AZ5" s="23">
        <f t="shared" ca="1" si="24"/>
        <v>5.9466666666666628</v>
      </c>
      <c r="BA5" s="36">
        <f t="shared" si="25"/>
        <v>86.245333333333278</v>
      </c>
      <c r="BB5" s="27">
        <f t="shared" ref="BB5:BB28" ca="1" si="38">IFERROR(BA5*AM5,"  ")</f>
        <v>57.496888888888847</v>
      </c>
      <c r="BC5" s="23">
        <f t="shared" ref="BC5:BC28" ca="1" si="39">IFERROR(AZ5*AS5,"  ")</f>
        <v>-56.493333333333297</v>
      </c>
      <c r="BE5" s="8" t="s">
        <v>27</v>
      </c>
      <c r="BF5" s="9" t="s">
        <v>8</v>
      </c>
      <c r="BG5" s="10">
        <f>BREADTH</f>
        <v>24.5</v>
      </c>
    </row>
    <row r="6" spans="1:60" x14ac:dyDescent="0.25">
      <c r="A6" s="20">
        <f>Tools!$AD5</f>
        <v>1</v>
      </c>
      <c r="B6" s="33">
        <f t="shared" si="0"/>
        <v>8.8000000000000007</v>
      </c>
      <c r="C6" s="22">
        <f>IF(A6="  ","  ",IF(AND(A5="  ",A7="  "),"?",IF(A5="  ",1*(A7-A6),IF(A7="  ",1*(A6-A5),1*(A7-A5)))))</f>
        <v>1</v>
      </c>
      <c r="D6" s="23">
        <f t="shared" si="26"/>
        <v>8.8000000000000007</v>
      </c>
      <c r="E6" s="24">
        <f t="shared" si="1"/>
        <v>-9</v>
      </c>
      <c r="F6" s="23">
        <f t="shared" si="27"/>
        <v>-79.2</v>
      </c>
      <c r="G6" s="23">
        <f t="shared" si="28"/>
        <v>712.80000000000007</v>
      </c>
      <c r="H6" s="23">
        <f t="shared" si="29"/>
        <v>681.47200000000021</v>
      </c>
      <c r="I6" s="23">
        <f t="shared" si="30"/>
        <v>681.47200000000021</v>
      </c>
      <c r="J6" s="4"/>
      <c r="K6" s="37">
        <f t="shared" si="2"/>
        <v>23.755999999999997</v>
      </c>
      <c r="L6" s="23">
        <f t="shared" si="31"/>
        <v>23.755999999999997</v>
      </c>
      <c r="M6" s="38">
        <f t="shared" si="3"/>
        <v>220.43346666666662</v>
      </c>
      <c r="N6" s="27">
        <f t="shared" si="32"/>
        <v>220.43346666666662</v>
      </c>
      <c r="O6" s="23">
        <f t="shared" si="33"/>
        <v>-213.80399999999997</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8.8000000000000007</v>
      </c>
      <c r="AQ6" s="34" t="str">
        <f t="shared" ca="1" si="18"/>
        <v>(1/2)*(2/3)</v>
      </c>
      <c r="AR6" s="23">
        <f t="shared" ca="1" si="19"/>
        <v>2.9333333333333336</v>
      </c>
      <c r="AS6" s="24">
        <f t="shared" si="20"/>
        <v>-9</v>
      </c>
      <c r="AT6" s="23">
        <f t="shared" ca="1" si="37"/>
        <v>-26.400000000000002</v>
      </c>
      <c r="AU6" s="23">
        <f ca="1">IFERROR(AT6*AS6,"  ")</f>
        <v>237.60000000000002</v>
      </c>
      <c r="AV6" s="23">
        <f t="shared" si="21"/>
        <v>681.47200000000021</v>
      </c>
      <c r="AW6" s="23">
        <f t="shared" ca="1" si="22"/>
        <v>227.15733333333338</v>
      </c>
      <c r="AY6" s="35">
        <f t="shared" si="23"/>
        <v>23.755999999999997</v>
      </c>
      <c r="AZ6" s="23">
        <f t="shared" ca="1" si="24"/>
        <v>7.918666666666665</v>
      </c>
      <c r="BA6" s="36">
        <f t="shared" si="25"/>
        <v>220.43346666666662</v>
      </c>
      <c r="BB6" s="27">
        <f t="shared" ca="1" si="38"/>
        <v>73.477822222222201</v>
      </c>
      <c r="BC6" s="23">
        <f t="shared" ca="1" si="39"/>
        <v>-71.267999999999986</v>
      </c>
      <c r="BE6" s="8" t="s">
        <v>28</v>
      </c>
      <c r="BF6" s="9" t="s">
        <v>8</v>
      </c>
      <c r="BG6" s="10">
        <f>DEPTH</f>
        <v>14.19</v>
      </c>
    </row>
    <row r="7" spans="1:60" x14ac:dyDescent="0.25">
      <c r="A7" s="20">
        <f>Tools!$AD6</f>
        <v>1.5</v>
      </c>
      <c r="B7" s="33">
        <f t="shared" si="0"/>
        <v>10.14</v>
      </c>
      <c r="C7" s="22">
        <f>IF(A7="  ","  ",IF(AND(A6="  ",A8="  "),"?",IF(A6="  ",2*(A8-A7),IF(A8="  ",2*(A7-A6),2*(A8-A6)))))</f>
        <v>2</v>
      </c>
      <c r="D7" s="23">
        <f t="shared" si="26"/>
        <v>20.28</v>
      </c>
      <c r="E7" s="24">
        <f t="shared" si="1"/>
        <v>-8.5</v>
      </c>
      <c r="F7" s="23">
        <f t="shared" si="27"/>
        <v>-172.38</v>
      </c>
      <c r="G7" s="23">
        <f t="shared" si="28"/>
        <v>1465.23</v>
      </c>
      <c r="H7" s="23">
        <f t="shared" si="29"/>
        <v>1042.5907440000001</v>
      </c>
      <c r="I7" s="23">
        <f t="shared" si="30"/>
        <v>2085.1814880000002</v>
      </c>
      <c r="J7" s="4"/>
      <c r="K7" s="37">
        <f t="shared" si="2"/>
        <v>48.278999999999996</v>
      </c>
      <c r="L7" s="23">
        <f t="shared" si="31"/>
        <v>96.557999999999993</v>
      </c>
      <c r="M7" s="38">
        <f t="shared" si="3"/>
        <v>398.32809999999995</v>
      </c>
      <c r="N7" s="27">
        <f t="shared" si="32"/>
        <v>796.6561999999999</v>
      </c>
      <c r="O7" s="23">
        <f t="shared" si="33"/>
        <v>-820.74299999999994</v>
      </c>
      <c r="P7" s="4"/>
      <c r="Q7" s="39" t="s">
        <v>29</v>
      </c>
      <c r="R7" s="40" t="s">
        <v>8</v>
      </c>
      <c r="S7" s="41">
        <f>IF(MAX(B4:B28)=0," ",2*MAX(B4:B28))</f>
        <v>24.5</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10.14</v>
      </c>
      <c r="AQ7" s="34" t="str">
        <f t="shared" ca="1" si="18"/>
        <v>(1/2)*(4/3)</v>
      </c>
      <c r="AR7" s="23">
        <f t="shared" ca="1" si="19"/>
        <v>6.76</v>
      </c>
      <c r="AS7" s="24">
        <f t="shared" si="20"/>
        <v>-8.5</v>
      </c>
      <c r="AT7" s="23">
        <f t="shared" ca="1" si="37"/>
        <v>-57.46</v>
      </c>
      <c r="AU7" s="23">
        <f t="shared" ref="AU7:AU28" ca="1" si="40">IFERROR(AT7*AS7,"  ")</f>
        <v>488.41</v>
      </c>
      <c r="AV7" s="23">
        <f t="shared" si="21"/>
        <v>1042.5907440000001</v>
      </c>
      <c r="AW7" s="23">
        <f t="shared" ca="1" si="22"/>
        <v>695.06049600000006</v>
      </c>
      <c r="AY7" s="35">
        <f t="shared" si="23"/>
        <v>48.278999999999996</v>
      </c>
      <c r="AZ7" s="23">
        <f t="shared" ca="1" si="24"/>
        <v>32.185999999999993</v>
      </c>
      <c r="BA7" s="36">
        <f t="shared" si="25"/>
        <v>398.32809999999995</v>
      </c>
      <c r="BB7" s="27">
        <f t="shared" ca="1" si="38"/>
        <v>265.55206666666663</v>
      </c>
      <c r="BC7" s="23">
        <f t="shared" ca="1" si="39"/>
        <v>-273.58099999999996</v>
      </c>
      <c r="BE7" s="8" t="s">
        <v>29</v>
      </c>
      <c r="BF7" s="9" t="s">
        <v>8</v>
      </c>
      <c r="BG7" s="10">
        <f>IF(MAX(AP4:AP28)=0," ",2*MAX(AP4:AP28))</f>
        <v>24.5</v>
      </c>
    </row>
    <row r="8" spans="1:60" x14ac:dyDescent="0.25">
      <c r="A8" s="20">
        <f>Tools!$AD7</f>
        <v>2</v>
      </c>
      <c r="B8" s="33">
        <f t="shared" si="0"/>
        <v>10.9</v>
      </c>
      <c r="C8" s="22">
        <f>IF(A8="  ","  ",IF(AND(A7="  ",A9="  "),"?",IF(A7="  ",1*(A9-A8),IF(A9="  ",1*(A8-A7),1*(A9-A7)))))</f>
        <v>1.5</v>
      </c>
      <c r="D8" s="23">
        <f t="shared" si="26"/>
        <v>16.350000000000001</v>
      </c>
      <c r="E8" s="24">
        <f t="shared" si="1"/>
        <v>-8</v>
      </c>
      <c r="F8" s="23">
        <f t="shared" si="27"/>
        <v>-130.80000000000001</v>
      </c>
      <c r="G8" s="23">
        <f t="shared" si="28"/>
        <v>1046.4000000000001</v>
      </c>
      <c r="H8" s="23">
        <f t="shared" si="29"/>
        <v>1295.029</v>
      </c>
      <c r="I8" s="23">
        <f t="shared" si="30"/>
        <v>1942.5435</v>
      </c>
      <c r="J8" s="4"/>
      <c r="K8" s="37">
        <f t="shared" si="2"/>
        <v>78.502999999999986</v>
      </c>
      <c r="L8" s="23">
        <f t="shared" si="31"/>
        <v>117.75449999999998</v>
      </c>
      <c r="M8" s="38">
        <f t="shared" si="3"/>
        <v>584.29679666666652</v>
      </c>
      <c r="N8" s="27">
        <f t="shared" si="32"/>
        <v>876.44519499999979</v>
      </c>
      <c r="O8" s="23">
        <f t="shared" si="33"/>
        <v>-942.03599999999983</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10.9</v>
      </c>
      <c r="AQ8" s="34" t="str">
        <f t="shared" ca="1" si="18"/>
        <v>(1/2)*(1/3)+1/3</v>
      </c>
      <c r="AR8" s="23">
        <f t="shared" ca="1" si="19"/>
        <v>5.45</v>
      </c>
      <c r="AS8" s="24">
        <f t="shared" si="20"/>
        <v>-8</v>
      </c>
      <c r="AT8" s="23">
        <f t="shared" ca="1" si="37"/>
        <v>-43.6</v>
      </c>
      <c r="AU8" s="23">
        <f t="shared" ca="1" si="40"/>
        <v>348.8</v>
      </c>
      <c r="AV8" s="23">
        <f t="shared" si="21"/>
        <v>1295.029</v>
      </c>
      <c r="AW8" s="23">
        <f t="shared" ca="1" si="22"/>
        <v>647.5145</v>
      </c>
      <c r="AY8" s="35">
        <f t="shared" si="23"/>
        <v>78.502999999999986</v>
      </c>
      <c r="AZ8" s="23">
        <f ca="1">IFERROR(AY8*AM8,"  ")</f>
        <v>39.251499999999993</v>
      </c>
      <c r="BA8" s="36">
        <f t="shared" si="25"/>
        <v>584.29679666666652</v>
      </c>
      <c r="BB8" s="27">
        <f t="shared" ca="1" si="38"/>
        <v>292.14839833333326</v>
      </c>
      <c r="BC8" s="23">
        <f t="shared" ca="1" si="39"/>
        <v>-314.01199999999994</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f t="shared" si="0"/>
        <v>11.7</v>
      </c>
      <c r="C9" s="22">
        <f>IF(A9="  ","  ",IF(AND(A8="  ",A10="  "),"?",IF(A8="  ",2*(A10-A9),IF(A10="  ",2*(A9-A8),2*(A10-A8)))))</f>
        <v>4</v>
      </c>
      <c r="D9" s="23">
        <f t="shared" si="26"/>
        <v>46.8</v>
      </c>
      <c r="E9" s="24">
        <f t="shared" si="1"/>
        <v>-7</v>
      </c>
      <c r="F9" s="23">
        <f t="shared" si="27"/>
        <v>-327.59999999999997</v>
      </c>
      <c r="G9" s="23">
        <f t="shared" si="28"/>
        <v>2293.1999999999998</v>
      </c>
      <c r="H9" s="23">
        <f t="shared" si="29"/>
        <v>1601.6129999999998</v>
      </c>
      <c r="I9" s="23">
        <f t="shared" si="30"/>
        <v>6406.4519999999993</v>
      </c>
      <c r="J9" s="4"/>
      <c r="K9" s="37">
        <f t="shared" si="2"/>
        <v>122.14699999999999</v>
      </c>
      <c r="L9" s="23">
        <f t="shared" si="31"/>
        <v>488.58799999999997</v>
      </c>
      <c r="M9" s="38">
        <f t="shared" si="3"/>
        <v>835.98963333333324</v>
      </c>
      <c r="N9" s="27">
        <f t="shared" si="32"/>
        <v>3343.958533333333</v>
      </c>
      <c r="O9" s="23">
        <f t="shared" si="33"/>
        <v>-3420.116</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11.7</v>
      </c>
      <c r="AQ9" s="34" t="str">
        <f t="shared" ca="1" si="18"/>
        <v>4/3</v>
      </c>
      <c r="AR9" s="23">
        <f t="shared" ca="1" si="19"/>
        <v>15.599999999999998</v>
      </c>
      <c r="AS9" s="24">
        <f t="shared" si="20"/>
        <v>-7</v>
      </c>
      <c r="AT9" s="23">
        <f t="shared" ca="1" si="37"/>
        <v>-109.19999999999999</v>
      </c>
      <c r="AU9" s="23">
        <f t="shared" ca="1" si="40"/>
        <v>764.39999999999986</v>
      </c>
      <c r="AV9" s="23">
        <f t="shared" si="21"/>
        <v>1601.6129999999998</v>
      </c>
      <c r="AW9" s="23">
        <f t="shared" ca="1" si="22"/>
        <v>2135.4839999999995</v>
      </c>
      <c r="AY9" s="35">
        <f t="shared" si="23"/>
        <v>122.14699999999999</v>
      </c>
      <c r="AZ9" s="23">
        <f t="shared" ref="AZ9:AZ28" ca="1" si="41">IFERROR(AY9*AM9,"  ")</f>
        <v>162.86266666666666</v>
      </c>
      <c r="BA9" s="36">
        <f t="shared" si="25"/>
        <v>835.98963333333324</v>
      </c>
      <c r="BB9" s="27">
        <f t="shared" ca="1" si="38"/>
        <v>1114.6528444444443</v>
      </c>
      <c r="BC9" s="23">
        <f t="shared" ca="1" si="39"/>
        <v>-1140.0386666666666</v>
      </c>
    </row>
    <row r="10" spans="1:60" x14ac:dyDescent="0.25">
      <c r="A10" s="20">
        <f>Tools!$AD9</f>
        <v>4</v>
      </c>
      <c r="B10" s="33">
        <f t="shared" si="0"/>
        <v>12.14</v>
      </c>
      <c r="C10" s="22">
        <f>IF(A10="  ","  ",IF(AND(A9="  ",A11="  "),"?",IF(A9="  ",1*(A11-A10),IF(A11="  ",1*(A10-A9),1*(A11-A9)))))</f>
        <v>2</v>
      </c>
      <c r="D10" s="23">
        <f t="shared" si="26"/>
        <v>24.28</v>
      </c>
      <c r="E10" s="24">
        <f t="shared" si="1"/>
        <v>-6</v>
      </c>
      <c r="F10" s="23">
        <f t="shared" si="27"/>
        <v>-145.68</v>
      </c>
      <c r="G10" s="23">
        <f t="shared" si="28"/>
        <v>874.08</v>
      </c>
      <c r="H10" s="23">
        <f t="shared" si="29"/>
        <v>1789.1883440000001</v>
      </c>
      <c r="I10" s="23">
        <f>IFERROR(H10*C10,"  ")</f>
        <v>3578.3766880000003</v>
      </c>
      <c r="J10" s="4"/>
      <c r="K10" s="37">
        <f t="shared" si="2"/>
        <v>159.83499999999998</v>
      </c>
      <c r="L10" s="23">
        <f t="shared" si="31"/>
        <v>319.66999999999996</v>
      </c>
      <c r="M10" s="38">
        <f t="shared" si="3"/>
        <v>1006.8772333333333</v>
      </c>
      <c r="N10" s="27">
        <f t="shared" si="32"/>
        <v>2013.7544666666665</v>
      </c>
      <c r="O10" s="23">
        <f t="shared" si="33"/>
        <v>-1918.0199999999998</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12.14</v>
      </c>
      <c r="AQ10" s="34" t="str">
        <f t="shared" ca="1" si="18"/>
        <v>2/3</v>
      </c>
      <c r="AR10" s="23">
        <f t="shared" ca="1" si="19"/>
        <v>8.0933333333333337</v>
      </c>
      <c r="AS10" s="24">
        <f t="shared" si="20"/>
        <v>-6</v>
      </c>
      <c r="AT10" s="23">
        <f t="shared" ca="1" si="37"/>
        <v>-48.56</v>
      </c>
      <c r="AU10" s="23">
        <f ca="1">IFERROR(AT10*AS10,"  ")</f>
        <v>291.36</v>
      </c>
      <c r="AV10" s="23">
        <f t="shared" si="21"/>
        <v>1789.1883440000001</v>
      </c>
      <c r="AW10" s="23">
        <f t="shared" ca="1" si="22"/>
        <v>1192.7922293333334</v>
      </c>
      <c r="AY10" s="35">
        <f t="shared" si="23"/>
        <v>159.83499999999998</v>
      </c>
      <c r="AZ10" s="23">
        <f t="shared" ca="1" si="41"/>
        <v>106.55666666666664</v>
      </c>
      <c r="BA10" s="36">
        <f t="shared" si="25"/>
        <v>1006.8772333333333</v>
      </c>
      <c r="BB10" s="27">
        <f t="shared" ca="1" si="38"/>
        <v>671.25148888888884</v>
      </c>
      <c r="BC10" s="23">
        <f t="shared" ca="1" si="39"/>
        <v>-639.33999999999992</v>
      </c>
      <c r="BE10" s="43" t="s">
        <v>31</v>
      </c>
      <c r="BF10" s="44" t="s">
        <v>32</v>
      </c>
      <c r="BG10" s="506" t="s">
        <v>33</v>
      </c>
    </row>
    <row r="11" spans="1:60" x14ac:dyDescent="0.25">
      <c r="A11" s="20">
        <f>Tools!$AD10</f>
        <v>5</v>
      </c>
      <c r="B11" s="33">
        <f t="shared" si="0"/>
        <v>12.25</v>
      </c>
      <c r="C11" s="22">
        <f>IF(A11="  ","  ",IF(AND(A10="  ",A12="  "),"?",IF(A10="  ",2*(A12-A11),IF(A12="  ",2*(A11-A10),2*(A12-A10)))))</f>
        <v>4</v>
      </c>
      <c r="D11" s="23">
        <f t="shared" si="26"/>
        <v>49</v>
      </c>
      <c r="E11" s="24">
        <f t="shared" si="1"/>
        <v>-5</v>
      </c>
      <c r="F11" s="23">
        <f t="shared" si="27"/>
        <v>-245</v>
      </c>
      <c r="G11" s="23">
        <f t="shared" si="28"/>
        <v>1225</v>
      </c>
      <c r="H11" s="23">
        <f t="shared" si="29"/>
        <v>1838.265625</v>
      </c>
      <c r="I11" s="23">
        <f t="shared" si="30"/>
        <v>7353.0625</v>
      </c>
      <c r="J11" s="4"/>
      <c r="K11" s="37">
        <f t="shared" si="2"/>
        <v>192.52299999999997</v>
      </c>
      <c r="L11" s="23">
        <f t="shared" si="31"/>
        <v>770.09199999999987</v>
      </c>
      <c r="M11" s="38">
        <f t="shared" si="3"/>
        <v>1132.6949999999999</v>
      </c>
      <c r="N11" s="27">
        <f t="shared" si="32"/>
        <v>4530.78</v>
      </c>
      <c r="O11" s="23">
        <f t="shared" si="33"/>
        <v>-3850.4599999999991</v>
      </c>
      <c r="P11" s="4"/>
      <c r="Q11" s="47" t="s">
        <v>34</v>
      </c>
      <c r="R11" s="48" t="s">
        <v>35</v>
      </c>
      <c r="S11">
        <f>IF(Tools!$L$49="Use 141 rule only",I35,IF(Tools!$L$49="Use 141 and 1331 rules",BG12," "))</f>
        <v>2668.33419</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12.25</v>
      </c>
      <c r="AQ11" s="34" t="str">
        <f t="shared" ca="1" si="18"/>
        <v>4/3</v>
      </c>
      <c r="AR11" s="23">
        <f t="shared" ca="1" si="19"/>
        <v>16.333333333333332</v>
      </c>
      <c r="AS11" s="24">
        <f t="shared" si="20"/>
        <v>-5</v>
      </c>
      <c r="AT11" s="23">
        <f t="shared" ca="1" si="37"/>
        <v>-81.666666666666657</v>
      </c>
      <c r="AU11" s="23">
        <f t="shared" ca="1" si="40"/>
        <v>408.33333333333326</v>
      </c>
      <c r="AV11" s="23">
        <f t="shared" si="21"/>
        <v>1838.265625</v>
      </c>
      <c r="AW11" s="23">
        <f t="shared" ca="1" si="22"/>
        <v>2451.020833333333</v>
      </c>
      <c r="AY11" s="35">
        <f t="shared" si="23"/>
        <v>192.52299999999997</v>
      </c>
      <c r="AZ11" s="23">
        <f t="shared" ca="1" si="41"/>
        <v>256.69733333333329</v>
      </c>
      <c r="BA11" s="36">
        <f t="shared" si="25"/>
        <v>1132.6949999999999</v>
      </c>
      <c r="BB11" s="27">
        <f t="shared" ca="1" si="38"/>
        <v>1510.2599999999998</v>
      </c>
      <c r="BC11" s="23">
        <f ca="1">IFERROR(AZ11*AS11,"  ")</f>
        <v>-1283.4866666666665</v>
      </c>
      <c r="BE11" s="45"/>
      <c r="BF11" s="46"/>
      <c r="BG11" s="507"/>
    </row>
    <row r="12" spans="1:60" x14ac:dyDescent="0.25">
      <c r="A12" s="20">
        <f>Tools!$AD11</f>
        <v>6</v>
      </c>
      <c r="B12" s="33">
        <f t="shared" si="0"/>
        <v>12.25</v>
      </c>
      <c r="C12" s="22">
        <f>IF(A12="  ","  ",IF(AND(A11="  ",A13="  "),"?",IF(A11="  ",1*(A13-A12),IF(A13="  ",1*(A12-A11),1*(A13-A11)))))</f>
        <v>2</v>
      </c>
      <c r="D12" s="23">
        <f t="shared" si="26"/>
        <v>24.5</v>
      </c>
      <c r="E12" s="24">
        <f t="shared" si="1"/>
        <v>-4</v>
      </c>
      <c r="F12" s="23">
        <f t="shared" si="27"/>
        <v>-98</v>
      </c>
      <c r="G12" s="23">
        <f t="shared" si="28"/>
        <v>392</v>
      </c>
      <c r="H12" s="23">
        <f t="shared" si="29"/>
        <v>1838.265625</v>
      </c>
      <c r="I12" s="23">
        <f t="shared" si="30"/>
        <v>3676.53125</v>
      </c>
      <c r="J12" s="4"/>
      <c r="K12" s="37">
        <f t="shared" si="2"/>
        <v>213.74199999999996</v>
      </c>
      <c r="L12" s="23">
        <f t="shared" si="31"/>
        <v>427.48399999999992</v>
      </c>
      <c r="M12" s="38">
        <f t="shared" si="3"/>
        <v>1198.1172999999999</v>
      </c>
      <c r="N12" s="27">
        <f t="shared" si="32"/>
        <v>2396.2345999999998</v>
      </c>
      <c r="O12" s="23">
        <f t="shared" si="33"/>
        <v>-1709.9359999999997</v>
      </c>
      <c r="P12" s="4"/>
      <c r="Q12" s="47" t="s">
        <v>36</v>
      </c>
      <c r="R12" s="48" t="s">
        <v>37</v>
      </c>
      <c r="S12">
        <f>IF(Tools!$L$49="Use 141 rule only",I36,IF(Tools!$L$49="Use 141 and 1331 rules",BG13," "))</f>
        <v>-15922.609019999991</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12.25</v>
      </c>
      <c r="AQ12" s="34" t="str">
        <f t="shared" ca="1" si="18"/>
        <v>2/3</v>
      </c>
      <c r="AR12" s="23">
        <f t="shared" ca="1" si="19"/>
        <v>8.1666666666666661</v>
      </c>
      <c r="AS12" s="24">
        <f t="shared" si="20"/>
        <v>-4</v>
      </c>
      <c r="AT12" s="23">
        <f t="shared" ca="1" si="37"/>
        <v>-32.666666666666664</v>
      </c>
      <c r="AU12" s="23">
        <f t="shared" ca="1" si="40"/>
        <v>130.66666666666666</v>
      </c>
      <c r="AV12" s="23">
        <f t="shared" si="21"/>
        <v>1838.265625</v>
      </c>
      <c r="AW12" s="23">
        <f t="shared" ca="1" si="22"/>
        <v>1225.5104166666665</v>
      </c>
      <c r="AY12" s="35">
        <f t="shared" si="23"/>
        <v>213.74199999999996</v>
      </c>
      <c r="AZ12" s="23">
        <f t="shared" ca="1" si="41"/>
        <v>142.49466666666663</v>
      </c>
      <c r="BA12" s="36">
        <f t="shared" si="25"/>
        <v>1198.1172999999999</v>
      </c>
      <c r="BB12" s="27">
        <f t="shared" ca="1" si="38"/>
        <v>798.74486666666655</v>
      </c>
      <c r="BC12" s="23">
        <f t="shared" ca="1" si="39"/>
        <v>-569.97866666666653</v>
      </c>
      <c r="BE12" s="47" t="s">
        <v>34</v>
      </c>
      <c r="BF12" s="48" t="s">
        <v>38</v>
      </c>
      <c r="BG12" s="49">
        <f ca="1">IF(WL_No="  ","  ",2*h*$AR$29)</f>
        <v>2668.33419</v>
      </c>
    </row>
    <row r="13" spans="1:60" x14ac:dyDescent="0.25">
      <c r="A13" s="20">
        <f>Tools!$AD12</f>
        <v>7</v>
      </c>
      <c r="B13" s="33">
        <f t="shared" si="0"/>
        <v>12.25</v>
      </c>
      <c r="C13" s="22">
        <f>IF(A13="  ","  ",IF(AND(A12="  ",A14="  "),"?",IF(A12="  ",2*(A14-A13),IF(A14="  ",2*(A13-A12),2*(A14-A12)))))</f>
        <v>4</v>
      </c>
      <c r="D13" s="23">
        <f t="shared" si="26"/>
        <v>49</v>
      </c>
      <c r="E13" s="24">
        <f t="shared" si="1"/>
        <v>-3</v>
      </c>
      <c r="F13" s="23">
        <f t="shared" si="27"/>
        <v>-147</v>
      </c>
      <c r="G13" s="23">
        <f t="shared" si="28"/>
        <v>441</v>
      </c>
      <c r="H13" s="23">
        <f t="shared" si="29"/>
        <v>1838.265625</v>
      </c>
      <c r="I13" s="23">
        <f t="shared" si="30"/>
        <v>7353.0625</v>
      </c>
      <c r="J13" s="4"/>
      <c r="K13" s="37">
        <f t="shared" si="2"/>
        <v>228.06399999999996</v>
      </c>
      <c r="L13" s="23">
        <f t="shared" si="31"/>
        <v>912.25599999999986</v>
      </c>
      <c r="M13" s="38">
        <f t="shared" si="3"/>
        <v>1228.5084999999999</v>
      </c>
      <c r="N13" s="27">
        <f t="shared" si="32"/>
        <v>4914.0339999999997</v>
      </c>
      <c r="O13" s="23">
        <f t="shared" si="33"/>
        <v>-2736.7679999999996</v>
      </c>
      <c r="P13" s="4"/>
      <c r="Q13" s="50" t="s">
        <v>39</v>
      </c>
      <c r="R13" s="48" t="s">
        <v>40</v>
      </c>
      <c r="S13">
        <f>IF(Tools!$L$49="Use 141 rule only",I37,IF(Tools!$L$49="Use 141 and 1331 rules",BG14," "))</f>
        <v>-5.9672469361868012</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12.25</v>
      </c>
      <c r="AQ13" s="34" t="str">
        <f t="shared" ca="1" si="18"/>
        <v>4/3</v>
      </c>
      <c r="AR13" s="23">
        <f t="shared" ca="1" si="19"/>
        <v>16.333333333333332</v>
      </c>
      <c r="AS13" s="24">
        <f t="shared" si="20"/>
        <v>-3</v>
      </c>
      <c r="AT13" s="23">
        <f t="shared" ca="1" si="37"/>
        <v>-49</v>
      </c>
      <c r="AU13" s="23">
        <f t="shared" ca="1" si="40"/>
        <v>147</v>
      </c>
      <c r="AV13" s="23">
        <f t="shared" si="21"/>
        <v>1838.265625</v>
      </c>
      <c r="AW13" s="23">
        <f t="shared" ca="1" si="22"/>
        <v>2451.020833333333</v>
      </c>
      <c r="AY13" s="35">
        <f t="shared" si="23"/>
        <v>228.06399999999996</v>
      </c>
      <c r="AZ13" s="23">
        <f t="shared" ca="1" si="41"/>
        <v>304.08533333333327</v>
      </c>
      <c r="BA13" s="36">
        <f t="shared" si="25"/>
        <v>1228.5084999999999</v>
      </c>
      <c r="BB13" s="27">
        <f t="shared" ca="1" si="38"/>
        <v>1638.0113333333331</v>
      </c>
      <c r="BC13" s="23">
        <f t="shared" ca="1" si="39"/>
        <v>-912.25599999999986</v>
      </c>
      <c r="BE13" s="47" t="s">
        <v>36</v>
      </c>
      <c r="BF13" s="48" t="s">
        <v>41</v>
      </c>
      <c r="BG13" s="49">
        <f ca="1">IF(WL_No="  ","  ",2*(h^2)*$AT$29)</f>
        <v>-15922.609019999993</v>
      </c>
    </row>
    <row r="14" spans="1:60" x14ac:dyDescent="0.25">
      <c r="A14" s="20">
        <f>Tools!$AD13</f>
        <v>8</v>
      </c>
      <c r="B14" s="33">
        <f t="shared" si="0"/>
        <v>12.25</v>
      </c>
      <c r="C14" s="22">
        <f>IF(A14="  ","  ",IF(AND(A13="  ",A15="  "),"?",IF(A13="  ",1*(A15-A14),IF(A15="  ",1*(A14-A13),1*(A15-A13)))))</f>
        <v>2</v>
      </c>
      <c r="D14" s="23">
        <f t="shared" si="26"/>
        <v>24.5</v>
      </c>
      <c r="E14" s="24">
        <f t="shared" si="1"/>
        <v>-2</v>
      </c>
      <c r="F14" s="23">
        <f t="shared" si="27"/>
        <v>-49</v>
      </c>
      <c r="G14" s="23">
        <f t="shared" si="28"/>
        <v>98</v>
      </c>
      <c r="H14" s="23">
        <f t="shared" si="29"/>
        <v>1838.265625</v>
      </c>
      <c r="I14" s="23">
        <f t="shared" si="30"/>
        <v>3676.53125</v>
      </c>
      <c r="J14" s="4"/>
      <c r="K14" s="37">
        <f t="shared" si="2"/>
        <v>236.66800000000001</v>
      </c>
      <c r="L14" s="23">
        <f t="shared" si="31"/>
        <v>473.33600000000001</v>
      </c>
      <c r="M14" s="38">
        <f t="shared" si="3"/>
        <v>1240.9825000000001</v>
      </c>
      <c r="N14" s="27">
        <f t="shared" si="32"/>
        <v>2481.9650000000001</v>
      </c>
      <c r="O14" s="23">
        <f t="shared" si="33"/>
        <v>-946.67200000000003</v>
      </c>
      <c r="P14" s="4"/>
      <c r="Q14" s="50" t="s">
        <v>42</v>
      </c>
      <c r="R14" s="48" t="s">
        <v>43</v>
      </c>
      <c r="S14">
        <f>IF(Tools!$L$49="Use 141 rule only",I38,IF(Tools!$L$49="Use 141 and 1331 rules",BG15," "))</f>
        <v>2961420.7562758448</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12.25</v>
      </c>
      <c r="AQ14" s="34" t="str">
        <f t="shared" ca="1" si="18"/>
        <v>2/3</v>
      </c>
      <c r="AR14" s="23">
        <f t="shared" ca="1" si="19"/>
        <v>8.1666666666666661</v>
      </c>
      <c r="AS14" s="24">
        <f t="shared" si="20"/>
        <v>-2</v>
      </c>
      <c r="AT14" s="23">
        <f t="shared" ca="1" si="37"/>
        <v>-16.333333333333332</v>
      </c>
      <c r="AU14" s="23">
        <f t="shared" ca="1" si="40"/>
        <v>32.666666666666664</v>
      </c>
      <c r="AV14" s="23">
        <f t="shared" si="21"/>
        <v>1838.265625</v>
      </c>
      <c r="AW14" s="23">
        <f t="shared" ca="1" si="22"/>
        <v>1225.5104166666665</v>
      </c>
      <c r="AY14" s="35">
        <f t="shared" si="23"/>
        <v>236.66800000000001</v>
      </c>
      <c r="AZ14" s="23">
        <f t="shared" ca="1" si="41"/>
        <v>157.77866666666665</v>
      </c>
      <c r="BA14" s="36">
        <f t="shared" si="25"/>
        <v>1240.9825000000001</v>
      </c>
      <c r="BB14" s="27">
        <f t="shared" ca="1" si="38"/>
        <v>827.32166666666672</v>
      </c>
      <c r="BC14" s="23">
        <f t="shared" ca="1" si="39"/>
        <v>-315.5573333333333</v>
      </c>
      <c r="BE14" s="50" t="s">
        <v>39</v>
      </c>
      <c r="BF14" s="48" t="s">
        <v>40</v>
      </c>
      <c r="BG14" s="49">
        <f>IF(WL_No="  ","  ",Mmid/AWP)</f>
        <v>-5.9672469361868012</v>
      </c>
    </row>
    <row r="15" spans="1:60" x14ac:dyDescent="0.25">
      <c r="A15" s="20">
        <f>Tools!$AD14</f>
        <v>9</v>
      </c>
      <c r="B15" s="33">
        <f t="shared" si="0"/>
        <v>12.25</v>
      </c>
      <c r="C15" s="22">
        <f>IF(A15="  ","  ",IF(AND(A14="  ",A16="  "),"?",IF(A14="  ",2*(A16-A15),IF(A16="  ",2*(A15-A14),2*(A16-A14)))))</f>
        <v>4</v>
      </c>
      <c r="D15" s="23">
        <f t="shared" si="26"/>
        <v>49</v>
      </c>
      <c r="E15" s="24">
        <f t="shared" si="1"/>
        <v>-1</v>
      </c>
      <c r="F15" s="23">
        <f t="shared" si="27"/>
        <v>-49</v>
      </c>
      <c r="G15" s="23">
        <f t="shared" si="28"/>
        <v>49</v>
      </c>
      <c r="H15" s="23">
        <f t="shared" si="29"/>
        <v>1838.265625</v>
      </c>
      <c r="I15" s="23">
        <f t="shared" si="30"/>
        <v>7353.0625</v>
      </c>
      <c r="J15" s="4"/>
      <c r="K15" s="37">
        <f t="shared" si="2"/>
        <v>239.93799999999999</v>
      </c>
      <c r="L15" s="23">
        <f t="shared" si="31"/>
        <v>959.75199999999995</v>
      </c>
      <c r="M15" s="38">
        <f t="shared" si="3"/>
        <v>1244.7300999999998</v>
      </c>
      <c r="N15" s="27">
        <f t="shared" si="32"/>
        <v>4978.9203999999991</v>
      </c>
      <c r="O15" s="23">
        <f t="shared" si="33"/>
        <v>-959.75199999999995</v>
      </c>
      <c r="P15" s="4"/>
      <c r="Q15" s="51" t="s">
        <v>44</v>
      </c>
      <c r="R15" s="48" t="s">
        <v>45</v>
      </c>
      <c r="S15">
        <f>IF(Tools!$L$49="Use 141 rule only",I39,IF(Tools!$L$49="Use 141 and 1331 rules",BG16," "))</f>
        <v>114190.61602195569</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12.25</v>
      </c>
      <c r="AQ15" s="34" t="str">
        <f t="shared" ca="1" si="18"/>
        <v>4/3</v>
      </c>
      <c r="AR15" s="23">
        <f t="shared" ca="1" si="19"/>
        <v>16.333333333333332</v>
      </c>
      <c r="AS15" s="24">
        <f t="shared" si="20"/>
        <v>-1</v>
      </c>
      <c r="AT15" s="23">
        <f t="shared" ca="1" si="37"/>
        <v>-16.333333333333332</v>
      </c>
      <c r="AU15" s="23">
        <f t="shared" ca="1" si="40"/>
        <v>16.333333333333332</v>
      </c>
      <c r="AV15" s="23">
        <f t="shared" si="21"/>
        <v>1838.265625</v>
      </c>
      <c r="AW15" s="23">
        <f t="shared" ca="1" si="22"/>
        <v>2451.020833333333</v>
      </c>
      <c r="AY15" s="35">
        <f t="shared" si="23"/>
        <v>239.93799999999999</v>
      </c>
      <c r="AZ15" s="23">
        <f t="shared" ca="1" si="41"/>
        <v>319.91733333333332</v>
      </c>
      <c r="BA15" s="36">
        <f t="shared" si="25"/>
        <v>1244.7300999999998</v>
      </c>
      <c r="BB15" s="27">
        <f ca="1">IFERROR(BA15*AM15,"  ")</f>
        <v>1659.6401333333329</v>
      </c>
      <c r="BC15" s="23">
        <f t="shared" ca="1" si="39"/>
        <v>-319.91733333333332</v>
      </c>
      <c r="BE15" s="50" t="s">
        <v>42</v>
      </c>
      <c r="BF15" s="48" t="s">
        <v>46</v>
      </c>
      <c r="BG15" s="49">
        <f ca="1">IF(WL_No="  ","  ",2*(h^3)*$AU$29)</f>
        <v>2961420.7562758452</v>
      </c>
    </row>
    <row r="16" spans="1:60" x14ac:dyDescent="0.25">
      <c r="A16" s="20">
        <f>Tools!$AD15</f>
        <v>10</v>
      </c>
      <c r="B16" s="33">
        <f t="shared" si="0"/>
        <v>12.25</v>
      </c>
      <c r="C16" s="22">
        <f>IF(A16="  ","  ",IF(AND(A15="  ",A17="  "),"?",IF(A15="  ",1*(A17-A16),IF(A17="  ",1*(A16-A15),1*(A17-A15)))))</f>
        <v>2</v>
      </c>
      <c r="D16" s="23">
        <f t="shared" si="26"/>
        <v>24.5</v>
      </c>
      <c r="E16" s="24">
        <f t="shared" si="1"/>
        <v>0</v>
      </c>
      <c r="F16" s="23">
        <f t="shared" si="27"/>
        <v>0</v>
      </c>
      <c r="G16" s="23">
        <f t="shared" si="28"/>
        <v>0</v>
      </c>
      <c r="H16" s="23">
        <f t="shared" si="29"/>
        <v>1838.265625</v>
      </c>
      <c r="I16" s="23">
        <f t="shared" si="30"/>
        <v>3676.53125</v>
      </c>
      <c r="J16" s="4"/>
      <c r="K16" s="37">
        <f t="shared" si="2"/>
        <v>240.78399999999999</v>
      </c>
      <c r="L16" s="23">
        <f t="shared" si="31"/>
        <v>481.56799999999998</v>
      </c>
      <c r="M16" s="38">
        <f t="shared" si="3"/>
        <v>1244.9892999999997</v>
      </c>
      <c r="N16" s="27">
        <f t="shared" si="32"/>
        <v>2489.9785999999995</v>
      </c>
      <c r="O16" s="23">
        <f t="shared" si="33"/>
        <v>0</v>
      </c>
      <c r="P16" s="4"/>
      <c r="Q16" s="50" t="s">
        <v>47</v>
      </c>
      <c r="R16" s="48" t="s">
        <v>48</v>
      </c>
      <c r="S16">
        <f>IF(Tools!$L$49="Use 141 rule only",I40,IF(Tools!$L$49="Use 141 and 1331 rules",BG17," "))</f>
        <v>2866406.6163851493</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12.25</v>
      </c>
      <c r="AQ16" s="34" t="str">
        <f t="shared" ca="1" si="18"/>
        <v>2/3</v>
      </c>
      <c r="AR16" s="23">
        <f t="shared" ca="1" si="19"/>
        <v>8.1666666666666661</v>
      </c>
      <c r="AS16" s="24">
        <f t="shared" si="20"/>
        <v>0</v>
      </c>
      <c r="AT16" s="23">
        <f t="shared" ca="1" si="37"/>
        <v>0</v>
      </c>
      <c r="AU16" s="23">
        <f t="shared" ca="1" si="40"/>
        <v>0</v>
      </c>
      <c r="AV16" s="23">
        <f t="shared" si="21"/>
        <v>1838.265625</v>
      </c>
      <c r="AW16" s="23">
        <f t="shared" ca="1" si="22"/>
        <v>1225.5104166666665</v>
      </c>
      <c r="AY16" s="35">
        <f t="shared" si="23"/>
        <v>240.78399999999999</v>
      </c>
      <c r="AZ16" s="23">
        <f t="shared" ca="1" si="41"/>
        <v>160.52266666666665</v>
      </c>
      <c r="BA16" s="36">
        <f t="shared" si="25"/>
        <v>1244.9892999999997</v>
      </c>
      <c r="BB16" s="27">
        <f t="shared" ca="1" si="38"/>
        <v>829.99286666666649</v>
      </c>
      <c r="BC16" s="23">
        <f ca="1">IFERROR(AZ16*AS16,"  ")</f>
        <v>0</v>
      </c>
      <c r="BE16" s="51" t="s">
        <v>44</v>
      </c>
      <c r="BF16" s="48" t="s">
        <v>49</v>
      </c>
      <c r="BG16" s="49">
        <f ca="1">IF(WL_No="  ","  ",2/3*h*$AW$29)</f>
        <v>114190.61602195571</v>
      </c>
    </row>
    <row r="17" spans="1:59" x14ac:dyDescent="0.25">
      <c r="A17" s="20">
        <f>Tools!$AD16</f>
        <v>11</v>
      </c>
      <c r="B17" s="33">
        <f t="shared" si="0"/>
        <v>12.25</v>
      </c>
      <c r="C17" s="22">
        <f>IF(A17="  ","  ",IF(AND(A16="  ",A18="  "),"?",IF(A16="  ",2*(A18-A17),IF(A18="  ",2*(A17-A16),2*(A18-A16)))))</f>
        <v>4</v>
      </c>
      <c r="D17" s="23">
        <f t="shared" si="26"/>
        <v>49</v>
      </c>
      <c r="E17" s="24">
        <f t="shared" si="1"/>
        <v>1</v>
      </c>
      <c r="F17" s="23">
        <f t="shared" si="27"/>
        <v>49</v>
      </c>
      <c r="G17" s="23">
        <f t="shared" si="28"/>
        <v>49</v>
      </c>
      <c r="H17" s="23">
        <f t="shared" si="29"/>
        <v>1838.265625</v>
      </c>
      <c r="I17" s="23">
        <f t="shared" si="30"/>
        <v>7353.0625</v>
      </c>
      <c r="J17" s="4"/>
      <c r="K17" s="37">
        <f t="shared" si="2"/>
        <v>240.09399999999999</v>
      </c>
      <c r="L17" s="23">
        <f t="shared" si="31"/>
        <v>960.37599999999998</v>
      </c>
      <c r="M17" s="38">
        <f t="shared" si="3"/>
        <v>1243.4340999999999</v>
      </c>
      <c r="N17" s="27">
        <f t="shared" si="32"/>
        <v>4973.7363999999998</v>
      </c>
      <c r="O17" s="23">
        <f t="shared" si="33"/>
        <v>960.37599999999998</v>
      </c>
      <c r="P17" s="4"/>
      <c r="Q17" s="50" t="s">
        <v>50</v>
      </c>
      <c r="R17" s="48" t="s">
        <v>51</v>
      </c>
      <c r="S17">
        <f>IF(Tools!$L$49="Use 141 rule only",I41,IF(Tools!$L$49="Use 141 and 1331 rules",BG18," "))</f>
        <v>20682.076797749993</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12.25</v>
      </c>
      <c r="AQ17" s="34" t="str">
        <f t="shared" ca="1" si="18"/>
        <v>4/3</v>
      </c>
      <c r="AR17" s="23">
        <f t="shared" ca="1" si="19"/>
        <v>16.333333333333332</v>
      </c>
      <c r="AS17" s="24">
        <f t="shared" si="20"/>
        <v>1</v>
      </c>
      <c r="AT17" s="23">
        <f t="shared" ca="1" si="37"/>
        <v>16.333333333333332</v>
      </c>
      <c r="AU17" s="23">
        <f t="shared" ca="1" si="40"/>
        <v>16.333333333333332</v>
      </c>
      <c r="AV17" s="23">
        <f t="shared" si="21"/>
        <v>1838.265625</v>
      </c>
      <c r="AW17" s="23">
        <f t="shared" ca="1" si="22"/>
        <v>2451.020833333333</v>
      </c>
      <c r="AY17" s="35">
        <f t="shared" si="23"/>
        <v>240.09399999999999</v>
      </c>
      <c r="AZ17" s="23">
        <f t="shared" ca="1" si="41"/>
        <v>320.12533333333329</v>
      </c>
      <c r="BA17" s="36">
        <f t="shared" si="25"/>
        <v>1243.4340999999999</v>
      </c>
      <c r="BB17" s="27">
        <f t="shared" ca="1" si="38"/>
        <v>1657.9121333333333</v>
      </c>
      <c r="BC17" s="23">
        <f t="shared" ca="1" si="39"/>
        <v>320.12533333333329</v>
      </c>
      <c r="BE17" s="50" t="s">
        <v>47</v>
      </c>
      <c r="BF17" s="48" t="s">
        <v>48</v>
      </c>
      <c r="BG17" s="49">
        <f>IF(WL_No="  ","  ",IL-AWP*(LCF^2))</f>
        <v>2866406.6163851493</v>
      </c>
    </row>
    <row r="18" spans="1:59" x14ac:dyDescent="0.25">
      <c r="A18" s="20">
        <f>Tools!$AD17</f>
        <v>12</v>
      </c>
      <c r="B18" s="33">
        <f t="shared" si="0"/>
        <v>12.25</v>
      </c>
      <c r="C18" s="22">
        <f>IF(A18="  ","  ",IF(AND(A17="  ",A19="  "),"?",IF(A17="  ",1*(A19-A18),IF(A19="  ",1*(A18-A17),1*(A19-A17)))))</f>
        <v>2</v>
      </c>
      <c r="D18" s="23">
        <f t="shared" si="26"/>
        <v>24.5</v>
      </c>
      <c r="E18" s="24">
        <f t="shared" si="1"/>
        <v>2</v>
      </c>
      <c r="F18" s="23">
        <f t="shared" si="27"/>
        <v>49</v>
      </c>
      <c r="G18" s="23">
        <f t="shared" si="28"/>
        <v>98</v>
      </c>
      <c r="H18" s="23">
        <f t="shared" si="29"/>
        <v>1838.265625</v>
      </c>
      <c r="I18" s="23">
        <f t="shared" si="30"/>
        <v>3676.53125</v>
      </c>
      <c r="J18" s="4"/>
      <c r="K18" s="37">
        <f t="shared" si="2"/>
        <v>235.68399999999997</v>
      </c>
      <c r="L18" s="23">
        <f t="shared" si="31"/>
        <v>471.36799999999994</v>
      </c>
      <c r="M18" s="38">
        <f t="shared" si="3"/>
        <v>1234.7293</v>
      </c>
      <c r="N18" s="27">
        <f t="shared" si="32"/>
        <v>2469.4585999999999</v>
      </c>
      <c r="O18" s="23">
        <f t="shared" si="33"/>
        <v>942.73599999999988</v>
      </c>
      <c r="P18" s="4"/>
      <c r="Q18" s="50" t="s">
        <v>52</v>
      </c>
      <c r="R18" s="48" t="s">
        <v>53</v>
      </c>
      <c r="S18">
        <f>IF(Tools!$L$49="Use 141 rule only",I42,IF(Tools!$L$49="Use 141 and 1331 rules",BG19," "))</f>
        <v>21326.323489999904</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12.25</v>
      </c>
      <c r="AQ18" s="34" t="str">
        <f t="shared" ca="1" si="18"/>
        <v>2/3</v>
      </c>
      <c r="AR18" s="23">
        <f t="shared" ca="1" si="19"/>
        <v>8.1666666666666661</v>
      </c>
      <c r="AS18" s="24">
        <f t="shared" si="20"/>
        <v>2</v>
      </c>
      <c r="AT18" s="23">
        <f t="shared" ca="1" si="37"/>
        <v>16.333333333333332</v>
      </c>
      <c r="AU18" s="23">
        <f t="shared" ca="1" si="40"/>
        <v>32.666666666666664</v>
      </c>
      <c r="AV18" s="23">
        <f t="shared" si="21"/>
        <v>1838.265625</v>
      </c>
      <c r="AW18" s="23">
        <f t="shared" ca="1" si="22"/>
        <v>1225.5104166666665</v>
      </c>
      <c r="AY18" s="35">
        <f t="shared" si="23"/>
        <v>235.68399999999997</v>
      </c>
      <c r="AZ18" s="23">
        <f t="shared" ca="1" si="41"/>
        <v>157.12266666666665</v>
      </c>
      <c r="BA18" s="36">
        <f t="shared" si="25"/>
        <v>1234.7293</v>
      </c>
      <c r="BB18" s="27">
        <f t="shared" ca="1" si="38"/>
        <v>823.15286666666657</v>
      </c>
      <c r="BC18" s="23">
        <f t="shared" ca="1" si="39"/>
        <v>314.24533333333329</v>
      </c>
      <c r="BE18" s="50" t="s">
        <v>50</v>
      </c>
      <c r="BF18" s="48" t="s">
        <v>54</v>
      </c>
      <c r="BG18" s="49">
        <f ca="1">IF(WL_No="  ","  ",h*$AZ$29)</f>
        <v>20682.076797749993</v>
      </c>
    </row>
    <row r="19" spans="1:59" x14ac:dyDescent="0.25">
      <c r="A19" s="20">
        <f>Tools!$AD18</f>
        <v>13</v>
      </c>
      <c r="B19" s="33">
        <f t="shared" si="0"/>
        <v>12.22</v>
      </c>
      <c r="C19" s="22">
        <f>IF(A19="  ","  ",IF(AND(A18="  ",A20="  "),"?",IF(A18="  ",2*(A20-A19),IF(A20="  ",2*(A19-A18),2*(A20-A18)))))</f>
        <v>4</v>
      </c>
      <c r="D19" s="23">
        <f t="shared" si="26"/>
        <v>48.88</v>
      </c>
      <c r="E19" s="24">
        <f t="shared" si="1"/>
        <v>3</v>
      </c>
      <c r="F19" s="23">
        <f t="shared" si="27"/>
        <v>146.64000000000001</v>
      </c>
      <c r="G19" s="23">
        <f t="shared" si="28"/>
        <v>439.92000000000007</v>
      </c>
      <c r="H19" s="23">
        <f t="shared" si="29"/>
        <v>1824.7930480000002</v>
      </c>
      <c r="I19" s="23">
        <f t="shared" si="30"/>
        <v>7299.1721920000009</v>
      </c>
      <c r="J19" s="4"/>
      <c r="K19" s="37">
        <f t="shared" si="2"/>
        <v>223.41799999999998</v>
      </c>
      <c r="L19" s="23">
        <f t="shared" si="31"/>
        <v>893.67199999999991</v>
      </c>
      <c r="M19" s="38">
        <f t="shared" si="3"/>
        <v>1195.8112666666666</v>
      </c>
      <c r="N19" s="27">
        <f t="shared" si="32"/>
        <v>4783.2450666666664</v>
      </c>
      <c r="O19" s="23">
        <f t="shared" si="33"/>
        <v>2681.0159999999996</v>
      </c>
      <c r="P19" s="4"/>
      <c r="Q19" s="50" t="s">
        <v>55</v>
      </c>
      <c r="R19" s="48" t="s">
        <v>56</v>
      </c>
      <c r="S19">
        <f>IF(Tools!$L$49="Use 141 rule only",I43,IF(Tools!$L$49="Use 141 and 1331 rules",BG20," "))</f>
        <v>116097.91226361418</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12.22</v>
      </c>
      <c r="AQ19" s="34" t="str">
        <f t="shared" ca="1" si="18"/>
        <v>4/3</v>
      </c>
      <c r="AR19" s="23">
        <f t="shared" ca="1" si="19"/>
        <v>16.293333333333333</v>
      </c>
      <c r="AS19" s="24">
        <f t="shared" si="20"/>
        <v>3</v>
      </c>
      <c r="AT19" s="23">
        <f t="shared" ca="1" si="37"/>
        <v>48.879999999999995</v>
      </c>
      <c r="AU19" s="23">
        <f t="shared" ca="1" si="40"/>
        <v>146.63999999999999</v>
      </c>
      <c r="AV19" s="23">
        <f t="shared" si="21"/>
        <v>1824.7930480000002</v>
      </c>
      <c r="AW19" s="23">
        <f t="shared" ca="1" si="22"/>
        <v>2433.0573973333335</v>
      </c>
      <c r="AY19" s="35">
        <f t="shared" si="23"/>
        <v>223.41799999999998</v>
      </c>
      <c r="AZ19" s="23">
        <f t="shared" ca="1" si="41"/>
        <v>297.89066666666662</v>
      </c>
      <c r="BA19" s="36">
        <f t="shared" si="25"/>
        <v>1195.8112666666666</v>
      </c>
      <c r="BB19" s="27">
        <f t="shared" ca="1" si="38"/>
        <v>1594.415022222222</v>
      </c>
      <c r="BC19" s="23">
        <f t="shared" ca="1" si="39"/>
        <v>893.6719999999998</v>
      </c>
      <c r="BE19" s="50" t="s">
        <v>52</v>
      </c>
      <c r="BF19" s="48" t="s">
        <v>53</v>
      </c>
      <c r="BG19" s="49">
        <f>IF(WL_No="  ","  ",V_Disp*1.025*1.006)</f>
        <v>21326.323489999904</v>
      </c>
    </row>
    <row r="20" spans="1:59" x14ac:dyDescent="0.25">
      <c r="A20" s="20">
        <f>Tools!$AD19</f>
        <v>14</v>
      </c>
      <c r="B20" s="33">
        <f t="shared" si="0"/>
        <v>11.67</v>
      </c>
      <c r="C20" s="22">
        <f>IF(A20="  ","  ",IF(AND(A19="  ",A21="  "),"?",IF(A19="  ",1*(A21-A20),IF(A21="  ",1*(A20-A19),1*(A21-A19)))))</f>
        <v>2</v>
      </c>
      <c r="D20" s="23">
        <f t="shared" si="26"/>
        <v>23.34</v>
      </c>
      <c r="E20" s="24">
        <f t="shared" si="1"/>
        <v>4</v>
      </c>
      <c r="F20" s="23">
        <f t="shared" si="27"/>
        <v>93.36</v>
      </c>
      <c r="G20" s="23">
        <f t="shared" si="28"/>
        <v>373.44</v>
      </c>
      <c r="H20" s="23">
        <f t="shared" si="29"/>
        <v>1589.3244629999999</v>
      </c>
      <c r="I20" s="23">
        <f t="shared" si="30"/>
        <v>3178.6489259999998</v>
      </c>
      <c r="J20" s="4"/>
      <c r="K20" s="37">
        <f t="shared" si="2"/>
        <v>199.65899999999996</v>
      </c>
      <c r="L20" s="23">
        <f t="shared" si="31"/>
        <v>399.31799999999993</v>
      </c>
      <c r="M20" s="38">
        <f t="shared" si="3"/>
        <v>1095.7369999999999</v>
      </c>
      <c r="N20" s="27">
        <f t="shared" si="32"/>
        <v>2191.4739999999997</v>
      </c>
      <c r="O20" s="23">
        <f t="shared" si="33"/>
        <v>1597.2719999999997</v>
      </c>
      <c r="P20" s="4"/>
      <c r="Q20" s="50" t="s">
        <v>57</v>
      </c>
      <c r="R20" s="48" t="s">
        <v>58</v>
      </c>
      <c r="S20">
        <f>IF(Tools!$L$49="Use 141 rule only",I44,IF(Tools!$L$49="Use 141 and 1331 rules",BG21," "))</f>
        <v>-20763.758612790021</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11.67</v>
      </c>
      <c r="AQ20" s="34" t="str">
        <f t="shared" ca="1" si="18"/>
        <v>2/3</v>
      </c>
      <c r="AR20" s="23">
        <f t="shared" ca="1" si="19"/>
        <v>7.7799999999999994</v>
      </c>
      <c r="AS20" s="24">
        <f t="shared" si="20"/>
        <v>4</v>
      </c>
      <c r="AT20" s="23">
        <f t="shared" ca="1" si="37"/>
        <v>31.119999999999997</v>
      </c>
      <c r="AU20" s="23">
        <f t="shared" ca="1" si="40"/>
        <v>124.47999999999999</v>
      </c>
      <c r="AV20" s="23">
        <f t="shared" si="21"/>
        <v>1589.3244629999999</v>
      </c>
      <c r="AW20" s="23">
        <f t="shared" ca="1" si="22"/>
        <v>1059.5496419999999</v>
      </c>
      <c r="AY20" s="35">
        <f t="shared" si="23"/>
        <v>199.65899999999996</v>
      </c>
      <c r="AZ20" s="23">
        <f t="shared" ca="1" si="41"/>
        <v>133.10599999999997</v>
      </c>
      <c r="BA20" s="36">
        <f t="shared" si="25"/>
        <v>1095.7369999999999</v>
      </c>
      <c r="BB20" s="27">
        <f t="shared" ca="1" si="38"/>
        <v>730.49133333333316</v>
      </c>
      <c r="BC20" s="23">
        <f t="shared" ca="1" si="39"/>
        <v>532.42399999999986</v>
      </c>
      <c r="BE20" s="50" t="s">
        <v>55</v>
      </c>
      <c r="BF20" s="48" t="s">
        <v>59</v>
      </c>
      <c r="BG20" s="49">
        <f ca="1">IF(WL_No="  ","  ",h*$BB$29)</f>
        <v>116097.91226361411</v>
      </c>
    </row>
    <row r="21" spans="1:59" x14ac:dyDescent="0.25">
      <c r="A21" s="20">
        <f>Tools!$AD20</f>
        <v>15</v>
      </c>
      <c r="B21" s="33">
        <f t="shared" si="0"/>
        <v>10.6</v>
      </c>
      <c r="C21" s="22">
        <f>IF(A21="  ","  ",IF(AND(A20="  ",A22="  "),"?",IF(A20="  ",2*(A22-A21),IF(A22="  ",2*(A21-A20),2*(A22-A20)))))</f>
        <v>4</v>
      </c>
      <c r="D21" s="23">
        <f t="shared" si="26"/>
        <v>42.4</v>
      </c>
      <c r="E21" s="24">
        <f t="shared" si="1"/>
        <v>5</v>
      </c>
      <c r="F21" s="23">
        <f t="shared" si="27"/>
        <v>212</v>
      </c>
      <c r="G21" s="23">
        <f t="shared" si="28"/>
        <v>1060</v>
      </c>
      <c r="H21" s="23">
        <f t="shared" si="29"/>
        <v>1191.0159999999998</v>
      </c>
      <c r="I21" s="23">
        <f t="shared" si="30"/>
        <v>4764.0639999999994</v>
      </c>
      <c r="J21" s="4"/>
      <c r="K21" s="37">
        <f t="shared" si="2"/>
        <v>169.77799999999999</v>
      </c>
      <c r="L21" s="23">
        <f t="shared" si="31"/>
        <v>679.11199999999997</v>
      </c>
      <c r="M21" s="38">
        <f t="shared" si="3"/>
        <v>952.50126666666654</v>
      </c>
      <c r="N21" s="27">
        <f t="shared" si="32"/>
        <v>3810.0050666666662</v>
      </c>
      <c r="O21" s="23">
        <f t="shared" si="33"/>
        <v>3395.56</v>
      </c>
      <c r="P21" s="4"/>
      <c r="Q21" s="50" t="s">
        <v>60</v>
      </c>
      <c r="R21" s="48" t="s">
        <v>61</v>
      </c>
      <c r="S21">
        <f>IF(Tools!$L$49="Use 141 rule only",I45,IF(Tools!$L$49="Use 141 and 1331 rules",BG22," "))</f>
        <v>138.59375170181102</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10.6</v>
      </c>
      <c r="AQ21" s="34" t="str">
        <f t="shared" ca="1" si="18"/>
        <v>4/3</v>
      </c>
      <c r="AR21" s="23">
        <f t="shared" ca="1" si="19"/>
        <v>14.133333333333333</v>
      </c>
      <c r="AS21" s="24">
        <f t="shared" si="20"/>
        <v>5</v>
      </c>
      <c r="AT21" s="23">
        <f t="shared" ca="1" si="37"/>
        <v>70.666666666666657</v>
      </c>
      <c r="AU21" s="23">
        <f t="shared" ca="1" si="40"/>
        <v>353.33333333333326</v>
      </c>
      <c r="AV21" s="23">
        <f t="shared" si="21"/>
        <v>1191.0159999999998</v>
      </c>
      <c r="AW21" s="23">
        <f t="shared" ca="1" si="22"/>
        <v>1588.0213333333331</v>
      </c>
      <c r="AY21" s="35">
        <f t="shared" si="23"/>
        <v>169.77799999999999</v>
      </c>
      <c r="AZ21" s="23">
        <f t="shared" ca="1" si="41"/>
        <v>226.37066666666664</v>
      </c>
      <c r="BA21" s="36">
        <f t="shared" si="25"/>
        <v>952.50126666666654</v>
      </c>
      <c r="BB21" s="27">
        <f t="shared" ca="1" si="38"/>
        <v>1270.0016888888886</v>
      </c>
      <c r="BC21" s="23">
        <f t="shared" ca="1" si="39"/>
        <v>1131.8533333333332</v>
      </c>
      <c r="BE21" s="50" t="s">
        <v>57</v>
      </c>
      <c r="BF21" s="48" t="s">
        <v>62</v>
      </c>
      <c r="BG21" s="49">
        <f ca="1">IF(WL_No="  ","  ",(h^2)*$BC$29)</f>
        <v>-20763.758612790014</v>
      </c>
    </row>
    <row r="22" spans="1:59" x14ac:dyDescent="0.25">
      <c r="A22" s="20">
        <f>Tools!$AD21</f>
        <v>16</v>
      </c>
      <c r="B22" s="33">
        <f t="shared" si="0"/>
        <v>9.1199999999999992</v>
      </c>
      <c r="C22" s="22">
        <f>IF(A22="  ","  ",IF(AND(A21="  ",A23="  "),"?",IF(A21="  ",1*(A23-A22),IF(A23="  ",1*(A22-A21),1*(A23-A21)))))</f>
        <v>2</v>
      </c>
      <c r="D22" s="23">
        <f t="shared" si="26"/>
        <v>18.239999999999998</v>
      </c>
      <c r="E22" s="24">
        <f t="shared" si="1"/>
        <v>6</v>
      </c>
      <c r="F22" s="23">
        <f t="shared" si="27"/>
        <v>109.44</v>
      </c>
      <c r="G22" s="23">
        <f t="shared" si="28"/>
        <v>656.64</v>
      </c>
      <c r="H22" s="23">
        <f t="shared" si="29"/>
        <v>758.55052799999987</v>
      </c>
      <c r="I22" s="23">
        <f t="shared" si="30"/>
        <v>1517.1010559999997</v>
      </c>
      <c r="J22" s="4"/>
      <c r="K22" s="37">
        <f t="shared" si="2"/>
        <v>134.35300000000001</v>
      </c>
      <c r="L22" s="23">
        <f t="shared" si="31"/>
        <v>268.70600000000002</v>
      </c>
      <c r="M22" s="38">
        <f t="shared" si="3"/>
        <v>773.58576666666659</v>
      </c>
      <c r="N22" s="27">
        <f t="shared" si="32"/>
        <v>1547.1715333333332</v>
      </c>
      <c r="O22" s="23">
        <f t="shared" si="33"/>
        <v>1612.2360000000001</v>
      </c>
      <c r="P22" s="4"/>
      <c r="Q22" s="50" t="s">
        <v>63</v>
      </c>
      <c r="R22" s="48" t="s">
        <v>64</v>
      </c>
      <c r="S22">
        <f>IF(Tools!$L$49="Use 141 rule only",I46,IF(Tools!$L$49="Use 141 and 1331 rules",BG23," "))</f>
        <v>5.5212354706263591</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9.1199999999999992</v>
      </c>
      <c r="AQ22" s="34" t="str">
        <f t="shared" ca="1" si="18"/>
        <v>2/3</v>
      </c>
      <c r="AR22" s="23">
        <f t="shared" ca="1" si="19"/>
        <v>6.0799999999999992</v>
      </c>
      <c r="AS22" s="24">
        <f t="shared" si="20"/>
        <v>6</v>
      </c>
      <c r="AT22" s="23">
        <f t="shared" ca="1" si="37"/>
        <v>36.479999999999997</v>
      </c>
      <c r="AU22" s="23">
        <f t="shared" ca="1" si="40"/>
        <v>218.88</v>
      </c>
      <c r="AV22" s="23">
        <f t="shared" si="21"/>
        <v>758.55052799999987</v>
      </c>
      <c r="AW22" s="23">
        <f t="shared" ca="1" si="22"/>
        <v>505.7003519999999</v>
      </c>
      <c r="AY22" s="35">
        <f t="shared" si="23"/>
        <v>134.35300000000001</v>
      </c>
      <c r="AZ22" s="23">
        <f t="shared" ca="1" si="41"/>
        <v>89.568666666666672</v>
      </c>
      <c r="BA22" s="36">
        <f t="shared" si="25"/>
        <v>773.58576666666659</v>
      </c>
      <c r="BB22" s="27">
        <f t="shared" ca="1" si="38"/>
        <v>515.72384444444435</v>
      </c>
      <c r="BC22" s="23">
        <f t="shared" ca="1" si="39"/>
        <v>537.41200000000003</v>
      </c>
      <c r="BE22" s="50" t="s">
        <v>60</v>
      </c>
      <c r="BF22" s="48" t="s">
        <v>61</v>
      </c>
      <c r="BG22" s="49">
        <f>IF(WL_No="  ","  ",IF/V_Disp)</f>
        <v>138.59375170181102</v>
      </c>
    </row>
    <row r="23" spans="1:59" x14ac:dyDescent="0.25">
      <c r="A23" s="20">
        <f>Tools!$AD22</f>
        <v>17</v>
      </c>
      <c r="B23" s="33">
        <f t="shared" si="0"/>
        <v>7.22</v>
      </c>
      <c r="C23" s="22">
        <f>IF(A23="  ","  ",IF(AND(A22="  ",A24="  "),"?",IF(A22="  ",2*(A24-A23),IF(A24="  ",2*(A23-A22),2*(A24-A22)))))</f>
        <v>4</v>
      </c>
      <c r="D23" s="23">
        <f t="shared" si="26"/>
        <v>28.88</v>
      </c>
      <c r="E23" s="24">
        <f t="shared" si="1"/>
        <v>7</v>
      </c>
      <c r="F23" s="23">
        <f t="shared" si="27"/>
        <v>202.16</v>
      </c>
      <c r="G23" s="23">
        <f t="shared" si="28"/>
        <v>1415.12</v>
      </c>
      <c r="H23" s="23">
        <f t="shared" si="29"/>
        <v>376.36704799999995</v>
      </c>
      <c r="I23" s="23">
        <f t="shared" si="30"/>
        <v>1505.4681919999998</v>
      </c>
      <c r="J23" s="4"/>
      <c r="K23" s="37">
        <f t="shared" si="2"/>
        <v>96.784999999999982</v>
      </c>
      <c r="L23" s="23">
        <f t="shared" si="31"/>
        <v>387.13999999999993</v>
      </c>
      <c r="M23" s="38">
        <f t="shared" si="3"/>
        <v>571.84429999999998</v>
      </c>
      <c r="N23" s="27">
        <f t="shared" si="32"/>
        <v>2287.3771999999999</v>
      </c>
      <c r="O23" s="23">
        <f t="shared" si="33"/>
        <v>2709.9799999999996</v>
      </c>
      <c r="P23" s="4"/>
      <c r="Q23" s="50" t="s">
        <v>65</v>
      </c>
      <c r="R23" s="48" t="s">
        <v>66</v>
      </c>
      <c r="S23">
        <f>IF(Tools!$L$49="Use 141 rule only",I47,IF(Tools!$L$49="Use 141 and 1331 rules",BG24," "))</f>
        <v>5.6134552346428039</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7.22</v>
      </c>
      <c r="AQ23" s="34" t="str">
        <f t="shared" ca="1" si="18"/>
        <v>4/3</v>
      </c>
      <c r="AR23" s="23">
        <f t="shared" ca="1" si="19"/>
        <v>9.6266666666666652</v>
      </c>
      <c r="AS23" s="24">
        <f t="shared" si="20"/>
        <v>7</v>
      </c>
      <c r="AT23" s="23">
        <f t="shared" ca="1" si="37"/>
        <v>67.386666666666656</v>
      </c>
      <c r="AU23" s="23">
        <f t="shared" ca="1" si="40"/>
        <v>471.70666666666659</v>
      </c>
      <c r="AV23" s="23">
        <f t="shared" si="21"/>
        <v>376.36704799999995</v>
      </c>
      <c r="AW23" s="23">
        <f t="shared" ca="1" si="22"/>
        <v>501.82273066666659</v>
      </c>
      <c r="AY23" s="35">
        <f t="shared" si="23"/>
        <v>96.784999999999982</v>
      </c>
      <c r="AZ23" s="23">
        <f t="shared" ca="1" si="41"/>
        <v>129.04666666666662</v>
      </c>
      <c r="BA23" s="36">
        <f t="shared" si="25"/>
        <v>571.84429999999998</v>
      </c>
      <c r="BB23" s="27">
        <f t="shared" ca="1" si="38"/>
        <v>762.45906666666656</v>
      </c>
      <c r="BC23" s="23">
        <f t="shared" ca="1" si="39"/>
        <v>903.32666666666637</v>
      </c>
      <c r="BE23" s="50" t="s">
        <v>63</v>
      </c>
      <c r="BF23" s="48" t="s">
        <v>64</v>
      </c>
      <c r="BG23" s="49">
        <f>IF(WL_No="  ","  ",IT/V_Disp)</f>
        <v>5.5212354706263591</v>
      </c>
    </row>
    <row r="24" spans="1:59" x14ac:dyDescent="0.25">
      <c r="A24" s="20">
        <f>Tools!$AD23</f>
        <v>18</v>
      </c>
      <c r="B24" s="33">
        <f t="shared" si="0"/>
        <v>4.97</v>
      </c>
      <c r="C24" s="22">
        <f>IF(A24="  ","  ",IF(AND(A23="  ",A25="  "),"?",IF(A23="  ",1*(A25-A24),IF(A25="  ",1*(A24-A23),1*(A25-A23)))))</f>
        <v>1.5</v>
      </c>
      <c r="D24" s="23">
        <f t="shared" si="26"/>
        <v>7.4550000000000001</v>
      </c>
      <c r="E24" s="24">
        <f t="shared" si="1"/>
        <v>8</v>
      </c>
      <c r="F24" s="23">
        <f t="shared" si="27"/>
        <v>59.64</v>
      </c>
      <c r="G24" s="23">
        <f t="shared" si="28"/>
        <v>477.12</v>
      </c>
      <c r="H24" s="23">
        <f t="shared" si="29"/>
        <v>122.76347299999998</v>
      </c>
      <c r="I24" s="23">
        <f t="shared" si="30"/>
        <v>184.14520949999996</v>
      </c>
      <c r="J24" s="4"/>
      <c r="K24" s="37">
        <f t="shared" si="2"/>
        <v>61.734499999999997</v>
      </c>
      <c r="L24" s="23">
        <f t="shared" si="31"/>
        <v>92.601749999999996</v>
      </c>
      <c r="M24" s="38">
        <f t="shared" si="3"/>
        <v>368.63002499999999</v>
      </c>
      <c r="N24" s="27">
        <f t="shared" si="32"/>
        <v>552.94503750000001</v>
      </c>
      <c r="O24" s="23">
        <f t="shared" si="33"/>
        <v>740.81399999999996</v>
      </c>
      <c r="P24" s="4"/>
      <c r="Q24" s="50" t="s">
        <v>67</v>
      </c>
      <c r="R24" s="48" t="s">
        <v>68</v>
      </c>
      <c r="S24">
        <f>IF(Tools!$L$49="Use 141 rule only",I48,IF(Tools!$L$49="Use 141 and 1331 rules",BG25," "))</f>
        <v>11.134690705269163</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4.97</v>
      </c>
      <c r="AQ24" s="34" t="str">
        <f t="shared" ca="1" si="18"/>
        <v>(1/2)*(1/3)+1/3</v>
      </c>
      <c r="AR24" s="23">
        <f t="shared" ca="1" si="19"/>
        <v>2.4849999999999999</v>
      </c>
      <c r="AS24" s="24">
        <f t="shared" si="20"/>
        <v>8</v>
      </c>
      <c r="AT24" s="23">
        <f t="shared" ca="1" si="37"/>
        <v>19.88</v>
      </c>
      <c r="AU24" s="23">
        <f t="shared" ca="1" si="40"/>
        <v>159.04</v>
      </c>
      <c r="AV24" s="23">
        <f t="shared" si="21"/>
        <v>122.76347299999998</v>
      </c>
      <c r="AW24" s="23">
        <f t="shared" ca="1" si="22"/>
        <v>61.381736499999988</v>
      </c>
      <c r="AY24" s="35">
        <f t="shared" si="23"/>
        <v>61.734499999999997</v>
      </c>
      <c r="AZ24" s="23">
        <f t="shared" ca="1" si="41"/>
        <v>30.867249999999999</v>
      </c>
      <c r="BA24" s="36">
        <f t="shared" si="25"/>
        <v>368.63002499999999</v>
      </c>
      <c r="BB24" s="27">
        <f t="shared" ca="1" si="38"/>
        <v>184.31501249999999</v>
      </c>
      <c r="BC24" s="23">
        <f t="shared" ca="1" si="39"/>
        <v>246.93799999999999</v>
      </c>
      <c r="BE24" s="50" t="s">
        <v>65</v>
      </c>
      <c r="BF24" s="48" t="s">
        <v>66</v>
      </c>
      <c r="BG24" s="49">
        <f>IF(WL_No="  ","  ",MT/V_Disp)</f>
        <v>5.6134552346428039</v>
      </c>
    </row>
    <row r="25" spans="1:59" x14ac:dyDescent="0.25">
      <c r="A25" s="20">
        <f>Tools!$AD24</f>
        <v>18.5</v>
      </c>
      <c r="B25" s="33">
        <f t="shared" si="0"/>
        <v>3.79</v>
      </c>
      <c r="C25" s="22">
        <f>IF(A25="  ","  ",IF(AND(A24="  ",A26="  "),"?",IF(A24="  ",2*(A26-A25),IF(A26="  ",2*(A25-A24),2*(A26-A24)))))</f>
        <v>2</v>
      </c>
      <c r="D25" s="23">
        <f t="shared" si="26"/>
        <v>7.58</v>
      </c>
      <c r="E25" s="24">
        <f t="shared" si="1"/>
        <v>8.5</v>
      </c>
      <c r="F25" s="23">
        <f t="shared" si="27"/>
        <v>64.430000000000007</v>
      </c>
      <c r="G25" s="23">
        <f t="shared" si="28"/>
        <v>547.65500000000009</v>
      </c>
      <c r="H25" s="23">
        <f t="shared" si="29"/>
        <v>54.439939000000003</v>
      </c>
      <c r="I25" s="23">
        <f t="shared" si="30"/>
        <v>108.87987800000001</v>
      </c>
      <c r="J25" s="4"/>
      <c r="K25" s="37">
        <f t="shared" si="2"/>
        <v>46.415199999999999</v>
      </c>
      <c r="L25" s="23">
        <f t="shared" si="31"/>
        <v>92.830399999999997</v>
      </c>
      <c r="M25" s="38">
        <f t="shared" si="3"/>
        <v>276.88887799999998</v>
      </c>
      <c r="N25" s="27">
        <f t="shared" si="32"/>
        <v>553.77775599999995</v>
      </c>
      <c r="O25" s="23">
        <f t="shared" si="33"/>
        <v>789.05840000000001</v>
      </c>
      <c r="P25" s="4"/>
      <c r="Q25" s="50" t="s">
        <v>69</v>
      </c>
      <c r="R25" s="48" t="s">
        <v>70</v>
      </c>
      <c r="S25">
        <f>IF(Tools!$L$49="Use 141 rule only",I49,IF(Tools!$L$49="Use 141 and 1331 rules",BG26," "))</f>
        <v>144.20720693645382</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3.79</v>
      </c>
      <c r="AQ25" s="34" t="str">
        <f t="shared" ca="1" si="18"/>
        <v>(1/2)*(4/3)</v>
      </c>
      <c r="AR25" s="23">
        <f t="shared" ca="1" si="19"/>
        <v>2.5266666666666664</v>
      </c>
      <c r="AS25" s="24">
        <f t="shared" si="20"/>
        <v>8.5</v>
      </c>
      <c r="AT25" s="23">
        <f t="shared" ca="1" si="37"/>
        <v>21.476666666666663</v>
      </c>
      <c r="AU25" s="23">
        <f t="shared" ca="1" si="40"/>
        <v>182.55166666666665</v>
      </c>
      <c r="AV25" s="23">
        <f t="shared" si="21"/>
        <v>54.439939000000003</v>
      </c>
      <c r="AW25" s="23">
        <f t="shared" ca="1" si="22"/>
        <v>36.293292666666666</v>
      </c>
      <c r="AY25" s="35">
        <f t="shared" si="23"/>
        <v>46.415199999999999</v>
      </c>
      <c r="AZ25" s="23">
        <f t="shared" ca="1" si="41"/>
        <v>30.943466666666666</v>
      </c>
      <c r="BA25" s="36">
        <f t="shared" si="25"/>
        <v>276.88887799999998</v>
      </c>
      <c r="BB25" s="27">
        <f t="shared" ca="1" si="38"/>
        <v>184.59258533333332</v>
      </c>
      <c r="BC25" s="23">
        <f t="shared" ca="1" si="39"/>
        <v>263.01946666666663</v>
      </c>
      <c r="BE25" s="50" t="s">
        <v>67</v>
      </c>
      <c r="BF25" s="48" t="s">
        <v>68</v>
      </c>
      <c r="BG25" s="49">
        <f>IF(WL_No="  ","  ",KB+BMT)</f>
        <v>11.134690705269163</v>
      </c>
    </row>
    <row r="26" spans="1:59" x14ac:dyDescent="0.25">
      <c r="A26" s="20">
        <f>Tools!$AD25</f>
        <v>19</v>
      </c>
      <c r="B26" s="33">
        <f t="shared" si="0"/>
        <v>2.61</v>
      </c>
      <c r="C26" s="22">
        <f>IF(A26="  ","  ",IF(AND(A25="  ",A27="  "),"?",IF(A25="  ",1*(A27-A26),IF(A27="  ",1*(A26-A25),1*(A27-A25)))))</f>
        <v>1</v>
      </c>
      <c r="D26" s="23">
        <f t="shared" si="26"/>
        <v>2.61</v>
      </c>
      <c r="E26" s="24">
        <f t="shared" si="1"/>
        <v>9</v>
      </c>
      <c r="F26" s="23">
        <f t="shared" si="27"/>
        <v>23.49</v>
      </c>
      <c r="G26" s="23">
        <f t="shared" si="28"/>
        <v>211.41</v>
      </c>
      <c r="H26" s="23">
        <f t="shared" si="29"/>
        <v>17.779580999999997</v>
      </c>
      <c r="I26" s="23">
        <f t="shared" si="30"/>
        <v>17.779580999999997</v>
      </c>
      <c r="J26" s="4"/>
      <c r="K26" s="37">
        <f t="shared" si="2"/>
        <v>33.988599999999998</v>
      </c>
      <c r="L26" s="23">
        <f t="shared" si="31"/>
        <v>33.988599999999998</v>
      </c>
      <c r="M26" s="38">
        <f t="shared" si="3"/>
        <v>198.76326866666665</v>
      </c>
      <c r="N26" s="27">
        <f t="shared" si="32"/>
        <v>198.76326866666665</v>
      </c>
      <c r="O26" s="23">
        <f t="shared" si="33"/>
        <v>305.8974</v>
      </c>
      <c r="P26" s="4"/>
      <c r="Q26" s="50" t="s">
        <v>71</v>
      </c>
      <c r="R26" s="48" t="s">
        <v>72</v>
      </c>
      <c r="S26">
        <f>IF(Tools!$L$49="Use 141 rule only",I50,IF(Tools!$L$49="Use 141 and 1331 rules",BG27," "))</f>
        <v>27.350425447499997</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2.61</v>
      </c>
      <c r="AQ26" s="34" t="str">
        <f t="shared" ca="1" si="18"/>
        <v>(1/2)*(2/3)</v>
      </c>
      <c r="AR26" s="23">
        <f t="shared" ca="1" si="19"/>
        <v>0.86999999999999988</v>
      </c>
      <c r="AS26" s="24">
        <f t="shared" si="20"/>
        <v>9</v>
      </c>
      <c r="AT26" s="23">
        <f t="shared" ca="1" si="37"/>
        <v>7.8299999999999992</v>
      </c>
      <c r="AU26" s="23">
        <f t="shared" ca="1" si="40"/>
        <v>70.47</v>
      </c>
      <c r="AV26" s="23">
        <f t="shared" si="21"/>
        <v>17.779580999999997</v>
      </c>
      <c r="AW26" s="23">
        <f t="shared" ca="1" si="22"/>
        <v>5.9265269999999983</v>
      </c>
      <c r="AY26" s="35">
        <f t="shared" si="23"/>
        <v>33.988599999999998</v>
      </c>
      <c r="AZ26" s="23">
        <f t="shared" ca="1" si="41"/>
        <v>11.329533333333332</v>
      </c>
      <c r="BA26" s="36">
        <f t="shared" si="25"/>
        <v>198.76326866666665</v>
      </c>
      <c r="BB26" s="27">
        <f t="shared" ca="1" si="38"/>
        <v>66.254422888888882</v>
      </c>
      <c r="BC26" s="23">
        <f t="shared" ca="1" si="39"/>
        <v>101.96579999999999</v>
      </c>
      <c r="BE26" s="50" t="s">
        <v>69</v>
      </c>
      <c r="BF26" s="48" t="s">
        <v>70</v>
      </c>
      <c r="BG26" s="49">
        <f>IF(WL_No="  ","  ",KB+BML)</f>
        <v>144.20720693645382</v>
      </c>
    </row>
    <row r="27" spans="1:59" x14ac:dyDescent="0.25">
      <c r="A27" s="20">
        <f>Tools!$AD26</f>
        <v>19.5</v>
      </c>
      <c r="B27" s="33">
        <f t="shared" si="0"/>
        <v>1.44</v>
      </c>
      <c r="C27" s="22">
        <f>IF(A27="  ","  ",IF(AND(A26="  ",A28="  "),"?",IF(A26="  ",2*(A28-A27),IF(A28="  ",2*(A27-A26),2*(A28-A26)))))</f>
        <v>2</v>
      </c>
      <c r="D27" s="23">
        <f t="shared" si="26"/>
        <v>2.88</v>
      </c>
      <c r="E27" s="24">
        <f t="shared" si="1"/>
        <v>9.5</v>
      </c>
      <c r="F27" s="23">
        <f t="shared" si="27"/>
        <v>27.36</v>
      </c>
      <c r="G27" s="23">
        <f t="shared" si="28"/>
        <v>259.92</v>
      </c>
      <c r="H27" s="23">
        <f t="shared" si="29"/>
        <v>2.9859839999999997</v>
      </c>
      <c r="I27" s="23">
        <f t="shared" si="30"/>
        <v>5.9719679999999995</v>
      </c>
      <c r="J27" s="4"/>
      <c r="K27" s="37">
        <f t="shared" si="2"/>
        <v>23.82</v>
      </c>
      <c r="L27" s="23">
        <f t="shared" si="31"/>
        <v>47.64</v>
      </c>
      <c r="M27" s="38">
        <f t="shared" si="3"/>
        <v>135.29426666666666</v>
      </c>
      <c r="N27" s="27">
        <f t="shared" si="32"/>
        <v>270.58853333333332</v>
      </c>
      <c r="O27" s="23">
        <f t="shared" si="33"/>
        <v>452.58</v>
      </c>
      <c r="P27" s="4"/>
      <c r="Q27" s="50" t="s">
        <v>73</v>
      </c>
      <c r="R27" s="48" t="s">
        <v>74</v>
      </c>
      <c r="S27">
        <f>IF(Tools!$L$49="Use 141 rule only",I51,IF(Tools!$L$49="Use 141 and 1331 rules",BG28," "))</f>
        <v>-1.003949401012229</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1.44</v>
      </c>
      <c r="AQ27" s="34" t="str">
        <f t="shared" ca="1" si="18"/>
        <v>(1/2)*(4/3)</v>
      </c>
      <c r="AR27" s="23">
        <f t="shared" ca="1" si="19"/>
        <v>0.96</v>
      </c>
      <c r="AS27" s="24">
        <f t="shared" si="20"/>
        <v>9.5</v>
      </c>
      <c r="AT27" s="23">
        <f t="shared" ca="1" si="37"/>
        <v>9.1199999999999992</v>
      </c>
      <c r="AU27" s="23">
        <f t="shared" ca="1" si="40"/>
        <v>86.639999999999986</v>
      </c>
      <c r="AV27" s="23">
        <f t="shared" si="21"/>
        <v>2.9859839999999997</v>
      </c>
      <c r="AW27" s="23">
        <f t="shared" ca="1" si="22"/>
        <v>1.9906559999999998</v>
      </c>
      <c r="AY27" s="35">
        <f t="shared" si="23"/>
        <v>23.82</v>
      </c>
      <c r="AZ27" s="23">
        <f t="shared" ca="1" si="41"/>
        <v>15.879999999999999</v>
      </c>
      <c r="BA27" s="36">
        <f t="shared" si="25"/>
        <v>135.29426666666666</v>
      </c>
      <c r="BB27" s="27">
        <f t="shared" ca="1" si="38"/>
        <v>90.196177777777763</v>
      </c>
      <c r="BC27" s="23">
        <f t="shared" ca="1" si="39"/>
        <v>150.85999999999999</v>
      </c>
      <c r="BE27" s="50" t="s">
        <v>71</v>
      </c>
      <c r="BF27" s="48" t="s">
        <v>72</v>
      </c>
      <c r="BG27" s="49">
        <f>IF(WL_No="  ","  ",AWP*1.025/100)</f>
        <v>27.350425447499997</v>
      </c>
    </row>
    <row r="28" spans="1:59" ht="15.75" thickBot="1" x14ac:dyDescent="0.3">
      <c r="A28" s="20">
        <f>Tools!$AD27</f>
        <v>20</v>
      </c>
      <c r="B28" s="52">
        <f t="shared" si="0"/>
        <v>0</v>
      </c>
      <c r="C28" s="22">
        <f>IF(A28="  ","  ",IF(A27="  ","?",1*(A28-A27)))</f>
        <v>0.5</v>
      </c>
      <c r="D28" s="53">
        <f t="shared" si="26"/>
        <v>0</v>
      </c>
      <c r="E28" s="24">
        <f t="shared" si="1"/>
        <v>10</v>
      </c>
      <c r="F28" s="53">
        <f t="shared" si="27"/>
        <v>0</v>
      </c>
      <c r="G28" s="53">
        <f t="shared" si="28"/>
        <v>0</v>
      </c>
      <c r="H28" s="23">
        <f t="shared" si="29"/>
        <v>0</v>
      </c>
      <c r="I28" s="53">
        <f t="shared" si="30"/>
        <v>0</v>
      </c>
      <c r="J28" s="4"/>
      <c r="K28" s="35">
        <f t="shared" si="2"/>
        <v>13.323999999999998</v>
      </c>
      <c r="L28" s="53">
        <f t="shared" si="31"/>
        <v>6.661999999999999</v>
      </c>
      <c r="M28" s="36">
        <f t="shared" si="3"/>
        <v>69.784266666666667</v>
      </c>
      <c r="N28" s="54">
        <f t="shared" si="32"/>
        <v>34.892133333333334</v>
      </c>
      <c r="O28" s="53">
        <f t="shared" si="33"/>
        <v>66.61999999999999</v>
      </c>
      <c r="P28" s="4"/>
      <c r="Q28" s="50" t="s">
        <v>75</v>
      </c>
      <c r="R28" s="55" t="s">
        <v>76</v>
      </c>
      <c r="S28">
        <f>IF(Tools!$L$49="Use 141 rule only",I52,IF(Tools!$L$49="Use 141 and 1331 rules",BG29," "))</f>
        <v>224.42636161621462</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v>
      </c>
      <c r="AQ28" s="34" t="str">
        <f t="shared" ca="1" si="18"/>
        <v>(1/2)*(1/3)</v>
      </c>
      <c r="AR28" s="23">
        <f t="shared" ca="1" si="19"/>
        <v>0</v>
      </c>
      <c r="AS28" s="24">
        <f t="shared" si="20"/>
        <v>10</v>
      </c>
      <c r="AT28" s="53">
        <f t="shared" ca="1" si="37"/>
        <v>0</v>
      </c>
      <c r="AU28" s="53">
        <f t="shared" ca="1" si="40"/>
        <v>0</v>
      </c>
      <c r="AV28" s="23">
        <f t="shared" si="21"/>
        <v>0</v>
      </c>
      <c r="AW28" s="23">
        <f t="shared" ca="1" si="22"/>
        <v>0</v>
      </c>
      <c r="AY28" s="35">
        <f t="shared" si="23"/>
        <v>13.323999999999998</v>
      </c>
      <c r="AZ28" s="23">
        <f t="shared" ca="1" si="41"/>
        <v>2.2206666666666663</v>
      </c>
      <c r="BA28" s="36">
        <f t="shared" si="25"/>
        <v>69.784266666666667</v>
      </c>
      <c r="BB28" s="27">
        <f t="shared" ca="1" si="38"/>
        <v>11.630711111111111</v>
      </c>
      <c r="BC28" s="53">
        <f t="shared" ca="1" si="39"/>
        <v>22.206666666666663</v>
      </c>
      <c r="BE28" s="50" t="s">
        <v>73</v>
      </c>
      <c r="BF28" s="48" t="s">
        <v>74</v>
      </c>
      <c r="BG28" s="49">
        <f>IF(WL_No="  ","  ",ML/V_Disp)</f>
        <v>-1.003949401012229</v>
      </c>
    </row>
    <row r="29" spans="1:59" ht="15.75" thickBot="1" x14ac:dyDescent="0.3">
      <c r="A29" s="56" t="s">
        <v>77</v>
      </c>
      <c r="B29" s="56"/>
      <c r="C29" s="56"/>
      <c r="D29" s="57">
        <f>SUM(D4:D28)</f>
        <v>607.82100000000014</v>
      </c>
      <c r="E29" s="42"/>
      <c r="F29" s="58">
        <f>SUM(F4:F28)</f>
        <v>-550.79999999999984</v>
      </c>
      <c r="G29" s="58">
        <f>SUM(G4:G28)</f>
        <v>15556.934999999999</v>
      </c>
      <c r="H29" s="42"/>
      <c r="I29" s="58">
        <f>SUM(I4:I28)</f>
        <v>78034.589536643995</v>
      </c>
      <c r="J29" s="4"/>
      <c r="K29" s="42"/>
      <c r="L29" s="58">
        <f>SUM(L4:L28)</f>
        <v>9422.3584499999979</v>
      </c>
      <c r="M29" s="42"/>
      <c r="N29" s="58">
        <f>SUM(N4:N28)</f>
        <v>52891.987363833345</v>
      </c>
      <c r="O29" s="58">
        <f>SUM(O4:O28)</f>
        <v>-1436.5332000000019</v>
      </c>
      <c r="P29" s="4"/>
      <c r="Q29" s="50" t="s">
        <v>78</v>
      </c>
      <c r="R29" s="48" t="s">
        <v>79</v>
      </c>
      <c r="S29">
        <f>IF(Tools!$L$49="Use 141 rule only",I53,IF(Tools!$L$49="Use 141 and 1331 rules",BG30," "))</f>
        <v>10.1</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202.60700000000003</v>
      </c>
      <c r="AS29" s="42"/>
      <c r="AT29" s="58">
        <f ca="1">SUM(AT4:AT28)</f>
        <v>-183.59999999999997</v>
      </c>
      <c r="AU29" s="58">
        <f ca="1">SUM(AU4:AU28)</f>
        <v>5185.6450000000004</v>
      </c>
      <c r="AV29" s="42"/>
      <c r="AW29" s="58">
        <f ca="1">SUM(AW4:AW28)</f>
        <v>26011.529845548004</v>
      </c>
      <c r="AY29" s="42"/>
      <c r="AZ29" s="58">
        <f ca="1">SUM(AZ4:AZ28)</f>
        <v>3140.7861499999995</v>
      </c>
      <c r="BA29" s="42"/>
      <c r="BB29" s="58">
        <f ca="1">SUM(BB4:BB28)</f>
        <v>17630.662454611105</v>
      </c>
      <c r="BC29" s="58">
        <f ca="1">SUM(BC4:BC28)</f>
        <v>-478.84440000000046</v>
      </c>
      <c r="BE29" s="50" t="s">
        <v>75</v>
      </c>
      <c r="BF29" s="55" t="s">
        <v>76</v>
      </c>
      <c r="BG29" s="49">
        <f ca="1">IF(WL_No="  ","  ",M_Disp*BML/100/BG8)</f>
        <v>224.42636161621462</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0.8269673469387756</v>
      </c>
      <c r="AA30" s="60"/>
      <c r="AB30" s="60"/>
      <c r="BE30" s="50" t="s">
        <v>78</v>
      </c>
      <c r="BF30" s="48" t="s">
        <v>79</v>
      </c>
      <c r="BG30" s="49">
        <f>IF(WL_No="  ","  ",WLS*WL_No)</f>
        <v>10.1</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0.63463046069913098</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0.8269673469387756</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0.97306122448979593</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0.63463046069913098</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0.65219992815137207</v>
      </c>
      <c r="AF33" s="63"/>
      <c r="AG33" s="63"/>
      <c r="AH33" s="63">
        <f ca="1">Long_Div-AH32</f>
        <v>20</v>
      </c>
      <c r="AI33" s="63"/>
      <c r="AJ33" s="63">
        <f ca="1">AJ32+AJ31</f>
        <v>0</v>
      </c>
      <c r="BE33" s="50" t="s">
        <v>85</v>
      </c>
      <c r="BF33" s="48" t="s">
        <v>86</v>
      </c>
      <c r="BG33" s="65">
        <f>IFERROR(IF(WL_No="  ","  ",(VLOOKUP(Long_Div/2,AREA_TABLE,Count_WL+1,FALSE))/(B_current*T)),"-")</f>
        <v>0.97306122448979593</v>
      </c>
    </row>
    <row r="34" spans="1:59" x14ac:dyDescent="0.25">
      <c r="G34" s="45"/>
      <c r="H34" s="46"/>
      <c r="I34" s="507"/>
      <c r="BE34" s="50" t="s">
        <v>88</v>
      </c>
      <c r="BF34" s="48" t="s">
        <v>89</v>
      </c>
      <c r="BG34" s="49">
        <f>IF(WL_No="  ","  ",CB/CM)</f>
        <v>0.65219992815137207</v>
      </c>
    </row>
    <row r="35" spans="1:59" x14ac:dyDescent="0.25">
      <c r="G35" s="47" t="s">
        <v>34</v>
      </c>
      <c r="H35" s="48" t="s">
        <v>35</v>
      </c>
      <c r="I35" s="49">
        <f>IF(WL_No="  ","  ",2/3*h*$D$29)</f>
        <v>2668.33419</v>
      </c>
    </row>
    <row r="36" spans="1:59" x14ac:dyDescent="0.25">
      <c r="G36" s="47" t="s">
        <v>36</v>
      </c>
      <c r="H36" s="48" t="s">
        <v>37</v>
      </c>
      <c r="I36" s="49">
        <f>IF(WL_No="  ","  ",2/3*(h^2)*$F$29)</f>
        <v>-15922.609019999991</v>
      </c>
    </row>
    <row r="37" spans="1:59" x14ac:dyDescent="0.25">
      <c r="G37" s="50" t="s">
        <v>39</v>
      </c>
      <c r="H37" s="48" t="s">
        <v>40</v>
      </c>
      <c r="I37" s="49">
        <f>IF(WL_No="  ","  ",Mmid/AWP)</f>
        <v>-5.9672469361868012</v>
      </c>
    </row>
    <row r="38" spans="1:59" x14ac:dyDescent="0.25">
      <c r="G38" s="50" t="s">
        <v>42</v>
      </c>
      <c r="H38" s="48" t="s">
        <v>43</v>
      </c>
      <c r="I38" s="49">
        <f>IF(WL_No="  ","  ",2/3*(h^3)*$G$29)</f>
        <v>2961420.7562758448</v>
      </c>
    </row>
    <row r="39" spans="1:59" x14ac:dyDescent="0.25">
      <c r="G39" s="51" t="s">
        <v>44</v>
      </c>
      <c r="H39" s="48" t="s">
        <v>45</v>
      </c>
      <c r="I39" s="49">
        <f>IF(WL_No="  ","  ",2/9*h*$I$29)</f>
        <v>114190.61602195569</v>
      </c>
    </row>
    <row r="40" spans="1:59" x14ac:dyDescent="0.25">
      <c r="G40" s="50" t="s">
        <v>47</v>
      </c>
      <c r="H40" s="48" t="s">
        <v>48</v>
      </c>
      <c r="I40" s="49">
        <f>IF(WL_No="  ","  ",IL-AWP*(LCF^2))</f>
        <v>2866406.6163851493</v>
      </c>
    </row>
    <row r="41" spans="1:59" x14ac:dyDescent="0.25">
      <c r="G41" s="50" t="s">
        <v>50</v>
      </c>
      <c r="H41" s="48" t="s">
        <v>51</v>
      </c>
      <c r="I41" s="49">
        <f>IF(WL_No="  ","  ",h/3*$L$29)</f>
        <v>20682.076797749993</v>
      </c>
    </row>
    <row r="42" spans="1:59" x14ac:dyDescent="0.25">
      <c r="G42" s="50" t="s">
        <v>52</v>
      </c>
      <c r="H42" s="48" t="s">
        <v>53</v>
      </c>
      <c r="I42" s="49">
        <f>IF(WL_No="  ","  ",V_Disp*1.025*1.006)</f>
        <v>21326.323489999904</v>
      </c>
    </row>
    <row r="43" spans="1:59" x14ac:dyDescent="0.25">
      <c r="G43" s="50" t="s">
        <v>55</v>
      </c>
      <c r="H43" s="48" t="s">
        <v>56</v>
      </c>
      <c r="I43" s="49">
        <f>IF(WL_No="  ","  ",h/3*$N$29)</f>
        <v>116097.91226361418</v>
      </c>
    </row>
    <row r="44" spans="1:59" x14ac:dyDescent="0.25">
      <c r="G44" s="50" t="s">
        <v>57</v>
      </c>
      <c r="H44" s="48" t="s">
        <v>58</v>
      </c>
      <c r="I44" s="49">
        <f>IF(WL_No="  ","  ",(h^2)/3*$O$29)</f>
        <v>-20763.758612790021</v>
      </c>
    </row>
    <row r="45" spans="1:59" x14ac:dyDescent="0.25">
      <c r="G45" s="50" t="s">
        <v>60</v>
      </c>
      <c r="H45" s="48" t="s">
        <v>61</v>
      </c>
      <c r="I45" s="49">
        <f>IF(WL_No="  ","  ",IF/V_Disp)</f>
        <v>138.59375170181102</v>
      </c>
    </row>
    <row r="46" spans="1:59" x14ac:dyDescent="0.25">
      <c r="G46" s="50" t="s">
        <v>63</v>
      </c>
      <c r="H46" s="48" t="s">
        <v>64</v>
      </c>
      <c r="I46" s="49">
        <f>IF(WL_No="  ","  ",IT/V_Disp)</f>
        <v>5.5212354706263591</v>
      </c>
    </row>
    <row r="47" spans="1:59" x14ac:dyDescent="0.25">
      <c r="G47" s="50" t="s">
        <v>65</v>
      </c>
      <c r="H47" s="48" t="s">
        <v>66</v>
      </c>
      <c r="I47" s="49">
        <f>IF(WL_No="  ","  ",MT/V_Disp)</f>
        <v>5.6134552346428039</v>
      </c>
    </row>
    <row r="48" spans="1:59" x14ac:dyDescent="0.25">
      <c r="G48" s="50" t="s">
        <v>67</v>
      </c>
      <c r="H48" s="48" t="s">
        <v>68</v>
      </c>
      <c r="I48" s="49">
        <f>IF(WL_No="  ","  ",KB+BMT)</f>
        <v>11.134690705269163</v>
      </c>
    </row>
    <row r="49" spans="7:9" x14ac:dyDescent="0.25">
      <c r="G49" s="50" t="s">
        <v>69</v>
      </c>
      <c r="H49" s="48" t="s">
        <v>70</v>
      </c>
      <c r="I49" s="49">
        <f>IF(WL_No="  ","  ",KB+BML)</f>
        <v>144.20720693645382</v>
      </c>
    </row>
    <row r="50" spans="7:9" x14ac:dyDescent="0.25">
      <c r="G50" s="50" t="s">
        <v>71</v>
      </c>
      <c r="H50" s="48" t="s">
        <v>72</v>
      </c>
      <c r="I50" s="49">
        <f>IF(WL_No="  ","  ",AWP*1.025/100)</f>
        <v>27.350425447499997</v>
      </c>
    </row>
    <row r="51" spans="7:9" x14ac:dyDescent="0.25">
      <c r="G51" s="50" t="s">
        <v>73</v>
      </c>
      <c r="H51" s="48" t="s">
        <v>74</v>
      </c>
      <c r="I51" s="49">
        <f>IF(WL_No="  ","  ",ML/V_Disp)</f>
        <v>-1.003949401012229</v>
      </c>
    </row>
    <row r="52" spans="7:9" x14ac:dyDescent="0.25">
      <c r="G52" s="50" t="s">
        <v>75</v>
      </c>
      <c r="H52" s="55" t="s">
        <v>76</v>
      </c>
      <c r="I52" s="49">
        <f>IF(WL_No="  ","  ",M_Disp*BML/100/LBP)</f>
        <v>224.42636161621462</v>
      </c>
    </row>
    <row r="53" spans="7:9" x14ac:dyDescent="0.25">
      <c r="G53" s="50" t="s">
        <v>78</v>
      </c>
      <c r="H53" s="48" t="s">
        <v>79</v>
      </c>
      <c r="I53" s="49">
        <f>IF(WL_No="  ","  ",WLS*WL_No)</f>
        <v>10.1</v>
      </c>
    </row>
    <row r="54" spans="7:9" x14ac:dyDescent="0.25">
      <c r="G54" s="50" t="s">
        <v>80</v>
      </c>
      <c r="H54" s="48" t="s">
        <v>81</v>
      </c>
      <c r="I54" s="49">
        <f>IF(WL_No="  ","  ",AWP/(LBP*B_current))</f>
        <v>0.8269673469387756</v>
      </c>
    </row>
    <row r="55" spans="7:9" x14ac:dyDescent="0.25">
      <c r="G55" s="50" t="s">
        <v>82</v>
      </c>
      <c r="H55" s="48" t="s">
        <v>83</v>
      </c>
      <c r="I55" s="49">
        <f>IF(WL_No="  ","  ",V_Disp/(LBP*B_current*T))</f>
        <v>0.63463046069913098</v>
      </c>
    </row>
    <row r="56" spans="7:9" x14ac:dyDescent="0.25">
      <c r="G56" s="50" t="s">
        <v>85</v>
      </c>
      <c r="H56" s="48" t="s">
        <v>86</v>
      </c>
      <c r="I56" s="65">
        <f>IF(WL_No="  ","  ",(VLOOKUP(Long_Div/2,AREA_TABLE,Count_WL+1,FALSE))/(B_current*T))</f>
        <v>0.97306122448979593</v>
      </c>
    </row>
    <row r="57" spans="7:9" x14ac:dyDescent="0.25">
      <c r="G57" s="50" t="s">
        <v>88</v>
      </c>
      <c r="H57" s="48" t="s">
        <v>89</v>
      </c>
      <c r="I57" s="49">
        <f>IF(WL_No="  ","  ",CB/CM)</f>
        <v>0.65219992815137207</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41" priority="14">
      <formula>ISERROR(A1)</formula>
    </cfRule>
  </conditionalFormatting>
  <conditionalFormatting sqref="G33:I34 G35:H57">
    <cfRule type="containsErrors" dxfId="240" priority="13">
      <formula>ISERROR(G33)</formula>
    </cfRule>
  </conditionalFormatting>
  <conditionalFormatting sqref="T12:T33">
    <cfRule type="containsErrors" dxfId="239" priority="12">
      <formula>ISERROR(T12)</formula>
    </cfRule>
  </conditionalFormatting>
  <conditionalFormatting sqref="I35:I57">
    <cfRule type="containsErrors" dxfId="238" priority="11">
      <formula>ISERROR(I35)</formula>
    </cfRule>
  </conditionalFormatting>
  <conditionalFormatting sqref="AY2:BC29">
    <cfRule type="containsErrors" dxfId="237" priority="8">
      <formula>ISERROR(AY2)</formula>
    </cfRule>
  </conditionalFormatting>
  <conditionalFormatting sqref="BE10:BG11 BE12:BF34">
    <cfRule type="containsErrors" dxfId="236" priority="10">
      <formula>ISERROR(BE10)</formula>
    </cfRule>
  </conditionalFormatting>
  <conditionalFormatting sqref="BG12:BG28 BG34">
    <cfRule type="containsErrors" dxfId="235" priority="9">
      <formula>ISERROR(BG12)</formula>
    </cfRule>
  </conditionalFormatting>
  <conditionalFormatting sqref="BE2:BG6">
    <cfRule type="containsErrors" dxfId="234" priority="7">
      <formula>ISERROR(BE2)</formula>
    </cfRule>
  </conditionalFormatting>
  <conditionalFormatting sqref="BF7:BG8">
    <cfRule type="containsErrors" dxfId="233" priority="5">
      <formula>ISERROR(BF7)</formula>
    </cfRule>
  </conditionalFormatting>
  <conditionalFormatting sqref="BE7:BE8">
    <cfRule type="containsErrors" dxfId="232" priority="6">
      <formula>ISERROR(BE7)</formula>
    </cfRule>
  </conditionalFormatting>
  <conditionalFormatting sqref="S30:S33">
    <cfRule type="containsErrors" dxfId="231" priority="4">
      <formula>ISERROR(S30)</formula>
    </cfRule>
  </conditionalFormatting>
  <conditionalFormatting sqref="AP27:AP28">
    <cfRule type="containsErrors" dxfId="230" priority="3">
      <formula>ISERROR(AP27)</formula>
    </cfRule>
  </conditionalFormatting>
  <conditionalFormatting sqref="BG29:BG32">
    <cfRule type="containsErrors" dxfId="229" priority="2">
      <formula>ISERROR(BG29)</formula>
    </cfRule>
  </conditionalFormatting>
  <conditionalFormatting sqref="BG33">
    <cfRule type="containsErrors" dxfId="228" priority="1">
      <formula>ISERROR(BG33)</formula>
    </cfRule>
  </conditionalFormatting>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5</v>
      </c>
      <c r="C1" s="3"/>
      <c r="D1" s="4"/>
      <c r="E1" s="4" t="s">
        <v>1</v>
      </c>
      <c r="F1" s="5">
        <v>8</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131.69999999999999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v>
      </c>
      <c r="AQ4" s="34" t="str">
        <f t="shared" ref="AQ4:AQ28" ca="1" si="18">CONCATENATE(AI4,IF(NOT(OR(AI4="",AK4="")),"+",""),AK4)</f>
        <v>(1/2)*(1/3)</v>
      </c>
      <c r="AR4" s="23">
        <f t="shared" ref="AR4:AR28" ca="1" si="19">IFERROR(AP4*AM4,"  ")</f>
        <v>0</v>
      </c>
      <c r="AS4" s="24">
        <f t="shared" ref="AS4:AS28" si="20">IFERROR(AO4-(Long_Div/2),"  ")</f>
        <v>-10</v>
      </c>
      <c r="AT4" s="23">
        <f ca="1">IFERROR(AR4*AS4,"  ")</f>
        <v>0</v>
      </c>
      <c r="AU4" s="23">
        <f ca="1">IFERROR(AT4*AS4,"  ")</f>
        <v>0</v>
      </c>
      <c r="AV4" s="23">
        <f t="shared" ref="AV4:AV28" si="21">IFERROR(AP4^3,"  ")</f>
        <v>0</v>
      </c>
      <c r="AW4" s="23">
        <f t="shared" ref="AW4:AW28" ca="1" si="22">IFERROR(AV4*AM4,"  ")</f>
        <v>0</v>
      </c>
      <c r="AY4" s="35">
        <f t="shared" ref="AY4:AY28" si="23">IF(ROW(AY4)-3&gt;Max_STN_count," ",VLOOKUP(AO4,AREA_TABLE,Count_WL+1,FALSE))</f>
        <v>0</v>
      </c>
      <c r="AZ4" s="23">
        <f t="shared" ref="AZ4:AZ7" ca="1" si="24">IFERROR(AY4*AM4,"  ")</f>
        <v>0</v>
      </c>
      <c r="BA4" s="36">
        <f t="shared" ref="BA4:BA28" si="25">IF(ROW(AY4)-3&gt;Max_STN_count," ",VLOOKUP(AO4,MOMENT_TABLE,Count_WL+1,FALSE))</f>
        <v>0</v>
      </c>
      <c r="BB4" s="27">
        <f ca="1">IFERROR(BA4*AM4,"  ")</f>
        <v>0</v>
      </c>
      <c r="BC4" s="23">
        <f ca="1">IFERROR(AZ4*AS4,"  ")</f>
        <v>0</v>
      </c>
      <c r="BE4" s="16" t="s">
        <v>26</v>
      </c>
      <c r="BF4" s="9" t="s">
        <v>8</v>
      </c>
      <c r="BG4" s="28">
        <f>LBP</f>
        <v>131.69999999999999</v>
      </c>
    </row>
    <row r="5" spans="1:60" x14ac:dyDescent="0.25">
      <c r="A5" s="20">
        <f>Tools!$AD4</f>
        <v>0.5</v>
      </c>
      <c r="B5" s="33">
        <f t="shared" si="0"/>
        <v>1.2</v>
      </c>
      <c r="C5" s="22">
        <f>IF(A5="  ","  ",IF(AND(A4="  ",A6="  "),"?",IF(A4="  ",2*(A6-A5),IF(A6="  ",2*(A5-A4),2*(A6-A4)))))</f>
        <v>2</v>
      </c>
      <c r="D5" s="23">
        <f t="shared" ref="D5:D28" si="26">IFERROR(B5*C5,"  ")</f>
        <v>2.4</v>
      </c>
      <c r="E5" s="24">
        <f t="shared" si="1"/>
        <v>-9.5</v>
      </c>
      <c r="F5" s="23">
        <f t="shared" ref="F5:F28" si="27">IFERROR(D5*E5,"  ")</f>
        <v>-22.8</v>
      </c>
      <c r="G5" s="23">
        <f t="shared" ref="G5:G28" si="28">IFERROR(F5*E5,"  ")</f>
        <v>216.6</v>
      </c>
      <c r="H5" s="23">
        <f t="shared" ref="H5:H28" si="29">IFERROR(B5^3,"  ")</f>
        <v>1.728</v>
      </c>
      <c r="I5" s="23">
        <f t="shared" ref="I5:I28" si="30">IFERROR(H5*C5,"  ")</f>
        <v>3.456</v>
      </c>
      <c r="J5" s="4"/>
      <c r="K5" s="37">
        <f t="shared" si="2"/>
        <v>0.11999999999999957</v>
      </c>
      <c r="L5" s="23">
        <f t="shared" ref="L5:L28" si="31">IFERROR(K5*C5,"  ")</f>
        <v>0.23999999999999913</v>
      </c>
      <c r="M5" s="38">
        <f t="shared" si="3"/>
        <v>1.0759999999999961</v>
      </c>
      <c r="N5" s="27">
        <f t="shared" ref="N5:N28" si="32">IFERROR(M5*C5,"  ")</f>
        <v>2.1519999999999921</v>
      </c>
      <c r="O5" s="23">
        <f t="shared" ref="O5:O28" si="33">IFERROR(L5*E5,"  ")</f>
        <v>-2.2799999999999918</v>
      </c>
      <c r="P5" s="4"/>
      <c r="Q5" s="8" t="s">
        <v>27</v>
      </c>
      <c r="R5" s="9" t="s">
        <v>8</v>
      </c>
      <c r="S5" s="10">
        <f>BREADTH</f>
        <v>24.5</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1.2</v>
      </c>
      <c r="AQ5" s="34" t="str">
        <f t="shared" ca="1" si="18"/>
        <v>(1/2)*(4/3)</v>
      </c>
      <c r="AR5" s="23">
        <f t="shared" ca="1" si="19"/>
        <v>0.79999999999999993</v>
      </c>
      <c r="AS5" s="24">
        <f t="shared" si="20"/>
        <v>-9.5</v>
      </c>
      <c r="AT5" s="23">
        <f t="shared" ref="AT5:AT28" ca="1" si="37">IFERROR(AR5*AS5,"  ")</f>
        <v>-7.6</v>
      </c>
      <c r="AU5" s="23">
        <f ca="1">IFERROR(AT5*AS5,"  ")</f>
        <v>72.2</v>
      </c>
      <c r="AV5" s="23">
        <f t="shared" si="21"/>
        <v>1.728</v>
      </c>
      <c r="AW5" s="23">
        <f t="shared" ca="1" si="22"/>
        <v>1.1519999999999999</v>
      </c>
      <c r="AY5" s="35">
        <f t="shared" si="23"/>
        <v>0.11999999999999957</v>
      </c>
      <c r="AZ5" s="23">
        <f t="shared" ca="1" si="24"/>
        <v>7.999999999999971E-2</v>
      </c>
      <c r="BA5" s="36">
        <f t="shared" si="25"/>
        <v>1.0759999999999961</v>
      </c>
      <c r="BB5" s="27">
        <f t="shared" ref="BB5:BB28" ca="1" si="38">IFERROR(BA5*AM5,"  ")</f>
        <v>0.71733333333333071</v>
      </c>
      <c r="BC5" s="23">
        <f t="shared" ref="BC5:BC28" ca="1" si="39">IFERROR(AZ5*AS5,"  ")</f>
        <v>-0.75999999999999723</v>
      </c>
      <c r="BE5" s="8" t="s">
        <v>27</v>
      </c>
      <c r="BF5" s="9" t="s">
        <v>8</v>
      </c>
      <c r="BG5" s="10">
        <f>BREADTH</f>
        <v>24.5</v>
      </c>
    </row>
    <row r="6" spans="1:60" x14ac:dyDescent="0.25">
      <c r="A6" s="20">
        <f>Tools!$AD5</f>
        <v>1</v>
      </c>
      <c r="B6" s="33">
        <f t="shared" si="0"/>
        <v>6.12</v>
      </c>
      <c r="C6" s="22">
        <f>IF(A6="  ","  ",IF(AND(A5="  ",A7="  "),"?",IF(A5="  ",1*(A7-A6),IF(A7="  ",1*(A6-A5),1*(A7-A5)))))</f>
        <v>1</v>
      </c>
      <c r="D6" s="23">
        <f t="shared" si="26"/>
        <v>6.12</v>
      </c>
      <c r="E6" s="24">
        <f t="shared" si="1"/>
        <v>-9</v>
      </c>
      <c r="F6" s="23">
        <f t="shared" si="27"/>
        <v>-55.08</v>
      </c>
      <c r="G6" s="23">
        <f t="shared" si="28"/>
        <v>495.71999999999997</v>
      </c>
      <c r="H6" s="23">
        <f t="shared" si="29"/>
        <v>229.22092800000001</v>
      </c>
      <c r="I6" s="23">
        <f t="shared" si="30"/>
        <v>229.22092800000001</v>
      </c>
      <c r="J6" s="4"/>
      <c r="K6" s="37">
        <f t="shared" si="2"/>
        <v>7.3440000000000039</v>
      </c>
      <c r="L6" s="23">
        <f t="shared" si="31"/>
        <v>7.3440000000000039</v>
      </c>
      <c r="M6" s="38">
        <f t="shared" si="3"/>
        <v>63.158400000000036</v>
      </c>
      <c r="N6" s="27">
        <f t="shared" si="32"/>
        <v>63.158400000000036</v>
      </c>
      <c r="O6" s="23">
        <f t="shared" si="33"/>
        <v>-66.096000000000032</v>
      </c>
      <c r="P6" s="4"/>
      <c r="Q6" s="8" t="s">
        <v>28</v>
      </c>
      <c r="R6" s="9" t="s">
        <v>8</v>
      </c>
      <c r="S6" s="10">
        <f>DEPTH</f>
        <v>14.19</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6.12</v>
      </c>
      <c r="AQ6" s="34" t="str">
        <f t="shared" ca="1" si="18"/>
        <v>(1/2)*(2/3)</v>
      </c>
      <c r="AR6" s="23">
        <f t="shared" ca="1" si="19"/>
        <v>2.04</v>
      </c>
      <c r="AS6" s="24">
        <f t="shared" si="20"/>
        <v>-9</v>
      </c>
      <c r="AT6" s="23">
        <f t="shared" ca="1" si="37"/>
        <v>-18.36</v>
      </c>
      <c r="AU6" s="23">
        <f ca="1">IFERROR(AT6*AS6,"  ")</f>
        <v>165.24</v>
      </c>
      <c r="AV6" s="23">
        <f t="shared" si="21"/>
        <v>229.22092800000001</v>
      </c>
      <c r="AW6" s="23">
        <f t="shared" ca="1" si="22"/>
        <v>76.406976</v>
      </c>
      <c r="AY6" s="35">
        <f t="shared" si="23"/>
        <v>7.3440000000000039</v>
      </c>
      <c r="AZ6" s="23">
        <f t="shared" ca="1" si="24"/>
        <v>2.4480000000000013</v>
      </c>
      <c r="BA6" s="36">
        <f t="shared" si="25"/>
        <v>63.158400000000036</v>
      </c>
      <c r="BB6" s="27">
        <f t="shared" ca="1" si="38"/>
        <v>21.052800000000012</v>
      </c>
      <c r="BC6" s="23">
        <f t="shared" ca="1" si="39"/>
        <v>-22.032000000000011</v>
      </c>
      <c r="BE6" s="8" t="s">
        <v>28</v>
      </c>
      <c r="BF6" s="9" t="s">
        <v>8</v>
      </c>
      <c r="BG6" s="10">
        <f>DEPTH</f>
        <v>14.19</v>
      </c>
    </row>
    <row r="7" spans="1:60" x14ac:dyDescent="0.25">
      <c r="A7" s="20">
        <f>Tools!$AD6</f>
        <v>1.5</v>
      </c>
      <c r="B7" s="33">
        <f t="shared" si="0"/>
        <v>8.5500000000000007</v>
      </c>
      <c r="C7" s="22">
        <f>IF(A7="  ","  ",IF(AND(A6="  ",A8="  "),"?",IF(A6="  ",2*(A8-A7),IF(A8="  ",2*(A7-A6),2*(A8-A6)))))</f>
        <v>2</v>
      </c>
      <c r="D7" s="23">
        <f t="shared" si="26"/>
        <v>17.100000000000001</v>
      </c>
      <c r="E7" s="24">
        <f t="shared" si="1"/>
        <v>-8.5</v>
      </c>
      <c r="F7" s="23">
        <f t="shared" si="27"/>
        <v>-145.35000000000002</v>
      </c>
      <c r="G7" s="23">
        <f t="shared" si="28"/>
        <v>1235.4750000000001</v>
      </c>
      <c r="H7" s="23">
        <f t="shared" si="29"/>
        <v>625.02637500000014</v>
      </c>
      <c r="I7" s="23">
        <f t="shared" si="30"/>
        <v>1250.0527500000003</v>
      </c>
      <c r="J7" s="4"/>
      <c r="K7" s="37">
        <f t="shared" si="2"/>
        <v>27.720000000000002</v>
      </c>
      <c r="L7" s="23">
        <f t="shared" si="31"/>
        <v>55.440000000000005</v>
      </c>
      <c r="M7" s="38">
        <f t="shared" si="3"/>
        <v>201.66900000000001</v>
      </c>
      <c r="N7" s="27">
        <f t="shared" si="32"/>
        <v>403.33800000000002</v>
      </c>
      <c r="O7" s="23">
        <f t="shared" si="33"/>
        <v>-471.24000000000007</v>
      </c>
      <c r="P7" s="4"/>
      <c r="Q7" s="39" t="s">
        <v>29</v>
      </c>
      <c r="R7" s="40" t="s">
        <v>8</v>
      </c>
      <c r="S7" s="41">
        <f>IF(MAX(B4:B28)=0," ",2*MAX(B4:B28))</f>
        <v>24.5</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8.5500000000000007</v>
      </c>
      <c r="AQ7" s="34" t="str">
        <f t="shared" ca="1" si="18"/>
        <v>(1/2)*(4/3)</v>
      </c>
      <c r="AR7" s="23">
        <f t="shared" ca="1" si="19"/>
        <v>5.7</v>
      </c>
      <c r="AS7" s="24">
        <f t="shared" si="20"/>
        <v>-8.5</v>
      </c>
      <c r="AT7" s="23">
        <f t="shared" ca="1" si="37"/>
        <v>-48.45</v>
      </c>
      <c r="AU7" s="23">
        <f t="shared" ref="AU7:AU28" ca="1" si="40">IFERROR(AT7*AS7,"  ")</f>
        <v>411.82500000000005</v>
      </c>
      <c r="AV7" s="23">
        <f t="shared" si="21"/>
        <v>625.02637500000014</v>
      </c>
      <c r="AW7" s="23">
        <f t="shared" ca="1" si="22"/>
        <v>416.68425000000008</v>
      </c>
      <c r="AY7" s="35">
        <f t="shared" si="23"/>
        <v>27.720000000000002</v>
      </c>
      <c r="AZ7" s="23">
        <f t="shared" ca="1" si="24"/>
        <v>18.48</v>
      </c>
      <c r="BA7" s="36">
        <f t="shared" si="25"/>
        <v>201.66900000000001</v>
      </c>
      <c r="BB7" s="27">
        <f t="shared" ca="1" si="38"/>
        <v>134.446</v>
      </c>
      <c r="BC7" s="23">
        <f t="shared" ca="1" si="39"/>
        <v>-157.08000000000001</v>
      </c>
      <c r="BE7" s="8" t="s">
        <v>29</v>
      </c>
      <c r="BF7" s="9" t="s">
        <v>8</v>
      </c>
      <c r="BG7" s="10">
        <f>IF(MAX(AP4:AP28)=0," ",2*MAX(AP4:AP28))</f>
        <v>24.5</v>
      </c>
    </row>
    <row r="8" spans="1:60" x14ac:dyDescent="0.25">
      <c r="A8" s="20">
        <f>Tools!$AD7</f>
        <v>2</v>
      </c>
      <c r="B8" s="33">
        <f t="shared" si="0"/>
        <v>9.9</v>
      </c>
      <c r="C8" s="22">
        <f>IF(A8="  ","  ",IF(AND(A7="  ",A9="  "),"?",IF(A7="  ",1*(A9-A8),IF(A9="  ",1*(A8-A7),1*(A9-A7)))))</f>
        <v>1.5</v>
      </c>
      <c r="D8" s="23">
        <f t="shared" si="26"/>
        <v>14.850000000000001</v>
      </c>
      <c r="E8" s="24">
        <f t="shared" si="1"/>
        <v>-8</v>
      </c>
      <c r="F8" s="23">
        <f t="shared" si="27"/>
        <v>-118.80000000000001</v>
      </c>
      <c r="G8" s="23">
        <f t="shared" si="28"/>
        <v>950.40000000000009</v>
      </c>
      <c r="H8" s="23">
        <f t="shared" si="29"/>
        <v>970.29900000000009</v>
      </c>
      <c r="I8" s="23">
        <f t="shared" si="30"/>
        <v>1455.4485000000002</v>
      </c>
      <c r="J8" s="4"/>
      <c r="K8" s="37">
        <f t="shared" si="2"/>
        <v>55.623000000000005</v>
      </c>
      <c r="L8" s="23">
        <f t="shared" si="31"/>
        <v>83.434500000000014</v>
      </c>
      <c r="M8" s="38">
        <f t="shared" si="3"/>
        <v>365.59113000000002</v>
      </c>
      <c r="N8" s="27">
        <f t="shared" si="32"/>
        <v>548.38669500000003</v>
      </c>
      <c r="O8" s="23">
        <f t="shared" si="33"/>
        <v>-667.47600000000011</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9.9</v>
      </c>
      <c r="AQ8" s="34" t="str">
        <f t="shared" ca="1" si="18"/>
        <v>(1/2)*(1/3)+1/3</v>
      </c>
      <c r="AR8" s="23">
        <f t="shared" ca="1" si="19"/>
        <v>4.95</v>
      </c>
      <c r="AS8" s="24">
        <f t="shared" si="20"/>
        <v>-8</v>
      </c>
      <c r="AT8" s="23">
        <f t="shared" ca="1" si="37"/>
        <v>-39.6</v>
      </c>
      <c r="AU8" s="23">
        <f t="shared" ca="1" si="40"/>
        <v>316.8</v>
      </c>
      <c r="AV8" s="23">
        <f t="shared" si="21"/>
        <v>970.29900000000009</v>
      </c>
      <c r="AW8" s="23">
        <f t="shared" ca="1" si="22"/>
        <v>485.14950000000005</v>
      </c>
      <c r="AY8" s="35">
        <f t="shared" si="23"/>
        <v>55.623000000000005</v>
      </c>
      <c r="AZ8" s="23">
        <f ca="1">IFERROR(AY8*AM8,"  ")</f>
        <v>27.811500000000002</v>
      </c>
      <c r="BA8" s="36">
        <f t="shared" si="25"/>
        <v>365.59113000000002</v>
      </c>
      <c r="BB8" s="27">
        <f t="shared" ca="1" si="38"/>
        <v>182.79556500000001</v>
      </c>
      <c r="BC8" s="23">
        <f t="shared" ca="1" si="39"/>
        <v>-222.49200000000002</v>
      </c>
      <c r="BE8" s="8" t="s">
        <v>30</v>
      </c>
      <c r="BF8" s="9" t="s">
        <v>8</v>
      </c>
      <c r="BG8" s="10">
        <f ca="1">LBP-AJ33</f>
        <v>131.69999999999999</v>
      </c>
      <c r="BH8" t="str">
        <f ca="1">IF(AJ33&gt;0,CONCATENATE("(LWL is assumed between stations ",$AH$31," and ",$AH$33," as offset values extreme to these stations are zeros.)"),"")</f>
        <v/>
      </c>
    </row>
    <row r="9" spans="1:60" x14ac:dyDescent="0.25">
      <c r="A9" s="20">
        <f>Tools!$AD8</f>
        <v>3</v>
      </c>
      <c r="B9" s="33">
        <f t="shared" si="0"/>
        <v>11.23</v>
      </c>
      <c r="C9" s="22">
        <f>IF(A9="  ","  ",IF(AND(A8="  ",A10="  "),"?",IF(A8="  ",2*(A10-A9),IF(A10="  ",2*(A9-A8),2*(A10-A8)))))</f>
        <v>4</v>
      </c>
      <c r="D9" s="23">
        <f t="shared" si="26"/>
        <v>44.92</v>
      </c>
      <c r="E9" s="24">
        <f t="shared" si="1"/>
        <v>-7</v>
      </c>
      <c r="F9" s="23">
        <f t="shared" si="27"/>
        <v>-314.44</v>
      </c>
      <c r="G9" s="23">
        <f t="shared" si="28"/>
        <v>2201.08</v>
      </c>
      <c r="H9" s="23">
        <f t="shared" si="29"/>
        <v>1416.2478670000003</v>
      </c>
      <c r="I9" s="23">
        <f t="shared" si="30"/>
        <v>5664.9914680000011</v>
      </c>
      <c r="J9" s="4"/>
      <c r="K9" s="37">
        <f t="shared" si="2"/>
        <v>96.924000000000007</v>
      </c>
      <c r="L9" s="23">
        <f t="shared" si="31"/>
        <v>387.69600000000003</v>
      </c>
      <c r="M9" s="38">
        <f t="shared" si="3"/>
        <v>595.01520000000005</v>
      </c>
      <c r="N9" s="27">
        <f t="shared" si="32"/>
        <v>2380.0608000000002</v>
      </c>
      <c r="O9" s="23">
        <f t="shared" si="33"/>
        <v>-2713.8720000000003</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11.23</v>
      </c>
      <c r="AQ9" s="34" t="str">
        <f t="shared" ca="1" si="18"/>
        <v>4/3</v>
      </c>
      <c r="AR9" s="23">
        <f t="shared" ca="1" si="19"/>
        <v>14.973333333333333</v>
      </c>
      <c r="AS9" s="24">
        <f t="shared" si="20"/>
        <v>-7</v>
      </c>
      <c r="AT9" s="23">
        <f t="shared" ca="1" si="37"/>
        <v>-104.81333333333333</v>
      </c>
      <c r="AU9" s="23">
        <f t="shared" ca="1" si="40"/>
        <v>733.69333333333338</v>
      </c>
      <c r="AV9" s="23">
        <f t="shared" si="21"/>
        <v>1416.2478670000003</v>
      </c>
      <c r="AW9" s="23">
        <f t="shared" ca="1" si="22"/>
        <v>1888.3304893333336</v>
      </c>
      <c r="AY9" s="35">
        <f t="shared" si="23"/>
        <v>96.924000000000007</v>
      </c>
      <c r="AZ9" s="23">
        <f t="shared" ref="AZ9:AZ28" ca="1" si="41">IFERROR(AY9*AM9,"  ")</f>
        <v>129.232</v>
      </c>
      <c r="BA9" s="36">
        <f t="shared" si="25"/>
        <v>595.01520000000005</v>
      </c>
      <c r="BB9" s="27">
        <f t="shared" ca="1" si="38"/>
        <v>793.35360000000003</v>
      </c>
      <c r="BC9" s="23">
        <f t="shared" ca="1" si="39"/>
        <v>-904.62400000000002</v>
      </c>
    </row>
    <row r="10" spans="1:60" x14ac:dyDescent="0.25">
      <c r="A10" s="20">
        <f>Tools!$AD9</f>
        <v>4</v>
      </c>
      <c r="B10" s="33">
        <f t="shared" si="0"/>
        <v>11.91</v>
      </c>
      <c r="C10" s="22">
        <f>IF(A10="  ","  ",IF(AND(A9="  ",A11="  "),"?",IF(A9="  ",1*(A11-A10),IF(A11="  ",1*(A10-A9),1*(A11-A9)))))</f>
        <v>2</v>
      </c>
      <c r="D10" s="23">
        <f t="shared" si="26"/>
        <v>23.82</v>
      </c>
      <c r="E10" s="24">
        <f t="shared" si="1"/>
        <v>-6</v>
      </c>
      <c r="F10" s="23">
        <f t="shared" si="27"/>
        <v>-142.92000000000002</v>
      </c>
      <c r="G10" s="23">
        <f t="shared" si="28"/>
        <v>857.5200000000001</v>
      </c>
      <c r="H10" s="23">
        <f t="shared" si="29"/>
        <v>1689.4108710000003</v>
      </c>
      <c r="I10" s="23">
        <f>IFERROR(H10*C10,"  ")</f>
        <v>3378.8217420000005</v>
      </c>
      <c r="J10" s="4"/>
      <c r="K10" s="37">
        <f t="shared" si="2"/>
        <v>133.38</v>
      </c>
      <c r="L10" s="23">
        <f t="shared" si="31"/>
        <v>266.76</v>
      </c>
      <c r="M10" s="38">
        <f t="shared" si="3"/>
        <v>754.18560000000002</v>
      </c>
      <c r="N10" s="27">
        <f t="shared" si="32"/>
        <v>1508.3712</v>
      </c>
      <c r="O10" s="23">
        <f t="shared" si="33"/>
        <v>-1600.56</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11.91</v>
      </c>
      <c r="AQ10" s="34" t="str">
        <f t="shared" ca="1" si="18"/>
        <v>2/3</v>
      </c>
      <c r="AR10" s="23">
        <f t="shared" ca="1" si="19"/>
        <v>7.9399999999999995</v>
      </c>
      <c r="AS10" s="24">
        <f t="shared" si="20"/>
        <v>-6</v>
      </c>
      <c r="AT10" s="23">
        <f t="shared" ca="1" si="37"/>
        <v>-47.64</v>
      </c>
      <c r="AU10" s="23">
        <f ca="1">IFERROR(AT10*AS10,"  ")</f>
        <v>285.84000000000003</v>
      </c>
      <c r="AV10" s="23">
        <f t="shared" si="21"/>
        <v>1689.4108710000003</v>
      </c>
      <c r="AW10" s="23">
        <f t="shared" ca="1" si="22"/>
        <v>1126.2739140000001</v>
      </c>
      <c r="AY10" s="35">
        <f t="shared" si="23"/>
        <v>133.38</v>
      </c>
      <c r="AZ10" s="23">
        <f t="shared" ca="1" si="41"/>
        <v>88.919999999999987</v>
      </c>
      <c r="BA10" s="36">
        <f t="shared" si="25"/>
        <v>754.18560000000002</v>
      </c>
      <c r="BB10" s="27">
        <f t="shared" ca="1" si="38"/>
        <v>502.79039999999998</v>
      </c>
      <c r="BC10" s="23">
        <f t="shared" ca="1" si="39"/>
        <v>-533.52</v>
      </c>
      <c r="BE10" s="43" t="s">
        <v>31</v>
      </c>
      <c r="BF10" s="44" t="s">
        <v>32</v>
      </c>
      <c r="BG10" s="506" t="s">
        <v>33</v>
      </c>
    </row>
    <row r="11" spans="1:60" x14ac:dyDescent="0.25">
      <c r="A11" s="20">
        <f>Tools!$AD10</f>
        <v>5</v>
      </c>
      <c r="B11" s="33">
        <f t="shared" si="0"/>
        <v>12.22</v>
      </c>
      <c r="C11" s="22">
        <f>IF(A11="  ","  ",IF(AND(A10="  ",A12="  "),"?",IF(A10="  ",2*(A12-A11),IF(A12="  ",2*(A11-A10),2*(A12-A10)))))</f>
        <v>4</v>
      </c>
      <c r="D11" s="23">
        <f t="shared" si="26"/>
        <v>48.88</v>
      </c>
      <c r="E11" s="24">
        <f t="shared" si="1"/>
        <v>-5</v>
      </c>
      <c r="F11" s="23">
        <f t="shared" si="27"/>
        <v>-244.4</v>
      </c>
      <c r="G11" s="23">
        <f t="shared" si="28"/>
        <v>1222</v>
      </c>
      <c r="H11" s="23">
        <f t="shared" si="29"/>
        <v>1824.7930480000002</v>
      </c>
      <c r="I11" s="23">
        <f t="shared" si="30"/>
        <v>7299.1721920000009</v>
      </c>
      <c r="J11" s="4"/>
      <c r="K11" s="37">
        <f t="shared" si="2"/>
        <v>165.60599999999999</v>
      </c>
      <c r="L11" s="23">
        <f t="shared" si="31"/>
        <v>662.42399999999998</v>
      </c>
      <c r="M11" s="38">
        <f t="shared" si="3"/>
        <v>875.63160000000005</v>
      </c>
      <c r="N11" s="27">
        <f t="shared" si="32"/>
        <v>3502.5264000000002</v>
      </c>
      <c r="O11" s="23">
        <f t="shared" si="33"/>
        <v>-3312.12</v>
      </c>
      <c r="P11" s="4"/>
      <c r="Q11" s="47" t="s">
        <v>34</v>
      </c>
      <c r="R11" s="48" t="s">
        <v>35</v>
      </c>
      <c r="S11">
        <f>IF(Tools!$L$49="Use 141 rule only",I35,IF(Tools!$L$49="Use 141 and 1331 rules",BG12," "))</f>
        <v>2528.8594999999996</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12.22</v>
      </c>
      <c r="AQ11" s="34" t="str">
        <f t="shared" ca="1" si="18"/>
        <v>4/3</v>
      </c>
      <c r="AR11" s="23">
        <f t="shared" ca="1" si="19"/>
        <v>16.293333333333333</v>
      </c>
      <c r="AS11" s="24">
        <f t="shared" si="20"/>
        <v>-5</v>
      </c>
      <c r="AT11" s="23">
        <f t="shared" ca="1" si="37"/>
        <v>-81.466666666666669</v>
      </c>
      <c r="AU11" s="23">
        <f t="shared" ca="1" si="40"/>
        <v>407.33333333333337</v>
      </c>
      <c r="AV11" s="23">
        <f t="shared" si="21"/>
        <v>1824.7930480000002</v>
      </c>
      <c r="AW11" s="23">
        <f t="shared" ca="1" si="22"/>
        <v>2433.0573973333335</v>
      </c>
      <c r="AY11" s="35">
        <f t="shared" si="23"/>
        <v>165.60599999999999</v>
      </c>
      <c r="AZ11" s="23">
        <f t="shared" ca="1" si="41"/>
        <v>220.80799999999999</v>
      </c>
      <c r="BA11" s="36">
        <f t="shared" si="25"/>
        <v>875.63160000000005</v>
      </c>
      <c r="BB11" s="27">
        <f t="shared" ca="1" si="38"/>
        <v>1167.5088000000001</v>
      </c>
      <c r="BC11" s="23">
        <f ca="1">IFERROR(AZ11*AS11,"  ")</f>
        <v>-1104.04</v>
      </c>
      <c r="BE11" s="45"/>
      <c r="BF11" s="46"/>
      <c r="BG11" s="507"/>
    </row>
    <row r="12" spans="1:60" x14ac:dyDescent="0.25">
      <c r="A12" s="20">
        <f>Tools!$AD11</f>
        <v>6</v>
      </c>
      <c r="B12" s="33">
        <f t="shared" si="0"/>
        <v>12.25</v>
      </c>
      <c r="C12" s="22">
        <f>IF(A12="  ","  ",IF(AND(A11="  ",A13="  "),"?",IF(A11="  ",1*(A13-A12),IF(A13="  ",1*(A12-A11),1*(A13-A11)))))</f>
        <v>2</v>
      </c>
      <c r="D12" s="23">
        <f t="shared" si="26"/>
        <v>24.5</v>
      </c>
      <c r="E12" s="24">
        <f t="shared" si="1"/>
        <v>-4</v>
      </c>
      <c r="F12" s="23">
        <f t="shared" si="27"/>
        <v>-98</v>
      </c>
      <c r="G12" s="23">
        <f t="shared" si="28"/>
        <v>392</v>
      </c>
      <c r="H12" s="23">
        <f t="shared" si="29"/>
        <v>1838.265625</v>
      </c>
      <c r="I12" s="23">
        <f t="shared" si="30"/>
        <v>3676.53125</v>
      </c>
      <c r="J12" s="4"/>
      <c r="K12" s="37">
        <f t="shared" si="2"/>
        <v>186.79199999999997</v>
      </c>
      <c r="L12" s="23">
        <f t="shared" si="31"/>
        <v>373.58399999999995</v>
      </c>
      <c r="M12" s="38">
        <f t="shared" si="3"/>
        <v>940.74480000000005</v>
      </c>
      <c r="N12" s="27">
        <f t="shared" si="32"/>
        <v>1881.4896000000001</v>
      </c>
      <c r="O12" s="23">
        <f t="shared" si="33"/>
        <v>-1494.3359999999998</v>
      </c>
      <c r="P12" s="4"/>
      <c r="Q12" s="47" t="s">
        <v>36</v>
      </c>
      <c r="R12" s="48" t="s">
        <v>37</v>
      </c>
      <c r="S12">
        <f>IF(Tools!$L$49="Use 141 rule only",I36,IF(Tools!$L$49="Use 141 and 1331 rules",BG13," "))</f>
        <v>-12033.595600499997</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12.25</v>
      </c>
      <c r="AQ12" s="34" t="str">
        <f t="shared" ca="1" si="18"/>
        <v>2/3</v>
      </c>
      <c r="AR12" s="23">
        <f t="shared" ca="1" si="19"/>
        <v>8.1666666666666661</v>
      </c>
      <c r="AS12" s="24">
        <f t="shared" si="20"/>
        <v>-4</v>
      </c>
      <c r="AT12" s="23">
        <f t="shared" ca="1" si="37"/>
        <v>-32.666666666666664</v>
      </c>
      <c r="AU12" s="23">
        <f t="shared" ca="1" si="40"/>
        <v>130.66666666666666</v>
      </c>
      <c r="AV12" s="23">
        <f t="shared" si="21"/>
        <v>1838.265625</v>
      </c>
      <c r="AW12" s="23">
        <f t="shared" ca="1" si="22"/>
        <v>1225.5104166666665</v>
      </c>
      <c r="AY12" s="35">
        <f t="shared" si="23"/>
        <v>186.79199999999997</v>
      </c>
      <c r="AZ12" s="23">
        <f t="shared" ca="1" si="41"/>
        <v>124.52799999999998</v>
      </c>
      <c r="BA12" s="36">
        <f t="shared" si="25"/>
        <v>940.74480000000005</v>
      </c>
      <c r="BB12" s="27">
        <f t="shared" ca="1" si="38"/>
        <v>627.16319999999996</v>
      </c>
      <c r="BC12" s="23">
        <f t="shared" ca="1" si="39"/>
        <v>-498.11199999999991</v>
      </c>
      <c r="BE12" s="47" t="s">
        <v>34</v>
      </c>
      <c r="BF12" s="48" t="s">
        <v>38</v>
      </c>
      <c r="BG12" s="49">
        <f ca="1">IF(WL_No="  ","  ",2*h*$AR$29)</f>
        <v>2528.8594999999996</v>
      </c>
    </row>
    <row r="13" spans="1:60" x14ac:dyDescent="0.25">
      <c r="A13" s="20">
        <f>Tools!$AD12</f>
        <v>7</v>
      </c>
      <c r="B13" s="33">
        <f t="shared" si="0"/>
        <v>12.25</v>
      </c>
      <c r="C13" s="22">
        <f>IF(A13="  ","  ",IF(AND(A12="  ",A14="  "),"?",IF(A12="  ",2*(A14-A13),IF(A14="  ",2*(A13-A12),2*(A14-A12)))))</f>
        <v>4</v>
      </c>
      <c r="D13" s="23">
        <f t="shared" si="26"/>
        <v>49</v>
      </c>
      <c r="E13" s="24">
        <f t="shared" si="1"/>
        <v>-3</v>
      </c>
      <c r="F13" s="23">
        <f t="shared" si="27"/>
        <v>-147</v>
      </c>
      <c r="G13" s="23">
        <f t="shared" si="28"/>
        <v>441</v>
      </c>
      <c r="H13" s="23">
        <f t="shared" si="29"/>
        <v>1838.265625</v>
      </c>
      <c r="I13" s="23">
        <f t="shared" si="30"/>
        <v>7353.0625</v>
      </c>
      <c r="J13" s="4"/>
      <c r="K13" s="37">
        <f t="shared" si="2"/>
        <v>201.11399999999998</v>
      </c>
      <c r="L13" s="23">
        <f t="shared" si="31"/>
        <v>804.4559999999999</v>
      </c>
      <c r="M13" s="38">
        <f t="shared" si="3"/>
        <v>971.13600000000008</v>
      </c>
      <c r="N13" s="27">
        <f t="shared" si="32"/>
        <v>3884.5440000000003</v>
      </c>
      <c r="O13" s="23">
        <f t="shared" si="33"/>
        <v>-2413.3679999999995</v>
      </c>
      <c r="P13" s="4"/>
      <c r="Q13" s="50" t="s">
        <v>39</v>
      </c>
      <c r="R13" s="48" t="s">
        <v>40</v>
      </c>
      <c r="S13">
        <f>IF(Tools!$L$49="Use 141 rule only",I37,IF(Tools!$L$49="Use 141 and 1331 rules",BG14," "))</f>
        <v>-4.7585069872406907</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12.25</v>
      </c>
      <c r="AQ13" s="34" t="str">
        <f t="shared" ca="1" si="18"/>
        <v>4/3</v>
      </c>
      <c r="AR13" s="23">
        <f t="shared" ca="1" si="19"/>
        <v>16.333333333333332</v>
      </c>
      <c r="AS13" s="24">
        <f t="shared" si="20"/>
        <v>-3</v>
      </c>
      <c r="AT13" s="23">
        <f t="shared" ca="1" si="37"/>
        <v>-49</v>
      </c>
      <c r="AU13" s="23">
        <f t="shared" ca="1" si="40"/>
        <v>147</v>
      </c>
      <c r="AV13" s="23">
        <f t="shared" si="21"/>
        <v>1838.265625</v>
      </c>
      <c r="AW13" s="23">
        <f t="shared" ca="1" si="22"/>
        <v>2451.020833333333</v>
      </c>
      <c r="AY13" s="35">
        <f t="shared" si="23"/>
        <v>201.11399999999998</v>
      </c>
      <c r="AZ13" s="23">
        <f t="shared" ca="1" si="41"/>
        <v>268.15199999999993</v>
      </c>
      <c r="BA13" s="36">
        <f t="shared" si="25"/>
        <v>971.13600000000008</v>
      </c>
      <c r="BB13" s="27">
        <f t="shared" ca="1" si="38"/>
        <v>1294.848</v>
      </c>
      <c r="BC13" s="23">
        <f t="shared" ca="1" si="39"/>
        <v>-804.45599999999979</v>
      </c>
      <c r="BE13" s="47" t="s">
        <v>36</v>
      </c>
      <c r="BF13" s="48" t="s">
        <v>41</v>
      </c>
      <c r="BG13" s="49">
        <f ca="1">IF(WL_No="  ","  ",2*(h^2)*$AT$29)</f>
        <v>-12033.595600499992</v>
      </c>
    </row>
    <row r="14" spans="1:60" x14ac:dyDescent="0.25">
      <c r="A14" s="20">
        <f>Tools!$AD13</f>
        <v>8</v>
      </c>
      <c r="B14" s="33">
        <f t="shared" si="0"/>
        <v>12.25</v>
      </c>
      <c r="C14" s="22">
        <f>IF(A14="  ","  ",IF(AND(A13="  ",A15="  "),"?",IF(A13="  ",1*(A15-A14),IF(A15="  ",1*(A14-A13),1*(A15-A13)))))</f>
        <v>2</v>
      </c>
      <c r="D14" s="23">
        <f t="shared" si="26"/>
        <v>24.5</v>
      </c>
      <c r="E14" s="24">
        <f t="shared" si="1"/>
        <v>-2</v>
      </c>
      <c r="F14" s="23">
        <f t="shared" si="27"/>
        <v>-49</v>
      </c>
      <c r="G14" s="23">
        <f t="shared" si="28"/>
        <v>98</v>
      </c>
      <c r="H14" s="23">
        <f t="shared" si="29"/>
        <v>1838.265625</v>
      </c>
      <c r="I14" s="23">
        <f t="shared" si="30"/>
        <v>3676.53125</v>
      </c>
      <c r="J14" s="4"/>
      <c r="K14" s="37">
        <f t="shared" si="2"/>
        <v>209.71800000000002</v>
      </c>
      <c r="L14" s="23">
        <f t="shared" si="31"/>
        <v>419.43600000000004</v>
      </c>
      <c r="M14" s="38">
        <f t="shared" si="3"/>
        <v>983.61000000000013</v>
      </c>
      <c r="N14" s="27">
        <f t="shared" si="32"/>
        <v>1967.2200000000003</v>
      </c>
      <c r="O14" s="23">
        <f t="shared" si="33"/>
        <v>-838.87200000000007</v>
      </c>
      <c r="P14" s="4"/>
      <c r="Q14" s="50" t="s">
        <v>42</v>
      </c>
      <c r="R14" s="48" t="s">
        <v>43</v>
      </c>
      <c r="S14">
        <f>IF(Tools!$L$49="Use 141 rule only",I38,IF(Tools!$L$49="Use 141 and 1331 rules",BG15," "))</f>
        <v>2523074.5907945647</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12.25</v>
      </c>
      <c r="AQ14" s="34" t="str">
        <f t="shared" ca="1" si="18"/>
        <v>2/3</v>
      </c>
      <c r="AR14" s="23">
        <f t="shared" ca="1" si="19"/>
        <v>8.1666666666666661</v>
      </c>
      <c r="AS14" s="24">
        <f t="shared" si="20"/>
        <v>-2</v>
      </c>
      <c r="AT14" s="23">
        <f t="shared" ca="1" si="37"/>
        <v>-16.333333333333332</v>
      </c>
      <c r="AU14" s="23">
        <f t="shared" ca="1" si="40"/>
        <v>32.666666666666664</v>
      </c>
      <c r="AV14" s="23">
        <f t="shared" si="21"/>
        <v>1838.265625</v>
      </c>
      <c r="AW14" s="23">
        <f t="shared" ca="1" si="22"/>
        <v>1225.5104166666665</v>
      </c>
      <c r="AY14" s="35">
        <f t="shared" si="23"/>
        <v>209.71800000000002</v>
      </c>
      <c r="AZ14" s="23">
        <f t="shared" ca="1" si="41"/>
        <v>139.81200000000001</v>
      </c>
      <c r="BA14" s="36">
        <f t="shared" si="25"/>
        <v>983.61000000000013</v>
      </c>
      <c r="BB14" s="27">
        <f t="shared" ca="1" si="38"/>
        <v>655.74</v>
      </c>
      <c r="BC14" s="23">
        <f t="shared" ca="1" si="39"/>
        <v>-279.62400000000002</v>
      </c>
      <c r="BE14" s="50" t="s">
        <v>39</v>
      </c>
      <c r="BF14" s="48" t="s">
        <v>40</v>
      </c>
      <c r="BG14" s="49">
        <f>IF(WL_No="  ","  ",Mmid/AWP)</f>
        <v>-4.7585069872406907</v>
      </c>
    </row>
    <row r="15" spans="1:60" x14ac:dyDescent="0.25">
      <c r="A15" s="20">
        <f>Tools!$AD14</f>
        <v>9</v>
      </c>
      <c r="B15" s="33">
        <f t="shared" si="0"/>
        <v>12.25</v>
      </c>
      <c r="C15" s="22">
        <f>IF(A15="  ","  ",IF(AND(A14="  ",A16="  "),"?",IF(A14="  ",2*(A16-A15),IF(A16="  ",2*(A15-A14),2*(A16-A14)))))</f>
        <v>4</v>
      </c>
      <c r="D15" s="23">
        <f t="shared" si="26"/>
        <v>49</v>
      </c>
      <c r="E15" s="24">
        <f t="shared" si="1"/>
        <v>-1</v>
      </c>
      <c r="F15" s="23">
        <f t="shared" si="27"/>
        <v>-49</v>
      </c>
      <c r="G15" s="23">
        <f t="shared" si="28"/>
        <v>49</v>
      </c>
      <c r="H15" s="23">
        <f t="shared" si="29"/>
        <v>1838.265625</v>
      </c>
      <c r="I15" s="23">
        <f t="shared" si="30"/>
        <v>7353.0625</v>
      </c>
      <c r="J15" s="4"/>
      <c r="K15" s="37">
        <f t="shared" si="2"/>
        <v>212.988</v>
      </c>
      <c r="L15" s="23">
        <f t="shared" si="31"/>
        <v>851.952</v>
      </c>
      <c r="M15" s="38">
        <f t="shared" si="3"/>
        <v>987.35760000000005</v>
      </c>
      <c r="N15" s="27">
        <f t="shared" si="32"/>
        <v>3949.4304000000002</v>
      </c>
      <c r="O15" s="23">
        <f t="shared" si="33"/>
        <v>-851.952</v>
      </c>
      <c r="P15" s="4"/>
      <c r="Q15" s="51" t="s">
        <v>44</v>
      </c>
      <c r="R15" s="48" t="s">
        <v>45</v>
      </c>
      <c r="S15">
        <f>IF(Tools!$L$49="Use 141 rule only",I39,IF(Tools!$L$49="Use 141 and 1331 rules",BG16," "))</f>
        <v>107149.78891980668</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12.25</v>
      </c>
      <c r="AQ15" s="34" t="str">
        <f t="shared" ca="1" si="18"/>
        <v>4/3</v>
      </c>
      <c r="AR15" s="23">
        <f t="shared" ca="1" si="19"/>
        <v>16.333333333333332</v>
      </c>
      <c r="AS15" s="24">
        <f t="shared" si="20"/>
        <v>-1</v>
      </c>
      <c r="AT15" s="23">
        <f t="shared" ca="1" si="37"/>
        <v>-16.333333333333332</v>
      </c>
      <c r="AU15" s="23">
        <f t="shared" ca="1" si="40"/>
        <v>16.333333333333332</v>
      </c>
      <c r="AV15" s="23">
        <f t="shared" si="21"/>
        <v>1838.265625</v>
      </c>
      <c r="AW15" s="23">
        <f t="shared" ca="1" si="22"/>
        <v>2451.020833333333</v>
      </c>
      <c r="AY15" s="35">
        <f t="shared" si="23"/>
        <v>212.988</v>
      </c>
      <c r="AZ15" s="23">
        <f t="shared" ca="1" si="41"/>
        <v>283.98399999999998</v>
      </c>
      <c r="BA15" s="36">
        <f t="shared" si="25"/>
        <v>987.35760000000005</v>
      </c>
      <c r="BB15" s="27">
        <f ca="1">IFERROR(BA15*AM15,"  ")</f>
        <v>1316.4767999999999</v>
      </c>
      <c r="BC15" s="23">
        <f t="shared" ca="1" si="39"/>
        <v>-283.98399999999998</v>
      </c>
      <c r="BE15" s="50" t="s">
        <v>42</v>
      </c>
      <c r="BF15" s="48" t="s">
        <v>46</v>
      </c>
      <c r="BG15" s="49">
        <f ca="1">IF(WL_No="  ","  ",2*(h^3)*$AU$29)</f>
        <v>2523074.5907945647</v>
      </c>
    </row>
    <row r="16" spans="1:60" x14ac:dyDescent="0.25">
      <c r="A16" s="20">
        <f>Tools!$AD15</f>
        <v>10</v>
      </c>
      <c r="B16" s="33">
        <f t="shared" si="0"/>
        <v>12.25</v>
      </c>
      <c r="C16" s="22">
        <f>IF(A16="  ","  ",IF(AND(A15="  ",A17="  "),"?",IF(A15="  ",1*(A17-A16),IF(A17="  ",1*(A16-A15),1*(A17-A15)))))</f>
        <v>2</v>
      </c>
      <c r="D16" s="23">
        <f t="shared" si="26"/>
        <v>24.5</v>
      </c>
      <c r="E16" s="24">
        <f t="shared" si="1"/>
        <v>0</v>
      </c>
      <c r="F16" s="23">
        <f t="shared" si="27"/>
        <v>0</v>
      </c>
      <c r="G16" s="23">
        <f t="shared" si="28"/>
        <v>0</v>
      </c>
      <c r="H16" s="23">
        <f t="shared" si="29"/>
        <v>1838.265625</v>
      </c>
      <c r="I16" s="23">
        <f t="shared" si="30"/>
        <v>3676.53125</v>
      </c>
      <c r="J16" s="4"/>
      <c r="K16" s="37">
        <f t="shared" si="2"/>
        <v>213.834</v>
      </c>
      <c r="L16" s="23">
        <f t="shared" si="31"/>
        <v>427.66800000000001</v>
      </c>
      <c r="M16" s="38">
        <f t="shared" si="3"/>
        <v>987.61680000000001</v>
      </c>
      <c r="N16" s="27">
        <f t="shared" si="32"/>
        <v>1975.2336</v>
      </c>
      <c r="O16" s="23">
        <f t="shared" si="33"/>
        <v>0</v>
      </c>
      <c r="P16" s="4"/>
      <c r="Q16" s="50" t="s">
        <v>47</v>
      </c>
      <c r="R16" s="48" t="s">
        <v>48</v>
      </c>
      <c r="S16">
        <f>IF(Tools!$L$49="Use 141 rule only",I40,IF(Tools!$L$49="Use 141 and 1331 rules",BG17," "))</f>
        <v>2465812.6420479566</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12.25</v>
      </c>
      <c r="AQ16" s="34" t="str">
        <f t="shared" ca="1" si="18"/>
        <v>2/3</v>
      </c>
      <c r="AR16" s="23">
        <f t="shared" ca="1" si="19"/>
        <v>8.1666666666666661</v>
      </c>
      <c r="AS16" s="24">
        <f t="shared" si="20"/>
        <v>0</v>
      </c>
      <c r="AT16" s="23">
        <f t="shared" ca="1" si="37"/>
        <v>0</v>
      </c>
      <c r="AU16" s="23">
        <f t="shared" ca="1" si="40"/>
        <v>0</v>
      </c>
      <c r="AV16" s="23">
        <f t="shared" si="21"/>
        <v>1838.265625</v>
      </c>
      <c r="AW16" s="23">
        <f t="shared" ca="1" si="22"/>
        <v>1225.5104166666665</v>
      </c>
      <c r="AY16" s="35">
        <f t="shared" si="23"/>
        <v>213.834</v>
      </c>
      <c r="AZ16" s="23">
        <f t="shared" ca="1" si="41"/>
        <v>142.55599999999998</v>
      </c>
      <c r="BA16" s="36">
        <f t="shared" si="25"/>
        <v>987.61680000000001</v>
      </c>
      <c r="BB16" s="27">
        <f t="shared" ca="1" si="38"/>
        <v>658.41120000000001</v>
      </c>
      <c r="BC16" s="23">
        <f ca="1">IFERROR(AZ16*AS16,"  ")</f>
        <v>0</v>
      </c>
      <c r="BE16" s="51" t="s">
        <v>44</v>
      </c>
      <c r="BF16" s="48" t="s">
        <v>49</v>
      </c>
      <c r="BG16" s="49">
        <f ca="1">IF(WL_No="  ","  ",2/3*h*$AW$29)</f>
        <v>107149.78891980666</v>
      </c>
    </row>
    <row r="17" spans="1:59" x14ac:dyDescent="0.25">
      <c r="A17" s="20">
        <f>Tools!$AD16</f>
        <v>11</v>
      </c>
      <c r="B17" s="33">
        <f t="shared" si="0"/>
        <v>12.25</v>
      </c>
      <c r="C17" s="22">
        <f>IF(A17="  ","  ",IF(AND(A16="  ",A18="  "),"?",IF(A16="  ",2*(A18-A17),IF(A18="  ",2*(A17-A16),2*(A18-A16)))))</f>
        <v>4</v>
      </c>
      <c r="D17" s="23">
        <f t="shared" si="26"/>
        <v>49</v>
      </c>
      <c r="E17" s="24">
        <f t="shared" si="1"/>
        <v>1</v>
      </c>
      <c r="F17" s="23">
        <f t="shared" si="27"/>
        <v>49</v>
      </c>
      <c r="G17" s="23">
        <f t="shared" si="28"/>
        <v>49</v>
      </c>
      <c r="H17" s="23">
        <f t="shared" si="29"/>
        <v>1838.265625</v>
      </c>
      <c r="I17" s="23">
        <f t="shared" si="30"/>
        <v>7353.0625</v>
      </c>
      <c r="J17" s="4"/>
      <c r="K17" s="37">
        <f t="shared" si="2"/>
        <v>213.14400000000001</v>
      </c>
      <c r="L17" s="23">
        <f t="shared" si="31"/>
        <v>852.57600000000002</v>
      </c>
      <c r="M17" s="38">
        <f t="shared" si="3"/>
        <v>986.06160000000011</v>
      </c>
      <c r="N17" s="27">
        <f t="shared" si="32"/>
        <v>3944.2464000000004</v>
      </c>
      <c r="O17" s="23">
        <f t="shared" si="33"/>
        <v>852.57600000000002</v>
      </c>
      <c r="P17" s="4"/>
      <c r="Q17" s="50" t="s">
        <v>50</v>
      </c>
      <c r="R17" s="48" t="s">
        <v>51</v>
      </c>
      <c r="S17">
        <f>IF(Tools!$L$49="Use 141 rule only",I41,IF(Tools!$L$49="Use 141 and 1331 rules",BG18," "))</f>
        <v>17826.476841249998</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12.25</v>
      </c>
      <c r="AQ17" s="34" t="str">
        <f t="shared" ca="1" si="18"/>
        <v>4/3</v>
      </c>
      <c r="AR17" s="23">
        <f t="shared" ca="1" si="19"/>
        <v>16.333333333333332</v>
      </c>
      <c r="AS17" s="24">
        <f t="shared" si="20"/>
        <v>1</v>
      </c>
      <c r="AT17" s="23">
        <f t="shared" ca="1" si="37"/>
        <v>16.333333333333332</v>
      </c>
      <c r="AU17" s="23">
        <f t="shared" ca="1" si="40"/>
        <v>16.333333333333332</v>
      </c>
      <c r="AV17" s="23">
        <f t="shared" si="21"/>
        <v>1838.265625</v>
      </c>
      <c r="AW17" s="23">
        <f t="shared" ca="1" si="22"/>
        <v>2451.020833333333</v>
      </c>
      <c r="AY17" s="35">
        <f t="shared" si="23"/>
        <v>213.14400000000001</v>
      </c>
      <c r="AZ17" s="23">
        <f t="shared" ca="1" si="41"/>
        <v>284.19200000000001</v>
      </c>
      <c r="BA17" s="36">
        <f t="shared" si="25"/>
        <v>986.06160000000011</v>
      </c>
      <c r="BB17" s="27">
        <f t="shared" ca="1" si="38"/>
        <v>1314.7488000000001</v>
      </c>
      <c r="BC17" s="23">
        <f t="shared" ca="1" si="39"/>
        <v>284.19200000000001</v>
      </c>
      <c r="BE17" s="50" t="s">
        <v>47</v>
      </c>
      <c r="BF17" s="48" t="s">
        <v>48</v>
      </c>
      <c r="BG17" s="49">
        <f>IF(WL_No="  ","  ",IL-AWP*(LCF^2))</f>
        <v>2465812.6420479566</v>
      </c>
    </row>
    <row r="18" spans="1:59" x14ac:dyDescent="0.25">
      <c r="A18" s="20">
        <f>Tools!$AD17</f>
        <v>12</v>
      </c>
      <c r="B18" s="33">
        <f t="shared" si="0"/>
        <v>12.25</v>
      </c>
      <c r="C18" s="22">
        <f>IF(A18="  ","  ",IF(AND(A17="  ",A19="  "),"?",IF(A17="  ",1*(A19-A18),IF(A19="  ",1*(A18-A17),1*(A19-A17)))))</f>
        <v>2</v>
      </c>
      <c r="D18" s="23">
        <f t="shared" si="26"/>
        <v>24.5</v>
      </c>
      <c r="E18" s="24">
        <f t="shared" si="1"/>
        <v>2</v>
      </c>
      <c r="F18" s="23">
        <f t="shared" si="27"/>
        <v>49</v>
      </c>
      <c r="G18" s="23">
        <f t="shared" si="28"/>
        <v>98</v>
      </c>
      <c r="H18" s="23">
        <f t="shared" si="29"/>
        <v>1838.265625</v>
      </c>
      <c r="I18" s="23">
        <f t="shared" si="30"/>
        <v>3676.53125</v>
      </c>
      <c r="J18" s="4"/>
      <c r="K18" s="37">
        <f t="shared" si="2"/>
        <v>208.73399999999998</v>
      </c>
      <c r="L18" s="23">
        <f t="shared" si="31"/>
        <v>417.46799999999996</v>
      </c>
      <c r="M18" s="38">
        <f t="shared" si="3"/>
        <v>977.35680000000013</v>
      </c>
      <c r="N18" s="27">
        <f t="shared" si="32"/>
        <v>1954.7136000000003</v>
      </c>
      <c r="O18" s="23">
        <f t="shared" si="33"/>
        <v>834.93599999999992</v>
      </c>
      <c r="P18" s="4"/>
      <c r="Q18" s="50" t="s">
        <v>52</v>
      </c>
      <c r="R18" s="48" t="s">
        <v>53</v>
      </c>
      <c r="S18">
        <f>IF(Tools!$L$49="Use 141 rule only",I42,IF(Tools!$L$49="Use 141 and 1331 rules",BG19," "))</f>
        <v>18381.771594854934</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12.25</v>
      </c>
      <c r="AQ18" s="34" t="str">
        <f t="shared" ca="1" si="18"/>
        <v>2/3</v>
      </c>
      <c r="AR18" s="23">
        <f t="shared" ca="1" si="19"/>
        <v>8.1666666666666661</v>
      </c>
      <c r="AS18" s="24">
        <f t="shared" si="20"/>
        <v>2</v>
      </c>
      <c r="AT18" s="23">
        <f t="shared" ca="1" si="37"/>
        <v>16.333333333333332</v>
      </c>
      <c r="AU18" s="23">
        <f t="shared" ca="1" si="40"/>
        <v>32.666666666666664</v>
      </c>
      <c r="AV18" s="23">
        <f t="shared" si="21"/>
        <v>1838.265625</v>
      </c>
      <c r="AW18" s="23">
        <f t="shared" ca="1" si="22"/>
        <v>1225.5104166666665</v>
      </c>
      <c r="AY18" s="35">
        <f t="shared" si="23"/>
        <v>208.73399999999998</v>
      </c>
      <c r="AZ18" s="23">
        <f t="shared" ca="1" si="41"/>
        <v>139.15599999999998</v>
      </c>
      <c r="BA18" s="36">
        <f t="shared" si="25"/>
        <v>977.35680000000013</v>
      </c>
      <c r="BB18" s="27">
        <f t="shared" ca="1" si="38"/>
        <v>651.57120000000009</v>
      </c>
      <c r="BC18" s="23">
        <f t="shared" ca="1" si="39"/>
        <v>278.31199999999995</v>
      </c>
      <c r="BE18" s="50" t="s">
        <v>50</v>
      </c>
      <c r="BF18" s="48" t="s">
        <v>54</v>
      </c>
      <c r="BG18" s="49">
        <f ca="1">IF(WL_No="  ","  ",h*$AZ$29)</f>
        <v>17826.476841249994</v>
      </c>
    </row>
    <row r="19" spans="1:59" x14ac:dyDescent="0.25">
      <c r="A19" s="20">
        <f>Tools!$AD18</f>
        <v>13</v>
      </c>
      <c r="B19" s="33">
        <f t="shared" si="0"/>
        <v>12.18</v>
      </c>
      <c r="C19" s="22">
        <f>IF(A19="  ","  ",IF(AND(A18="  ",A20="  "),"?",IF(A18="  ",2*(A20-A19),IF(A20="  ",2*(A19-A18),2*(A20-A18)))))</f>
        <v>4</v>
      </c>
      <c r="D19" s="23">
        <f t="shared" si="26"/>
        <v>48.72</v>
      </c>
      <c r="E19" s="24">
        <f t="shared" si="1"/>
        <v>3</v>
      </c>
      <c r="F19" s="23">
        <f t="shared" si="27"/>
        <v>146.16</v>
      </c>
      <c r="G19" s="23">
        <f t="shared" si="28"/>
        <v>438.48</v>
      </c>
      <c r="H19" s="23">
        <f t="shared" si="29"/>
        <v>1806.9322319999999</v>
      </c>
      <c r="I19" s="23">
        <f t="shared" si="30"/>
        <v>7227.7289279999995</v>
      </c>
      <c r="J19" s="4"/>
      <c r="K19" s="37">
        <f t="shared" si="2"/>
        <v>196.578</v>
      </c>
      <c r="L19" s="23">
        <f t="shared" si="31"/>
        <v>786.31200000000001</v>
      </c>
      <c r="M19" s="38">
        <f t="shared" si="3"/>
        <v>939.48120000000006</v>
      </c>
      <c r="N19" s="27">
        <f t="shared" si="32"/>
        <v>3757.9248000000002</v>
      </c>
      <c r="O19" s="23">
        <f t="shared" si="33"/>
        <v>2358.9360000000001</v>
      </c>
      <c r="P19" s="4"/>
      <c r="Q19" s="50" t="s">
        <v>55</v>
      </c>
      <c r="R19" s="48" t="s">
        <v>56</v>
      </c>
      <c r="S19">
        <f>IF(Tools!$L$49="Use 141 rule only",I43,IF(Tools!$L$49="Use 141 and 1331 rules",BG20," "))</f>
        <v>88813.202247980837</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12.18</v>
      </c>
      <c r="AQ19" s="34" t="str">
        <f t="shared" ca="1" si="18"/>
        <v>4/3</v>
      </c>
      <c r="AR19" s="23">
        <f t="shared" ca="1" si="19"/>
        <v>16.239999999999998</v>
      </c>
      <c r="AS19" s="24">
        <f t="shared" si="20"/>
        <v>3</v>
      </c>
      <c r="AT19" s="23">
        <f t="shared" ca="1" si="37"/>
        <v>48.72</v>
      </c>
      <c r="AU19" s="23">
        <f t="shared" ca="1" si="40"/>
        <v>146.16</v>
      </c>
      <c r="AV19" s="23">
        <f t="shared" si="21"/>
        <v>1806.9322319999999</v>
      </c>
      <c r="AW19" s="23">
        <f t="shared" ca="1" si="22"/>
        <v>2409.2429759999995</v>
      </c>
      <c r="AY19" s="35">
        <f t="shared" si="23"/>
        <v>196.578</v>
      </c>
      <c r="AZ19" s="23">
        <f t="shared" ca="1" si="41"/>
        <v>262.10399999999998</v>
      </c>
      <c r="BA19" s="36">
        <f t="shared" si="25"/>
        <v>939.48120000000006</v>
      </c>
      <c r="BB19" s="27">
        <f t="shared" ca="1" si="38"/>
        <v>1252.6415999999999</v>
      </c>
      <c r="BC19" s="23">
        <f t="shared" ca="1" si="39"/>
        <v>786.3119999999999</v>
      </c>
      <c r="BE19" s="50" t="s">
        <v>52</v>
      </c>
      <c r="BF19" s="48" t="s">
        <v>53</v>
      </c>
      <c r="BG19" s="49">
        <f>IF(WL_No="  ","  ",V_Disp*1.025*1.006)</f>
        <v>18381.771594854934</v>
      </c>
    </row>
    <row r="20" spans="1:59" x14ac:dyDescent="0.25">
      <c r="A20" s="20">
        <f>Tools!$AD19</f>
        <v>14</v>
      </c>
      <c r="B20" s="33">
        <f t="shared" si="0"/>
        <v>11.46</v>
      </c>
      <c r="C20" s="22">
        <f>IF(A20="  ","  ",IF(AND(A19="  ",A21="  "),"?",IF(A19="  ",1*(A21-A20),IF(A21="  ",1*(A20-A19),1*(A21-A19)))))</f>
        <v>2</v>
      </c>
      <c r="D20" s="23">
        <f t="shared" si="26"/>
        <v>22.92</v>
      </c>
      <c r="E20" s="24">
        <f t="shared" si="1"/>
        <v>4</v>
      </c>
      <c r="F20" s="23">
        <f t="shared" si="27"/>
        <v>91.68</v>
      </c>
      <c r="G20" s="23">
        <f t="shared" si="28"/>
        <v>366.72</v>
      </c>
      <c r="H20" s="23">
        <f t="shared" si="29"/>
        <v>1505.0601360000003</v>
      </c>
      <c r="I20" s="23">
        <f t="shared" si="30"/>
        <v>3010.1202720000006</v>
      </c>
      <c r="J20" s="4"/>
      <c r="K20" s="37">
        <f t="shared" si="2"/>
        <v>174.21599999999998</v>
      </c>
      <c r="L20" s="23">
        <f t="shared" si="31"/>
        <v>348.43199999999996</v>
      </c>
      <c r="M20" s="38">
        <f t="shared" si="3"/>
        <v>852.71400000000006</v>
      </c>
      <c r="N20" s="27">
        <f t="shared" si="32"/>
        <v>1705.4280000000001</v>
      </c>
      <c r="O20" s="23">
        <f t="shared" si="33"/>
        <v>1393.7279999999998</v>
      </c>
      <c r="P20" s="4"/>
      <c r="Q20" s="50" t="s">
        <v>57</v>
      </c>
      <c r="R20" s="48" t="s">
        <v>58</v>
      </c>
      <c r="S20">
        <f>IF(Tools!$L$49="Use 141 rule only",I44,IF(Tools!$L$49="Use 141 and 1331 rules",BG21," "))</f>
        <v>-5575.9514035650054</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11.46</v>
      </c>
      <c r="AQ20" s="34" t="str">
        <f t="shared" ca="1" si="18"/>
        <v>2/3</v>
      </c>
      <c r="AR20" s="23">
        <f t="shared" ca="1" si="19"/>
        <v>7.6400000000000006</v>
      </c>
      <c r="AS20" s="24">
        <f t="shared" si="20"/>
        <v>4</v>
      </c>
      <c r="AT20" s="23">
        <f t="shared" ca="1" si="37"/>
        <v>30.560000000000002</v>
      </c>
      <c r="AU20" s="23">
        <f t="shared" ca="1" si="40"/>
        <v>122.24000000000001</v>
      </c>
      <c r="AV20" s="23">
        <f t="shared" si="21"/>
        <v>1505.0601360000003</v>
      </c>
      <c r="AW20" s="23">
        <f t="shared" ca="1" si="22"/>
        <v>1003.3734240000001</v>
      </c>
      <c r="AY20" s="35">
        <f t="shared" si="23"/>
        <v>174.21599999999998</v>
      </c>
      <c r="AZ20" s="23">
        <f t="shared" ca="1" si="41"/>
        <v>116.14399999999998</v>
      </c>
      <c r="BA20" s="36">
        <f t="shared" si="25"/>
        <v>852.71400000000006</v>
      </c>
      <c r="BB20" s="27">
        <f t="shared" ca="1" si="38"/>
        <v>568.476</v>
      </c>
      <c r="BC20" s="23">
        <f t="shared" ca="1" si="39"/>
        <v>464.57599999999991</v>
      </c>
      <c r="BE20" s="50" t="s">
        <v>55</v>
      </c>
      <c r="BF20" s="48" t="s">
        <v>59</v>
      </c>
      <c r="BG20" s="49">
        <f ca="1">IF(WL_No="  ","  ",h*$BB$29)</f>
        <v>88813.202247980822</v>
      </c>
    </row>
    <row r="21" spans="1:59" x14ac:dyDescent="0.25">
      <c r="A21" s="20">
        <f>Tools!$AD20</f>
        <v>15</v>
      </c>
      <c r="B21" s="33">
        <f t="shared" si="0"/>
        <v>10.26</v>
      </c>
      <c r="C21" s="22">
        <f>IF(A21="  ","  ",IF(AND(A20="  ",A22="  "),"?",IF(A20="  ",2*(A22-A21),IF(A22="  ",2*(A21-A20),2*(A22-A20)))))</f>
        <v>4</v>
      </c>
      <c r="D21" s="23">
        <f t="shared" si="26"/>
        <v>41.04</v>
      </c>
      <c r="E21" s="24">
        <f t="shared" si="1"/>
        <v>5</v>
      </c>
      <c r="F21" s="23">
        <f t="shared" si="27"/>
        <v>205.2</v>
      </c>
      <c r="G21" s="23">
        <f t="shared" si="28"/>
        <v>1026</v>
      </c>
      <c r="H21" s="23">
        <f t="shared" si="29"/>
        <v>1080.045576</v>
      </c>
      <c r="I21" s="23">
        <f t="shared" si="30"/>
        <v>4320.1823039999999</v>
      </c>
      <c r="J21" s="4"/>
      <c r="K21" s="37">
        <f t="shared" si="2"/>
        <v>146.83199999999999</v>
      </c>
      <c r="L21" s="23">
        <f t="shared" si="31"/>
        <v>587.32799999999997</v>
      </c>
      <c r="M21" s="38">
        <f t="shared" si="3"/>
        <v>733.29840000000002</v>
      </c>
      <c r="N21" s="27">
        <f t="shared" si="32"/>
        <v>2933.1936000000001</v>
      </c>
      <c r="O21" s="23">
        <f t="shared" si="33"/>
        <v>2936.64</v>
      </c>
      <c r="P21" s="4"/>
      <c r="Q21" s="50" t="s">
        <v>60</v>
      </c>
      <c r="R21" s="48" t="s">
        <v>61</v>
      </c>
      <c r="S21">
        <f>IF(Tools!$L$49="Use 141 rule only",I45,IF(Tools!$L$49="Use 141 and 1331 rules",BG22," "))</f>
        <v>138.32304969774685</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10.26</v>
      </c>
      <c r="AQ21" s="34" t="str">
        <f t="shared" ca="1" si="18"/>
        <v>4/3</v>
      </c>
      <c r="AR21" s="23">
        <f t="shared" ca="1" si="19"/>
        <v>13.68</v>
      </c>
      <c r="AS21" s="24">
        <f t="shared" si="20"/>
        <v>5</v>
      </c>
      <c r="AT21" s="23">
        <f t="shared" ca="1" si="37"/>
        <v>68.400000000000006</v>
      </c>
      <c r="AU21" s="23">
        <f t="shared" ca="1" si="40"/>
        <v>342</v>
      </c>
      <c r="AV21" s="23">
        <f t="shared" si="21"/>
        <v>1080.045576</v>
      </c>
      <c r="AW21" s="23">
        <f t="shared" ca="1" si="22"/>
        <v>1440.0607679999998</v>
      </c>
      <c r="AY21" s="35">
        <f t="shared" si="23"/>
        <v>146.83199999999999</v>
      </c>
      <c r="AZ21" s="23">
        <f t="shared" ca="1" si="41"/>
        <v>195.77599999999998</v>
      </c>
      <c r="BA21" s="36">
        <f t="shared" si="25"/>
        <v>733.29840000000002</v>
      </c>
      <c r="BB21" s="27">
        <f t="shared" ca="1" si="38"/>
        <v>977.73119999999994</v>
      </c>
      <c r="BC21" s="23">
        <f t="shared" ca="1" si="39"/>
        <v>978.87999999999988</v>
      </c>
      <c r="BE21" s="50" t="s">
        <v>57</v>
      </c>
      <c r="BF21" s="48" t="s">
        <v>62</v>
      </c>
      <c r="BG21" s="49">
        <f ca="1">IF(WL_No="  ","  ",(h^2)*$BC$29)</f>
        <v>-5575.9514035650272</v>
      </c>
    </row>
    <row r="22" spans="1:59" x14ac:dyDescent="0.25">
      <c r="A22" s="20">
        <f>Tools!$AD21</f>
        <v>16</v>
      </c>
      <c r="B22" s="33">
        <f t="shared" si="0"/>
        <v>8.6300000000000008</v>
      </c>
      <c r="C22" s="22">
        <f>IF(A22="  ","  ",IF(AND(A21="  ",A23="  "),"?",IF(A21="  ",1*(A23-A22),IF(A23="  ",1*(A22-A21),1*(A23-A21)))))</f>
        <v>2</v>
      </c>
      <c r="D22" s="23">
        <f t="shared" si="26"/>
        <v>17.260000000000002</v>
      </c>
      <c r="E22" s="24">
        <f t="shared" si="1"/>
        <v>6</v>
      </c>
      <c r="F22" s="23">
        <f t="shared" si="27"/>
        <v>103.56</v>
      </c>
      <c r="G22" s="23">
        <f t="shared" si="28"/>
        <v>621.36</v>
      </c>
      <c r="H22" s="23">
        <f t="shared" si="29"/>
        <v>642.7356470000002</v>
      </c>
      <c r="I22" s="23">
        <f t="shared" si="30"/>
        <v>1285.4712940000004</v>
      </c>
      <c r="J22" s="4"/>
      <c r="K22" s="37">
        <f t="shared" si="2"/>
        <v>114.828</v>
      </c>
      <c r="L22" s="23">
        <f t="shared" si="31"/>
        <v>229.65600000000001</v>
      </c>
      <c r="M22" s="38">
        <f t="shared" si="3"/>
        <v>587.02319999999997</v>
      </c>
      <c r="N22" s="27">
        <f t="shared" si="32"/>
        <v>1174.0463999999999</v>
      </c>
      <c r="O22" s="23">
        <f t="shared" si="33"/>
        <v>1377.9360000000001</v>
      </c>
      <c r="P22" s="4"/>
      <c r="Q22" s="50" t="s">
        <v>63</v>
      </c>
      <c r="R22" s="48" t="s">
        <v>64</v>
      </c>
      <c r="S22">
        <f>IF(Tools!$L$49="Use 141 rule only",I46,IF(Tools!$L$49="Use 141 and 1331 rules",BG23," "))</f>
        <v>6.010710353706286</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8.6300000000000008</v>
      </c>
      <c r="AQ22" s="34" t="str">
        <f t="shared" ca="1" si="18"/>
        <v>2/3</v>
      </c>
      <c r="AR22" s="23">
        <f t="shared" ca="1" si="19"/>
        <v>5.7533333333333339</v>
      </c>
      <c r="AS22" s="24">
        <f t="shared" si="20"/>
        <v>6</v>
      </c>
      <c r="AT22" s="23">
        <f t="shared" ca="1" si="37"/>
        <v>34.520000000000003</v>
      </c>
      <c r="AU22" s="23">
        <f t="shared" ca="1" si="40"/>
        <v>207.12</v>
      </c>
      <c r="AV22" s="23">
        <f t="shared" si="21"/>
        <v>642.7356470000002</v>
      </c>
      <c r="AW22" s="23">
        <f t="shared" ca="1" si="22"/>
        <v>428.49043133333345</v>
      </c>
      <c r="AY22" s="35">
        <f t="shared" si="23"/>
        <v>114.828</v>
      </c>
      <c r="AZ22" s="23">
        <f t="shared" ca="1" si="41"/>
        <v>76.551999999999992</v>
      </c>
      <c r="BA22" s="36">
        <f t="shared" si="25"/>
        <v>587.02319999999997</v>
      </c>
      <c r="BB22" s="27">
        <f t="shared" ca="1" si="38"/>
        <v>391.34879999999998</v>
      </c>
      <c r="BC22" s="23">
        <f t="shared" ca="1" si="39"/>
        <v>459.31199999999995</v>
      </c>
      <c r="BE22" s="50" t="s">
        <v>60</v>
      </c>
      <c r="BF22" s="48" t="s">
        <v>61</v>
      </c>
      <c r="BG22" s="49">
        <f>IF(WL_No="  ","  ",IF/V_Disp)</f>
        <v>138.32304969774685</v>
      </c>
    </row>
    <row r="23" spans="1:59" x14ac:dyDescent="0.25">
      <c r="A23" s="20">
        <f>Tools!$AD22</f>
        <v>17</v>
      </c>
      <c r="B23" s="33">
        <f t="shared" si="0"/>
        <v>6.59</v>
      </c>
      <c r="C23" s="22">
        <f>IF(A23="  ","  ",IF(AND(A22="  ",A24="  "),"?",IF(A22="  ",2*(A24-A23),IF(A24="  ",2*(A23-A22),2*(A24-A22)))))</f>
        <v>4</v>
      </c>
      <c r="D23" s="23">
        <f t="shared" si="26"/>
        <v>26.36</v>
      </c>
      <c r="E23" s="24">
        <f t="shared" si="1"/>
        <v>7</v>
      </c>
      <c r="F23" s="23">
        <f t="shared" si="27"/>
        <v>184.51999999999998</v>
      </c>
      <c r="G23" s="23">
        <f t="shared" si="28"/>
        <v>1291.6399999999999</v>
      </c>
      <c r="H23" s="23">
        <f t="shared" si="29"/>
        <v>286.19117899999998</v>
      </c>
      <c r="I23" s="23">
        <f t="shared" si="30"/>
        <v>1144.7647159999999</v>
      </c>
      <c r="J23" s="4"/>
      <c r="K23" s="37">
        <f t="shared" si="2"/>
        <v>81.593999999999994</v>
      </c>
      <c r="L23" s="23">
        <f t="shared" si="31"/>
        <v>326.37599999999998</v>
      </c>
      <c r="M23" s="38">
        <f t="shared" si="3"/>
        <v>426.64320000000009</v>
      </c>
      <c r="N23" s="27">
        <f t="shared" si="32"/>
        <v>1706.5728000000004</v>
      </c>
      <c r="O23" s="23">
        <f t="shared" si="33"/>
        <v>2284.6319999999996</v>
      </c>
      <c r="P23" s="4"/>
      <c r="Q23" s="50" t="s">
        <v>65</v>
      </c>
      <c r="R23" s="48" t="s">
        <v>66</v>
      </c>
      <c r="S23">
        <f>IF(Tools!$L$49="Use 141 rule only",I47,IF(Tools!$L$49="Use 141 and 1331 rules",BG24," "))</f>
        <v>4.982095062243002</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6.59</v>
      </c>
      <c r="AQ23" s="34" t="str">
        <f t="shared" ca="1" si="18"/>
        <v>4/3</v>
      </c>
      <c r="AR23" s="23">
        <f t="shared" ca="1" si="19"/>
        <v>8.7866666666666653</v>
      </c>
      <c r="AS23" s="24">
        <f t="shared" si="20"/>
        <v>7</v>
      </c>
      <c r="AT23" s="23">
        <f t="shared" ca="1" si="37"/>
        <v>61.506666666666661</v>
      </c>
      <c r="AU23" s="23">
        <f t="shared" ca="1" si="40"/>
        <v>430.54666666666662</v>
      </c>
      <c r="AV23" s="23">
        <f t="shared" si="21"/>
        <v>286.19117899999998</v>
      </c>
      <c r="AW23" s="23">
        <f t="shared" ca="1" si="22"/>
        <v>381.5882386666666</v>
      </c>
      <c r="AY23" s="35">
        <f t="shared" si="23"/>
        <v>81.593999999999994</v>
      </c>
      <c r="AZ23" s="23">
        <f t="shared" ca="1" si="41"/>
        <v>108.79199999999999</v>
      </c>
      <c r="BA23" s="36">
        <f t="shared" si="25"/>
        <v>426.64320000000009</v>
      </c>
      <c r="BB23" s="27">
        <f t="shared" ca="1" si="38"/>
        <v>568.85760000000005</v>
      </c>
      <c r="BC23" s="23">
        <f t="shared" ca="1" si="39"/>
        <v>761.54399999999987</v>
      </c>
      <c r="BE23" s="50" t="s">
        <v>63</v>
      </c>
      <c r="BF23" s="48" t="s">
        <v>64</v>
      </c>
      <c r="BG23" s="49">
        <f>IF(WL_No="  ","  ",IT/V_Disp)</f>
        <v>6.010710353706286</v>
      </c>
    </row>
    <row r="24" spans="1:59" x14ac:dyDescent="0.25">
      <c r="A24" s="20">
        <f>Tools!$AD23</f>
        <v>18</v>
      </c>
      <c r="B24" s="33">
        <f t="shared" si="0"/>
        <v>4.28</v>
      </c>
      <c r="C24" s="22">
        <f>IF(A24="  ","  ",IF(AND(A23="  ",A25="  "),"?",IF(A23="  ",1*(A25-A24),IF(A25="  ",1*(A24-A23),1*(A25-A23)))))</f>
        <v>1.5</v>
      </c>
      <c r="D24" s="23">
        <f t="shared" si="26"/>
        <v>6.42</v>
      </c>
      <c r="E24" s="24">
        <f t="shared" si="1"/>
        <v>8</v>
      </c>
      <c r="F24" s="23">
        <f t="shared" si="27"/>
        <v>51.36</v>
      </c>
      <c r="G24" s="23">
        <f t="shared" si="28"/>
        <v>410.88</v>
      </c>
      <c r="H24" s="23">
        <f t="shared" si="29"/>
        <v>78.402752000000007</v>
      </c>
      <c r="I24" s="23">
        <f t="shared" si="30"/>
        <v>117.604128</v>
      </c>
      <c r="J24" s="4"/>
      <c r="K24" s="37">
        <f t="shared" si="2"/>
        <v>51.5595</v>
      </c>
      <c r="L24" s="23">
        <f t="shared" si="31"/>
        <v>77.339249999999993</v>
      </c>
      <c r="M24" s="38">
        <f t="shared" si="3"/>
        <v>271.31962500000003</v>
      </c>
      <c r="N24" s="27">
        <f t="shared" si="32"/>
        <v>406.97943750000002</v>
      </c>
      <c r="O24" s="23">
        <f t="shared" si="33"/>
        <v>618.71399999999994</v>
      </c>
      <c r="P24" s="4"/>
      <c r="Q24" s="50" t="s">
        <v>67</v>
      </c>
      <c r="R24" s="48" t="s">
        <v>68</v>
      </c>
      <c r="S24">
        <f>IF(Tools!$L$49="Use 141 rule only",I48,IF(Tools!$L$49="Use 141 and 1331 rules",BG25," "))</f>
        <v>10.992805415949288</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4.28</v>
      </c>
      <c r="AQ24" s="34" t="str">
        <f t="shared" ca="1" si="18"/>
        <v>(1/2)*(1/3)+1/3</v>
      </c>
      <c r="AR24" s="23">
        <f t="shared" ca="1" si="19"/>
        <v>2.14</v>
      </c>
      <c r="AS24" s="24">
        <f t="shared" si="20"/>
        <v>8</v>
      </c>
      <c r="AT24" s="23">
        <f t="shared" ca="1" si="37"/>
        <v>17.12</v>
      </c>
      <c r="AU24" s="23">
        <f t="shared" ca="1" si="40"/>
        <v>136.96</v>
      </c>
      <c r="AV24" s="23">
        <f t="shared" si="21"/>
        <v>78.402752000000007</v>
      </c>
      <c r="AW24" s="23">
        <f t="shared" ca="1" si="22"/>
        <v>39.201376000000003</v>
      </c>
      <c r="AY24" s="35">
        <f t="shared" si="23"/>
        <v>51.5595</v>
      </c>
      <c r="AZ24" s="23">
        <f t="shared" ca="1" si="41"/>
        <v>25.77975</v>
      </c>
      <c r="BA24" s="36">
        <f t="shared" si="25"/>
        <v>271.31962500000003</v>
      </c>
      <c r="BB24" s="27">
        <f t="shared" ca="1" si="38"/>
        <v>135.65981250000002</v>
      </c>
      <c r="BC24" s="23">
        <f t="shared" ca="1" si="39"/>
        <v>206.238</v>
      </c>
      <c r="BE24" s="50" t="s">
        <v>65</v>
      </c>
      <c r="BF24" s="48" t="s">
        <v>66</v>
      </c>
      <c r="BG24" s="49">
        <f>IF(WL_No="  ","  ",MT/V_Disp)</f>
        <v>4.982095062243002</v>
      </c>
    </row>
    <row r="25" spans="1:59" x14ac:dyDescent="0.25">
      <c r="A25" s="20">
        <f>Tools!$AD24</f>
        <v>18.5</v>
      </c>
      <c r="B25" s="33">
        <f t="shared" si="0"/>
        <v>3.12</v>
      </c>
      <c r="C25" s="22">
        <f>IF(A25="  ","  ",IF(AND(A24="  ",A26="  "),"?",IF(A24="  ",2*(A26-A25),IF(A26="  ",2*(A25-A24),2*(A26-A24)))))</f>
        <v>2</v>
      </c>
      <c r="D25" s="23">
        <f t="shared" si="26"/>
        <v>6.24</v>
      </c>
      <c r="E25" s="24">
        <f t="shared" si="1"/>
        <v>8.5</v>
      </c>
      <c r="F25" s="23">
        <f t="shared" si="27"/>
        <v>53.04</v>
      </c>
      <c r="G25" s="23">
        <f t="shared" si="28"/>
        <v>450.84</v>
      </c>
      <c r="H25" s="23">
        <f t="shared" si="29"/>
        <v>30.371328000000002</v>
      </c>
      <c r="I25" s="23">
        <f t="shared" si="30"/>
        <v>60.742656000000004</v>
      </c>
      <c r="J25" s="4"/>
      <c r="K25" s="37">
        <f t="shared" si="2"/>
        <v>38.8142</v>
      </c>
      <c r="L25" s="23">
        <f t="shared" si="31"/>
        <v>77.628399999999999</v>
      </c>
      <c r="M25" s="38">
        <f t="shared" si="3"/>
        <v>204.16421133333333</v>
      </c>
      <c r="N25" s="27">
        <f t="shared" si="32"/>
        <v>408.32842266666665</v>
      </c>
      <c r="O25" s="23">
        <f t="shared" si="33"/>
        <v>659.84140000000002</v>
      </c>
      <c r="P25" s="4"/>
      <c r="Q25" s="50" t="s">
        <v>69</v>
      </c>
      <c r="R25" s="48" t="s">
        <v>70</v>
      </c>
      <c r="S25">
        <f>IF(Tools!$L$49="Use 141 rule only",I49,IF(Tools!$L$49="Use 141 and 1331 rules",BG26," "))</f>
        <v>143.30514475998984</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3.12</v>
      </c>
      <c r="AQ25" s="34" t="str">
        <f t="shared" ca="1" si="18"/>
        <v>(1/2)*(4/3)</v>
      </c>
      <c r="AR25" s="23">
        <f t="shared" ca="1" si="19"/>
        <v>2.08</v>
      </c>
      <c r="AS25" s="24">
        <f t="shared" si="20"/>
        <v>8.5</v>
      </c>
      <c r="AT25" s="23">
        <f t="shared" ca="1" si="37"/>
        <v>17.68</v>
      </c>
      <c r="AU25" s="23">
        <f t="shared" ca="1" si="40"/>
        <v>150.28</v>
      </c>
      <c r="AV25" s="23">
        <f t="shared" si="21"/>
        <v>30.371328000000002</v>
      </c>
      <c r="AW25" s="23">
        <f t="shared" ca="1" si="22"/>
        <v>20.247551999999999</v>
      </c>
      <c r="AY25" s="35">
        <f t="shared" si="23"/>
        <v>38.8142</v>
      </c>
      <c r="AZ25" s="23">
        <f t="shared" ca="1" si="41"/>
        <v>25.876133333333332</v>
      </c>
      <c r="BA25" s="36">
        <f t="shared" si="25"/>
        <v>204.16421133333333</v>
      </c>
      <c r="BB25" s="27">
        <f t="shared" ca="1" si="38"/>
        <v>136.10947422222222</v>
      </c>
      <c r="BC25" s="23">
        <f t="shared" ca="1" si="39"/>
        <v>219.94713333333331</v>
      </c>
      <c r="BE25" s="50" t="s">
        <v>67</v>
      </c>
      <c r="BF25" s="48" t="s">
        <v>68</v>
      </c>
      <c r="BG25" s="49">
        <f>IF(WL_No="  ","  ",KB+BMT)</f>
        <v>10.992805415949288</v>
      </c>
    </row>
    <row r="26" spans="1:59" x14ac:dyDescent="0.25">
      <c r="A26" s="20">
        <f>Tools!$AD25</f>
        <v>19</v>
      </c>
      <c r="B26" s="33">
        <f t="shared" si="0"/>
        <v>2</v>
      </c>
      <c r="C26" s="22">
        <f>IF(A26="  ","  ",IF(AND(A25="  ",A27="  "),"?",IF(A25="  ",1*(A27-A26),IF(A27="  ",1*(A26-A25),1*(A27-A25)))))</f>
        <v>1</v>
      </c>
      <c r="D26" s="23">
        <f t="shared" si="26"/>
        <v>2</v>
      </c>
      <c r="E26" s="24">
        <f t="shared" si="1"/>
        <v>9</v>
      </c>
      <c r="F26" s="23">
        <f t="shared" si="27"/>
        <v>18</v>
      </c>
      <c r="G26" s="23">
        <f t="shared" si="28"/>
        <v>162</v>
      </c>
      <c r="H26" s="23">
        <f t="shared" si="29"/>
        <v>8</v>
      </c>
      <c r="I26" s="23">
        <f t="shared" si="30"/>
        <v>8</v>
      </c>
      <c r="J26" s="4"/>
      <c r="K26" s="37">
        <f t="shared" si="2"/>
        <v>28.9176</v>
      </c>
      <c r="L26" s="23">
        <f t="shared" si="31"/>
        <v>28.9176</v>
      </c>
      <c r="M26" s="38">
        <f t="shared" si="3"/>
        <v>150.21220200000002</v>
      </c>
      <c r="N26" s="27">
        <f t="shared" si="32"/>
        <v>150.21220200000002</v>
      </c>
      <c r="O26" s="23">
        <f t="shared" si="33"/>
        <v>260.25839999999999</v>
      </c>
      <c r="P26" s="4"/>
      <c r="Q26" s="50" t="s">
        <v>71</v>
      </c>
      <c r="R26" s="48" t="s">
        <v>72</v>
      </c>
      <c r="S26">
        <f>IF(Tools!$L$49="Use 141 rule only",I50,IF(Tools!$L$49="Use 141 and 1331 rules",BG27," "))</f>
        <v>25.920809874999996</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2</v>
      </c>
      <c r="AQ26" s="34" t="str">
        <f t="shared" ca="1" si="18"/>
        <v>(1/2)*(2/3)</v>
      </c>
      <c r="AR26" s="23">
        <f t="shared" ca="1" si="19"/>
        <v>0.66666666666666663</v>
      </c>
      <c r="AS26" s="24">
        <f t="shared" si="20"/>
        <v>9</v>
      </c>
      <c r="AT26" s="23">
        <f t="shared" ca="1" si="37"/>
        <v>6</v>
      </c>
      <c r="AU26" s="23">
        <f t="shared" ca="1" si="40"/>
        <v>54</v>
      </c>
      <c r="AV26" s="23">
        <f t="shared" si="21"/>
        <v>8</v>
      </c>
      <c r="AW26" s="23">
        <f t="shared" ca="1" si="22"/>
        <v>2.6666666666666665</v>
      </c>
      <c r="AY26" s="35">
        <f t="shared" si="23"/>
        <v>28.9176</v>
      </c>
      <c r="AZ26" s="23">
        <f t="shared" ca="1" si="41"/>
        <v>9.6391999999999989</v>
      </c>
      <c r="BA26" s="36">
        <f t="shared" si="25"/>
        <v>150.21220200000002</v>
      </c>
      <c r="BB26" s="27">
        <f t="shared" ca="1" si="38"/>
        <v>50.070734000000002</v>
      </c>
      <c r="BC26" s="23">
        <f t="shared" ca="1" si="39"/>
        <v>86.752799999999993</v>
      </c>
      <c r="BE26" s="50" t="s">
        <v>69</v>
      </c>
      <c r="BF26" s="48" t="s">
        <v>70</v>
      </c>
      <c r="BG26" s="49">
        <f>IF(WL_No="  ","  ",KB+BML)</f>
        <v>143.30514475998984</v>
      </c>
    </row>
    <row r="27" spans="1:59" x14ac:dyDescent="0.25">
      <c r="A27" s="20">
        <f>Tools!$AD26</f>
        <v>19.5</v>
      </c>
      <c r="B27" s="33">
        <f t="shared" si="0"/>
        <v>1</v>
      </c>
      <c r="C27" s="22">
        <f>IF(A27="  ","  ",IF(AND(A26="  ",A28="  "),"?",IF(A26="  ",2*(A28-A27),IF(A28="  ",2*(A27-A26),2*(A28-A26)))))</f>
        <v>2</v>
      </c>
      <c r="D27" s="23">
        <f t="shared" si="26"/>
        <v>2</v>
      </c>
      <c r="E27" s="24">
        <f t="shared" si="1"/>
        <v>9.5</v>
      </c>
      <c r="F27" s="23">
        <f t="shared" si="27"/>
        <v>19</v>
      </c>
      <c r="G27" s="23">
        <f t="shared" si="28"/>
        <v>180.5</v>
      </c>
      <c r="H27" s="23">
        <f t="shared" si="29"/>
        <v>1</v>
      </c>
      <c r="I27" s="23">
        <f t="shared" si="30"/>
        <v>2</v>
      </c>
      <c r="J27" s="4"/>
      <c r="K27" s="37">
        <f t="shared" si="2"/>
        <v>21.136000000000003</v>
      </c>
      <c r="L27" s="23">
        <f t="shared" si="31"/>
        <v>42.272000000000006</v>
      </c>
      <c r="M27" s="38">
        <f t="shared" si="3"/>
        <v>109.57333333333335</v>
      </c>
      <c r="N27" s="27">
        <f t="shared" si="32"/>
        <v>219.1466666666667</v>
      </c>
      <c r="O27" s="23">
        <f t="shared" si="33"/>
        <v>401.58400000000006</v>
      </c>
      <c r="P27" s="4"/>
      <c r="Q27" s="50" t="s">
        <v>73</v>
      </c>
      <c r="R27" s="48" t="s">
        <v>74</v>
      </c>
      <c r="S27">
        <f>IF(Tools!$L$49="Use 141 rule only",I51,IF(Tools!$L$49="Use 141 and 1331 rules",BG28," "))</f>
        <v>-0.31279043263682932</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1</v>
      </c>
      <c r="AQ27" s="34" t="str">
        <f t="shared" ca="1" si="18"/>
        <v>(1/2)*(4/3)</v>
      </c>
      <c r="AR27" s="23">
        <f t="shared" ca="1" si="19"/>
        <v>0.66666666666666663</v>
      </c>
      <c r="AS27" s="24">
        <f t="shared" si="20"/>
        <v>9.5</v>
      </c>
      <c r="AT27" s="23">
        <f t="shared" ca="1" si="37"/>
        <v>6.333333333333333</v>
      </c>
      <c r="AU27" s="23">
        <f t="shared" ca="1" si="40"/>
        <v>60.166666666666664</v>
      </c>
      <c r="AV27" s="23">
        <f t="shared" si="21"/>
        <v>1</v>
      </c>
      <c r="AW27" s="23">
        <f t="shared" ca="1" si="22"/>
        <v>0.66666666666666663</v>
      </c>
      <c r="AY27" s="35">
        <f t="shared" si="23"/>
        <v>21.136000000000003</v>
      </c>
      <c r="AZ27" s="23">
        <f t="shared" ca="1" si="41"/>
        <v>14.090666666666667</v>
      </c>
      <c r="BA27" s="36">
        <f t="shared" si="25"/>
        <v>109.57333333333335</v>
      </c>
      <c r="BB27" s="27">
        <f t="shared" ca="1" si="38"/>
        <v>73.048888888888897</v>
      </c>
      <c r="BC27" s="23">
        <f t="shared" ca="1" si="39"/>
        <v>133.86133333333333</v>
      </c>
      <c r="BE27" s="50" t="s">
        <v>71</v>
      </c>
      <c r="BF27" s="48" t="s">
        <v>72</v>
      </c>
      <c r="BG27" s="49">
        <f>IF(WL_No="  ","  ",AWP*1.025/100)</f>
        <v>25.920809874999996</v>
      </c>
    </row>
    <row r="28" spans="1:59" ht="15.75" thickBot="1" x14ac:dyDescent="0.3">
      <c r="A28" s="20">
        <f>Tools!$AD27</f>
        <v>20</v>
      </c>
      <c r="B28" s="52">
        <f t="shared" si="0"/>
        <v>0</v>
      </c>
      <c r="C28" s="22">
        <f>IF(A28="  ","  ",IF(A27="  ","?",1*(A28-A27)))</f>
        <v>0.5</v>
      </c>
      <c r="D28" s="53">
        <f t="shared" si="26"/>
        <v>0</v>
      </c>
      <c r="E28" s="24">
        <f t="shared" si="1"/>
        <v>10</v>
      </c>
      <c r="F28" s="53">
        <f t="shared" si="27"/>
        <v>0</v>
      </c>
      <c r="G28" s="53">
        <f t="shared" si="28"/>
        <v>0</v>
      </c>
      <c r="H28" s="23">
        <f t="shared" si="29"/>
        <v>0</v>
      </c>
      <c r="I28" s="53">
        <f t="shared" si="30"/>
        <v>0</v>
      </c>
      <c r="J28" s="4"/>
      <c r="K28" s="35">
        <f t="shared" si="2"/>
        <v>13.323999999999998</v>
      </c>
      <c r="L28" s="53">
        <f t="shared" si="31"/>
        <v>6.661999999999999</v>
      </c>
      <c r="M28" s="36">
        <f t="shared" si="3"/>
        <v>69.784266666666667</v>
      </c>
      <c r="N28" s="54">
        <f t="shared" si="32"/>
        <v>34.892133333333334</v>
      </c>
      <c r="O28" s="53">
        <f t="shared" si="33"/>
        <v>66.61999999999999</v>
      </c>
      <c r="P28" s="4"/>
      <c r="Q28" s="50" t="s">
        <v>75</v>
      </c>
      <c r="R28" s="55" t="s">
        <v>76</v>
      </c>
      <c r="S28">
        <f>IF(Tools!$L$49="Use 141 rule only",I52,IF(Tools!$L$49="Use 141 and 1331 rules",BG29," "))</f>
        <v>193.06170887226656</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v>
      </c>
      <c r="AQ28" s="34" t="str">
        <f t="shared" ca="1" si="18"/>
        <v>(1/2)*(1/3)</v>
      </c>
      <c r="AR28" s="23">
        <f t="shared" ca="1" si="19"/>
        <v>0</v>
      </c>
      <c r="AS28" s="24">
        <f t="shared" si="20"/>
        <v>10</v>
      </c>
      <c r="AT28" s="53">
        <f t="shared" ca="1" si="37"/>
        <v>0</v>
      </c>
      <c r="AU28" s="53">
        <f t="shared" ca="1" si="40"/>
        <v>0</v>
      </c>
      <c r="AV28" s="23">
        <f t="shared" si="21"/>
        <v>0</v>
      </c>
      <c r="AW28" s="23">
        <f t="shared" ca="1" si="22"/>
        <v>0</v>
      </c>
      <c r="AY28" s="35">
        <f t="shared" si="23"/>
        <v>13.323999999999998</v>
      </c>
      <c r="AZ28" s="23">
        <f t="shared" ca="1" si="41"/>
        <v>2.2206666666666663</v>
      </c>
      <c r="BA28" s="36">
        <f t="shared" si="25"/>
        <v>69.784266666666667</v>
      </c>
      <c r="BB28" s="27">
        <f t="shared" ca="1" si="38"/>
        <v>11.630711111111111</v>
      </c>
      <c r="BC28" s="53">
        <f t="shared" ca="1" si="39"/>
        <v>22.206666666666663</v>
      </c>
      <c r="BE28" s="50" t="s">
        <v>73</v>
      </c>
      <c r="BF28" s="48" t="s">
        <v>74</v>
      </c>
      <c r="BG28" s="49">
        <f>IF(WL_No="  ","  ",ML/V_Disp)</f>
        <v>-0.31279043263682932</v>
      </c>
    </row>
    <row r="29" spans="1:59" ht="15.75" thickBot="1" x14ac:dyDescent="0.3">
      <c r="A29" s="56" t="s">
        <v>77</v>
      </c>
      <c r="B29" s="56"/>
      <c r="C29" s="56"/>
      <c r="D29" s="57">
        <f>SUM(D4:D28)</f>
        <v>576.05000000000007</v>
      </c>
      <c r="E29" s="42"/>
      <c r="F29" s="58">
        <f>SUM(F4:F28)</f>
        <v>-416.27000000000004</v>
      </c>
      <c r="G29" s="58">
        <f>SUM(G4:G28)</f>
        <v>13254.214999999998</v>
      </c>
      <c r="H29" s="42"/>
      <c r="I29" s="58">
        <f>SUM(I4:I28)</f>
        <v>73223.090378000023</v>
      </c>
      <c r="J29" s="4"/>
      <c r="K29" s="42"/>
      <c r="L29" s="58">
        <f>SUM(L4:L28)</f>
        <v>8121.4017499999991</v>
      </c>
      <c r="M29" s="42"/>
      <c r="N29" s="58">
        <f>SUM(N4:N28)</f>
        <v>40461.595557166671</v>
      </c>
      <c r="O29" s="58">
        <f>SUM(O4:O28)</f>
        <v>-385.7702000000005</v>
      </c>
      <c r="P29" s="4"/>
      <c r="Q29" s="50" t="s">
        <v>78</v>
      </c>
      <c r="R29" s="48" t="s">
        <v>79</v>
      </c>
      <c r="S29">
        <f>IF(Tools!$L$49="Use 141 rule only",I53,IF(Tools!$L$49="Use 141 and 1331 rules",BG30," "))</f>
        <v>9</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192.01666666666665</v>
      </c>
      <c r="AS29" s="42"/>
      <c r="AT29" s="58">
        <f ca="1">SUM(AT4:AT28)</f>
        <v>-138.7566666666666</v>
      </c>
      <c r="AU29" s="58">
        <f ca="1">SUM(AU4:AU28)</f>
        <v>4418.0716666666658</v>
      </c>
      <c r="AV29" s="42"/>
      <c r="AW29" s="58">
        <f ca="1">SUM(AW4:AW28)</f>
        <v>24407.696792666669</v>
      </c>
      <c r="AY29" s="42"/>
      <c r="AZ29" s="58">
        <f ca="1">SUM(AZ4:AZ28)</f>
        <v>2707.1339166666662</v>
      </c>
      <c r="BA29" s="42"/>
      <c r="BB29" s="58">
        <f ca="1">SUM(BB4:BB28)</f>
        <v>13487.198519055555</v>
      </c>
      <c r="BC29" s="58">
        <f ca="1">SUM(BC4:BC28)</f>
        <v>-128.59006666666733</v>
      </c>
      <c r="BE29" s="50" t="s">
        <v>75</v>
      </c>
      <c r="BF29" s="55" t="s">
        <v>76</v>
      </c>
      <c r="BG29" s="49">
        <f ca="1">IF(WL_No="  ","  ",M_Disp*BML/100/BG8)</f>
        <v>193.06170887226656</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0.78374149659863945</v>
      </c>
      <c r="AA30" s="60"/>
      <c r="AB30" s="60"/>
      <c r="BE30" s="50" t="s">
        <v>78</v>
      </c>
      <c r="BF30" s="48" t="s">
        <v>79</v>
      </c>
      <c r="BG30" s="49">
        <f>IF(WL_No="  ","  ",WLS*WL_No)</f>
        <v>9</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0.61386256613756607</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0.78374149659863945</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0.96976870748299326</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0.61386256613756607</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0.63299894232597864</v>
      </c>
      <c r="AF33" s="63"/>
      <c r="AG33" s="63"/>
      <c r="AH33" s="63">
        <f ca="1">Long_Div-AH32</f>
        <v>20</v>
      </c>
      <c r="AI33" s="63"/>
      <c r="AJ33" s="63">
        <f ca="1">AJ32+AJ31</f>
        <v>0</v>
      </c>
      <c r="BE33" s="50" t="s">
        <v>85</v>
      </c>
      <c r="BF33" s="48" t="s">
        <v>86</v>
      </c>
      <c r="BG33" s="65">
        <f>IFERROR(IF(WL_No="  ","  ",(VLOOKUP(Long_Div/2,AREA_TABLE,Count_WL+1,FALSE))/(B_current*T)),"-")</f>
        <v>0.96976870748299326</v>
      </c>
    </row>
    <row r="34" spans="1:59" x14ac:dyDescent="0.25">
      <c r="G34" s="45"/>
      <c r="H34" s="46"/>
      <c r="I34" s="507"/>
      <c r="BE34" s="50" t="s">
        <v>88</v>
      </c>
      <c r="BF34" s="48" t="s">
        <v>89</v>
      </c>
      <c r="BG34" s="49">
        <f>IF(WL_No="  ","  ",CB/CM)</f>
        <v>0.63299894232597864</v>
      </c>
    </row>
    <row r="35" spans="1:59" x14ac:dyDescent="0.25">
      <c r="G35" s="47" t="s">
        <v>34</v>
      </c>
      <c r="H35" s="48" t="s">
        <v>35</v>
      </c>
      <c r="I35" s="49">
        <f>IF(WL_No="  ","  ",2/3*h*$D$29)</f>
        <v>2528.8594999999996</v>
      </c>
    </row>
    <row r="36" spans="1:59" x14ac:dyDescent="0.25">
      <c r="G36" s="47" t="s">
        <v>36</v>
      </c>
      <c r="H36" s="48" t="s">
        <v>37</v>
      </c>
      <c r="I36" s="49">
        <f>IF(WL_No="  ","  ",2/3*(h^2)*$F$29)</f>
        <v>-12033.595600499997</v>
      </c>
    </row>
    <row r="37" spans="1:59" x14ac:dyDescent="0.25">
      <c r="G37" s="50" t="s">
        <v>39</v>
      </c>
      <c r="H37" s="48" t="s">
        <v>40</v>
      </c>
      <c r="I37" s="49">
        <f>IF(WL_No="  ","  ",Mmid/AWP)</f>
        <v>-4.7585069872406907</v>
      </c>
    </row>
    <row r="38" spans="1:59" x14ac:dyDescent="0.25">
      <c r="G38" s="50" t="s">
        <v>42</v>
      </c>
      <c r="H38" s="48" t="s">
        <v>43</v>
      </c>
      <c r="I38" s="49">
        <f>IF(WL_No="  ","  ",2/3*(h^3)*$G$29)</f>
        <v>2523074.5907945647</v>
      </c>
    </row>
    <row r="39" spans="1:59" x14ac:dyDescent="0.25">
      <c r="G39" s="51" t="s">
        <v>44</v>
      </c>
      <c r="H39" s="48" t="s">
        <v>45</v>
      </c>
      <c r="I39" s="49">
        <f>IF(WL_No="  ","  ",2/9*h*$I$29)</f>
        <v>107149.78891980668</v>
      </c>
    </row>
    <row r="40" spans="1:59" x14ac:dyDescent="0.25">
      <c r="G40" s="50" t="s">
        <v>47</v>
      </c>
      <c r="H40" s="48" t="s">
        <v>48</v>
      </c>
      <c r="I40" s="49">
        <f>IF(WL_No="  ","  ",IL-AWP*(LCF^2))</f>
        <v>2465812.6420479566</v>
      </c>
    </row>
    <row r="41" spans="1:59" x14ac:dyDescent="0.25">
      <c r="G41" s="50" t="s">
        <v>50</v>
      </c>
      <c r="H41" s="48" t="s">
        <v>51</v>
      </c>
      <c r="I41" s="49">
        <f>IF(WL_No="  ","  ",h/3*$L$29)</f>
        <v>17826.476841249998</v>
      </c>
    </row>
    <row r="42" spans="1:59" x14ac:dyDescent="0.25">
      <c r="G42" s="50" t="s">
        <v>52</v>
      </c>
      <c r="H42" s="48" t="s">
        <v>53</v>
      </c>
      <c r="I42" s="49">
        <f>IF(WL_No="  ","  ",V_Disp*1.025*1.006)</f>
        <v>18381.771594854934</v>
      </c>
    </row>
    <row r="43" spans="1:59" x14ac:dyDescent="0.25">
      <c r="G43" s="50" t="s">
        <v>55</v>
      </c>
      <c r="H43" s="48" t="s">
        <v>56</v>
      </c>
      <c r="I43" s="49">
        <f>IF(WL_No="  ","  ",h/3*$N$29)</f>
        <v>88813.202247980837</v>
      </c>
    </row>
    <row r="44" spans="1:59" x14ac:dyDescent="0.25">
      <c r="G44" s="50" t="s">
        <v>57</v>
      </c>
      <c r="H44" s="48" t="s">
        <v>58</v>
      </c>
      <c r="I44" s="49">
        <f>IF(WL_No="  ","  ",(h^2)/3*$O$29)</f>
        <v>-5575.9514035650054</v>
      </c>
    </row>
    <row r="45" spans="1:59" x14ac:dyDescent="0.25">
      <c r="G45" s="50" t="s">
        <v>60</v>
      </c>
      <c r="H45" s="48" t="s">
        <v>61</v>
      </c>
      <c r="I45" s="49">
        <f>IF(WL_No="  ","  ",IF/V_Disp)</f>
        <v>138.32304969774685</v>
      </c>
    </row>
    <row r="46" spans="1:59" x14ac:dyDescent="0.25">
      <c r="G46" s="50" t="s">
        <v>63</v>
      </c>
      <c r="H46" s="48" t="s">
        <v>64</v>
      </c>
      <c r="I46" s="49">
        <f>IF(WL_No="  ","  ",IT/V_Disp)</f>
        <v>6.010710353706286</v>
      </c>
    </row>
    <row r="47" spans="1:59" x14ac:dyDescent="0.25">
      <c r="G47" s="50" t="s">
        <v>65</v>
      </c>
      <c r="H47" s="48" t="s">
        <v>66</v>
      </c>
      <c r="I47" s="49">
        <f>IF(WL_No="  ","  ",MT/V_Disp)</f>
        <v>4.982095062243002</v>
      </c>
    </row>
    <row r="48" spans="1:59" x14ac:dyDescent="0.25">
      <c r="G48" s="50" t="s">
        <v>67</v>
      </c>
      <c r="H48" s="48" t="s">
        <v>68</v>
      </c>
      <c r="I48" s="49">
        <f>IF(WL_No="  ","  ",KB+BMT)</f>
        <v>10.992805415949288</v>
      </c>
    </row>
    <row r="49" spans="7:9" x14ac:dyDescent="0.25">
      <c r="G49" s="50" t="s">
        <v>69</v>
      </c>
      <c r="H49" s="48" t="s">
        <v>70</v>
      </c>
      <c r="I49" s="49">
        <f>IF(WL_No="  ","  ",KB+BML)</f>
        <v>143.30514475998984</v>
      </c>
    </row>
    <row r="50" spans="7:9" x14ac:dyDescent="0.25">
      <c r="G50" s="50" t="s">
        <v>71</v>
      </c>
      <c r="H50" s="48" t="s">
        <v>72</v>
      </c>
      <c r="I50" s="49">
        <f>IF(WL_No="  ","  ",AWP*1.025/100)</f>
        <v>25.920809874999996</v>
      </c>
    </row>
    <row r="51" spans="7:9" x14ac:dyDescent="0.25">
      <c r="G51" s="50" t="s">
        <v>73</v>
      </c>
      <c r="H51" s="48" t="s">
        <v>74</v>
      </c>
      <c r="I51" s="49">
        <f>IF(WL_No="  ","  ",ML/V_Disp)</f>
        <v>-0.31279043263682932</v>
      </c>
    </row>
    <row r="52" spans="7:9" x14ac:dyDescent="0.25">
      <c r="G52" s="50" t="s">
        <v>75</v>
      </c>
      <c r="H52" s="55" t="s">
        <v>76</v>
      </c>
      <c r="I52" s="49">
        <f>IF(WL_No="  ","  ",M_Disp*BML/100/LBP)</f>
        <v>193.06170887226656</v>
      </c>
    </row>
    <row r="53" spans="7:9" x14ac:dyDescent="0.25">
      <c r="G53" s="50" t="s">
        <v>78</v>
      </c>
      <c r="H53" s="48" t="s">
        <v>79</v>
      </c>
      <c r="I53" s="49">
        <f>IF(WL_No="  ","  ",WLS*WL_No)</f>
        <v>9</v>
      </c>
    </row>
    <row r="54" spans="7:9" x14ac:dyDescent="0.25">
      <c r="G54" s="50" t="s">
        <v>80</v>
      </c>
      <c r="H54" s="48" t="s">
        <v>81</v>
      </c>
      <c r="I54" s="49">
        <f>IF(WL_No="  ","  ",AWP/(LBP*B_current))</f>
        <v>0.78374149659863945</v>
      </c>
    </row>
    <row r="55" spans="7:9" x14ac:dyDescent="0.25">
      <c r="G55" s="50" t="s">
        <v>82</v>
      </c>
      <c r="H55" s="48" t="s">
        <v>83</v>
      </c>
      <c r="I55" s="49">
        <f>IF(WL_No="  ","  ",V_Disp/(LBP*B_current*T))</f>
        <v>0.61386256613756607</v>
      </c>
    </row>
    <row r="56" spans="7:9" x14ac:dyDescent="0.25">
      <c r="G56" s="50" t="s">
        <v>85</v>
      </c>
      <c r="H56" s="48" t="s">
        <v>86</v>
      </c>
      <c r="I56" s="65">
        <f>IF(WL_No="  ","  ",(VLOOKUP(Long_Div/2,AREA_TABLE,Count_WL+1,FALSE))/(B_current*T))</f>
        <v>0.96976870748299326</v>
      </c>
    </row>
    <row r="57" spans="7:9" x14ac:dyDescent="0.25">
      <c r="G57" s="50" t="s">
        <v>88</v>
      </c>
      <c r="H57" s="48" t="s">
        <v>89</v>
      </c>
      <c r="I57" s="49">
        <f>IF(WL_No="  ","  ",CB/CM)</f>
        <v>0.63299894232597864</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27" priority="14">
      <formula>ISERROR(A1)</formula>
    </cfRule>
  </conditionalFormatting>
  <conditionalFormatting sqref="G33:I34 G35:H57">
    <cfRule type="containsErrors" dxfId="226" priority="13">
      <formula>ISERROR(G33)</formula>
    </cfRule>
  </conditionalFormatting>
  <conditionalFormatting sqref="T12:T33">
    <cfRule type="containsErrors" dxfId="225" priority="12">
      <formula>ISERROR(T12)</formula>
    </cfRule>
  </conditionalFormatting>
  <conditionalFormatting sqref="I35:I57">
    <cfRule type="containsErrors" dxfId="224" priority="11">
      <formula>ISERROR(I35)</formula>
    </cfRule>
  </conditionalFormatting>
  <conditionalFormatting sqref="AY2:BC29">
    <cfRule type="containsErrors" dxfId="223" priority="8">
      <formula>ISERROR(AY2)</formula>
    </cfRule>
  </conditionalFormatting>
  <conditionalFormatting sqref="BE10:BG11 BE12:BF34">
    <cfRule type="containsErrors" dxfId="222" priority="10">
      <formula>ISERROR(BE10)</formula>
    </cfRule>
  </conditionalFormatting>
  <conditionalFormatting sqref="BG12:BG28 BG34">
    <cfRule type="containsErrors" dxfId="221" priority="9">
      <formula>ISERROR(BG12)</formula>
    </cfRule>
  </conditionalFormatting>
  <conditionalFormatting sqref="BE2:BG6">
    <cfRule type="containsErrors" dxfId="220" priority="7">
      <formula>ISERROR(BE2)</formula>
    </cfRule>
  </conditionalFormatting>
  <conditionalFormatting sqref="BF7:BG8">
    <cfRule type="containsErrors" dxfId="219" priority="5">
      <formula>ISERROR(BF7)</formula>
    </cfRule>
  </conditionalFormatting>
  <conditionalFormatting sqref="BE7:BE8">
    <cfRule type="containsErrors" dxfId="218" priority="6">
      <formula>ISERROR(BE7)</formula>
    </cfRule>
  </conditionalFormatting>
  <conditionalFormatting sqref="S30:S33">
    <cfRule type="containsErrors" dxfId="217" priority="4">
      <formula>ISERROR(S30)</formula>
    </cfRule>
  </conditionalFormatting>
  <conditionalFormatting sqref="AP27:AP28">
    <cfRule type="containsErrors" dxfId="216" priority="3">
      <formula>ISERROR(AP27)</formula>
    </cfRule>
  </conditionalFormatting>
  <conditionalFormatting sqref="BG29:BG32">
    <cfRule type="containsErrors" dxfId="215" priority="2">
      <formula>ISERROR(BG29)</formula>
    </cfRule>
  </conditionalFormatting>
  <conditionalFormatting sqref="BG33">
    <cfRule type="containsErrors" dxfId="214" priority="1">
      <formula>ISERROR(BG33)</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4</v>
      </c>
      <c r="C1" s="3"/>
      <c r="D1" s="4"/>
      <c r="E1" s="4" t="s">
        <v>1</v>
      </c>
      <c r="F1" s="5">
        <v>7</v>
      </c>
      <c r="G1" s="4"/>
      <c r="H1" s="4"/>
      <c r="I1" s="4"/>
      <c r="J1" s="4"/>
      <c r="K1" s="4"/>
      <c r="L1" s="4"/>
      <c r="M1" s="4"/>
      <c r="N1" s="4"/>
      <c r="O1" s="4"/>
      <c r="P1" s="4"/>
      <c r="Q1" s="4"/>
      <c r="R1" s="4"/>
      <c r="S1" s="4"/>
      <c r="V1" t="s">
        <v>2</v>
      </c>
      <c r="W1">
        <f ca="1">COUNTIF(OFFSET(Z4,,,ROUNDDOWN(Max_STN_count/2+1,0),1),TRUE)</f>
        <v>5</v>
      </c>
      <c r="X1">
        <f ca="1">COUNTIF(OFFSET(AA4,,,ROUNDDOWN(Max_STN_count/2+1,0),1),TRUE)</f>
        <v>3</v>
      </c>
      <c r="Y1">
        <f ca="1">W1-X1</f>
        <v>2</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2</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131.69999999999999</v>
      </c>
      <c r="W4" s="29">
        <f>IF(AO4="  ","  ",IF(AO5="  ","?",1*(AO5-AO4)))</f>
        <v>0.5</v>
      </c>
      <c r="X4" s="30" t="str">
        <f t="shared" ref="X4:X28" si="4">IF(Y4=0,"--",CONCATENATE(IF(AO4=0,"-",IF(Y3=0,"-",IF(AO4-AO3=0.5,"D",IF(AO4-AO3=1,"W","-")))),IF(AO4=Long_Div,"-",IF(Y5=0,"-",IF(AO5-AO4=0.5,"D",IF(AO5-AO4=1,"W","-"))))))</f>
        <v>--</v>
      </c>
      <c r="Y4" s="30">
        <f t="shared" ref="Y4:Y28" si="5">IF(ISNUMBER(AO4),IF(AO4=Long_Div/2,"-",IF(AND(AO4=Long_Div,$AP4=0,$AP3=0),0,IF(AND(AO4=0,$AP4=0,$AP5=0),0,IF($AO4&lt;Long_Div/2,IF(AND(Y3=0,$AP4=0,$AP5=0),0,"-"),IF(AND(Y5=0,$AP4=0,$AP3=0),0,"-")))))," ")</f>
        <v>0</v>
      </c>
      <c r="Z4" s="29" t="b">
        <f t="shared" ref="Z4:Z28" si="6">IF(ISNUMBER(AO4),IF(AO4=0,IF(AO5=0.5,TRUE,FALSE),IF(AO4=Long_Div,IF(AO3=Long_Div-0.5,TRUE,FALSE),IF(OR(AO5-AO4=0.5,AO4-AO3=0.5),TRUE,FALSE)))," ")</f>
        <v>1</v>
      </c>
      <c r="AA4" s="29" t="str">
        <f t="shared" ref="AA4:AA28" si="7">IF(ISNUMBER(AO4),IF(Y4=0," ",IF(AO4=0,IF(AO5=0.5,TRUE,"-"),IF(AO4=Long_Div,IF(AO3=Long_Div-0.5,TRUE,"-"),IF(OR(AO5-AO4=0.5,AO4-AO3=0.5),TRUE,FALSE))))," ")</f>
        <v xml:space="preserve"> </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str">
        <f t="shared" ref="AG4:AG28" si="11">IF(ISNUMBER(AO4),IF(AA4=" "," ",IF(AO4=0,IF(AO5-AO4=1,TRUE,FALSE),IF(AO4=Long_Div,IF(AO4-AO3=1,TRUE,FALSE),IF(OR(AO5-AO4=1,AO4-AO3=1),TRUE,FALSE))))," ")</f>
        <v xml:space="preserve"> </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
      </c>
      <c r="AJ4" s="29">
        <f t="shared" ref="AJ4:AJ28" ca="1" si="14">IF(OR(AB4="1331-1",AB4="1331-1,141-1"),(1/2)*(3/8),IF(AB4="1331-3",(1/2)*(9/8),IF(AB4="141-1",(1/2)*(1/3),IF(AB4="141-2",(1/2)*(2/3),IF(AB4="141-4",(1/2)*(4/3),0)))))</f>
        <v>0</v>
      </c>
      <c r="AK4" s="29" t="str">
        <f t="shared" ref="AK4:AK28" si="15">IF(AH4="1331-1,141-1","(1*3/8)+(1/3)",IF(LEFT(AH4,4)="141-",CONCATENATE(RIGHT(AH4,1),"/3"),IF(LEFT(AH4,4)="1331",CONCATENATE(RIGHT(AH4,1),"*3/8"),"")))</f>
        <v/>
      </c>
      <c r="AL4" s="29">
        <f t="shared" ref="AL4:AL28" si="16">IF(AH4="1331-1,141-1",(1*3/8)+(1/3),IF(LEFT(AH4,4)="141-",(RIGHT(AH4,1)/3),IF(LEFT(AH4,4)="1331",RIGHT(AH4,1)*3/8,0)))</f>
        <v>0</v>
      </c>
      <c r="AM4" s="32" t="str">
        <f ca="1">IF(AQ4=""," ",AJ4+AL4)</f>
        <v xml:space="preserve"> </v>
      </c>
      <c r="AO4" s="20">
        <f>Tools!$AD3</f>
        <v>0</v>
      </c>
      <c r="AP4" s="33">
        <f t="shared" ref="AP4" si="17">VLOOKUP(AO4,OFFSET_A,Count_WL+1,FALSE)</f>
        <v>0</v>
      </c>
      <c r="AQ4" s="34" t="str">
        <f t="shared" ref="AQ4:AQ28" ca="1" si="18">CONCATENATE(AI4,IF(NOT(OR(AI4="",AK4="")),"+",""),AK4)</f>
        <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f t="shared" ref="AV4:AV28" si="21">IFERROR(AP4^3,"  ")</f>
        <v>0</v>
      </c>
      <c r="AW4" s="23" t="str">
        <f t="shared" ref="AW4:AW28" ca="1" si="22">IFERROR(AV4*AM4,"  ")</f>
        <v xml:space="preserve">  </v>
      </c>
      <c r="AY4" s="35">
        <f t="shared" ref="AY4:AY28" si="23">IF(ROW(AY4)-3&gt;Max_STN_count," ",VLOOKUP(AO4,AREA_TABLE,Count_WL+1,FALSE))</f>
        <v>0</v>
      </c>
      <c r="AZ4" s="23" t="str">
        <f t="shared" ref="AZ4:AZ7" ca="1" si="24">IFERROR(AY4*AM4,"  ")</f>
        <v xml:space="preserve">  </v>
      </c>
      <c r="BA4" s="36">
        <f t="shared" ref="BA4:BA28" si="25">IF(ROW(AY4)-3&gt;Max_STN_count," ",VLOOKUP(AO4,MOMENT_TABLE,Count_WL+1,FALSE))</f>
        <v>0</v>
      </c>
      <c r="BB4" s="27" t="str">
        <f ca="1">IFERROR(BA4*AM4,"  ")</f>
        <v xml:space="preserve">  </v>
      </c>
      <c r="BC4" s="23" t="str">
        <f ca="1">IFERROR(AZ4*AS4,"  ")</f>
        <v xml:space="preserve">  </v>
      </c>
      <c r="BE4" s="16" t="s">
        <v>26</v>
      </c>
      <c r="BF4" s="9" t="s">
        <v>8</v>
      </c>
      <c r="BG4" s="28">
        <f>LBP</f>
        <v>131.69999999999999</v>
      </c>
    </row>
    <row r="5" spans="1:60" x14ac:dyDescent="0.25">
      <c r="A5" s="20">
        <f>Tools!$AD4</f>
        <v>0.5</v>
      </c>
      <c r="B5" s="33">
        <f t="shared" si="0"/>
        <v>0</v>
      </c>
      <c r="C5" s="22">
        <f>IF(A5="  ","  ",IF(AND(A4="  ",A6="  "),"?",IF(A4="  ",2*(A6-A5),IF(A6="  ",2*(A5-A4),2*(A6-A4)))))</f>
        <v>2</v>
      </c>
      <c r="D5" s="23">
        <f t="shared" ref="D5:D28" si="26">IFERROR(B5*C5,"  ")</f>
        <v>0</v>
      </c>
      <c r="E5" s="24">
        <f t="shared" si="1"/>
        <v>-9.5</v>
      </c>
      <c r="F5" s="23">
        <f t="shared" ref="F5:F28" si="27">IFERROR(D5*E5,"  ")</f>
        <v>0</v>
      </c>
      <c r="G5" s="23">
        <f t="shared" ref="G5:G28" si="28">IFERROR(F5*E5,"  ")</f>
        <v>0</v>
      </c>
      <c r="H5" s="23">
        <f t="shared" ref="H5:H28" si="29">IFERROR(B5^3,"  ")</f>
        <v>0</v>
      </c>
      <c r="I5" s="23">
        <f t="shared" ref="I5:I28" si="30">IFERROR(H5*C5,"  ")</f>
        <v>0</v>
      </c>
      <c r="J5" s="4"/>
      <c r="K5" s="37">
        <f t="shared" si="2"/>
        <v>0</v>
      </c>
      <c r="L5" s="23">
        <f t="shared" ref="L5:L28" si="31">IFERROR(K5*C5,"  ")</f>
        <v>0</v>
      </c>
      <c r="M5" s="38">
        <f t="shared" si="3"/>
        <v>0</v>
      </c>
      <c r="N5" s="27">
        <f t="shared" ref="N5:N28" si="32">IFERROR(M5*C5,"  ")</f>
        <v>0</v>
      </c>
      <c r="O5" s="23">
        <f t="shared" ref="O5:O28" si="33">IFERROR(L5*E5,"  ")</f>
        <v>0</v>
      </c>
      <c r="P5" s="4"/>
      <c r="Q5" s="8" t="s">
        <v>27</v>
      </c>
      <c r="R5" s="9" t="s">
        <v>8</v>
      </c>
      <c r="S5" s="10">
        <f>BREADTH</f>
        <v>24.5</v>
      </c>
      <c r="W5" s="29">
        <f>IF(AO5="  ","  ",IF(AND(AO4="  ",AO6="  "),"?",IF(AO4="  ",2*(AO6-AO5),IF(AO6="  ",2*(AO5-AO4),2*(AO6-AO4)))))</f>
        <v>2</v>
      </c>
      <c r="X5" s="30" t="str">
        <f t="shared" si="4"/>
        <v>--</v>
      </c>
      <c r="Y5" s="30">
        <f t="shared" si="5"/>
        <v>0</v>
      </c>
      <c r="Z5" s="29" t="b">
        <f t="shared" si="6"/>
        <v>1</v>
      </c>
      <c r="AA5" s="29" t="str">
        <f t="shared" si="7"/>
        <v xml:space="preserve"> </v>
      </c>
      <c r="AB5" s="29" t="str">
        <f t="shared" ca="1" si="8"/>
        <v>--</v>
      </c>
      <c r="AC5" s="29">
        <f t="shared" ref="AC5:AC27" si="34">IF(ISNUMBER(AO5),IF(ISNUMBER(AO5),IF(OR(AO5=0,AO5=Long_Div),1,IF(AO5&gt;Long_Div/2,AC6+1,IF(AO5&lt;=Long_Div/2,AC4+1,"?")))," --")," ")</f>
        <v>2</v>
      </c>
      <c r="AD5" s="29">
        <f t="shared" ca="1" si="9"/>
        <v>0</v>
      </c>
      <c r="AE5" s="29">
        <v>2</v>
      </c>
      <c r="AF5" s="31" t="str">
        <f t="shared" si="10"/>
        <v xml:space="preserve"> </v>
      </c>
      <c r="AG5" s="29" t="str">
        <f t="shared" si="11"/>
        <v xml:space="preserve"> </v>
      </c>
      <c r="AH5" s="30" t="str">
        <f t="shared" si="12"/>
        <v>-</v>
      </c>
      <c r="AI5" s="30" t="str">
        <f t="shared" ca="1" si="13"/>
        <v/>
      </c>
      <c r="AJ5" s="29">
        <f t="shared" ca="1" si="14"/>
        <v>0</v>
      </c>
      <c r="AK5" s="29" t="str">
        <f t="shared" si="15"/>
        <v/>
      </c>
      <c r="AL5" s="29">
        <f t="shared" si="16"/>
        <v>0</v>
      </c>
      <c r="AM5" s="32" t="str">
        <f t="shared" ref="AM5:AM28" ca="1" si="35">IF(AQ5=""," ",AJ5+AL5)</f>
        <v xml:space="preserve"> </v>
      </c>
      <c r="AO5" s="20">
        <f>Tools!$AD4</f>
        <v>0.5</v>
      </c>
      <c r="AP5" s="33">
        <f t="shared" ref="AP5:AP26" si="36">VLOOKUP(AO5,OFFSET_A,Count_WL+1,FALSE)</f>
        <v>0</v>
      </c>
      <c r="AQ5" s="34" t="str">
        <f t="shared" ca="1" si="18"/>
        <v/>
      </c>
      <c r="AR5" s="23" t="str">
        <f t="shared" ca="1" si="19"/>
        <v xml:space="preserve">  </v>
      </c>
      <c r="AS5" s="24">
        <f t="shared" si="20"/>
        <v>-9.5</v>
      </c>
      <c r="AT5" s="23" t="str">
        <f t="shared" ref="AT5:AT28" ca="1" si="37">IFERROR(AR5*AS5,"  ")</f>
        <v xml:space="preserve">  </v>
      </c>
      <c r="AU5" s="23" t="str">
        <f ca="1">IFERROR(AT5*AS5,"  ")</f>
        <v xml:space="preserve">  </v>
      </c>
      <c r="AV5" s="23">
        <f t="shared" si="21"/>
        <v>0</v>
      </c>
      <c r="AW5" s="23" t="str">
        <f t="shared" ca="1" si="22"/>
        <v xml:space="preserve">  </v>
      </c>
      <c r="AY5" s="35">
        <f t="shared" si="23"/>
        <v>0</v>
      </c>
      <c r="AZ5" s="23" t="str">
        <f t="shared" ca="1" si="24"/>
        <v xml:space="preserve">  </v>
      </c>
      <c r="BA5" s="36">
        <f t="shared" si="25"/>
        <v>0</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f t="shared" si="0"/>
        <v>0</v>
      </c>
      <c r="C6" s="22">
        <f>IF(A6="  ","  ",IF(AND(A5="  ",A7="  "),"?",IF(A5="  ",1*(A7-A6),IF(A7="  ",1*(A6-A5),1*(A7-A5)))))</f>
        <v>1</v>
      </c>
      <c r="D6" s="23">
        <f t="shared" si="26"/>
        <v>0</v>
      </c>
      <c r="E6" s="24">
        <f t="shared" si="1"/>
        <v>-9</v>
      </c>
      <c r="F6" s="23">
        <f t="shared" si="27"/>
        <v>0</v>
      </c>
      <c r="G6" s="23">
        <f t="shared" si="28"/>
        <v>0</v>
      </c>
      <c r="H6" s="23">
        <f t="shared" si="29"/>
        <v>0</v>
      </c>
      <c r="I6" s="23">
        <f t="shared" si="30"/>
        <v>0</v>
      </c>
      <c r="J6" s="4"/>
      <c r="K6" s="37">
        <f t="shared" si="2"/>
        <v>0</v>
      </c>
      <c r="L6" s="23">
        <f t="shared" si="31"/>
        <v>0</v>
      </c>
      <c r="M6" s="38">
        <f t="shared" si="3"/>
        <v>0</v>
      </c>
      <c r="N6" s="27">
        <f t="shared" si="32"/>
        <v>0</v>
      </c>
      <c r="O6" s="23">
        <f t="shared" si="33"/>
        <v>0</v>
      </c>
      <c r="P6" s="4"/>
      <c r="Q6" s="8" t="s">
        <v>28</v>
      </c>
      <c r="R6" s="9" t="s">
        <v>8</v>
      </c>
      <c r="S6" s="10">
        <f>DEPTH</f>
        <v>14.19</v>
      </c>
      <c r="W6" s="29">
        <f>IF(AO6="  ","  ",IF(AND(AO5="  ",AO7="  "),"?",IF(AO5="  ",1*(AO7-AO6),IF(AO7="  ",1*(AO6-AO5),1*(AO7-AO5)))))</f>
        <v>1</v>
      </c>
      <c r="X6" s="30" t="str">
        <f t="shared" si="4"/>
        <v>-D</v>
      </c>
      <c r="Y6" s="30" t="str">
        <f t="shared" si="5"/>
        <v>-</v>
      </c>
      <c r="Z6" s="29" t="b">
        <f t="shared" si="6"/>
        <v>1</v>
      </c>
      <c r="AA6" s="29" t="b">
        <f t="shared" si="7"/>
        <v>1</v>
      </c>
      <c r="AB6" s="29" t="str">
        <f t="shared" ca="1" si="8"/>
        <v>141-1</v>
      </c>
      <c r="AC6" s="29">
        <f t="shared" si="34"/>
        <v>3</v>
      </c>
      <c r="AD6" s="29">
        <f t="shared" ca="1" si="9"/>
        <v>1</v>
      </c>
      <c r="AE6" s="29">
        <v>3</v>
      </c>
      <c r="AF6" s="31" t="str">
        <f t="shared" si="10"/>
        <v xml:space="preserve"> </v>
      </c>
      <c r="AG6" s="29" t="b">
        <f t="shared" si="11"/>
        <v>0</v>
      </c>
      <c r="AH6" s="30" t="str">
        <f t="shared" si="12"/>
        <v>-</v>
      </c>
      <c r="AI6" s="30" t="str">
        <f t="shared" ca="1" si="13"/>
        <v>(1/2)*(1/3)</v>
      </c>
      <c r="AJ6" s="29">
        <f t="shared" ca="1" si="14"/>
        <v>0.16666666666666666</v>
      </c>
      <c r="AK6" s="29" t="str">
        <f t="shared" si="15"/>
        <v/>
      </c>
      <c r="AL6" s="29">
        <f t="shared" si="16"/>
        <v>0</v>
      </c>
      <c r="AM6" s="32">
        <f t="shared" ca="1" si="35"/>
        <v>0.16666666666666666</v>
      </c>
      <c r="AO6" s="20">
        <f>Tools!$AD5</f>
        <v>1</v>
      </c>
      <c r="AP6" s="33">
        <f t="shared" si="36"/>
        <v>0</v>
      </c>
      <c r="AQ6" s="34" t="str">
        <f t="shared" ca="1" si="18"/>
        <v>(1/2)*(1/3)</v>
      </c>
      <c r="AR6" s="23">
        <f t="shared" ca="1" si="19"/>
        <v>0</v>
      </c>
      <c r="AS6" s="24">
        <f t="shared" si="20"/>
        <v>-9</v>
      </c>
      <c r="AT6" s="23">
        <f t="shared" ca="1" si="37"/>
        <v>0</v>
      </c>
      <c r="AU6" s="23">
        <f ca="1">IFERROR(AT6*AS6,"  ")</f>
        <v>0</v>
      </c>
      <c r="AV6" s="23">
        <f t="shared" si="21"/>
        <v>0</v>
      </c>
      <c r="AW6" s="23">
        <f t="shared" ca="1" si="22"/>
        <v>0</v>
      </c>
      <c r="AY6" s="35">
        <f t="shared" si="23"/>
        <v>0</v>
      </c>
      <c r="AZ6" s="23">
        <f t="shared" ca="1" si="24"/>
        <v>0</v>
      </c>
      <c r="BA6" s="36">
        <f t="shared" si="25"/>
        <v>0</v>
      </c>
      <c r="BB6" s="27">
        <f t="shared" ca="1" si="38"/>
        <v>0</v>
      </c>
      <c r="BC6" s="23">
        <f t="shared" ca="1" si="39"/>
        <v>0</v>
      </c>
      <c r="BE6" s="8" t="s">
        <v>28</v>
      </c>
      <c r="BF6" s="9" t="s">
        <v>8</v>
      </c>
      <c r="BG6" s="10">
        <f>DEPTH</f>
        <v>14.19</v>
      </c>
    </row>
    <row r="7" spans="1:60" x14ac:dyDescent="0.25">
      <c r="A7" s="20">
        <f>Tools!$AD6</f>
        <v>1.5</v>
      </c>
      <c r="B7" s="33">
        <f t="shared" si="0"/>
        <v>2.4</v>
      </c>
      <c r="C7" s="22">
        <f>IF(A7="  ","  ",IF(AND(A6="  ",A8="  "),"?",IF(A6="  ",2*(A8-A7),IF(A8="  ",2*(A7-A6),2*(A8-A6)))))</f>
        <v>2</v>
      </c>
      <c r="D7" s="23">
        <f t="shared" si="26"/>
        <v>4.8</v>
      </c>
      <c r="E7" s="24">
        <f t="shared" si="1"/>
        <v>-8.5</v>
      </c>
      <c r="F7" s="23">
        <f t="shared" si="27"/>
        <v>-40.799999999999997</v>
      </c>
      <c r="G7" s="23">
        <f t="shared" si="28"/>
        <v>346.79999999999995</v>
      </c>
      <c r="H7" s="23">
        <f t="shared" si="29"/>
        <v>13.824</v>
      </c>
      <c r="I7" s="23">
        <f t="shared" si="30"/>
        <v>27.648</v>
      </c>
      <c r="J7" s="4"/>
      <c r="K7" s="37">
        <f t="shared" si="2"/>
        <v>10.77</v>
      </c>
      <c r="L7" s="23">
        <f t="shared" si="31"/>
        <v>21.54</v>
      </c>
      <c r="M7" s="38">
        <f t="shared" si="3"/>
        <v>58.757999999999996</v>
      </c>
      <c r="N7" s="27">
        <f t="shared" si="32"/>
        <v>117.51599999999999</v>
      </c>
      <c r="O7" s="23">
        <f t="shared" si="33"/>
        <v>-183.09</v>
      </c>
      <c r="P7" s="4"/>
      <c r="Q7" s="39" t="s">
        <v>29</v>
      </c>
      <c r="R7" s="40" t="s">
        <v>8</v>
      </c>
      <c r="S7" s="41">
        <f>IF(MAX(B4:B28)=0," ",2*MAX(B4:B28))</f>
        <v>24.5</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2</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2.4</v>
      </c>
      <c r="AQ7" s="34" t="str">
        <f t="shared" ca="1" si="18"/>
        <v>(1/2)*(4/3)</v>
      </c>
      <c r="AR7" s="23">
        <f t="shared" ca="1" si="19"/>
        <v>1.5999999999999999</v>
      </c>
      <c r="AS7" s="24">
        <f t="shared" si="20"/>
        <v>-8.5</v>
      </c>
      <c r="AT7" s="23">
        <f t="shared" ca="1" si="37"/>
        <v>-13.6</v>
      </c>
      <c r="AU7" s="23">
        <f t="shared" ref="AU7:AU28" ca="1" si="40">IFERROR(AT7*AS7,"  ")</f>
        <v>115.6</v>
      </c>
      <c r="AV7" s="23">
        <f t="shared" si="21"/>
        <v>13.824</v>
      </c>
      <c r="AW7" s="23">
        <f t="shared" ca="1" si="22"/>
        <v>9.2159999999999993</v>
      </c>
      <c r="AY7" s="35">
        <f t="shared" si="23"/>
        <v>10.77</v>
      </c>
      <c r="AZ7" s="23">
        <f t="shared" ca="1" si="24"/>
        <v>7.18</v>
      </c>
      <c r="BA7" s="36">
        <f t="shared" si="25"/>
        <v>58.757999999999996</v>
      </c>
      <c r="BB7" s="27">
        <f t="shared" ca="1" si="38"/>
        <v>39.171999999999997</v>
      </c>
      <c r="BC7" s="23">
        <f t="shared" ca="1" si="39"/>
        <v>-61.03</v>
      </c>
      <c r="BE7" s="8" t="s">
        <v>29</v>
      </c>
      <c r="BF7" s="9" t="s">
        <v>8</v>
      </c>
      <c r="BG7" s="10">
        <f>IF(MAX(AP4:AP28)=0," ",2*MAX(AP4:AP28))</f>
        <v>24.5</v>
      </c>
    </row>
    <row r="8" spans="1:60" x14ac:dyDescent="0.25">
      <c r="A8" s="20">
        <f>Tools!$AD7</f>
        <v>2</v>
      </c>
      <c r="B8" s="33">
        <f t="shared" si="0"/>
        <v>5.5</v>
      </c>
      <c r="C8" s="22">
        <f>IF(A8="  ","  ",IF(AND(A7="  ",A9="  "),"?",IF(A7="  ",1*(A9-A8),IF(A9="  ",1*(A8-A7),1*(A9-A7)))))</f>
        <v>1.5</v>
      </c>
      <c r="D8" s="23">
        <f t="shared" si="26"/>
        <v>8.25</v>
      </c>
      <c r="E8" s="24">
        <f t="shared" si="1"/>
        <v>-8</v>
      </c>
      <c r="F8" s="23">
        <f t="shared" si="27"/>
        <v>-66</v>
      </c>
      <c r="G8" s="23">
        <f t="shared" si="28"/>
        <v>528</v>
      </c>
      <c r="H8" s="23">
        <f t="shared" si="29"/>
        <v>166.375</v>
      </c>
      <c r="I8" s="23">
        <f t="shared" si="30"/>
        <v>249.5625</v>
      </c>
      <c r="J8" s="4"/>
      <c r="K8" s="37">
        <f t="shared" si="2"/>
        <v>28.298999999999999</v>
      </c>
      <c r="L8" s="23">
        <f t="shared" si="31"/>
        <v>42.448499999999996</v>
      </c>
      <c r="M8" s="38">
        <f t="shared" si="3"/>
        <v>141.33993000000001</v>
      </c>
      <c r="N8" s="27">
        <f t="shared" si="32"/>
        <v>212.00989500000003</v>
      </c>
      <c r="O8" s="23">
        <f t="shared" si="33"/>
        <v>-339.58799999999997</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3</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5.5</v>
      </c>
      <c r="AQ8" s="34" t="str">
        <f t="shared" ca="1" si="18"/>
        <v>(1/2)*(1/3)+1/3</v>
      </c>
      <c r="AR8" s="23">
        <f t="shared" ca="1" si="19"/>
        <v>2.75</v>
      </c>
      <c r="AS8" s="24">
        <f t="shared" si="20"/>
        <v>-8</v>
      </c>
      <c r="AT8" s="23">
        <f t="shared" ca="1" si="37"/>
        <v>-22</v>
      </c>
      <c r="AU8" s="23">
        <f t="shared" ca="1" si="40"/>
        <v>176</v>
      </c>
      <c r="AV8" s="23">
        <f t="shared" si="21"/>
        <v>166.375</v>
      </c>
      <c r="AW8" s="23">
        <f t="shared" ca="1" si="22"/>
        <v>83.1875</v>
      </c>
      <c r="AY8" s="35">
        <f t="shared" si="23"/>
        <v>28.298999999999999</v>
      </c>
      <c r="AZ8" s="23">
        <f ca="1">IFERROR(AY8*AM8,"  ")</f>
        <v>14.1495</v>
      </c>
      <c r="BA8" s="36">
        <f t="shared" si="25"/>
        <v>141.33993000000001</v>
      </c>
      <c r="BB8" s="27">
        <f t="shared" ca="1" si="38"/>
        <v>70.669965000000005</v>
      </c>
      <c r="BC8" s="23">
        <f t="shared" ca="1" si="39"/>
        <v>-113.196</v>
      </c>
      <c r="BE8" s="8" t="s">
        <v>30</v>
      </c>
      <c r="BF8" s="9" t="s">
        <v>8</v>
      </c>
      <c r="BG8" s="10">
        <f ca="1">LBP-AJ33</f>
        <v>125.11499999999999</v>
      </c>
      <c r="BH8" t="str">
        <f ca="1">IF(AJ33&gt;0,CONCATENATE("(LWL is assumed between stations ",$AH$31," and ",$AH$33," as offset values extreme to these stations are zeros.)"),"")</f>
        <v>(LWL is assumed between stations 1 and 20 as offset values extreme to these stations are zeros.)</v>
      </c>
    </row>
    <row r="9" spans="1:60" x14ac:dyDescent="0.25">
      <c r="A9" s="20">
        <f>Tools!$AD8</f>
        <v>3</v>
      </c>
      <c r="B9" s="33">
        <f t="shared" si="0"/>
        <v>9.6999999999999993</v>
      </c>
      <c r="C9" s="22">
        <f>IF(A9="  ","  ",IF(AND(A8="  ",A10="  "),"?",IF(A8="  ",2*(A10-A9),IF(A10="  ",2*(A9-A8),2*(A10-A8)))))</f>
        <v>4</v>
      </c>
      <c r="D9" s="23">
        <f t="shared" si="26"/>
        <v>38.799999999999997</v>
      </c>
      <c r="E9" s="24">
        <f t="shared" si="1"/>
        <v>-7</v>
      </c>
      <c r="F9" s="23">
        <f t="shared" si="27"/>
        <v>-271.59999999999997</v>
      </c>
      <c r="G9" s="23">
        <f t="shared" si="28"/>
        <v>1901.1999999999998</v>
      </c>
      <c r="H9" s="23">
        <f t="shared" si="29"/>
        <v>912.67299999999977</v>
      </c>
      <c r="I9" s="23">
        <f t="shared" si="30"/>
        <v>3650.6919999999991</v>
      </c>
      <c r="J9" s="4"/>
      <c r="K9" s="37">
        <f t="shared" si="2"/>
        <v>58.007999999999996</v>
      </c>
      <c r="L9" s="23">
        <f t="shared" si="31"/>
        <v>232.03199999999998</v>
      </c>
      <c r="M9" s="38">
        <f t="shared" si="3"/>
        <v>277.71120000000002</v>
      </c>
      <c r="N9" s="27">
        <f t="shared" si="32"/>
        <v>1110.8448000000001</v>
      </c>
      <c r="O9" s="23">
        <f t="shared" si="33"/>
        <v>-1624.2239999999999</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4</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9.6999999999999993</v>
      </c>
      <c r="AQ9" s="34" t="str">
        <f t="shared" ca="1" si="18"/>
        <v>4/3</v>
      </c>
      <c r="AR9" s="23">
        <f t="shared" ca="1" si="19"/>
        <v>12.933333333333332</v>
      </c>
      <c r="AS9" s="24">
        <f t="shared" si="20"/>
        <v>-7</v>
      </c>
      <c r="AT9" s="23">
        <f t="shared" ca="1" si="37"/>
        <v>-90.533333333333317</v>
      </c>
      <c r="AU9" s="23">
        <f t="shared" ca="1" si="40"/>
        <v>633.73333333333323</v>
      </c>
      <c r="AV9" s="23">
        <f t="shared" si="21"/>
        <v>912.67299999999977</v>
      </c>
      <c r="AW9" s="23">
        <f t="shared" ca="1" si="22"/>
        <v>1216.8973333333329</v>
      </c>
      <c r="AY9" s="35">
        <f t="shared" si="23"/>
        <v>58.007999999999996</v>
      </c>
      <c r="AZ9" s="23">
        <f t="shared" ref="AZ9:AZ28" ca="1" si="41">IFERROR(AY9*AM9,"  ")</f>
        <v>77.343999999999994</v>
      </c>
      <c r="BA9" s="36">
        <f t="shared" si="25"/>
        <v>277.71120000000002</v>
      </c>
      <c r="BB9" s="27">
        <f t="shared" ca="1" si="38"/>
        <v>370.28160000000003</v>
      </c>
      <c r="BC9" s="23">
        <f t="shared" ca="1" si="39"/>
        <v>-541.4079999999999</v>
      </c>
    </row>
    <row r="10" spans="1:60" x14ac:dyDescent="0.25">
      <c r="A10" s="20">
        <f>Tools!$AD9</f>
        <v>4</v>
      </c>
      <c r="B10" s="33">
        <f t="shared" si="0"/>
        <v>11.17</v>
      </c>
      <c r="C10" s="22">
        <f>IF(A10="  ","  ",IF(AND(A9="  ",A11="  "),"?",IF(A9="  ",1*(A11-A10),IF(A11="  ",1*(A10-A9),1*(A11-A9)))))</f>
        <v>2</v>
      </c>
      <c r="D10" s="23">
        <f t="shared" si="26"/>
        <v>22.34</v>
      </c>
      <c r="E10" s="24">
        <f t="shared" si="1"/>
        <v>-6</v>
      </c>
      <c r="F10" s="23">
        <f t="shared" si="27"/>
        <v>-134.04</v>
      </c>
      <c r="G10" s="23">
        <f t="shared" si="28"/>
        <v>804.24</v>
      </c>
      <c r="H10" s="23">
        <f t="shared" si="29"/>
        <v>1393.6686130000001</v>
      </c>
      <c r="I10" s="23">
        <f>IFERROR(H10*C10,"  ")</f>
        <v>2787.3372260000001</v>
      </c>
      <c r="J10" s="4"/>
      <c r="K10" s="37">
        <f t="shared" si="2"/>
        <v>92.627999999999986</v>
      </c>
      <c r="L10" s="23">
        <f t="shared" si="31"/>
        <v>185.25599999999997</v>
      </c>
      <c r="M10" s="38">
        <f t="shared" si="3"/>
        <v>419.32079999999996</v>
      </c>
      <c r="N10" s="27">
        <f t="shared" si="32"/>
        <v>838.64159999999993</v>
      </c>
      <c r="O10" s="23">
        <f t="shared" si="33"/>
        <v>-1111.5359999999998</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5</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11.17</v>
      </c>
      <c r="AQ10" s="34" t="str">
        <f t="shared" ca="1" si="18"/>
        <v>2/3</v>
      </c>
      <c r="AR10" s="23">
        <f t="shared" ca="1" si="19"/>
        <v>7.4466666666666663</v>
      </c>
      <c r="AS10" s="24">
        <f t="shared" si="20"/>
        <v>-6</v>
      </c>
      <c r="AT10" s="23">
        <f t="shared" ca="1" si="37"/>
        <v>-44.68</v>
      </c>
      <c r="AU10" s="23">
        <f ca="1">IFERROR(AT10*AS10,"  ")</f>
        <v>268.08</v>
      </c>
      <c r="AV10" s="23">
        <f t="shared" si="21"/>
        <v>1393.6686130000001</v>
      </c>
      <c r="AW10" s="23">
        <f t="shared" ca="1" si="22"/>
        <v>929.11240866666662</v>
      </c>
      <c r="AY10" s="35">
        <f t="shared" si="23"/>
        <v>92.627999999999986</v>
      </c>
      <c r="AZ10" s="23">
        <f t="shared" ca="1" si="41"/>
        <v>61.751999999999988</v>
      </c>
      <c r="BA10" s="36">
        <f t="shared" si="25"/>
        <v>419.32079999999996</v>
      </c>
      <c r="BB10" s="27">
        <f t="shared" ca="1" si="38"/>
        <v>279.54719999999998</v>
      </c>
      <c r="BC10" s="23">
        <f t="shared" ca="1" si="39"/>
        <v>-370.51199999999994</v>
      </c>
      <c r="BE10" s="43" t="s">
        <v>31</v>
      </c>
      <c r="BF10" s="44" t="s">
        <v>32</v>
      </c>
      <c r="BG10" s="506" t="s">
        <v>33</v>
      </c>
    </row>
    <row r="11" spans="1:60" x14ac:dyDescent="0.25">
      <c r="A11" s="20">
        <f>Tools!$AD10</f>
        <v>5</v>
      </c>
      <c r="B11" s="33">
        <f t="shared" si="0"/>
        <v>11.95</v>
      </c>
      <c r="C11" s="22">
        <f>IF(A11="  ","  ",IF(AND(A10="  ",A12="  "),"?",IF(A10="  ",2*(A12-A11),IF(A12="  ",2*(A11-A10),2*(A12-A10)))))</f>
        <v>4</v>
      </c>
      <c r="D11" s="23">
        <f t="shared" si="26"/>
        <v>47.8</v>
      </c>
      <c r="E11" s="24">
        <f t="shared" si="1"/>
        <v>-5</v>
      </c>
      <c r="F11" s="23">
        <f t="shared" si="27"/>
        <v>-239</v>
      </c>
      <c r="G11" s="23">
        <f t="shared" si="28"/>
        <v>1195</v>
      </c>
      <c r="H11" s="23">
        <f t="shared" si="29"/>
        <v>1706.4898749999998</v>
      </c>
      <c r="I11" s="23">
        <f t="shared" si="30"/>
        <v>6825.959499999999</v>
      </c>
      <c r="J11" s="4"/>
      <c r="K11" s="37">
        <f t="shared" si="2"/>
        <v>121.626</v>
      </c>
      <c r="L11" s="23">
        <f t="shared" si="31"/>
        <v>486.50400000000002</v>
      </c>
      <c r="M11" s="38">
        <f t="shared" si="3"/>
        <v>522.07200000000012</v>
      </c>
      <c r="N11" s="27">
        <f t="shared" si="32"/>
        <v>2088.2880000000005</v>
      </c>
      <c r="O11" s="23">
        <f t="shared" si="33"/>
        <v>-2432.52</v>
      </c>
      <c r="P11" s="4"/>
      <c r="Q11" s="47" t="s">
        <v>34</v>
      </c>
      <c r="R11" s="48" t="s">
        <v>35</v>
      </c>
      <c r="S11">
        <f>IF(Tools!$L$49="Use 141 rule only",I35,IF(Tools!$L$49="Use 141 and 1331 rules",BG12," "))</f>
        <v>2323.3416499999994</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6</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11.95</v>
      </c>
      <c r="AQ11" s="34" t="str">
        <f t="shared" ca="1" si="18"/>
        <v>4/3</v>
      </c>
      <c r="AR11" s="23">
        <f t="shared" ca="1" si="19"/>
        <v>15.933333333333332</v>
      </c>
      <c r="AS11" s="24">
        <f t="shared" si="20"/>
        <v>-5</v>
      </c>
      <c r="AT11" s="23">
        <f t="shared" ca="1" si="37"/>
        <v>-79.666666666666657</v>
      </c>
      <c r="AU11" s="23">
        <f t="shared" ca="1" si="40"/>
        <v>398.33333333333326</v>
      </c>
      <c r="AV11" s="23">
        <f t="shared" si="21"/>
        <v>1706.4898749999998</v>
      </c>
      <c r="AW11" s="23">
        <f t="shared" ca="1" si="22"/>
        <v>2275.319833333333</v>
      </c>
      <c r="AY11" s="35">
        <f t="shared" si="23"/>
        <v>121.626</v>
      </c>
      <c r="AZ11" s="23">
        <f t="shared" ca="1" si="41"/>
        <v>162.16800000000001</v>
      </c>
      <c r="BA11" s="36">
        <f t="shared" si="25"/>
        <v>522.07200000000012</v>
      </c>
      <c r="BB11" s="27">
        <f t="shared" ca="1" si="38"/>
        <v>696.09600000000012</v>
      </c>
      <c r="BC11" s="23">
        <f ca="1">IFERROR(AZ11*AS11,"  ")</f>
        <v>-810.84</v>
      </c>
      <c r="BE11" s="45"/>
      <c r="BF11" s="46"/>
      <c r="BG11" s="507"/>
    </row>
    <row r="12" spans="1:60" x14ac:dyDescent="0.25">
      <c r="A12" s="20">
        <f>Tools!$AD11</f>
        <v>6</v>
      </c>
      <c r="B12" s="33">
        <f t="shared" si="0"/>
        <v>12.25</v>
      </c>
      <c r="C12" s="22">
        <f>IF(A12="  ","  ",IF(AND(A11="  ",A13="  "),"?",IF(A11="  ",1*(A13-A12),IF(A13="  ",1*(A12-A11),1*(A13-A11)))))</f>
        <v>2</v>
      </c>
      <c r="D12" s="23">
        <f t="shared" si="26"/>
        <v>24.5</v>
      </c>
      <c r="E12" s="24">
        <f t="shared" si="1"/>
        <v>-4</v>
      </c>
      <c r="F12" s="23">
        <f t="shared" si="27"/>
        <v>-98</v>
      </c>
      <c r="G12" s="23">
        <f t="shared" si="28"/>
        <v>392</v>
      </c>
      <c r="H12" s="23">
        <f t="shared" si="29"/>
        <v>1838.265625</v>
      </c>
      <c r="I12" s="23">
        <f t="shared" si="30"/>
        <v>3676.53125</v>
      </c>
      <c r="J12" s="4"/>
      <c r="K12" s="37">
        <f t="shared" si="2"/>
        <v>142.524</v>
      </c>
      <c r="L12" s="23">
        <f t="shared" si="31"/>
        <v>285.048</v>
      </c>
      <c r="M12" s="38">
        <f t="shared" si="3"/>
        <v>582.74640000000011</v>
      </c>
      <c r="N12" s="27">
        <f t="shared" si="32"/>
        <v>1165.4928000000002</v>
      </c>
      <c r="O12" s="23">
        <f t="shared" si="33"/>
        <v>-1140.192</v>
      </c>
      <c r="P12" s="4"/>
      <c r="Q12" s="47" t="s">
        <v>36</v>
      </c>
      <c r="R12" s="48" t="s">
        <v>37</v>
      </c>
      <c r="S12">
        <f>IF(Tools!$L$49="Use 141 rule only",I36,IF(Tools!$L$49="Use 141 and 1331 rules",BG13," "))</f>
        <v>-5397.7297679999956</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7</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12.25</v>
      </c>
      <c r="AQ12" s="34" t="str">
        <f t="shared" ca="1" si="18"/>
        <v>2/3</v>
      </c>
      <c r="AR12" s="23">
        <f t="shared" ca="1" si="19"/>
        <v>8.1666666666666661</v>
      </c>
      <c r="AS12" s="24">
        <f t="shared" si="20"/>
        <v>-4</v>
      </c>
      <c r="AT12" s="23">
        <f t="shared" ca="1" si="37"/>
        <v>-32.666666666666664</v>
      </c>
      <c r="AU12" s="23">
        <f t="shared" ca="1" si="40"/>
        <v>130.66666666666666</v>
      </c>
      <c r="AV12" s="23">
        <f t="shared" si="21"/>
        <v>1838.265625</v>
      </c>
      <c r="AW12" s="23">
        <f t="shared" ca="1" si="22"/>
        <v>1225.5104166666665</v>
      </c>
      <c r="AY12" s="35">
        <f t="shared" si="23"/>
        <v>142.524</v>
      </c>
      <c r="AZ12" s="23">
        <f t="shared" ca="1" si="41"/>
        <v>95.015999999999991</v>
      </c>
      <c r="BA12" s="36">
        <f t="shared" si="25"/>
        <v>582.74640000000011</v>
      </c>
      <c r="BB12" s="27">
        <f t="shared" ca="1" si="38"/>
        <v>388.49760000000003</v>
      </c>
      <c r="BC12" s="23">
        <f t="shared" ca="1" si="39"/>
        <v>-380.06399999999996</v>
      </c>
      <c r="BE12" s="47" t="s">
        <v>34</v>
      </c>
      <c r="BF12" s="48" t="s">
        <v>38</v>
      </c>
      <c r="BG12" s="49">
        <f ca="1">IF(WL_No="  ","  ",2*h*$AR$29)</f>
        <v>2323.3416499999994</v>
      </c>
    </row>
    <row r="13" spans="1:60" x14ac:dyDescent="0.25">
      <c r="A13" s="20">
        <f>Tools!$AD12</f>
        <v>7</v>
      </c>
      <c r="B13" s="33">
        <f t="shared" si="0"/>
        <v>12.25</v>
      </c>
      <c r="C13" s="22">
        <f>IF(A13="  ","  ",IF(AND(A12="  ",A14="  "),"?",IF(A12="  ",2*(A14-A13),IF(A14="  ",2*(A13-A12),2*(A14-A12)))))</f>
        <v>4</v>
      </c>
      <c r="D13" s="23">
        <f t="shared" si="26"/>
        <v>49</v>
      </c>
      <c r="E13" s="24">
        <f t="shared" si="1"/>
        <v>-3</v>
      </c>
      <c r="F13" s="23">
        <f t="shared" si="27"/>
        <v>-147</v>
      </c>
      <c r="G13" s="23">
        <f t="shared" si="28"/>
        <v>441</v>
      </c>
      <c r="H13" s="23">
        <f t="shared" si="29"/>
        <v>1838.265625</v>
      </c>
      <c r="I13" s="23">
        <f t="shared" si="30"/>
        <v>7353.0625</v>
      </c>
      <c r="J13" s="4"/>
      <c r="K13" s="37">
        <f t="shared" si="2"/>
        <v>156.97800000000001</v>
      </c>
      <c r="L13" s="23">
        <f t="shared" si="31"/>
        <v>627.91200000000003</v>
      </c>
      <c r="M13" s="38">
        <f t="shared" si="3"/>
        <v>613.80720000000008</v>
      </c>
      <c r="N13" s="27">
        <f t="shared" si="32"/>
        <v>2455.2288000000003</v>
      </c>
      <c r="O13" s="23">
        <f t="shared" si="33"/>
        <v>-1883.7360000000001</v>
      </c>
      <c r="P13" s="4"/>
      <c r="Q13" s="50" t="s">
        <v>39</v>
      </c>
      <c r="R13" s="48" t="s">
        <v>40</v>
      </c>
      <c r="S13">
        <f>IF(Tools!$L$49="Use 141 rule only",I37,IF(Tools!$L$49="Use 141 and 1331 rules",BG14," "))</f>
        <v>-2.3232613111377729</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8</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12.25</v>
      </c>
      <c r="AQ13" s="34" t="str">
        <f t="shared" ca="1" si="18"/>
        <v>4/3</v>
      </c>
      <c r="AR13" s="23">
        <f t="shared" ca="1" si="19"/>
        <v>16.333333333333332</v>
      </c>
      <c r="AS13" s="24">
        <f t="shared" si="20"/>
        <v>-3</v>
      </c>
      <c r="AT13" s="23">
        <f t="shared" ca="1" si="37"/>
        <v>-49</v>
      </c>
      <c r="AU13" s="23">
        <f t="shared" ca="1" si="40"/>
        <v>147</v>
      </c>
      <c r="AV13" s="23">
        <f t="shared" si="21"/>
        <v>1838.265625</v>
      </c>
      <c r="AW13" s="23">
        <f t="shared" ca="1" si="22"/>
        <v>2451.020833333333</v>
      </c>
      <c r="AY13" s="35">
        <f t="shared" si="23"/>
        <v>156.97800000000001</v>
      </c>
      <c r="AZ13" s="23">
        <f t="shared" ca="1" si="41"/>
        <v>209.304</v>
      </c>
      <c r="BA13" s="36">
        <f t="shared" si="25"/>
        <v>613.80720000000008</v>
      </c>
      <c r="BB13" s="27">
        <f t="shared" ca="1" si="38"/>
        <v>818.40960000000007</v>
      </c>
      <c r="BC13" s="23">
        <f t="shared" ca="1" si="39"/>
        <v>-627.91200000000003</v>
      </c>
      <c r="BE13" s="47" t="s">
        <v>36</v>
      </c>
      <c r="BF13" s="48" t="s">
        <v>41</v>
      </c>
      <c r="BG13" s="49">
        <f ca="1">IF(WL_No="  ","  ",2*(h^2)*$AT$29)</f>
        <v>-5397.7297679999956</v>
      </c>
    </row>
    <row r="14" spans="1:60" x14ac:dyDescent="0.25">
      <c r="A14" s="20">
        <f>Tools!$AD13</f>
        <v>8</v>
      </c>
      <c r="B14" s="33">
        <f t="shared" si="0"/>
        <v>12.25</v>
      </c>
      <c r="C14" s="22">
        <f>IF(A14="  ","  ",IF(AND(A13="  ",A15="  "),"?",IF(A13="  ",1*(A15-A14),IF(A15="  ",1*(A14-A13),1*(A15-A13)))))</f>
        <v>2</v>
      </c>
      <c r="D14" s="23">
        <f t="shared" si="26"/>
        <v>24.5</v>
      </c>
      <c r="E14" s="24">
        <f t="shared" si="1"/>
        <v>-2</v>
      </c>
      <c r="F14" s="23">
        <f t="shared" si="27"/>
        <v>-49</v>
      </c>
      <c r="G14" s="23">
        <f t="shared" si="28"/>
        <v>98</v>
      </c>
      <c r="H14" s="23">
        <f t="shared" si="29"/>
        <v>1838.265625</v>
      </c>
      <c r="I14" s="23">
        <f t="shared" si="30"/>
        <v>3676.53125</v>
      </c>
      <c r="J14" s="4"/>
      <c r="K14" s="37">
        <f t="shared" si="2"/>
        <v>165.52800000000002</v>
      </c>
      <c r="L14" s="23">
        <f t="shared" si="31"/>
        <v>331.05600000000004</v>
      </c>
      <c r="M14" s="38">
        <f t="shared" si="3"/>
        <v>625.86000000000013</v>
      </c>
      <c r="N14" s="27">
        <f t="shared" si="32"/>
        <v>1251.7200000000003</v>
      </c>
      <c r="O14" s="23">
        <f t="shared" si="33"/>
        <v>-662.11200000000008</v>
      </c>
      <c r="P14" s="4"/>
      <c r="Q14" s="50" t="s">
        <v>42</v>
      </c>
      <c r="R14" s="48" t="s">
        <v>43</v>
      </c>
      <c r="S14">
        <f>IF(Tools!$L$49="Use 141 rule only",I38,IF(Tools!$L$49="Use 141 and 1331 rules",BG15," "))</f>
        <v>1992753.054862356</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9</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12.25</v>
      </c>
      <c r="AQ14" s="34" t="str">
        <f t="shared" ca="1" si="18"/>
        <v>2/3</v>
      </c>
      <c r="AR14" s="23">
        <f t="shared" ca="1" si="19"/>
        <v>8.1666666666666661</v>
      </c>
      <c r="AS14" s="24">
        <f t="shared" si="20"/>
        <v>-2</v>
      </c>
      <c r="AT14" s="23">
        <f t="shared" ca="1" si="37"/>
        <v>-16.333333333333332</v>
      </c>
      <c r="AU14" s="23">
        <f t="shared" ca="1" si="40"/>
        <v>32.666666666666664</v>
      </c>
      <c r="AV14" s="23">
        <f t="shared" si="21"/>
        <v>1838.265625</v>
      </c>
      <c r="AW14" s="23">
        <f t="shared" ca="1" si="22"/>
        <v>1225.5104166666665</v>
      </c>
      <c r="AY14" s="35">
        <f t="shared" si="23"/>
        <v>165.52800000000002</v>
      </c>
      <c r="AZ14" s="23">
        <f t="shared" ca="1" si="41"/>
        <v>110.352</v>
      </c>
      <c r="BA14" s="36">
        <f t="shared" si="25"/>
        <v>625.86000000000013</v>
      </c>
      <c r="BB14" s="27">
        <f t="shared" ca="1" si="38"/>
        <v>417.24000000000007</v>
      </c>
      <c r="BC14" s="23">
        <f t="shared" ca="1" si="39"/>
        <v>-220.70400000000001</v>
      </c>
      <c r="BE14" s="50" t="s">
        <v>39</v>
      </c>
      <c r="BF14" s="48" t="s">
        <v>40</v>
      </c>
      <c r="BG14" s="49">
        <f>IF(WL_No="  ","  ",Mmid/AWP)</f>
        <v>-2.3232613111377729</v>
      </c>
    </row>
    <row r="15" spans="1:60" x14ac:dyDescent="0.25">
      <c r="A15" s="20">
        <f>Tools!$AD14</f>
        <v>9</v>
      </c>
      <c r="B15" s="33">
        <f t="shared" si="0"/>
        <v>12.25</v>
      </c>
      <c r="C15" s="22">
        <f>IF(A15="  ","  ",IF(AND(A14="  ",A16="  "),"?",IF(A14="  ",2*(A16-A15),IF(A16="  ",2*(A15-A14),2*(A16-A14)))))</f>
        <v>4</v>
      </c>
      <c r="D15" s="23">
        <f t="shared" si="26"/>
        <v>49</v>
      </c>
      <c r="E15" s="24">
        <f t="shared" si="1"/>
        <v>-1</v>
      </c>
      <c r="F15" s="23">
        <f t="shared" si="27"/>
        <v>-49</v>
      </c>
      <c r="G15" s="23">
        <f t="shared" si="28"/>
        <v>49</v>
      </c>
      <c r="H15" s="23">
        <f t="shared" si="29"/>
        <v>1838.265625</v>
      </c>
      <c r="I15" s="23">
        <f t="shared" si="30"/>
        <v>7353.0625</v>
      </c>
      <c r="J15" s="4"/>
      <c r="K15" s="37">
        <f t="shared" si="2"/>
        <v>168.89400000000001</v>
      </c>
      <c r="L15" s="23">
        <f t="shared" si="31"/>
        <v>675.57600000000002</v>
      </c>
      <c r="M15" s="38">
        <f t="shared" si="3"/>
        <v>629.87760000000003</v>
      </c>
      <c r="N15" s="27">
        <f t="shared" si="32"/>
        <v>2519.5104000000001</v>
      </c>
      <c r="O15" s="23">
        <f t="shared" si="33"/>
        <v>-675.57600000000002</v>
      </c>
      <c r="P15" s="4"/>
      <c r="Q15" s="51" t="s">
        <v>44</v>
      </c>
      <c r="R15" s="48" t="s">
        <v>45</v>
      </c>
      <c r="S15">
        <f>IF(Tools!$L$49="Use 141 rule only",I39,IF(Tools!$L$49="Use 141 and 1331 rules",BG16," "))</f>
        <v>95489.11782915167</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10</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12.25</v>
      </c>
      <c r="AQ15" s="34" t="str">
        <f t="shared" ca="1" si="18"/>
        <v>4/3</v>
      </c>
      <c r="AR15" s="23">
        <f t="shared" ca="1" si="19"/>
        <v>16.333333333333332</v>
      </c>
      <c r="AS15" s="24">
        <f t="shared" si="20"/>
        <v>-1</v>
      </c>
      <c r="AT15" s="23">
        <f t="shared" ca="1" si="37"/>
        <v>-16.333333333333332</v>
      </c>
      <c r="AU15" s="23">
        <f t="shared" ca="1" si="40"/>
        <v>16.333333333333332</v>
      </c>
      <c r="AV15" s="23">
        <f t="shared" si="21"/>
        <v>1838.265625</v>
      </c>
      <c r="AW15" s="23">
        <f t="shared" ca="1" si="22"/>
        <v>2451.020833333333</v>
      </c>
      <c r="AY15" s="35">
        <f t="shared" si="23"/>
        <v>168.89400000000001</v>
      </c>
      <c r="AZ15" s="23">
        <f t="shared" ca="1" si="41"/>
        <v>225.19200000000001</v>
      </c>
      <c r="BA15" s="36">
        <f t="shared" si="25"/>
        <v>629.87760000000003</v>
      </c>
      <c r="BB15" s="27">
        <f ca="1">IFERROR(BA15*AM15,"  ")</f>
        <v>839.83680000000004</v>
      </c>
      <c r="BC15" s="23">
        <f t="shared" ca="1" si="39"/>
        <v>-225.19200000000001</v>
      </c>
      <c r="BE15" s="50" t="s">
        <v>42</v>
      </c>
      <c r="BF15" s="48" t="s">
        <v>46</v>
      </c>
      <c r="BG15" s="49">
        <f ca="1">IF(WL_No="  ","  ",2*(h^3)*$AU$29)</f>
        <v>1992753.0548623567</v>
      </c>
    </row>
    <row r="16" spans="1:60" x14ac:dyDescent="0.25">
      <c r="A16" s="20">
        <f>Tools!$AD15</f>
        <v>10</v>
      </c>
      <c r="B16" s="33">
        <f t="shared" si="0"/>
        <v>12.25</v>
      </c>
      <c r="C16" s="22">
        <f>IF(A16="  ","  ",IF(AND(A15="  ",A17="  "),"?",IF(A15="  ",1*(A17-A16),IF(A17="  ",1*(A16-A15),1*(A17-A15)))))</f>
        <v>2</v>
      </c>
      <c r="D16" s="23">
        <f t="shared" si="26"/>
        <v>24.5</v>
      </c>
      <c r="E16" s="24">
        <f t="shared" si="1"/>
        <v>0</v>
      </c>
      <c r="F16" s="23">
        <f t="shared" si="27"/>
        <v>0</v>
      </c>
      <c r="G16" s="23">
        <f t="shared" si="28"/>
        <v>0</v>
      </c>
      <c r="H16" s="23">
        <f t="shared" si="29"/>
        <v>1838.265625</v>
      </c>
      <c r="I16" s="23">
        <f t="shared" si="30"/>
        <v>3676.53125</v>
      </c>
      <c r="J16" s="4"/>
      <c r="K16" s="37">
        <f t="shared" si="2"/>
        <v>169.76400000000001</v>
      </c>
      <c r="L16" s="23">
        <f t="shared" si="31"/>
        <v>339.52800000000002</v>
      </c>
      <c r="M16" s="38">
        <f t="shared" si="3"/>
        <v>630.22320000000002</v>
      </c>
      <c r="N16" s="27">
        <f t="shared" si="32"/>
        <v>1260.4464</v>
      </c>
      <c r="O16" s="23">
        <f t="shared" si="33"/>
        <v>0</v>
      </c>
      <c r="P16" s="4"/>
      <c r="Q16" s="50" t="s">
        <v>47</v>
      </c>
      <c r="R16" s="48" t="s">
        <v>48</v>
      </c>
      <c r="S16">
        <f>IF(Tools!$L$49="Use 141 rule only",I40,IF(Tools!$L$49="Use 141 and 1331 rules",BG17," "))</f>
        <v>1980212.718124385</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11</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12.25</v>
      </c>
      <c r="AQ16" s="34" t="str">
        <f t="shared" ca="1" si="18"/>
        <v>2/3</v>
      </c>
      <c r="AR16" s="23">
        <f t="shared" ca="1" si="19"/>
        <v>8.1666666666666661</v>
      </c>
      <c r="AS16" s="24">
        <f t="shared" si="20"/>
        <v>0</v>
      </c>
      <c r="AT16" s="23">
        <f t="shared" ca="1" si="37"/>
        <v>0</v>
      </c>
      <c r="AU16" s="23">
        <f t="shared" ca="1" si="40"/>
        <v>0</v>
      </c>
      <c r="AV16" s="23">
        <f t="shared" si="21"/>
        <v>1838.265625</v>
      </c>
      <c r="AW16" s="23">
        <f t="shared" ca="1" si="22"/>
        <v>1225.5104166666665</v>
      </c>
      <c r="AY16" s="35">
        <f t="shared" si="23"/>
        <v>169.76400000000001</v>
      </c>
      <c r="AZ16" s="23">
        <f t="shared" ca="1" si="41"/>
        <v>113.176</v>
      </c>
      <c r="BA16" s="36">
        <f t="shared" si="25"/>
        <v>630.22320000000002</v>
      </c>
      <c r="BB16" s="27">
        <f t="shared" ca="1" si="38"/>
        <v>420.14879999999999</v>
      </c>
      <c r="BC16" s="23">
        <f ca="1">IFERROR(AZ16*AS16,"  ")</f>
        <v>0</v>
      </c>
      <c r="BE16" s="51" t="s">
        <v>44</v>
      </c>
      <c r="BF16" s="48" t="s">
        <v>49</v>
      </c>
      <c r="BG16" s="49">
        <f ca="1">IF(WL_No="  ","  ",2/3*h*$AW$29)</f>
        <v>95489.117829151655</v>
      </c>
    </row>
    <row r="17" spans="1:59" x14ac:dyDescent="0.25">
      <c r="A17" s="20">
        <f>Tools!$AD16</f>
        <v>11</v>
      </c>
      <c r="B17" s="33">
        <f t="shared" si="0"/>
        <v>12.25</v>
      </c>
      <c r="C17" s="22">
        <f>IF(A17="  ","  ",IF(AND(A16="  ",A18="  "),"?",IF(A16="  ",2*(A18-A17),IF(A18="  ",2*(A17-A16),2*(A18-A16)))))</f>
        <v>4</v>
      </c>
      <c r="D17" s="23">
        <f t="shared" si="26"/>
        <v>49</v>
      </c>
      <c r="E17" s="24">
        <f t="shared" si="1"/>
        <v>1</v>
      </c>
      <c r="F17" s="23">
        <f t="shared" si="27"/>
        <v>49</v>
      </c>
      <c r="G17" s="23">
        <f t="shared" si="28"/>
        <v>49</v>
      </c>
      <c r="H17" s="23">
        <f t="shared" si="29"/>
        <v>1838.265625</v>
      </c>
      <c r="I17" s="23">
        <f t="shared" si="30"/>
        <v>7353.0625</v>
      </c>
      <c r="J17" s="4"/>
      <c r="K17" s="37">
        <f t="shared" si="2"/>
        <v>169.03800000000001</v>
      </c>
      <c r="L17" s="23">
        <f t="shared" si="31"/>
        <v>676.15200000000004</v>
      </c>
      <c r="M17" s="38">
        <f t="shared" si="3"/>
        <v>628.60320000000013</v>
      </c>
      <c r="N17" s="27">
        <f t="shared" si="32"/>
        <v>2514.4128000000005</v>
      </c>
      <c r="O17" s="23">
        <f t="shared" si="33"/>
        <v>676.15200000000004</v>
      </c>
      <c r="P17" s="4"/>
      <c r="Q17" s="50" t="s">
        <v>50</v>
      </c>
      <c r="R17" s="48" t="s">
        <v>51</v>
      </c>
      <c r="S17">
        <f>IF(Tools!$L$49="Use 141 rule only",I41,IF(Tools!$L$49="Use 141 and 1331 rules",BG18," "))</f>
        <v>13484.133583750001</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12.25</v>
      </c>
      <c r="AQ17" s="34" t="str">
        <f t="shared" ca="1" si="18"/>
        <v>4/3</v>
      </c>
      <c r="AR17" s="23">
        <f t="shared" ca="1" si="19"/>
        <v>16.333333333333332</v>
      </c>
      <c r="AS17" s="24">
        <f t="shared" si="20"/>
        <v>1</v>
      </c>
      <c r="AT17" s="23">
        <f t="shared" ca="1" si="37"/>
        <v>16.333333333333332</v>
      </c>
      <c r="AU17" s="23">
        <f t="shared" ca="1" si="40"/>
        <v>16.333333333333332</v>
      </c>
      <c r="AV17" s="23">
        <f t="shared" si="21"/>
        <v>1838.265625</v>
      </c>
      <c r="AW17" s="23">
        <f t="shared" ca="1" si="22"/>
        <v>2451.020833333333</v>
      </c>
      <c r="AY17" s="35">
        <f t="shared" si="23"/>
        <v>169.03800000000001</v>
      </c>
      <c r="AZ17" s="23">
        <f t="shared" ca="1" si="41"/>
        <v>225.38400000000001</v>
      </c>
      <c r="BA17" s="36">
        <f t="shared" si="25"/>
        <v>628.60320000000013</v>
      </c>
      <c r="BB17" s="27">
        <f t="shared" ca="1" si="38"/>
        <v>838.13760000000013</v>
      </c>
      <c r="BC17" s="23">
        <f t="shared" ca="1" si="39"/>
        <v>225.38400000000001</v>
      </c>
      <c r="BE17" s="50" t="s">
        <v>47</v>
      </c>
      <c r="BF17" s="48" t="s">
        <v>48</v>
      </c>
      <c r="BG17" s="49">
        <f>IF(WL_No="  ","  ",IL-AWP*(LCF^2))</f>
        <v>1980212.718124385</v>
      </c>
    </row>
    <row r="18" spans="1:59" x14ac:dyDescent="0.25">
      <c r="A18" s="20">
        <f>Tools!$AD17</f>
        <v>12</v>
      </c>
      <c r="B18" s="33">
        <f t="shared" si="0"/>
        <v>12.25</v>
      </c>
      <c r="C18" s="22">
        <f>IF(A18="  ","  ",IF(AND(A17="  ",A19="  "),"?",IF(A17="  ",1*(A19-A18),IF(A19="  ",1*(A18-A17),1*(A19-A17)))))</f>
        <v>2</v>
      </c>
      <c r="D18" s="23">
        <f t="shared" si="26"/>
        <v>24.5</v>
      </c>
      <c r="E18" s="24">
        <f t="shared" si="1"/>
        <v>2</v>
      </c>
      <c r="F18" s="23">
        <f t="shared" si="27"/>
        <v>49</v>
      </c>
      <c r="G18" s="23">
        <f t="shared" si="28"/>
        <v>98</v>
      </c>
      <c r="H18" s="23">
        <f t="shared" si="29"/>
        <v>1838.265625</v>
      </c>
      <c r="I18" s="23">
        <f t="shared" si="30"/>
        <v>3676.53125</v>
      </c>
      <c r="J18" s="4"/>
      <c r="K18" s="37">
        <f t="shared" si="2"/>
        <v>164.70599999999999</v>
      </c>
      <c r="L18" s="23">
        <f t="shared" si="31"/>
        <v>329.41199999999998</v>
      </c>
      <c r="M18" s="38">
        <f t="shared" si="3"/>
        <v>620.28719999999998</v>
      </c>
      <c r="N18" s="27">
        <f t="shared" si="32"/>
        <v>1240.5744</v>
      </c>
      <c r="O18" s="23">
        <f t="shared" si="33"/>
        <v>658.82399999999996</v>
      </c>
      <c r="P18" s="4"/>
      <c r="Q18" s="50" t="s">
        <v>52</v>
      </c>
      <c r="R18" s="48" t="s">
        <v>53</v>
      </c>
      <c r="S18">
        <f>IF(Tools!$L$49="Use 141 rule only",I42,IF(Tools!$L$49="Use 141 and 1331 rules",BG19," "))</f>
        <v>13904.164344883811</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12.25</v>
      </c>
      <c r="AQ18" s="34" t="str">
        <f t="shared" ca="1" si="18"/>
        <v>2/3</v>
      </c>
      <c r="AR18" s="23">
        <f t="shared" ca="1" si="19"/>
        <v>8.1666666666666661</v>
      </c>
      <c r="AS18" s="24">
        <f t="shared" si="20"/>
        <v>2</v>
      </c>
      <c r="AT18" s="23">
        <f t="shared" ca="1" si="37"/>
        <v>16.333333333333332</v>
      </c>
      <c r="AU18" s="23">
        <f t="shared" ca="1" si="40"/>
        <v>32.666666666666664</v>
      </c>
      <c r="AV18" s="23">
        <f t="shared" si="21"/>
        <v>1838.265625</v>
      </c>
      <c r="AW18" s="23">
        <f t="shared" ca="1" si="22"/>
        <v>1225.5104166666665</v>
      </c>
      <c r="AY18" s="35">
        <f t="shared" si="23"/>
        <v>164.70599999999999</v>
      </c>
      <c r="AZ18" s="23">
        <f t="shared" ca="1" si="41"/>
        <v>109.80399999999999</v>
      </c>
      <c r="BA18" s="36">
        <f t="shared" si="25"/>
        <v>620.28719999999998</v>
      </c>
      <c r="BB18" s="27">
        <f t="shared" ca="1" si="38"/>
        <v>413.52479999999997</v>
      </c>
      <c r="BC18" s="23">
        <f t="shared" ca="1" si="39"/>
        <v>219.60799999999998</v>
      </c>
      <c r="BE18" s="50" t="s">
        <v>50</v>
      </c>
      <c r="BF18" s="48" t="s">
        <v>54</v>
      </c>
      <c r="BG18" s="49">
        <f ca="1">IF(WL_No="  ","  ",h*$AZ$29)</f>
        <v>13484.133583749999</v>
      </c>
    </row>
    <row r="19" spans="1:59" x14ac:dyDescent="0.25">
      <c r="A19" s="20">
        <f>Tools!$AD18</f>
        <v>13</v>
      </c>
      <c r="B19" s="33">
        <f t="shared" si="0"/>
        <v>11.97</v>
      </c>
      <c r="C19" s="22">
        <f>IF(A19="  ","  ",IF(AND(A18="  ",A20="  "),"?",IF(A18="  ",2*(A20-A19),IF(A20="  ",2*(A19-A18),2*(A20-A18)))))</f>
        <v>4</v>
      </c>
      <c r="D19" s="23">
        <f t="shared" si="26"/>
        <v>47.88</v>
      </c>
      <c r="E19" s="24">
        <f t="shared" si="1"/>
        <v>3</v>
      </c>
      <c r="F19" s="23">
        <f t="shared" si="27"/>
        <v>143.64000000000001</v>
      </c>
      <c r="G19" s="23">
        <f t="shared" si="28"/>
        <v>430.92000000000007</v>
      </c>
      <c r="H19" s="23">
        <f t="shared" si="29"/>
        <v>1715.0723730000002</v>
      </c>
      <c r="I19" s="23">
        <f t="shared" si="30"/>
        <v>6860.2894920000008</v>
      </c>
      <c r="J19" s="4"/>
      <c r="K19" s="37">
        <f t="shared" si="2"/>
        <v>153.12</v>
      </c>
      <c r="L19" s="23">
        <f t="shared" si="31"/>
        <v>612.48</v>
      </c>
      <c r="M19" s="38">
        <f t="shared" si="3"/>
        <v>587.02320000000009</v>
      </c>
      <c r="N19" s="27">
        <f t="shared" si="32"/>
        <v>2348.0928000000004</v>
      </c>
      <c r="O19" s="23">
        <f t="shared" si="33"/>
        <v>1837.44</v>
      </c>
      <c r="P19" s="4"/>
      <c r="Q19" s="50" t="s">
        <v>55</v>
      </c>
      <c r="R19" s="48" t="s">
        <v>56</v>
      </c>
      <c r="S19">
        <f>IF(Tools!$L$49="Use 141 rule only",I43,IF(Tools!$L$49="Use 141 and 1331 rules",BG20," "))</f>
        <v>53545.439128230842</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11.97</v>
      </c>
      <c r="AQ19" s="34" t="str">
        <f t="shared" ca="1" si="18"/>
        <v>4/3</v>
      </c>
      <c r="AR19" s="23">
        <f t="shared" ca="1" si="19"/>
        <v>15.96</v>
      </c>
      <c r="AS19" s="24">
        <f t="shared" si="20"/>
        <v>3</v>
      </c>
      <c r="AT19" s="23">
        <f t="shared" ca="1" si="37"/>
        <v>47.88</v>
      </c>
      <c r="AU19" s="23">
        <f t="shared" ca="1" si="40"/>
        <v>143.64000000000001</v>
      </c>
      <c r="AV19" s="23">
        <f t="shared" si="21"/>
        <v>1715.0723730000002</v>
      </c>
      <c r="AW19" s="23">
        <f t="shared" ca="1" si="22"/>
        <v>2286.763164</v>
      </c>
      <c r="AY19" s="35">
        <f t="shared" si="23"/>
        <v>153.12</v>
      </c>
      <c r="AZ19" s="23">
        <f t="shared" ca="1" si="41"/>
        <v>204.16</v>
      </c>
      <c r="BA19" s="36">
        <f t="shared" si="25"/>
        <v>587.02320000000009</v>
      </c>
      <c r="BB19" s="27">
        <f t="shared" ca="1" si="38"/>
        <v>782.69760000000008</v>
      </c>
      <c r="BC19" s="23">
        <f t="shared" ca="1" si="39"/>
        <v>612.48</v>
      </c>
      <c r="BE19" s="50" t="s">
        <v>52</v>
      </c>
      <c r="BF19" s="48" t="s">
        <v>53</v>
      </c>
      <c r="BG19" s="49">
        <f>IF(WL_No="  ","  ",V_Disp*1.025*1.006)</f>
        <v>13904.164344883811</v>
      </c>
    </row>
    <row r="20" spans="1:59" x14ac:dyDescent="0.25">
      <c r="A20" s="20">
        <f>Tools!$AD19</f>
        <v>14</v>
      </c>
      <c r="B20" s="33">
        <f t="shared" si="0"/>
        <v>11.06</v>
      </c>
      <c r="C20" s="22">
        <f>IF(A20="  ","  ",IF(AND(A19="  ",A21="  "),"?",IF(A19="  ",1*(A21-A20),IF(A21="  ",1*(A20-A19),1*(A21-A19)))))</f>
        <v>2</v>
      </c>
      <c r="D20" s="23">
        <f t="shared" si="26"/>
        <v>22.12</v>
      </c>
      <c r="E20" s="24">
        <f t="shared" si="1"/>
        <v>4</v>
      </c>
      <c r="F20" s="23">
        <f t="shared" si="27"/>
        <v>88.48</v>
      </c>
      <c r="G20" s="23">
        <f t="shared" si="28"/>
        <v>353.92</v>
      </c>
      <c r="H20" s="23">
        <f t="shared" si="29"/>
        <v>1352.8990160000003</v>
      </c>
      <c r="I20" s="23">
        <f t="shared" si="30"/>
        <v>2705.7980320000006</v>
      </c>
      <c r="J20" s="4"/>
      <c r="K20" s="37">
        <f t="shared" si="2"/>
        <v>133.90799999999999</v>
      </c>
      <c r="L20" s="23">
        <f t="shared" si="31"/>
        <v>267.81599999999997</v>
      </c>
      <c r="M20" s="38">
        <f t="shared" si="3"/>
        <v>524.18880000000001</v>
      </c>
      <c r="N20" s="27">
        <f t="shared" si="32"/>
        <v>1048.3776</v>
      </c>
      <c r="O20" s="23">
        <f t="shared" si="33"/>
        <v>1071.2639999999999</v>
      </c>
      <c r="P20" s="4"/>
      <c r="Q20" s="50" t="s">
        <v>57</v>
      </c>
      <c r="R20" s="48" t="s">
        <v>58</v>
      </c>
      <c r="S20">
        <f>IF(Tools!$L$49="Use 141 rule only",I44,IF(Tools!$L$49="Use 141 and 1331 rules",BG21," "))</f>
        <v>9219.630026460005</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11.06</v>
      </c>
      <c r="AQ20" s="34" t="str">
        <f t="shared" ca="1" si="18"/>
        <v>2/3</v>
      </c>
      <c r="AR20" s="23">
        <f t="shared" ca="1" si="19"/>
        <v>7.3733333333333331</v>
      </c>
      <c r="AS20" s="24">
        <f t="shared" si="20"/>
        <v>4</v>
      </c>
      <c r="AT20" s="23">
        <f t="shared" ca="1" si="37"/>
        <v>29.493333333333332</v>
      </c>
      <c r="AU20" s="23">
        <f t="shared" ca="1" si="40"/>
        <v>117.97333333333333</v>
      </c>
      <c r="AV20" s="23">
        <f t="shared" si="21"/>
        <v>1352.8990160000003</v>
      </c>
      <c r="AW20" s="23">
        <f t="shared" ca="1" si="22"/>
        <v>901.93267733333346</v>
      </c>
      <c r="AY20" s="35">
        <f t="shared" si="23"/>
        <v>133.90799999999999</v>
      </c>
      <c r="AZ20" s="23">
        <f t="shared" ca="1" si="41"/>
        <v>89.271999999999991</v>
      </c>
      <c r="BA20" s="36">
        <f t="shared" si="25"/>
        <v>524.18880000000001</v>
      </c>
      <c r="BB20" s="27">
        <f t="shared" ca="1" si="38"/>
        <v>349.45920000000001</v>
      </c>
      <c r="BC20" s="23">
        <f t="shared" ca="1" si="39"/>
        <v>357.08799999999997</v>
      </c>
      <c r="BE20" s="50" t="s">
        <v>55</v>
      </c>
      <c r="BF20" s="48" t="s">
        <v>59</v>
      </c>
      <c r="BG20" s="49">
        <f ca="1">IF(WL_No="  ","  ",h*$BB$29)</f>
        <v>53545.439128230842</v>
      </c>
    </row>
    <row r="21" spans="1:59" x14ac:dyDescent="0.25">
      <c r="A21" s="20">
        <f>Tools!$AD20</f>
        <v>15</v>
      </c>
      <c r="B21" s="33">
        <f t="shared" si="0"/>
        <v>9.64</v>
      </c>
      <c r="C21" s="22">
        <f>IF(A21="  ","  ",IF(AND(A20="  ",A22="  "),"?",IF(A20="  ",2*(A22-A21),IF(A22="  ",2*(A21-A20),2*(A22-A20)))))</f>
        <v>4</v>
      </c>
      <c r="D21" s="23">
        <f t="shared" si="26"/>
        <v>38.56</v>
      </c>
      <c r="E21" s="24">
        <f t="shared" si="1"/>
        <v>5</v>
      </c>
      <c r="F21" s="23">
        <f t="shared" si="27"/>
        <v>192.8</v>
      </c>
      <c r="G21" s="23">
        <f t="shared" si="28"/>
        <v>964</v>
      </c>
      <c r="H21" s="23">
        <f t="shared" si="29"/>
        <v>895.84134400000016</v>
      </c>
      <c r="I21" s="23">
        <f t="shared" si="30"/>
        <v>3583.3653760000007</v>
      </c>
      <c r="J21" s="4"/>
      <c r="K21" s="37">
        <f t="shared" si="2"/>
        <v>110.976</v>
      </c>
      <c r="L21" s="23">
        <f t="shared" si="31"/>
        <v>443.904</v>
      </c>
      <c r="M21" s="38">
        <f t="shared" si="3"/>
        <v>442.34640000000002</v>
      </c>
      <c r="N21" s="27">
        <f t="shared" si="32"/>
        <v>1769.3856000000001</v>
      </c>
      <c r="O21" s="23">
        <f t="shared" si="33"/>
        <v>2219.52</v>
      </c>
      <c r="P21" s="4"/>
      <c r="Q21" s="50" t="s">
        <v>60</v>
      </c>
      <c r="R21" s="48" t="s">
        <v>61</v>
      </c>
      <c r="S21">
        <f>IF(Tools!$L$49="Use 141 rule only",I45,IF(Tools!$L$49="Use 141 and 1331 rules",BG22," "))</f>
        <v>146.85502081578153</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9.64</v>
      </c>
      <c r="AQ21" s="34" t="str">
        <f t="shared" ca="1" si="18"/>
        <v>4/3</v>
      </c>
      <c r="AR21" s="23">
        <f t="shared" ca="1" si="19"/>
        <v>12.853333333333333</v>
      </c>
      <c r="AS21" s="24">
        <f t="shared" si="20"/>
        <v>5</v>
      </c>
      <c r="AT21" s="23">
        <f t="shared" ca="1" si="37"/>
        <v>64.266666666666666</v>
      </c>
      <c r="AU21" s="23">
        <f t="shared" ca="1" si="40"/>
        <v>321.33333333333331</v>
      </c>
      <c r="AV21" s="23">
        <f t="shared" si="21"/>
        <v>895.84134400000016</v>
      </c>
      <c r="AW21" s="23">
        <f t="shared" ca="1" si="22"/>
        <v>1194.4551253333334</v>
      </c>
      <c r="AY21" s="35">
        <f t="shared" si="23"/>
        <v>110.976</v>
      </c>
      <c r="AZ21" s="23">
        <f t="shared" ca="1" si="41"/>
        <v>147.96799999999999</v>
      </c>
      <c r="BA21" s="36">
        <f t="shared" si="25"/>
        <v>442.34640000000002</v>
      </c>
      <c r="BB21" s="27">
        <f t="shared" ca="1" si="38"/>
        <v>589.79520000000002</v>
      </c>
      <c r="BC21" s="23">
        <f t="shared" ca="1" si="39"/>
        <v>739.83999999999992</v>
      </c>
      <c r="BE21" s="50" t="s">
        <v>57</v>
      </c>
      <c r="BF21" s="48" t="s">
        <v>62</v>
      </c>
      <c r="BG21" s="49">
        <f ca="1">IF(WL_No="  ","  ",(h^2)*$BC$29)</f>
        <v>9219.6300264600122</v>
      </c>
    </row>
    <row r="22" spans="1:59" x14ac:dyDescent="0.25">
      <c r="A22" s="20">
        <f>Tools!$AD21</f>
        <v>16</v>
      </c>
      <c r="B22" s="33">
        <f t="shared" si="0"/>
        <v>7.81</v>
      </c>
      <c r="C22" s="22">
        <f>IF(A22="  ","  ",IF(AND(A21="  ",A23="  "),"?",IF(A21="  ",1*(A23-A22),IF(A23="  ",1*(A22-A21),1*(A23-A21)))))</f>
        <v>2</v>
      </c>
      <c r="D22" s="23">
        <f t="shared" si="26"/>
        <v>15.62</v>
      </c>
      <c r="E22" s="24">
        <f t="shared" si="1"/>
        <v>6</v>
      </c>
      <c r="F22" s="23">
        <f t="shared" si="27"/>
        <v>93.72</v>
      </c>
      <c r="G22" s="23">
        <f t="shared" si="28"/>
        <v>562.31999999999994</v>
      </c>
      <c r="H22" s="23">
        <f t="shared" si="29"/>
        <v>476.3795409999999</v>
      </c>
      <c r="I22" s="23">
        <f t="shared" si="30"/>
        <v>952.75908199999981</v>
      </c>
      <c r="J22" s="4"/>
      <c r="K22" s="37">
        <f t="shared" si="2"/>
        <v>85.23</v>
      </c>
      <c r="L22" s="23">
        <f t="shared" si="31"/>
        <v>170.46</v>
      </c>
      <c r="M22" s="38">
        <f t="shared" si="3"/>
        <v>346.76639999999998</v>
      </c>
      <c r="N22" s="27">
        <f t="shared" si="32"/>
        <v>693.53279999999995</v>
      </c>
      <c r="O22" s="23">
        <f t="shared" si="33"/>
        <v>1022.76</v>
      </c>
      <c r="P22" s="4"/>
      <c r="Q22" s="50" t="s">
        <v>63</v>
      </c>
      <c r="R22" s="48" t="s">
        <v>64</v>
      </c>
      <c r="S22">
        <f>IF(Tools!$L$49="Use 141 rule only",I46,IF(Tools!$L$49="Use 141 and 1331 rules",BG23," "))</f>
        <v>7.0815909109820385</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7.81</v>
      </c>
      <c r="AQ22" s="34" t="str">
        <f t="shared" ca="1" si="18"/>
        <v>2/3</v>
      </c>
      <c r="AR22" s="23">
        <f t="shared" ca="1" si="19"/>
        <v>5.2066666666666661</v>
      </c>
      <c r="AS22" s="24">
        <f t="shared" si="20"/>
        <v>6</v>
      </c>
      <c r="AT22" s="23">
        <f t="shared" ca="1" si="37"/>
        <v>31.239999999999995</v>
      </c>
      <c r="AU22" s="23">
        <f t="shared" ca="1" si="40"/>
        <v>187.43999999999997</v>
      </c>
      <c r="AV22" s="23">
        <f t="shared" si="21"/>
        <v>476.3795409999999</v>
      </c>
      <c r="AW22" s="23">
        <f t="shared" ca="1" si="22"/>
        <v>317.58636066666656</v>
      </c>
      <c r="AY22" s="35">
        <f t="shared" si="23"/>
        <v>85.23</v>
      </c>
      <c r="AZ22" s="23">
        <f t="shared" ca="1" si="41"/>
        <v>56.82</v>
      </c>
      <c r="BA22" s="36">
        <f t="shared" si="25"/>
        <v>346.76639999999998</v>
      </c>
      <c r="BB22" s="27">
        <f t="shared" ca="1" si="38"/>
        <v>231.17759999999998</v>
      </c>
      <c r="BC22" s="23">
        <f t="shared" ca="1" si="39"/>
        <v>340.92</v>
      </c>
      <c r="BE22" s="50" t="s">
        <v>60</v>
      </c>
      <c r="BF22" s="48" t="s">
        <v>61</v>
      </c>
      <c r="BG22" s="49">
        <f>IF(WL_No="  ","  ",IF/V_Disp)</f>
        <v>146.85502081578153</v>
      </c>
    </row>
    <row r="23" spans="1:59" x14ac:dyDescent="0.25">
      <c r="A23" s="20">
        <f>Tools!$AD22</f>
        <v>17</v>
      </c>
      <c r="B23" s="33">
        <f t="shared" si="0"/>
        <v>5.69</v>
      </c>
      <c r="C23" s="22">
        <f>IF(A23="  ","  ",IF(AND(A22="  ",A24="  "),"?",IF(A22="  ",2*(A24-A23),IF(A24="  ",2*(A23-A22),2*(A24-A22)))))</f>
        <v>4</v>
      </c>
      <c r="D23" s="23">
        <f t="shared" si="26"/>
        <v>22.76</v>
      </c>
      <c r="E23" s="24">
        <f t="shared" si="1"/>
        <v>7</v>
      </c>
      <c r="F23" s="23">
        <f t="shared" si="27"/>
        <v>159.32000000000002</v>
      </c>
      <c r="G23" s="23">
        <f t="shared" si="28"/>
        <v>1115.2400000000002</v>
      </c>
      <c r="H23" s="23">
        <f t="shared" si="29"/>
        <v>184.220009</v>
      </c>
      <c r="I23" s="23">
        <f t="shared" si="30"/>
        <v>736.88003600000002</v>
      </c>
      <c r="J23" s="4"/>
      <c r="K23" s="37">
        <f t="shared" si="2"/>
        <v>59.616</v>
      </c>
      <c r="L23" s="23">
        <f t="shared" si="31"/>
        <v>238.464</v>
      </c>
      <c r="M23" s="38">
        <f t="shared" si="3"/>
        <v>247.83840000000001</v>
      </c>
      <c r="N23" s="27">
        <f t="shared" si="32"/>
        <v>991.35360000000003</v>
      </c>
      <c r="O23" s="23">
        <f t="shared" si="33"/>
        <v>1669.248</v>
      </c>
      <c r="P23" s="4"/>
      <c r="Q23" s="50" t="s">
        <v>65</v>
      </c>
      <c r="R23" s="48" t="s">
        <v>66</v>
      </c>
      <c r="S23">
        <f>IF(Tools!$L$49="Use 141 rule only",I47,IF(Tools!$L$49="Use 141 and 1331 rules",BG24," "))</f>
        <v>3.9709958964482168</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5.69</v>
      </c>
      <c r="AQ23" s="34" t="str">
        <f t="shared" ca="1" si="18"/>
        <v>4/3</v>
      </c>
      <c r="AR23" s="23">
        <f t="shared" ca="1" si="19"/>
        <v>7.5866666666666669</v>
      </c>
      <c r="AS23" s="24">
        <f t="shared" si="20"/>
        <v>7</v>
      </c>
      <c r="AT23" s="23">
        <f t="shared" ca="1" si="37"/>
        <v>53.106666666666669</v>
      </c>
      <c r="AU23" s="23">
        <f t="shared" ca="1" si="40"/>
        <v>371.74666666666667</v>
      </c>
      <c r="AV23" s="23">
        <f t="shared" si="21"/>
        <v>184.220009</v>
      </c>
      <c r="AW23" s="23">
        <f t="shared" ca="1" si="22"/>
        <v>245.62667866666666</v>
      </c>
      <c r="AY23" s="35">
        <f t="shared" si="23"/>
        <v>59.616</v>
      </c>
      <c r="AZ23" s="23">
        <f t="shared" ca="1" si="41"/>
        <v>79.488</v>
      </c>
      <c r="BA23" s="36">
        <f t="shared" si="25"/>
        <v>247.83840000000001</v>
      </c>
      <c r="BB23" s="27">
        <f t="shared" ca="1" si="38"/>
        <v>330.45119999999997</v>
      </c>
      <c r="BC23" s="23">
        <f t="shared" ca="1" si="39"/>
        <v>556.41599999999994</v>
      </c>
      <c r="BE23" s="50" t="s">
        <v>63</v>
      </c>
      <c r="BF23" s="48" t="s">
        <v>64</v>
      </c>
      <c r="BG23" s="49">
        <f>IF(WL_No="  ","  ",IT/V_Disp)</f>
        <v>7.0815909109820385</v>
      </c>
    </row>
    <row r="24" spans="1:59" x14ac:dyDescent="0.25">
      <c r="A24" s="20">
        <f>Tools!$AD23</f>
        <v>18</v>
      </c>
      <c r="B24" s="33">
        <f t="shared" si="0"/>
        <v>3.51</v>
      </c>
      <c r="C24" s="22">
        <f>IF(A24="  ","  ",IF(AND(A23="  ",A25="  "),"?",IF(A23="  ",1*(A25-A24),IF(A25="  ",1*(A24-A23),1*(A25-A23)))))</f>
        <v>1.5</v>
      </c>
      <c r="D24" s="23">
        <f t="shared" si="26"/>
        <v>5.2649999999999997</v>
      </c>
      <c r="E24" s="24">
        <f t="shared" si="1"/>
        <v>8</v>
      </c>
      <c r="F24" s="23">
        <f t="shared" si="27"/>
        <v>42.12</v>
      </c>
      <c r="G24" s="23">
        <f t="shared" si="28"/>
        <v>336.96</v>
      </c>
      <c r="H24" s="23">
        <f t="shared" si="29"/>
        <v>43.243550999999989</v>
      </c>
      <c r="I24" s="23">
        <f t="shared" si="30"/>
        <v>64.865326499999981</v>
      </c>
      <c r="J24" s="4"/>
      <c r="K24" s="37">
        <f t="shared" si="2"/>
        <v>37.795500000000004</v>
      </c>
      <c r="L24" s="23">
        <f t="shared" si="31"/>
        <v>56.693250000000006</v>
      </c>
      <c r="M24" s="38">
        <f t="shared" si="3"/>
        <v>159.18322499999999</v>
      </c>
      <c r="N24" s="27">
        <f t="shared" si="32"/>
        <v>238.77483749999999</v>
      </c>
      <c r="O24" s="23">
        <f t="shared" si="33"/>
        <v>453.54600000000005</v>
      </c>
      <c r="P24" s="4"/>
      <c r="Q24" s="50" t="s">
        <v>67</v>
      </c>
      <c r="R24" s="48" t="s">
        <v>68</v>
      </c>
      <c r="S24">
        <f>IF(Tools!$L$49="Use 141 rule only",I48,IF(Tools!$L$49="Use 141 and 1331 rules",BG25," "))</f>
        <v>11.052586807430256</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3.51</v>
      </c>
      <c r="AQ24" s="34" t="str">
        <f t="shared" ca="1" si="18"/>
        <v>(1/2)*(1/3)+1/3</v>
      </c>
      <c r="AR24" s="23">
        <f t="shared" ca="1" si="19"/>
        <v>1.7549999999999999</v>
      </c>
      <c r="AS24" s="24">
        <f t="shared" si="20"/>
        <v>8</v>
      </c>
      <c r="AT24" s="23">
        <f t="shared" ca="1" si="37"/>
        <v>14.04</v>
      </c>
      <c r="AU24" s="23">
        <f t="shared" ca="1" si="40"/>
        <v>112.32</v>
      </c>
      <c r="AV24" s="23">
        <f t="shared" si="21"/>
        <v>43.243550999999989</v>
      </c>
      <c r="AW24" s="23">
        <f t="shared" ca="1" si="22"/>
        <v>21.621775499999995</v>
      </c>
      <c r="AY24" s="35">
        <f t="shared" si="23"/>
        <v>37.795500000000004</v>
      </c>
      <c r="AZ24" s="23">
        <f t="shared" ca="1" si="41"/>
        <v>18.897750000000002</v>
      </c>
      <c r="BA24" s="36">
        <f t="shared" si="25"/>
        <v>159.18322499999999</v>
      </c>
      <c r="BB24" s="27">
        <f t="shared" ca="1" si="38"/>
        <v>79.591612499999997</v>
      </c>
      <c r="BC24" s="23">
        <f t="shared" ca="1" si="39"/>
        <v>151.18200000000002</v>
      </c>
      <c r="BE24" s="50" t="s">
        <v>65</v>
      </c>
      <c r="BF24" s="48" t="s">
        <v>66</v>
      </c>
      <c r="BG24" s="49">
        <f>IF(WL_No="  ","  ",MT/V_Disp)</f>
        <v>3.9709958964482168</v>
      </c>
    </row>
    <row r="25" spans="1:59" x14ac:dyDescent="0.25">
      <c r="A25" s="20">
        <f>Tools!$AD24</f>
        <v>18.5</v>
      </c>
      <c r="B25" s="33">
        <f t="shared" si="0"/>
        <v>2.5499999999999998</v>
      </c>
      <c r="C25" s="22">
        <f>IF(A25="  ","  ",IF(AND(A24="  ",A26="  "),"?",IF(A24="  ",2*(A26-A25),IF(A26="  ",2*(A25-A24),2*(A26-A24)))))</f>
        <v>2</v>
      </c>
      <c r="D25" s="23">
        <f t="shared" si="26"/>
        <v>5.0999999999999996</v>
      </c>
      <c r="E25" s="24">
        <f t="shared" si="1"/>
        <v>8.5</v>
      </c>
      <c r="F25" s="23">
        <f t="shared" si="27"/>
        <v>43.349999999999994</v>
      </c>
      <c r="G25" s="23">
        <f t="shared" si="28"/>
        <v>368.47499999999997</v>
      </c>
      <c r="H25" s="23">
        <f t="shared" si="29"/>
        <v>16.581374999999998</v>
      </c>
      <c r="I25" s="23">
        <f t="shared" si="30"/>
        <v>33.162749999999996</v>
      </c>
      <c r="J25" s="4"/>
      <c r="K25" s="37">
        <f t="shared" si="2"/>
        <v>28.9742</v>
      </c>
      <c r="L25" s="23">
        <f t="shared" si="31"/>
        <v>57.948399999999999</v>
      </c>
      <c r="M25" s="38">
        <f t="shared" si="3"/>
        <v>123.79061133333332</v>
      </c>
      <c r="N25" s="27">
        <f t="shared" si="32"/>
        <v>247.58122266666663</v>
      </c>
      <c r="O25" s="23">
        <f t="shared" si="33"/>
        <v>492.56139999999999</v>
      </c>
      <c r="P25" s="4"/>
      <c r="Q25" s="50" t="s">
        <v>69</v>
      </c>
      <c r="R25" s="48" t="s">
        <v>70</v>
      </c>
      <c r="S25">
        <f>IF(Tools!$L$49="Use 141 rule only",I49,IF(Tools!$L$49="Use 141 and 1331 rules",BG26," "))</f>
        <v>150.82601671222974</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2.5499999999999998</v>
      </c>
      <c r="AQ25" s="34" t="str">
        <f t="shared" ca="1" si="18"/>
        <v>(1/2)*(4/3)</v>
      </c>
      <c r="AR25" s="23">
        <f t="shared" ca="1" si="19"/>
        <v>1.6999999999999997</v>
      </c>
      <c r="AS25" s="24">
        <f t="shared" si="20"/>
        <v>8.5</v>
      </c>
      <c r="AT25" s="23">
        <f t="shared" ca="1" si="37"/>
        <v>14.449999999999998</v>
      </c>
      <c r="AU25" s="23">
        <f t="shared" ca="1" si="40"/>
        <v>122.82499999999997</v>
      </c>
      <c r="AV25" s="23">
        <f t="shared" si="21"/>
        <v>16.581374999999998</v>
      </c>
      <c r="AW25" s="23">
        <f t="shared" ca="1" si="22"/>
        <v>11.054249999999998</v>
      </c>
      <c r="AY25" s="35">
        <f t="shared" si="23"/>
        <v>28.9742</v>
      </c>
      <c r="AZ25" s="23">
        <f t="shared" ca="1" si="41"/>
        <v>19.316133333333333</v>
      </c>
      <c r="BA25" s="36">
        <f t="shared" si="25"/>
        <v>123.79061133333332</v>
      </c>
      <c r="BB25" s="27">
        <f t="shared" ca="1" si="38"/>
        <v>82.527074222222211</v>
      </c>
      <c r="BC25" s="23">
        <f t="shared" ca="1" si="39"/>
        <v>164.18713333333332</v>
      </c>
      <c r="BE25" s="50" t="s">
        <v>67</v>
      </c>
      <c r="BF25" s="48" t="s">
        <v>68</v>
      </c>
      <c r="BG25" s="49">
        <f>IF(WL_No="  ","  ",KB+BMT)</f>
        <v>11.052586807430256</v>
      </c>
    </row>
    <row r="26" spans="1:59" x14ac:dyDescent="0.25">
      <c r="A26" s="20">
        <f>Tools!$AD25</f>
        <v>19</v>
      </c>
      <c r="B26" s="33">
        <f t="shared" si="0"/>
        <v>1.8</v>
      </c>
      <c r="C26" s="22">
        <f>IF(A26="  ","  ",IF(AND(A25="  ",A27="  "),"?",IF(A25="  ",1*(A27-A26),IF(A27="  ",1*(A26-A25),1*(A27-A25)))))</f>
        <v>1</v>
      </c>
      <c r="D26" s="23">
        <f t="shared" si="26"/>
        <v>1.8</v>
      </c>
      <c r="E26" s="24">
        <f t="shared" si="1"/>
        <v>9</v>
      </c>
      <c r="F26" s="23">
        <f t="shared" si="27"/>
        <v>16.2</v>
      </c>
      <c r="G26" s="23">
        <f t="shared" si="28"/>
        <v>145.79999999999998</v>
      </c>
      <c r="H26" s="23">
        <f t="shared" si="29"/>
        <v>5.8320000000000007</v>
      </c>
      <c r="I26" s="23">
        <f t="shared" si="30"/>
        <v>5.8320000000000007</v>
      </c>
      <c r="J26" s="4"/>
      <c r="K26" s="37">
        <f t="shared" si="2"/>
        <v>22.467599999999997</v>
      </c>
      <c r="L26" s="23">
        <f t="shared" si="31"/>
        <v>22.467599999999997</v>
      </c>
      <c r="M26" s="38">
        <f t="shared" si="3"/>
        <v>97.519002000000015</v>
      </c>
      <c r="N26" s="27">
        <f t="shared" si="32"/>
        <v>97.519002000000015</v>
      </c>
      <c r="O26" s="23">
        <f t="shared" si="33"/>
        <v>202.20839999999998</v>
      </c>
      <c r="P26" s="4"/>
      <c r="Q26" s="50" t="s">
        <v>71</v>
      </c>
      <c r="R26" s="48" t="s">
        <v>72</v>
      </c>
      <c r="S26">
        <f>IF(Tools!$L$49="Use 141 rule only",I50,IF(Tools!$L$49="Use 141 and 1331 rules",BG27," "))</f>
        <v>23.814251912499991</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1.8</v>
      </c>
      <c r="AQ26" s="34" t="str">
        <f t="shared" ca="1" si="18"/>
        <v>(1/2)*(2/3)</v>
      </c>
      <c r="AR26" s="23">
        <f t="shared" ca="1" si="19"/>
        <v>0.6</v>
      </c>
      <c r="AS26" s="24">
        <f t="shared" si="20"/>
        <v>9</v>
      </c>
      <c r="AT26" s="23">
        <f t="shared" ca="1" si="37"/>
        <v>5.3999999999999995</v>
      </c>
      <c r="AU26" s="23">
        <f t="shared" ca="1" si="40"/>
        <v>48.599999999999994</v>
      </c>
      <c r="AV26" s="23">
        <f t="shared" si="21"/>
        <v>5.8320000000000007</v>
      </c>
      <c r="AW26" s="23">
        <f t="shared" ca="1" si="22"/>
        <v>1.9440000000000002</v>
      </c>
      <c r="AY26" s="35">
        <f t="shared" si="23"/>
        <v>22.467599999999997</v>
      </c>
      <c r="AZ26" s="23">
        <f t="shared" ca="1" si="41"/>
        <v>7.4891999999999985</v>
      </c>
      <c r="BA26" s="36">
        <f t="shared" si="25"/>
        <v>97.519002000000015</v>
      </c>
      <c r="BB26" s="27">
        <f t="shared" ca="1" si="38"/>
        <v>32.506334000000003</v>
      </c>
      <c r="BC26" s="23">
        <f t="shared" ca="1" si="39"/>
        <v>67.402799999999985</v>
      </c>
      <c r="BE26" s="50" t="s">
        <v>69</v>
      </c>
      <c r="BF26" s="48" t="s">
        <v>70</v>
      </c>
      <c r="BG26" s="49">
        <f>IF(WL_No="  ","  ",KB+BML)</f>
        <v>150.82601671222974</v>
      </c>
    </row>
    <row r="27" spans="1:59" x14ac:dyDescent="0.25">
      <c r="A27" s="20">
        <f>Tools!$AD26</f>
        <v>19.5</v>
      </c>
      <c r="B27" s="33">
        <f t="shared" si="0"/>
        <v>1.31</v>
      </c>
      <c r="C27" s="22">
        <f>IF(A27="  ","  ",IF(AND(A26="  ",A28="  "),"?",IF(A26="  ",2*(A28-A27),IF(A28="  ",2*(A27-A26),2*(A28-A26)))))</f>
        <v>2</v>
      </c>
      <c r="D27" s="23">
        <f t="shared" si="26"/>
        <v>2.62</v>
      </c>
      <c r="E27" s="24">
        <f t="shared" si="1"/>
        <v>9.5</v>
      </c>
      <c r="F27" s="23">
        <f t="shared" si="27"/>
        <v>24.89</v>
      </c>
      <c r="G27" s="23">
        <f t="shared" si="28"/>
        <v>236.45500000000001</v>
      </c>
      <c r="H27" s="23">
        <f t="shared" si="29"/>
        <v>2.2480910000000005</v>
      </c>
      <c r="I27" s="23">
        <f t="shared" si="30"/>
        <v>4.496182000000001</v>
      </c>
      <c r="J27" s="4"/>
      <c r="K27" s="37">
        <f t="shared" si="2"/>
        <v>17.247999999999998</v>
      </c>
      <c r="L27" s="23">
        <f t="shared" si="31"/>
        <v>34.495999999999995</v>
      </c>
      <c r="M27" s="38">
        <f t="shared" si="3"/>
        <v>77.90773333333334</v>
      </c>
      <c r="N27" s="27">
        <f t="shared" si="32"/>
        <v>155.81546666666668</v>
      </c>
      <c r="O27" s="23">
        <f t="shared" si="33"/>
        <v>327.71199999999993</v>
      </c>
      <c r="P27" s="4"/>
      <c r="Q27" s="50" t="s">
        <v>73</v>
      </c>
      <c r="R27" s="48" t="s">
        <v>74</v>
      </c>
      <c r="S27">
        <f>IF(Tools!$L$49="Use 141 rule only",I51,IF(Tools!$L$49="Use 141 and 1331 rules",BG28," "))</f>
        <v>0.68373914936372071</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1.31</v>
      </c>
      <c r="AQ27" s="34" t="str">
        <f t="shared" ca="1" si="18"/>
        <v>(1/2)*(4/3)</v>
      </c>
      <c r="AR27" s="23">
        <f t="shared" ca="1" si="19"/>
        <v>0.87333333333333329</v>
      </c>
      <c r="AS27" s="24">
        <f t="shared" si="20"/>
        <v>9.5</v>
      </c>
      <c r="AT27" s="23">
        <f t="shared" ca="1" si="37"/>
        <v>8.2966666666666669</v>
      </c>
      <c r="AU27" s="23">
        <f t="shared" ca="1" si="40"/>
        <v>78.818333333333328</v>
      </c>
      <c r="AV27" s="23">
        <f t="shared" si="21"/>
        <v>2.2480910000000005</v>
      </c>
      <c r="AW27" s="23">
        <f t="shared" ca="1" si="22"/>
        <v>1.4987273333333335</v>
      </c>
      <c r="AY27" s="35">
        <f t="shared" si="23"/>
        <v>17.247999999999998</v>
      </c>
      <c r="AZ27" s="23">
        <f t="shared" ca="1" si="41"/>
        <v>11.498666666666665</v>
      </c>
      <c r="BA27" s="36">
        <f t="shared" si="25"/>
        <v>77.90773333333334</v>
      </c>
      <c r="BB27" s="27">
        <f t="shared" ca="1" si="38"/>
        <v>51.938488888888891</v>
      </c>
      <c r="BC27" s="23">
        <f t="shared" ca="1" si="39"/>
        <v>109.23733333333331</v>
      </c>
      <c r="BE27" s="50" t="s">
        <v>71</v>
      </c>
      <c r="BF27" s="48" t="s">
        <v>72</v>
      </c>
      <c r="BG27" s="49">
        <f>IF(WL_No="  ","  ",AWP*1.025/100)</f>
        <v>23.814251912499991</v>
      </c>
    </row>
    <row r="28" spans="1:59" ht="15.75" thickBot="1" x14ac:dyDescent="0.3">
      <c r="A28" s="20">
        <f>Tools!$AD27</f>
        <v>20</v>
      </c>
      <c r="B28" s="52">
        <f t="shared" si="0"/>
        <v>1.04</v>
      </c>
      <c r="C28" s="22">
        <f>IF(A28="  ","  ",IF(A27="  ","?",1*(A28-A27)))</f>
        <v>0.5</v>
      </c>
      <c r="D28" s="53">
        <f t="shared" si="26"/>
        <v>0.52</v>
      </c>
      <c r="E28" s="24">
        <f t="shared" si="1"/>
        <v>10</v>
      </c>
      <c r="F28" s="53">
        <f t="shared" si="27"/>
        <v>5.2</v>
      </c>
      <c r="G28" s="53">
        <f t="shared" si="28"/>
        <v>52</v>
      </c>
      <c r="H28" s="23">
        <f t="shared" si="29"/>
        <v>1.1248640000000001</v>
      </c>
      <c r="I28" s="53">
        <f t="shared" si="30"/>
        <v>0.56243200000000004</v>
      </c>
      <c r="J28" s="4"/>
      <c r="K28" s="35">
        <f t="shared" si="2"/>
        <v>11.838999999999999</v>
      </c>
      <c r="L28" s="53">
        <f t="shared" si="31"/>
        <v>5.9194999999999993</v>
      </c>
      <c r="M28" s="36">
        <f t="shared" si="3"/>
        <v>58.317366666666672</v>
      </c>
      <c r="N28" s="54">
        <f t="shared" si="32"/>
        <v>29.158683333333336</v>
      </c>
      <c r="O28" s="53">
        <f t="shared" si="33"/>
        <v>59.194999999999993</v>
      </c>
      <c r="P28" s="4"/>
      <c r="Q28" s="50" t="s">
        <v>75</v>
      </c>
      <c r="R28" s="55" t="s">
        <v>76</v>
      </c>
      <c r="S28">
        <f>IF(Tools!$L$49="Use 141 rule only",I52,IF(Tools!$L$49="Use 141 and 1331 rules",BG29," "))</f>
        <v>155.04148400105996</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1.04</v>
      </c>
      <c r="AQ28" s="34" t="str">
        <f t="shared" ca="1" si="18"/>
        <v>(1/2)*(1/3)</v>
      </c>
      <c r="AR28" s="23">
        <f t="shared" ca="1" si="19"/>
        <v>0.17333333333333334</v>
      </c>
      <c r="AS28" s="24">
        <f t="shared" si="20"/>
        <v>10</v>
      </c>
      <c r="AT28" s="53">
        <f t="shared" ca="1" si="37"/>
        <v>1.7333333333333334</v>
      </c>
      <c r="AU28" s="53">
        <f t="shared" ca="1" si="40"/>
        <v>17.333333333333336</v>
      </c>
      <c r="AV28" s="23">
        <f t="shared" si="21"/>
        <v>1.1248640000000001</v>
      </c>
      <c r="AW28" s="23">
        <f t="shared" ca="1" si="22"/>
        <v>0.18747733333333333</v>
      </c>
      <c r="AY28" s="35">
        <f t="shared" si="23"/>
        <v>11.838999999999999</v>
      </c>
      <c r="AZ28" s="23">
        <f t="shared" ca="1" si="41"/>
        <v>1.9731666666666663</v>
      </c>
      <c r="BA28" s="36">
        <f t="shared" si="25"/>
        <v>58.317366666666672</v>
      </c>
      <c r="BB28" s="27">
        <f t="shared" ca="1" si="38"/>
        <v>9.719561111111112</v>
      </c>
      <c r="BC28" s="53">
        <f t="shared" ca="1" si="39"/>
        <v>19.731666666666662</v>
      </c>
      <c r="BE28" s="50" t="s">
        <v>73</v>
      </c>
      <c r="BF28" s="48" t="s">
        <v>74</v>
      </c>
      <c r="BG28" s="49">
        <f>IF(WL_No="  ","  ",ML/V_Disp)</f>
        <v>0.68373914936372071</v>
      </c>
    </row>
    <row r="29" spans="1:59" ht="15.75" thickBot="1" x14ac:dyDescent="0.3">
      <c r="A29" s="56" t="s">
        <v>77</v>
      </c>
      <c r="B29" s="56"/>
      <c r="C29" s="56"/>
      <c r="D29" s="57">
        <f>SUM(D4:D28)</f>
        <v>529.23500000000001</v>
      </c>
      <c r="E29" s="42"/>
      <c r="F29" s="58">
        <f>SUM(F4:F28)</f>
        <v>-186.71999999999991</v>
      </c>
      <c r="G29" s="58">
        <f>SUM(G4:G28)</f>
        <v>10468.329999999998</v>
      </c>
      <c r="H29" s="42"/>
      <c r="I29" s="58">
        <f>SUM(I4:I28)</f>
        <v>65254.52243450001</v>
      </c>
      <c r="J29" s="4"/>
      <c r="K29" s="42"/>
      <c r="L29" s="58">
        <f>SUM(L4:L28)</f>
        <v>6143.1132500000012</v>
      </c>
      <c r="M29" s="42"/>
      <c r="N29" s="58">
        <f>SUM(N4:N28)</f>
        <v>24394.277507166673</v>
      </c>
      <c r="O29" s="58">
        <f>SUM(O4:O28)</f>
        <v>637.85680000000048</v>
      </c>
      <c r="P29" s="4"/>
      <c r="Q29" s="50" t="s">
        <v>78</v>
      </c>
      <c r="R29" s="48" t="s">
        <v>79</v>
      </c>
      <c r="S29">
        <f>IF(Tools!$L$49="Use 141 rule only",I53,IF(Tools!$L$49="Use 141 and 1331 rules",BG30," "))</f>
        <v>7.2</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176.41166666666666</v>
      </c>
      <c r="AS29" s="42"/>
      <c r="AT29" s="58">
        <f ca="1">SUM(AT4:AT28)</f>
        <v>-62.239999999999966</v>
      </c>
      <c r="AU29" s="58">
        <f ca="1">SUM(AU4:AU28)</f>
        <v>3489.4433333333336</v>
      </c>
      <c r="AV29" s="42"/>
      <c r="AW29" s="58">
        <f ca="1">SUM(AW4:AW28)</f>
        <v>21751.50747816667</v>
      </c>
      <c r="AY29" s="42"/>
      <c r="AZ29" s="58">
        <f ca="1">SUM(AZ4:AZ28)</f>
        <v>2047.7044166666667</v>
      </c>
      <c r="BA29" s="42"/>
      <c r="BB29" s="58">
        <f ca="1">SUM(BB4:BB28)</f>
        <v>8131.4258357222243</v>
      </c>
      <c r="BC29" s="58">
        <f ca="1">SUM(BC4:BC28)</f>
        <v>212.61893333333367</v>
      </c>
      <c r="BE29" s="50" t="s">
        <v>75</v>
      </c>
      <c r="BF29" s="55" t="s">
        <v>76</v>
      </c>
      <c r="BG29" s="49">
        <f ca="1">IF(WL_No="  ","  ",M_Disp*BML/100/BG8)</f>
        <v>163.2015621063789</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0.72004761904761894</v>
      </c>
      <c r="AA30" s="60"/>
      <c r="AB30" s="60"/>
      <c r="BE30" s="50" t="s">
        <v>78</v>
      </c>
      <c r="BF30" s="48" t="s">
        <v>79</v>
      </c>
      <c r="BG30" s="49">
        <f>IF(WL_No="  ","  ",WLS*WL_No)</f>
        <v>7.2</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0.58041508408919129</v>
      </c>
      <c r="AF31" s="61" t="s">
        <v>84</v>
      </c>
      <c r="AG31" s="62">
        <f ca="1">COUNTIF(OFFSET(AQ4,,,ROUNDUP(Max_STN_count/2,0),1),"")</f>
        <v>2</v>
      </c>
      <c r="AH31" s="63">
        <f ca="1">HLOOKUP(Stn_WL,AREA_TABLE,AG31+2,FALSE)</f>
        <v>1</v>
      </c>
      <c r="AI31" s="63">
        <f ca="1">IF(AH31&gt;Long_Div/2,Long_Div/2,AH31)</f>
        <v>1</v>
      </c>
      <c r="AJ31" s="63">
        <f ca="1">AI31*STN_GAP</f>
        <v>6.5849999999999991</v>
      </c>
      <c r="BE31" s="50" t="s">
        <v>80</v>
      </c>
      <c r="BF31" s="48" t="s">
        <v>81</v>
      </c>
      <c r="BG31" s="49">
        <f ca="1">IF(WL_No="  ","  ",AWP/(BG8*B_current))</f>
        <v>0.75794486215538837</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0.96238095238095245</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0.61096324640967514</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0.60310325412533483</v>
      </c>
      <c r="AF33" s="63"/>
      <c r="AG33" s="63"/>
      <c r="AH33" s="63">
        <f ca="1">Long_Div-AH32</f>
        <v>20</v>
      </c>
      <c r="AI33" s="63"/>
      <c r="AJ33" s="63">
        <f ca="1">AJ32+AJ31</f>
        <v>6.5849999999999991</v>
      </c>
      <c r="BE33" s="50" t="s">
        <v>85</v>
      </c>
      <c r="BF33" s="48" t="s">
        <v>86</v>
      </c>
      <c r="BG33" s="65">
        <f>IFERROR(IF(WL_No="  ","  ",(VLOOKUP(Long_Div/2,AREA_TABLE,Count_WL+1,FALSE))/(B_current*T)),"-")</f>
        <v>0.96238095238095245</v>
      </c>
    </row>
    <row r="34" spans="1:59" x14ac:dyDescent="0.25">
      <c r="G34" s="45"/>
      <c r="H34" s="46"/>
      <c r="I34" s="507"/>
      <c r="BE34" s="50" t="s">
        <v>88</v>
      </c>
      <c r="BF34" s="48" t="s">
        <v>89</v>
      </c>
      <c r="BG34" s="49">
        <f>IF(WL_No="  ","  ",CB/CM)</f>
        <v>0.60310325412533483</v>
      </c>
    </row>
    <row r="35" spans="1:59" x14ac:dyDescent="0.25">
      <c r="G35" s="47" t="s">
        <v>34</v>
      </c>
      <c r="H35" s="48" t="s">
        <v>35</v>
      </c>
      <c r="I35" s="49">
        <f>IF(WL_No="  ","  ",2/3*h*$D$29)</f>
        <v>2323.3416499999994</v>
      </c>
    </row>
    <row r="36" spans="1:59" x14ac:dyDescent="0.25">
      <c r="G36" s="47" t="s">
        <v>36</v>
      </c>
      <c r="H36" s="48" t="s">
        <v>37</v>
      </c>
      <c r="I36" s="49">
        <f>IF(WL_No="  ","  ",2/3*(h^2)*$F$29)</f>
        <v>-5397.7297679999956</v>
      </c>
    </row>
    <row r="37" spans="1:59" x14ac:dyDescent="0.25">
      <c r="G37" s="50" t="s">
        <v>39</v>
      </c>
      <c r="H37" s="48" t="s">
        <v>40</v>
      </c>
      <c r="I37" s="49">
        <f>IF(WL_No="  ","  ",Mmid/AWP)</f>
        <v>-2.3232613111377729</v>
      </c>
    </row>
    <row r="38" spans="1:59" x14ac:dyDescent="0.25">
      <c r="G38" s="50" t="s">
        <v>42</v>
      </c>
      <c r="H38" s="48" t="s">
        <v>43</v>
      </c>
      <c r="I38" s="49">
        <f>IF(WL_No="  ","  ",2/3*(h^3)*$G$29)</f>
        <v>1992753.054862356</v>
      </c>
    </row>
    <row r="39" spans="1:59" x14ac:dyDescent="0.25">
      <c r="G39" s="51" t="s">
        <v>44</v>
      </c>
      <c r="H39" s="48" t="s">
        <v>45</v>
      </c>
      <c r="I39" s="49">
        <f>IF(WL_No="  ","  ",2/9*h*$I$29)</f>
        <v>95489.11782915167</v>
      </c>
    </row>
    <row r="40" spans="1:59" x14ac:dyDescent="0.25">
      <c r="G40" s="50" t="s">
        <v>47</v>
      </c>
      <c r="H40" s="48" t="s">
        <v>48</v>
      </c>
      <c r="I40" s="49">
        <f>IF(WL_No="  ","  ",IL-AWP*(LCF^2))</f>
        <v>1980212.718124385</v>
      </c>
    </row>
    <row r="41" spans="1:59" x14ac:dyDescent="0.25">
      <c r="G41" s="50" t="s">
        <v>50</v>
      </c>
      <c r="H41" s="48" t="s">
        <v>51</v>
      </c>
      <c r="I41" s="49">
        <f>IF(WL_No="  ","  ",h/3*$L$29)</f>
        <v>13484.133583750001</v>
      </c>
    </row>
    <row r="42" spans="1:59" x14ac:dyDescent="0.25">
      <c r="G42" s="50" t="s">
        <v>52</v>
      </c>
      <c r="H42" s="48" t="s">
        <v>53</v>
      </c>
      <c r="I42" s="49">
        <f>IF(WL_No="  ","  ",V_Disp*1.025*1.006)</f>
        <v>13904.164344883811</v>
      </c>
    </row>
    <row r="43" spans="1:59" x14ac:dyDescent="0.25">
      <c r="G43" s="50" t="s">
        <v>55</v>
      </c>
      <c r="H43" s="48" t="s">
        <v>56</v>
      </c>
      <c r="I43" s="49">
        <f>IF(WL_No="  ","  ",h/3*$N$29)</f>
        <v>53545.439128230842</v>
      </c>
    </row>
    <row r="44" spans="1:59" x14ac:dyDescent="0.25">
      <c r="G44" s="50" t="s">
        <v>57</v>
      </c>
      <c r="H44" s="48" t="s">
        <v>58</v>
      </c>
      <c r="I44" s="49">
        <f>IF(WL_No="  ","  ",(h^2)/3*$O$29)</f>
        <v>9219.630026460005</v>
      </c>
    </row>
    <row r="45" spans="1:59" x14ac:dyDescent="0.25">
      <c r="G45" s="50" t="s">
        <v>60</v>
      </c>
      <c r="H45" s="48" t="s">
        <v>61</v>
      </c>
      <c r="I45" s="49">
        <f>IF(WL_No="  ","  ",IF/V_Disp)</f>
        <v>146.85502081578153</v>
      </c>
    </row>
    <row r="46" spans="1:59" x14ac:dyDescent="0.25">
      <c r="G46" s="50" t="s">
        <v>63</v>
      </c>
      <c r="H46" s="48" t="s">
        <v>64</v>
      </c>
      <c r="I46" s="49">
        <f>IF(WL_No="  ","  ",IT/V_Disp)</f>
        <v>7.0815909109820385</v>
      </c>
    </row>
    <row r="47" spans="1:59" x14ac:dyDescent="0.25">
      <c r="G47" s="50" t="s">
        <v>65</v>
      </c>
      <c r="H47" s="48" t="s">
        <v>66</v>
      </c>
      <c r="I47" s="49">
        <f>IF(WL_No="  ","  ",MT/V_Disp)</f>
        <v>3.9709958964482168</v>
      </c>
    </row>
    <row r="48" spans="1:59" x14ac:dyDescent="0.25">
      <c r="G48" s="50" t="s">
        <v>67</v>
      </c>
      <c r="H48" s="48" t="s">
        <v>68</v>
      </c>
      <c r="I48" s="49">
        <f>IF(WL_No="  ","  ",KB+BMT)</f>
        <v>11.052586807430256</v>
      </c>
    </row>
    <row r="49" spans="7:9" x14ac:dyDescent="0.25">
      <c r="G49" s="50" t="s">
        <v>69</v>
      </c>
      <c r="H49" s="48" t="s">
        <v>70</v>
      </c>
      <c r="I49" s="49">
        <f>IF(WL_No="  ","  ",KB+BML)</f>
        <v>150.82601671222974</v>
      </c>
    </row>
    <row r="50" spans="7:9" x14ac:dyDescent="0.25">
      <c r="G50" s="50" t="s">
        <v>71</v>
      </c>
      <c r="H50" s="48" t="s">
        <v>72</v>
      </c>
      <c r="I50" s="49">
        <f>IF(WL_No="  ","  ",AWP*1.025/100)</f>
        <v>23.814251912499991</v>
      </c>
    </row>
    <row r="51" spans="7:9" x14ac:dyDescent="0.25">
      <c r="G51" s="50" t="s">
        <v>73</v>
      </c>
      <c r="H51" s="48" t="s">
        <v>74</v>
      </c>
      <c r="I51" s="49">
        <f>IF(WL_No="  ","  ",ML/V_Disp)</f>
        <v>0.68373914936372071</v>
      </c>
    </row>
    <row r="52" spans="7:9" x14ac:dyDescent="0.25">
      <c r="G52" s="50" t="s">
        <v>75</v>
      </c>
      <c r="H52" s="55" t="s">
        <v>76</v>
      </c>
      <c r="I52" s="49">
        <f>IF(WL_No="  ","  ",M_Disp*BML/100/LBP)</f>
        <v>155.04148400105996</v>
      </c>
    </row>
    <row r="53" spans="7:9" x14ac:dyDescent="0.25">
      <c r="G53" s="50" t="s">
        <v>78</v>
      </c>
      <c r="H53" s="48" t="s">
        <v>79</v>
      </c>
      <c r="I53" s="49">
        <f>IF(WL_No="  ","  ",WLS*WL_No)</f>
        <v>7.2</v>
      </c>
    </row>
    <row r="54" spans="7:9" x14ac:dyDescent="0.25">
      <c r="G54" s="50" t="s">
        <v>80</v>
      </c>
      <c r="H54" s="48" t="s">
        <v>81</v>
      </c>
      <c r="I54" s="49">
        <f>IF(WL_No="  ","  ",AWP/(LBP*B_current))</f>
        <v>0.72004761904761894</v>
      </c>
    </row>
    <row r="55" spans="7:9" x14ac:dyDescent="0.25">
      <c r="G55" s="50" t="s">
        <v>82</v>
      </c>
      <c r="H55" s="48" t="s">
        <v>83</v>
      </c>
      <c r="I55" s="49">
        <f>IF(WL_No="  ","  ",V_Disp/(LBP*B_current*T))</f>
        <v>0.58041508408919129</v>
      </c>
    </row>
    <row r="56" spans="7:9" x14ac:dyDescent="0.25">
      <c r="G56" s="50" t="s">
        <v>85</v>
      </c>
      <c r="H56" s="48" t="s">
        <v>86</v>
      </c>
      <c r="I56" s="65">
        <f>IF(WL_No="  ","  ",(VLOOKUP(Long_Div/2,AREA_TABLE,Count_WL+1,FALSE))/(B_current*T))</f>
        <v>0.96238095238095245</v>
      </c>
    </row>
    <row r="57" spans="7:9" x14ac:dyDescent="0.25">
      <c r="G57" s="50" t="s">
        <v>88</v>
      </c>
      <c r="H57" s="48" t="s">
        <v>89</v>
      </c>
      <c r="I57" s="49">
        <f>IF(WL_No="  ","  ",CB/CM)</f>
        <v>0.60310325412533483</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13" priority="14">
      <formula>ISERROR(A1)</formula>
    </cfRule>
  </conditionalFormatting>
  <conditionalFormatting sqref="G33:I34 G35:H57">
    <cfRule type="containsErrors" dxfId="212" priority="13">
      <formula>ISERROR(G33)</formula>
    </cfRule>
  </conditionalFormatting>
  <conditionalFormatting sqref="T12:T33">
    <cfRule type="containsErrors" dxfId="211" priority="12">
      <formula>ISERROR(T12)</formula>
    </cfRule>
  </conditionalFormatting>
  <conditionalFormatting sqref="I35:I57">
    <cfRule type="containsErrors" dxfId="210" priority="11">
      <formula>ISERROR(I35)</formula>
    </cfRule>
  </conditionalFormatting>
  <conditionalFormatting sqref="AY2:BC29">
    <cfRule type="containsErrors" dxfId="209" priority="8">
      <formula>ISERROR(AY2)</formula>
    </cfRule>
  </conditionalFormatting>
  <conditionalFormatting sqref="BE10:BG11 BE12:BF34">
    <cfRule type="containsErrors" dxfId="208" priority="10">
      <formula>ISERROR(BE10)</formula>
    </cfRule>
  </conditionalFormatting>
  <conditionalFormatting sqref="BG12:BG28 BG34">
    <cfRule type="containsErrors" dxfId="207" priority="9">
      <formula>ISERROR(BG12)</formula>
    </cfRule>
  </conditionalFormatting>
  <conditionalFormatting sqref="BE2:BG6">
    <cfRule type="containsErrors" dxfId="206" priority="7">
      <formula>ISERROR(BE2)</formula>
    </cfRule>
  </conditionalFormatting>
  <conditionalFormatting sqref="BF7:BG8">
    <cfRule type="containsErrors" dxfId="205" priority="5">
      <formula>ISERROR(BF7)</formula>
    </cfRule>
  </conditionalFormatting>
  <conditionalFormatting sqref="BE7:BE8">
    <cfRule type="containsErrors" dxfId="204" priority="6">
      <formula>ISERROR(BE7)</formula>
    </cfRule>
  </conditionalFormatting>
  <conditionalFormatting sqref="S30:S33">
    <cfRule type="containsErrors" dxfId="203" priority="4">
      <formula>ISERROR(S30)</formula>
    </cfRule>
  </conditionalFormatting>
  <conditionalFormatting sqref="AP27:AP28">
    <cfRule type="containsErrors" dxfId="202" priority="3">
      <formula>ISERROR(AP27)</formula>
    </cfRule>
  </conditionalFormatting>
  <conditionalFormatting sqref="BG29:BG32">
    <cfRule type="containsErrors" dxfId="201" priority="2">
      <formula>ISERROR(BG29)</formula>
    </cfRule>
  </conditionalFormatting>
  <conditionalFormatting sqref="BG33">
    <cfRule type="containsErrors" dxfId="200" priority="1">
      <formula>ISERROR(BG33)</formula>
    </cfRule>
  </conditionalFormatting>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3</v>
      </c>
      <c r="C1" s="3"/>
      <c r="D1" s="4"/>
      <c r="E1" s="4" t="s">
        <v>1</v>
      </c>
      <c r="F1" s="5">
        <v>6</v>
      </c>
      <c r="G1" s="4"/>
      <c r="H1" s="4"/>
      <c r="I1" s="4"/>
      <c r="J1" s="4"/>
      <c r="K1" s="4"/>
      <c r="L1" s="4"/>
      <c r="M1" s="4"/>
      <c r="N1" s="4"/>
      <c r="O1" s="4"/>
      <c r="P1" s="4"/>
      <c r="Q1" s="4"/>
      <c r="R1" s="4"/>
      <c r="S1" s="4"/>
      <c r="V1" t="s">
        <v>2</v>
      </c>
      <c r="W1">
        <f ca="1">COUNTIF(OFFSET(Z4,,,ROUNDDOWN(Max_STN_count/2+1,0),1),TRUE)</f>
        <v>5</v>
      </c>
      <c r="X1">
        <f ca="1">COUNTIF(OFFSET(AA4,,,ROUNDDOWN(Max_STN_count/2+1,0),1),TRUE)</f>
        <v>3</v>
      </c>
      <c r="Y1">
        <f ca="1">W1-X1</f>
        <v>2</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2</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131.69999999999999</v>
      </c>
      <c r="W4" s="29">
        <f>IF(AO4="  ","  ",IF(AO5="  ","?",1*(AO5-AO4)))</f>
        <v>0.5</v>
      </c>
      <c r="X4" s="30" t="str">
        <f t="shared" ref="X4:X28" si="4">IF(Y4=0,"--",CONCATENATE(IF(AO4=0,"-",IF(Y3=0,"-",IF(AO4-AO3=0.5,"D",IF(AO4-AO3=1,"W","-")))),IF(AO4=Long_Div,"-",IF(Y5=0,"-",IF(AO5-AO4=0.5,"D",IF(AO5-AO4=1,"W","-"))))))</f>
        <v>--</v>
      </c>
      <c r="Y4" s="30">
        <f t="shared" ref="Y4:Y28" si="5">IF(ISNUMBER(AO4),IF(AO4=Long_Div/2,"-",IF(AND(AO4=Long_Div,$AP4=0,$AP3=0),0,IF(AND(AO4=0,$AP4=0,$AP5=0),0,IF($AO4&lt;Long_Div/2,IF(AND(Y3=0,$AP4=0,$AP5=0),0,"-"),IF(AND(Y5=0,$AP4=0,$AP3=0),0,"-")))))," ")</f>
        <v>0</v>
      </c>
      <c r="Z4" s="29" t="b">
        <f t="shared" ref="Z4:Z28" si="6">IF(ISNUMBER(AO4),IF(AO4=0,IF(AO5=0.5,TRUE,FALSE),IF(AO4=Long_Div,IF(AO3=Long_Div-0.5,TRUE,FALSE),IF(OR(AO5-AO4=0.5,AO4-AO3=0.5),TRUE,FALSE)))," ")</f>
        <v>1</v>
      </c>
      <c r="AA4" s="29" t="str">
        <f t="shared" ref="AA4:AA28" si="7">IF(ISNUMBER(AO4),IF(Y4=0," ",IF(AO4=0,IF(AO5=0.5,TRUE,"-"),IF(AO4=Long_Div,IF(AO3=Long_Div-0.5,TRUE,"-"),IF(OR(AO5-AO4=0.5,AO4-AO3=0.5),TRUE,FALSE))))," ")</f>
        <v xml:space="preserve"> </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str">
        <f t="shared" ref="AG4:AG28" si="11">IF(ISNUMBER(AO4),IF(AA4=" "," ",IF(AO4=0,IF(AO5-AO4=1,TRUE,FALSE),IF(AO4=Long_Div,IF(AO4-AO3=1,TRUE,FALSE),IF(OR(AO5-AO4=1,AO4-AO3=1),TRUE,FALSE))))," ")</f>
        <v xml:space="preserve"> </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
      </c>
      <c r="AJ4" s="29">
        <f t="shared" ref="AJ4:AJ28" ca="1" si="14">IF(OR(AB4="1331-1",AB4="1331-1,141-1"),(1/2)*(3/8),IF(AB4="1331-3",(1/2)*(9/8),IF(AB4="141-1",(1/2)*(1/3),IF(AB4="141-2",(1/2)*(2/3),IF(AB4="141-4",(1/2)*(4/3),0)))))</f>
        <v>0</v>
      </c>
      <c r="AK4" s="29" t="str">
        <f t="shared" ref="AK4:AK28" si="15">IF(AH4="1331-1,141-1","(1*3/8)+(1/3)",IF(LEFT(AH4,4)="141-",CONCATENATE(RIGHT(AH4,1),"/3"),IF(LEFT(AH4,4)="1331",CONCATENATE(RIGHT(AH4,1),"*3/8"),"")))</f>
        <v/>
      </c>
      <c r="AL4" s="29">
        <f t="shared" ref="AL4:AL28" si="16">IF(AH4="1331-1,141-1",(1*3/8)+(1/3),IF(LEFT(AH4,4)="141-",(RIGHT(AH4,1)/3),IF(LEFT(AH4,4)="1331",RIGHT(AH4,1)*3/8,0)))</f>
        <v>0</v>
      </c>
      <c r="AM4" s="32" t="str">
        <f ca="1">IF(AQ4=""," ",AJ4+AL4)</f>
        <v xml:space="preserve"> </v>
      </c>
      <c r="AO4" s="20">
        <f>Tools!$AD3</f>
        <v>0</v>
      </c>
      <c r="AP4" s="33">
        <f t="shared" ref="AP4" si="17">VLOOKUP(AO4,OFFSET_A,Count_WL+1,FALSE)</f>
        <v>0</v>
      </c>
      <c r="AQ4" s="34" t="str">
        <f t="shared" ref="AQ4:AQ28" ca="1" si="18">CONCATENATE(AI4,IF(NOT(OR(AI4="",AK4="")),"+",""),AK4)</f>
        <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f t="shared" ref="AV4:AV28" si="21">IFERROR(AP4^3,"  ")</f>
        <v>0</v>
      </c>
      <c r="AW4" s="23" t="str">
        <f t="shared" ref="AW4:AW28" ca="1" si="22">IFERROR(AV4*AM4,"  ")</f>
        <v xml:space="preserve">  </v>
      </c>
      <c r="AY4" s="35">
        <f t="shared" ref="AY4:AY28" si="23">IF(ROW(AY4)-3&gt;Max_STN_count," ",VLOOKUP(AO4,AREA_TABLE,Count_WL+1,FALSE))</f>
        <v>0</v>
      </c>
      <c r="AZ4" s="23" t="str">
        <f t="shared" ref="AZ4:AZ7" ca="1" si="24">IFERROR(AY4*AM4,"  ")</f>
        <v xml:space="preserve">  </v>
      </c>
      <c r="BA4" s="36">
        <f t="shared" ref="BA4:BA28" si="25">IF(ROW(AY4)-3&gt;Max_STN_count," ",VLOOKUP(AO4,MOMENT_TABLE,Count_WL+1,FALSE))</f>
        <v>0</v>
      </c>
      <c r="BB4" s="27" t="str">
        <f ca="1">IFERROR(BA4*AM4,"  ")</f>
        <v xml:space="preserve">  </v>
      </c>
      <c r="BC4" s="23" t="str">
        <f ca="1">IFERROR(AZ4*AS4,"  ")</f>
        <v xml:space="preserve">  </v>
      </c>
      <c r="BE4" s="16" t="s">
        <v>26</v>
      </c>
      <c r="BF4" s="9" t="s">
        <v>8</v>
      </c>
      <c r="BG4" s="28">
        <f>LBP</f>
        <v>131.69999999999999</v>
      </c>
    </row>
    <row r="5" spans="1:60" x14ac:dyDescent="0.25">
      <c r="A5" s="20">
        <f>Tools!$AD4</f>
        <v>0.5</v>
      </c>
      <c r="B5" s="33">
        <f t="shared" si="0"/>
        <v>0</v>
      </c>
      <c r="C5" s="22">
        <f>IF(A5="  ","  ",IF(AND(A4="  ",A6="  "),"?",IF(A4="  ",2*(A6-A5),IF(A6="  ",2*(A5-A4),2*(A6-A4)))))</f>
        <v>2</v>
      </c>
      <c r="D5" s="23">
        <f t="shared" ref="D5:D28" si="26">IFERROR(B5*C5,"  ")</f>
        <v>0</v>
      </c>
      <c r="E5" s="24">
        <f t="shared" si="1"/>
        <v>-9.5</v>
      </c>
      <c r="F5" s="23">
        <f t="shared" ref="F5:F28" si="27">IFERROR(D5*E5,"  ")</f>
        <v>0</v>
      </c>
      <c r="G5" s="23">
        <f t="shared" ref="G5:G28" si="28">IFERROR(F5*E5,"  ")</f>
        <v>0</v>
      </c>
      <c r="H5" s="23">
        <f t="shared" ref="H5:H28" si="29">IFERROR(B5^3,"  ")</f>
        <v>0</v>
      </c>
      <c r="I5" s="23">
        <f t="shared" ref="I5:I28" si="30">IFERROR(H5*C5,"  ")</f>
        <v>0</v>
      </c>
      <c r="J5" s="4"/>
      <c r="K5" s="37">
        <f t="shared" si="2"/>
        <v>0</v>
      </c>
      <c r="L5" s="23">
        <f t="shared" ref="L5:L28" si="31">IFERROR(K5*C5,"  ")</f>
        <v>0</v>
      </c>
      <c r="M5" s="38">
        <f t="shared" si="3"/>
        <v>0</v>
      </c>
      <c r="N5" s="27">
        <f t="shared" ref="N5:N28" si="32">IFERROR(M5*C5,"  ")</f>
        <v>0</v>
      </c>
      <c r="O5" s="23">
        <f t="shared" ref="O5:O28" si="33">IFERROR(L5*E5,"  ")</f>
        <v>0</v>
      </c>
      <c r="P5" s="4"/>
      <c r="Q5" s="8" t="s">
        <v>27</v>
      </c>
      <c r="R5" s="9" t="s">
        <v>8</v>
      </c>
      <c r="S5" s="10">
        <f>BREADTH</f>
        <v>24.5</v>
      </c>
      <c r="W5" s="29">
        <f>IF(AO5="  ","  ",IF(AND(AO4="  ",AO6="  "),"?",IF(AO4="  ",2*(AO6-AO5),IF(AO6="  ",2*(AO5-AO4),2*(AO6-AO4)))))</f>
        <v>2</v>
      </c>
      <c r="X5" s="30" t="str">
        <f t="shared" si="4"/>
        <v>--</v>
      </c>
      <c r="Y5" s="30">
        <f t="shared" si="5"/>
        <v>0</v>
      </c>
      <c r="Z5" s="29" t="b">
        <f t="shared" si="6"/>
        <v>1</v>
      </c>
      <c r="AA5" s="29" t="str">
        <f t="shared" si="7"/>
        <v xml:space="preserve"> </v>
      </c>
      <c r="AB5" s="29" t="str">
        <f t="shared" ca="1" si="8"/>
        <v>--</v>
      </c>
      <c r="AC5" s="29">
        <f t="shared" ref="AC5:AC27" si="34">IF(ISNUMBER(AO5),IF(ISNUMBER(AO5),IF(OR(AO5=0,AO5=Long_Div),1,IF(AO5&gt;Long_Div/2,AC6+1,IF(AO5&lt;=Long_Div/2,AC4+1,"?")))," --")," ")</f>
        <v>2</v>
      </c>
      <c r="AD5" s="29">
        <f t="shared" ca="1" si="9"/>
        <v>0</v>
      </c>
      <c r="AE5" s="29">
        <v>2</v>
      </c>
      <c r="AF5" s="31" t="str">
        <f t="shared" si="10"/>
        <v xml:space="preserve"> </v>
      </c>
      <c r="AG5" s="29" t="str">
        <f t="shared" si="11"/>
        <v xml:space="preserve"> </v>
      </c>
      <c r="AH5" s="30" t="str">
        <f t="shared" si="12"/>
        <v>-</v>
      </c>
      <c r="AI5" s="30" t="str">
        <f t="shared" ca="1" si="13"/>
        <v/>
      </c>
      <c r="AJ5" s="29">
        <f t="shared" ca="1" si="14"/>
        <v>0</v>
      </c>
      <c r="AK5" s="29" t="str">
        <f t="shared" si="15"/>
        <v/>
      </c>
      <c r="AL5" s="29">
        <f t="shared" si="16"/>
        <v>0</v>
      </c>
      <c r="AM5" s="32" t="str">
        <f t="shared" ref="AM5:AM28" ca="1" si="35">IF(AQ5=""," ",AJ5+AL5)</f>
        <v xml:space="preserve"> </v>
      </c>
      <c r="AO5" s="20">
        <f>Tools!$AD4</f>
        <v>0.5</v>
      </c>
      <c r="AP5" s="33">
        <f t="shared" ref="AP5:AP26" si="36">VLOOKUP(AO5,OFFSET_A,Count_WL+1,FALSE)</f>
        <v>0</v>
      </c>
      <c r="AQ5" s="34" t="str">
        <f t="shared" ca="1" si="18"/>
        <v/>
      </c>
      <c r="AR5" s="23" t="str">
        <f t="shared" ca="1" si="19"/>
        <v xml:space="preserve">  </v>
      </c>
      <c r="AS5" s="24">
        <f t="shared" si="20"/>
        <v>-9.5</v>
      </c>
      <c r="AT5" s="23" t="str">
        <f t="shared" ref="AT5:AT28" ca="1" si="37">IFERROR(AR5*AS5,"  ")</f>
        <v xml:space="preserve">  </v>
      </c>
      <c r="AU5" s="23" t="str">
        <f ca="1">IFERROR(AT5*AS5,"  ")</f>
        <v xml:space="preserve">  </v>
      </c>
      <c r="AV5" s="23">
        <f t="shared" si="21"/>
        <v>0</v>
      </c>
      <c r="AW5" s="23" t="str">
        <f t="shared" ca="1" si="22"/>
        <v xml:space="preserve">  </v>
      </c>
      <c r="AY5" s="35">
        <f t="shared" si="23"/>
        <v>0</v>
      </c>
      <c r="AZ5" s="23" t="str">
        <f t="shared" ca="1" si="24"/>
        <v xml:space="preserve">  </v>
      </c>
      <c r="BA5" s="36">
        <f t="shared" si="25"/>
        <v>0</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f t="shared" si="0"/>
        <v>0</v>
      </c>
      <c r="C6" s="22">
        <f>IF(A6="  ","  ",IF(AND(A5="  ",A7="  "),"?",IF(A5="  ",1*(A7-A6),IF(A7="  ",1*(A6-A5),1*(A7-A5)))))</f>
        <v>1</v>
      </c>
      <c r="D6" s="23">
        <f t="shared" si="26"/>
        <v>0</v>
      </c>
      <c r="E6" s="24">
        <f t="shared" si="1"/>
        <v>-9</v>
      </c>
      <c r="F6" s="23">
        <f t="shared" si="27"/>
        <v>0</v>
      </c>
      <c r="G6" s="23">
        <f t="shared" si="28"/>
        <v>0</v>
      </c>
      <c r="H6" s="23">
        <f t="shared" si="29"/>
        <v>0</v>
      </c>
      <c r="I6" s="23">
        <f t="shared" si="30"/>
        <v>0</v>
      </c>
      <c r="J6" s="4"/>
      <c r="K6" s="37">
        <f t="shared" si="2"/>
        <v>0</v>
      </c>
      <c r="L6" s="23">
        <f t="shared" si="31"/>
        <v>0</v>
      </c>
      <c r="M6" s="38">
        <f t="shared" si="3"/>
        <v>0</v>
      </c>
      <c r="N6" s="27">
        <f t="shared" si="32"/>
        <v>0</v>
      </c>
      <c r="O6" s="23">
        <f t="shared" si="33"/>
        <v>0</v>
      </c>
      <c r="P6" s="4"/>
      <c r="Q6" s="8" t="s">
        <v>28</v>
      </c>
      <c r="R6" s="9" t="s">
        <v>8</v>
      </c>
      <c r="S6" s="10">
        <f>DEPTH</f>
        <v>14.19</v>
      </c>
      <c r="W6" s="29">
        <f>IF(AO6="  ","  ",IF(AND(AO5="  ",AO7="  "),"?",IF(AO5="  ",1*(AO7-AO6),IF(AO7="  ",1*(AO6-AO5),1*(AO7-AO5)))))</f>
        <v>1</v>
      </c>
      <c r="X6" s="30" t="str">
        <f t="shared" si="4"/>
        <v>-D</v>
      </c>
      <c r="Y6" s="30" t="str">
        <f t="shared" si="5"/>
        <v>-</v>
      </c>
      <c r="Z6" s="29" t="b">
        <f t="shared" si="6"/>
        <v>1</v>
      </c>
      <c r="AA6" s="29" t="b">
        <f t="shared" si="7"/>
        <v>1</v>
      </c>
      <c r="AB6" s="29" t="str">
        <f t="shared" ca="1" si="8"/>
        <v>141-1</v>
      </c>
      <c r="AC6" s="29">
        <f t="shared" si="34"/>
        <v>3</v>
      </c>
      <c r="AD6" s="29">
        <f t="shared" ca="1" si="9"/>
        <v>1</v>
      </c>
      <c r="AE6" s="29">
        <v>3</v>
      </c>
      <c r="AF6" s="31" t="str">
        <f t="shared" si="10"/>
        <v xml:space="preserve"> </v>
      </c>
      <c r="AG6" s="29" t="b">
        <f t="shared" si="11"/>
        <v>0</v>
      </c>
      <c r="AH6" s="30" t="str">
        <f t="shared" si="12"/>
        <v>-</v>
      </c>
      <c r="AI6" s="30" t="str">
        <f t="shared" ca="1" si="13"/>
        <v>(1/2)*(1/3)</v>
      </c>
      <c r="AJ6" s="29">
        <f t="shared" ca="1" si="14"/>
        <v>0.16666666666666666</v>
      </c>
      <c r="AK6" s="29" t="str">
        <f t="shared" si="15"/>
        <v/>
      </c>
      <c r="AL6" s="29">
        <f t="shared" si="16"/>
        <v>0</v>
      </c>
      <c r="AM6" s="32">
        <f t="shared" ca="1" si="35"/>
        <v>0.16666666666666666</v>
      </c>
      <c r="AO6" s="20">
        <f>Tools!$AD5</f>
        <v>1</v>
      </c>
      <c r="AP6" s="33">
        <f t="shared" si="36"/>
        <v>0</v>
      </c>
      <c r="AQ6" s="34" t="str">
        <f t="shared" ca="1" si="18"/>
        <v>(1/2)*(1/3)</v>
      </c>
      <c r="AR6" s="23">
        <f t="shared" ca="1" si="19"/>
        <v>0</v>
      </c>
      <c r="AS6" s="24">
        <f t="shared" si="20"/>
        <v>-9</v>
      </c>
      <c r="AT6" s="23">
        <f t="shared" ca="1" si="37"/>
        <v>0</v>
      </c>
      <c r="AU6" s="23">
        <f ca="1">IFERROR(AT6*AS6,"  ")</f>
        <v>0</v>
      </c>
      <c r="AV6" s="23">
        <f t="shared" si="21"/>
        <v>0</v>
      </c>
      <c r="AW6" s="23">
        <f t="shared" ca="1" si="22"/>
        <v>0</v>
      </c>
      <c r="AY6" s="35">
        <f t="shared" si="23"/>
        <v>0</v>
      </c>
      <c r="AZ6" s="23">
        <f t="shared" ca="1" si="24"/>
        <v>0</v>
      </c>
      <c r="BA6" s="36">
        <f t="shared" si="25"/>
        <v>0</v>
      </c>
      <c r="BB6" s="27">
        <f t="shared" ca="1" si="38"/>
        <v>0</v>
      </c>
      <c r="BC6" s="23">
        <f t="shared" ca="1" si="39"/>
        <v>0</v>
      </c>
      <c r="BE6" s="8" t="s">
        <v>28</v>
      </c>
      <c r="BF6" s="9" t="s">
        <v>8</v>
      </c>
      <c r="BG6" s="10">
        <f>DEPTH</f>
        <v>14.19</v>
      </c>
    </row>
    <row r="7" spans="1:60" x14ac:dyDescent="0.25">
      <c r="A7" s="20">
        <f>Tools!$AD6</f>
        <v>1.5</v>
      </c>
      <c r="B7" s="33">
        <f t="shared" si="0"/>
        <v>1.2</v>
      </c>
      <c r="C7" s="22">
        <f>IF(A7="  ","  ",IF(AND(A6="  ",A8="  "),"?",IF(A6="  ",2*(A8-A7),IF(A8="  ",2*(A7-A6),2*(A8-A6)))))</f>
        <v>2</v>
      </c>
      <c r="D7" s="23">
        <f t="shared" si="26"/>
        <v>2.4</v>
      </c>
      <c r="E7" s="24">
        <f t="shared" si="1"/>
        <v>-8.5</v>
      </c>
      <c r="F7" s="23">
        <f t="shared" si="27"/>
        <v>-20.399999999999999</v>
      </c>
      <c r="G7" s="23">
        <f t="shared" si="28"/>
        <v>173.39999999999998</v>
      </c>
      <c r="H7" s="23">
        <f t="shared" si="29"/>
        <v>1.728</v>
      </c>
      <c r="I7" s="23">
        <f t="shared" si="30"/>
        <v>3.456</v>
      </c>
      <c r="J7" s="4"/>
      <c r="K7" s="37">
        <f t="shared" si="2"/>
        <v>4.5</v>
      </c>
      <c r="L7" s="23">
        <f t="shared" si="31"/>
        <v>9</v>
      </c>
      <c r="M7" s="38">
        <f t="shared" si="3"/>
        <v>18.609000000000002</v>
      </c>
      <c r="N7" s="27">
        <f t="shared" si="32"/>
        <v>37.218000000000004</v>
      </c>
      <c r="O7" s="23">
        <f t="shared" si="33"/>
        <v>-76.5</v>
      </c>
      <c r="P7" s="4"/>
      <c r="Q7" s="39" t="s">
        <v>29</v>
      </c>
      <c r="R7" s="40" t="s">
        <v>8</v>
      </c>
      <c r="S7" s="41">
        <f>IF(MAX(B4:B28)=0," ",2*MAX(B4:B28))</f>
        <v>24.5</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2</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1.2</v>
      </c>
      <c r="AQ7" s="34" t="str">
        <f t="shared" ca="1" si="18"/>
        <v>(1/2)*(4/3)</v>
      </c>
      <c r="AR7" s="23">
        <f t="shared" ca="1" si="19"/>
        <v>0.79999999999999993</v>
      </c>
      <c r="AS7" s="24">
        <f t="shared" si="20"/>
        <v>-8.5</v>
      </c>
      <c r="AT7" s="23">
        <f t="shared" ca="1" si="37"/>
        <v>-6.8</v>
      </c>
      <c r="AU7" s="23">
        <f t="shared" ref="AU7:AU28" ca="1" si="40">IFERROR(AT7*AS7,"  ")</f>
        <v>57.8</v>
      </c>
      <c r="AV7" s="23">
        <f t="shared" si="21"/>
        <v>1.728</v>
      </c>
      <c r="AW7" s="23">
        <f t="shared" ca="1" si="22"/>
        <v>1.1519999999999999</v>
      </c>
      <c r="AY7" s="35">
        <f t="shared" si="23"/>
        <v>4.5</v>
      </c>
      <c r="AZ7" s="23">
        <f t="shared" ca="1" si="24"/>
        <v>3</v>
      </c>
      <c r="BA7" s="36">
        <f t="shared" si="25"/>
        <v>18.609000000000002</v>
      </c>
      <c r="BB7" s="27">
        <f t="shared" ca="1" si="38"/>
        <v>12.406000000000001</v>
      </c>
      <c r="BC7" s="23">
        <f t="shared" ca="1" si="39"/>
        <v>-25.5</v>
      </c>
      <c r="BE7" s="8" t="s">
        <v>29</v>
      </c>
      <c r="BF7" s="9" t="s">
        <v>8</v>
      </c>
      <c r="BG7" s="10">
        <f>IF(MAX(AP4:AP28)=0," ",2*MAX(AP4:AP28))</f>
        <v>24.5</v>
      </c>
    </row>
    <row r="8" spans="1:60" x14ac:dyDescent="0.25">
      <c r="A8" s="20">
        <f>Tools!$AD7</f>
        <v>2</v>
      </c>
      <c r="B8" s="33">
        <f t="shared" si="0"/>
        <v>2.7</v>
      </c>
      <c r="C8" s="22">
        <f>IF(A8="  ","  ",IF(AND(A7="  ",A9="  "),"?",IF(A7="  ",1*(A9-A8),IF(A9="  ",1*(A8-A7),1*(A9-A7)))))</f>
        <v>1.5</v>
      </c>
      <c r="D8" s="23">
        <f t="shared" si="26"/>
        <v>4.0500000000000007</v>
      </c>
      <c r="E8" s="24">
        <f t="shared" si="1"/>
        <v>-8</v>
      </c>
      <c r="F8" s="23">
        <f t="shared" si="27"/>
        <v>-32.400000000000006</v>
      </c>
      <c r="G8" s="23">
        <f t="shared" si="28"/>
        <v>259.20000000000005</v>
      </c>
      <c r="H8" s="23">
        <f t="shared" si="29"/>
        <v>19.683000000000003</v>
      </c>
      <c r="I8" s="23">
        <f t="shared" si="30"/>
        <v>29.524500000000003</v>
      </c>
      <c r="J8" s="4"/>
      <c r="K8" s="37">
        <f t="shared" si="2"/>
        <v>14.102999999999998</v>
      </c>
      <c r="L8" s="23">
        <f t="shared" si="31"/>
        <v>21.154499999999999</v>
      </c>
      <c r="M8" s="38">
        <f t="shared" si="3"/>
        <v>51.095130000000012</v>
      </c>
      <c r="N8" s="27">
        <f t="shared" si="32"/>
        <v>76.642695000000018</v>
      </c>
      <c r="O8" s="23">
        <f t="shared" si="33"/>
        <v>-169.23599999999999</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3</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2.7</v>
      </c>
      <c r="AQ8" s="34" t="str">
        <f t="shared" ca="1" si="18"/>
        <v>(1/2)*(1/3)+1/3</v>
      </c>
      <c r="AR8" s="23">
        <f t="shared" ca="1" si="19"/>
        <v>1.35</v>
      </c>
      <c r="AS8" s="24">
        <f t="shared" si="20"/>
        <v>-8</v>
      </c>
      <c r="AT8" s="23">
        <f t="shared" ca="1" si="37"/>
        <v>-10.8</v>
      </c>
      <c r="AU8" s="23">
        <f t="shared" ca="1" si="40"/>
        <v>86.4</v>
      </c>
      <c r="AV8" s="23">
        <f t="shared" si="21"/>
        <v>19.683000000000003</v>
      </c>
      <c r="AW8" s="23">
        <f t="shared" ca="1" si="22"/>
        <v>9.8415000000000017</v>
      </c>
      <c r="AY8" s="35">
        <f t="shared" si="23"/>
        <v>14.102999999999998</v>
      </c>
      <c r="AZ8" s="23">
        <f ca="1">IFERROR(AY8*AM8,"  ")</f>
        <v>7.051499999999999</v>
      </c>
      <c r="BA8" s="36">
        <f t="shared" si="25"/>
        <v>51.095130000000012</v>
      </c>
      <c r="BB8" s="27">
        <f t="shared" ca="1" si="38"/>
        <v>25.547565000000006</v>
      </c>
      <c r="BC8" s="23">
        <f t="shared" ca="1" si="39"/>
        <v>-56.411999999999992</v>
      </c>
      <c r="BE8" s="8" t="s">
        <v>30</v>
      </c>
      <c r="BF8" s="9" t="s">
        <v>8</v>
      </c>
      <c r="BG8" s="10">
        <f ca="1">LBP-AJ33</f>
        <v>125.11499999999999</v>
      </c>
      <c r="BH8" t="str">
        <f ca="1">IF(AJ33&gt;0,CONCATENATE("(LWL is assumed between stations ",$AH$31," and ",$AH$33," as offset values extreme to these stations are zeros.)"),"")</f>
        <v>(LWL is assumed between stations 1 and 20 as offset values extreme to these stations are zeros.)</v>
      </c>
    </row>
    <row r="9" spans="1:60" x14ac:dyDescent="0.25">
      <c r="A9" s="20">
        <f>Tools!$AD8</f>
        <v>3</v>
      </c>
      <c r="B9" s="33">
        <f t="shared" si="0"/>
        <v>5.7</v>
      </c>
      <c r="C9" s="22">
        <f>IF(A9="  ","  ",IF(AND(A8="  ",A10="  "),"?",IF(A8="  ",2*(A10-A9),IF(A10="  ",2*(A9-A8),2*(A10-A8)))))</f>
        <v>4</v>
      </c>
      <c r="D9" s="23">
        <f t="shared" si="26"/>
        <v>22.8</v>
      </c>
      <c r="E9" s="24">
        <f t="shared" si="1"/>
        <v>-7</v>
      </c>
      <c r="F9" s="23">
        <f t="shared" si="27"/>
        <v>-159.6</v>
      </c>
      <c r="G9" s="23">
        <f t="shared" si="28"/>
        <v>1117.2</v>
      </c>
      <c r="H9" s="23">
        <f t="shared" si="29"/>
        <v>185.19300000000001</v>
      </c>
      <c r="I9" s="23">
        <f t="shared" si="30"/>
        <v>740.77200000000005</v>
      </c>
      <c r="J9" s="4"/>
      <c r="K9" s="37">
        <f t="shared" si="2"/>
        <v>30.047999999999995</v>
      </c>
      <c r="L9" s="23">
        <f t="shared" si="31"/>
        <v>120.19199999999998</v>
      </c>
      <c r="M9" s="38">
        <f t="shared" si="3"/>
        <v>101.56320000000001</v>
      </c>
      <c r="N9" s="27">
        <f t="shared" si="32"/>
        <v>406.25280000000004</v>
      </c>
      <c r="O9" s="23">
        <f t="shared" si="33"/>
        <v>-841.34399999999982</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4</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5.7</v>
      </c>
      <c r="AQ9" s="34" t="str">
        <f t="shared" ca="1" si="18"/>
        <v>4/3</v>
      </c>
      <c r="AR9" s="23">
        <f t="shared" ca="1" si="19"/>
        <v>7.6</v>
      </c>
      <c r="AS9" s="24">
        <f t="shared" si="20"/>
        <v>-7</v>
      </c>
      <c r="AT9" s="23">
        <f t="shared" ca="1" si="37"/>
        <v>-53.199999999999996</v>
      </c>
      <c r="AU9" s="23">
        <f t="shared" ca="1" si="40"/>
        <v>372.4</v>
      </c>
      <c r="AV9" s="23">
        <f t="shared" si="21"/>
        <v>185.19300000000001</v>
      </c>
      <c r="AW9" s="23">
        <f t="shared" ca="1" si="22"/>
        <v>246.92400000000001</v>
      </c>
      <c r="AY9" s="35">
        <f t="shared" si="23"/>
        <v>30.047999999999995</v>
      </c>
      <c r="AZ9" s="23">
        <f t="shared" ref="AZ9:AZ28" ca="1" si="41">IFERROR(AY9*AM9,"  ")</f>
        <v>40.063999999999993</v>
      </c>
      <c r="BA9" s="36">
        <f t="shared" si="25"/>
        <v>101.56320000000001</v>
      </c>
      <c r="BB9" s="27">
        <f t="shared" ca="1" si="38"/>
        <v>135.41759999999999</v>
      </c>
      <c r="BC9" s="23">
        <f t="shared" ca="1" si="39"/>
        <v>-280.44799999999998</v>
      </c>
    </row>
    <row r="10" spans="1:60" x14ac:dyDescent="0.25">
      <c r="A10" s="20">
        <f>Tools!$AD9</f>
        <v>4</v>
      </c>
      <c r="B10" s="33">
        <f t="shared" si="0"/>
        <v>9.1999999999999993</v>
      </c>
      <c r="C10" s="22">
        <f>IF(A10="  ","  ",IF(AND(A9="  ",A11="  "),"?",IF(A9="  ",1*(A11-A10),IF(A11="  ",1*(A10-A9),1*(A11-A9)))))</f>
        <v>2</v>
      </c>
      <c r="D10" s="23">
        <f t="shared" si="26"/>
        <v>18.399999999999999</v>
      </c>
      <c r="E10" s="24">
        <f t="shared" si="1"/>
        <v>-6</v>
      </c>
      <c r="F10" s="23">
        <f t="shared" si="27"/>
        <v>-110.39999999999999</v>
      </c>
      <c r="G10" s="23">
        <f t="shared" si="28"/>
        <v>662.4</v>
      </c>
      <c r="H10" s="23">
        <f t="shared" si="29"/>
        <v>778.68799999999976</v>
      </c>
      <c r="I10" s="23">
        <f>IFERROR(H10*C10,"  ")</f>
        <v>1557.3759999999995</v>
      </c>
      <c r="J10" s="4"/>
      <c r="K10" s="37">
        <f t="shared" si="2"/>
        <v>54.432000000000002</v>
      </c>
      <c r="L10" s="23">
        <f t="shared" si="31"/>
        <v>108.864</v>
      </c>
      <c r="M10" s="38">
        <f t="shared" si="3"/>
        <v>179.90640000000002</v>
      </c>
      <c r="N10" s="27">
        <f t="shared" si="32"/>
        <v>359.81280000000004</v>
      </c>
      <c r="O10" s="23">
        <f t="shared" si="33"/>
        <v>-653.18399999999997</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5</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9.1999999999999993</v>
      </c>
      <c r="AQ10" s="34" t="str">
        <f t="shared" ca="1" si="18"/>
        <v>2/3</v>
      </c>
      <c r="AR10" s="23">
        <f t="shared" ca="1" si="19"/>
        <v>6.1333333333333329</v>
      </c>
      <c r="AS10" s="24">
        <f t="shared" si="20"/>
        <v>-6</v>
      </c>
      <c r="AT10" s="23">
        <f t="shared" ca="1" si="37"/>
        <v>-36.799999999999997</v>
      </c>
      <c r="AU10" s="23">
        <f ca="1">IFERROR(AT10*AS10,"  ")</f>
        <v>220.79999999999998</v>
      </c>
      <c r="AV10" s="23">
        <f t="shared" si="21"/>
        <v>778.68799999999976</v>
      </c>
      <c r="AW10" s="23">
        <f t="shared" ca="1" si="22"/>
        <v>519.12533333333317</v>
      </c>
      <c r="AY10" s="35">
        <f t="shared" si="23"/>
        <v>54.432000000000002</v>
      </c>
      <c r="AZ10" s="23">
        <f t="shared" ca="1" si="41"/>
        <v>36.287999999999997</v>
      </c>
      <c r="BA10" s="36">
        <f t="shared" si="25"/>
        <v>179.90640000000002</v>
      </c>
      <c r="BB10" s="27">
        <f t="shared" ca="1" si="38"/>
        <v>119.9376</v>
      </c>
      <c r="BC10" s="23">
        <f t="shared" ca="1" si="39"/>
        <v>-217.72799999999998</v>
      </c>
      <c r="BE10" s="43" t="s">
        <v>31</v>
      </c>
      <c r="BF10" s="44" t="s">
        <v>32</v>
      </c>
      <c r="BG10" s="506" t="s">
        <v>33</v>
      </c>
    </row>
    <row r="11" spans="1:60" x14ac:dyDescent="0.25">
      <c r="A11" s="20">
        <f>Tools!$AD10</f>
        <v>5</v>
      </c>
      <c r="B11" s="33">
        <f t="shared" si="0"/>
        <v>11.15</v>
      </c>
      <c r="C11" s="22">
        <f>IF(A11="  ","  ",IF(AND(A10="  ",A12="  "),"?",IF(A10="  ",2*(A12-A11),IF(A12="  ",2*(A11-A10),2*(A12-A10)))))</f>
        <v>4</v>
      </c>
      <c r="D11" s="23">
        <f t="shared" si="26"/>
        <v>44.6</v>
      </c>
      <c r="E11" s="24">
        <f t="shared" si="1"/>
        <v>-5</v>
      </c>
      <c r="F11" s="23">
        <f t="shared" si="27"/>
        <v>-223</v>
      </c>
      <c r="G11" s="23">
        <f t="shared" si="28"/>
        <v>1115</v>
      </c>
      <c r="H11" s="23">
        <f t="shared" si="29"/>
        <v>1386.1958750000001</v>
      </c>
      <c r="I11" s="23">
        <f t="shared" si="30"/>
        <v>5544.7835000000005</v>
      </c>
      <c r="J11" s="4"/>
      <c r="K11" s="37">
        <f t="shared" si="2"/>
        <v>80.201999999999984</v>
      </c>
      <c r="L11" s="23">
        <f t="shared" si="31"/>
        <v>320.80799999999994</v>
      </c>
      <c r="M11" s="38">
        <f t="shared" si="3"/>
        <v>258.41160000000002</v>
      </c>
      <c r="N11" s="27">
        <f t="shared" si="32"/>
        <v>1033.6464000000001</v>
      </c>
      <c r="O11" s="23">
        <f t="shared" si="33"/>
        <v>-1604.0399999999997</v>
      </c>
      <c r="P11" s="4"/>
      <c r="Q11" s="47" t="s">
        <v>34</v>
      </c>
      <c r="R11" s="48" t="s">
        <v>35</v>
      </c>
      <c r="S11">
        <f>IF(Tools!$L$49="Use 141 rule only",I35,IF(Tools!$L$49="Use 141 and 1331 rules",BG12," "))</f>
        <v>2152.5486999999994</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6</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11.15</v>
      </c>
      <c r="AQ11" s="34" t="str">
        <f t="shared" ca="1" si="18"/>
        <v>4/3</v>
      </c>
      <c r="AR11" s="23">
        <f t="shared" ca="1" si="19"/>
        <v>14.866666666666667</v>
      </c>
      <c r="AS11" s="24">
        <f t="shared" si="20"/>
        <v>-5</v>
      </c>
      <c r="AT11" s="23">
        <f t="shared" ca="1" si="37"/>
        <v>-74.333333333333343</v>
      </c>
      <c r="AU11" s="23">
        <f t="shared" ca="1" si="40"/>
        <v>371.66666666666674</v>
      </c>
      <c r="AV11" s="23">
        <f t="shared" si="21"/>
        <v>1386.1958750000001</v>
      </c>
      <c r="AW11" s="23">
        <f t="shared" ca="1" si="22"/>
        <v>1848.2611666666667</v>
      </c>
      <c r="AY11" s="35">
        <f t="shared" si="23"/>
        <v>80.201999999999984</v>
      </c>
      <c r="AZ11" s="23">
        <f t="shared" ca="1" si="41"/>
        <v>106.93599999999998</v>
      </c>
      <c r="BA11" s="36">
        <f t="shared" si="25"/>
        <v>258.41160000000002</v>
      </c>
      <c r="BB11" s="27">
        <f t="shared" ca="1" si="38"/>
        <v>344.54880000000003</v>
      </c>
      <c r="BC11" s="23">
        <f ca="1">IFERROR(AZ11*AS11,"  ")</f>
        <v>-534.67999999999984</v>
      </c>
      <c r="BE11" s="45"/>
      <c r="BF11" s="46"/>
      <c r="BG11" s="507"/>
    </row>
    <row r="12" spans="1:60" x14ac:dyDescent="0.25">
      <c r="A12" s="20">
        <f>Tools!$AD11</f>
        <v>6</v>
      </c>
      <c r="B12" s="33">
        <f t="shared" si="0"/>
        <v>11.97</v>
      </c>
      <c r="C12" s="22">
        <f>IF(A12="  ","  ",IF(AND(A11="  ",A13="  "),"?",IF(A11="  ",1*(A13-A12),IF(A13="  ",1*(A12-A11),1*(A13-A11)))))</f>
        <v>2</v>
      </c>
      <c r="D12" s="23">
        <f t="shared" si="26"/>
        <v>23.94</v>
      </c>
      <c r="E12" s="24">
        <f t="shared" si="1"/>
        <v>-4</v>
      </c>
      <c r="F12" s="23">
        <f t="shared" si="27"/>
        <v>-95.76</v>
      </c>
      <c r="G12" s="23">
        <f t="shared" si="28"/>
        <v>383.04</v>
      </c>
      <c r="H12" s="23">
        <f t="shared" si="29"/>
        <v>1715.0723730000002</v>
      </c>
      <c r="I12" s="23">
        <f t="shared" si="30"/>
        <v>3430.1447460000004</v>
      </c>
      <c r="J12" s="4"/>
      <c r="K12" s="37">
        <f t="shared" si="2"/>
        <v>98.927999999999997</v>
      </c>
      <c r="L12" s="23">
        <f t="shared" si="31"/>
        <v>197.85599999999999</v>
      </c>
      <c r="M12" s="38">
        <f t="shared" si="3"/>
        <v>307.51920000000007</v>
      </c>
      <c r="N12" s="27">
        <f t="shared" si="32"/>
        <v>615.03840000000014</v>
      </c>
      <c r="O12" s="23">
        <f t="shared" si="33"/>
        <v>-791.42399999999998</v>
      </c>
      <c r="P12" s="4"/>
      <c r="Q12" s="47" t="s">
        <v>36</v>
      </c>
      <c r="R12" s="48" t="s">
        <v>37</v>
      </c>
      <c r="S12">
        <f>IF(Tools!$L$49="Use 141 rule only",I36,IF(Tools!$L$49="Use 141 and 1331 rules",BG13," "))</f>
        <v>-558.79453949999754</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7</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11.97</v>
      </c>
      <c r="AQ12" s="34" t="str">
        <f t="shared" ca="1" si="18"/>
        <v>2/3</v>
      </c>
      <c r="AR12" s="23">
        <f t="shared" ca="1" si="19"/>
        <v>7.98</v>
      </c>
      <c r="AS12" s="24">
        <f t="shared" si="20"/>
        <v>-4</v>
      </c>
      <c r="AT12" s="23">
        <f t="shared" ca="1" si="37"/>
        <v>-31.92</v>
      </c>
      <c r="AU12" s="23">
        <f t="shared" ca="1" si="40"/>
        <v>127.68</v>
      </c>
      <c r="AV12" s="23">
        <f t="shared" si="21"/>
        <v>1715.0723730000002</v>
      </c>
      <c r="AW12" s="23">
        <f t="shared" ca="1" si="22"/>
        <v>1143.381582</v>
      </c>
      <c r="AY12" s="35">
        <f t="shared" si="23"/>
        <v>98.927999999999997</v>
      </c>
      <c r="AZ12" s="23">
        <f t="shared" ca="1" si="41"/>
        <v>65.951999999999998</v>
      </c>
      <c r="BA12" s="36">
        <f t="shared" si="25"/>
        <v>307.51920000000007</v>
      </c>
      <c r="BB12" s="27">
        <f t="shared" ca="1" si="38"/>
        <v>205.01280000000003</v>
      </c>
      <c r="BC12" s="23">
        <f t="shared" ca="1" si="39"/>
        <v>-263.80799999999999</v>
      </c>
      <c r="BE12" s="47" t="s">
        <v>34</v>
      </c>
      <c r="BF12" s="48" t="s">
        <v>38</v>
      </c>
      <c r="BG12" s="49">
        <f ca="1">IF(WL_No="  ","  ",2*h*$AR$29)</f>
        <v>2152.5486999999998</v>
      </c>
    </row>
    <row r="13" spans="1:60" x14ac:dyDescent="0.25">
      <c r="A13" s="20">
        <f>Tools!$AD12</f>
        <v>7</v>
      </c>
      <c r="B13" s="33">
        <f t="shared" si="0"/>
        <v>12.25</v>
      </c>
      <c r="C13" s="22">
        <f>IF(A13="  ","  ",IF(AND(A12="  ",A14="  "),"?",IF(A12="  ",2*(A14-A13),IF(A14="  ",2*(A13-A12),2*(A14-A12)))))</f>
        <v>4</v>
      </c>
      <c r="D13" s="23">
        <f t="shared" si="26"/>
        <v>49</v>
      </c>
      <c r="E13" s="24">
        <f t="shared" si="1"/>
        <v>-3</v>
      </c>
      <c r="F13" s="23">
        <f t="shared" si="27"/>
        <v>-147</v>
      </c>
      <c r="G13" s="23">
        <f t="shared" si="28"/>
        <v>441</v>
      </c>
      <c r="H13" s="23">
        <f t="shared" si="29"/>
        <v>1838.265625</v>
      </c>
      <c r="I13" s="23">
        <f t="shared" si="30"/>
        <v>7353.0625</v>
      </c>
      <c r="J13" s="4"/>
      <c r="K13" s="37">
        <f t="shared" si="2"/>
        <v>112.91399999999999</v>
      </c>
      <c r="L13" s="23">
        <f t="shared" si="31"/>
        <v>451.65599999999995</v>
      </c>
      <c r="M13" s="38">
        <f t="shared" si="3"/>
        <v>336.096</v>
      </c>
      <c r="N13" s="27">
        <f t="shared" si="32"/>
        <v>1344.384</v>
      </c>
      <c r="O13" s="23">
        <f t="shared" si="33"/>
        <v>-1354.9679999999998</v>
      </c>
      <c r="P13" s="4"/>
      <c r="Q13" s="50" t="s">
        <v>39</v>
      </c>
      <c r="R13" s="48" t="s">
        <v>40</v>
      </c>
      <c r="S13">
        <f>IF(Tools!$L$49="Use 141 rule only",I37,IF(Tools!$L$49="Use 141 and 1331 rules",BG14," "))</f>
        <v>-0.25959670018150932</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8</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12.25</v>
      </c>
      <c r="AQ13" s="34" t="str">
        <f t="shared" ca="1" si="18"/>
        <v>4/3</v>
      </c>
      <c r="AR13" s="23">
        <f t="shared" ca="1" si="19"/>
        <v>16.333333333333332</v>
      </c>
      <c r="AS13" s="24">
        <f t="shared" si="20"/>
        <v>-3</v>
      </c>
      <c r="AT13" s="23">
        <f t="shared" ca="1" si="37"/>
        <v>-49</v>
      </c>
      <c r="AU13" s="23">
        <f t="shared" ca="1" si="40"/>
        <v>147</v>
      </c>
      <c r="AV13" s="23">
        <f t="shared" si="21"/>
        <v>1838.265625</v>
      </c>
      <c r="AW13" s="23">
        <f t="shared" ca="1" si="22"/>
        <v>2451.020833333333</v>
      </c>
      <c r="AY13" s="35">
        <f t="shared" si="23"/>
        <v>112.91399999999999</v>
      </c>
      <c r="AZ13" s="23">
        <f t="shared" ca="1" si="41"/>
        <v>150.55199999999996</v>
      </c>
      <c r="BA13" s="36">
        <f t="shared" si="25"/>
        <v>336.096</v>
      </c>
      <c r="BB13" s="27">
        <f t="shared" ca="1" si="38"/>
        <v>448.12799999999999</v>
      </c>
      <c r="BC13" s="23">
        <f t="shared" ca="1" si="39"/>
        <v>-451.65599999999989</v>
      </c>
      <c r="BE13" s="47" t="s">
        <v>36</v>
      </c>
      <c r="BF13" s="48" t="s">
        <v>41</v>
      </c>
      <c r="BG13" s="49">
        <f ca="1">IF(WL_No="  ","  ",2*(h^2)*$AT$29)</f>
        <v>-558.79453950000277</v>
      </c>
    </row>
    <row r="14" spans="1:60" x14ac:dyDescent="0.25">
      <c r="A14" s="20">
        <f>Tools!$AD13</f>
        <v>8</v>
      </c>
      <c r="B14" s="33">
        <f t="shared" si="0"/>
        <v>12.25</v>
      </c>
      <c r="C14" s="22">
        <f>IF(A14="  ","  ",IF(AND(A13="  ",A15="  "),"?",IF(A13="  ",1*(A15-A14),IF(A15="  ",1*(A14-A13),1*(A15-A13)))))</f>
        <v>2</v>
      </c>
      <c r="D14" s="23">
        <f t="shared" si="26"/>
        <v>24.5</v>
      </c>
      <c r="E14" s="24">
        <f t="shared" si="1"/>
        <v>-2</v>
      </c>
      <c r="F14" s="23">
        <f t="shared" si="27"/>
        <v>-49</v>
      </c>
      <c r="G14" s="23">
        <f t="shared" si="28"/>
        <v>98</v>
      </c>
      <c r="H14" s="23">
        <f t="shared" si="29"/>
        <v>1838.265625</v>
      </c>
      <c r="I14" s="23">
        <f t="shared" si="30"/>
        <v>3676.53125</v>
      </c>
      <c r="J14" s="4"/>
      <c r="K14" s="37">
        <f t="shared" si="2"/>
        <v>121.518</v>
      </c>
      <c r="L14" s="23">
        <f t="shared" si="31"/>
        <v>243.036</v>
      </c>
      <c r="M14" s="38">
        <f t="shared" si="3"/>
        <v>348.57</v>
      </c>
      <c r="N14" s="27">
        <f t="shared" si="32"/>
        <v>697.14</v>
      </c>
      <c r="O14" s="23">
        <f t="shared" si="33"/>
        <v>-486.072</v>
      </c>
      <c r="P14" s="4"/>
      <c r="Q14" s="50" t="s">
        <v>42</v>
      </c>
      <c r="R14" s="48" t="s">
        <v>43</v>
      </c>
      <c r="S14">
        <f>IF(Tools!$L$49="Use 141 rule only",I38,IF(Tools!$L$49="Use 141 and 1331 rules",BG15," "))</f>
        <v>1680432.9348382868</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9</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12.25</v>
      </c>
      <c r="AQ14" s="34" t="str">
        <f t="shared" ca="1" si="18"/>
        <v>2/3</v>
      </c>
      <c r="AR14" s="23">
        <f t="shared" ca="1" si="19"/>
        <v>8.1666666666666661</v>
      </c>
      <c r="AS14" s="24">
        <f t="shared" si="20"/>
        <v>-2</v>
      </c>
      <c r="AT14" s="23">
        <f t="shared" ca="1" si="37"/>
        <v>-16.333333333333332</v>
      </c>
      <c r="AU14" s="23">
        <f t="shared" ca="1" si="40"/>
        <v>32.666666666666664</v>
      </c>
      <c r="AV14" s="23">
        <f t="shared" si="21"/>
        <v>1838.265625</v>
      </c>
      <c r="AW14" s="23">
        <f t="shared" ca="1" si="22"/>
        <v>1225.5104166666665</v>
      </c>
      <c r="AY14" s="35">
        <f t="shared" si="23"/>
        <v>121.518</v>
      </c>
      <c r="AZ14" s="23">
        <f t="shared" ca="1" si="41"/>
        <v>81.012</v>
      </c>
      <c r="BA14" s="36">
        <f t="shared" si="25"/>
        <v>348.57</v>
      </c>
      <c r="BB14" s="27">
        <f t="shared" ca="1" si="38"/>
        <v>232.38</v>
      </c>
      <c r="BC14" s="23">
        <f t="shared" ca="1" si="39"/>
        <v>-162.024</v>
      </c>
      <c r="BE14" s="50" t="s">
        <v>39</v>
      </c>
      <c r="BF14" s="48" t="s">
        <v>40</v>
      </c>
      <c r="BG14" s="49">
        <f>IF(WL_No="  ","  ",Mmid/AWP)</f>
        <v>-0.25959670018150932</v>
      </c>
    </row>
    <row r="15" spans="1:60" x14ac:dyDescent="0.25">
      <c r="A15" s="20">
        <f>Tools!$AD14</f>
        <v>9</v>
      </c>
      <c r="B15" s="33">
        <f t="shared" si="0"/>
        <v>12.25</v>
      </c>
      <c r="C15" s="22">
        <f>IF(A15="  ","  ",IF(AND(A14="  ",A16="  "),"?",IF(A14="  ",2*(A16-A15),IF(A16="  ",2*(A15-A14),2*(A16-A14)))))</f>
        <v>4</v>
      </c>
      <c r="D15" s="23">
        <f t="shared" si="26"/>
        <v>49</v>
      </c>
      <c r="E15" s="24">
        <f t="shared" si="1"/>
        <v>-1</v>
      </c>
      <c r="F15" s="23">
        <f t="shared" si="27"/>
        <v>-49</v>
      </c>
      <c r="G15" s="23">
        <f t="shared" si="28"/>
        <v>49</v>
      </c>
      <c r="H15" s="23">
        <f t="shared" si="29"/>
        <v>1838.265625</v>
      </c>
      <c r="I15" s="23">
        <f t="shared" si="30"/>
        <v>7353.0625</v>
      </c>
      <c r="J15" s="4"/>
      <c r="K15" s="37">
        <f t="shared" si="2"/>
        <v>124.78799999999998</v>
      </c>
      <c r="L15" s="23">
        <f t="shared" si="31"/>
        <v>499.15199999999993</v>
      </c>
      <c r="M15" s="38">
        <f t="shared" si="3"/>
        <v>352.31760000000003</v>
      </c>
      <c r="N15" s="27">
        <f t="shared" si="32"/>
        <v>1409.2704000000001</v>
      </c>
      <c r="O15" s="23">
        <f t="shared" si="33"/>
        <v>-499.15199999999993</v>
      </c>
      <c r="P15" s="4"/>
      <c r="Q15" s="51" t="s">
        <v>44</v>
      </c>
      <c r="R15" s="48" t="s">
        <v>45</v>
      </c>
      <c r="S15">
        <f>IF(Tools!$L$49="Use 141 rule only",I39,IF(Tools!$L$49="Use 141 and 1331 rules",BG16," "))</f>
        <v>83572.881411993309</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10</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12.25</v>
      </c>
      <c r="AQ15" s="34" t="str">
        <f t="shared" ca="1" si="18"/>
        <v>4/3</v>
      </c>
      <c r="AR15" s="23">
        <f t="shared" ca="1" si="19"/>
        <v>16.333333333333332</v>
      </c>
      <c r="AS15" s="24">
        <f t="shared" si="20"/>
        <v>-1</v>
      </c>
      <c r="AT15" s="23">
        <f t="shared" ca="1" si="37"/>
        <v>-16.333333333333332</v>
      </c>
      <c r="AU15" s="23">
        <f t="shared" ca="1" si="40"/>
        <v>16.333333333333332</v>
      </c>
      <c r="AV15" s="23">
        <f t="shared" si="21"/>
        <v>1838.265625</v>
      </c>
      <c r="AW15" s="23">
        <f t="shared" ca="1" si="22"/>
        <v>2451.020833333333</v>
      </c>
      <c r="AY15" s="35">
        <f t="shared" si="23"/>
        <v>124.78799999999998</v>
      </c>
      <c r="AZ15" s="23">
        <f t="shared" ca="1" si="41"/>
        <v>166.38399999999996</v>
      </c>
      <c r="BA15" s="36">
        <f t="shared" si="25"/>
        <v>352.31760000000003</v>
      </c>
      <c r="BB15" s="27">
        <f ca="1">IFERROR(BA15*AM15,"  ")</f>
        <v>469.7568</v>
      </c>
      <c r="BC15" s="23">
        <f t="shared" ca="1" si="39"/>
        <v>-166.38399999999996</v>
      </c>
      <c r="BE15" s="50" t="s">
        <v>42</v>
      </c>
      <c r="BF15" s="48" t="s">
        <v>46</v>
      </c>
      <c r="BG15" s="49">
        <f ca="1">IF(WL_No="  ","  ",2*(h^3)*$AU$29)</f>
        <v>1680432.9348382864</v>
      </c>
    </row>
    <row r="16" spans="1:60" x14ac:dyDescent="0.25">
      <c r="A16" s="20">
        <f>Tools!$AD15</f>
        <v>10</v>
      </c>
      <c r="B16" s="33">
        <f t="shared" si="0"/>
        <v>12.25</v>
      </c>
      <c r="C16" s="22">
        <f>IF(A16="  ","  ",IF(AND(A15="  ",A17="  "),"?",IF(A15="  ",1*(A17-A16),IF(A17="  ",1*(A16-A15),1*(A17-A15)))))</f>
        <v>2</v>
      </c>
      <c r="D16" s="23">
        <f t="shared" si="26"/>
        <v>24.5</v>
      </c>
      <c r="E16" s="24">
        <f t="shared" si="1"/>
        <v>0</v>
      </c>
      <c r="F16" s="23">
        <f t="shared" si="27"/>
        <v>0</v>
      </c>
      <c r="G16" s="23">
        <f t="shared" si="28"/>
        <v>0</v>
      </c>
      <c r="H16" s="23">
        <f t="shared" si="29"/>
        <v>1838.265625</v>
      </c>
      <c r="I16" s="23">
        <f t="shared" si="30"/>
        <v>3676.53125</v>
      </c>
      <c r="J16" s="4"/>
      <c r="K16" s="37">
        <f t="shared" si="2"/>
        <v>125.63399999999999</v>
      </c>
      <c r="L16" s="23">
        <f t="shared" si="31"/>
        <v>251.26799999999997</v>
      </c>
      <c r="M16" s="38">
        <f t="shared" si="3"/>
        <v>352.57679999999999</v>
      </c>
      <c r="N16" s="27">
        <f t="shared" si="32"/>
        <v>705.15359999999998</v>
      </c>
      <c r="O16" s="23">
        <f t="shared" si="33"/>
        <v>0</v>
      </c>
      <c r="P16" s="4"/>
      <c r="Q16" s="50" t="s">
        <v>47</v>
      </c>
      <c r="R16" s="48" t="s">
        <v>48</v>
      </c>
      <c r="S16">
        <f>IF(Tools!$L$49="Use 141 rule only",I40,IF(Tools!$L$49="Use 141 and 1331 rules",BG17," "))</f>
        <v>1680287.8736197532</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11</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12.25</v>
      </c>
      <c r="AQ16" s="34" t="str">
        <f t="shared" ca="1" si="18"/>
        <v>2/3</v>
      </c>
      <c r="AR16" s="23">
        <f t="shared" ca="1" si="19"/>
        <v>8.1666666666666661</v>
      </c>
      <c r="AS16" s="24">
        <f t="shared" si="20"/>
        <v>0</v>
      </c>
      <c r="AT16" s="23">
        <f t="shared" ca="1" si="37"/>
        <v>0</v>
      </c>
      <c r="AU16" s="23">
        <f t="shared" ca="1" si="40"/>
        <v>0</v>
      </c>
      <c r="AV16" s="23">
        <f t="shared" si="21"/>
        <v>1838.265625</v>
      </c>
      <c r="AW16" s="23">
        <f t="shared" ca="1" si="22"/>
        <v>1225.5104166666665</v>
      </c>
      <c r="AY16" s="35">
        <f t="shared" si="23"/>
        <v>125.63399999999999</v>
      </c>
      <c r="AZ16" s="23">
        <f t="shared" ca="1" si="41"/>
        <v>83.755999999999986</v>
      </c>
      <c r="BA16" s="36">
        <f t="shared" si="25"/>
        <v>352.57679999999999</v>
      </c>
      <c r="BB16" s="27">
        <f t="shared" ca="1" si="38"/>
        <v>235.05119999999999</v>
      </c>
      <c r="BC16" s="23">
        <f ca="1">IFERROR(AZ16*AS16,"  ")</f>
        <v>0</v>
      </c>
      <c r="BE16" s="51" t="s">
        <v>44</v>
      </c>
      <c r="BF16" s="48" t="s">
        <v>49</v>
      </c>
      <c r="BG16" s="49">
        <f ca="1">IF(WL_No="  ","  ",2/3*h*$AW$29)</f>
        <v>83572.881411993309</v>
      </c>
    </row>
    <row r="17" spans="1:59" x14ac:dyDescent="0.25">
      <c r="A17" s="20">
        <f>Tools!$AD16</f>
        <v>11</v>
      </c>
      <c r="B17" s="33">
        <f t="shared" si="0"/>
        <v>12.25</v>
      </c>
      <c r="C17" s="22">
        <f>IF(A17="  ","  ",IF(AND(A16="  ",A18="  "),"?",IF(A16="  ",2*(A18-A17),IF(A18="  ",2*(A17-A16),2*(A18-A16)))))</f>
        <v>4</v>
      </c>
      <c r="D17" s="23">
        <f t="shared" si="26"/>
        <v>49</v>
      </c>
      <c r="E17" s="24">
        <f t="shared" si="1"/>
        <v>1</v>
      </c>
      <c r="F17" s="23">
        <f t="shared" si="27"/>
        <v>49</v>
      </c>
      <c r="G17" s="23">
        <f t="shared" si="28"/>
        <v>49</v>
      </c>
      <c r="H17" s="23">
        <f t="shared" si="29"/>
        <v>1838.265625</v>
      </c>
      <c r="I17" s="23">
        <f t="shared" si="30"/>
        <v>7353.0625</v>
      </c>
      <c r="J17" s="4"/>
      <c r="K17" s="37">
        <f t="shared" si="2"/>
        <v>124.94400000000002</v>
      </c>
      <c r="L17" s="23">
        <f t="shared" si="31"/>
        <v>499.77600000000007</v>
      </c>
      <c r="M17" s="38">
        <f t="shared" si="3"/>
        <v>351.02160000000003</v>
      </c>
      <c r="N17" s="27">
        <f t="shared" si="32"/>
        <v>1404.0864000000001</v>
      </c>
      <c r="O17" s="23">
        <f t="shared" si="33"/>
        <v>499.77600000000007</v>
      </c>
      <c r="P17" s="4"/>
      <c r="Q17" s="50" t="s">
        <v>50</v>
      </c>
      <c r="R17" s="48" t="s">
        <v>51</v>
      </c>
      <c r="S17">
        <f>IF(Tools!$L$49="Use 141 rule only",I41,IF(Tools!$L$49="Use 141 and 1331 rules",BG18," "))</f>
        <v>9448.0125812500009</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12.25</v>
      </c>
      <c r="AQ17" s="34" t="str">
        <f t="shared" ca="1" si="18"/>
        <v>4/3</v>
      </c>
      <c r="AR17" s="23">
        <f t="shared" ca="1" si="19"/>
        <v>16.333333333333332</v>
      </c>
      <c r="AS17" s="24">
        <f t="shared" si="20"/>
        <v>1</v>
      </c>
      <c r="AT17" s="23">
        <f t="shared" ca="1" si="37"/>
        <v>16.333333333333332</v>
      </c>
      <c r="AU17" s="23">
        <f t="shared" ca="1" si="40"/>
        <v>16.333333333333332</v>
      </c>
      <c r="AV17" s="23">
        <f t="shared" si="21"/>
        <v>1838.265625</v>
      </c>
      <c r="AW17" s="23">
        <f t="shared" ca="1" si="22"/>
        <v>2451.020833333333</v>
      </c>
      <c r="AY17" s="35">
        <f t="shared" si="23"/>
        <v>124.94400000000002</v>
      </c>
      <c r="AZ17" s="23">
        <f t="shared" ca="1" si="41"/>
        <v>166.59200000000001</v>
      </c>
      <c r="BA17" s="36">
        <f t="shared" si="25"/>
        <v>351.02160000000003</v>
      </c>
      <c r="BB17" s="27">
        <f t="shared" ca="1" si="38"/>
        <v>468.02880000000005</v>
      </c>
      <c r="BC17" s="23">
        <f t="shared" ca="1" si="39"/>
        <v>166.59200000000001</v>
      </c>
      <c r="BE17" s="50" t="s">
        <v>47</v>
      </c>
      <c r="BF17" s="48" t="s">
        <v>48</v>
      </c>
      <c r="BG17" s="49">
        <f>IF(WL_No="  ","  ",IL-AWP*(LCF^2))</f>
        <v>1680287.8736197532</v>
      </c>
    </row>
    <row r="18" spans="1:59" x14ac:dyDescent="0.25">
      <c r="A18" s="20">
        <f>Tools!$AD17</f>
        <v>12</v>
      </c>
      <c r="B18" s="33">
        <f t="shared" si="0"/>
        <v>12.2</v>
      </c>
      <c r="C18" s="22">
        <f>IF(A18="  ","  ",IF(AND(A17="  ",A19="  "),"?",IF(A17="  ",1*(A19-A18),IF(A19="  ",1*(A18-A17),1*(A19-A17)))))</f>
        <v>2</v>
      </c>
      <c r="D18" s="23">
        <f t="shared" si="26"/>
        <v>24.4</v>
      </c>
      <c r="E18" s="24">
        <f t="shared" si="1"/>
        <v>2</v>
      </c>
      <c r="F18" s="23">
        <f t="shared" si="27"/>
        <v>48.8</v>
      </c>
      <c r="G18" s="23">
        <f t="shared" si="28"/>
        <v>97.6</v>
      </c>
      <c r="H18" s="23">
        <f t="shared" si="29"/>
        <v>1815.8479999999995</v>
      </c>
      <c r="I18" s="23">
        <f t="shared" si="30"/>
        <v>3631.695999999999</v>
      </c>
      <c r="J18" s="4"/>
      <c r="K18" s="37">
        <f t="shared" si="2"/>
        <v>120.59399999999999</v>
      </c>
      <c r="L18" s="23">
        <f t="shared" si="31"/>
        <v>241.18799999999999</v>
      </c>
      <c r="M18" s="38">
        <f t="shared" si="3"/>
        <v>342.64080000000001</v>
      </c>
      <c r="N18" s="27">
        <f t="shared" si="32"/>
        <v>685.28160000000003</v>
      </c>
      <c r="O18" s="23">
        <f t="shared" si="33"/>
        <v>482.37599999999998</v>
      </c>
      <c r="P18" s="4"/>
      <c r="Q18" s="50" t="s">
        <v>52</v>
      </c>
      <c r="R18" s="48" t="s">
        <v>53</v>
      </c>
      <c r="S18">
        <f>IF(Tools!$L$49="Use 141 rule only",I42,IF(Tools!$L$49="Use 141 and 1331 rules",BG19," "))</f>
        <v>9742.3181731559362</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12.2</v>
      </c>
      <c r="AQ18" s="34" t="str">
        <f t="shared" ca="1" si="18"/>
        <v>2/3</v>
      </c>
      <c r="AR18" s="23">
        <f t="shared" ca="1" si="19"/>
        <v>8.1333333333333329</v>
      </c>
      <c r="AS18" s="24">
        <f t="shared" si="20"/>
        <v>2</v>
      </c>
      <c r="AT18" s="23">
        <f t="shared" ca="1" si="37"/>
        <v>16.266666666666666</v>
      </c>
      <c r="AU18" s="23">
        <f t="shared" ca="1" si="40"/>
        <v>32.533333333333331</v>
      </c>
      <c r="AV18" s="23">
        <f t="shared" si="21"/>
        <v>1815.8479999999995</v>
      </c>
      <c r="AW18" s="23">
        <f t="shared" ca="1" si="22"/>
        <v>1210.565333333333</v>
      </c>
      <c r="AY18" s="35">
        <f t="shared" si="23"/>
        <v>120.59399999999999</v>
      </c>
      <c r="AZ18" s="23">
        <f t="shared" ca="1" si="41"/>
        <v>80.395999999999987</v>
      </c>
      <c r="BA18" s="36">
        <f t="shared" si="25"/>
        <v>342.64080000000001</v>
      </c>
      <c r="BB18" s="27">
        <f t="shared" ca="1" si="38"/>
        <v>228.4272</v>
      </c>
      <c r="BC18" s="23">
        <f t="shared" ca="1" si="39"/>
        <v>160.79199999999997</v>
      </c>
      <c r="BE18" s="50" t="s">
        <v>50</v>
      </c>
      <c r="BF18" s="48" t="s">
        <v>54</v>
      </c>
      <c r="BG18" s="49">
        <f ca="1">IF(WL_No="  ","  ",h*$AZ$29)</f>
        <v>9448.0125812499955</v>
      </c>
    </row>
    <row r="19" spans="1:59" x14ac:dyDescent="0.25">
      <c r="A19" s="20">
        <f>Tools!$AD18</f>
        <v>13</v>
      </c>
      <c r="B19" s="33">
        <f t="shared" si="0"/>
        <v>11.64</v>
      </c>
      <c r="C19" s="22">
        <f>IF(A19="  ","  ",IF(AND(A18="  ",A20="  "),"?",IF(A18="  ",2*(A20-A19),IF(A20="  ",2*(A19-A18),2*(A20-A18)))))</f>
        <v>4</v>
      </c>
      <c r="D19" s="23">
        <f t="shared" si="26"/>
        <v>46.56</v>
      </c>
      <c r="E19" s="24">
        <f t="shared" si="1"/>
        <v>3</v>
      </c>
      <c r="F19" s="23">
        <f t="shared" si="27"/>
        <v>139.68</v>
      </c>
      <c r="G19" s="23">
        <f t="shared" si="28"/>
        <v>419.04</v>
      </c>
      <c r="H19" s="23">
        <f t="shared" si="29"/>
        <v>1577.0989440000003</v>
      </c>
      <c r="I19" s="23">
        <f t="shared" si="30"/>
        <v>6308.3957760000012</v>
      </c>
      <c r="J19" s="4"/>
      <c r="K19" s="37">
        <f t="shared" si="2"/>
        <v>110.538</v>
      </c>
      <c r="L19" s="23">
        <f t="shared" si="31"/>
        <v>442.15199999999999</v>
      </c>
      <c r="M19" s="38">
        <f t="shared" si="3"/>
        <v>318.82680000000005</v>
      </c>
      <c r="N19" s="27">
        <f t="shared" si="32"/>
        <v>1275.3072000000002</v>
      </c>
      <c r="O19" s="23">
        <f t="shared" si="33"/>
        <v>1326.4559999999999</v>
      </c>
      <c r="P19" s="4"/>
      <c r="Q19" s="50" t="s">
        <v>55</v>
      </c>
      <c r="R19" s="48" t="s">
        <v>56</v>
      </c>
      <c r="S19">
        <f>IF(Tools!$L$49="Use 141 rule only",I43,IF(Tools!$L$49="Use 141 and 1331 rules",BG20," "))</f>
        <v>28099.332793980837</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11.64</v>
      </c>
      <c r="AQ19" s="34" t="str">
        <f t="shared" ca="1" si="18"/>
        <v>4/3</v>
      </c>
      <c r="AR19" s="23">
        <f t="shared" ca="1" si="19"/>
        <v>15.52</v>
      </c>
      <c r="AS19" s="24">
        <f t="shared" si="20"/>
        <v>3</v>
      </c>
      <c r="AT19" s="23">
        <f t="shared" ca="1" si="37"/>
        <v>46.56</v>
      </c>
      <c r="AU19" s="23">
        <f t="shared" ca="1" si="40"/>
        <v>139.68</v>
      </c>
      <c r="AV19" s="23">
        <f t="shared" si="21"/>
        <v>1577.0989440000003</v>
      </c>
      <c r="AW19" s="23">
        <f t="shared" ca="1" si="22"/>
        <v>2102.7985920000001</v>
      </c>
      <c r="AY19" s="35">
        <f t="shared" si="23"/>
        <v>110.538</v>
      </c>
      <c r="AZ19" s="23">
        <f t="shared" ca="1" si="41"/>
        <v>147.38399999999999</v>
      </c>
      <c r="BA19" s="36">
        <f t="shared" si="25"/>
        <v>318.82680000000005</v>
      </c>
      <c r="BB19" s="27">
        <f t="shared" ca="1" si="38"/>
        <v>425.10240000000005</v>
      </c>
      <c r="BC19" s="23">
        <f t="shared" ca="1" si="39"/>
        <v>442.15199999999993</v>
      </c>
      <c r="BE19" s="50" t="s">
        <v>52</v>
      </c>
      <c r="BF19" s="48" t="s">
        <v>53</v>
      </c>
      <c r="BG19" s="49">
        <f>IF(WL_No="  ","  ",V_Disp*1.025*1.006)</f>
        <v>9742.3181731559362</v>
      </c>
    </row>
    <row r="20" spans="1:59" x14ac:dyDescent="0.25">
      <c r="A20" s="20">
        <f>Tools!$AD19</f>
        <v>14</v>
      </c>
      <c r="B20" s="33">
        <f t="shared" si="0"/>
        <v>10.5</v>
      </c>
      <c r="C20" s="22">
        <f>IF(A20="  ","  ",IF(AND(A19="  ",A21="  "),"?",IF(A19="  ",1*(A21-A20),IF(A21="  ",1*(A20-A19),1*(A21-A19)))))</f>
        <v>2</v>
      </c>
      <c r="D20" s="23">
        <f t="shared" si="26"/>
        <v>21</v>
      </c>
      <c r="E20" s="24">
        <f t="shared" si="1"/>
        <v>4</v>
      </c>
      <c r="F20" s="23">
        <f t="shared" si="27"/>
        <v>84</v>
      </c>
      <c r="G20" s="23">
        <f t="shared" si="28"/>
        <v>336</v>
      </c>
      <c r="H20" s="23">
        <f t="shared" si="29"/>
        <v>1157.625</v>
      </c>
      <c r="I20" s="23">
        <f t="shared" si="30"/>
        <v>2315.25</v>
      </c>
      <c r="J20" s="4"/>
      <c r="K20" s="37">
        <f t="shared" si="2"/>
        <v>94.775999999999982</v>
      </c>
      <c r="L20" s="23">
        <f t="shared" si="31"/>
        <v>189.55199999999996</v>
      </c>
      <c r="M20" s="38">
        <f t="shared" si="3"/>
        <v>278.67240000000004</v>
      </c>
      <c r="N20" s="27">
        <f t="shared" si="32"/>
        <v>557.34480000000008</v>
      </c>
      <c r="O20" s="23">
        <f t="shared" si="33"/>
        <v>758.20799999999986</v>
      </c>
      <c r="P20" s="4"/>
      <c r="Q20" s="50" t="s">
        <v>57</v>
      </c>
      <c r="R20" s="48" t="s">
        <v>58</v>
      </c>
      <c r="S20">
        <f>IF(Tools!$L$49="Use 141 rule only",I44,IF(Tools!$L$49="Use 141 and 1331 rules",BG21," "))</f>
        <v>14611.419169635001</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10.5</v>
      </c>
      <c r="AQ20" s="34" t="str">
        <f t="shared" ca="1" si="18"/>
        <v>2/3</v>
      </c>
      <c r="AR20" s="23">
        <f t="shared" ca="1" si="19"/>
        <v>7</v>
      </c>
      <c r="AS20" s="24">
        <f t="shared" si="20"/>
        <v>4</v>
      </c>
      <c r="AT20" s="23">
        <f t="shared" ca="1" si="37"/>
        <v>28</v>
      </c>
      <c r="AU20" s="23">
        <f t="shared" ca="1" si="40"/>
        <v>112</v>
      </c>
      <c r="AV20" s="23">
        <f t="shared" si="21"/>
        <v>1157.625</v>
      </c>
      <c r="AW20" s="23">
        <f t="shared" ca="1" si="22"/>
        <v>771.75</v>
      </c>
      <c r="AY20" s="35">
        <f t="shared" si="23"/>
        <v>94.775999999999982</v>
      </c>
      <c r="AZ20" s="23">
        <f t="shared" ca="1" si="41"/>
        <v>63.183999999999983</v>
      </c>
      <c r="BA20" s="36">
        <f t="shared" si="25"/>
        <v>278.67240000000004</v>
      </c>
      <c r="BB20" s="27">
        <f t="shared" ca="1" si="38"/>
        <v>185.78160000000003</v>
      </c>
      <c r="BC20" s="23">
        <f t="shared" ca="1" si="39"/>
        <v>252.73599999999993</v>
      </c>
      <c r="BE20" s="50" t="s">
        <v>55</v>
      </c>
      <c r="BF20" s="48" t="s">
        <v>59</v>
      </c>
      <c r="BG20" s="49">
        <f ca="1">IF(WL_No="  ","  ",h*$BB$29)</f>
        <v>28099.33279398083</v>
      </c>
    </row>
    <row r="21" spans="1:59" x14ac:dyDescent="0.25">
      <c r="A21" s="20">
        <f>Tools!$AD20</f>
        <v>15</v>
      </c>
      <c r="B21" s="33">
        <f t="shared" si="0"/>
        <v>8.91</v>
      </c>
      <c r="C21" s="22">
        <f>IF(A21="  ","  ",IF(AND(A20="  ",A22="  "),"?",IF(A20="  ",2*(A22-A21),IF(A22="  ",2*(A21-A20),2*(A22-A20)))))</f>
        <v>4</v>
      </c>
      <c r="D21" s="23">
        <f t="shared" si="26"/>
        <v>35.64</v>
      </c>
      <c r="E21" s="24">
        <f t="shared" si="1"/>
        <v>5</v>
      </c>
      <c r="F21" s="23">
        <f t="shared" si="27"/>
        <v>178.2</v>
      </c>
      <c r="G21" s="23">
        <f t="shared" si="28"/>
        <v>891</v>
      </c>
      <c r="H21" s="23">
        <f t="shared" si="29"/>
        <v>707.34797100000014</v>
      </c>
      <c r="I21" s="23">
        <f t="shared" si="30"/>
        <v>2829.3918840000006</v>
      </c>
      <c r="J21" s="4"/>
      <c r="K21" s="37">
        <f t="shared" si="2"/>
        <v>77.555999999999997</v>
      </c>
      <c r="L21" s="23">
        <f t="shared" si="31"/>
        <v>310.22399999999999</v>
      </c>
      <c r="M21" s="38">
        <f t="shared" si="3"/>
        <v>231.59520000000001</v>
      </c>
      <c r="N21" s="27">
        <f t="shared" si="32"/>
        <v>926.38080000000002</v>
      </c>
      <c r="O21" s="23">
        <f t="shared" si="33"/>
        <v>1551.12</v>
      </c>
      <c r="P21" s="4"/>
      <c r="Q21" s="50" t="s">
        <v>60</v>
      </c>
      <c r="R21" s="48" t="s">
        <v>61</v>
      </c>
      <c r="S21">
        <f>IF(Tools!$L$49="Use 141 rule only",I45,IF(Tools!$L$49="Use 141 and 1331 rules",BG22," "))</f>
        <v>177.84564310957404</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8.91</v>
      </c>
      <c r="AQ21" s="34" t="str">
        <f t="shared" ca="1" si="18"/>
        <v>4/3</v>
      </c>
      <c r="AR21" s="23">
        <f t="shared" ca="1" si="19"/>
        <v>11.879999999999999</v>
      </c>
      <c r="AS21" s="24">
        <f t="shared" si="20"/>
        <v>5</v>
      </c>
      <c r="AT21" s="23">
        <f t="shared" ca="1" si="37"/>
        <v>59.399999999999991</v>
      </c>
      <c r="AU21" s="23">
        <f t="shared" ca="1" si="40"/>
        <v>296.99999999999994</v>
      </c>
      <c r="AV21" s="23">
        <f t="shared" si="21"/>
        <v>707.34797100000014</v>
      </c>
      <c r="AW21" s="23">
        <f t="shared" ca="1" si="22"/>
        <v>943.13062800000012</v>
      </c>
      <c r="AY21" s="35">
        <f t="shared" si="23"/>
        <v>77.555999999999997</v>
      </c>
      <c r="AZ21" s="23">
        <f t="shared" ca="1" si="41"/>
        <v>103.40799999999999</v>
      </c>
      <c r="BA21" s="36">
        <f t="shared" si="25"/>
        <v>231.59520000000001</v>
      </c>
      <c r="BB21" s="27">
        <f t="shared" ca="1" si="38"/>
        <v>308.79359999999997</v>
      </c>
      <c r="BC21" s="23">
        <f t="shared" ca="1" si="39"/>
        <v>517.04</v>
      </c>
      <c r="BE21" s="50" t="s">
        <v>57</v>
      </c>
      <c r="BF21" s="48" t="s">
        <v>62</v>
      </c>
      <c r="BG21" s="49">
        <f ca="1">IF(WL_No="  ","  ",(h^2)*$BC$29)</f>
        <v>14611.419169634994</v>
      </c>
    </row>
    <row r="22" spans="1:59" x14ac:dyDescent="0.25">
      <c r="A22" s="20">
        <f>Tools!$AD21</f>
        <v>16</v>
      </c>
      <c r="B22" s="33">
        <f t="shared" si="0"/>
        <v>7.02</v>
      </c>
      <c r="C22" s="22">
        <f>IF(A22="  ","  ",IF(AND(A21="  ",A23="  "),"?",IF(A21="  ",1*(A23-A22),IF(A23="  ",1*(A22-A21),1*(A23-A21)))))</f>
        <v>2</v>
      </c>
      <c r="D22" s="23">
        <f t="shared" si="26"/>
        <v>14.04</v>
      </c>
      <c r="E22" s="24">
        <f t="shared" si="1"/>
        <v>6</v>
      </c>
      <c r="F22" s="23">
        <f t="shared" si="27"/>
        <v>84.24</v>
      </c>
      <c r="G22" s="23">
        <f t="shared" si="28"/>
        <v>505.43999999999994</v>
      </c>
      <c r="H22" s="23">
        <f t="shared" si="29"/>
        <v>345.94840799999992</v>
      </c>
      <c r="I22" s="23">
        <f t="shared" si="30"/>
        <v>691.89681599999983</v>
      </c>
      <c r="J22" s="4"/>
      <c r="K22" s="37">
        <f t="shared" si="2"/>
        <v>58.56</v>
      </c>
      <c r="L22" s="23">
        <f t="shared" si="31"/>
        <v>117.12</v>
      </c>
      <c r="M22" s="38">
        <f t="shared" si="3"/>
        <v>178.41600000000003</v>
      </c>
      <c r="N22" s="27">
        <f t="shared" si="32"/>
        <v>356.83200000000005</v>
      </c>
      <c r="O22" s="23">
        <f t="shared" si="33"/>
        <v>702.72</v>
      </c>
      <c r="P22" s="4"/>
      <c r="Q22" s="50" t="s">
        <v>63</v>
      </c>
      <c r="R22" s="48" t="s">
        <v>64</v>
      </c>
      <c r="S22">
        <f>IF(Tools!$L$49="Use 141 rule only",I46,IF(Tools!$L$49="Use 141 and 1331 rules",BG23," "))</f>
        <v>8.8455514525718755</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7.02</v>
      </c>
      <c r="AQ22" s="34" t="str">
        <f t="shared" ca="1" si="18"/>
        <v>2/3</v>
      </c>
      <c r="AR22" s="23">
        <f t="shared" ca="1" si="19"/>
        <v>4.68</v>
      </c>
      <c r="AS22" s="24">
        <f t="shared" si="20"/>
        <v>6</v>
      </c>
      <c r="AT22" s="23">
        <f t="shared" ca="1" si="37"/>
        <v>28.08</v>
      </c>
      <c r="AU22" s="23">
        <f t="shared" ca="1" si="40"/>
        <v>168.48</v>
      </c>
      <c r="AV22" s="23">
        <f t="shared" si="21"/>
        <v>345.94840799999992</v>
      </c>
      <c r="AW22" s="23">
        <f t="shared" ca="1" si="22"/>
        <v>230.63227199999994</v>
      </c>
      <c r="AY22" s="35">
        <f t="shared" si="23"/>
        <v>58.56</v>
      </c>
      <c r="AZ22" s="23">
        <f t="shared" ca="1" si="41"/>
        <v>39.04</v>
      </c>
      <c r="BA22" s="36">
        <f t="shared" si="25"/>
        <v>178.41600000000003</v>
      </c>
      <c r="BB22" s="27">
        <f t="shared" ca="1" si="38"/>
        <v>118.94400000000002</v>
      </c>
      <c r="BC22" s="23">
        <f t="shared" ca="1" si="39"/>
        <v>234.24</v>
      </c>
      <c r="BE22" s="50" t="s">
        <v>60</v>
      </c>
      <c r="BF22" s="48" t="s">
        <v>61</v>
      </c>
      <c r="BG22" s="49">
        <f>IF(WL_No="  ","  ",IF/V_Disp)</f>
        <v>177.84564310957404</v>
      </c>
    </row>
    <row r="23" spans="1:59" x14ac:dyDescent="0.25">
      <c r="A23" s="20">
        <f>Tools!$AD22</f>
        <v>17</v>
      </c>
      <c r="B23" s="33">
        <f t="shared" si="0"/>
        <v>5.03</v>
      </c>
      <c r="C23" s="22">
        <f>IF(A23="  ","  ",IF(AND(A22="  ",A24="  "),"?",IF(A22="  ",2*(A24-A23),IF(A24="  ",2*(A23-A22),2*(A24-A22)))))</f>
        <v>4</v>
      </c>
      <c r="D23" s="23">
        <f t="shared" si="26"/>
        <v>20.12</v>
      </c>
      <c r="E23" s="24">
        <f t="shared" si="1"/>
        <v>7</v>
      </c>
      <c r="F23" s="23">
        <f t="shared" si="27"/>
        <v>140.84</v>
      </c>
      <c r="G23" s="23">
        <f t="shared" si="28"/>
        <v>985.88</v>
      </c>
      <c r="H23" s="23">
        <f t="shared" si="29"/>
        <v>127.26352700000001</v>
      </c>
      <c r="I23" s="23">
        <f t="shared" si="30"/>
        <v>509.05410800000004</v>
      </c>
      <c r="J23" s="4"/>
      <c r="K23" s="37">
        <f t="shared" si="2"/>
        <v>40.337999999999994</v>
      </c>
      <c r="L23" s="23">
        <f t="shared" si="31"/>
        <v>161.35199999999998</v>
      </c>
      <c r="M23" s="38">
        <f t="shared" si="3"/>
        <v>126.2304</v>
      </c>
      <c r="N23" s="27">
        <f t="shared" si="32"/>
        <v>504.92160000000001</v>
      </c>
      <c r="O23" s="23">
        <f t="shared" si="33"/>
        <v>1129.4639999999999</v>
      </c>
      <c r="P23" s="4"/>
      <c r="Q23" s="50" t="s">
        <v>65</v>
      </c>
      <c r="R23" s="48" t="s">
        <v>66</v>
      </c>
      <c r="S23">
        <f>IF(Tools!$L$49="Use 141 rule only",I47,IF(Tools!$L$49="Use 141 and 1331 rules",BG24," "))</f>
        <v>2.9740998492894906</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5.03</v>
      </c>
      <c r="AQ23" s="34" t="str">
        <f t="shared" ca="1" si="18"/>
        <v>4/3</v>
      </c>
      <c r="AR23" s="23">
        <f t="shared" ca="1" si="19"/>
        <v>6.706666666666667</v>
      </c>
      <c r="AS23" s="24">
        <f t="shared" si="20"/>
        <v>7</v>
      </c>
      <c r="AT23" s="23">
        <f t="shared" ca="1" si="37"/>
        <v>46.946666666666673</v>
      </c>
      <c r="AU23" s="23">
        <f t="shared" ca="1" si="40"/>
        <v>328.62666666666672</v>
      </c>
      <c r="AV23" s="23">
        <f t="shared" si="21"/>
        <v>127.26352700000001</v>
      </c>
      <c r="AW23" s="23">
        <f t="shared" ca="1" si="22"/>
        <v>169.68470266666668</v>
      </c>
      <c r="AY23" s="35">
        <f t="shared" si="23"/>
        <v>40.337999999999994</v>
      </c>
      <c r="AZ23" s="23">
        <f t="shared" ca="1" si="41"/>
        <v>53.783999999999992</v>
      </c>
      <c r="BA23" s="36">
        <f t="shared" si="25"/>
        <v>126.2304</v>
      </c>
      <c r="BB23" s="27">
        <f t="shared" ca="1" si="38"/>
        <v>168.30719999999999</v>
      </c>
      <c r="BC23" s="23">
        <f t="shared" ca="1" si="39"/>
        <v>376.48799999999994</v>
      </c>
      <c r="BE23" s="50" t="s">
        <v>63</v>
      </c>
      <c r="BF23" s="48" t="s">
        <v>64</v>
      </c>
      <c r="BG23" s="49">
        <f>IF(WL_No="  ","  ",IT/V_Disp)</f>
        <v>8.8455514525718755</v>
      </c>
    </row>
    <row r="24" spans="1:59" x14ac:dyDescent="0.25">
      <c r="A24" s="20">
        <f>Tools!$AD23</f>
        <v>18</v>
      </c>
      <c r="B24" s="33">
        <f t="shared" si="0"/>
        <v>3.25</v>
      </c>
      <c r="C24" s="22">
        <f>IF(A24="  ","  ",IF(AND(A23="  ",A25="  "),"?",IF(A23="  ",1*(A25-A24),IF(A25="  ",1*(A24-A23),1*(A25-A23)))))</f>
        <v>1.5</v>
      </c>
      <c r="D24" s="23">
        <f t="shared" si="26"/>
        <v>4.875</v>
      </c>
      <c r="E24" s="24">
        <f t="shared" si="1"/>
        <v>8</v>
      </c>
      <c r="F24" s="23">
        <f t="shared" si="27"/>
        <v>39</v>
      </c>
      <c r="G24" s="23">
        <f t="shared" si="28"/>
        <v>312</v>
      </c>
      <c r="H24" s="23">
        <f t="shared" si="29"/>
        <v>34.328125</v>
      </c>
      <c r="I24" s="23">
        <f t="shared" si="30"/>
        <v>51.4921875</v>
      </c>
      <c r="J24" s="4"/>
      <c r="K24" s="37">
        <f t="shared" si="2"/>
        <v>25.675499999999996</v>
      </c>
      <c r="L24" s="23">
        <f t="shared" si="31"/>
        <v>38.513249999999992</v>
      </c>
      <c r="M24" s="38">
        <f t="shared" si="3"/>
        <v>82.730025000000012</v>
      </c>
      <c r="N24" s="27">
        <f t="shared" si="32"/>
        <v>124.09503750000002</v>
      </c>
      <c r="O24" s="23">
        <f t="shared" si="33"/>
        <v>308.10599999999994</v>
      </c>
      <c r="P24" s="4"/>
      <c r="Q24" s="50" t="s">
        <v>67</v>
      </c>
      <c r="R24" s="48" t="s">
        <v>68</v>
      </c>
      <c r="S24">
        <f>IF(Tools!$L$49="Use 141 rule only",I48,IF(Tools!$L$49="Use 141 and 1331 rules",BG25," "))</f>
        <v>11.819651301861366</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3.25</v>
      </c>
      <c r="AQ24" s="34" t="str">
        <f t="shared" ca="1" si="18"/>
        <v>(1/2)*(1/3)+1/3</v>
      </c>
      <c r="AR24" s="23">
        <f t="shared" ca="1" si="19"/>
        <v>1.625</v>
      </c>
      <c r="AS24" s="24">
        <f t="shared" si="20"/>
        <v>8</v>
      </c>
      <c r="AT24" s="23">
        <f t="shared" ca="1" si="37"/>
        <v>13</v>
      </c>
      <c r="AU24" s="23">
        <f t="shared" ca="1" si="40"/>
        <v>104</v>
      </c>
      <c r="AV24" s="23">
        <f t="shared" si="21"/>
        <v>34.328125</v>
      </c>
      <c r="AW24" s="23">
        <f t="shared" ca="1" si="22"/>
        <v>17.1640625</v>
      </c>
      <c r="AY24" s="35">
        <f t="shared" si="23"/>
        <v>25.675499999999996</v>
      </c>
      <c r="AZ24" s="23">
        <f t="shared" ca="1" si="41"/>
        <v>12.837749999999998</v>
      </c>
      <c r="BA24" s="36">
        <f t="shared" si="25"/>
        <v>82.730025000000012</v>
      </c>
      <c r="BB24" s="27">
        <f t="shared" ca="1" si="38"/>
        <v>41.365012500000006</v>
      </c>
      <c r="BC24" s="23">
        <f t="shared" ca="1" si="39"/>
        <v>102.70199999999998</v>
      </c>
      <c r="BE24" s="50" t="s">
        <v>65</v>
      </c>
      <c r="BF24" s="48" t="s">
        <v>66</v>
      </c>
      <c r="BG24" s="49">
        <f>IF(WL_No="  ","  ",MT/V_Disp)</f>
        <v>2.9740998492894906</v>
      </c>
    </row>
    <row r="25" spans="1:59" x14ac:dyDescent="0.25">
      <c r="A25" s="20">
        <f>Tools!$AD24</f>
        <v>18.5</v>
      </c>
      <c r="B25" s="33">
        <f t="shared" si="0"/>
        <v>2.57</v>
      </c>
      <c r="C25" s="22">
        <f>IF(A25="  ","  ",IF(AND(A24="  ",A26="  "),"?",IF(A24="  ",2*(A26-A25),IF(A26="  ",2*(A25-A24),2*(A26-A24)))))</f>
        <v>2</v>
      </c>
      <c r="D25" s="23">
        <f t="shared" si="26"/>
        <v>5.14</v>
      </c>
      <c r="E25" s="24">
        <f t="shared" si="1"/>
        <v>8.5</v>
      </c>
      <c r="F25" s="23">
        <f t="shared" si="27"/>
        <v>43.69</v>
      </c>
      <c r="G25" s="23">
        <f t="shared" si="28"/>
        <v>371.36500000000001</v>
      </c>
      <c r="H25" s="23">
        <f t="shared" si="29"/>
        <v>16.974592999999995</v>
      </c>
      <c r="I25" s="23">
        <f t="shared" si="30"/>
        <v>33.94918599999999</v>
      </c>
      <c r="J25" s="4"/>
      <c r="K25" s="37">
        <f t="shared" si="2"/>
        <v>19.746199999999998</v>
      </c>
      <c r="L25" s="23">
        <f t="shared" si="31"/>
        <v>39.492399999999996</v>
      </c>
      <c r="M25" s="38">
        <f t="shared" si="3"/>
        <v>65.686611333333332</v>
      </c>
      <c r="N25" s="27">
        <f t="shared" si="32"/>
        <v>131.37322266666666</v>
      </c>
      <c r="O25" s="23">
        <f t="shared" si="33"/>
        <v>335.68539999999996</v>
      </c>
      <c r="P25" s="4"/>
      <c r="Q25" s="50" t="s">
        <v>69</v>
      </c>
      <c r="R25" s="48" t="s">
        <v>70</v>
      </c>
      <c r="S25">
        <f>IF(Tools!$L$49="Use 141 rule only",I49,IF(Tools!$L$49="Use 141 and 1331 rules",BG26," "))</f>
        <v>180.81974295886354</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2.57</v>
      </c>
      <c r="AQ25" s="34" t="str">
        <f t="shared" ca="1" si="18"/>
        <v>(1/2)*(4/3)</v>
      </c>
      <c r="AR25" s="23">
        <f t="shared" ca="1" si="19"/>
        <v>1.7133333333333332</v>
      </c>
      <c r="AS25" s="24">
        <f t="shared" si="20"/>
        <v>8.5</v>
      </c>
      <c r="AT25" s="23">
        <f t="shared" ca="1" si="37"/>
        <v>14.563333333333333</v>
      </c>
      <c r="AU25" s="23">
        <f t="shared" ca="1" si="40"/>
        <v>123.78833333333333</v>
      </c>
      <c r="AV25" s="23">
        <f t="shared" si="21"/>
        <v>16.974592999999995</v>
      </c>
      <c r="AW25" s="23">
        <f t="shared" ca="1" si="22"/>
        <v>11.316395333333329</v>
      </c>
      <c r="AY25" s="35">
        <f t="shared" si="23"/>
        <v>19.746199999999998</v>
      </c>
      <c r="AZ25" s="23">
        <f t="shared" ca="1" si="41"/>
        <v>13.164133333333332</v>
      </c>
      <c r="BA25" s="36">
        <f t="shared" si="25"/>
        <v>65.686611333333332</v>
      </c>
      <c r="BB25" s="27">
        <f t="shared" ca="1" si="38"/>
        <v>43.791074222222221</v>
      </c>
      <c r="BC25" s="23">
        <f t="shared" ca="1" si="39"/>
        <v>111.89513333333332</v>
      </c>
      <c r="BE25" s="50" t="s">
        <v>67</v>
      </c>
      <c r="BF25" s="48" t="s">
        <v>68</v>
      </c>
      <c r="BG25" s="49">
        <f>IF(WL_No="  ","  ",KB+BMT)</f>
        <v>11.819651301861366</v>
      </c>
    </row>
    <row r="26" spans="1:59" x14ac:dyDescent="0.25">
      <c r="A26" s="20">
        <f>Tools!$AD25</f>
        <v>19</v>
      </c>
      <c r="B26" s="33">
        <f t="shared" si="0"/>
        <v>2.1</v>
      </c>
      <c r="C26" s="22">
        <f>IF(A26="  ","  ",IF(AND(A25="  ",A27="  "),"?",IF(A25="  ",1*(A27-A26),IF(A27="  ",1*(A26-A25),1*(A27-A25)))))</f>
        <v>1</v>
      </c>
      <c r="D26" s="23">
        <f t="shared" si="26"/>
        <v>2.1</v>
      </c>
      <c r="E26" s="24">
        <f t="shared" si="1"/>
        <v>9</v>
      </c>
      <c r="F26" s="23">
        <f t="shared" si="27"/>
        <v>18.900000000000002</v>
      </c>
      <c r="G26" s="23">
        <f t="shared" si="28"/>
        <v>170.10000000000002</v>
      </c>
      <c r="H26" s="23">
        <f t="shared" si="29"/>
        <v>9.261000000000001</v>
      </c>
      <c r="I26" s="23">
        <f t="shared" si="30"/>
        <v>9.261000000000001</v>
      </c>
      <c r="J26" s="4"/>
      <c r="K26" s="37">
        <f t="shared" si="2"/>
        <v>15.357599999999998</v>
      </c>
      <c r="L26" s="23">
        <f t="shared" si="31"/>
        <v>15.357599999999998</v>
      </c>
      <c r="M26" s="38">
        <f t="shared" si="3"/>
        <v>52.796202000000008</v>
      </c>
      <c r="N26" s="27">
        <f t="shared" si="32"/>
        <v>52.796202000000008</v>
      </c>
      <c r="O26" s="23">
        <f t="shared" si="33"/>
        <v>138.21839999999997</v>
      </c>
      <c r="P26" s="4"/>
      <c r="Q26" s="50" t="s">
        <v>71</v>
      </c>
      <c r="R26" s="48" t="s">
        <v>72</v>
      </c>
      <c r="S26">
        <f>IF(Tools!$L$49="Use 141 rule only",I50,IF(Tools!$L$49="Use 141 and 1331 rules",BG27," "))</f>
        <v>22.06362417499999</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2.1</v>
      </c>
      <c r="AQ26" s="34" t="str">
        <f t="shared" ca="1" si="18"/>
        <v>(1/2)*(2/3)</v>
      </c>
      <c r="AR26" s="23">
        <f t="shared" ca="1" si="19"/>
        <v>0.7</v>
      </c>
      <c r="AS26" s="24">
        <f t="shared" si="20"/>
        <v>9</v>
      </c>
      <c r="AT26" s="23">
        <f t="shared" ca="1" si="37"/>
        <v>6.3</v>
      </c>
      <c r="AU26" s="23">
        <f t="shared" ca="1" si="40"/>
        <v>56.699999999999996</v>
      </c>
      <c r="AV26" s="23">
        <f t="shared" si="21"/>
        <v>9.261000000000001</v>
      </c>
      <c r="AW26" s="23">
        <f t="shared" ca="1" si="22"/>
        <v>3.0870000000000002</v>
      </c>
      <c r="AY26" s="35">
        <f t="shared" si="23"/>
        <v>15.357599999999998</v>
      </c>
      <c r="AZ26" s="23">
        <f t="shared" ca="1" si="41"/>
        <v>5.1191999999999993</v>
      </c>
      <c r="BA26" s="36">
        <f t="shared" si="25"/>
        <v>52.796202000000008</v>
      </c>
      <c r="BB26" s="27">
        <f t="shared" ca="1" si="38"/>
        <v>17.598734</v>
      </c>
      <c r="BC26" s="23">
        <f t="shared" ca="1" si="39"/>
        <v>46.072799999999994</v>
      </c>
      <c r="BE26" s="50" t="s">
        <v>69</v>
      </c>
      <c r="BF26" s="48" t="s">
        <v>70</v>
      </c>
      <c r="BG26" s="49">
        <f>IF(WL_No="  ","  ",KB+BML)</f>
        <v>180.81974295886354</v>
      </c>
    </row>
    <row r="27" spans="1:59" x14ac:dyDescent="0.25">
      <c r="A27" s="20">
        <f>Tools!$AD26</f>
        <v>19.5</v>
      </c>
      <c r="B27" s="33">
        <f t="shared" si="0"/>
        <v>1.77</v>
      </c>
      <c r="C27" s="22">
        <f>IF(A27="  ","  ",IF(AND(A26="  ",A28="  "),"?",IF(A26="  ",2*(A28-A27),IF(A28="  ",2*(A27-A26),2*(A28-A26)))))</f>
        <v>2</v>
      </c>
      <c r="D27" s="23">
        <f t="shared" si="26"/>
        <v>3.54</v>
      </c>
      <c r="E27" s="24">
        <f t="shared" si="1"/>
        <v>9.5</v>
      </c>
      <c r="F27" s="23">
        <f t="shared" si="27"/>
        <v>33.630000000000003</v>
      </c>
      <c r="G27" s="23">
        <f t="shared" si="28"/>
        <v>319.48500000000001</v>
      </c>
      <c r="H27" s="23">
        <f t="shared" si="29"/>
        <v>5.5452330000000005</v>
      </c>
      <c r="I27" s="23">
        <f t="shared" si="30"/>
        <v>11.090466000000001</v>
      </c>
      <c r="J27" s="4"/>
      <c r="K27" s="37">
        <f t="shared" si="2"/>
        <v>11.524000000000001</v>
      </c>
      <c r="L27" s="23">
        <f t="shared" si="31"/>
        <v>23.048000000000002</v>
      </c>
      <c r="M27" s="38">
        <f t="shared" si="3"/>
        <v>42.030133333333332</v>
      </c>
      <c r="N27" s="27">
        <f t="shared" si="32"/>
        <v>84.060266666666664</v>
      </c>
      <c r="O27" s="23">
        <f t="shared" si="33"/>
        <v>218.95600000000002</v>
      </c>
      <c r="P27" s="4"/>
      <c r="Q27" s="50" t="s">
        <v>73</v>
      </c>
      <c r="R27" s="48" t="s">
        <v>74</v>
      </c>
      <c r="S27">
        <f>IF(Tools!$L$49="Use 141 rule only",I51,IF(Tools!$L$49="Use 141 and 1331 rules",BG28," "))</f>
        <v>1.5465071668757098</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1.77</v>
      </c>
      <c r="AQ27" s="34" t="str">
        <f t="shared" ca="1" si="18"/>
        <v>(1/2)*(4/3)</v>
      </c>
      <c r="AR27" s="23">
        <f t="shared" ca="1" si="19"/>
        <v>1.18</v>
      </c>
      <c r="AS27" s="24">
        <f t="shared" si="20"/>
        <v>9.5</v>
      </c>
      <c r="AT27" s="23">
        <f t="shared" ca="1" si="37"/>
        <v>11.209999999999999</v>
      </c>
      <c r="AU27" s="23">
        <f t="shared" ca="1" si="40"/>
        <v>106.49499999999999</v>
      </c>
      <c r="AV27" s="23">
        <f t="shared" si="21"/>
        <v>5.5452330000000005</v>
      </c>
      <c r="AW27" s="23">
        <f t="shared" ca="1" si="22"/>
        <v>3.6968220000000001</v>
      </c>
      <c r="AY27" s="35">
        <f t="shared" si="23"/>
        <v>11.524000000000001</v>
      </c>
      <c r="AZ27" s="23">
        <f t="shared" ca="1" si="41"/>
        <v>7.682666666666667</v>
      </c>
      <c r="BA27" s="36">
        <f t="shared" si="25"/>
        <v>42.030133333333332</v>
      </c>
      <c r="BB27" s="27">
        <f t="shared" ca="1" si="38"/>
        <v>28.020088888888885</v>
      </c>
      <c r="BC27" s="23">
        <f t="shared" ca="1" si="39"/>
        <v>72.98533333333333</v>
      </c>
      <c r="BE27" s="50" t="s">
        <v>71</v>
      </c>
      <c r="BF27" s="48" t="s">
        <v>72</v>
      </c>
      <c r="BG27" s="49">
        <f>IF(WL_No="  ","  ",AWP*1.025/100)</f>
        <v>22.06362417499999</v>
      </c>
    </row>
    <row r="28" spans="1:59" ht="15.75" thickBot="1" x14ac:dyDescent="0.3">
      <c r="A28" s="20">
        <f>Tools!$AD27</f>
        <v>20</v>
      </c>
      <c r="B28" s="52">
        <f t="shared" si="0"/>
        <v>1.45</v>
      </c>
      <c r="C28" s="22">
        <f>IF(A28="  ","  ",IF(A27="  ","?",1*(A28-A27)))</f>
        <v>0.5</v>
      </c>
      <c r="D28" s="53">
        <f t="shared" si="26"/>
        <v>0.72499999999999998</v>
      </c>
      <c r="E28" s="24">
        <f t="shared" si="1"/>
        <v>10</v>
      </c>
      <c r="F28" s="53">
        <f t="shared" si="27"/>
        <v>7.25</v>
      </c>
      <c r="G28" s="53">
        <f t="shared" si="28"/>
        <v>72.5</v>
      </c>
      <c r="H28" s="23">
        <f t="shared" si="29"/>
        <v>3.0486249999999999</v>
      </c>
      <c r="I28" s="53">
        <f t="shared" si="30"/>
        <v>1.5243125</v>
      </c>
      <c r="J28" s="4"/>
      <c r="K28" s="35">
        <f t="shared" si="2"/>
        <v>7.1440000000000001</v>
      </c>
      <c r="L28" s="53">
        <f t="shared" si="31"/>
        <v>3.5720000000000001</v>
      </c>
      <c r="M28" s="36">
        <f t="shared" si="3"/>
        <v>28.960266666666669</v>
      </c>
      <c r="N28" s="54">
        <f t="shared" si="32"/>
        <v>14.480133333333335</v>
      </c>
      <c r="O28" s="53">
        <f t="shared" si="33"/>
        <v>35.72</v>
      </c>
      <c r="P28" s="4"/>
      <c r="Q28" s="50" t="s">
        <v>75</v>
      </c>
      <c r="R28" s="55" t="s">
        <v>76</v>
      </c>
      <c r="S28">
        <f>IF(Tools!$L$49="Use 141 rule only",I52,IF(Tools!$L$49="Use 141 and 1331 rules",BG29," "))</f>
        <v>131.55875784988672</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1.45</v>
      </c>
      <c r="AQ28" s="34" t="str">
        <f t="shared" ca="1" si="18"/>
        <v>(1/2)*(1/3)</v>
      </c>
      <c r="AR28" s="23">
        <f t="shared" ca="1" si="19"/>
        <v>0.24166666666666664</v>
      </c>
      <c r="AS28" s="24">
        <f t="shared" si="20"/>
        <v>10</v>
      </c>
      <c r="AT28" s="53">
        <f t="shared" ca="1" si="37"/>
        <v>2.4166666666666665</v>
      </c>
      <c r="AU28" s="53">
        <f t="shared" ca="1" si="40"/>
        <v>24.166666666666664</v>
      </c>
      <c r="AV28" s="23">
        <f t="shared" si="21"/>
        <v>3.0486249999999999</v>
      </c>
      <c r="AW28" s="23">
        <f t="shared" ca="1" si="22"/>
        <v>0.50810416666666658</v>
      </c>
      <c r="AY28" s="35">
        <f t="shared" si="23"/>
        <v>7.1440000000000001</v>
      </c>
      <c r="AZ28" s="23">
        <f t="shared" ca="1" si="41"/>
        <v>1.1906666666666665</v>
      </c>
      <c r="BA28" s="36">
        <f t="shared" si="25"/>
        <v>28.960266666666669</v>
      </c>
      <c r="BB28" s="27">
        <f t="shared" ca="1" si="38"/>
        <v>4.826711111111111</v>
      </c>
      <c r="BC28" s="53">
        <f t="shared" ca="1" si="39"/>
        <v>11.906666666666666</v>
      </c>
      <c r="BE28" s="50" t="s">
        <v>73</v>
      </c>
      <c r="BF28" s="48" t="s">
        <v>74</v>
      </c>
      <c r="BG28" s="49">
        <f>IF(WL_No="  ","  ",ML/V_Disp)</f>
        <v>1.5465071668757098</v>
      </c>
    </row>
    <row r="29" spans="1:59" ht="15.75" thickBot="1" x14ac:dyDescent="0.3">
      <c r="A29" s="56" t="s">
        <v>77</v>
      </c>
      <c r="B29" s="56"/>
      <c r="C29" s="56"/>
      <c r="D29" s="57">
        <f>SUM(D4:D28)</f>
        <v>490.33000000000004</v>
      </c>
      <c r="E29" s="42"/>
      <c r="F29" s="58">
        <f>SUM(F4:F28)</f>
        <v>-19.32999999999992</v>
      </c>
      <c r="G29" s="58">
        <f>SUM(G4:G28)</f>
        <v>8827.6500000000015</v>
      </c>
      <c r="H29" s="42"/>
      <c r="I29" s="58">
        <f>SUM(I4:I28)</f>
        <v>57111.308481999993</v>
      </c>
      <c r="J29" s="4"/>
      <c r="K29" s="42"/>
      <c r="L29" s="58">
        <f>SUM(L4:L28)</f>
        <v>4304.3337500000007</v>
      </c>
      <c r="M29" s="42"/>
      <c r="N29" s="58">
        <f>SUM(N4:N28)</f>
        <v>12801.518357166669</v>
      </c>
      <c r="O29" s="58">
        <f>SUM(O4:O28)</f>
        <v>1010.8858000000004</v>
      </c>
      <c r="P29" s="4"/>
      <c r="Q29" s="50" t="s">
        <v>78</v>
      </c>
      <c r="R29" s="48" t="s">
        <v>79</v>
      </c>
      <c r="S29">
        <f>IF(Tools!$L$49="Use 141 rule only",I53,IF(Tools!$L$49="Use 141 and 1331 rules",BG30," "))</f>
        <v>5.4</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163.44333333333333</v>
      </c>
      <c r="AS29" s="42"/>
      <c r="AT29" s="58">
        <f ca="1">SUM(AT4:AT28)</f>
        <v>-6.4433333333333671</v>
      </c>
      <c r="AU29" s="58">
        <f ca="1">SUM(AU4:AU28)</f>
        <v>2942.5499999999993</v>
      </c>
      <c r="AV29" s="42"/>
      <c r="AW29" s="58">
        <f ca="1">SUM(AW4:AW28)</f>
        <v>19037.102827333332</v>
      </c>
      <c r="AY29" s="42"/>
      <c r="AZ29" s="58">
        <f ca="1">SUM(AZ4:AZ28)</f>
        <v>1434.7779166666662</v>
      </c>
      <c r="BA29" s="42"/>
      <c r="BB29" s="58">
        <f ca="1">SUM(BB4:BB28)</f>
        <v>4267.1727857222222</v>
      </c>
      <c r="BC29" s="58">
        <f ca="1">SUM(BC4:BC28)</f>
        <v>336.96193333333326</v>
      </c>
      <c r="BE29" s="50" t="s">
        <v>75</v>
      </c>
      <c r="BF29" s="55" t="s">
        <v>76</v>
      </c>
      <c r="BG29" s="49">
        <f ca="1">IF(WL_No="  ","  ",M_Disp*BML/100/BG8)</f>
        <v>138.48290299988074</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0.66711564625850328</v>
      </c>
      <c r="AA30" s="60"/>
      <c r="AB30" s="60"/>
      <c r="BE30" s="50" t="s">
        <v>78</v>
      </c>
      <c r="BF30" s="48" t="s">
        <v>79</v>
      </c>
      <c r="BG30" s="49">
        <f>IF(WL_No="  ","  ",WLS*WL_No)</f>
        <v>5.4</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0.5422441106072059</v>
      </c>
      <c r="AF31" s="61" t="s">
        <v>84</v>
      </c>
      <c r="AG31" s="62">
        <f ca="1">COUNTIF(OFFSET(AQ4,,,ROUNDUP(Max_STN_count/2,0),1),"")</f>
        <v>2</v>
      </c>
      <c r="AH31" s="63">
        <f ca="1">HLOOKUP(Stn_WL,AREA_TABLE,AG31+2,FALSE)</f>
        <v>1</v>
      </c>
      <c r="AI31" s="63">
        <f ca="1">IF(AH31&gt;Long_Div/2,Long_Div/2,AH31)</f>
        <v>1</v>
      </c>
      <c r="AJ31" s="63">
        <f ca="1">AI31*STN_GAP</f>
        <v>6.5849999999999991</v>
      </c>
      <c r="BE31" s="50" t="s">
        <v>80</v>
      </c>
      <c r="BF31" s="48" t="s">
        <v>81</v>
      </c>
      <c r="BG31" s="49">
        <f ca="1">IF(WL_No="  ","  ",AWP/(BG8*B_current))</f>
        <v>0.70222699606158245</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0.94961451247165518</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0.57078327432337472</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0.57101497869472717</v>
      </c>
      <c r="AF33" s="63"/>
      <c r="AG33" s="63"/>
      <c r="AH33" s="63">
        <f ca="1">Long_Div-AH32</f>
        <v>20</v>
      </c>
      <c r="AI33" s="63"/>
      <c r="AJ33" s="63">
        <f ca="1">AJ32+AJ31</f>
        <v>6.5849999999999991</v>
      </c>
      <c r="BE33" s="50" t="s">
        <v>85</v>
      </c>
      <c r="BF33" s="48" t="s">
        <v>86</v>
      </c>
      <c r="BG33" s="65">
        <f>IFERROR(IF(WL_No="  ","  ",(VLOOKUP(Long_Div/2,AREA_TABLE,Count_WL+1,FALSE))/(B_current*T)),"-")</f>
        <v>0.94961451247165518</v>
      </c>
    </row>
    <row r="34" spans="1:59" x14ac:dyDescent="0.25">
      <c r="G34" s="45"/>
      <c r="H34" s="46"/>
      <c r="I34" s="507"/>
      <c r="BE34" s="50" t="s">
        <v>88</v>
      </c>
      <c r="BF34" s="48" t="s">
        <v>89</v>
      </c>
      <c r="BG34" s="49">
        <f>IF(WL_No="  ","  ",CB/CM)</f>
        <v>0.57101497869472717</v>
      </c>
    </row>
    <row r="35" spans="1:59" x14ac:dyDescent="0.25">
      <c r="G35" s="47" t="s">
        <v>34</v>
      </c>
      <c r="H35" s="48" t="s">
        <v>35</v>
      </c>
      <c r="I35" s="49">
        <f>IF(WL_No="  ","  ",2/3*h*$D$29)</f>
        <v>2152.5486999999994</v>
      </c>
    </row>
    <row r="36" spans="1:59" x14ac:dyDescent="0.25">
      <c r="G36" s="47" t="s">
        <v>36</v>
      </c>
      <c r="H36" s="48" t="s">
        <v>37</v>
      </c>
      <c r="I36" s="49">
        <f>IF(WL_No="  ","  ",2/3*(h^2)*$F$29)</f>
        <v>-558.79453949999754</v>
      </c>
    </row>
    <row r="37" spans="1:59" x14ac:dyDescent="0.25">
      <c r="G37" s="50" t="s">
        <v>39</v>
      </c>
      <c r="H37" s="48" t="s">
        <v>40</v>
      </c>
      <c r="I37" s="49">
        <f>IF(WL_No="  ","  ",Mmid/AWP)</f>
        <v>-0.25959670018150932</v>
      </c>
    </row>
    <row r="38" spans="1:59" x14ac:dyDescent="0.25">
      <c r="G38" s="50" t="s">
        <v>42</v>
      </c>
      <c r="H38" s="48" t="s">
        <v>43</v>
      </c>
      <c r="I38" s="49">
        <f>IF(WL_No="  ","  ",2/3*(h^3)*$G$29)</f>
        <v>1680432.9348382868</v>
      </c>
    </row>
    <row r="39" spans="1:59" x14ac:dyDescent="0.25">
      <c r="G39" s="51" t="s">
        <v>44</v>
      </c>
      <c r="H39" s="48" t="s">
        <v>45</v>
      </c>
      <c r="I39" s="49">
        <f>IF(WL_No="  ","  ",2/9*h*$I$29)</f>
        <v>83572.881411993309</v>
      </c>
    </row>
    <row r="40" spans="1:59" x14ac:dyDescent="0.25">
      <c r="G40" s="50" t="s">
        <v>47</v>
      </c>
      <c r="H40" s="48" t="s">
        <v>48</v>
      </c>
      <c r="I40" s="49">
        <f>IF(WL_No="  ","  ",IL-AWP*(LCF^2))</f>
        <v>1680287.8736197532</v>
      </c>
    </row>
    <row r="41" spans="1:59" x14ac:dyDescent="0.25">
      <c r="G41" s="50" t="s">
        <v>50</v>
      </c>
      <c r="H41" s="48" t="s">
        <v>51</v>
      </c>
      <c r="I41" s="49">
        <f>IF(WL_No="  ","  ",h/3*$L$29)</f>
        <v>9448.0125812500009</v>
      </c>
    </row>
    <row r="42" spans="1:59" x14ac:dyDescent="0.25">
      <c r="G42" s="50" t="s">
        <v>52</v>
      </c>
      <c r="H42" s="48" t="s">
        <v>53</v>
      </c>
      <c r="I42" s="49">
        <f>IF(WL_No="  ","  ",V_Disp*1.025*1.006)</f>
        <v>9742.3181731559362</v>
      </c>
    </row>
    <row r="43" spans="1:59" x14ac:dyDescent="0.25">
      <c r="G43" s="50" t="s">
        <v>55</v>
      </c>
      <c r="H43" s="48" t="s">
        <v>56</v>
      </c>
      <c r="I43" s="49">
        <f>IF(WL_No="  ","  ",h/3*$N$29)</f>
        <v>28099.332793980837</v>
      </c>
    </row>
    <row r="44" spans="1:59" x14ac:dyDescent="0.25">
      <c r="G44" s="50" t="s">
        <v>57</v>
      </c>
      <c r="H44" s="48" t="s">
        <v>58</v>
      </c>
      <c r="I44" s="49">
        <f>IF(WL_No="  ","  ",(h^2)/3*$O$29)</f>
        <v>14611.419169635001</v>
      </c>
    </row>
    <row r="45" spans="1:59" x14ac:dyDescent="0.25">
      <c r="G45" s="50" t="s">
        <v>60</v>
      </c>
      <c r="H45" s="48" t="s">
        <v>61</v>
      </c>
      <c r="I45" s="49">
        <f>IF(WL_No="  ","  ",IF/V_Disp)</f>
        <v>177.84564310957404</v>
      </c>
    </row>
    <row r="46" spans="1:59" x14ac:dyDescent="0.25">
      <c r="G46" s="50" t="s">
        <v>63</v>
      </c>
      <c r="H46" s="48" t="s">
        <v>64</v>
      </c>
      <c r="I46" s="49">
        <f>IF(WL_No="  ","  ",IT/V_Disp)</f>
        <v>8.8455514525718755</v>
      </c>
    </row>
    <row r="47" spans="1:59" x14ac:dyDescent="0.25">
      <c r="G47" s="50" t="s">
        <v>65</v>
      </c>
      <c r="H47" s="48" t="s">
        <v>66</v>
      </c>
      <c r="I47" s="49">
        <f>IF(WL_No="  ","  ",MT/V_Disp)</f>
        <v>2.9740998492894906</v>
      </c>
    </row>
    <row r="48" spans="1:59" x14ac:dyDescent="0.25">
      <c r="G48" s="50" t="s">
        <v>67</v>
      </c>
      <c r="H48" s="48" t="s">
        <v>68</v>
      </c>
      <c r="I48" s="49">
        <f>IF(WL_No="  ","  ",KB+BMT)</f>
        <v>11.819651301861366</v>
      </c>
    </row>
    <row r="49" spans="7:9" x14ac:dyDescent="0.25">
      <c r="G49" s="50" t="s">
        <v>69</v>
      </c>
      <c r="H49" s="48" t="s">
        <v>70</v>
      </c>
      <c r="I49" s="49">
        <f>IF(WL_No="  ","  ",KB+BML)</f>
        <v>180.81974295886354</v>
      </c>
    </row>
    <row r="50" spans="7:9" x14ac:dyDescent="0.25">
      <c r="G50" s="50" t="s">
        <v>71</v>
      </c>
      <c r="H50" s="48" t="s">
        <v>72</v>
      </c>
      <c r="I50" s="49">
        <f>IF(WL_No="  ","  ",AWP*1.025/100)</f>
        <v>22.06362417499999</v>
      </c>
    </row>
    <row r="51" spans="7:9" x14ac:dyDescent="0.25">
      <c r="G51" s="50" t="s">
        <v>73</v>
      </c>
      <c r="H51" s="48" t="s">
        <v>74</v>
      </c>
      <c r="I51" s="49">
        <f>IF(WL_No="  ","  ",ML/V_Disp)</f>
        <v>1.5465071668757098</v>
      </c>
    </row>
    <row r="52" spans="7:9" x14ac:dyDescent="0.25">
      <c r="G52" s="50" t="s">
        <v>75</v>
      </c>
      <c r="H52" s="55" t="s">
        <v>76</v>
      </c>
      <c r="I52" s="49">
        <f>IF(WL_No="  ","  ",M_Disp*BML/100/LBP)</f>
        <v>131.55875784988672</v>
      </c>
    </row>
    <row r="53" spans="7:9" x14ac:dyDescent="0.25">
      <c r="G53" s="50" t="s">
        <v>78</v>
      </c>
      <c r="H53" s="48" t="s">
        <v>79</v>
      </c>
      <c r="I53" s="49">
        <f>IF(WL_No="  ","  ",WLS*WL_No)</f>
        <v>5.4</v>
      </c>
    </row>
    <row r="54" spans="7:9" x14ac:dyDescent="0.25">
      <c r="G54" s="50" t="s">
        <v>80</v>
      </c>
      <c r="H54" s="48" t="s">
        <v>81</v>
      </c>
      <c r="I54" s="49">
        <f>IF(WL_No="  ","  ",AWP/(LBP*B_current))</f>
        <v>0.66711564625850328</v>
      </c>
    </row>
    <row r="55" spans="7:9" x14ac:dyDescent="0.25">
      <c r="G55" s="50" t="s">
        <v>82</v>
      </c>
      <c r="H55" s="48" t="s">
        <v>83</v>
      </c>
      <c r="I55" s="49">
        <f>IF(WL_No="  ","  ",V_Disp/(LBP*B_current*T))</f>
        <v>0.5422441106072059</v>
      </c>
    </row>
    <row r="56" spans="7:9" x14ac:dyDescent="0.25">
      <c r="G56" s="50" t="s">
        <v>85</v>
      </c>
      <c r="H56" s="48" t="s">
        <v>86</v>
      </c>
      <c r="I56" s="65">
        <f>IF(WL_No="  ","  ",(VLOOKUP(Long_Div/2,AREA_TABLE,Count_WL+1,FALSE))/(B_current*T))</f>
        <v>0.94961451247165518</v>
      </c>
    </row>
    <row r="57" spans="7:9" x14ac:dyDescent="0.25">
      <c r="G57" s="50" t="s">
        <v>88</v>
      </c>
      <c r="H57" s="48" t="s">
        <v>89</v>
      </c>
      <c r="I57" s="49">
        <f>IF(WL_No="  ","  ",CB/CM)</f>
        <v>0.57101497869472717</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199" priority="14">
      <formula>ISERROR(A1)</formula>
    </cfRule>
  </conditionalFormatting>
  <conditionalFormatting sqref="G33:I34 G35:H57">
    <cfRule type="containsErrors" dxfId="198" priority="13">
      <formula>ISERROR(G33)</formula>
    </cfRule>
  </conditionalFormatting>
  <conditionalFormatting sqref="T12:T33">
    <cfRule type="containsErrors" dxfId="197" priority="12">
      <formula>ISERROR(T12)</formula>
    </cfRule>
  </conditionalFormatting>
  <conditionalFormatting sqref="I35:I57">
    <cfRule type="containsErrors" dxfId="196" priority="11">
      <formula>ISERROR(I35)</formula>
    </cfRule>
  </conditionalFormatting>
  <conditionalFormatting sqref="AY2:BC29">
    <cfRule type="containsErrors" dxfId="195" priority="8">
      <formula>ISERROR(AY2)</formula>
    </cfRule>
  </conditionalFormatting>
  <conditionalFormatting sqref="BE10:BG11 BE12:BF34">
    <cfRule type="containsErrors" dxfId="194" priority="10">
      <formula>ISERROR(BE10)</formula>
    </cfRule>
  </conditionalFormatting>
  <conditionalFormatting sqref="BG12:BG28 BG34">
    <cfRule type="containsErrors" dxfId="193" priority="9">
      <formula>ISERROR(BG12)</formula>
    </cfRule>
  </conditionalFormatting>
  <conditionalFormatting sqref="BE2:BG6">
    <cfRule type="containsErrors" dxfId="192" priority="7">
      <formula>ISERROR(BE2)</formula>
    </cfRule>
  </conditionalFormatting>
  <conditionalFormatting sqref="BF7:BG8">
    <cfRule type="containsErrors" dxfId="191" priority="5">
      <formula>ISERROR(BF7)</formula>
    </cfRule>
  </conditionalFormatting>
  <conditionalFormatting sqref="BE7:BE8">
    <cfRule type="containsErrors" dxfId="190" priority="6">
      <formula>ISERROR(BE7)</formula>
    </cfRule>
  </conditionalFormatting>
  <conditionalFormatting sqref="S30:S33">
    <cfRule type="containsErrors" dxfId="189" priority="4">
      <formula>ISERROR(S30)</formula>
    </cfRule>
  </conditionalFormatting>
  <conditionalFormatting sqref="AP27:AP28">
    <cfRule type="containsErrors" dxfId="188" priority="3">
      <formula>ISERROR(AP27)</formula>
    </cfRule>
  </conditionalFormatting>
  <conditionalFormatting sqref="BG29:BG32">
    <cfRule type="containsErrors" dxfId="187" priority="2">
      <formula>ISERROR(BG29)</formula>
    </cfRule>
  </conditionalFormatting>
  <conditionalFormatting sqref="BG33">
    <cfRule type="containsErrors" dxfId="186" priority="1">
      <formula>ISERROR(BG33)</formula>
    </cfRule>
  </conditionalFormatting>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2</v>
      </c>
      <c r="C1" s="3"/>
      <c r="D1" s="4"/>
      <c r="E1" s="4" t="s">
        <v>1</v>
      </c>
      <c r="F1" s="5">
        <v>5</v>
      </c>
      <c r="G1" s="4"/>
      <c r="H1" s="4"/>
      <c r="I1" s="4"/>
      <c r="J1" s="4"/>
      <c r="K1" s="4"/>
      <c r="L1" s="4"/>
      <c r="M1" s="4"/>
      <c r="N1" s="4"/>
      <c r="O1" s="4"/>
      <c r="P1" s="4"/>
      <c r="Q1" s="4"/>
      <c r="R1" s="4"/>
      <c r="S1" s="4"/>
      <c r="V1" t="s">
        <v>2</v>
      </c>
      <c r="W1">
        <f ca="1">COUNTIF(OFFSET(Z4,,,ROUNDDOWN(Max_STN_count/2+1,0),1),TRUE)</f>
        <v>5</v>
      </c>
      <c r="X1">
        <f ca="1">COUNTIF(OFFSET(AA4,,,ROUNDDOWN(Max_STN_count/2+1,0),1),TRUE)</f>
        <v>3</v>
      </c>
      <c r="Y1">
        <f ca="1">W1-X1</f>
        <v>2</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2</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131.69999999999999</v>
      </c>
      <c r="W4" s="29">
        <f>IF(AO4="  ","  ",IF(AO5="  ","?",1*(AO5-AO4)))</f>
        <v>0.5</v>
      </c>
      <c r="X4" s="30" t="str">
        <f t="shared" ref="X4:X28" si="4">IF(Y4=0,"--",CONCATENATE(IF(AO4=0,"-",IF(Y3=0,"-",IF(AO4-AO3=0.5,"D",IF(AO4-AO3=1,"W","-")))),IF(AO4=Long_Div,"-",IF(Y5=0,"-",IF(AO5-AO4=0.5,"D",IF(AO5-AO4=1,"W","-"))))))</f>
        <v>--</v>
      </c>
      <c r="Y4" s="30">
        <f t="shared" ref="Y4:Y28" si="5">IF(ISNUMBER(AO4),IF(AO4=Long_Div/2,"-",IF(AND(AO4=Long_Div,$AP4=0,$AP3=0),0,IF(AND(AO4=0,$AP4=0,$AP5=0),0,IF($AO4&lt;Long_Div/2,IF(AND(Y3=0,$AP4=0,$AP5=0),0,"-"),IF(AND(Y5=0,$AP4=0,$AP3=0),0,"-")))))," ")</f>
        <v>0</v>
      </c>
      <c r="Z4" s="29" t="b">
        <f t="shared" ref="Z4:Z28" si="6">IF(ISNUMBER(AO4),IF(AO4=0,IF(AO5=0.5,TRUE,FALSE),IF(AO4=Long_Div,IF(AO3=Long_Div-0.5,TRUE,FALSE),IF(OR(AO5-AO4=0.5,AO4-AO3=0.5),TRUE,FALSE)))," ")</f>
        <v>1</v>
      </c>
      <c r="AA4" s="29" t="str">
        <f t="shared" ref="AA4:AA28" si="7">IF(ISNUMBER(AO4),IF(Y4=0," ",IF(AO4=0,IF(AO5=0.5,TRUE,"-"),IF(AO4=Long_Div,IF(AO3=Long_Div-0.5,TRUE,"-"),IF(OR(AO5-AO4=0.5,AO4-AO3=0.5),TRUE,FALSE))))," ")</f>
        <v xml:space="preserve"> </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str">
        <f t="shared" ref="AG4:AG28" si="11">IF(ISNUMBER(AO4),IF(AA4=" "," ",IF(AO4=0,IF(AO5-AO4=1,TRUE,FALSE),IF(AO4=Long_Div,IF(AO4-AO3=1,TRUE,FALSE),IF(OR(AO5-AO4=1,AO4-AO3=1),TRUE,FALSE))))," ")</f>
        <v xml:space="preserve"> </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
      </c>
      <c r="AJ4" s="29">
        <f t="shared" ref="AJ4:AJ28" ca="1" si="14">IF(OR(AB4="1331-1",AB4="1331-1,141-1"),(1/2)*(3/8),IF(AB4="1331-3",(1/2)*(9/8),IF(AB4="141-1",(1/2)*(1/3),IF(AB4="141-2",(1/2)*(2/3),IF(AB4="141-4",(1/2)*(4/3),0)))))</f>
        <v>0</v>
      </c>
      <c r="AK4" s="29" t="str">
        <f t="shared" ref="AK4:AK28" si="15">IF(AH4="1331-1,141-1","(1*3/8)+(1/3)",IF(LEFT(AH4,4)="141-",CONCATENATE(RIGHT(AH4,1),"/3"),IF(LEFT(AH4,4)="1331",CONCATENATE(RIGHT(AH4,1),"*3/8"),"")))</f>
        <v/>
      </c>
      <c r="AL4" s="29">
        <f t="shared" ref="AL4:AL28" si="16">IF(AH4="1331-1,141-1",(1*3/8)+(1/3),IF(LEFT(AH4,4)="141-",(RIGHT(AH4,1)/3),IF(LEFT(AH4,4)="1331",RIGHT(AH4,1)*3/8,0)))</f>
        <v>0</v>
      </c>
      <c r="AM4" s="32" t="str">
        <f ca="1">IF(AQ4=""," ",AJ4+AL4)</f>
        <v xml:space="preserve"> </v>
      </c>
      <c r="AO4" s="20">
        <f>Tools!$AD3</f>
        <v>0</v>
      </c>
      <c r="AP4" s="33">
        <f t="shared" ref="AP4" si="17">VLOOKUP(AO4,OFFSET_A,Count_WL+1,FALSE)</f>
        <v>0</v>
      </c>
      <c r="AQ4" s="34" t="str">
        <f t="shared" ref="AQ4:AQ28" ca="1" si="18">CONCATENATE(AI4,IF(NOT(OR(AI4="",AK4="")),"+",""),AK4)</f>
        <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f t="shared" ref="AV4:AV28" si="21">IFERROR(AP4^3,"  ")</f>
        <v>0</v>
      </c>
      <c r="AW4" s="23" t="str">
        <f t="shared" ref="AW4:AW28" ca="1" si="22">IFERROR(AV4*AM4,"  ")</f>
        <v xml:space="preserve">  </v>
      </c>
      <c r="AY4" s="35">
        <f t="shared" ref="AY4:AY28" si="23">IF(ROW(AY4)-3&gt;Max_STN_count," ",VLOOKUP(AO4,AREA_TABLE,Count_WL+1,FALSE))</f>
        <v>0</v>
      </c>
      <c r="AZ4" s="23" t="str">
        <f t="shared" ref="AZ4:AZ7" ca="1" si="24">IFERROR(AY4*AM4,"  ")</f>
        <v xml:space="preserve">  </v>
      </c>
      <c r="BA4" s="36">
        <f t="shared" ref="BA4:BA28" si="25">IF(ROW(AY4)-3&gt;Max_STN_count," ",VLOOKUP(AO4,MOMENT_TABLE,Count_WL+1,FALSE))</f>
        <v>0</v>
      </c>
      <c r="BB4" s="27" t="str">
        <f ca="1">IFERROR(BA4*AM4,"  ")</f>
        <v xml:space="preserve">  </v>
      </c>
      <c r="BC4" s="23" t="str">
        <f ca="1">IFERROR(AZ4*AS4,"  ")</f>
        <v xml:space="preserve">  </v>
      </c>
      <c r="BE4" s="16" t="s">
        <v>26</v>
      </c>
      <c r="BF4" s="9" t="s">
        <v>8</v>
      </c>
      <c r="BG4" s="28">
        <f>LBP</f>
        <v>131.69999999999999</v>
      </c>
    </row>
    <row r="5" spans="1:60" x14ac:dyDescent="0.25">
      <c r="A5" s="20">
        <f>Tools!$AD4</f>
        <v>0.5</v>
      </c>
      <c r="B5" s="33">
        <f t="shared" si="0"/>
        <v>0</v>
      </c>
      <c r="C5" s="22">
        <f>IF(A5="  ","  ",IF(AND(A4="  ",A6="  "),"?",IF(A4="  ",2*(A6-A5),IF(A6="  ",2*(A5-A4),2*(A6-A4)))))</f>
        <v>2</v>
      </c>
      <c r="D5" s="23">
        <f t="shared" ref="D5:D28" si="26">IFERROR(B5*C5,"  ")</f>
        <v>0</v>
      </c>
      <c r="E5" s="24">
        <f t="shared" si="1"/>
        <v>-9.5</v>
      </c>
      <c r="F5" s="23">
        <f t="shared" ref="F5:F28" si="27">IFERROR(D5*E5,"  ")</f>
        <v>0</v>
      </c>
      <c r="G5" s="23">
        <f t="shared" ref="G5:G28" si="28">IFERROR(F5*E5,"  ")</f>
        <v>0</v>
      </c>
      <c r="H5" s="23">
        <f t="shared" ref="H5:H28" si="29">IFERROR(B5^3,"  ")</f>
        <v>0</v>
      </c>
      <c r="I5" s="23">
        <f t="shared" ref="I5:I28" si="30">IFERROR(H5*C5,"  ")</f>
        <v>0</v>
      </c>
      <c r="J5" s="4"/>
      <c r="K5" s="37">
        <f t="shared" si="2"/>
        <v>0</v>
      </c>
      <c r="L5" s="23">
        <f t="shared" ref="L5:L28" si="31">IFERROR(K5*C5,"  ")</f>
        <v>0</v>
      </c>
      <c r="M5" s="38">
        <f t="shared" si="3"/>
        <v>0</v>
      </c>
      <c r="N5" s="27">
        <f t="shared" ref="N5:N28" si="32">IFERROR(M5*C5,"  ")</f>
        <v>0</v>
      </c>
      <c r="O5" s="23">
        <f t="shared" ref="O5:O28" si="33">IFERROR(L5*E5,"  ")</f>
        <v>0</v>
      </c>
      <c r="P5" s="4"/>
      <c r="Q5" s="8" t="s">
        <v>27</v>
      </c>
      <c r="R5" s="9" t="s">
        <v>8</v>
      </c>
      <c r="S5" s="10">
        <f>BREADTH</f>
        <v>24.5</v>
      </c>
      <c r="W5" s="29">
        <f>IF(AO5="  ","  ",IF(AND(AO4="  ",AO6="  "),"?",IF(AO4="  ",2*(AO6-AO5),IF(AO6="  ",2*(AO5-AO4),2*(AO6-AO4)))))</f>
        <v>2</v>
      </c>
      <c r="X5" s="30" t="str">
        <f t="shared" si="4"/>
        <v>--</v>
      </c>
      <c r="Y5" s="30">
        <f t="shared" si="5"/>
        <v>0</v>
      </c>
      <c r="Z5" s="29" t="b">
        <f t="shared" si="6"/>
        <v>1</v>
      </c>
      <c r="AA5" s="29" t="str">
        <f t="shared" si="7"/>
        <v xml:space="preserve"> </v>
      </c>
      <c r="AB5" s="29" t="str">
        <f t="shared" ca="1" si="8"/>
        <v>--</v>
      </c>
      <c r="AC5" s="29">
        <f t="shared" ref="AC5:AC27" si="34">IF(ISNUMBER(AO5),IF(ISNUMBER(AO5),IF(OR(AO5=0,AO5=Long_Div),1,IF(AO5&gt;Long_Div/2,AC6+1,IF(AO5&lt;=Long_Div/2,AC4+1,"?")))," --")," ")</f>
        <v>2</v>
      </c>
      <c r="AD5" s="29">
        <f t="shared" ca="1" si="9"/>
        <v>0</v>
      </c>
      <c r="AE5" s="29">
        <v>2</v>
      </c>
      <c r="AF5" s="31" t="str">
        <f t="shared" si="10"/>
        <v xml:space="preserve"> </v>
      </c>
      <c r="AG5" s="29" t="str">
        <f t="shared" si="11"/>
        <v xml:space="preserve"> </v>
      </c>
      <c r="AH5" s="30" t="str">
        <f t="shared" si="12"/>
        <v>-</v>
      </c>
      <c r="AI5" s="30" t="str">
        <f t="shared" ca="1" si="13"/>
        <v/>
      </c>
      <c r="AJ5" s="29">
        <f t="shared" ca="1" si="14"/>
        <v>0</v>
      </c>
      <c r="AK5" s="29" t="str">
        <f t="shared" si="15"/>
        <v/>
      </c>
      <c r="AL5" s="29">
        <f t="shared" si="16"/>
        <v>0</v>
      </c>
      <c r="AM5" s="32" t="str">
        <f t="shared" ref="AM5:AM28" ca="1" si="35">IF(AQ5=""," ",AJ5+AL5)</f>
        <v xml:space="preserve"> </v>
      </c>
      <c r="AO5" s="20">
        <f>Tools!$AD4</f>
        <v>0.5</v>
      </c>
      <c r="AP5" s="33">
        <f t="shared" ref="AP5:AP26" si="36">VLOOKUP(AO5,OFFSET_A,Count_WL+1,FALSE)</f>
        <v>0</v>
      </c>
      <c r="AQ5" s="34" t="str">
        <f t="shared" ca="1" si="18"/>
        <v/>
      </c>
      <c r="AR5" s="23" t="str">
        <f t="shared" ca="1" si="19"/>
        <v xml:space="preserve">  </v>
      </c>
      <c r="AS5" s="24">
        <f t="shared" si="20"/>
        <v>-9.5</v>
      </c>
      <c r="AT5" s="23" t="str">
        <f t="shared" ref="AT5:AT28" ca="1" si="37">IFERROR(AR5*AS5,"  ")</f>
        <v xml:space="preserve">  </v>
      </c>
      <c r="AU5" s="23" t="str">
        <f ca="1">IFERROR(AT5*AS5,"  ")</f>
        <v xml:space="preserve">  </v>
      </c>
      <c r="AV5" s="23">
        <f t="shared" si="21"/>
        <v>0</v>
      </c>
      <c r="AW5" s="23" t="str">
        <f t="shared" ca="1" si="22"/>
        <v xml:space="preserve">  </v>
      </c>
      <c r="AY5" s="35">
        <f t="shared" si="23"/>
        <v>0</v>
      </c>
      <c r="AZ5" s="23" t="str">
        <f t="shared" ca="1" si="24"/>
        <v xml:space="preserve">  </v>
      </c>
      <c r="BA5" s="36">
        <f t="shared" si="25"/>
        <v>0</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f t="shared" si="0"/>
        <v>0</v>
      </c>
      <c r="C6" s="22">
        <f>IF(A6="  ","  ",IF(AND(A5="  ",A7="  "),"?",IF(A5="  ",1*(A7-A6),IF(A7="  ",1*(A6-A5),1*(A7-A5)))))</f>
        <v>1</v>
      </c>
      <c r="D6" s="23">
        <f t="shared" si="26"/>
        <v>0</v>
      </c>
      <c r="E6" s="24">
        <f t="shared" si="1"/>
        <v>-9</v>
      </c>
      <c r="F6" s="23">
        <f t="shared" si="27"/>
        <v>0</v>
      </c>
      <c r="G6" s="23">
        <f t="shared" si="28"/>
        <v>0</v>
      </c>
      <c r="H6" s="23">
        <f t="shared" si="29"/>
        <v>0</v>
      </c>
      <c r="I6" s="23">
        <f t="shared" si="30"/>
        <v>0</v>
      </c>
      <c r="J6" s="4"/>
      <c r="K6" s="37">
        <f t="shared" si="2"/>
        <v>0</v>
      </c>
      <c r="L6" s="23">
        <f t="shared" si="31"/>
        <v>0</v>
      </c>
      <c r="M6" s="38">
        <f t="shared" si="3"/>
        <v>0</v>
      </c>
      <c r="N6" s="27">
        <f t="shared" si="32"/>
        <v>0</v>
      </c>
      <c r="O6" s="23">
        <f t="shared" si="33"/>
        <v>0</v>
      </c>
      <c r="P6" s="4"/>
      <c r="Q6" s="8" t="s">
        <v>28</v>
      </c>
      <c r="R6" s="9" t="s">
        <v>8</v>
      </c>
      <c r="S6" s="10">
        <f>DEPTH</f>
        <v>14.19</v>
      </c>
      <c r="W6" s="29">
        <f>IF(AO6="  ","  ",IF(AND(AO5="  ",AO7="  "),"?",IF(AO5="  ",1*(AO7-AO6),IF(AO7="  ",1*(AO6-AO5),1*(AO7-AO5)))))</f>
        <v>1</v>
      </c>
      <c r="X6" s="30" t="str">
        <f t="shared" si="4"/>
        <v>-D</v>
      </c>
      <c r="Y6" s="30" t="str">
        <f t="shared" si="5"/>
        <v>-</v>
      </c>
      <c r="Z6" s="29" t="b">
        <f t="shared" si="6"/>
        <v>1</v>
      </c>
      <c r="AA6" s="29" t="b">
        <f t="shared" si="7"/>
        <v>1</v>
      </c>
      <c r="AB6" s="29" t="str">
        <f t="shared" ca="1" si="8"/>
        <v>141-1</v>
      </c>
      <c r="AC6" s="29">
        <f t="shared" si="34"/>
        <v>3</v>
      </c>
      <c r="AD6" s="29">
        <f t="shared" ca="1" si="9"/>
        <v>1</v>
      </c>
      <c r="AE6" s="29">
        <v>3</v>
      </c>
      <c r="AF6" s="31" t="str">
        <f t="shared" si="10"/>
        <v xml:space="preserve"> </v>
      </c>
      <c r="AG6" s="29" t="b">
        <f t="shared" si="11"/>
        <v>0</v>
      </c>
      <c r="AH6" s="30" t="str">
        <f t="shared" si="12"/>
        <v>-</v>
      </c>
      <c r="AI6" s="30" t="str">
        <f t="shared" ca="1" si="13"/>
        <v>(1/2)*(1/3)</v>
      </c>
      <c r="AJ6" s="29">
        <f t="shared" ca="1" si="14"/>
        <v>0.16666666666666666</v>
      </c>
      <c r="AK6" s="29" t="str">
        <f t="shared" si="15"/>
        <v/>
      </c>
      <c r="AL6" s="29">
        <f t="shared" si="16"/>
        <v>0</v>
      </c>
      <c r="AM6" s="32">
        <f t="shared" ca="1" si="35"/>
        <v>0.16666666666666666</v>
      </c>
      <c r="AO6" s="20">
        <f>Tools!$AD5</f>
        <v>1</v>
      </c>
      <c r="AP6" s="33">
        <f t="shared" si="36"/>
        <v>0</v>
      </c>
      <c r="AQ6" s="34" t="str">
        <f t="shared" ca="1" si="18"/>
        <v>(1/2)*(1/3)</v>
      </c>
      <c r="AR6" s="23">
        <f t="shared" ca="1" si="19"/>
        <v>0</v>
      </c>
      <c r="AS6" s="24">
        <f t="shared" si="20"/>
        <v>-9</v>
      </c>
      <c r="AT6" s="23">
        <f t="shared" ca="1" si="37"/>
        <v>0</v>
      </c>
      <c r="AU6" s="23">
        <f ca="1">IFERROR(AT6*AS6,"  ")</f>
        <v>0</v>
      </c>
      <c r="AV6" s="23">
        <f t="shared" si="21"/>
        <v>0</v>
      </c>
      <c r="AW6" s="23">
        <f t="shared" ca="1" si="22"/>
        <v>0</v>
      </c>
      <c r="AY6" s="35">
        <f t="shared" si="23"/>
        <v>0</v>
      </c>
      <c r="AZ6" s="23">
        <f t="shared" ca="1" si="24"/>
        <v>0</v>
      </c>
      <c r="BA6" s="36">
        <f t="shared" si="25"/>
        <v>0</v>
      </c>
      <c r="BB6" s="27">
        <f t="shared" ca="1" si="38"/>
        <v>0</v>
      </c>
      <c r="BC6" s="23">
        <f t="shared" ca="1" si="39"/>
        <v>0</v>
      </c>
      <c r="BE6" s="8" t="s">
        <v>28</v>
      </c>
      <c r="BF6" s="9" t="s">
        <v>8</v>
      </c>
      <c r="BG6" s="10">
        <f>DEPTH</f>
        <v>14.19</v>
      </c>
    </row>
    <row r="7" spans="1:60" x14ac:dyDescent="0.25">
      <c r="A7" s="20">
        <f>Tools!$AD6</f>
        <v>1.5</v>
      </c>
      <c r="B7" s="33">
        <f t="shared" si="0"/>
        <v>0.7</v>
      </c>
      <c r="C7" s="22">
        <f>IF(A7="  ","  ",IF(AND(A6="  ",A8="  "),"?",IF(A6="  ",2*(A8-A7),IF(A8="  ",2*(A7-A6),2*(A8-A6)))))</f>
        <v>2</v>
      </c>
      <c r="D7" s="23">
        <f t="shared" si="26"/>
        <v>1.4</v>
      </c>
      <c r="E7" s="24">
        <f t="shared" si="1"/>
        <v>-8.5</v>
      </c>
      <c r="F7" s="23">
        <f t="shared" si="27"/>
        <v>-11.899999999999999</v>
      </c>
      <c r="G7" s="23">
        <f t="shared" si="28"/>
        <v>101.14999999999999</v>
      </c>
      <c r="H7" s="23">
        <f t="shared" si="29"/>
        <v>0.34299999999999992</v>
      </c>
      <c r="I7" s="23">
        <f t="shared" si="30"/>
        <v>0.68599999999999983</v>
      </c>
      <c r="J7" s="4"/>
      <c r="K7" s="37">
        <f t="shared" si="2"/>
        <v>1.29</v>
      </c>
      <c r="L7" s="23">
        <f t="shared" si="31"/>
        <v>2.58</v>
      </c>
      <c r="M7" s="38">
        <f t="shared" si="3"/>
        <v>3.8940000000000001</v>
      </c>
      <c r="N7" s="27">
        <f t="shared" si="32"/>
        <v>7.7880000000000003</v>
      </c>
      <c r="O7" s="23">
        <f t="shared" si="33"/>
        <v>-21.93</v>
      </c>
      <c r="P7" s="4"/>
      <c r="Q7" s="39" t="s">
        <v>29</v>
      </c>
      <c r="R7" s="40" t="s">
        <v>8</v>
      </c>
      <c r="S7" s="41">
        <f>IF(MAX(B4:B28)=0," ",2*MAX(B4:B28))</f>
        <v>24.5</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2</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0.7</v>
      </c>
      <c r="AQ7" s="34" t="str">
        <f t="shared" ca="1" si="18"/>
        <v>(1/2)*(4/3)</v>
      </c>
      <c r="AR7" s="23">
        <f t="shared" ca="1" si="19"/>
        <v>0.46666666666666662</v>
      </c>
      <c r="AS7" s="24">
        <f t="shared" si="20"/>
        <v>-8.5</v>
      </c>
      <c r="AT7" s="23">
        <f t="shared" ca="1" si="37"/>
        <v>-3.9666666666666663</v>
      </c>
      <c r="AU7" s="23">
        <f t="shared" ref="AU7:AU28" ca="1" si="40">IFERROR(AT7*AS7,"  ")</f>
        <v>33.716666666666661</v>
      </c>
      <c r="AV7" s="23">
        <f t="shared" si="21"/>
        <v>0.34299999999999992</v>
      </c>
      <c r="AW7" s="23">
        <f t="shared" ca="1" si="22"/>
        <v>0.2286666666666666</v>
      </c>
      <c r="AY7" s="35">
        <f t="shared" si="23"/>
        <v>1.29</v>
      </c>
      <c r="AZ7" s="23">
        <f t="shared" ca="1" si="24"/>
        <v>0.86</v>
      </c>
      <c r="BA7" s="36">
        <f t="shared" si="25"/>
        <v>3.8940000000000001</v>
      </c>
      <c r="BB7" s="27">
        <f t="shared" ca="1" si="38"/>
        <v>2.5960000000000001</v>
      </c>
      <c r="BC7" s="23">
        <f t="shared" ca="1" si="39"/>
        <v>-7.31</v>
      </c>
      <c r="BE7" s="8" t="s">
        <v>29</v>
      </c>
      <c r="BF7" s="9" t="s">
        <v>8</v>
      </c>
      <c r="BG7" s="10">
        <f>IF(MAX(AP4:AP28)=0," ",2*MAX(AP4:AP28))</f>
        <v>24.5</v>
      </c>
    </row>
    <row r="8" spans="1:60" x14ac:dyDescent="0.25">
      <c r="A8" s="20">
        <f>Tools!$AD7</f>
        <v>2</v>
      </c>
      <c r="B8" s="33">
        <f t="shared" si="0"/>
        <v>1.7</v>
      </c>
      <c r="C8" s="22">
        <f>IF(A8="  ","  ",IF(AND(A7="  ",A9="  "),"?",IF(A7="  ",1*(A9-A8),IF(A9="  ",1*(A8-A7),1*(A9-A7)))))</f>
        <v>1.5</v>
      </c>
      <c r="D8" s="23">
        <f t="shared" si="26"/>
        <v>2.5499999999999998</v>
      </c>
      <c r="E8" s="24">
        <f t="shared" si="1"/>
        <v>-8</v>
      </c>
      <c r="F8" s="23">
        <f t="shared" si="27"/>
        <v>-20.399999999999999</v>
      </c>
      <c r="G8" s="23">
        <f t="shared" si="28"/>
        <v>163.19999999999999</v>
      </c>
      <c r="H8" s="23">
        <f t="shared" si="29"/>
        <v>4.9129999999999994</v>
      </c>
      <c r="I8" s="23">
        <f t="shared" si="30"/>
        <v>7.3694999999999986</v>
      </c>
      <c r="J8" s="4"/>
      <c r="K8" s="37">
        <f t="shared" si="2"/>
        <v>6.6989999999999998</v>
      </c>
      <c r="L8" s="23">
        <f t="shared" si="31"/>
        <v>10.048500000000001</v>
      </c>
      <c r="M8" s="38">
        <f t="shared" si="3"/>
        <v>16.49193</v>
      </c>
      <c r="N8" s="27">
        <f t="shared" si="32"/>
        <v>24.737895000000002</v>
      </c>
      <c r="O8" s="23">
        <f t="shared" si="33"/>
        <v>-80.388000000000005</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3</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1.7</v>
      </c>
      <c r="AQ8" s="34" t="str">
        <f t="shared" ca="1" si="18"/>
        <v>(1/2)*(1/3)+1/3</v>
      </c>
      <c r="AR8" s="23">
        <f t="shared" ca="1" si="19"/>
        <v>0.85</v>
      </c>
      <c r="AS8" s="24">
        <f t="shared" si="20"/>
        <v>-8</v>
      </c>
      <c r="AT8" s="23">
        <f t="shared" ca="1" si="37"/>
        <v>-6.8</v>
      </c>
      <c r="AU8" s="23">
        <f t="shared" ca="1" si="40"/>
        <v>54.4</v>
      </c>
      <c r="AV8" s="23">
        <f t="shared" si="21"/>
        <v>4.9129999999999994</v>
      </c>
      <c r="AW8" s="23">
        <f t="shared" ca="1" si="22"/>
        <v>2.4564999999999997</v>
      </c>
      <c r="AY8" s="35">
        <f t="shared" si="23"/>
        <v>6.6989999999999998</v>
      </c>
      <c r="AZ8" s="23">
        <f ca="1">IFERROR(AY8*AM8,"  ")</f>
        <v>3.3494999999999999</v>
      </c>
      <c r="BA8" s="36">
        <f t="shared" si="25"/>
        <v>16.49193</v>
      </c>
      <c r="BB8" s="27">
        <f t="shared" ca="1" si="38"/>
        <v>8.245965</v>
      </c>
      <c r="BC8" s="23">
        <f t="shared" ca="1" si="39"/>
        <v>-26.795999999999999</v>
      </c>
      <c r="BE8" s="8" t="s">
        <v>30</v>
      </c>
      <c r="BF8" s="9" t="s">
        <v>8</v>
      </c>
      <c r="BG8" s="10">
        <f ca="1">LBP-AJ33</f>
        <v>125.11499999999999</v>
      </c>
      <c r="BH8" t="str">
        <f ca="1">IF(AJ33&gt;0,CONCATENATE("(LWL is assumed between stations ",$AH$31," and ",$AH$33," as offset values extreme to these stations are zeros.)"),"")</f>
        <v>(LWL is assumed between stations 1 and 20 as offset values extreme to these stations are zeros.)</v>
      </c>
    </row>
    <row r="9" spans="1:60" x14ac:dyDescent="0.25">
      <c r="A9" s="20">
        <f>Tools!$AD8</f>
        <v>3</v>
      </c>
      <c r="B9" s="33">
        <f t="shared" si="0"/>
        <v>3.1</v>
      </c>
      <c r="C9" s="22">
        <f>IF(A9="  ","  ",IF(AND(A8="  ",A10="  "),"?",IF(A8="  ",2*(A10-A9),IF(A10="  ",2*(A9-A8),2*(A10-A8)))))</f>
        <v>4</v>
      </c>
      <c r="D9" s="23">
        <f t="shared" si="26"/>
        <v>12.4</v>
      </c>
      <c r="E9" s="24">
        <f t="shared" si="1"/>
        <v>-7</v>
      </c>
      <c r="F9" s="23">
        <f t="shared" si="27"/>
        <v>-86.8</v>
      </c>
      <c r="G9" s="23">
        <f t="shared" si="28"/>
        <v>607.6</v>
      </c>
      <c r="H9" s="23">
        <f t="shared" si="29"/>
        <v>29.791000000000004</v>
      </c>
      <c r="I9" s="23">
        <f t="shared" si="30"/>
        <v>119.16400000000002</v>
      </c>
      <c r="J9" s="4"/>
      <c r="K9" s="37">
        <f t="shared" si="2"/>
        <v>15.288</v>
      </c>
      <c r="L9" s="23">
        <f t="shared" si="31"/>
        <v>61.152000000000001</v>
      </c>
      <c r="M9" s="38">
        <f t="shared" si="3"/>
        <v>32.767200000000003</v>
      </c>
      <c r="N9" s="27">
        <f t="shared" si="32"/>
        <v>131.06880000000001</v>
      </c>
      <c r="O9" s="23">
        <f t="shared" si="33"/>
        <v>-428.06400000000002</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4</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3.1</v>
      </c>
      <c r="AQ9" s="34" t="str">
        <f t="shared" ca="1" si="18"/>
        <v>4/3</v>
      </c>
      <c r="AR9" s="23">
        <f t="shared" ca="1" si="19"/>
        <v>4.1333333333333329</v>
      </c>
      <c r="AS9" s="24">
        <f t="shared" si="20"/>
        <v>-7</v>
      </c>
      <c r="AT9" s="23">
        <f t="shared" ca="1" si="37"/>
        <v>-28.93333333333333</v>
      </c>
      <c r="AU9" s="23">
        <f t="shared" ca="1" si="40"/>
        <v>202.5333333333333</v>
      </c>
      <c r="AV9" s="23">
        <f t="shared" si="21"/>
        <v>29.791000000000004</v>
      </c>
      <c r="AW9" s="23">
        <f t="shared" ca="1" si="22"/>
        <v>39.721333333333334</v>
      </c>
      <c r="AY9" s="35">
        <f t="shared" si="23"/>
        <v>15.288</v>
      </c>
      <c r="AZ9" s="23">
        <f t="shared" ref="AZ9:AZ28" ca="1" si="41">IFERROR(AY9*AM9,"  ")</f>
        <v>20.384</v>
      </c>
      <c r="BA9" s="36">
        <f t="shared" si="25"/>
        <v>32.767200000000003</v>
      </c>
      <c r="BB9" s="27">
        <f t="shared" ca="1" si="38"/>
        <v>43.689599999999999</v>
      </c>
      <c r="BC9" s="23">
        <f t="shared" ca="1" si="39"/>
        <v>-142.68799999999999</v>
      </c>
    </row>
    <row r="10" spans="1:60" x14ac:dyDescent="0.25">
      <c r="A10" s="20">
        <f>Tools!$AD9</f>
        <v>4</v>
      </c>
      <c r="B10" s="33">
        <f t="shared" si="0"/>
        <v>5.8</v>
      </c>
      <c r="C10" s="22">
        <f>IF(A10="  ","  ",IF(AND(A9="  ",A11="  "),"?",IF(A9="  ",1*(A11-A10),IF(A11="  ",1*(A10-A9),1*(A11-A9)))))</f>
        <v>2</v>
      </c>
      <c r="D10" s="23">
        <f t="shared" si="26"/>
        <v>11.6</v>
      </c>
      <c r="E10" s="24">
        <f t="shared" si="1"/>
        <v>-6</v>
      </c>
      <c r="F10" s="23">
        <f t="shared" si="27"/>
        <v>-69.599999999999994</v>
      </c>
      <c r="G10" s="23">
        <f t="shared" si="28"/>
        <v>417.59999999999997</v>
      </c>
      <c r="H10" s="23">
        <f t="shared" si="29"/>
        <v>195.11199999999999</v>
      </c>
      <c r="I10" s="23">
        <f>IFERROR(H10*C10,"  ")</f>
        <v>390.22399999999999</v>
      </c>
      <c r="J10" s="4"/>
      <c r="K10" s="37">
        <f t="shared" si="2"/>
        <v>28.103999999999999</v>
      </c>
      <c r="L10" s="23">
        <f t="shared" si="31"/>
        <v>56.207999999999998</v>
      </c>
      <c r="M10" s="38">
        <f t="shared" si="3"/>
        <v>59.292000000000002</v>
      </c>
      <c r="N10" s="27">
        <f t="shared" si="32"/>
        <v>118.584</v>
      </c>
      <c r="O10" s="23">
        <f t="shared" si="33"/>
        <v>-337.24799999999999</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5</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5.8</v>
      </c>
      <c r="AQ10" s="34" t="str">
        <f t="shared" ca="1" si="18"/>
        <v>2/3</v>
      </c>
      <c r="AR10" s="23">
        <f t="shared" ca="1" si="19"/>
        <v>3.8666666666666663</v>
      </c>
      <c r="AS10" s="24">
        <f t="shared" si="20"/>
        <v>-6</v>
      </c>
      <c r="AT10" s="23">
        <f t="shared" ca="1" si="37"/>
        <v>-23.199999999999996</v>
      </c>
      <c r="AU10" s="23">
        <f ca="1">IFERROR(AT10*AS10,"  ")</f>
        <v>139.19999999999999</v>
      </c>
      <c r="AV10" s="23">
        <f t="shared" si="21"/>
        <v>195.11199999999999</v>
      </c>
      <c r="AW10" s="23">
        <f t="shared" ca="1" si="22"/>
        <v>130.07466666666664</v>
      </c>
      <c r="AY10" s="35">
        <f t="shared" si="23"/>
        <v>28.103999999999999</v>
      </c>
      <c r="AZ10" s="23">
        <f t="shared" ca="1" si="41"/>
        <v>18.735999999999997</v>
      </c>
      <c r="BA10" s="36">
        <f t="shared" si="25"/>
        <v>59.292000000000002</v>
      </c>
      <c r="BB10" s="27">
        <f t="shared" ca="1" si="38"/>
        <v>39.527999999999999</v>
      </c>
      <c r="BC10" s="23">
        <f t="shared" ca="1" si="39"/>
        <v>-112.41599999999998</v>
      </c>
      <c r="BE10" s="43" t="s">
        <v>31</v>
      </c>
      <c r="BF10" s="44" t="s">
        <v>32</v>
      </c>
      <c r="BG10" s="506" t="s">
        <v>33</v>
      </c>
    </row>
    <row r="11" spans="1:60" x14ac:dyDescent="0.25">
      <c r="A11" s="20">
        <f>Tools!$AD10</f>
        <v>5</v>
      </c>
      <c r="B11" s="33">
        <f t="shared" si="0"/>
        <v>9.0299999999999994</v>
      </c>
      <c r="C11" s="22">
        <f>IF(A11="  ","  ",IF(AND(A10="  ",A12="  "),"?",IF(A10="  ",2*(A12-A11),IF(A12="  ",2*(A11-A10),2*(A12-A10)))))</f>
        <v>4</v>
      </c>
      <c r="D11" s="23">
        <f t="shared" si="26"/>
        <v>36.119999999999997</v>
      </c>
      <c r="E11" s="24">
        <f t="shared" si="1"/>
        <v>-5</v>
      </c>
      <c r="F11" s="23">
        <f t="shared" si="27"/>
        <v>-180.6</v>
      </c>
      <c r="G11" s="23">
        <f t="shared" si="28"/>
        <v>903</v>
      </c>
      <c r="H11" s="23">
        <f t="shared" si="29"/>
        <v>736.31432699999993</v>
      </c>
      <c r="I11" s="23">
        <f t="shared" si="30"/>
        <v>2945.2573079999997</v>
      </c>
      <c r="J11" s="4"/>
      <c r="K11" s="37">
        <f t="shared" si="2"/>
        <v>42.93</v>
      </c>
      <c r="L11" s="23">
        <f t="shared" si="31"/>
        <v>171.72</v>
      </c>
      <c r="M11" s="38">
        <f t="shared" si="3"/>
        <v>90.806399999999996</v>
      </c>
      <c r="N11" s="27">
        <f t="shared" si="32"/>
        <v>363.22559999999999</v>
      </c>
      <c r="O11" s="23">
        <f t="shared" si="33"/>
        <v>-858.6</v>
      </c>
      <c r="P11" s="4"/>
      <c r="Q11" s="47" t="s">
        <v>34</v>
      </c>
      <c r="R11" s="48" t="s">
        <v>35</v>
      </c>
      <c r="S11">
        <f>IF(Tools!$L$49="Use 141 rule only",I35,IF(Tools!$L$49="Use 141 and 1331 rules",BG12," "))</f>
        <v>1954.7791999999986</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6</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9.0299999999999994</v>
      </c>
      <c r="AQ11" s="34" t="str">
        <f t="shared" ca="1" si="18"/>
        <v>4/3</v>
      </c>
      <c r="AR11" s="23">
        <f t="shared" ca="1" si="19"/>
        <v>12.04</v>
      </c>
      <c r="AS11" s="24">
        <f t="shared" si="20"/>
        <v>-5</v>
      </c>
      <c r="AT11" s="23">
        <f t="shared" ca="1" si="37"/>
        <v>-60.199999999999996</v>
      </c>
      <c r="AU11" s="23">
        <f t="shared" ca="1" si="40"/>
        <v>301</v>
      </c>
      <c r="AV11" s="23">
        <f t="shared" si="21"/>
        <v>736.31432699999993</v>
      </c>
      <c r="AW11" s="23">
        <f t="shared" ca="1" si="22"/>
        <v>981.75243599999988</v>
      </c>
      <c r="AY11" s="35">
        <f t="shared" si="23"/>
        <v>42.93</v>
      </c>
      <c r="AZ11" s="23">
        <f t="shared" ca="1" si="41"/>
        <v>57.239999999999995</v>
      </c>
      <c r="BA11" s="36">
        <f t="shared" si="25"/>
        <v>90.806399999999996</v>
      </c>
      <c r="BB11" s="27">
        <f t="shared" ca="1" si="38"/>
        <v>121.0752</v>
      </c>
      <c r="BC11" s="23">
        <f ca="1">IFERROR(AZ11*AS11,"  ")</f>
        <v>-286.2</v>
      </c>
      <c r="BE11" s="45"/>
      <c r="BF11" s="46"/>
      <c r="BG11" s="507"/>
    </row>
    <row r="12" spans="1:60" x14ac:dyDescent="0.25">
      <c r="A12" s="20">
        <f>Tools!$AD11</f>
        <v>6</v>
      </c>
      <c r="B12" s="33">
        <f t="shared" si="0"/>
        <v>10.92</v>
      </c>
      <c r="C12" s="22">
        <f>IF(A12="  ","  ",IF(AND(A11="  ",A13="  "),"?",IF(A11="  ",1*(A13-A12),IF(A13="  ",1*(A12-A11),1*(A13-A11)))))</f>
        <v>2</v>
      </c>
      <c r="D12" s="23">
        <f t="shared" si="26"/>
        <v>21.84</v>
      </c>
      <c r="E12" s="24">
        <f t="shared" si="1"/>
        <v>-4</v>
      </c>
      <c r="F12" s="23">
        <f t="shared" si="27"/>
        <v>-87.36</v>
      </c>
      <c r="G12" s="23">
        <f t="shared" si="28"/>
        <v>349.44</v>
      </c>
      <c r="H12" s="23">
        <f t="shared" si="29"/>
        <v>1302.1706879999999</v>
      </c>
      <c r="I12" s="23">
        <f t="shared" si="30"/>
        <v>2604.3413759999999</v>
      </c>
      <c r="J12" s="4"/>
      <c r="K12" s="37">
        <f t="shared" si="2"/>
        <v>57.263999999999996</v>
      </c>
      <c r="L12" s="23">
        <f t="shared" si="31"/>
        <v>114.52799999999999</v>
      </c>
      <c r="M12" s="38">
        <f t="shared" si="3"/>
        <v>119.46960000000001</v>
      </c>
      <c r="N12" s="27">
        <f t="shared" si="32"/>
        <v>238.93920000000003</v>
      </c>
      <c r="O12" s="23">
        <f t="shared" si="33"/>
        <v>-458.11199999999997</v>
      </c>
      <c r="P12" s="4"/>
      <c r="Q12" s="47" t="s">
        <v>36</v>
      </c>
      <c r="R12" s="48" t="s">
        <v>37</v>
      </c>
      <c r="S12">
        <f>IF(Tools!$L$49="Use 141 rule only",I36,IF(Tools!$L$49="Use 141 and 1331 rules",BG13," "))</f>
        <v>2938.5134474999973</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7</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10.92</v>
      </c>
      <c r="AQ12" s="34" t="str">
        <f t="shared" ca="1" si="18"/>
        <v>2/3</v>
      </c>
      <c r="AR12" s="23">
        <f t="shared" ca="1" si="19"/>
        <v>7.2799999999999994</v>
      </c>
      <c r="AS12" s="24">
        <f t="shared" si="20"/>
        <v>-4</v>
      </c>
      <c r="AT12" s="23">
        <f t="shared" ca="1" si="37"/>
        <v>-29.119999999999997</v>
      </c>
      <c r="AU12" s="23">
        <f t="shared" ca="1" si="40"/>
        <v>116.47999999999999</v>
      </c>
      <c r="AV12" s="23">
        <f t="shared" si="21"/>
        <v>1302.1706879999999</v>
      </c>
      <c r="AW12" s="23">
        <f t="shared" ca="1" si="22"/>
        <v>868.11379199999988</v>
      </c>
      <c r="AY12" s="35">
        <f t="shared" si="23"/>
        <v>57.263999999999996</v>
      </c>
      <c r="AZ12" s="23">
        <f t="shared" ca="1" si="41"/>
        <v>38.175999999999995</v>
      </c>
      <c r="BA12" s="36">
        <f t="shared" si="25"/>
        <v>119.46960000000001</v>
      </c>
      <c r="BB12" s="27">
        <f t="shared" ca="1" si="38"/>
        <v>79.6464</v>
      </c>
      <c r="BC12" s="23">
        <f t="shared" ca="1" si="39"/>
        <v>-152.70399999999998</v>
      </c>
      <c r="BE12" s="47" t="s">
        <v>34</v>
      </c>
      <c r="BF12" s="48" t="s">
        <v>38</v>
      </c>
      <c r="BG12" s="49">
        <f ca="1">IF(WL_No="  ","  ",2*h*$AR$29)</f>
        <v>1954.7791999999999</v>
      </c>
    </row>
    <row r="13" spans="1:60" x14ac:dyDescent="0.25">
      <c r="A13" s="20">
        <f>Tools!$AD12</f>
        <v>7</v>
      </c>
      <c r="B13" s="33">
        <f t="shared" si="0"/>
        <v>11.86</v>
      </c>
      <c r="C13" s="22">
        <f>IF(A13="  ","  ",IF(AND(A12="  ",A14="  "),"?",IF(A12="  ",2*(A14-A13),IF(A14="  ",2*(A13-A12),2*(A14-A12)))))</f>
        <v>4</v>
      </c>
      <c r="D13" s="23">
        <f t="shared" si="26"/>
        <v>47.44</v>
      </c>
      <c r="E13" s="24">
        <f t="shared" si="1"/>
        <v>-3</v>
      </c>
      <c r="F13" s="23">
        <f t="shared" si="27"/>
        <v>-142.32</v>
      </c>
      <c r="G13" s="23">
        <f t="shared" si="28"/>
        <v>426.96</v>
      </c>
      <c r="H13" s="23">
        <f t="shared" si="29"/>
        <v>1668.2228559999996</v>
      </c>
      <c r="I13" s="23">
        <f t="shared" si="30"/>
        <v>6672.8914239999986</v>
      </c>
      <c r="J13" s="4"/>
      <c r="K13" s="37">
        <f t="shared" si="2"/>
        <v>69.245999999999995</v>
      </c>
      <c r="L13" s="23">
        <f t="shared" si="31"/>
        <v>276.98399999999998</v>
      </c>
      <c r="M13" s="38">
        <f t="shared" si="3"/>
        <v>139.21200000000002</v>
      </c>
      <c r="N13" s="27">
        <f t="shared" si="32"/>
        <v>556.84800000000007</v>
      </c>
      <c r="O13" s="23">
        <f t="shared" si="33"/>
        <v>-830.952</v>
      </c>
      <c r="P13" s="4"/>
      <c r="Q13" s="50" t="s">
        <v>39</v>
      </c>
      <c r="R13" s="48" t="s">
        <v>40</v>
      </c>
      <c r="S13">
        <f>IF(Tools!$L$49="Use 141 rule only",I37,IF(Tools!$L$49="Use 141 and 1331 rules",BG14," "))</f>
        <v>1.503245710564139</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8</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11.86</v>
      </c>
      <c r="AQ13" s="34" t="str">
        <f t="shared" ca="1" si="18"/>
        <v>4/3</v>
      </c>
      <c r="AR13" s="23">
        <f t="shared" ca="1" si="19"/>
        <v>15.813333333333333</v>
      </c>
      <c r="AS13" s="24">
        <f t="shared" si="20"/>
        <v>-3</v>
      </c>
      <c r="AT13" s="23">
        <f t="shared" ca="1" si="37"/>
        <v>-47.44</v>
      </c>
      <c r="AU13" s="23">
        <f t="shared" ca="1" si="40"/>
        <v>142.32</v>
      </c>
      <c r="AV13" s="23">
        <f t="shared" si="21"/>
        <v>1668.2228559999996</v>
      </c>
      <c r="AW13" s="23">
        <f t="shared" ca="1" si="22"/>
        <v>2224.2971413333325</v>
      </c>
      <c r="AY13" s="35">
        <f t="shared" si="23"/>
        <v>69.245999999999995</v>
      </c>
      <c r="AZ13" s="23">
        <f t="shared" ca="1" si="41"/>
        <v>92.327999999999989</v>
      </c>
      <c r="BA13" s="36">
        <f t="shared" si="25"/>
        <v>139.21200000000002</v>
      </c>
      <c r="BB13" s="27">
        <f t="shared" ca="1" si="38"/>
        <v>185.61600000000001</v>
      </c>
      <c r="BC13" s="23">
        <f t="shared" ca="1" si="39"/>
        <v>-276.98399999999998</v>
      </c>
      <c r="BE13" s="47" t="s">
        <v>36</v>
      </c>
      <c r="BF13" s="48" t="s">
        <v>41</v>
      </c>
      <c r="BG13" s="49">
        <f ca="1">IF(WL_No="  ","  ",2*(h^2)*$AT$29)</f>
        <v>2938.5134475</v>
      </c>
    </row>
    <row r="14" spans="1:60" x14ac:dyDescent="0.25">
      <c r="A14" s="20">
        <f>Tools!$AD13</f>
        <v>8</v>
      </c>
      <c r="B14" s="33">
        <f t="shared" si="0"/>
        <v>12.18</v>
      </c>
      <c r="C14" s="22">
        <f>IF(A14="  ","  ",IF(AND(A13="  ",A15="  "),"?",IF(A13="  ",1*(A15-A14),IF(A15="  ",1*(A14-A13),1*(A15-A13)))))</f>
        <v>2</v>
      </c>
      <c r="D14" s="23">
        <f t="shared" si="26"/>
        <v>24.36</v>
      </c>
      <c r="E14" s="24">
        <f t="shared" si="1"/>
        <v>-2</v>
      </c>
      <c r="F14" s="23">
        <f t="shared" si="27"/>
        <v>-48.72</v>
      </c>
      <c r="G14" s="23">
        <f t="shared" si="28"/>
        <v>97.44</v>
      </c>
      <c r="H14" s="23">
        <f t="shared" si="29"/>
        <v>1806.9322319999999</v>
      </c>
      <c r="I14" s="23">
        <f t="shared" si="30"/>
        <v>3613.8644639999998</v>
      </c>
      <c r="J14" s="4"/>
      <c r="K14" s="37">
        <f t="shared" si="2"/>
        <v>77.412000000000006</v>
      </c>
      <c r="L14" s="23">
        <f t="shared" si="31"/>
        <v>154.82400000000001</v>
      </c>
      <c r="M14" s="38">
        <f t="shared" si="3"/>
        <v>149.88240000000002</v>
      </c>
      <c r="N14" s="27">
        <f t="shared" si="32"/>
        <v>299.76480000000004</v>
      </c>
      <c r="O14" s="23">
        <f t="shared" si="33"/>
        <v>-309.64800000000002</v>
      </c>
      <c r="P14" s="4"/>
      <c r="Q14" s="50" t="s">
        <v>42</v>
      </c>
      <c r="R14" s="48" t="s">
        <v>43</v>
      </c>
      <c r="S14">
        <f>IF(Tools!$L$49="Use 141 rule only",I38,IF(Tools!$L$49="Use 141 and 1331 rules",BG15," "))</f>
        <v>1376876.996937427</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9</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12.18</v>
      </c>
      <c r="AQ14" s="34" t="str">
        <f t="shared" ca="1" si="18"/>
        <v>2/3</v>
      </c>
      <c r="AR14" s="23">
        <f t="shared" ca="1" si="19"/>
        <v>8.1199999999999992</v>
      </c>
      <c r="AS14" s="24">
        <f t="shared" si="20"/>
        <v>-2</v>
      </c>
      <c r="AT14" s="23">
        <f t="shared" ca="1" si="37"/>
        <v>-16.239999999999998</v>
      </c>
      <c r="AU14" s="23">
        <f t="shared" ca="1" si="40"/>
        <v>32.479999999999997</v>
      </c>
      <c r="AV14" s="23">
        <f t="shared" si="21"/>
        <v>1806.9322319999999</v>
      </c>
      <c r="AW14" s="23">
        <f t="shared" ca="1" si="22"/>
        <v>1204.6214879999998</v>
      </c>
      <c r="AY14" s="35">
        <f t="shared" si="23"/>
        <v>77.412000000000006</v>
      </c>
      <c r="AZ14" s="23">
        <f t="shared" ca="1" si="41"/>
        <v>51.608000000000004</v>
      </c>
      <c r="BA14" s="36">
        <f t="shared" si="25"/>
        <v>149.88240000000002</v>
      </c>
      <c r="BB14" s="27">
        <f t="shared" ca="1" si="38"/>
        <v>99.921600000000012</v>
      </c>
      <c r="BC14" s="23">
        <f t="shared" ca="1" si="39"/>
        <v>-103.21600000000001</v>
      </c>
      <c r="BE14" s="50" t="s">
        <v>39</v>
      </c>
      <c r="BF14" s="48" t="s">
        <v>40</v>
      </c>
      <c r="BG14" s="49">
        <f>IF(WL_No="  ","  ",Mmid/AWP)</f>
        <v>1.503245710564139</v>
      </c>
    </row>
    <row r="15" spans="1:60" x14ac:dyDescent="0.25">
      <c r="A15" s="20">
        <f>Tools!$AD14</f>
        <v>9</v>
      </c>
      <c r="B15" s="33">
        <f t="shared" si="0"/>
        <v>12.25</v>
      </c>
      <c r="C15" s="22">
        <f>IF(A15="  ","  ",IF(AND(A14="  ",A16="  "),"?",IF(A14="  ",2*(A16-A15),IF(A16="  ",2*(A15-A14),2*(A16-A14)))))</f>
        <v>4</v>
      </c>
      <c r="D15" s="23">
        <f t="shared" si="26"/>
        <v>49</v>
      </c>
      <c r="E15" s="24">
        <f t="shared" si="1"/>
        <v>-1</v>
      </c>
      <c r="F15" s="23">
        <f t="shared" si="27"/>
        <v>-49</v>
      </c>
      <c r="G15" s="23">
        <f t="shared" si="28"/>
        <v>49</v>
      </c>
      <c r="H15" s="23">
        <f t="shared" si="29"/>
        <v>1838.265625</v>
      </c>
      <c r="I15" s="23">
        <f t="shared" si="30"/>
        <v>7353.0625</v>
      </c>
      <c r="J15" s="4"/>
      <c r="K15" s="37">
        <f t="shared" si="2"/>
        <v>80.693999999999988</v>
      </c>
      <c r="L15" s="23">
        <f t="shared" si="31"/>
        <v>322.77599999999995</v>
      </c>
      <c r="M15" s="38">
        <f t="shared" si="3"/>
        <v>153.5976</v>
      </c>
      <c r="N15" s="27">
        <f t="shared" si="32"/>
        <v>614.3904</v>
      </c>
      <c r="O15" s="23">
        <f t="shared" si="33"/>
        <v>-322.77599999999995</v>
      </c>
      <c r="P15" s="4"/>
      <c r="Q15" s="51" t="s">
        <v>44</v>
      </c>
      <c r="R15" s="48" t="s">
        <v>45</v>
      </c>
      <c r="S15">
        <f>IF(Tools!$L$49="Use 141 rule only",I39,IF(Tools!$L$49="Use 141 and 1331 rules",BG16," "))</f>
        <v>70826.924393716676</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10</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12.25</v>
      </c>
      <c r="AQ15" s="34" t="str">
        <f t="shared" ca="1" si="18"/>
        <v>4/3</v>
      </c>
      <c r="AR15" s="23">
        <f t="shared" ca="1" si="19"/>
        <v>16.333333333333332</v>
      </c>
      <c r="AS15" s="24">
        <f t="shared" si="20"/>
        <v>-1</v>
      </c>
      <c r="AT15" s="23">
        <f t="shared" ca="1" si="37"/>
        <v>-16.333333333333332</v>
      </c>
      <c r="AU15" s="23">
        <f t="shared" ca="1" si="40"/>
        <v>16.333333333333332</v>
      </c>
      <c r="AV15" s="23">
        <f t="shared" si="21"/>
        <v>1838.265625</v>
      </c>
      <c r="AW15" s="23">
        <f t="shared" ca="1" si="22"/>
        <v>2451.020833333333</v>
      </c>
      <c r="AY15" s="35">
        <f t="shared" si="23"/>
        <v>80.693999999999988</v>
      </c>
      <c r="AZ15" s="23">
        <f t="shared" ca="1" si="41"/>
        <v>107.59199999999998</v>
      </c>
      <c r="BA15" s="36">
        <f t="shared" si="25"/>
        <v>153.5976</v>
      </c>
      <c r="BB15" s="27">
        <f ca="1">IFERROR(BA15*AM15,"  ")</f>
        <v>204.79679999999999</v>
      </c>
      <c r="BC15" s="23">
        <f t="shared" ca="1" si="39"/>
        <v>-107.59199999999998</v>
      </c>
      <c r="BE15" s="50" t="s">
        <v>42</v>
      </c>
      <c r="BF15" s="48" t="s">
        <v>46</v>
      </c>
      <c r="BG15" s="49">
        <f ca="1">IF(WL_No="  ","  ",2*(h^3)*$AU$29)</f>
        <v>1376876.9969374267</v>
      </c>
    </row>
    <row r="16" spans="1:60" x14ac:dyDescent="0.25">
      <c r="A16" s="20">
        <f>Tools!$AD15</f>
        <v>10</v>
      </c>
      <c r="B16" s="33">
        <f t="shared" si="0"/>
        <v>12.25</v>
      </c>
      <c r="C16" s="22">
        <f>IF(A16="  ","  ",IF(AND(A15="  ",A17="  "),"?",IF(A15="  ",1*(A17-A16),IF(A17="  ",1*(A16-A15),1*(A17-A15)))))</f>
        <v>2</v>
      </c>
      <c r="D16" s="23">
        <f t="shared" si="26"/>
        <v>24.5</v>
      </c>
      <c r="E16" s="24">
        <f t="shared" si="1"/>
        <v>0</v>
      </c>
      <c r="F16" s="23">
        <f t="shared" si="27"/>
        <v>0</v>
      </c>
      <c r="G16" s="23">
        <f t="shared" si="28"/>
        <v>0</v>
      </c>
      <c r="H16" s="23">
        <f t="shared" si="29"/>
        <v>1838.265625</v>
      </c>
      <c r="I16" s="23">
        <f t="shared" si="30"/>
        <v>3676.53125</v>
      </c>
      <c r="J16" s="4"/>
      <c r="K16" s="37">
        <f t="shared" si="2"/>
        <v>81.563999999999993</v>
      </c>
      <c r="L16" s="23">
        <f t="shared" si="31"/>
        <v>163.12799999999999</v>
      </c>
      <c r="M16" s="38">
        <f t="shared" si="3"/>
        <v>153.94320000000002</v>
      </c>
      <c r="N16" s="27">
        <f t="shared" si="32"/>
        <v>307.88640000000004</v>
      </c>
      <c r="O16" s="23">
        <f t="shared" si="33"/>
        <v>0</v>
      </c>
      <c r="P16" s="4"/>
      <c r="Q16" s="50" t="s">
        <v>47</v>
      </c>
      <c r="R16" s="48" t="s">
        <v>48</v>
      </c>
      <c r="S16">
        <f>IF(Tools!$L$49="Use 141 rule only",I40,IF(Tools!$L$49="Use 141 and 1331 rules",BG17," "))</f>
        <v>1372459.6892020376</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11</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12.25</v>
      </c>
      <c r="AQ16" s="34" t="str">
        <f t="shared" ca="1" si="18"/>
        <v>2/3</v>
      </c>
      <c r="AR16" s="23">
        <f t="shared" ca="1" si="19"/>
        <v>8.1666666666666661</v>
      </c>
      <c r="AS16" s="24">
        <f t="shared" si="20"/>
        <v>0</v>
      </c>
      <c r="AT16" s="23">
        <f t="shared" ca="1" si="37"/>
        <v>0</v>
      </c>
      <c r="AU16" s="23">
        <f t="shared" ca="1" si="40"/>
        <v>0</v>
      </c>
      <c r="AV16" s="23">
        <f t="shared" si="21"/>
        <v>1838.265625</v>
      </c>
      <c r="AW16" s="23">
        <f t="shared" ca="1" si="22"/>
        <v>1225.5104166666665</v>
      </c>
      <c r="AY16" s="35">
        <f t="shared" si="23"/>
        <v>81.563999999999993</v>
      </c>
      <c r="AZ16" s="23">
        <f t="shared" ca="1" si="41"/>
        <v>54.375999999999991</v>
      </c>
      <c r="BA16" s="36">
        <f t="shared" si="25"/>
        <v>153.94320000000002</v>
      </c>
      <c r="BB16" s="27">
        <f t="shared" ca="1" si="38"/>
        <v>102.62880000000001</v>
      </c>
      <c r="BC16" s="23">
        <f ca="1">IFERROR(AZ16*AS16,"  ")</f>
        <v>0</v>
      </c>
      <c r="BE16" s="51" t="s">
        <v>44</v>
      </c>
      <c r="BF16" s="48" t="s">
        <v>49</v>
      </c>
      <c r="BG16" s="49">
        <f ca="1">IF(WL_No="  ","  ",2/3*h*$AW$29)</f>
        <v>70826.924393716647</v>
      </c>
    </row>
    <row r="17" spans="1:59" x14ac:dyDescent="0.25">
      <c r="A17" s="20">
        <f>Tools!$AD16</f>
        <v>11</v>
      </c>
      <c r="B17" s="33">
        <f t="shared" si="0"/>
        <v>12.21</v>
      </c>
      <c r="C17" s="22">
        <f>IF(A17="  ","  ",IF(AND(A16="  ",A18="  "),"?",IF(A16="  ",2*(A18-A17),IF(A18="  ",2*(A17-A16),2*(A18-A16)))))</f>
        <v>4</v>
      </c>
      <c r="D17" s="23">
        <f t="shared" si="26"/>
        <v>48.84</v>
      </c>
      <c r="E17" s="24">
        <f t="shared" si="1"/>
        <v>1</v>
      </c>
      <c r="F17" s="23">
        <f t="shared" si="27"/>
        <v>48.84</v>
      </c>
      <c r="G17" s="23">
        <f t="shared" si="28"/>
        <v>48.84</v>
      </c>
      <c r="H17" s="23">
        <f t="shared" si="29"/>
        <v>1820.3168610000005</v>
      </c>
      <c r="I17" s="23">
        <f t="shared" si="30"/>
        <v>7281.2674440000019</v>
      </c>
      <c r="J17" s="4"/>
      <c r="K17" s="37">
        <f t="shared" si="2"/>
        <v>80.885999999999996</v>
      </c>
      <c r="L17" s="23">
        <f t="shared" si="31"/>
        <v>323.54399999999998</v>
      </c>
      <c r="M17" s="38">
        <f t="shared" si="3"/>
        <v>152.49600000000001</v>
      </c>
      <c r="N17" s="27">
        <f t="shared" si="32"/>
        <v>609.98400000000004</v>
      </c>
      <c r="O17" s="23">
        <f t="shared" si="33"/>
        <v>323.54399999999998</v>
      </c>
      <c r="P17" s="4"/>
      <c r="Q17" s="50" t="s">
        <v>50</v>
      </c>
      <c r="R17" s="48" t="s">
        <v>51</v>
      </c>
      <c r="S17">
        <f>IF(Tools!$L$49="Use 141 rule only",I41,IF(Tools!$L$49="Use 141 and 1331 rules",BG18," "))</f>
        <v>5751.1441937499985</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12.21</v>
      </c>
      <c r="AQ17" s="34" t="str">
        <f t="shared" ca="1" si="18"/>
        <v>4/3</v>
      </c>
      <c r="AR17" s="23">
        <f t="shared" ca="1" si="19"/>
        <v>16.28</v>
      </c>
      <c r="AS17" s="24">
        <f t="shared" si="20"/>
        <v>1</v>
      </c>
      <c r="AT17" s="23">
        <f t="shared" ca="1" si="37"/>
        <v>16.28</v>
      </c>
      <c r="AU17" s="23">
        <f t="shared" ca="1" si="40"/>
        <v>16.28</v>
      </c>
      <c r="AV17" s="23">
        <f t="shared" si="21"/>
        <v>1820.3168610000005</v>
      </c>
      <c r="AW17" s="23">
        <f t="shared" ca="1" si="22"/>
        <v>2427.0891480000005</v>
      </c>
      <c r="AY17" s="35">
        <f t="shared" si="23"/>
        <v>80.885999999999996</v>
      </c>
      <c r="AZ17" s="23">
        <f t="shared" ca="1" si="41"/>
        <v>107.84799999999998</v>
      </c>
      <c r="BA17" s="36">
        <f t="shared" si="25"/>
        <v>152.49600000000001</v>
      </c>
      <c r="BB17" s="27">
        <f t="shared" ca="1" si="38"/>
        <v>203.328</v>
      </c>
      <c r="BC17" s="23">
        <f t="shared" ca="1" si="39"/>
        <v>107.84799999999998</v>
      </c>
      <c r="BE17" s="50" t="s">
        <v>47</v>
      </c>
      <c r="BF17" s="48" t="s">
        <v>48</v>
      </c>
      <c r="BG17" s="49">
        <f>IF(WL_No="  ","  ",IL-AWP*(LCF^2))</f>
        <v>1372459.6892020376</v>
      </c>
    </row>
    <row r="18" spans="1:59" x14ac:dyDescent="0.25">
      <c r="A18" s="20">
        <f>Tools!$AD17</f>
        <v>12</v>
      </c>
      <c r="B18" s="33">
        <f t="shared" si="0"/>
        <v>11.92</v>
      </c>
      <c r="C18" s="22">
        <f>IF(A18="  ","  ",IF(AND(A17="  ",A19="  "),"?",IF(A17="  ",1*(A19-A18),IF(A19="  ",1*(A18-A17),1*(A19-A17)))))</f>
        <v>2</v>
      </c>
      <c r="D18" s="23">
        <f t="shared" si="26"/>
        <v>23.84</v>
      </c>
      <c r="E18" s="24">
        <f t="shared" si="1"/>
        <v>2</v>
      </c>
      <c r="F18" s="23">
        <f t="shared" si="27"/>
        <v>47.68</v>
      </c>
      <c r="G18" s="23">
        <f t="shared" si="28"/>
        <v>95.36</v>
      </c>
      <c r="H18" s="23">
        <f t="shared" si="29"/>
        <v>1693.6698879999999</v>
      </c>
      <c r="I18" s="23">
        <f t="shared" si="30"/>
        <v>3387.3397759999998</v>
      </c>
      <c r="J18" s="4"/>
      <c r="K18" s="37">
        <f t="shared" si="2"/>
        <v>77.141999999999996</v>
      </c>
      <c r="L18" s="23">
        <f t="shared" si="31"/>
        <v>154.28399999999999</v>
      </c>
      <c r="M18" s="38">
        <f t="shared" si="3"/>
        <v>146.72880000000001</v>
      </c>
      <c r="N18" s="27">
        <f t="shared" si="32"/>
        <v>293.45760000000001</v>
      </c>
      <c r="O18" s="23">
        <f t="shared" si="33"/>
        <v>308.56799999999998</v>
      </c>
      <c r="P18" s="4"/>
      <c r="Q18" s="50" t="s">
        <v>52</v>
      </c>
      <c r="R18" s="48" t="s">
        <v>53</v>
      </c>
      <c r="S18">
        <f>IF(Tools!$L$49="Use 141 rule only",I42,IF(Tools!$L$49="Use 141 and 1331 rules",BG19," "))</f>
        <v>5930.2923353853103</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11.92</v>
      </c>
      <c r="AQ18" s="34" t="str">
        <f t="shared" ca="1" si="18"/>
        <v>2/3</v>
      </c>
      <c r="AR18" s="23">
        <f t="shared" ca="1" si="19"/>
        <v>7.9466666666666663</v>
      </c>
      <c r="AS18" s="24">
        <f t="shared" si="20"/>
        <v>2</v>
      </c>
      <c r="AT18" s="23">
        <f t="shared" ca="1" si="37"/>
        <v>15.893333333333333</v>
      </c>
      <c r="AU18" s="23">
        <f t="shared" ca="1" si="40"/>
        <v>31.786666666666665</v>
      </c>
      <c r="AV18" s="23">
        <f t="shared" si="21"/>
        <v>1693.6698879999999</v>
      </c>
      <c r="AW18" s="23">
        <f t="shared" ca="1" si="22"/>
        <v>1129.1132586666665</v>
      </c>
      <c r="AY18" s="35">
        <f t="shared" si="23"/>
        <v>77.141999999999996</v>
      </c>
      <c r="AZ18" s="23">
        <f t="shared" ca="1" si="41"/>
        <v>51.427999999999997</v>
      </c>
      <c r="BA18" s="36">
        <f t="shared" si="25"/>
        <v>146.72880000000001</v>
      </c>
      <c r="BB18" s="27">
        <f t="shared" ca="1" si="38"/>
        <v>97.819199999999995</v>
      </c>
      <c r="BC18" s="23">
        <f t="shared" ca="1" si="39"/>
        <v>102.85599999999999</v>
      </c>
      <c r="BE18" s="50" t="s">
        <v>50</v>
      </c>
      <c r="BF18" s="48" t="s">
        <v>54</v>
      </c>
      <c r="BG18" s="49">
        <f ca="1">IF(WL_No="  ","  ",h*$AZ$29)</f>
        <v>5751.1441937499994</v>
      </c>
    </row>
    <row r="19" spans="1:59" x14ac:dyDescent="0.25">
      <c r="A19" s="20">
        <f>Tools!$AD18</f>
        <v>13</v>
      </c>
      <c r="B19" s="33">
        <f t="shared" si="0"/>
        <v>11.1</v>
      </c>
      <c r="C19" s="22">
        <f>IF(A19="  ","  ",IF(AND(A18="  ",A20="  "),"?",IF(A18="  ",2*(A20-A19),IF(A20="  ",2*(A19-A18),2*(A20-A18)))))</f>
        <v>4</v>
      </c>
      <c r="D19" s="23">
        <f t="shared" si="26"/>
        <v>44.4</v>
      </c>
      <c r="E19" s="24">
        <f t="shared" si="1"/>
        <v>3</v>
      </c>
      <c r="F19" s="23">
        <f t="shared" si="27"/>
        <v>133.19999999999999</v>
      </c>
      <c r="G19" s="23">
        <f t="shared" si="28"/>
        <v>399.59999999999997</v>
      </c>
      <c r="H19" s="23">
        <f t="shared" si="29"/>
        <v>1367.6309999999999</v>
      </c>
      <c r="I19" s="23">
        <f t="shared" si="30"/>
        <v>5470.5239999999994</v>
      </c>
      <c r="J19" s="4"/>
      <c r="K19" s="37">
        <f t="shared" si="2"/>
        <v>69.564000000000007</v>
      </c>
      <c r="L19" s="23">
        <f t="shared" si="31"/>
        <v>278.25600000000003</v>
      </c>
      <c r="M19" s="38">
        <f t="shared" si="3"/>
        <v>133.94160000000002</v>
      </c>
      <c r="N19" s="27">
        <f t="shared" si="32"/>
        <v>535.76640000000009</v>
      </c>
      <c r="O19" s="23">
        <f t="shared" si="33"/>
        <v>834.76800000000003</v>
      </c>
      <c r="P19" s="4"/>
      <c r="Q19" s="50" t="s">
        <v>55</v>
      </c>
      <c r="R19" s="48" t="s">
        <v>56</v>
      </c>
      <c r="S19">
        <f>IF(Tools!$L$49="Use 141 rule only",I43,IF(Tools!$L$49="Use 141 and 1331 rules",BG20," "))</f>
        <v>11389.248976230832</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11.1</v>
      </c>
      <c r="AQ19" s="34" t="str">
        <f t="shared" ca="1" si="18"/>
        <v>4/3</v>
      </c>
      <c r="AR19" s="23">
        <f t="shared" ca="1" si="19"/>
        <v>14.799999999999999</v>
      </c>
      <c r="AS19" s="24">
        <f t="shared" si="20"/>
        <v>3</v>
      </c>
      <c r="AT19" s="23">
        <f t="shared" ca="1" si="37"/>
        <v>44.4</v>
      </c>
      <c r="AU19" s="23">
        <f t="shared" ca="1" si="40"/>
        <v>133.19999999999999</v>
      </c>
      <c r="AV19" s="23">
        <f t="shared" si="21"/>
        <v>1367.6309999999999</v>
      </c>
      <c r="AW19" s="23">
        <f t="shared" ca="1" si="22"/>
        <v>1823.5079999999998</v>
      </c>
      <c r="AY19" s="35">
        <f t="shared" si="23"/>
        <v>69.564000000000007</v>
      </c>
      <c r="AZ19" s="23">
        <f t="shared" ca="1" si="41"/>
        <v>92.75200000000001</v>
      </c>
      <c r="BA19" s="36">
        <f t="shared" si="25"/>
        <v>133.94160000000002</v>
      </c>
      <c r="BB19" s="27">
        <f t="shared" ca="1" si="38"/>
        <v>178.58880000000002</v>
      </c>
      <c r="BC19" s="23">
        <f t="shared" ca="1" si="39"/>
        <v>278.25600000000003</v>
      </c>
      <c r="BE19" s="50" t="s">
        <v>52</v>
      </c>
      <c r="BF19" s="48" t="s">
        <v>53</v>
      </c>
      <c r="BG19" s="49">
        <f>IF(WL_No="  ","  ",V_Disp*1.025*1.006)</f>
        <v>5930.2923353853103</v>
      </c>
    </row>
    <row r="20" spans="1:59" x14ac:dyDescent="0.25">
      <c r="A20" s="20">
        <f>Tools!$AD19</f>
        <v>14</v>
      </c>
      <c r="B20" s="33">
        <f t="shared" si="0"/>
        <v>9.75</v>
      </c>
      <c r="C20" s="22">
        <f>IF(A20="  ","  ",IF(AND(A19="  ",A21="  "),"?",IF(A19="  ",1*(A21-A20),IF(A21="  ",1*(A20-A19),1*(A21-A19)))))</f>
        <v>2</v>
      </c>
      <c r="D20" s="23">
        <f t="shared" si="26"/>
        <v>19.5</v>
      </c>
      <c r="E20" s="24">
        <f t="shared" si="1"/>
        <v>4</v>
      </c>
      <c r="F20" s="23">
        <f t="shared" si="27"/>
        <v>78</v>
      </c>
      <c r="G20" s="23">
        <f t="shared" si="28"/>
        <v>312</v>
      </c>
      <c r="H20" s="23">
        <f t="shared" si="29"/>
        <v>926.859375</v>
      </c>
      <c r="I20" s="23">
        <f t="shared" si="30"/>
        <v>1853.71875</v>
      </c>
      <c r="J20" s="4"/>
      <c r="K20" s="37">
        <f t="shared" si="2"/>
        <v>58.535999999999994</v>
      </c>
      <c r="L20" s="23">
        <f t="shared" si="31"/>
        <v>117.07199999999999</v>
      </c>
      <c r="M20" s="38">
        <f t="shared" si="3"/>
        <v>114.35040000000001</v>
      </c>
      <c r="N20" s="27">
        <f t="shared" si="32"/>
        <v>228.70080000000002</v>
      </c>
      <c r="O20" s="23">
        <f t="shared" si="33"/>
        <v>468.28799999999995</v>
      </c>
      <c r="P20" s="4"/>
      <c r="Q20" s="50" t="s">
        <v>57</v>
      </c>
      <c r="R20" s="48" t="s">
        <v>58</v>
      </c>
      <c r="S20">
        <f>IF(Tools!$L$49="Use 141 rule only",I44,IF(Tools!$L$49="Use 141 and 1331 rules",BG21," "))</f>
        <v>12036.26671356</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9.75</v>
      </c>
      <c r="AQ20" s="34" t="str">
        <f t="shared" ca="1" si="18"/>
        <v>2/3</v>
      </c>
      <c r="AR20" s="23">
        <f t="shared" ca="1" si="19"/>
        <v>6.5</v>
      </c>
      <c r="AS20" s="24">
        <f t="shared" si="20"/>
        <v>4</v>
      </c>
      <c r="AT20" s="23">
        <f t="shared" ca="1" si="37"/>
        <v>26</v>
      </c>
      <c r="AU20" s="23">
        <f t="shared" ca="1" si="40"/>
        <v>104</v>
      </c>
      <c r="AV20" s="23">
        <f t="shared" si="21"/>
        <v>926.859375</v>
      </c>
      <c r="AW20" s="23">
        <f t="shared" ca="1" si="22"/>
        <v>617.90625</v>
      </c>
      <c r="AY20" s="35">
        <f t="shared" si="23"/>
        <v>58.535999999999994</v>
      </c>
      <c r="AZ20" s="23">
        <f t="shared" ca="1" si="41"/>
        <v>39.023999999999994</v>
      </c>
      <c r="BA20" s="36">
        <f t="shared" si="25"/>
        <v>114.35040000000001</v>
      </c>
      <c r="BB20" s="27">
        <f t="shared" ca="1" si="38"/>
        <v>76.233599999999996</v>
      </c>
      <c r="BC20" s="23">
        <f t="shared" ca="1" si="39"/>
        <v>156.09599999999998</v>
      </c>
      <c r="BE20" s="50" t="s">
        <v>55</v>
      </c>
      <c r="BF20" s="48" t="s">
        <v>59</v>
      </c>
      <c r="BG20" s="49">
        <f ca="1">IF(WL_No="  ","  ",h*$BB$29)</f>
        <v>11389.248976230831</v>
      </c>
    </row>
    <row r="21" spans="1:59" x14ac:dyDescent="0.25">
      <c r="A21" s="20">
        <f>Tools!$AD20</f>
        <v>15</v>
      </c>
      <c r="B21" s="33">
        <f t="shared" si="0"/>
        <v>8.08</v>
      </c>
      <c r="C21" s="22">
        <f>IF(A21="  ","  ",IF(AND(A20="  ",A22="  "),"?",IF(A20="  ",2*(A22-A21),IF(A22="  ",2*(A21-A20),2*(A22-A20)))))</f>
        <v>4</v>
      </c>
      <c r="D21" s="23">
        <f t="shared" si="26"/>
        <v>32.32</v>
      </c>
      <c r="E21" s="24">
        <f t="shared" si="1"/>
        <v>5</v>
      </c>
      <c r="F21" s="23">
        <f t="shared" si="27"/>
        <v>161.6</v>
      </c>
      <c r="G21" s="23">
        <f t="shared" si="28"/>
        <v>808</v>
      </c>
      <c r="H21" s="23">
        <f t="shared" si="29"/>
        <v>527.51411199999995</v>
      </c>
      <c r="I21" s="23">
        <f t="shared" si="30"/>
        <v>2110.0564479999998</v>
      </c>
      <c r="J21" s="4"/>
      <c r="K21" s="37">
        <f t="shared" si="2"/>
        <v>46.944000000000003</v>
      </c>
      <c r="L21" s="23">
        <f t="shared" si="31"/>
        <v>187.77600000000001</v>
      </c>
      <c r="M21" s="38">
        <f t="shared" si="3"/>
        <v>93.204000000000008</v>
      </c>
      <c r="N21" s="27">
        <f t="shared" si="32"/>
        <v>372.81600000000003</v>
      </c>
      <c r="O21" s="23">
        <f t="shared" si="33"/>
        <v>938.88000000000011</v>
      </c>
      <c r="P21" s="4"/>
      <c r="Q21" s="50" t="s">
        <v>60</v>
      </c>
      <c r="R21" s="48" t="s">
        <v>61</v>
      </c>
      <c r="S21">
        <f>IF(Tools!$L$49="Use 141 rule only",I45,IF(Tools!$L$49="Use 141 and 1331 rules",BG22," "))</f>
        <v>238.64115434517277</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8.08</v>
      </c>
      <c r="AQ21" s="34" t="str">
        <f t="shared" ca="1" si="18"/>
        <v>4/3</v>
      </c>
      <c r="AR21" s="23">
        <f t="shared" ca="1" si="19"/>
        <v>10.773333333333333</v>
      </c>
      <c r="AS21" s="24">
        <f t="shared" si="20"/>
        <v>5</v>
      </c>
      <c r="AT21" s="23">
        <f t="shared" ca="1" si="37"/>
        <v>53.866666666666667</v>
      </c>
      <c r="AU21" s="23">
        <f t="shared" ca="1" si="40"/>
        <v>269.33333333333331</v>
      </c>
      <c r="AV21" s="23">
        <f t="shared" si="21"/>
        <v>527.51411199999995</v>
      </c>
      <c r="AW21" s="23">
        <f t="shared" ca="1" si="22"/>
        <v>703.35214933333327</v>
      </c>
      <c r="AY21" s="35">
        <f t="shared" si="23"/>
        <v>46.944000000000003</v>
      </c>
      <c r="AZ21" s="23">
        <f t="shared" ca="1" si="41"/>
        <v>62.591999999999999</v>
      </c>
      <c r="BA21" s="36">
        <f t="shared" si="25"/>
        <v>93.204000000000008</v>
      </c>
      <c r="BB21" s="27">
        <f t="shared" ca="1" si="38"/>
        <v>124.27200000000001</v>
      </c>
      <c r="BC21" s="23">
        <f t="shared" ca="1" si="39"/>
        <v>312.95999999999998</v>
      </c>
      <c r="BE21" s="50" t="s">
        <v>57</v>
      </c>
      <c r="BF21" s="48" t="s">
        <v>62</v>
      </c>
      <c r="BG21" s="49">
        <f ca="1">IF(WL_No="  ","  ",(h^2)*$BC$29)</f>
        <v>12036.266713559997</v>
      </c>
    </row>
    <row r="22" spans="1:59" x14ac:dyDescent="0.25">
      <c r="A22" s="20">
        <f>Tools!$AD21</f>
        <v>16</v>
      </c>
      <c r="B22" s="33">
        <f t="shared" si="0"/>
        <v>6.23</v>
      </c>
      <c r="C22" s="22">
        <f>IF(A22="  ","  ",IF(AND(A21="  ",A23="  "),"?",IF(A21="  ",1*(A23-A22),IF(A23="  ",1*(A22-A21),1*(A23-A21)))))</f>
        <v>2</v>
      </c>
      <c r="D22" s="23">
        <f t="shared" si="26"/>
        <v>12.46</v>
      </c>
      <c r="E22" s="24">
        <f t="shared" si="1"/>
        <v>6</v>
      </c>
      <c r="F22" s="23">
        <f t="shared" si="27"/>
        <v>74.760000000000005</v>
      </c>
      <c r="G22" s="23">
        <f t="shared" si="28"/>
        <v>448.56000000000006</v>
      </c>
      <c r="H22" s="23">
        <f t="shared" si="29"/>
        <v>241.80436700000004</v>
      </c>
      <c r="I22" s="23">
        <f t="shared" si="30"/>
        <v>483.60873400000008</v>
      </c>
      <c r="J22" s="4"/>
      <c r="K22" s="37">
        <f t="shared" si="2"/>
        <v>34.686</v>
      </c>
      <c r="L22" s="23">
        <f t="shared" si="31"/>
        <v>69.372</v>
      </c>
      <c r="M22" s="38">
        <f t="shared" si="3"/>
        <v>70.415999999999997</v>
      </c>
      <c r="N22" s="27">
        <f t="shared" si="32"/>
        <v>140.83199999999999</v>
      </c>
      <c r="O22" s="23">
        <f t="shared" si="33"/>
        <v>416.23199999999997</v>
      </c>
      <c r="P22" s="4"/>
      <c r="Q22" s="50" t="s">
        <v>63</v>
      </c>
      <c r="R22" s="48" t="s">
        <v>64</v>
      </c>
      <c r="S22">
        <f>IF(Tools!$L$49="Use 141 rule only",I46,IF(Tools!$L$49="Use 141 and 1331 rules",BG23," "))</f>
        <v>12.31527536219439</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6.23</v>
      </c>
      <c r="AQ22" s="34" t="str">
        <f t="shared" ca="1" si="18"/>
        <v>2/3</v>
      </c>
      <c r="AR22" s="23">
        <f t="shared" ca="1" si="19"/>
        <v>4.1533333333333333</v>
      </c>
      <c r="AS22" s="24">
        <f t="shared" si="20"/>
        <v>6</v>
      </c>
      <c r="AT22" s="23">
        <f t="shared" ca="1" si="37"/>
        <v>24.92</v>
      </c>
      <c r="AU22" s="23">
        <f t="shared" ca="1" si="40"/>
        <v>149.52000000000001</v>
      </c>
      <c r="AV22" s="23">
        <f t="shared" si="21"/>
        <v>241.80436700000004</v>
      </c>
      <c r="AW22" s="23">
        <f t="shared" ca="1" si="22"/>
        <v>161.20291133333336</v>
      </c>
      <c r="AY22" s="35">
        <f t="shared" si="23"/>
        <v>34.686</v>
      </c>
      <c r="AZ22" s="23">
        <f t="shared" ca="1" si="41"/>
        <v>23.123999999999999</v>
      </c>
      <c r="BA22" s="36">
        <f t="shared" si="25"/>
        <v>70.415999999999997</v>
      </c>
      <c r="BB22" s="27">
        <f t="shared" ca="1" si="38"/>
        <v>46.943999999999996</v>
      </c>
      <c r="BC22" s="23">
        <f t="shared" ca="1" si="39"/>
        <v>138.744</v>
      </c>
      <c r="BE22" s="50" t="s">
        <v>60</v>
      </c>
      <c r="BF22" s="48" t="s">
        <v>61</v>
      </c>
      <c r="BG22" s="49">
        <f>IF(WL_No="  ","  ",IF/V_Disp)</f>
        <v>238.64115434517277</v>
      </c>
    </row>
    <row r="23" spans="1:59" x14ac:dyDescent="0.25">
      <c r="A23" s="20">
        <f>Tools!$AD22</f>
        <v>17</v>
      </c>
      <c r="B23" s="33">
        <f t="shared" si="0"/>
        <v>4.43</v>
      </c>
      <c r="C23" s="22">
        <f>IF(A23="  ","  ",IF(AND(A22="  ",A24="  "),"?",IF(A22="  ",2*(A24-A23),IF(A24="  ",2*(A23-A22),2*(A24-A22)))))</f>
        <v>4</v>
      </c>
      <c r="D23" s="23">
        <f t="shared" si="26"/>
        <v>17.72</v>
      </c>
      <c r="E23" s="24">
        <f t="shared" si="1"/>
        <v>7</v>
      </c>
      <c r="F23" s="23">
        <f t="shared" si="27"/>
        <v>124.03999999999999</v>
      </c>
      <c r="G23" s="23">
        <f t="shared" si="28"/>
        <v>868.28</v>
      </c>
      <c r="H23" s="23">
        <f t="shared" si="29"/>
        <v>86.93830699999998</v>
      </c>
      <c r="I23" s="23">
        <f t="shared" si="30"/>
        <v>347.75322799999992</v>
      </c>
      <c r="J23" s="4"/>
      <c r="K23" s="37">
        <f t="shared" si="2"/>
        <v>23.327999999999996</v>
      </c>
      <c r="L23" s="23">
        <f t="shared" si="31"/>
        <v>93.311999999999983</v>
      </c>
      <c r="M23" s="38">
        <f t="shared" si="3"/>
        <v>49.161599999999993</v>
      </c>
      <c r="N23" s="27">
        <f t="shared" si="32"/>
        <v>196.64639999999997</v>
      </c>
      <c r="O23" s="23">
        <f t="shared" si="33"/>
        <v>653.18399999999986</v>
      </c>
      <c r="P23" s="4"/>
      <c r="Q23" s="50" t="s">
        <v>65</v>
      </c>
      <c r="R23" s="48" t="s">
        <v>66</v>
      </c>
      <c r="S23">
        <f>IF(Tools!$L$49="Use 141 rule only",I47,IF(Tools!$L$49="Use 141 and 1331 rules",BG24," "))</f>
        <v>1.9803448831291677</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4.43</v>
      </c>
      <c r="AQ23" s="34" t="str">
        <f t="shared" ca="1" si="18"/>
        <v>4/3</v>
      </c>
      <c r="AR23" s="23">
        <f t="shared" ca="1" si="19"/>
        <v>5.9066666666666663</v>
      </c>
      <c r="AS23" s="24">
        <f t="shared" si="20"/>
        <v>7</v>
      </c>
      <c r="AT23" s="23">
        <f t="shared" ca="1" si="37"/>
        <v>41.346666666666664</v>
      </c>
      <c r="AU23" s="23">
        <f t="shared" ca="1" si="40"/>
        <v>289.42666666666662</v>
      </c>
      <c r="AV23" s="23">
        <f t="shared" si="21"/>
        <v>86.93830699999998</v>
      </c>
      <c r="AW23" s="23">
        <f t="shared" ca="1" si="22"/>
        <v>115.91774266666664</v>
      </c>
      <c r="AY23" s="35">
        <f t="shared" si="23"/>
        <v>23.327999999999996</v>
      </c>
      <c r="AZ23" s="23">
        <f t="shared" ca="1" si="41"/>
        <v>31.103999999999992</v>
      </c>
      <c r="BA23" s="36">
        <f t="shared" si="25"/>
        <v>49.161599999999993</v>
      </c>
      <c r="BB23" s="27">
        <f t="shared" ca="1" si="38"/>
        <v>65.548799999999986</v>
      </c>
      <c r="BC23" s="23">
        <f t="shared" ca="1" si="39"/>
        <v>217.72799999999995</v>
      </c>
      <c r="BE23" s="50" t="s">
        <v>63</v>
      </c>
      <c r="BF23" s="48" t="s">
        <v>64</v>
      </c>
      <c r="BG23" s="49">
        <f>IF(WL_No="  ","  ",IT/V_Disp)</f>
        <v>12.31527536219439</v>
      </c>
    </row>
    <row r="24" spans="1:59" x14ac:dyDescent="0.25">
      <c r="A24" s="20">
        <f>Tools!$AD23</f>
        <v>18</v>
      </c>
      <c r="B24" s="33">
        <f t="shared" si="0"/>
        <v>2.97</v>
      </c>
      <c r="C24" s="22">
        <f>IF(A24="  ","  ",IF(AND(A23="  ",A25="  "),"?",IF(A23="  ",1*(A25-A24),IF(A25="  ",1*(A24-A23),1*(A25-A23)))))</f>
        <v>1.5</v>
      </c>
      <c r="D24" s="23">
        <f t="shared" si="26"/>
        <v>4.4550000000000001</v>
      </c>
      <c r="E24" s="24">
        <f t="shared" si="1"/>
        <v>8</v>
      </c>
      <c r="F24" s="23">
        <f t="shared" si="27"/>
        <v>35.64</v>
      </c>
      <c r="G24" s="23">
        <f t="shared" si="28"/>
        <v>285.12</v>
      </c>
      <c r="H24" s="23">
        <f t="shared" si="29"/>
        <v>26.198073000000008</v>
      </c>
      <c r="I24" s="23">
        <f t="shared" si="30"/>
        <v>39.297109500000012</v>
      </c>
      <c r="J24" s="4"/>
      <c r="K24" s="37">
        <f t="shared" si="2"/>
        <v>14.419499999999999</v>
      </c>
      <c r="L24" s="23">
        <f t="shared" si="31"/>
        <v>21.629249999999999</v>
      </c>
      <c r="M24" s="38">
        <f t="shared" si="3"/>
        <v>31.786425000000001</v>
      </c>
      <c r="N24" s="27">
        <f t="shared" si="32"/>
        <v>47.679637499999998</v>
      </c>
      <c r="O24" s="23">
        <f t="shared" si="33"/>
        <v>173.03399999999999</v>
      </c>
      <c r="P24" s="4"/>
      <c r="Q24" s="50" t="s">
        <v>67</v>
      </c>
      <c r="R24" s="48" t="s">
        <v>68</v>
      </c>
      <c r="S24">
        <f>IF(Tools!$L$49="Use 141 rule only",I48,IF(Tools!$L$49="Use 141 and 1331 rules",BG25," "))</f>
        <v>14.295620245323558</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2.97</v>
      </c>
      <c r="AQ24" s="34" t="str">
        <f t="shared" ca="1" si="18"/>
        <v>(1/2)*(1/3)+1/3</v>
      </c>
      <c r="AR24" s="23">
        <f t="shared" ca="1" si="19"/>
        <v>1.4850000000000001</v>
      </c>
      <c r="AS24" s="24">
        <f t="shared" si="20"/>
        <v>8</v>
      </c>
      <c r="AT24" s="23">
        <f t="shared" ca="1" si="37"/>
        <v>11.88</v>
      </c>
      <c r="AU24" s="23">
        <f t="shared" ca="1" si="40"/>
        <v>95.04</v>
      </c>
      <c r="AV24" s="23">
        <f t="shared" si="21"/>
        <v>26.198073000000008</v>
      </c>
      <c r="AW24" s="23">
        <f t="shared" ca="1" si="22"/>
        <v>13.099036500000004</v>
      </c>
      <c r="AY24" s="35">
        <f t="shared" si="23"/>
        <v>14.419499999999999</v>
      </c>
      <c r="AZ24" s="23">
        <f t="shared" ca="1" si="41"/>
        <v>7.2097499999999997</v>
      </c>
      <c r="BA24" s="36">
        <f t="shared" si="25"/>
        <v>31.786425000000001</v>
      </c>
      <c r="BB24" s="27">
        <f t="shared" ca="1" si="38"/>
        <v>15.893212500000001</v>
      </c>
      <c r="BC24" s="23">
        <f t="shared" ca="1" si="39"/>
        <v>57.677999999999997</v>
      </c>
      <c r="BE24" s="50" t="s">
        <v>65</v>
      </c>
      <c r="BF24" s="48" t="s">
        <v>66</v>
      </c>
      <c r="BG24" s="49">
        <f>IF(WL_No="  ","  ",MT/V_Disp)</f>
        <v>1.9803448831291677</v>
      </c>
    </row>
    <row r="25" spans="1:59" x14ac:dyDescent="0.25">
      <c r="A25" s="20">
        <f>Tools!$AD24</f>
        <v>18.5</v>
      </c>
      <c r="B25" s="33">
        <f t="shared" si="0"/>
        <v>2.4</v>
      </c>
      <c r="C25" s="22">
        <f>IF(A25="  ","  ",IF(AND(A24="  ",A26="  "),"?",IF(A24="  ",2*(A26-A25),IF(A26="  ",2*(A25-A24),2*(A26-A24)))))</f>
        <v>2</v>
      </c>
      <c r="D25" s="23">
        <f t="shared" si="26"/>
        <v>4.8</v>
      </c>
      <c r="E25" s="24">
        <f t="shared" si="1"/>
        <v>8.5</v>
      </c>
      <c r="F25" s="23">
        <f t="shared" si="27"/>
        <v>40.799999999999997</v>
      </c>
      <c r="G25" s="23">
        <f t="shared" si="28"/>
        <v>346.79999999999995</v>
      </c>
      <c r="H25" s="23">
        <f t="shared" si="29"/>
        <v>13.824</v>
      </c>
      <c r="I25" s="23">
        <f t="shared" si="30"/>
        <v>27.648</v>
      </c>
      <c r="J25" s="4"/>
      <c r="K25" s="37">
        <f t="shared" si="2"/>
        <v>10.6982</v>
      </c>
      <c r="L25" s="23">
        <f t="shared" si="31"/>
        <v>21.3964</v>
      </c>
      <c r="M25" s="38">
        <f t="shared" si="3"/>
        <v>24.776211333333332</v>
      </c>
      <c r="N25" s="27">
        <f t="shared" si="32"/>
        <v>49.552422666666665</v>
      </c>
      <c r="O25" s="23">
        <f t="shared" si="33"/>
        <v>181.86939999999998</v>
      </c>
      <c r="P25" s="4"/>
      <c r="Q25" s="50" t="s">
        <v>69</v>
      </c>
      <c r="R25" s="48" t="s">
        <v>70</v>
      </c>
      <c r="S25">
        <f>IF(Tools!$L$49="Use 141 rule only",I49,IF(Tools!$L$49="Use 141 and 1331 rules",BG26," "))</f>
        <v>240.62149922830193</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2.4</v>
      </c>
      <c r="AQ25" s="34" t="str">
        <f t="shared" ca="1" si="18"/>
        <v>(1/2)*(4/3)</v>
      </c>
      <c r="AR25" s="23">
        <f t="shared" ca="1" si="19"/>
        <v>1.5999999999999999</v>
      </c>
      <c r="AS25" s="24">
        <f t="shared" si="20"/>
        <v>8.5</v>
      </c>
      <c r="AT25" s="23">
        <f t="shared" ca="1" si="37"/>
        <v>13.6</v>
      </c>
      <c r="AU25" s="23">
        <f t="shared" ca="1" si="40"/>
        <v>115.6</v>
      </c>
      <c r="AV25" s="23">
        <f t="shared" si="21"/>
        <v>13.824</v>
      </c>
      <c r="AW25" s="23">
        <f t="shared" ca="1" si="22"/>
        <v>9.2159999999999993</v>
      </c>
      <c r="AY25" s="35">
        <f t="shared" si="23"/>
        <v>10.6982</v>
      </c>
      <c r="AZ25" s="23">
        <f t="shared" ca="1" si="41"/>
        <v>7.132133333333333</v>
      </c>
      <c r="BA25" s="36">
        <f t="shared" si="25"/>
        <v>24.776211333333332</v>
      </c>
      <c r="BB25" s="27">
        <f t="shared" ca="1" si="38"/>
        <v>16.517474222222219</v>
      </c>
      <c r="BC25" s="23">
        <f t="shared" ca="1" si="39"/>
        <v>60.623133333333328</v>
      </c>
      <c r="BE25" s="50" t="s">
        <v>67</v>
      </c>
      <c r="BF25" s="48" t="s">
        <v>68</v>
      </c>
      <c r="BG25" s="49">
        <f>IF(WL_No="  ","  ",KB+BMT)</f>
        <v>14.295620245323558</v>
      </c>
    </row>
    <row r="26" spans="1:59" x14ac:dyDescent="0.25">
      <c r="A26" s="20">
        <f>Tools!$AD25</f>
        <v>19</v>
      </c>
      <c r="B26" s="33">
        <f t="shared" si="0"/>
        <v>1.96</v>
      </c>
      <c r="C26" s="22">
        <f>IF(A26="  ","  ",IF(AND(A25="  ",A27="  "),"?",IF(A25="  ",1*(A27-A26),IF(A27="  ",1*(A26-A25),1*(A27-A25)))))</f>
        <v>1</v>
      </c>
      <c r="D26" s="23">
        <f t="shared" si="26"/>
        <v>1.96</v>
      </c>
      <c r="E26" s="24">
        <f t="shared" si="1"/>
        <v>9</v>
      </c>
      <c r="F26" s="23">
        <f t="shared" si="27"/>
        <v>17.64</v>
      </c>
      <c r="G26" s="23">
        <f t="shared" si="28"/>
        <v>158.76</v>
      </c>
      <c r="H26" s="23">
        <f t="shared" si="29"/>
        <v>7.5295359999999993</v>
      </c>
      <c r="I26" s="23">
        <f t="shared" si="30"/>
        <v>7.5295359999999993</v>
      </c>
      <c r="J26" s="4"/>
      <c r="K26" s="37">
        <f t="shared" si="2"/>
        <v>7.8755999999999995</v>
      </c>
      <c r="L26" s="23">
        <f t="shared" si="31"/>
        <v>7.8755999999999995</v>
      </c>
      <c r="M26" s="38">
        <f t="shared" si="3"/>
        <v>19.067802</v>
      </c>
      <c r="N26" s="27">
        <f t="shared" si="32"/>
        <v>19.067802</v>
      </c>
      <c r="O26" s="23">
        <f t="shared" si="33"/>
        <v>70.880399999999995</v>
      </c>
      <c r="P26" s="4"/>
      <c r="Q26" s="50" t="s">
        <v>71</v>
      </c>
      <c r="R26" s="48" t="s">
        <v>72</v>
      </c>
      <c r="S26">
        <f>IF(Tools!$L$49="Use 141 rule only",I50,IF(Tools!$L$49="Use 141 and 1331 rules",BG27," "))</f>
        <v>20.036486799999984</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1.96</v>
      </c>
      <c r="AQ26" s="34" t="str">
        <f t="shared" ca="1" si="18"/>
        <v>(1/2)*(2/3)</v>
      </c>
      <c r="AR26" s="23">
        <f t="shared" ca="1" si="19"/>
        <v>0.65333333333333332</v>
      </c>
      <c r="AS26" s="24">
        <f t="shared" si="20"/>
        <v>9</v>
      </c>
      <c r="AT26" s="23">
        <f t="shared" ca="1" si="37"/>
        <v>5.88</v>
      </c>
      <c r="AU26" s="23">
        <f t="shared" ca="1" si="40"/>
        <v>52.92</v>
      </c>
      <c r="AV26" s="23">
        <f t="shared" si="21"/>
        <v>7.5295359999999993</v>
      </c>
      <c r="AW26" s="23">
        <f t="shared" ca="1" si="22"/>
        <v>2.5098453333333328</v>
      </c>
      <c r="AY26" s="35">
        <f t="shared" si="23"/>
        <v>7.8755999999999995</v>
      </c>
      <c r="AZ26" s="23">
        <f t="shared" ca="1" si="41"/>
        <v>2.6251999999999995</v>
      </c>
      <c r="BA26" s="36">
        <f t="shared" si="25"/>
        <v>19.067802</v>
      </c>
      <c r="BB26" s="27">
        <f t="shared" ca="1" si="38"/>
        <v>6.3559339999999995</v>
      </c>
      <c r="BC26" s="23">
        <f t="shared" ca="1" si="39"/>
        <v>23.626799999999996</v>
      </c>
      <c r="BE26" s="50" t="s">
        <v>69</v>
      </c>
      <c r="BF26" s="48" t="s">
        <v>70</v>
      </c>
      <c r="BG26" s="49">
        <f>IF(WL_No="  ","  ",KB+BML)</f>
        <v>240.62149922830193</v>
      </c>
    </row>
    <row r="27" spans="1:59" x14ac:dyDescent="0.25">
      <c r="A27" s="20">
        <f>Tools!$AD26</f>
        <v>19.5</v>
      </c>
      <c r="B27" s="33">
        <f t="shared" si="0"/>
        <v>1.6</v>
      </c>
      <c r="C27" s="22">
        <f>IF(A27="  ","  ",IF(AND(A26="  ",A28="  "),"?",IF(A26="  ",2*(A28-A27),IF(A28="  ",2*(A27-A26),2*(A28-A26)))))</f>
        <v>2</v>
      </c>
      <c r="D27" s="23">
        <f t="shared" si="26"/>
        <v>3.2</v>
      </c>
      <c r="E27" s="24">
        <f t="shared" si="1"/>
        <v>9.5</v>
      </c>
      <c r="F27" s="23">
        <f t="shared" si="27"/>
        <v>30.400000000000002</v>
      </c>
      <c r="G27" s="23">
        <f t="shared" si="28"/>
        <v>288.8</v>
      </c>
      <c r="H27" s="23">
        <f t="shared" si="29"/>
        <v>4.096000000000001</v>
      </c>
      <c r="I27" s="23">
        <f t="shared" si="30"/>
        <v>8.1920000000000019</v>
      </c>
      <c r="J27" s="4"/>
      <c r="K27" s="37">
        <f t="shared" si="2"/>
        <v>5.26</v>
      </c>
      <c r="L27" s="23">
        <f t="shared" si="31"/>
        <v>10.52</v>
      </c>
      <c r="M27" s="38">
        <f t="shared" si="3"/>
        <v>13.798933333333334</v>
      </c>
      <c r="N27" s="27">
        <f t="shared" si="32"/>
        <v>27.597866666666668</v>
      </c>
      <c r="O27" s="23">
        <f t="shared" si="33"/>
        <v>99.94</v>
      </c>
      <c r="P27" s="4"/>
      <c r="Q27" s="50" t="s">
        <v>73</v>
      </c>
      <c r="R27" s="48" t="s">
        <v>74</v>
      </c>
      <c r="S27">
        <f>IF(Tools!$L$49="Use 141 rule only",I51,IF(Tools!$L$49="Use 141 and 1331 rules",BG28," "))</f>
        <v>2.0928473201281057</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1.6</v>
      </c>
      <c r="AQ27" s="34" t="str">
        <f t="shared" ca="1" si="18"/>
        <v>(1/2)*(4/3)</v>
      </c>
      <c r="AR27" s="23">
        <f t="shared" ca="1" si="19"/>
        <v>1.0666666666666667</v>
      </c>
      <c r="AS27" s="24">
        <f t="shared" si="20"/>
        <v>9.5</v>
      </c>
      <c r="AT27" s="23">
        <f t="shared" ca="1" si="37"/>
        <v>10.133333333333333</v>
      </c>
      <c r="AU27" s="23">
        <f t="shared" ca="1" si="40"/>
        <v>96.266666666666666</v>
      </c>
      <c r="AV27" s="23">
        <f t="shared" si="21"/>
        <v>4.096000000000001</v>
      </c>
      <c r="AW27" s="23">
        <f t="shared" ca="1" si="22"/>
        <v>2.730666666666667</v>
      </c>
      <c r="AY27" s="35">
        <f t="shared" si="23"/>
        <v>5.26</v>
      </c>
      <c r="AZ27" s="23">
        <f t="shared" ca="1" si="41"/>
        <v>3.5066666666666664</v>
      </c>
      <c r="BA27" s="36">
        <f t="shared" si="25"/>
        <v>13.798933333333334</v>
      </c>
      <c r="BB27" s="27">
        <f t="shared" ca="1" si="38"/>
        <v>9.1992888888888888</v>
      </c>
      <c r="BC27" s="23">
        <f t="shared" ca="1" si="39"/>
        <v>33.313333333333333</v>
      </c>
      <c r="BE27" s="50" t="s">
        <v>71</v>
      </c>
      <c r="BF27" s="48" t="s">
        <v>72</v>
      </c>
      <c r="BG27" s="49">
        <f>IF(WL_No="  ","  ",AWP*1.025/100)</f>
        <v>20.036486799999984</v>
      </c>
    </row>
    <row r="28" spans="1:59" ht="15.75" thickBot="1" x14ac:dyDescent="0.3">
      <c r="A28" s="20">
        <f>Tools!$AD27</f>
        <v>20</v>
      </c>
      <c r="B28" s="52">
        <f t="shared" si="0"/>
        <v>1.1499999999999999</v>
      </c>
      <c r="C28" s="22">
        <f>IF(A28="  ","  ",IF(A27="  ","?",1*(A28-A27)))</f>
        <v>0.5</v>
      </c>
      <c r="D28" s="53">
        <f t="shared" si="26"/>
        <v>0.57499999999999996</v>
      </c>
      <c r="E28" s="24">
        <f t="shared" si="1"/>
        <v>10</v>
      </c>
      <c r="F28" s="53">
        <f t="shared" si="27"/>
        <v>5.75</v>
      </c>
      <c r="G28" s="53">
        <f t="shared" si="28"/>
        <v>57.5</v>
      </c>
      <c r="H28" s="23">
        <f t="shared" si="29"/>
        <v>1.5208749999999995</v>
      </c>
      <c r="I28" s="53">
        <f t="shared" si="30"/>
        <v>0.76043749999999977</v>
      </c>
      <c r="J28" s="4"/>
      <c r="K28" s="35">
        <f t="shared" si="2"/>
        <v>2.2509999999999999</v>
      </c>
      <c r="L28" s="53">
        <f t="shared" si="31"/>
        <v>1.1254999999999999</v>
      </c>
      <c r="M28" s="36">
        <f t="shared" si="3"/>
        <v>6.7797666666666672</v>
      </c>
      <c r="N28" s="54">
        <f t="shared" si="32"/>
        <v>3.3898833333333336</v>
      </c>
      <c r="O28" s="53">
        <f t="shared" si="33"/>
        <v>11.254999999999999</v>
      </c>
      <c r="P28" s="4"/>
      <c r="Q28" s="50" t="s">
        <v>75</v>
      </c>
      <c r="R28" s="55" t="s">
        <v>76</v>
      </c>
      <c r="S28">
        <f>IF(Tools!$L$49="Use 141 rule only",I52,IF(Tools!$L$49="Use 141 and 1331 rules",BG29," "))</f>
        <v>107.45723678972521</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1.1499999999999999</v>
      </c>
      <c r="AQ28" s="34" t="str">
        <f t="shared" ca="1" si="18"/>
        <v>(1/2)*(1/3)</v>
      </c>
      <c r="AR28" s="23">
        <f t="shared" ca="1" si="19"/>
        <v>0.19166666666666665</v>
      </c>
      <c r="AS28" s="24">
        <f t="shared" si="20"/>
        <v>10</v>
      </c>
      <c r="AT28" s="53">
        <f t="shared" ca="1" si="37"/>
        <v>1.9166666666666665</v>
      </c>
      <c r="AU28" s="53">
        <f t="shared" ca="1" si="40"/>
        <v>19.166666666666664</v>
      </c>
      <c r="AV28" s="23">
        <f t="shared" si="21"/>
        <v>1.5208749999999995</v>
      </c>
      <c r="AW28" s="23">
        <f t="shared" ca="1" si="22"/>
        <v>0.25347916666666659</v>
      </c>
      <c r="AY28" s="35">
        <f t="shared" si="23"/>
        <v>2.2509999999999999</v>
      </c>
      <c r="AZ28" s="23">
        <f t="shared" ca="1" si="41"/>
        <v>0.37516666666666665</v>
      </c>
      <c r="BA28" s="36">
        <f t="shared" si="25"/>
        <v>6.7797666666666672</v>
      </c>
      <c r="BB28" s="27">
        <f t="shared" ca="1" si="38"/>
        <v>1.1299611111111112</v>
      </c>
      <c r="BC28" s="53">
        <f t="shared" ca="1" si="39"/>
        <v>3.7516666666666665</v>
      </c>
      <c r="BE28" s="50" t="s">
        <v>73</v>
      </c>
      <c r="BF28" s="48" t="s">
        <v>74</v>
      </c>
      <c r="BG28" s="49">
        <f>IF(WL_No="  ","  ",ML/V_Disp)</f>
        <v>2.0928473201281057</v>
      </c>
    </row>
    <row r="29" spans="1:59" ht="15.75" thickBot="1" x14ac:dyDescent="0.3">
      <c r="A29" s="56" t="s">
        <v>77</v>
      </c>
      <c r="B29" s="56"/>
      <c r="C29" s="56"/>
      <c r="D29" s="57">
        <f>SUM(D4:D28)</f>
        <v>445.2799999999998</v>
      </c>
      <c r="E29" s="42"/>
      <c r="F29" s="58">
        <f>SUM(F4:F28)</f>
        <v>101.64999999999993</v>
      </c>
      <c r="G29" s="58">
        <f>SUM(G4:G28)</f>
        <v>7233.0100000000011</v>
      </c>
      <c r="H29" s="42"/>
      <c r="I29" s="58">
        <f>SUM(I4:I28)</f>
        <v>48401.087285000016</v>
      </c>
      <c r="J29" s="4"/>
      <c r="K29" s="42"/>
      <c r="L29" s="58">
        <f>SUM(L4:L28)</f>
        <v>2620.1112499999995</v>
      </c>
      <c r="M29" s="42"/>
      <c r="N29" s="58">
        <f>SUM(N4:N28)</f>
        <v>5188.7239071666663</v>
      </c>
      <c r="O29" s="58">
        <f>SUM(O4:O28)</f>
        <v>832.7248000000003</v>
      </c>
      <c r="P29" s="4"/>
      <c r="Q29" s="50" t="s">
        <v>78</v>
      </c>
      <c r="R29" s="48" t="s">
        <v>79</v>
      </c>
      <c r="S29">
        <f>IF(Tools!$L$49="Use 141 rule only",I53,IF(Tools!$L$49="Use 141 and 1331 rules",BG30," "))</f>
        <v>3.6</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148.42666666666668</v>
      </c>
      <c r="AS29" s="42"/>
      <c r="AT29" s="58">
        <f ca="1">SUM(AT4:AT28)</f>
        <v>33.88333333333334</v>
      </c>
      <c r="AU29" s="58">
        <f ca="1">SUM(AU4:AU28)</f>
        <v>2411.0033333333331</v>
      </c>
      <c r="AV29" s="42"/>
      <c r="AW29" s="58">
        <f ca="1">SUM(AW4:AW28)</f>
        <v>16133.695761666666</v>
      </c>
      <c r="AY29" s="42"/>
      <c r="AZ29" s="58">
        <f ca="1">SUM(AZ4:AZ28)</f>
        <v>873.37041666666664</v>
      </c>
      <c r="BA29" s="42"/>
      <c r="BB29" s="58">
        <f ca="1">SUM(BB4:BB28)</f>
        <v>1729.574635722222</v>
      </c>
      <c r="BC29" s="58">
        <f ca="1">SUM(BC4:BC28)</f>
        <v>277.57493333333332</v>
      </c>
      <c r="BE29" s="50" t="s">
        <v>75</v>
      </c>
      <c r="BF29" s="55" t="s">
        <v>76</v>
      </c>
      <c r="BG29" s="49">
        <f ca="1">IF(WL_No="  ","  ",M_Disp*BML/100/BG8)</f>
        <v>113.1128808312897</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0.60582312925170034</v>
      </c>
      <c r="AA30" s="60"/>
      <c r="AB30" s="60"/>
      <c r="BE30" s="50" t="s">
        <v>78</v>
      </c>
      <c r="BF30" s="48" t="s">
        <v>79</v>
      </c>
      <c r="BG30" s="49">
        <f>IF(WL_No="  ","  ",WLS*WL_No)</f>
        <v>3.6</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0.49510794595616014</v>
      </c>
      <c r="AF31" s="61" t="s">
        <v>84</v>
      </c>
      <c r="AG31" s="62">
        <f ca="1">COUNTIF(OFFSET(AQ4,,,ROUNDUP(Max_STN_count/2,0),1),"")</f>
        <v>2</v>
      </c>
      <c r="AH31" s="63">
        <f ca="1">HLOOKUP(Stn_WL,AREA_TABLE,AG31+2,FALSE)</f>
        <v>1</v>
      </c>
      <c r="AI31" s="63">
        <f ca="1">IF(AH31&gt;Long_Div/2,Long_Div/2,AH31)</f>
        <v>1</v>
      </c>
      <c r="AJ31" s="63">
        <f ca="1">AI31*STN_GAP</f>
        <v>6.5849999999999991</v>
      </c>
      <c r="BE31" s="50" t="s">
        <v>80</v>
      </c>
      <c r="BF31" s="48" t="s">
        <v>81</v>
      </c>
      <c r="BG31" s="49">
        <f ca="1">IF(WL_No="  ","  ",AWP/(BG8*B_current))</f>
        <v>0.63770855710705299</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0.92476190476190467</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0.52116625890122126</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0.5353896428980105</v>
      </c>
      <c r="AF33" s="63"/>
      <c r="AG33" s="63"/>
      <c r="AH33" s="63">
        <f ca="1">Long_Div-AH32</f>
        <v>20</v>
      </c>
      <c r="AI33" s="63"/>
      <c r="AJ33" s="63">
        <f ca="1">AJ32+AJ31</f>
        <v>6.5849999999999991</v>
      </c>
      <c r="BE33" s="50" t="s">
        <v>85</v>
      </c>
      <c r="BF33" s="48" t="s">
        <v>86</v>
      </c>
      <c r="BG33" s="65">
        <f>IFERROR(IF(WL_No="  ","  ",(VLOOKUP(Long_Div/2,AREA_TABLE,Count_WL+1,FALSE))/(B_current*T)),"-")</f>
        <v>0.92476190476190467</v>
      </c>
    </row>
    <row r="34" spans="1:59" x14ac:dyDescent="0.25">
      <c r="G34" s="45"/>
      <c r="H34" s="46"/>
      <c r="I34" s="507"/>
      <c r="BE34" s="50" t="s">
        <v>88</v>
      </c>
      <c r="BF34" s="48" t="s">
        <v>89</v>
      </c>
      <c r="BG34" s="49">
        <f>IF(WL_No="  ","  ",CB/CM)</f>
        <v>0.5353896428980105</v>
      </c>
    </row>
    <row r="35" spans="1:59" x14ac:dyDescent="0.25">
      <c r="G35" s="47" t="s">
        <v>34</v>
      </c>
      <c r="H35" s="48" t="s">
        <v>35</v>
      </c>
      <c r="I35" s="49">
        <f>IF(WL_No="  ","  ",2/3*h*$D$29)</f>
        <v>1954.7791999999986</v>
      </c>
    </row>
    <row r="36" spans="1:59" x14ac:dyDescent="0.25">
      <c r="G36" s="47" t="s">
        <v>36</v>
      </c>
      <c r="H36" s="48" t="s">
        <v>37</v>
      </c>
      <c r="I36" s="49">
        <f>IF(WL_No="  ","  ",2/3*(h^2)*$F$29)</f>
        <v>2938.5134474999973</v>
      </c>
    </row>
    <row r="37" spans="1:59" x14ac:dyDescent="0.25">
      <c r="G37" s="50" t="s">
        <v>39</v>
      </c>
      <c r="H37" s="48" t="s">
        <v>40</v>
      </c>
      <c r="I37" s="49">
        <f>IF(WL_No="  ","  ",Mmid/AWP)</f>
        <v>1.503245710564139</v>
      </c>
    </row>
    <row r="38" spans="1:59" x14ac:dyDescent="0.25">
      <c r="G38" s="50" t="s">
        <v>42</v>
      </c>
      <c r="H38" s="48" t="s">
        <v>43</v>
      </c>
      <c r="I38" s="49">
        <f>IF(WL_No="  ","  ",2/3*(h^3)*$G$29)</f>
        <v>1376876.996937427</v>
      </c>
    </row>
    <row r="39" spans="1:59" x14ac:dyDescent="0.25">
      <c r="G39" s="51" t="s">
        <v>44</v>
      </c>
      <c r="H39" s="48" t="s">
        <v>45</v>
      </c>
      <c r="I39" s="49">
        <f>IF(WL_No="  ","  ",2/9*h*$I$29)</f>
        <v>70826.924393716676</v>
      </c>
    </row>
    <row r="40" spans="1:59" x14ac:dyDescent="0.25">
      <c r="G40" s="50" t="s">
        <v>47</v>
      </c>
      <c r="H40" s="48" t="s">
        <v>48</v>
      </c>
      <c r="I40" s="49">
        <f>IF(WL_No="  ","  ",IL-AWP*(LCF^2))</f>
        <v>1372459.6892020376</v>
      </c>
    </row>
    <row r="41" spans="1:59" x14ac:dyDescent="0.25">
      <c r="G41" s="50" t="s">
        <v>50</v>
      </c>
      <c r="H41" s="48" t="s">
        <v>51</v>
      </c>
      <c r="I41" s="49">
        <f>IF(WL_No="  ","  ",h/3*$L$29)</f>
        <v>5751.1441937499985</v>
      </c>
    </row>
    <row r="42" spans="1:59" x14ac:dyDescent="0.25">
      <c r="G42" s="50" t="s">
        <v>52</v>
      </c>
      <c r="H42" s="48" t="s">
        <v>53</v>
      </c>
      <c r="I42" s="49">
        <f>IF(WL_No="  ","  ",V_Disp*1.025*1.006)</f>
        <v>5930.2923353853103</v>
      </c>
    </row>
    <row r="43" spans="1:59" x14ac:dyDescent="0.25">
      <c r="G43" s="50" t="s">
        <v>55</v>
      </c>
      <c r="H43" s="48" t="s">
        <v>56</v>
      </c>
      <c r="I43" s="49">
        <f>IF(WL_No="  ","  ",h/3*$N$29)</f>
        <v>11389.248976230832</v>
      </c>
    </row>
    <row r="44" spans="1:59" x14ac:dyDescent="0.25">
      <c r="G44" s="50" t="s">
        <v>57</v>
      </c>
      <c r="H44" s="48" t="s">
        <v>58</v>
      </c>
      <c r="I44" s="49">
        <f>IF(WL_No="  ","  ",(h^2)/3*$O$29)</f>
        <v>12036.26671356</v>
      </c>
    </row>
    <row r="45" spans="1:59" x14ac:dyDescent="0.25">
      <c r="G45" s="50" t="s">
        <v>60</v>
      </c>
      <c r="H45" s="48" t="s">
        <v>61</v>
      </c>
      <c r="I45" s="49">
        <f>IF(WL_No="  ","  ",IF/V_Disp)</f>
        <v>238.64115434517277</v>
      </c>
    </row>
    <row r="46" spans="1:59" x14ac:dyDescent="0.25">
      <c r="G46" s="50" t="s">
        <v>63</v>
      </c>
      <c r="H46" s="48" t="s">
        <v>64</v>
      </c>
      <c r="I46" s="49">
        <f>IF(WL_No="  ","  ",IT/V_Disp)</f>
        <v>12.31527536219439</v>
      </c>
    </row>
    <row r="47" spans="1:59" x14ac:dyDescent="0.25">
      <c r="G47" s="50" t="s">
        <v>65</v>
      </c>
      <c r="H47" s="48" t="s">
        <v>66</v>
      </c>
      <c r="I47" s="49">
        <f>IF(WL_No="  ","  ",MT/V_Disp)</f>
        <v>1.9803448831291677</v>
      </c>
    </row>
    <row r="48" spans="1:59" x14ac:dyDescent="0.25">
      <c r="G48" s="50" t="s">
        <v>67</v>
      </c>
      <c r="H48" s="48" t="s">
        <v>68</v>
      </c>
      <c r="I48" s="49">
        <f>IF(WL_No="  ","  ",KB+BMT)</f>
        <v>14.295620245323558</v>
      </c>
    </row>
    <row r="49" spans="7:9" x14ac:dyDescent="0.25">
      <c r="G49" s="50" t="s">
        <v>69</v>
      </c>
      <c r="H49" s="48" t="s">
        <v>70</v>
      </c>
      <c r="I49" s="49">
        <f>IF(WL_No="  ","  ",KB+BML)</f>
        <v>240.62149922830193</v>
      </c>
    </row>
    <row r="50" spans="7:9" x14ac:dyDescent="0.25">
      <c r="G50" s="50" t="s">
        <v>71</v>
      </c>
      <c r="H50" s="48" t="s">
        <v>72</v>
      </c>
      <c r="I50" s="49">
        <f>IF(WL_No="  ","  ",AWP*1.025/100)</f>
        <v>20.036486799999984</v>
      </c>
    </row>
    <row r="51" spans="7:9" x14ac:dyDescent="0.25">
      <c r="G51" s="50" t="s">
        <v>73</v>
      </c>
      <c r="H51" s="48" t="s">
        <v>74</v>
      </c>
      <c r="I51" s="49">
        <f>IF(WL_No="  ","  ",ML/V_Disp)</f>
        <v>2.0928473201281057</v>
      </c>
    </row>
    <row r="52" spans="7:9" x14ac:dyDescent="0.25">
      <c r="G52" s="50" t="s">
        <v>75</v>
      </c>
      <c r="H52" s="55" t="s">
        <v>76</v>
      </c>
      <c r="I52" s="49">
        <f>IF(WL_No="  ","  ",M_Disp*BML/100/LBP)</f>
        <v>107.45723678972521</v>
      </c>
    </row>
    <row r="53" spans="7:9" x14ac:dyDescent="0.25">
      <c r="G53" s="50" t="s">
        <v>78</v>
      </c>
      <c r="H53" s="48" t="s">
        <v>79</v>
      </c>
      <c r="I53" s="49">
        <f>IF(WL_No="  ","  ",WLS*WL_No)</f>
        <v>3.6</v>
      </c>
    </row>
    <row r="54" spans="7:9" x14ac:dyDescent="0.25">
      <c r="G54" s="50" t="s">
        <v>80</v>
      </c>
      <c r="H54" s="48" t="s">
        <v>81</v>
      </c>
      <c r="I54" s="49">
        <f>IF(WL_No="  ","  ",AWP/(LBP*B_current))</f>
        <v>0.60582312925170034</v>
      </c>
    </row>
    <row r="55" spans="7:9" x14ac:dyDescent="0.25">
      <c r="G55" s="50" t="s">
        <v>82</v>
      </c>
      <c r="H55" s="48" t="s">
        <v>83</v>
      </c>
      <c r="I55" s="49">
        <f>IF(WL_No="  ","  ",V_Disp/(LBP*B_current*T))</f>
        <v>0.49510794595616014</v>
      </c>
    </row>
    <row r="56" spans="7:9" x14ac:dyDescent="0.25">
      <c r="G56" s="50" t="s">
        <v>85</v>
      </c>
      <c r="H56" s="48" t="s">
        <v>86</v>
      </c>
      <c r="I56" s="65">
        <f>IF(WL_No="  ","  ",(VLOOKUP(Long_Div/2,AREA_TABLE,Count_WL+1,FALSE))/(B_current*T))</f>
        <v>0.92476190476190467</v>
      </c>
    </row>
    <row r="57" spans="7:9" x14ac:dyDescent="0.25">
      <c r="G57" s="50" t="s">
        <v>88</v>
      </c>
      <c r="H57" s="48" t="s">
        <v>89</v>
      </c>
      <c r="I57" s="49">
        <f>IF(WL_No="  ","  ",CB/CM)</f>
        <v>0.5353896428980105</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J43:BD57 J42:M42 O42:BD42 J38:BD41 AO3:AX26 AO27:AO28 AQ27:AX28">
    <cfRule type="containsErrors" dxfId="185" priority="14">
      <formula>ISERROR(A1)</formula>
    </cfRule>
  </conditionalFormatting>
  <conditionalFormatting sqref="G33:I34 G35:H57">
    <cfRule type="containsErrors" dxfId="184" priority="13">
      <formula>ISERROR(G33)</formula>
    </cfRule>
  </conditionalFormatting>
  <conditionalFormatting sqref="T12:T33">
    <cfRule type="containsErrors" dxfId="183" priority="12">
      <formula>ISERROR(T12)</formula>
    </cfRule>
  </conditionalFormatting>
  <conditionalFormatting sqref="I35:I57">
    <cfRule type="containsErrors" dxfId="182" priority="11">
      <formula>ISERROR(I35)</formula>
    </cfRule>
  </conditionalFormatting>
  <conditionalFormatting sqref="AY2:BC29">
    <cfRule type="containsErrors" dxfId="181" priority="8">
      <formula>ISERROR(AY2)</formula>
    </cfRule>
  </conditionalFormatting>
  <conditionalFormatting sqref="BE10:BG11 BE12:BF34">
    <cfRule type="containsErrors" dxfId="180" priority="10">
      <formula>ISERROR(BE10)</formula>
    </cfRule>
  </conditionalFormatting>
  <conditionalFormatting sqref="BG12:BG28 BG34">
    <cfRule type="containsErrors" dxfId="179" priority="9">
      <formula>ISERROR(BG12)</formula>
    </cfRule>
  </conditionalFormatting>
  <conditionalFormatting sqref="BE2:BG6">
    <cfRule type="containsErrors" dxfId="178" priority="7">
      <formula>ISERROR(BE2)</formula>
    </cfRule>
  </conditionalFormatting>
  <conditionalFormatting sqref="BF7:BG8">
    <cfRule type="containsErrors" dxfId="177" priority="5">
      <formula>ISERROR(BF7)</formula>
    </cfRule>
  </conditionalFormatting>
  <conditionalFormatting sqref="BE7:BE8">
    <cfRule type="containsErrors" dxfId="176" priority="6">
      <formula>ISERROR(BE7)</formula>
    </cfRule>
  </conditionalFormatting>
  <conditionalFormatting sqref="S30:S33">
    <cfRule type="containsErrors" dxfId="175" priority="4">
      <formula>ISERROR(S30)</formula>
    </cfRule>
  </conditionalFormatting>
  <conditionalFormatting sqref="AP27:AP28">
    <cfRule type="containsErrors" dxfId="174" priority="3">
      <formula>ISERROR(AP27)</formula>
    </cfRule>
  </conditionalFormatting>
  <conditionalFormatting sqref="BG29:BG32">
    <cfRule type="containsErrors" dxfId="173" priority="2">
      <formula>ISERROR(BG29)</formula>
    </cfRule>
  </conditionalFormatting>
  <conditionalFormatting sqref="BG33">
    <cfRule type="containsErrors" dxfId="172" priority="1">
      <formula>ISERROR(BG33)</formula>
    </cfRule>
  </conditionalFormatting>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1.5</v>
      </c>
      <c r="C1" s="3"/>
      <c r="D1" s="4"/>
      <c r="E1" s="4" t="s">
        <v>1</v>
      </c>
      <c r="F1" s="5">
        <v>4</v>
      </c>
      <c r="G1" s="4"/>
      <c r="H1" s="4"/>
      <c r="I1" s="4"/>
      <c r="J1" s="4"/>
      <c r="K1" s="4"/>
      <c r="L1" s="4"/>
      <c r="M1" s="4"/>
      <c r="N1" s="4"/>
      <c r="O1" s="4"/>
      <c r="P1" s="4"/>
      <c r="Q1" s="4"/>
      <c r="R1" s="4"/>
      <c r="S1" s="4"/>
      <c r="V1" t="s">
        <v>2</v>
      </c>
      <c r="W1">
        <f ca="1">COUNTIF(OFFSET(Z4,,,ROUNDDOWN(Max_STN_count/2+1,0),1),TRUE)</f>
        <v>5</v>
      </c>
      <c r="X1">
        <f ca="1">COUNTIF(OFFSET(AA4,,,ROUNDDOWN(Max_STN_count/2+1,0),1),TRUE)</f>
        <v>3</v>
      </c>
      <c r="Y1">
        <f ca="1">W1-X1</f>
        <v>2</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2</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131.69999999999999</v>
      </c>
      <c r="W4" s="29">
        <f>IF(AO4="  ","  ",IF(AO5="  ","?",1*(AO5-AO4)))</f>
        <v>0.5</v>
      </c>
      <c r="X4" s="30" t="str">
        <f t="shared" ref="X4:X28" si="4">IF(Y4=0,"--",CONCATENATE(IF(AO4=0,"-",IF(Y3=0,"-",IF(AO4-AO3=0.5,"D",IF(AO4-AO3=1,"W","-")))),IF(AO4=Long_Div,"-",IF(Y5=0,"-",IF(AO5-AO4=0.5,"D",IF(AO5-AO4=1,"W","-"))))))</f>
        <v>--</v>
      </c>
      <c r="Y4" s="30">
        <f t="shared" ref="Y4:Y28" si="5">IF(ISNUMBER(AO4),IF(AO4=Long_Div/2,"-",IF(AND(AO4=Long_Div,$AP4=0,$AP3=0),0,IF(AND(AO4=0,$AP4=0,$AP5=0),0,IF($AO4&lt;Long_Div/2,IF(AND(Y3=0,$AP4=0,$AP5=0),0,"-"),IF(AND(Y5=0,$AP4=0,$AP3=0),0,"-")))))," ")</f>
        <v>0</v>
      </c>
      <c r="Z4" s="29" t="b">
        <f t="shared" ref="Z4:Z28" si="6">IF(ISNUMBER(AO4),IF(AO4=0,IF(AO5=0.5,TRUE,FALSE),IF(AO4=Long_Div,IF(AO3=Long_Div-0.5,TRUE,FALSE),IF(OR(AO5-AO4=0.5,AO4-AO3=0.5),TRUE,FALSE)))," ")</f>
        <v>1</v>
      </c>
      <c r="AA4" s="29" t="str">
        <f t="shared" ref="AA4:AA28" si="7">IF(ISNUMBER(AO4),IF(Y4=0," ",IF(AO4=0,IF(AO5=0.5,TRUE,"-"),IF(AO4=Long_Div,IF(AO3=Long_Div-0.5,TRUE,"-"),IF(OR(AO5-AO4=0.5,AO4-AO3=0.5),TRUE,FALSE))))," ")</f>
        <v xml:space="preserve"> </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str">
        <f t="shared" ref="AG4:AG28" si="11">IF(ISNUMBER(AO4),IF(AA4=" "," ",IF(AO4=0,IF(AO5-AO4=1,TRUE,FALSE),IF(AO4=Long_Div,IF(AO4-AO3=1,TRUE,FALSE),IF(OR(AO5-AO4=1,AO4-AO3=1),TRUE,FALSE))))," ")</f>
        <v xml:space="preserve"> </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
      </c>
      <c r="AJ4" s="29">
        <f t="shared" ref="AJ4:AJ28" ca="1" si="14">IF(OR(AB4="1331-1",AB4="1331-1,141-1"),(1/2)*(3/8),IF(AB4="1331-3",(1/2)*(9/8),IF(AB4="141-1",(1/2)*(1/3),IF(AB4="141-2",(1/2)*(2/3),IF(AB4="141-4",(1/2)*(4/3),0)))))</f>
        <v>0</v>
      </c>
      <c r="AK4" s="29" t="str">
        <f t="shared" ref="AK4:AK28" si="15">IF(AH4="1331-1,141-1","(1*3/8)+(1/3)",IF(LEFT(AH4,4)="141-",CONCATENATE(RIGHT(AH4,1),"/3"),IF(LEFT(AH4,4)="1331",CONCATENATE(RIGHT(AH4,1),"*3/8"),"")))</f>
        <v/>
      </c>
      <c r="AL4" s="29">
        <f t="shared" ref="AL4:AL28" si="16">IF(AH4="1331-1,141-1",(1*3/8)+(1/3),IF(LEFT(AH4,4)="141-",(RIGHT(AH4,1)/3),IF(LEFT(AH4,4)="1331",RIGHT(AH4,1)*3/8,0)))</f>
        <v>0</v>
      </c>
      <c r="AM4" s="32" t="str">
        <f ca="1">IF(AQ4=""," ",AJ4+AL4)</f>
        <v xml:space="preserve"> </v>
      </c>
      <c r="AO4" s="20">
        <f>Tools!$AD3</f>
        <v>0</v>
      </c>
      <c r="AP4" s="33">
        <f t="shared" ref="AP4" si="17">VLOOKUP(AO4,OFFSET_A,Count_WL+1,FALSE)</f>
        <v>0</v>
      </c>
      <c r="AQ4" s="34" t="str">
        <f t="shared" ref="AQ4:AQ28" ca="1" si="18">CONCATENATE(AI4,IF(NOT(OR(AI4="",AK4="")),"+",""),AK4)</f>
        <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f t="shared" ref="AV4:AV28" si="21">IFERROR(AP4^3,"  ")</f>
        <v>0</v>
      </c>
      <c r="AW4" s="23" t="str">
        <f t="shared" ref="AW4:AW28" ca="1" si="22">IFERROR(AV4*AM4,"  ")</f>
        <v xml:space="preserve">  </v>
      </c>
      <c r="AY4" s="35">
        <f t="shared" ref="AY4:AY28" si="23">IF(ROW(AY4)-3&gt;Max_STN_count," ",VLOOKUP(AO4,AREA_TABLE,Count_WL+1,FALSE))</f>
        <v>0</v>
      </c>
      <c r="AZ4" s="23" t="str">
        <f t="shared" ref="AZ4:AZ7" ca="1" si="24">IFERROR(AY4*AM4,"  ")</f>
        <v xml:space="preserve">  </v>
      </c>
      <c r="BA4" s="36">
        <f t="shared" ref="BA4:BA28" si="25">IF(ROW(AY4)-3&gt;Max_STN_count," ",VLOOKUP(AO4,MOMENT_TABLE,Count_WL+1,FALSE))</f>
        <v>0</v>
      </c>
      <c r="BB4" s="27" t="str">
        <f ca="1">IFERROR(BA4*AM4,"  ")</f>
        <v xml:space="preserve">  </v>
      </c>
      <c r="BC4" s="23" t="str">
        <f ca="1">IFERROR(AZ4*AS4,"  ")</f>
        <v xml:space="preserve">  </v>
      </c>
      <c r="BE4" s="16" t="s">
        <v>26</v>
      </c>
      <c r="BF4" s="9" t="s">
        <v>8</v>
      </c>
      <c r="BG4" s="28">
        <f>LBP</f>
        <v>131.69999999999999</v>
      </c>
    </row>
    <row r="5" spans="1:60" x14ac:dyDescent="0.25">
      <c r="A5" s="20">
        <f>Tools!$AD4</f>
        <v>0.5</v>
      </c>
      <c r="B5" s="33">
        <f t="shared" si="0"/>
        <v>0</v>
      </c>
      <c r="C5" s="22">
        <f>IF(A5="  ","  ",IF(AND(A4="  ",A6="  "),"?",IF(A4="  ",2*(A6-A5),IF(A6="  ",2*(A5-A4),2*(A6-A4)))))</f>
        <v>2</v>
      </c>
      <c r="D5" s="23">
        <f t="shared" ref="D5:D28" si="26">IFERROR(B5*C5,"  ")</f>
        <v>0</v>
      </c>
      <c r="E5" s="24">
        <f t="shared" si="1"/>
        <v>-9.5</v>
      </c>
      <c r="F5" s="23">
        <f t="shared" ref="F5:F28" si="27">IFERROR(D5*E5,"  ")</f>
        <v>0</v>
      </c>
      <c r="G5" s="23">
        <f t="shared" ref="G5:G28" si="28">IFERROR(F5*E5,"  ")</f>
        <v>0</v>
      </c>
      <c r="H5" s="23">
        <f t="shared" ref="H5:H28" si="29">IFERROR(B5^3,"  ")</f>
        <v>0</v>
      </c>
      <c r="I5" s="23">
        <f t="shared" ref="I5:I28" si="30">IFERROR(H5*C5,"  ")</f>
        <v>0</v>
      </c>
      <c r="J5" s="4"/>
      <c r="K5" s="37">
        <f t="shared" si="2"/>
        <v>0</v>
      </c>
      <c r="L5" s="23">
        <f t="shared" ref="L5:L28" si="31">IFERROR(K5*C5,"  ")</f>
        <v>0</v>
      </c>
      <c r="M5" s="38">
        <f t="shared" si="3"/>
        <v>0</v>
      </c>
      <c r="N5" s="27">
        <f t="shared" ref="N5:N28" si="32">IFERROR(M5*C5,"  ")</f>
        <v>0</v>
      </c>
      <c r="O5" s="23">
        <f t="shared" ref="O5:O28" si="33">IFERROR(L5*E5,"  ")</f>
        <v>0</v>
      </c>
      <c r="P5" s="4"/>
      <c r="Q5" s="8" t="s">
        <v>27</v>
      </c>
      <c r="R5" s="9" t="s">
        <v>8</v>
      </c>
      <c r="S5" s="10">
        <f>BREADTH</f>
        <v>24.5</v>
      </c>
      <c r="W5" s="29">
        <f>IF(AO5="  ","  ",IF(AND(AO4="  ",AO6="  "),"?",IF(AO4="  ",2*(AO6-AO5),IF(AO6="  ",2*(AO5-AO4),2*(AO6-AO4)))))</f>
        <v>2</v>
      </c>
      <c r="X5" s="30" t="str">
        <f t="shared" si="4"/>
        <v>--</v>
      </c>
      <c r="Y5" s="30">
        <f t="shared" si="5"/>
        <v>0</v>
      </c>
      <c r="Z5" s="29" t="b">
        <f t="shared" si="6"/>
        <v>1</v>
      </c>
      <c r="AA5" s="29" t="str">
        <f t="shared" si="7"/>
        <v xml:space="preserve"> </v>
      </c>
      <c r="AB5" s="29" t="str">
        <f t="shared" ca="1" si="8"/>
        <v>--</v>
      </c>
      <c r="AC5" s="29">
        <f t="shared" ref="AC5:AC27" si="34">IF(ISNUMBER(AO5),IF(ISNUMBER(AO5),IF(OR(AO5=0,AO5=Long_Div),1,IF(AO5&gt;Long_Div/2,AC6+1,IF(AO5&lt;=Long_Div/2,AC4+1,"?")))," --")," ")</f>
        <v>2</v>
      </c>
      <c r="AD5" s="29">
        <f t="shared" ca="1" si="9"/>
        <v>0</v>
      </c>
      <c r="AE5" s="29">
        <v>2</v>
      </c>
      <c r="AF5" s="31" t="str">
        <f t="shared" si="10"/>
        <v xml:space="preserve"> </v>
      </c>
      <c r="AG5" s="29" t="str">
        <f t="shared" si="11"/>
        <v xml:space="preserve"> </v>
      </c>
      <c r="AH5" s="30" t="str">
        <f t="shared" si="12"/>
        <v>-</v>
      </c>
      <c r="AI5" s="30" t="str">
        <f t="shared" ca="1" si="13"/>
        <v/>
      </c>
      <c r="AJ5" s="29">
        <f t="shared" ca="1" si="14"/>
        <v>0</v>
      </c>
      <c r="AK5" s="29" t="str">
        <f t="shared" si="15"/>
        <v/>
      </c>
      <c r="AL5" s="29">
        <f t="shared" si="16"/>
        <v>0</v>
      </c>
      <c r="AM5" s="32" t="str">
        <f t="shared" ref="AM5:AM28" ca="1" si="35">IF(AQ5=""," ",AJ5+AL5)</f>
        <v xml:space="preserve"> </v>
      </c>
      <c r="AO5" s="20">
        <f>Tools!$AD4</f>
        <v>0.5</v>
      </c>
      <c r="AP5" s="33">
        <f t="shared" ref="AP5:AP28" si="36">VLOOKUP(AO5,OFFSET_A,Count_WL+1,FALSE)</f>
        <v>0</v>
      </c>
      <c r="AQ5" s="34" t="str">
        <f t="shared" ca="1" si="18"/>
        <v/>
      </c>
      <c r="AR5" s="23" t="str">
        <f t="shared" ca="1" si="19"/>
        <v xml:space="preserve">  </v>
      </c>
      <c r="AS5" s="24">
        <f t="shared" si="20"/>
        <v>-9.5</v>
      </c>
      <c r="AT5" s="23" t="str">
        <f t="shared" ref="AT5:AT28" ca="1" si="37">IFERROR(AR5*AS5,"  ")</f>
        <v xml:space="preserve">  </v>
      </c>
      <c r="AU5" s="23" t="str">
        <f ca="1">IFERROR(AT5*AS5,"  ")</f>
        <v xml:space="preserve">  </v>
      </c>
      <c r="AV5" s="23">
        <f t="shared" si="21"/>
        <v>0</v>
      </c>
      <c r="AW5" s="23" t="str">
        <f t="shared" ca="1" si="22"/>
        <v xml:space="preserve">  </v>
      </c>
      <c r="AY5" s="35">
        <f t="shared" si="23"/>
        <v>0</v>
      </c>
      <c r="AZ5" s="23" t="str">
        <f t="shared" ca="1" si="24"/>
        <v xml:space="preserve">  </v>
      </c>
      <c r="BA5" s="36">
        <f t="shared" si="25"/>
        <v>0</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f t="shared" si="0"/>
        <v>0</v>
      </c>
      <c r="C6" s="22">
        <f>IF(A6="  ","  ",IF(AND(A5="  ",A7="  "),"?",IF(A5="  ",1*(A7-A6),IF(A7="  ",1*(A6-A5),1*(A7-A5)))))</f>
        <v>1</v>
      </c>
      <c r="D6" s="23">
        <f t="shared" si="26"/>
        <v>0</v>
      </c>
      <c r="E6" s="24">
        <f t="shared" si="1"/>
        <v>-9</v>
      </c>
      <c r="F6" s="23">
        <f t="shared" si="27"/>
        <v>0</v>
      </c>
      <c r="G6" s="23">
        <f t="shared" si="28"/>
        <v>0</v>
      </c>
      <c r="H6" s="23">
        <f t="shared" si="29"/>
        <v>0</v>
      </c>
      <c r="I6" s="23">
        <f t="shared" si="30"/>
        <v>0</v>
      </c>
      <c r="J6" s="4"/>
      <c r="K6" s="37">
        <f t="shared" si="2"/>
        <v>0</v>
      </c>
      <c r="L6" s="23">
        <f t="shared" si="31"/>
        <v>0</v>
      </c>
      <c r="M6" s="38">
        <f t="shared" si="3"/>
        <v>0</v>
      </c>
      <c r="N6" s="27">
        <f t="shared" si="32"/>
        <v>0</v>
      </c>
      <c r="O6" s="23">
        <f t="shared" si="33"/>
        <v>0</v>
      </c>
      <c r="P6" s="4"/>
      <c r="Q6" s="8" t="s">
        <v>28</v>
      </c>
      <c r="R6" s="9" t="s">
        <v>8</v>
      </c>
      <c r="S6" s="10">
        <f>DEPTH</f>
        <v>14.19</v>
      </c>
      <c r="W6" s="29">
        <f>IF(AO6="  ","  ",IF(AND(AO5="  ",AO7="  "),"?",IF(AO5="  ",1*(AO7-AO6),IF(AO7="  ",1*(AO6-AO5),1*(AO7-AO5)))))</f>
        <v>1</v>
      </c>
      <c r="X6" s="30" t="str">
        <f t="shared" si="4"/>
        <v>-D</v>
      </c>
      <c r="Y6" s="30" t="str">
        <f t="shared" si="5"/>
        <v>-</v>
      </c>
      <c r="Z6" s="29" t="b">
        <f t="shared" si="6"/>
        <v>1</v>
      </c>
      <c r="AA6" s="29" t="b">
        <f t="shared" si="7"/>
        <v>1</v>
      </c>
      <c r="AB6" s="29" t="str">
        <f t="shared" ca="1" si="8"/>
        <v>141-1</v>
      </c>
      <c r="AC6" s="29">
        <f t="shared" si="34"/>
        <v>3</v>
      </c>
      <c r="AD6" s="29">
        <f t="shared" ca="1" si="9"/>
        <v>1</v>
      </c>
      <c r="AE6" s="29">
        <v>3</v>
      </c>
      <c r="AF6" s="31" t="str">
        <f t="shared" si="10"/>
        <v xml:space="preserve"> </v>
      </c>
      <c r="AG6" s="29" t="b">
        <f t="shared" si="11"/>
        <v>0</v>
      </c>
      <c r="AH6" s="30" t="str">
        <f t="shared" si="12"/>
        <v>-</v>
      </c>
      <c r="AI6" s="30" t="str">
        <f t="shared" ca="1" si="13"/>
        <v>(1/2)*(1/3)</v>
      </c>
      <c r="AJ6" s="29">
        <f t="shared" ca="1" si="14"/>
        <v>0.16666666666666666</v>
      </c>
      <c r="AK6" s="29" t="str">
        <f t="shared" si="15"/>
        <v/>
      </c>
      <c r="AL6" s="29">
        <f t="shared" si="16"/>
        <v>0</v>
      </c>
      <c r="AM6" s="32">
        <f t="shared" ca="1" si="35"/>
        <v>0.16666666666666666</v>
      </c>
      <c r="AO6" s="20">
        <f>Tools!$AD5</f>
        <v>1</v>
      </c>
      <c r="AP6" s="33">
        <f t="shared" si="36"/>
        <v>0</v>
      </c>
      <c r="AQ6" s="34" t="str">
        <f t="shared" ca="1" si="18"/>
        <v>(1/2)*(1/3)</v>
      </c>
      <c r="AR6" s="23">
        <f t="shared" ca="1" si="19"/>
        <v>0</v>
      </c>
      <c r="AS6" s="24">
        <f t="shared" si="20"/>
        <v>-9</v>
      </c>
      <c r="AT6" s="23">
        <f t="shared" ca="1" si="37"/>
        <v>0</v>
      </c>
      <c r="AU6" s="23">
        <f ca="1">IFERROR(AT6*AS6,"  ")</f>
        <v>0</v>
      </c>
      <c r="AV6" s="23">
        <f t="shared" si="21"/>
        <v>0</v>
      </c>
      <c r="AW6" s="23">
        <f t="shared" ca="1" si="22"/>
        <v>0</v>
      </c>
      <c r="AY6" s="35">
        <f t="shared" si="23"/>
        <v>0</v>
      </c>
      <c r="AZ6" s="23">
        <f t="shared" ca="1" si="24"/>
        <v>0</v>
      </c>
      <c r="BA6" s="36">
        <f t="shared" si="25"/>
        <v>0</v>
      </c>
      <c r="BB6" s="27">
        <f t="shared" ca="1" si="38"/>
        <v>0</v>
      </c>
      <c r="BC6" s="23">
        <f t="shared" ca="1" si="39"/>
        <v>0</v>
      </c>
      <c r="BE6" s="8" t="s">
        <v>28</v>
      </c>
      <c r="BF6" s="9" t="s">
        <v>8</v>
      </c>
      <c r="BG6" s="10">
        <f>DEPTH</f>
        <v>14.19</v>
      </c>
    </row>
    <row r="7" spans="1:60" x14ac:dyDescent="0.25">
      <c r="A7" s="20">
        <f>Tools!$AD6</f>
        <v>1.5</v>
      </c>
      <c r="B7" s="33">
        <f t="shared" si="0"/>
        <v>0.4</v>
      </c>
      <c r="C7" s="22">
        <f>IF(A7="  ","  ",IF(AND(A6="  ",A8="  "),"?",IF(A6="  ",2*(A8-A7),IF(A8="  ",2*(A7-A6),2*(A8-A6)))))</f>
        <v>2</v>
      </c>
      <c r="D7" s="23">
        <f t="shared" si="26"/>
        <v>0.8</v>
      </c>
      <c r="E7" s="24">
        <f t="shared" si="1"/>
        <v>-8.5</v>
      </c>
      <c r="F7" s="23">
        <f t="shared" si="27"/>
        <v>-6.8000000000000007</v>
      </c>
      <c r="G7" s="23">
        <f t="shared" si="28"/>
        <v>57.800000000000004</v>
      </c>
      <c r="H7" s="23">
        <f t="shared" si="29"/>
        <v>6.4000000000000015E-2</v>
      </c>
      <c r="I7" s="23">
        <f t="shared" si="30"/>
        <v>0.12800000000000003</v>
      </c>
      <c r="J7" s="4"/>
      <c r="K7" s="37">
        <f t="shared" si="2"/>
        <v>0.30000000000000004</v>
      </c>
      <c r="L7" s="23">
        <f t="shared" si="31"/>
        <v>0.60000000000000009</v>
      </c>
      <c r="M7" s="38">
        <f t="shared" si="3"/>
        <v>0.7350000000000001</v>
      </c>
      <c r="N7" s="27">
        <f t="shared" si="32"/>
        <v>1.4700000000000002</v>
      </c>
      <c r="O7" s="23">
        <f t="shared" si="33"/>
        <v>-5.1000000000000005</v>
      </c>
      <c r="P7" s="4"/>
      <c r="Q7" s="39" t="s">
        <v>29</v>
      </c>
      <c r="R7" s="40" t="s">
        <v>8</v>
      </c>
      <c r="S7" s="41">
        <f>IF(MAX(B4:B28)=0," ",2*MAX(B4:B28))</f>
        <v>24.28</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2</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0.4</v>
      </c>
      <c r="AQ7" s="34" t="str">
        <f t="shared" ca="1" si="18"/>
        <v>(1/2)*(4/3)</v>
      </c>
      <c r="AR7" s="23">
        <f t="shared" ca="1" si="19"/>
        <v>0.26666666666666666</v>
      </c>
      <c r="AS7" s="24">
        <f t="shared" si="20"/>
        <v>-8.5</v>
      </c>
      <c r="AT7" s="23">
        <f t="shared" ca="1" si="37"/>
        <v>-2.2666666666666666</v>
      </c>
      <c r="AU7" s="23">
        <f t="shared" ref="AU7:AU28" ca="1" si="40">IFERROR(AT7*AS7,"  ")</f>
        <v>19.266666666666666</v>
      </c>
      <c r="AV7" s="23">
        <f t="shared" si="21"/>
        <v>6.4000000000000015E-2</v>
      </c>
      <c r="AW7" s="23">
        <f t="shared" ca="1" si="22"/>
        <v>4.2666666666666672E-2</v>
      </c>
      <c r="AY7" s="35">
        <f t="shared" si="23"/>
        <v>0.30000000000000004</v>
      </c>
      <c r="AZ7" s="23">
        <f t="shared" ca="1" si="24"/>
        <v>0.2</v>
      </c>
      <c r="BA7" s="36">
        <f t="shared" si="25"/>
        <v>0.7350000000000001</v>
      </c>
      <c r="BB7" s="27">
        <f t="shared" ca="1" si="38"/>
        <v>0.49000000000000005</v>
      </c>
      <c r="BC7" s="23">
        <f t="shared" ca="1" si="39"/>
        <v>-1.7000000000000002</v>
      </c>
      <c r="BE7" s="8" t="s">
        <v>29</v>
      </c>
      <c r="BF7" s="9" t="s">
        <v>8</v>
      </c>
      <c r="BG7" s="10">
        <f>IF(MAX(AP4:AP28)=0," ",2*MAX(AP4:AP28))</f>
        <v>24.28</v>
      </c>
    </row>
    <row r="8" spans="1:60" x14ac:dyDescent="0.25">
      <c r="A8" s="20">
        <f>Tools!$AD7</f>
        <v>2</v>
      </c>
      <c r="B8" s="33">
        <f t="shared" si="0"/>
        <v>1.5</v>
      </c>
      <c r="C8" s="22">
        <f>IF(A8="  ","  ",IF(AND(A7="  ",A9="  "),"?",IF(A7="  ",1*(A9-A8),IF(A9="  ",1*(A8-A7),1*(A9-A7)))))</f>
        <v>1.5</v>
      </c>
      <c r="D8" s="23">
        <f t="shared" si="26"/>
        <v>2.25</v>
      </c>
      <c r="E8" s="24">
        <f t="shared" si="1"/>
        <v>-8</v>
      </c>
      <c r="F8" s="23">
        <f t="shared" si="27"/>
        <v>-18</v>
      </c>
      <c r="G8" s="23">
        <f t="shared" si="28"/>
        <v>144</v>
      </c>
      <c r="H8" s="23">
        <f t="shared" si="29"/>
        <v>3.375</v>
      </c>
      <c r="I8" s="23">
        <f t="shared" si="30"/>
        <v>5.0625</v>
      </c>
      <c r="J8" s="4"/>
      <c r="K8" s="37">
        <f t="shared" si="2"/>
        <v>3.7680000000000002</v>
      </c>
      <c r="L8" s="23">
        <f t="shared" si="31"/>
        <v>5.6520000000000001</v>
      </c>
      <c r="M8" s="38">
        <f t="shared" si="3"/>
        <v>7.2430800000000009</v>
      </c>
      <c r="N8" s="27">
        <f t="shared" si="32"/>
        <v>10.864620000000002</v>
      </c>
      <c r="O8" s="23">
        <f t="shared" si="33"/>
        <v>-45.216000000000001</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3</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1.5</v>
      </c>
      <c r="AQ8" s="34" t="str">
        <f t="shared" ca="1" si="18"/>
        <v>(1/2)*(1/3)+1/3</v>
      </c>
      <c r="AR8" s="23">
        <f t="shared" ca="1" si="19"/>
        <v>0.75</v>
      </c>
      <c r="AS8" s="24">
        <f t="shared" si="20"/>
        <v>-8</v>
      </c>
      <c r="AT8" s="23">
        <f t="shared" ca="1" si="37"/>
        <v>-6</v>
      </c>
      <c r="AU8" s="23">
        <f t="shared" ca="1" si="40"/>
        <v>48</v>
      </c>
      <c r="AV8" s="23">
        <f t="shared" si="21"/>
        <v>3.375</v>
      </c>
      <c r="AW8" s="23">
        <f t="shared" ca="1" si="22"/>
        <v>1.6875</v>
      </c>
      <c r="AY8" s="35">
        <f t="shared" si="23"/>
        <v>3.7680000000000002</v>
      </c>
      <c r="AZ8" s="23">
        <f ca="1">IFERROR(AY8*AM8,"  ")</f>
        <v>1.8840000000000001</v>
      </c>
      <c r="BA8" s="36">
        <f t="shared" si="25"/>
        <v>7.2430800000000009</v>
      </c>
      <c r="BB8" s="27">
        <f t="shared" ca="1" si="38"/>
        <v>3.6215400000000004</v>
      </c>
      <c r="BC8" s="23">
        <f t="shared" ca="1" si="39"/>
        <v>-15.072000000000001</v>
      </c>
      <c r="BE8" s="8" t="s">
        <v>30</v>
      </c>
      <c r="BF8" s="9" t="s">
        <v>8</v>
      </c>
      <c r="BG8" s="10">
        <f ca="1">LBP-AJ33</f>
        <v>125.11499999999999</v>
      </c>
      <c r="BH8" t="str">
        <f ca="1">IF(AJ33&gt;0,CONCATENATE("(LWL is assumed between stations ",$AH$31," and ",$AH$33," as offset values extreme to these stations are zeros.)"),"")</f>
        <v>(LWL is assumed between stations 1 and 20 as offset values extreme to these stations are zeros.)</v>
      </c>
    </row>
    <row r="9" spans="1:60" x14ac:dyDescent="0.25">
      <c r="A9" s="20">
        <f>Tools!$AD8</f>
        <v>3</v>
      </c>
      <c r="B9" s="33">
        <f t="shared" si="0"/>
        <v>2.7</v>
      </c>
      <c r="C9" s="22">
        <f>IF(A9="  ","  ",IF(AND(A8="  ",A10="  "),"?",IF(A8="  ",2*(A10-A9),IF(A10="  ",2*(A9-A8),2*(A10-A8)))))</f>
        <v>4</v>
      </c>
      <c r="D9" s="23">
        <f t="shared" si="26"/>
        <v>10.8</v>
      </c>
      <c r="E9" s="24">
        <f t="shared" si="1"/>
        <v>-7</v>
      </c>
      <c r="F9" s="23">
        <f t="shared" si="27"/>
        <v>-75.600000000000009</v>
      </c>
      <c r="G9" s="23">
        <f t="shared" si="28"/>
        <v>529.20000000000005</v>
      </c>
      <c r="H9" s="23">
        <f t="shared" si="29"/>
        <v>19.683000000000003</v>
      </c>
      <c r="I9" s="23">
        <f t="shared" si="30"/>
        <v>78.732000000000014</v>
      </c>
      <c r="J9" s="4"/>
      <c r="K9" s="37">
        <f t="shared" si="2"/>
        <v>10.026</v>
      </c>
      <c r="L9" s="23">
        <f t="shared" si="31"/>
        <v>40.103999999999999</v>
      </c>
      <c r="M9" s="38">
        <f t="shared" si="3"/>
        <v>16.24455</v>
      </c>
      <c r="N9" s="27">
        <f t="shared" si="32"/>
        <v>64.978200000000001</v>
      </c>
      <c r="O9" s="23">
        <f t="shared" si="33"/>
        <v>-280.72800000000001</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4</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2.7</v>
      </c>
      <c r="AQ9" s="34" t="str">
        <f t="shared" ca="1" si="18"/>
        <v>4/3</v>
      </c>
      <c r="AR9" s="23">
        <f t="shared" ca="1" si="19"/>
        <v>3.6</v>
      </c>
      <c r="AS9" s="24">
        <f t="shared" si="20"/>
        <v>-7</v>
      </c>
      <c r="AT9" s="23">
        <f t="shared" ca="1" si="37"/>
        <v>-25.2</v>
      </c>
      <c r="AU9" s="23">
        <f t="shared" ca="1" si="40"/>
        <v>176.4</v>
      </c>
      <c r="AV9" s="23">
        <f t="shared" si="21"/>
        <v>19.683000000000003</v>
      </c>
      <c r="AW9" s="23">
        <f t="shared" ca="1" si="22"/>
        <v>26.244000000000003</v>
      </c>
      <c r="AY9" s="35">
        <f t="shared" si="23"/>
        <v>10.026</v>
      </c>
      <c r="AZ9" s="23">
        <f t="shared" ref="AZ9:AZ28" ca="1" si="41">IFERROR(AY9*AM9,"  ")</f>
        <v>13.367999999999999</v>
      </c>
      <c r="BA9" s="36">
        <f t="shared" si="25"/>
        <v>16.24455</v>
      </c>
      <c r="BB9" s="27">
        <f t="shared" ca="1" si="38"/>
        <v>21.659399999999998</v>
      </c>
      <c r="BC9" s="23">
        <f t="shared" ca="1" si="39"/>
        <v>-93.575999999999993</v>
      </c>
    </row>
    <row r="10" spans="1:60" x14ac:dyDescent="0.25">
      <c r="A10" s="20">
        <f>Tools!$AD9</f>
        <v>4</v>
      </c>
      <c r="B10" s="33">
        <f t="shared" si="0"/>
        <v>4.8</v>
      </c>
      <c r="C10" s="22">
        <f>IF(A10="  ","  ",IF(AND(A9="  ",A11="  "),"?",IF(A9="  ",1*(A11-A10),IF(A11="  ",1*(A10-A9),1*(A11-A9)))))</f>
        <v>2</v>
      </c>
      <c r="D10" s="23">
        <f t="shared" si="26"/>
        <v>9.6</v>
      </c>
      <c r="E10" s="24">
        <f t="shared" si="1"/>
        <v>-6</v>
      </c>
      <c r="F10" s="23">
        <f t="shared" si="27"/>
        <v>-57.599999999999994</v>
      </c>
      <c r="G10" s="23">
        <f t="shared" si="28"/>
        <v>345.59999999999997</v>
      </c>
      <c r="H10" s="23">
        <f t="shared" si="29"/>
        <v>110.592</v>
      </c>
      <c r="I10" s="23">
        <f>IFERROR(H10*C10,"  ")</f>
        <v>221.184</v>
      </c>
      <c r="J10" s="4"/>
      <c r="K10" s="37">
        <f t="shared" si="2"/>
        <v>18.516000000000002</v>
      </c>
      <c r="L10" s="23">
        <f t="shared" si="31"/>
        <v>37.032000000000004</v>
      </c>
      <c r="M10" s="38">
        <f t="shared" si="3"/>
        <v>29.180250000000001</v>
      </c>
      <c r="N10" s="27">
        <f t="shared" si="32"/>
        <v>58.360500000000002</v>
      </c>
      <c r="O10" s="23">
        <f t="shared" si="33"/>
        <v>-222.19200000000001</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5</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4.8</v>
      </c>
      <c r="AQ10" s="34" t="str">
        <f t="shared" ca="1" si="18"/>
        <v>2/3</v>
      </c>
      <c r="AR10" s="23">
        <f t="shared" ca="1" si="19"/>
        <v>3.1999999999999997</v>
      </c>
      <c r="AS10" s="24">
        <f t="shared" si="20"/>
        <v>-6</v>
      </c>
      <c r="AT10" s="23">
        <f t="shared" ca="1" si="37"/>
        <v>-19.2</v>
      </c>
      <c r="AU10" s="23">
        <f ca="1">IFERROR(AT10*AS10,"  ")</f>
        <v>115.19999999999999</v>
      </c>
      <c r="AV10" s="23">
        <f t="shared" si="21"/>
        <v>110.592</v>
      </c>
      <c r="AW10" s="23">
        <f t="shared" ca="1" si="22"/>
        <v>73.727999999999994</v>
      </c>
      <c r="AY10" s="35">
        <f t="shared" si="23"/>
        <v>18.516000000000002</v>
      </c>
      <c r="AZ10" s="23">
        <f t="shared" ca="1" si="41"/>
        <v>12.344000000000001</v>
      </c>
      <c r="BA10" s="36">
        <f t="shared" si="25"/>
        <v>29.180250000000001</v>
      </c>
      <c r="BB10" s="27">
        <f t="shared" ca="1" si="38"/>
        <v>19.453499999999998</v>
      </c>
      <c r="BC10" s="23">
        <f t="shared" ca="1" si="39"/>
        <v>-74.064000000000007</v>
      </c>
      <c r="BE10" s="43" t="s">
        <v>31</v>
      </c>
      <c r="BF10" s="44" t="s">
        <v>32</v>
      </c>
      <c r="BG10" s="506" t="s">
        <v>33</v>
      </c>
    </row>
    <row r="11" spans="1:60" x14ac:dyDescent="0.25">
      <c r="A11" s="20">
        <f>Tools!$AD10</f>
        <v>5</v>
      </c>
      <c r="B11" s="33">
        <f t="shared" si="0"/>
        <v>7.37</v>
      </c>
      <c r="C11" s="22">
        <f>IF(A11="  ","  ",IF(AND(A10="  ",A12="  "),"?",IF(A10="  ",2*(A12-A11),IF(A12="  ",2*(A11-A10),2*(A12-A10)))))</f>
        <v>4</v>
      </c>
      <c r="D11" s="23">
        <f t="shared" si="26"/>
        <v>29.48</v>
      </c>
      <c r="E11" s="24">
        <f t="shared" si="1"/>
        <v>-5</v>
      </c>
      <c r="F11" s="23">
        <f t="shared" si="27"/>
        <v>-147.4</v>
      </c>
      <c r="G11" s="23">
        <f t="shared" si="28"/>
        <v>737</v>
      </c>
      <c r="H11" s="23">
        <f t="shared" si="29"/>
        <v>400.31555300000002</v>
      </c>
      <c r="I11" s="23">
        <f t="shared" si="30"/>
        <v>1601.2622120000001</v>
      </c>
      <c r="J11" s="4"/>
      <c r="K11" s="37">
        <f t="shared" si="2"/>
        <v>27.997499999999999</v>
      </c>
      <c r="L11" s="23">
        <f t="shared" si="31"/>
        <v>111.99</v>
      </c>
      <c r="M11" s="38">
        <f t="shared" si="3"/>
        <v>44.009325000000004</v>
      </c>
      <c r="N11" s="27">
        <f t="shared" si="32"/>
        <v>176.03730000000002</v>
      </c>
      <c r="O11" s="23">
        <f t="shared" si="33"/>
        <v>-559.94999999999993</v>
      </c>
      <c r="P11" s="4"/>
      <c r="Q11" s="47" t="s">
        <v>34</v>
      </c>
      <c r="R11" s="48" t="s">
        <v>35</v>
      </c>
      <c r="S11">
        <f>IF(Tools!$L$49="Use 141 rule only",I35,IF(Tools!$L$49="Use 141 and 1331 rules",BG12," "))</f>
        <v>1833.2859499999995</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6</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7.37</v>
      </c>
      <c r="AQ11" s="34" t="str">
        <f t="shared" ca="1" si="18"/>
        <v>4/3</v>
      </c>
      <c r="AR11" s="23">
        <f t="shared" ca="1" si="19"/>
        <v>9.8266666666666662</v>
      </c>
      <c r="AS11" s="24">
        <f t="shared" si="20"/>
        <v>-5</v>
      </c>
      <c r="AT11" s="23">
        <f t="shared" ca="1" si="37"/>
        <v>-49.133333333333333</v>
      </c>
      <c r="AU11" s="23">
        <f t="shared" ca="1" si="40"/>
        <v>245.66666666666666</v>
      </c>
      <c r="AV11" s="23">
        <f t="shared" si="21"/>
        <v>400.31555300000002</v>
      </c>
      <c r="AW11" s="23">
        <f t="shared" ca="1" si="22"/>
        <v>533.75407066666662</v>
      </c>
      <c r="AY11" s="35">
        <f t="shared" si="23"/>
        <v>27.997499999999999</v>
      </c>
      <c r="AZ11" s="23">
        <f t="shared" ca="1" si="41"/>
        <v>37.33</v>
      </c>
      <c r="BA11" s="36">
        <f t="shared" si="25"/>
        <v>44.009325000000004</v>
      </c>
      <c r="BB11" s="27">
        <f t="shared" ca="1" si="38"/>
        <v>58.679100000000005</v>
      </c>
      <c r="BC11" s="23">
        <f ca="1">IFERROR(AZ11*AS11,"  ")</f>
        <v>-186.64999999999998</v>
      </c>
      <c r="BE11" s="45"/>
      <c r="BF11" s="46"/>
      <c r="BG11" s="507"/>
    </row>
    <row r="12" spans="1:60" x14ac:dyDescent="0.25">
      <c r="A12" s="20">
        <f>Tools!$AD11</f>
        <v>6</v>
      </c>
      <c r="B12" s="33">
        <f t="shared" si="0"/>
        <v>9.82</v>
      </c>
      <c r="C12" s="22">
        <f>IF(A12="  ","  ",IF(AND(A11="  ",A13="  "),"?",IF(A11="  ",1*(A13-A12),IF(A13="  ",1*(A12-A11),1*(A13-A11)))))</f>
        <v>2</v>
      </c>
      <c r="D12" s="23">
        <f t="shared" si="26"/>
        <v>19.64</v>
      </c>
      <c r="E12" s="24">
        <f t="shared" si="1"/>
        <v>-4</v>
      </c>
      <c r="F12" s="23">
        <f t="shared" si="27"/>
        <v>-78.56</v>
      </c>
      <c r="G12" s="23">
        <f t="shared" si="28"/>
        <v>314.24</v>
      </c>
      <c r="H12" s="23">
        <f t="shared" si="29"/>
        <v>946.96616800000004</v>
      </c>
      <c r="I12" s="23">
        <f t="shared" si="30"/>
        <v>1893.9323360000001</v>
      </c>
      <c r="J12" s="4"/>
      <c r="K12" s="37">
        <f t="shared" si="2"/>
        <v>38.168999999999997</v>
      </c>
      <c r="L12" s="23">
        <f t="shared" si="31"/>
        <v>76.337999999999994</v>
      </c>
      <c r="M12" s="38">
        <f t="shared" si="3"/>
        <v>59.826600000000013</v>
      </c>
      <c r="N12" s="27">
        <f t="shared" si="32"/>
        <v>119.65320000000003</v>
      </c>
      <c r="O12" s="23">
        <f t="shared" si="33"/>
        <v>-305.35199999999998</v>
      </c>
      <c r="P12" s="4"/>
      <c r="Q12" s="47" t="s">
        <v>36</v>
      </c>
      <c r="R12" s="48" t="s">
        <v>37</v>
      </c>
      <c r="S12">
        <f>IF(Tools!$L$49="Use 141 rule only",I36,IF(Tools!$L$49="Use 141 and 1331 rules",BG13," "))</f>
        <v>3678.562087499995</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7</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9.82</v>
      </c>
      <c r="AQ12" s="34" t="str">
        <f t="shared" ca="1" si="18"/>
        <v>2/3</v>
      </c>
      <c r="AR12" s="23">
        <f t="shared" ca="1" si="19"/>
        <v>6.5466666666666669</v>
      </c>
      <c r="AS12" s="24">
        <f t="shared" si="20"/>
        <v>-4</v>
      </c>
      <c r="AT12" s="23">
        <f t="shared" ca="1" si="37"/>
        <v>-26.186666666666667</v>
      </c>
      <c r="AU12" s="23">
        <f t="shared" ca="1" si="40"/>
        <v>104.74666666666667</v>
      </c>
      <c r="AV12" s="23">
        <f t="shared" si="21"/>
        <v>946.96616800000004</v>
      </c>
      <c r="AW12" s="23">
        <f t="shared" ca="1" si="22"/>
        <v>631.31077866666669</v>
      </c>
      <c r="AY12" s="35">
        <f t="shared" si="23"/>
        <v>38.168999999999997</v>
      </c>
      <c r="AZ12" s="23">
        <f t="shared" ca="1" si="41"/>
        <v>25.445999999999998</v>
      </c>
      <c r="BA12" s="36">
        <f t="shared" si="25"/>
        <v>59.826600000000013</v>
      </c>
      <c r="BB12" s="27">
        <f t="shared" ca="1" si="38"/>
        <v>39.884400000000007</v>
      </c>
      <c r="BC12" s="23">
        <f t="shared" ca="1" si="39"/>
        <v>-101.78399999999999</v>
      </c>
      <c r="BE12" s="47" t="s">
        <v>34</v>
      </c>
      <c r="BF12" s="48" t="s">
        <v>38</v>
      </c>
      <c r="BG12" s="49">
        <f ca="1">IF(WL_No="  ","  ",2*h*$AR$29)</f>
        <v>1833.2859499999995</v>
      </c>
    </row>
    <row r="13" spans="1:60" x14ac:dyDescent="0.25">
      <c r="A13" s="20">
        <f>Tools!$AD12</f>
        <v>7</v>
      </c>
      <c r="B13" s="33">
        <f t="shared" si="0"/>
        <v>11.25</v>
      </c>
      <c r="C13" s="22">
        <f>IF(A13="  ","  ",IF(AND(A12="  ",A14="  "),"?",IF(A12="  ",2*(A14-A13),IF(A14="  ",2*(A13-A12),2*(A14-A12)))))</f>
        <v>4</v>
      </c>
      <c r="D13" s="23">
        <f t="shared" si="26"/>
        <v>45</v>
      </c>
      <c r="E13" s="24">
        <f t="shared" si="1"/>
        <v>-3</v>
      </c>
      <c r="F13" s="23">
        <f t="shared" si="27"/>
        <v>-135</v>
      </c>
      <c r="G13" s="23">
        <f t="shared" si="28"/>
        <v>405</v>
      </c>
      <c r="H13" s="23">
        <f t="shared" si="29"/>
        <v>1423.828125</v>
      </c>
      <c r="I13" s="23">
        <f t="shared" si="30"/>
        <v>5695.3125</v>
      </c>
      <c r="J13" s="4"/>
      <c r="K13" s="37">
        <f t="shared" si="2"/>
        <v>48.061499999999995</v>
      </c>
      <c r="L13" s="23">
        <f t="shared" si="31"/>
        <v>192.24599999999998</v>
      </c>
      <c r="M13" s="38">
        <f t="shared" si="3"/>
        <v>73.031624999999991</v>
      </c>
      <c r="N13" s="27">
        <f t="shared" si="32"/>
        <v>292.12649999999996</v>
      </c>
      <c r="O13" s="23">
        <f t="shared" si="33"/>
        <v>-576.73799999999994</v>
      </c>
      <c r="P13" s="4"/>
      <c r="Q13" s="50" t="s">
        <v>39</v>
      </c>
      <c r="R13" s="48" t="s">
        <v>40</v>
      </c>
      <c r="S13">
        <f>IF(Tools!$L$49="Use 141 rule only",I37,IF(Tools!$L$49="Use 141 and 1331 rules",BG14," "))</f>
        <v>2.0065402713090097</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8</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11.25</v>
      </c>
      <c r="AQ13" s="34" t="str">
        <f t="shared" ca="1" si="18"/>
        <v>4/3</v>
      </c>
      <c r="AR13" s="23">
        <f t="shared" ca="1" si="19"/>
        <v>15</v>
      </c>
      <c r="AS13" s="24">
        <f t="shared" si="20"/>
        <v>-3</v>
      </c>
      <c r="AT13" s="23">
        <f t="shared" ca="1" si="37"/>
        <v>-45</v>
      </c>
      <c r="AU13" s="23">
        <f t="shared" ca="1" si="40"/>
        <v>135</v>
      </c>
      <c r="AV13" s="23">
        <f t="shared" si="21"/>
        <v>1423.828125</v>
      </c>
      <c r="AW13" s="23">
        <f t="shared" ca="1" si="22"/>
        <v>1898.4375</v>
      </c>
      <c r="AY13" s="35">
        <f t="shared" si="23"/>
        <v>48.061499999999995</v>
      </c>
      <c r="AZ13" s="23">
        <f t="shared" ca="1" si="41"/>
        <v>64.081999999999994</v>
      </c>
      <c r="BA13" s="36">
        <f t="shared" si="25"/>
        <v>73.031624999999991</v>
      </c>
      <c r="BB13" s="27">
        <f t="shared" ca="1" si="38"/>
        <v>97.375499999999988</v>
      </c>
      <c r="BC13" s="23">
        <f t="shared" ca="1" si="39"/>
        <v>-192.24599999999998</v>
      </c>
      <c r="BE13" s="47" t="s">
        <v>36</v>
      </c>
      <c r="BF13" s="48" t="s">
        <v>41</v>
      </c>
      <c r="BG13" s="49">
        <f ca="1">IF(WL_No="  ","  ",2*(h^2)*$AT$29)</f>
        <v>3678.5620874999959</v>
      </c>
    </row>
    <row r="14" spans="1:60" x14ac:dyDescent="0.25">
      <c r="A14" s="20">
        <f>Tools!$AD13</f>
        <v>8</v>
      </c>
      <c r="B14" s="33">
        <f t="shared" si="0"/>
        <v>11.9</v>
      </c>
      <c r="C14" s="22">
        <f>IF(A14="  ","  ",IF(AND(A13="  ",A15="  "),"?",IF(A13="  ",1*(A15-A14),IF(A15="  ",1*(A14-A13),1*(A15-A13)))))</f>
        <v>2</v>
      </c>
      <c r="D14" s="23">
        <f t="shared" si="26"/>
        <v>23.8</v>
      </c>
      <c r="E14" s="24">
        <f t="shared" si="1"/>
        <v>-2</v>
      </c>
      <c r="F14" s="23">
        <f t="shared" si="27"/>
        <v>-47.6</v>
      </c>
      <c r="G14" s="23">
        <f t="shared" si="28"/>
        <v>95.2</v>
      </c>
      <c r="H14" s="23">
        <f t="shared" si="29"/>
        <v>1685.1590000000001</v>
      </c>
      <c r="I14" s="23">
        <f t="shared" si="30"/>
        <v>3370.3180000000002</v>
      </c>
      <c r="J14" s="4"/>
      <c r="K14" s="37">
        <f t="shared" si="2"/>
        <v>55.390500000000003</v>
      </c>
      <c r="L14" s="23">
        <f t="shared" si="31"/>
        <v>110.78100000000001</v>
      </c>
      <c r="M14" s="38">
        <f t="shared" si="3"/>
        <v>81.083025000000006</v>
      </c>
      <c r="N14" s="27">
        <f t="shared" si="32"/>
        <v>162.16605000000001</v>
      </c>
      <c r="O14" s="23">
        <f t="shared" si="33"/>
        <v>-221.56200000000001</v>
      </c>
      <c r="P14" s="4"/>
      <c r="Q14" s="50" t="s">
        <v>42</v>
      </c>
      <c r="R14" s="48" t="s">
        <v>43</v>
      </c>
      <c r="S14">
        <f>IF(Tools!$L$49="Use 141 rule only",I38,IF(Tools!$L$49="Use 141 and 1331 rules",BG15," "))</f>
        <v>1225088.5581777706</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9</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11.9</v>
      </c>
      <c r="AQ14" s="34" t="str">
        <f t="shared" ca="1" si="18"/>
        <v>2/3</v>
      </c>
      <c r="AR14" s="23">
        <f t="shared" ca="1" si="19"/>
        <v>7.9333333333333336</v>
      </c>
      <c r="AS14" s="24">
        <f t="shared" si="20"/>
        <v>-2</v>
      </c>
      <c r="AT14" s="23">
        <f t="shared" ca="1" si="37"/>
        <v>-15.866666666666667</v>
      </c>
      <c r="AU14" s="23">
        <f t="shared" ca="1" si="40"/>
        <v>31.733333333333334</v>
      </c>
      <c r="AV14" s="23">
        <f t="shared" si="21"/>
        <v>1685.1590000000001</v>
      </c>
      <c r="AW14" s="23">
        <f t="shared" ca="1" si="22"/>
        <v>1123.4393333333333</v>
      </c>
      <c r="AY14" s="35">
        <f t="shared" si="23"/>
        <v>55.390500000000003</v>
      </c>
      <c r="AZ14" s="23">
        <f t="shared" ca="1" si="41"/>
        <v>36.927</v>
      </c>
      <c r="BA14" s="36">
        <f t="shared" si="25"/>
        <v>81.083025000000006</v>
      </c>
      <c r="BB14" s="27">
        <f t="shared" ca="1" si="38"/>
        <v>54.055350000000004</v>
      </c>
      <c r="BC14" s="23">
        <f t="shared" ca="1" si="39"/>
        <v>-73.853999999999999</v>
      </c>
      <c r="BE14" s="50" t="s">
        <v>39</v>
      </c>
      <c r="BF14" s="48" t="s">
        <v>40</v>
      </c>
      <c r="BG14" s="49">
        <f>IF(WL_No="  ","  ",Mmid/AWP)</f>
        <v>2.0065402713090097</v>
      </c>
    </row>
    <row r="15" spans="1:60" x14ac:dyDescent="0.25">
      <c r="A15" s="20">
        <f>Tools!$AD14</f>
        <v>9</v>
      </c>
      <c r="B15" s="33">
        <f t="shared" si="0"/>
        <v>12.12</v>
      </c>
      <c r="C15" s="22">
        <f>IF(A15="  ","  ",IF(AND(A14="  ",A16="  "),"?",IF(A14="  ",2*(A16-A15),IF(A16="  ",2*(A15-A14),2*(A16-A14)))))</f>
        <v>4</v>
      </c>
      <c r="D15" s="23">
        <f t="shared" si="26"/>
        <v>48.48</v>
      </c>
      <c r="E15" s="24">
        <f t="shared" si="1"/>
        <v>-1</v>
      </c>
      <c r="F15" s="23">
        <f t="shared" si="27"/>
        <v>-48.48</v>
      </c>
      <c r="G15" s="23">
        <f t="shared" si="28"/>
        <v>48.48</v>
      </c>
      <c r="H15" s="23">
        <f t="shared" si="29"/>
        <v>1780.3601279999998</v>
      </c>
      <c r="I15" s="23">
        <f t="shared" si="30"/>
        <v>7121.4405119999992</v>
      </c>
      <c r="J15" s="4"/>
      <c r="K15" s="37">
        <f t="shared" si="2"/>
        <v>58.445999999999998</v>
      </c>
      <c r="L15" s="23">
        <f t="shared" si="31"/>
        <v>233.78399999999999</v>
      </c>
      <c r="M15" s="38">
        <f t="shared" si="3"/>
        <v>84.02940000000001</v>
      </c>
      <c r="N15" s="27">
        <f t="shared" si="32"/>
        <v>336.11760000000004</v>
      </c>
      <c r="O15" s="23">
        <f t="shared" si="33"/>
        <v>-233.78399999999999</v>
      </c>
      <c r="P15" s="4"/>
      <c r="Q15" s="51" t="s">
        <v>44</v>
      </c>
      <c r="R15" s="48" t="s">
        <v>45</v>
      </c>
      <c r="S15">
        <f>IF(Tools!$L$49="Use 141 rule only",I39,IF(Tools!$L$49="Use 141 and 1331 rules",BG16," "))</f>
        <v>62290.377416821662</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10</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12.12</v>
      </c>
      <c r="AQ15" s="34" t="str">
        <f t="shared" ca="1" si="18"/>
        <v>4/3</v>
      </c>
      <c r="AR15" s="23">
        <f t="shared" ca="1" si="19"/>
        <v>16.159999999999997</v>
      </c>
      <c r="AS15" s="24">
        <f t="shared" si="20"/>
        <v>-1</v>
      </c>
      <c r="AT15" s="23">
        <f t="shared" ca="1" si="37"/>
        <v>-16.159999999999997</v>
      </c>
      <c r="AU15" s="23">
        <f t="shared" ca="1" si="40"/>
        <v>16.159999999999997</v>
      </c>
      <c r="AV15" s="23">
        <f t="shared" si="21"/>
        <v>1780.3601279999998</v>
      </c>
      <c r="AW15" s="23">
        <f t="shared" ca="1" si="22"/>
        <v>2373.8135039999997</v>
      </c>
      <c r="AY15" s="35">
        <f t="shared" si="23"/>
        <v>58.445999999999998</v>
      </c>
      <c r="AZ15" s="23">
        <f t="shared" ca="1" si="41"/>
        <v>77.927999999999997</v>
      </c>
      <c r="BA15" s="36">
        <f t="shared" si="25"/>
        <v>84.02940000000001</v>
      </c>
      <c r="BB15" s="27">
        <f ca="1">IFERROR(BA15*AM15,"  ")</f>
        <v>112.03920000000001</v>
      </c>
      <c r="BC15" s="23">
        <f t="shared" ca="1" si="39"/>
        <v>-77.927999999999997</v>
      </c>
      <c r="BE15" s="50" t="s">
        <v>42</v>
      </c>
      <c r="BF15" s="48" t="s">
        <v>46</v>
      </c>
      <c r="BG15" s="49">
        <f ca="1">IF(WL_No="  ","  ",2*(h^3)*$AU$29)</f>
        <v>1225088.5581777703</v>
      </c>
    </row>
    <row r="16" spans="1:60" x14ac:dyDescent="0.25">
      <c r="A16" s="20">
        <f>Tools!$AD15</f>
        <v>10</v>
      </c>
      <c r="B16" s="33">
        <f t="shared" si="0"/>
        <v>12.14</v>
      </c>
      <c r="C16" s="22">
        <f>IF(A16="  ","  ",IF(AND(A15="  ",A17="  "),"?",IF(A15="  ",1*(A17-A16),IF(A17="  ",1*(A16-A15),1*(A17-A15)))))</f>
        <v>2</v>
      </c>
      <c r="D16" s="23">
        <f t="shared" si="26"/>
        <v>24.28</v>
      </c>
      <c r="E16" s="24">
        <f t="shared" si="1"/>
        <v>0</v>
      </c>
      <c r="F16" s="23">
        <f t="shared" si="27"/>
        <v>0</v>
      </c>
      <c r="G16" s="23">
        <f t="shared" si="28"/>
        <v>0</v>
      </c>
      <c r="H16" s="23">
        <f t="shared" si="29"/>
        <v>1789.1883440000001</v>
      </c>
      <c r="I16" s="23">
        <f t="shared" si="30"/>
        <v>3578.3766880000003</v>
      </c>
      <c r="J16" s="4"/>
      <c r="K16" s="37">
        <f t="shared" si="2"/>
        <v>59.443499999999993</v>
      </c>
      <c r="L16" s="23">
        <f t="shared" si="31"/>
        <v>118.88699999999999</v>
      </c>
      <c r="M16" s="38">
        <f t="shared" si="3"/>
        <v>84.517425000000017</v>
      </c>
      <c r="N16" s="27">
        <f t="shared" si="32"/>
        <v>169.03485000000003</v>
      </c>
      <c r="O16" s="23">
        <f t="shared" si="33"/>
        <v>0</v>
      </c>
      <c r="P16" s="4"/>
      <c r="Q16" s="50" t="s">
        <v>47</v>
      </c>
      <c r="R16" s="48" t="s">
        <v>48</v>
      </c>
      <c r="S16">
        <f>IF(Tools!$L$49="Use 141 rule only",I40,IF(Tools!$L$49="Use 141 and 1331 rules",BG17," "))</f>
        <v>1217707.3752086912</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11</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12.14</v>
      </c>
      <c r="AQ16" s="34" t="str">
        <f t="shared" ca="1" si="18"/>
        <v>2/3</v>
      </c>
      <c r="AR16" s="23">
        <f t="shared" ca="1" si="19"/>
        <v>8.0933333333333337</v>
      </c>
      <c r="AS16" s="24">
        <f t="shared" si="20"/>
        <v>0</v>
      </c>
      <c r="AT16" s="23">
        <f t="shared" ca="1" si="37"/>
        <v>0</v>
      </c>
      <c r="AU16" s="23">
        <f t="shared" ca="1" si="40"/>
        <v>0</v>
      </c>
      <c r="AV16" s="23">
        <f t="shared" si="21"/>
        <v>1789.1883440000001</v>
      </c>
      <c r="AW16" s="23">
        <f t="shared" ca="1" si="22"/>
        <v>1192.7922293333334</v>
      </c>
      <c r="AY16" s="35">
        <f t="shared" si="23"/>
        <v>59.443499999999993</v>
      </c>
      <c r="AZ16" s="23">
        <f t="shared" ca="1" si="41"/>
        <v>39.628999999999991</v>
      </c>
      <c r="BA16" s="36">
        <f t="shared" si="25"/>
        <v>84.517425000000017</v>
      </c>
      <c r="BB16" s="27">
        <f t="shared" ca="1" si="38"/>
        <v>56.344950000000011</v>
      </c>
      <c r="BC16" s="23">
        <f ca="1">IFERROR(AZ16*AS16,"  ")</f>
        <v>0</v>
      </c>
      <c r="BE16" s="51" t="s">
        <v>44</v>
      </c>
      <c r="BF16" s="48" t="s">
        <v>49</v>
      </c>
      <c r="BG16" s="49">
        <f ca="1">IF(WL_No="  ","  ",2/3*h*$AW$29)</f>
        <v>62290.377416821655</v>
      </c>
    </row>
    <row r="17" spans="1:59" x14ac:dyDescent="0.25">
      <c r="A17" s="20">
        <f>Tools!$AD16</f>
        <v>11</v>
      </c>
      <c r="B17" s="33">
        <f t="shared" si="0"/>
        <v>12.04</v>
      </c>
      <c r="C17" s="22">
        <f>IF(A17="  ","  ",IF(AND(A16="  ",A18="  "),"?",IF(A16="  ",2*(A18-A17),IF(A18="  ",2*(A17-A16),2*(A18-A16)))))</f>
        <v>4</v>
      </c>
      <c r="D17" s="23">
        <f t="shared" si="26"/>
        <v>48.16</v>
      </c>
      <c r="E17" s="24">
        <f t="shared" si="1"/>
        <v>1</v>
      </c>
      <c r="F17" s="23">
        <f t="shared" si="27"/>
        <v>48.16</v>
      </c>
      <c r="G17" s="23">
        <f t="shared" si="28"/>
        <v>48.16</v>
      </c>
      <c r="H17" s="23">
        <f t="shared" si="29"/>
        <v>1745.3376639999997</v>
      </c>
      <c r="I17" s="23">
        <f t="shared" si="30"/>
        <v>6981.3506559999987</v>
      </c>
      <c r="J17" s="4"/>
      <c r="K17" s="37">
        <f t="shared" si="2"/>
        <v>58.98899999999999</v>
      </c>
      <c r="L17" s="23">
        <f t="shared" si="31"/>
        <v>235.95599999999996</v>
      </c>
      <c r="M17" s="38">
        <f t="shared" si="3"/>
        <v>83.600099999999998</v>
      </c>
      <c r="N17" s="27">
        <f t="shared" si="32"/>
        <v>334.40039999999999</v>
      </c>
      <c r="O17" s="23">
        <f t="shared" si="33"/>
        <v>235.95599999999996</v>
      </c>
      <c r="P17" s="4"/>
      <c r="Q17" s="50" t="s">
        <v>50</v>
      </c>
      <c r="R17" s="48" t="s">
        <v>51</v>
      </c>
      <c r="S17">
        <f>IF(Tools!$L$49="Use 141 rule only",I41,IF(Tools!$L$49="Use 141 and 1331 rules",BG18," "))</f>
        <v>4029.0218237499989</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12.04</v>
      </c>
      <c r="AQ17" s="34" t="str">
        <f t="shared" ca="1" si="18"/>
        <v>4/3</v>
      </c>
      <c r="AR17" s="23">
        <f t="shared" ca="1" si="19"/>
        <v>16.053333333333331</v>
      </c>
      <c r="AS17" s="24">
        <f t="shared" si="20"/>
        <v>1</v>
      </c>
      <c r="AT17" s="23">
        <f t="shared" ca="1" si="37"/>
        <v>16.053333333333331</v>
      </c>
      <c r="AU17" s="23">
        <f t="shared" ca="1" si="40"/>
        <v>16.053333333333331</v>
      </c>
      <c r="AV17" s="23">
        <f t="shared" si="21"/>
        <v>1745.3376639999997</v>
      </c>
      <c r="AW17" s="23">
        <f t="shared" ca="1" si="22"/>
        <v>2327.1168853333329</v>
      </c>
      <c r="AY17" s="35">
        <f t="shared" si="23"/>
        <v>58.98899999999999</v>
      </c>
      <c r="AZ17" s="23">
        <f t="shared" ca="1" si="41"/>
        <v>78.651999999999987</v>
      </c>
      <c r="BA17" s="36">
        <f t="shared" si="25"/>
        <v>83.600099999999998</v>
      </c>
      <c r="BB17" s="27">
        <f t="shared" ca="1" si="38"/>
        <v>111.46679999999999</v>
      </c>
      <c r="BC17" s="23">
        <f t="shared" ca="1" si="39"/>
        <v>78.651999999999987</v>
      </c>
      <c r="BE17" s="50" t="s">
        <v>47</v>
      </c>
      <c r="BF17" s="48" t="s">
        <v>48</v>
      </c>
      <c r="BG17" s="49">
        <f>IF(WL_No="  ","  ",IL-AWP*(LCF^2))</f>
        <v>1217707.3752086912</v>
      </c>
    </row>
    <row r="18" spans="1:59" x14ac:dyDescent="0.25">
      <c r="A18" s="20">
        <f>Tools!$AD17</f>
        <v>12</v>
      </c>
      <c r="B18" s="33">
        <f t="shared" si="0"/>
        <v>11.63</v>
      </c>
      <c r="C18" s="22">
        <f>IF(A18="  ","  ",IF(AND(A17="  ",A19="  "),"?",IF(A17="  ",1*(A19-A18),IF(A19="  ",1*(A18-A17),1*(A19-A17)))))</f>
        <v>2</v>
      </c>
      <c r="D18" s="23">
        <f t="shared" si="26"/>
        <v>23.26</v>
      </c>
      <c r="E18" s="24">
        <f t="shared" si="1"/>
        <v>2</v>
      </c>
      <c r="F18" s="23">
        <f t="shared" si="27"/>
        <v>46.52</v>
      </c>
      <c r="G18" s="23">
        <f t="shared" si="28"/>
        <v>93.04</v>
      </c>
      <c r="H18" s="23">
        <f t="shared" si="29"/>
        <v>1573.0377470000005</v>
      </c>
      <c r="I18" s="23">
        <f t="shared" si="30"/>
        <v>3146.0754940000011</v>
      </c>
      <c r="J18" s="4"/>
      <c r="K18" s="37">
        <f t="shared" si="2"/>
        <v>55.876499999999993</v>
      </c>
      <c r="L18" s="23">
        <f t="shared" si="31"/>
        <v>111.75299999999999</v>
      </c>
      <c r="M18" s="38">
        <f t="shared" si="3"/>
        <v>79.80727499999999</v>
      </c>
      <c r="N18" s="27">
        <f t="shared" si="32"/>
        <v>159.61454999999998</v>
      </c>
      <c r="O18" s="23">
        <f t="shared" si="33"/>
        <v>223.50599999999997</v>
      </c>
      <c r="P18" s="4"/>
      <c r="Q18" s="50" t="s">
        <v>52</v>
      </c>
      <c r="R18" s="48" t="s">
        <v>53</v>
      </c>
      <c r="S18">
        <f>IF(Tools!$L$49="Use 141 rule only",I42,IF(Tools!$L$49="Use 141 and 1331 rules",BG19," "))</f>
        <v>4154.5258535598114</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11.63</v>
      </c>
      <c r="AQ18" s="34" t="str">
        <f t="shared" ca="1" si="18"/>
        <v>2/3</v>
      </c>
      <c r="AR18" s="23">
        <f t="shared" ca="1" si="19"/>
        <v>7.7533333333333339</v>
      </c>
      <c r="AS18" s="24">
        <f t="shared" si="20"/>
        <v>2</v>
      </c>
      <c r="AT18" s="23">
        <f t="shared" ca="1" si="37"/>
        <v>15.506666666666668</v>
      </c>
      <c r="AU18" s="23">
        <f t="shared" ca="1" si="40"/>
        <v>31.013333333333335</v>
      </c>
      <c r="AV18" s="23">
        <f t="shared" si="21"/>
        <v>1573.0377470000005</v>
      </c>
      <c r="AW18" s="23">
        <f t="shared" ca="1" si="22"/>
        <v>1048.6918313333335</v>
      </c>
      <c r="AY18" s="35">
        <f t="shared" si="23"/>
        <v>55.876499999999993</v>
      </c>
      <c r="AZ18" s="23">
        <f t="shared" ca="1" si="41"/>
        <v>37.250999999999991</v>
      </c>
      <c r="BA18" s="36">
        <f t="shared" si="25"/>
        <v>79.80727499999999</v>
      </c>
      <c r="BB18" s="27">
        <f t="shared" ca="1" si="38"/>
        <v>53.204849999999993</v>
      </c>
      <c r="BC18" s="23">
        <f t="shared" ca="1" si="39"/>
        <v>74.501999999999981</v>
      </c>
      <c r="BE18" s="50" t="s">
        <v>50</v>
      </c>
      <c r="BF18" s="48" t="s">
        <v>54</v>
      </c>
      <c r="BG18" s="49">
        <f ca="1">IF(WL_No="  ","  ",h*$AZ$29)</f>
        <v>4029.0218237499989</v>
      </c>
    </row>
    <row r="19" spans="1:59" x14ac:dyDescent="0.25">
      <c r="A19" s="20">
        <f>Tools!$AD18</f>
        <v>13</v>
      </c>
      <c r="B19" s="33">
        <f t="shared" si="0"/>
        <v>10.68</v>
      </c>
      <c r="C19" s="22">
        <f>IF(A19="  ","  ",IF(AND(A18="  ",A20="  "),"?",IF(A18="  ",2*(A20-A19),IF(A20="  ",2*(A19-A18),2*(A20-A18)))))</f>
        <v>4</v>
      </c>
      <c r="D19" s="23">
        <f t="shared" si="26"/>
        <v>42.72</v>
      </c>
      <c r="E19" s="24">
        <f t="shared" si="1"/>
        <v>3</v>
      </c>
      <c r="F19" s="23">
        <f t="shared" si="27"/>
        <v>128.16</v>
      </c>
      <c r="G19" s="23">
        <f t="shared" si="28"/>
        <v>384.48</v>
      </c>
      <c r="H19" s="23">
        <f t="shared" si="29"/>
        <v>1218.186432</v>
      </c>
      <c r="I19" s="23">
        <f t="shared" si="30"/>
        <v>4872.7457279999999</v>
      </c>
      <c r="J19" s="4"/>
      <c r="K19" s="37">
        <f t="shared" si="2"/>
        <v>49.912499999999994</v>
      </c>
      <c r="L19" s="23">
        <f t="shared" si="31"/>
        <v>199.64999999999998</v>
      </c>
      <c r="M19" s="38">
        <f t="shared" si="3"/>
        <v>72.051525000000012</v>
      </c>
      <c r="N19" s="27">
        <f t="shared" si="32"/>
        <v>288.20610000000005</v>
      </c>
      <c r="O19" s="23">
        <f t="shared" si="33"/>
        <v>598.94999999999993</v>
      </c>
      <c r="P19" s="4"/>
      <c r="Q19" s="50" t="s">
        <v>55</v>
      </c>
      <c r="R19" s="48" t="s">
        <v>56</v>
      </c>
      <c r="S19">
        <f>IF(Tools!$L$49="Use 141 rule only",I43,IF(Tools!$L$49="Use 141 and 1331 rules",BG20," "))</f>
        <v>5985.5270228558311</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10.68</v>
      </c>
      <c r="AQ19" s="34" t="str">
        <f t="shared" ca="1" si="18"/>
        <v>4/3</v>
      </c>
      <c r="AR19" s="23">
        <f t="shared" ca="1" si="19"/>
        <v>14.239999999999998</v>
      </c>
      <c r="AS19" s="24">
        <f t="shared" si="20"/>
        <v>3</v>
      </c>
      <c r="AT19" s="23">
        <f t="shared" ca="1" si="37"/>
        <v>42.72</v>
      </c>
      <c r="AU19" s="23">
        <f t="shared" ca="1" si="40"/>
        <v>128.16</v>
      </c>
      <c r="AV19" s="23">
        <f t="shared" si="21"/>
        <v>1218.186432</v>
      </c>
      <c r="AW19" s="23">
        <f t="shared" ca="1" si="22"/>
        <v>1624.248576</v>
      </c>
      <c r="AY19" s="35">
        <f t="shared" si="23"/>
        <v>49.912499999999994</v>
      </c>
      <c r="AZ19" s="23">
        <f t="shared" ca="1" si="41"/>
        <v>66.549999999999983</v>
      </c>
      <c r="BA19" s="36">
        <f t="shared" si="25"/>
        <v>72.051525000000012</v>
      </c>
      <c r="BB19" s="27">
        <f t="shared" ca="1" si="38"/>
        <v>96.068700000000007</v>
      </c>
      <c r="BC19" s="23">
        <f t="shared" ca="1" si="39"/>
        <v>199.64999999999995</v>
      </c>
      <c r="BE19" s="50" t="s">
        <v>52</v>
      </c>
      <c r="BF19" s="48" t="s">
        <v>53</v>
      </c>
      <c r="BG19" s="49">
        <f>IF(WL_No="  ","  ",V_Disp*1.025*1.006)</f>
        <v>4154.5258535598114</v>
      </c>
    </row>
    <row r="20" spans="1:59" x14ac:dyDescent="0.25">
      <c r="A20" s="20">
        <f>Tools!$AD19</f>
        <v>14</v>
      </c>
      <c r="B20" s="33">
        <f t="shared" si="0"/>
        <v>9.25</v>
      </c>
      <c r="C20" s="22">
        <f>IF(A20="  ","  ",IF(AND(A19="  ",A21="  "),"?",IF(A19="  ",1*(A21-A20),IF(A21="  ",1*(A20-A19),1*(A21-A19)))))</f>
        <v>2</v>
      </c>
      <c r="D20" s="23">
        <f t="shared" si="26"/>
        <v>18.5</v>
      </c>
      <c r="E20" s="24">
        <f t="shared" si="1"/>
        <v>4</v>
      </c>
      <c r="F20" s="23">
        <f t="shared" si="27"/>
        <v>74</v>
      </c>
      <c r="G20" s="23">
        <f t="shared" si="28"/>
        <v>296</v>
      </c>
      <c r="H20" s="23">
        <f t="shared" si="29"/>
        <v>791.453125</v>
      </c>
      <c r="I20" s="23">
        <f t="shared" si="30"/>
        <v>1582.90625</v>
      </c>
      <c r="J20" s="4"/>
      <c r="K20" s="37">
        <f t="shared" si="2"/>
        <v>41.021999999999998</v>
      </c>
      <c r="L20" s="23">
        <f t="shared" si="31"/>
        <v>82.043999999999997</v>
      </c>
      <c r="M20" s="38">
        <f t="shared" si="3"/>
        <v>59.583600000000011</v>
      </c>
      <c r="N20" s="27">
        <f t="shared" si="32"/>
        <v>119.16720000000002</v>
      </c>
      <c r="O20" s="23">
        <f t="shared" si="33"/>
        <v>328.17599999999999</v>
      </c>
      <c r="P20" s="4"/>
      <c r="Q20" s="50" t="s">
        <v>57</v>
      </c>
      <c r="R20" s="48" t="s">
        <v>58</v>
      </c>
      <c r="S20">
        <f>IF(Tools!$L$49="Use 141 rule only",I44,IF(Tools!$L$49="Use 141 and 1331 rules",BG21," "))</f>
        <v>9156.6247135349931</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9.25</v>
      </c>
      <c r="AQ20" s="34" t="str">
        <f t="shared" ca="1" si="18"/>
        <v>2/3</v>
      </c>
      <c r="AR20" s="23">
        <f t="shared" ca="1" si="19"/>
        <v>6.1666666666666661</v>
      </c>
      <c r="AS20" s="24">
        <f t="shared" si="20"/>
        <v>4</v>
      </c>
      <c r="AT20" s="23">
        <f t="shared" ca="1" si="37"/>
        <v>24.666666666666664</v>
      </c>
      <c r="AU20" s="23">
        <f t="shared" ca="1" si="40"/>
        <v>98.666666666666657</v>
      </c>
      <c r="AV20" s="23">
        <f t="shared" si="21"/>
        <v>791.453125</v>
      </c>
      <c r="AW20" s="23">
        <f t="shared" ca="1" si="22"/>
        <v>527.63541666666663</v>
      </c>
      <c r="AY20" s="35">
        <f t="shared" si="23"/>
        <v>41.021999999999998</v>
      </c>
      <c r="AZ20" s="23">
        <f t="shared" ca="1" si="41"/>
        <v>27.347999999999999</v>
      </c>
      <c r="BA20" s="36">
        <f t="shared" si="25"/>
        <v>59.583600000000011</v>
      </c>
      <c r="BB20" s="27">
        <f t="shared" ca="1" si="38"/>
        <v>39.722400000000007</v>
      </c>
      <c r="BC20" s="23">
        <f t="shared" ca="1" si="39"/>
        <v>109.392</v>
      </c>
      <c r="BE20" s="50" t="s">
        <v>55</v>
      </c>
      <c r="BF20" s="48" t="s">
        <v>59</v>
      </c>
      <c r="BG20" s="49">
        <f ca="1">IF(WL_No="  ","  ",h*$BB$29)</f>
        <v>5985.527022855832</v>
      </c>
    </row>
    <row r="21" spans="1:59" x14ac:dyDescent="0.25">
      <c r="A21" s="20">
        <f>Tools!$AD20</f>
        <v>15</v>
      </c>
      <c r="B21" s="33">
        <f t="shared" si="0"/>
        <v>7.54</v>
      </c>
      <c r="C21" s="22">
        <f>IF(A21="  ","  ",IF(AND(A20="  ",A22="  "),"?",IF(A20="  ",2*(A22-A21),IF(A22="  ",2*(A21-A20),2*(A22-A20)))))</f>
        <v>4</v>
      </c>
      <c r="D21" s="23">
        <f t="shared" si="26"/>
        <v>30.16</v>
      </c>
      <c r="E21" s="24">
        <f t="shared" si="1"/>
        <v>5</v>
      </c>
      <c r="F21" s="23">
        <f t="shared" si="27"/>
        <v>150.80000000000001</v>
      </c>
      <c r="G21" s="23">
        <f t="shared" si="28"/>
        <v>754</v>
      </c>
      <c r="H21" s="23">
        <f t="shared" si="29"/>
        <v>428.66106400000001</v>
      </c>
      <c r="I21" s="23">
        <f t="shared" si="30"/>
        <v>1714.644256</v>
      </c>
      <c r="J21" s="4"/>
      <c r="K21" s="37">
        <f t="shared" si="2"/>
        <v>32.844000000000001</v>
      </c>
      <c r="L21" s="23">
        <f t="shared" si="31"/>
        <v>131.376</v>
      </c>
      <c r="M21" s="38">
        <f t="shared" si="3"/>
        <v>48.766050000000007</v>
      </c>
      <c r="N21" s="27">
        <f t="shared" si="32"/>
        <v>195.06420000000003</v>
      </c>
      <c r="O21" s="23">
        <f t="shared" si="33"/>
        <v>656.88</v>
      </c>
      <c r="P21" s="4"/>
      <c r="Q21" s="50" t="s">
        <v>60</v>
      </c>
      <c r="R21" s="48" t="s">
        <v>61</v>
      </c>
      <c r="S21">
        <f>IF(Tools!$L$49="Use 141 rule only",I45,IF(Tools!$L$49="Use 141 and 1331 rules",BG22," "))</f>
        <v>302.23399834437083</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7.54</v>
      </c>
      <c r="AQ21" s="34" t="str">
        <f t="shared" ca="1" si="18"/>
        <v>4/3</v>
      </c>
      <c r="AR21" s="23">
        <f t="shared" ca="1" si="19"/>
        <v>10.053333333333333</v>
      </c>
      <c r="AS21" s="24">
        <f t="shared" si="20"/>
        <v>5</v>
      </c>
      <c r="AT21" s="23">
        <f t="shared" ca="1" si="37"/>
        <v>50.266666666666666</v>
      </c>
      <c r="AU21" s="23">
        <f t="shared" ca="1" si="40"/>
        <v>251.33333333333331</v>
      </c>
      <c r="AV21" s="23">
        <f t="shared" si="21"/>
        <v>428.66106400000001</v>
      </c>
      <c r="AW21" s="23">
        <f t="shared" ca="1" si="22"/>
        <v>571.54808533333335</v>
      </c>
      <c r="AY21" s="35">
        <f t="shared" si="23"/>
        <v>32.844000000000001</v>
      </c>
      <c r="AZ21" s="23">
        <f t="shared" ca="1" si="41"/>
        <v>43.792000000000002</v>
      </c>
      <c r="BA21" s="36">
        <f t="shared" si="25"/>
        <v>48.766050000000007</v>
      </c>
      <c r="BB21" s="27">
        <f t="shared" ca="1" si="38"/>
        <v>65.0214</v>
      </c>
      <c r="BC21" s="23">
        <f t="shared" ca="1" si="39"/>
        <v>218.96</v>
      </c>
      <c r="BE21" s="50" t="s">
        <v>57</v>
      </c>
      <c r="BF21" s="48" t="s">
        <v>62</v>
      </c>
      <c r="BG21" s="49">
        <f ca="1">IF(WL_No="  ","  ",(h^2)*$BC$29)</f>
        <v>9156.6247135349931</v>
      </c>
    </row>
    <row r="22" spans="1:59" x14ac:dyDescent="0.25">
      <c r="A22" s="20">
        <f>Tools!$AD21</f>
        <v>16</v>
      </c>
      <c r="B22" s="33">
        <f t="shared" si="0"/>
        <v>5.74</v>
      </c>
      <c r="C22" s="22">
        <f>IF(A22="  ","  ",IF(AND(A21="  ",A23="  "),"?",IF(A21="  ",1*(A23-A22),IF(A23="  ",1*(A22-A21),1*(A23-A21)))))</f>
        <v>2</v>
      </c>
      <c r="D22" s="23">
        <f t="shared" si="26"/>
        <v>11.48</v>
      </c>
      <c r="E22" s="24">
        <f t="shared" si="1"/>
        <v>6</v>
      </c>
      <c r="F22" s="23">
        <f t="shared" si="27"/>
        <v>68.88</v>
      </c>
      <c r="G22" s="23">
        <f t="shared" si="28"/>
        <v>413.28</v>
      </c>
      <c r="H22" s="23">
        <f t="shared" si="29"/>
        <v>189.119224</v>
      </c>
      <c r="I22" s="23">
        <f t="shared" si="30"/>
        <v>378.23844800000001</v>
      </c>
      <c r="J22" s="4"/>
      <c r="K22" s="37">
        <f t="shared" si="2"/>
        <v>23.873999999999995</v>
      </c>
      <c r="L22" s="23">
        <f t="shared" si="31"/>
        <v>47.74799999999999</v>
      </c>
      <c r="M22" s="38">
        <f t="shared" si="3"/>
        <v>36.356850000000001</v>
      </c>
      <c r="N22" s="27">
        <f t="shared" si="32"/>
        <v>72.713700000000003</v>
      </c>
      <c r="O22" s="23">
        <f t="shared" si="33"/>
        <v>286.48799999999994</v>
      </c>
      <c r="P22" s="4"/>
      <c r="Q22" s="50" t="s">
        <v>63</v>
      </c>
      <c r="R22" s="48" t="s">
        <v>64</v>
      </c>
      <c r="S22">
        <f>IF(Tools!$L$49="Use 141 rule only",I46,IF(Tools!$L$49="Use 141 and 1331 rules",BG23," "))</f>
        <v>15.460421944015458</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5.74</v>
      </c>
      <c r="AQ22" s="34" t="str">
        <f t="shared" ca="1" si="18"/>
        <v>2/3</v>
      </c>
      <c r="AR22" s="23">
        <f t="shared" ca="1" si="19"/>
        <v>3.8266666666666667</v>
      </c>
      <c r="AS22" s="24">
        <f t="shared" si="20"/>
        <v>6</v>
      </c>
      <c r="AT22" s="23">
        <f t="shared" ca="1" si="37"/>
        <v>22.96</v>
      </c>
      <c r="AU22" s="23">
        <f t="shared" ca="1" si="40"/>
        <v>137.76</v>
      </c>
      <c r="AV22" s="23">
        <f t="shared" si="21"/>
        <v>189.119224</v>
      </c>
      <c r="AW22" s="23">
        <f t="shared" ca="1" si="22"/>
        <v>126.07948266666666</v>
      </c>
      <c r="AY22" s="35">
        <f t="shared" si="23"/>
        <v>23.873999999999995</v>
      </c>
      <c r="AZ22" s="23">
        <f t="shared" ca="1" si="41"/>
        <v>15.915999999999997</v>
      </c>
      <c r="BA22" s="36">
        <f t="shared" si="25"/>
        <v>36.356850000000001</v>
      </c>
      <c r="BB22" s="27">
        <f t="shared" ca="1" si="38"/>
        <v>24.2379</v>
      </c>
      <c r="BC22" s="23">
        <f t="shared" ca="1" si="39"/>
        <v>95.495999999999981</v>
      </c>
      <c r="BE22" s="50" t="s">
        <v>60</v>
      </c>
      <c r="BF22" s="48" t="s">
        <v>61</v>
      </c>
      <c r="BG22" s="49">
        <f>IF(WL_No="  ","  ",IF/V_Disp)</f>
        <v>302.23399834437083</v>
      </c>
    </row>
    <row r="23" spans="1:59" x14ac:dyDescent="0.25">
      <c r="A23" s="20">
        <f>Tools!$AD22</f>
        <v>17</v>
      </c>
      <c r="B23" s="33">
        <f t="shared" si="0"/>
        <v>4.0599999999999996</v>
      </c>
      <c r="C23" s="22">
        <f>IF(A23="  ","  ",IF(AND(A22="  ",A24="  "),"?",IF(A22="  ",2*(A24-A23),IF(A24="  ",2*(A23-A22),2*(A24-A22)))))</f>
        <v>4</v>
      </c>
      <c r="D23" s="23">
        <f t="shared" si="26"/>
        <v>16.239999999999998</v>
      </c>
      <c r="E23" s="24">
        <f t="shared" si="1"/>
        <v>7</v>
      </c>
      <c r="F23" s="23">
        <f t="shared" si="27"/>
        <v>113.67999999999999</v>
      </c>
      <c r="G23" s="23">
        <f t="shared" si="28"/>
        <v>795.76</v>
      </c>
      <c r="H23" s="23">
        <f t="shared" si="29"/>
        <v>66.923415999999975</v>
      </c>
      <c r="I23" s="23">
        <f t="shared" si="30"/>
        <v>267.6936639999999</v>
      </c>
      <c r="J23" s="4"/>
      <c r="K23" s="37">
        <f t="shared" si="2"/>
        <v>15.577500000000001</v>
      </c>
      <c r="L23" s="23">
        <f t="shared" si="31"/>
        <v>62.31</v>
      </c>
      <c r="M23" s="38">
        <f t="shared" si="3"/>
        <v>24.873075</v>
      </c>
      <c r="N23" s="27">
        <f t="shared" si="32"/>
        <v>99.4923</v>
      </c>
      <c r="O23" s="23">
        <f t="shared" si="33"/>
        <v>436.17</v>
      </c>
      <c r="P23" s="4"/>
      <c r="Q23" s="50" t="s">
        <v>65</v>
      </c>
      <c r="R23" s="48" t="s">
        <v>66</v>
      </c>
      <c r="S23">
        <f>IF(Tools!$L$49="Use 141 rule only",I47,IF(Tools!$L$49="Use 141 and 1331 rules",BG24," "))</f>
        <v>1.4856030284007797</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4.0599999999999996</v>
      </c>
      <c r="AQ23" s="34" t="str">
        <f t="shared" ca="1" si="18"/>
        <v>4/3</v>
      </c>
      <c r="AR23" s="23">
        <f t="shared" ca="1" si="19"/>
        <v>5.4133333333333322</v>
      </c>
      <c r="AS23" s="24">
        <f t="shared" si="20"/>
        <v>7</v>
      </c>
      <c r="AT23" s="23">
        <f t="shared" ca="1" si="37"/>
        <v>37.893333333333324</v>
      </c>
      <c r="AU23" s="23">
        <f t="shared" ca="1" si="40"/>
        <v>265.25333333333327</v>
      </c>
      <c r="AV23" s="23">
        <f t="shared" si="21"/>
        <v>66.923415999999975</v>
      </c>
      <c r="AW23" s="23">
        <f t="shared" ca="1" si="22"/>
        <v>89.231221333333295</v>
      </c>
      <c r="AY23" s="35">
        <f t="shared" si="23"/>
        <v>15.577500000000001</v>
      </c>
      <c r="AZ23" s="23">
        <f t="shared" ca="1" si="41"/>
        <v>20.77</v>
      </c>
      <c r="BA23" s="36">
        <f t="shared" si="25"/>
        <v>24.873075</v>
      </c>
      <c r="BB23" s="27">
        <f t="shared" ca="1" si="38"/>
        <v>33.164099999999998</v>
      </c>
      <c r="BC23" s="23">
        <f t="shared" ca="1" si="39"/>
        <v>145.38999999999999</v>
      </c>
      <c r="BE23" s="50" t="s">
        <v>63</v>
      </c>
      <c r="BF23" s="48" t="s">
        <v>64</v>
      </c>
      <c r="BG23" s="49">
        <f>IF(WL_No="  ","  ",IT/V_Disp)</f>
        <v>15.460421944015458</v>
      </c>
    </row>
    <row r="24" spans="1:59" x14ac:dyDescent="0.25">
      <c r="A24" s="20">
        <f>Tools!$AD23</f>
        <v>18</v>
      </c>
      <c r="B24" s="33">
        <f t="shared" si="0"/>
        <v>2.69</v>
      </c>
      <c r="C24" s="22">
        <f>IF(A24="  ","  ",IF(AND(A23="  ",A25="  "),"?",IF(A23="  ",1*(A25-A24),IF(A25="  ",1*(A24-A23),1*(A25-A23)))))</f>
        <v>1.5</v>
      </c>
      <c r="D24" s="23">
        <f t="shared" si="26"/>
        <v>4.0350000000000001</v>
      </c>
      <c r="E24" s="24">
        <f t="shared" si="1"/>
        <v>8</v>
      </c>
      <c r="F24" s="23">
        <f t="shared" si="27"/>
        <v>32.28</v>
      </c>
      <c r="G24" s="23">
        <f t="shared" si="28"/>
        <v>258.24</v>
      </c>
      <c r="H24" s="23">
        <f t="shared" si="29"/>
        <v>19.465108999999998</v>
      </c>
      <c r="I24" s="23">
        <f t="shared" si="30"/>
        <v>29.197663499999997</v>
      </c>
      <c r="J24" s="4"/>
      <c r="K24" s="37">
        <f t="shared" si="2"/>
        <v>9.3134999999999994</v>
      </c>
      <c r="L24" s="23">
        <f t="shared" si="31"/>
        <v>13.97025</v>
      </c>
      <c r="M24" s="38">
        <f t="shared" si="3"/>
        <v>15.651225</v>
      </c>
      <c r="N24" s="27">
        <f t="shared" si="32"/>
        <v>23.476837500000002</v>
      </c>
      <c r="O24" s="23">
        <f t="shared" si="33"/>
        <v>111.762</v>
      </c>
      <c r="P24" s="4"/>
      <c r="Q24" s="50" t="s">
        <v>67</v>
      </c>
      <c r="R24" s="48" t="s">
        <v>68</v>
      </c>
      <c r="S24">
        <f>IF(Tools!$L$49="Use 141 rule only",I48,IF(Tools!$L$49="Use 141 and 1331 rules",BG25," "))</f>
        <v>16.94602497241624</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2.69</v>
      </c>
      <c r="AQ24" s="34" t="str">
        <f t="shared" ca="1" si="18"/>
        <v>(1/2)*(1/3)+1/3</v>
      </c>
      <c r="AR24" s="23">
        <f t="shared" ca="1" si="19"/>
        <v>1.345</v>
      </c>
      <c r="AS24" s="24">
        <f t="shared" si="20"/>
        <v>8</v>
      </c>
      <c r="AT24" s="23">
        <f t="shared" ca="1" si="37"/>
        <v>10.76</v>
      </c>
      <c r="AU24" s="23">
        <f t="shared" ca="1" si="40"/>
        <v>86.08</v>
      </c>
      <c r="AV24" s="23">
        <f t="shared" si="21"/>
        <v>19.465108999999998</v>
      </c>
      <c r="AW24" s="23">
        <f t="shared" ca="1" si="22"/>
        <v>9.7325544999999991</v>
      </c>
      <c r="AY24" s="35">
        <f t="shared" si="23"/>
        <v>9.3134999999999994</v>
      </c>
      <c r="AZ24" s="23">
        <f t="shared" ca="1" si="41"/>
        <v>4.6567499999999997</v>
      </c>
      <c r="BA24" s="36">
        <f t="shared" si="25"/>
        <v>15.651225</v>
      </c>
      <c r="BB24" s="27">
        <f t="shared" ca="1" si="38"/>
        <v>7.8256125000000001</v>
      </c>
      <c r="BC24" s="23">
        <f t="shared" ca="1" si="39"/>
        <v>37.253999999999998</v>
      </c>
      <c r="BE24" s="50" t="s">
        <v>65</v>
      </c>
      <c r="BF24" s="48" t="s">
        <v>66</v>
      </c>
      <c r="BG24" s="49">
        <f>IF(WL_No="  ","  ",MT/V_Disp)</f>
        <v>1.4856030284007797</v>
      </c>
    </row>
    <row r="25" spans="1:59" x14ac:dyDescent="0.25">
      <c r="A25" s="20">
        <f>Tools!$AD24</f>
        <v>18.5</v>
      </c>
      <c r="B25" s="33">
        <f t="shared" si="0"/>
        <v>2.14</v>
      </c>
      <c r="C25" s="22">
        <f>IF(A25="  ","  ",IF(AND(A24="  ",A26="  "),"?",IF(A24="  ",2*(A26-A25),IF(A26="  ",2*(A25-A24),2*(A26-A24)))))</f>
        <v>2</v>
      </c>
      <c r="D25" s="23">
        <f t="shared" si="26"/>
        <v>4.28</v>
      </c>
      <c r="E25" s="24">
        <f t="shared" si="1"/>
        <v>8.5</v>
      </c>
      <c r="F25" s="23">
        <f t="shared" si="27"/>
        <v>36.380000000000003</v>
      </c>
      <c r="G25" s="23">
        <f t="shared" si="28"/>
        <v>309.23</v>
      </c>
      <c r="H25" s="23">
        <f t="shared" si="29"/>
        <v>9.8003440000000008</v>
      </c>
      <c r="I25" s="23">
        <f t="shared" si="30"/>
        <v>19.600688000000002</v>
      </c>
      <c r="J25" s="4"/>
      <c r="K25" s="37">
        <f t="shared" si="2"/>
        <v>6.5912000000000006</v>
      </c>
      <c r="L25" s="23">
        <f t="shared" si="31"/>
        <v>13.182400000000001</v>
      </c>
      <c r="M25" s="38">
        <f t="shared" si="3"/>
        <v>11.798661333333335</v>
      </c>
      <c r="N25" s="27">
        <f t="shared" si="32"/>
        <v>23.59732266666667</v>
      </c>
      <c r="O25" s="23">
        <f t="shared" si="33"/>
        <v>112.05040000000001</v>
      </c>
      <c r="P25" s="4"/>
      <c r="Q25" s="50" t="s">
        <v>69</v>
      </c>
      <c r="R25" s="48" t="s">
        <v>70</v>
      </c>
      <c r="S25">
        <f>IF(Tools!$L$49="Use 141 rule only",I49,IF(Tools!$L$49="Use 141 and 1331 rules",BG26," "))</f>
        <v>303.71960137277159</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2.14</v>
      </c>
      <c r="AQ25" s="34" t="str">
        <f t="shared" ca="1" si="18"/>
        <v>(1/2)*(4/3)</v>
      </c>
      <c r="AR25" s="23">
        <f t="shared" ca="1" si="19"/>
        <v>1.4266666666666667</v>
      </c>
      <c r="AS25" s="24">
        <f t="shared" si="20"/>
        <v>8.5</v>
      </c>
      <c r="AT25" s="23">
        <f t="shared" ca="1" si="37"/>
        <v>12.126666666666667</v>
      </c>
      <c r="AU25" s="23">
        <f t="shared" ca="1" si="40"/>
        <v>103.07666666666667</v>
      </c>
      <c r="AV25" s="23">
        <f t="shared" si="21"/>
        <v>9.8003440000000008</v>
      </c>
      <c r="AW25" s="23">
        <f t="shared" ca="1" si="22"/>
        <v>6.5335626666666666</v>
      </c>
      <c r="AY25" s="35">
        <f t="shared" si="23"/>
        <v>6.5912000000000006</v>
      </c>
      <c r="AZ25" s="23">
        <f t="shared" ca="1" si="41"/>
        <v>4.3941333333333334</v>
      </c>
      <c r="BA25" s="36">
        <f t="shared" si="25"/>
        <v>11.798661333333335</v>
      </c>
      <c r="BB25" s="27">
        <f t="shared" ca="1" si="38"/>
        <v>7.8657742222222229</v>
      </c>
      <c r="BC25" s="23">
        <f t="shared" ca="1" si="39"/>
        <v>37.350133333333332</v>
      </c>
      <c r="BE25" s="50" t="s">
        <v>67</v>
      </c>
      <c r="BF25" s="48" t="s">
        <v>68</v>
      </c>
      <c r="BG25" s="49">
        <f>IF(WL_No="  ","  ",KB+BMT)</f>
        <v>16.94602497241624</v>
      </c>
    </row>
    <row r="26" spans="1:59" x14ac:dyDescent="0.25">
      <c r="A26" s="20">
        <f>Tools!$AD25</f>
        <v>19</v>
      </c>
      <c r="B26" s="33">
        <f t="shared" si="0"/>
        <v>1.68</v>
      </c>
      <c r="C26" s="22">
        <f>IF(A26="  ","  ",IF(AND(A25="  ",A27="  "),"?",IF(A25="  ",1*(A27-A26),IF(A27="  ",1*(A26-A25),1*(A27-A25)))))</f>
        <v>1</v>
      </c>
      <c r="D26" s="23">
        <f t="shared" si="26"/>
        <v>1.68</v>
      </c>
      <c r="E26" s="24">
        <f t="shared" si="1"/>
        <v>9</v>
      </c>
      <c r="F26" s="23">
        <f t="shared" si="27"/>
        <v>15.12</v>
      </c>
      <c r="G26" s="23">
        <f t="shared" si="28"/>
        <v>136.07999999999998</v>
      </c>
      <c r="H26" s="23">
        <f t="shared" si="29"/>
        <v>4.7416319999999992</v>
      </c>
      <c r="I26" s="23">
        <f t="shared" si="30"/>
        <v>4.7416319999999992</v>
      </c>
      <c r="J26" s="4"/>
      <c r="K26" s="37">
        <f t="shared" si="2"/>
        <v>4.5935999999999995</v>
      </c>
      <c r="L26" s="23">
        <f t="shared" si="31"/>
        <v>4.5935999999999995</v>
      </c>
      <c r="M26" s="38">
        <f t="shared" si="3"/>
        <v>8.679552000000001</v>
      </c>
      <c r="N26" s="27">
        <f t="shared" si="32"/>
        <v>8.679552000000001</v>
      </c>
      <c r="O26" s="23">
        <f t="shared" si="33"/>
        <v>41.342399999999998</v>
      </c>
      <c r="P26" s="4"/>
      <c r="Q26" s="50" t="s">
        <v>71</v>
      </c>
      <c r="R26" s="48" t="s">
        <v>72</v>
      </c>
      <c r="S26">
        <f>IF(Tools!$L$49="Use 141 rule only",I50,IF(Tools!$L$49="Use 141 and 1331 rules",BG27," "))</f>
        <v>18.791180987499992</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1.68</v>
      </c>
      <c r="AQ26" s="34" t="str">
        <f t="shared" ca="1" si="18"/>
        <v>(1/2)*(2/3)</v>
      </c>
      <c r="AR26" s="23">
        <f t="shared" ca="1" si="19"/>
        <v>0.55999999999999994</v>
      </c>
      <c r="AS26" s="24">
        <f t="shared" si="20"/>
        <v>9</v>
      </c>
      <c r="AT26" s="23">
        <f t="shared" ca="1" si="37"/>
        <v>5.0399999999999991</v>
      </c>
      <c r="AU26" s="23">
        <f t="shared" ca="1" si="40"/>
        <v>45.359999999999992</v>
      </c>
      <c r="AV26" s="23">
        <f t="shared" si="21"/>
        <v>4.7416319999999992</v>
      </c>
      <c r="AW26" s="23">
        <f t="shared" ca="1" si="22"/>
        <v>1.5805439999999997</v>
      </c>
      <c r="AY26" s="35">
        <f t="shared" si="23"/>
        <v>4.5935999999999995</v>
      </c>
      <c r="AZ26" s="23">
        <f t="shared" ca="1" si="41"/>
        <v>1.5311999999999997</v>
      </c>
      <c r="BA26" s="36">
        <f t="shared" si="25"/>
        <v>8.679552000000001</v>
      </c>
      <c r="BB26" s="27">
        <f t="shared" ca="1" si="38"/>
        <v>2.8931840000000002</v>
      </c>
      <c r="BC26" s="23">
        <f t="shared" ca="1" si="39"/>
        <v>13.780799999999997</v>
      </c>
      <c r="BE26" s="50" t="s">
        <v>69</v>
      </c>
      <c r="BF26" s="48" t="s">
        <v>70</v>
      </c>
      <c r="BG26" s="49">
        <f>IF(WL_No="  ","  ",KB+BML)</f>
        <v>303.71960137277159</v>
      </c>
    </row>
    <row r="27" spans="1:59" x14ac:dyDescent="0.25">
      <c r="A27" s="20">
        <f>Tools!$AD26</f>
        <v>19.5</v>
      </c>
      <c r="B27" s="33">
        <f t="shared" si="0"/>
        <v>1.29</v>
      </c>
      <c r="C27" s="22">
        <f>IF(A27="  ","  ",IF(AND(A26="  ",A28="  "),"?",IF(A26="  ",2*(A28-A27),IF(A28="  ",2*(A27-A26),2*(A28-A26)))))</f>
        <v>2</v>
      </c>
      <c r="D27" s="23">
        <f t="shared" si="26"/>
        <v>2.58</v>
      </c>
      <c r="E27" s="24">
        <f t="shared" si="1"/>
        <v>9.5</v>
      </c>
      <c r="F27" s="23">
        <f t="shared" si="27"/>
        <v>24.51</v>
      </c>
      <c r="G27" s="23">
        <f t="shared" si="28"/>
        <v>232.84500000000003</v>
      </c>
      <c r="H27" s="23">
        <f t="shared" si="29"/>
        <v>2.1466890000000003</v>
      </c>
      <c r="I27" s="23">
        <f t="shared" si="30"/>
        <v>4.2933780000000006</v>
      </c>
      <c r="J27" s="4"/>
      <c r="K27" s="37">
        <f t="shared" si="2"/>
        <v>2.641</v>
      </c>
      <c r="L27" s="23">
        <f t="shared" si="31"/>
        <v>5.282</v>
      </c>
      <c r="M27" s="38">
        <f t="shared" si="3"/>
        <v>5.5072333333333336</v>
      </c>
      <c r="N27" s="27">
        <f t="shared" si="32"/>
        <v>11.014466666666667</v>
      </c>
      <c r="O27" s="23">
        <f t="shared" si="33"/>
        <v>50.179000000000002</v>
      </c>
      <c r="P27" s="4"/>
      <c r="Q27" s="50" t="s">
        <v>73</v>
      </c>
      <c r="R27" s="48" t="s">
        <v>74</v>
      </c>
      <c r="S27">
        <f>IF(Tools!$L$49="Use 141 rule only",I51,IF(Tools!$L$49="Use 141 and 1331 rules",BG28," "))</f>
        <v>2.2726669435144671</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si="36"/>
        <v>1.29</v>
      </c>
      <c r="AQ27" s="34" t="str">
        <f t="shared" ca="1" si="18"/>
        <v>(1/2)*(4/3)</v>
      </c>
      <c r="AR27" s="23">
        <f t="shared" ca="1" si="19"/>
        <v>0.86</v>
      </c>
      <c r="AS27" s="24">
        <f t="shared" si="20"/>
        <v>9.5</v>
      </c>
      <c r="AT27" s="23">
        <f t="shared" ca="1" si="37"/>
        <v>8.17</v>
      </c>
      <c r="AU27" s="23">
        <f t="shared" ca="1" si="40"/>
        <v>77.614999999999995</v>
      </c>
      <c r="AV27" s="23">
        <f t="shared" si="21"/>
        <v>2.1466890000000003</v>
      </c>
      <c r="AW27" s="23">
        <f t="shared" ca="1" si="22"/>
        <v>1.4311260000000001</v>
      </c>
      <c r="AY27" s="35">
        <f t="shared" si="23"/>
        <v>2.641</v>
      </c>
      <c r="AZ27" s="23">
        <f t="shared" ca="1" si="41"/>
        <v>1.7606666666666666</v>
      </c>
      <c r="BA27" s="36">
        <f t="shared" si="25"/>
        <v>5.5072333333333336</v>
      </c>
      <c r="BB27" s="27">
        <f t="shared" ca="1" si="38"/>
        <v>3.6714888888888888</v>
      </c>
      <c r="BC27" s="23">
        <f t="shared" ca="1" si="39"/>
        <v>16.726333333333333</v>
      </c>
      <c r="BE27" s="50" t="s">
        <v>71</v>
      </c>
      <c r="BF27" s="48" t="s">
        <v>72</v>
      </c>
      <c r="BG27" s="49">
        <f>IF(WL_No="  ","  ",AWP*1.025/100)</f>
        <v>18.791180987499992</v>
      </c>
    </row>
    <row r="28" spans="1:59" ht="15.75" thickBot="1" x14ac:dyDescent="0.3">
      <c r="A28" s="20">
        <f>Tools!$AD27</f>
        <v>20</v>
      </c>
      <c r="B28" s="52">
        <f t="shared" si="0"/>
        <v>0.76</v>
      </c>
      <c r="C28" s="22">
        <f>IF(A28="  ","  ",IF(A27="  ","?",1*(A28-A27)))</f>
        <v>0.5</v>
      </c>
      <c r="D28" s="53">
        <f t="shared" si="26"/>
        <v>0.38</v>
      </c>
      <c r="E28" s="24">
        <f t="shared" si="1"/>
        <v>10</v>
      </c>
      <c r="F28" s="53">
        <f t="shared" si="27"/>
        <v>3.8</v>
      </c>
      <c r="G28" s="53">
        <f t="shared" si="28"/>
        <v>38</v>
      </c>
      <c r="H28" s="23">
        <f t="shared" si="29"/>
        <v>0.43897600000000003</v>
      </c>
      <c r="I28" s="53">
        <f t="shared" si="30"/>
        <v>0.21948800000000002</v>
      </c>
      <c r="J28" s="4"/>
      <c r="K28" s="35">
        <f t="shared" si="2"/>
        <v>0.53199999999999992</v>
      </c>
      <c r="L28" s="53">
        <f t="shared" si="31"/>
        <v>0.26599999999999996</v>
      </c>
      <c r="M28" s="36">
        <f t="shared" si="3"/>
        <v>1.3122666666666665</v>
      </c>
      <c r="N28" s="54">
        <f t="shared" si="32"/>
        <v>0.65613333333333324</v>
      </c>
      <c r="O28" s="53">
        <f t="shared" si="33"/>
        <v>2.6599999999999997</v>
      </c>
      <c r="P28" s="4"/>
      <c r="Q28" s="50" t="s">
        <v>75</v>
      </c>
      <c r="R28" s="55" t="s">
        <v>76</v>
      </c>
      <c r="S28">
        <f>IF(Tools!$L$49="Use 141 rule only",I52,IF(Tools!$L$49="Use 141 and 1331 rules",BG29," "))</f>
        <v>95.340847376343362</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36"/>
        <v>0.76</v>
      </c>
      <c r="AQ28" s="34" t="str">
        <f t="shared" ca="1" si="18"/>
        <v>(1/2)*(1/3)</v>
      </c>
      <c r="AR28" s="23">
        <f t="shared" ca="1" si="19"/>
        <v>0.12666666666666665</v>
      </c>
      <c r="AS28" s="24">
        <f t="shared" si="20"/>
        <v>10</v>
      </c>
      <c r="AT28" s="53">
        <f t="shared" ca="1" si="37"/>
        <v>1.2666666666666666</v>
      </c>
      <c r="AU28" s="53">
        <f t="shared" ca="1" si="40"/>
        <v>12.666666666666666</v>
      </c>
      <c r="AV28" s="23">
        <f t="shared" si="21"/>
        <v>0.43897600000000003</v>
      </c>
      <c r="AW28" s="23">
        <f t="shared" ca="1" si="22"/>
        <v>7.3162666666666668E-2</v>
      </c>
      <c r="AY28" s="35">
        <f t="shared" si="23"/>
        <v>0.53199999999999992</v>
      </c>
      <c r="AZ28" s="23">
        <f t="shared" ca="1" si="41"/>
        <v>8.8666666666666644E-2</v>
      </c>
      <c r="BA28" s="36">
        <f t="shared" si="25"/>
        <v>1.3122666666666665</v>
      </c>
      <c r="BB28" s="27">
        <f t="shared" ca="1" si="38"/>
        <v>0.21871111111111108</v>
      </c>
      <c r="BC28" s="53">
        <f t="shared" ca="1" si="39"/>
        <v>0.88666666666666649</v>
      </c>
      <c r="BE28" s="50" t="s">
        <v>73</v>
      </c>
      <c r="BF28" s="48" t="s">
        <v>74</v>
      </c>
      <c r="BG28" s="49">
        <f>IF(WL_No="  ","  ",ML/V_Disp)</f>
        <v>2.2726669435144671</v>
      </c>
    </row>
    <row r="29" spans="1:59" ht="15.75" thickBot="1" x14ac:dyDescent="0.3">
      <c r="A29" s="56" t="s">
        <v>77</v>
      </c>
      <c r="B29" s="56"/>
      <c r="C29" s="56"/>
      <c r="D29" s="57">
        <f>SUM(D4:D28)</f>
        <v>417.60500000000002</v>
      </c>
      <c r="E29" s="42"/>
      <c r="F29" s="58">
        <f>SUM(F4:F28)</f>
        <v>127.24999999999986</v>
      </c>
      <c r="G29" s="58">
        <f>SUM(G4:G28)</f>
        <v>6435.6349999999993</v>
      </c>
      <c r="H29" s="42"/>
      <c r="I29" s="58">
        <f>SUM(I4:I28)</f>
        <v>42567.456093500004</v>
      </c>
      <c r="J29" s="4"/>
      <c r="K29" s="42"/>
      <c r="L29" s="58">
        <f>SUM(L4:L28)</f>
        <v>1835.5452499999997</v>
      </c>
      <c r="M29" s="42"/>
      <c r="N29" s="58">
        <f>SUM(N4:N28)</f>
        <v>2726.891582166666</v>
      </c>
      <c r="O29" s="58">
        <f>SUM(O4:O28)</f>
        <v>633.49779999999976</v>
      </c>
      <c r="P29" s="4"/>
      <c r="Q29" s="50" t="s">
        <v>78</v>
      </c>
      <c r="R29" s="48" t="s">
        <v>79</v>
      </c>
      <c r="S29">
        <f>IF(Tools!$L$49="Use 141 rule only",I53,IF(Tools!$L$49="Use 141 and 1331 rules",BG30," "))</f>
        <v>2.7</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139.20166666666665</v>
      </c>
      <c r="AS29" s="42"/>
      <c r="AT29" s="58">
        <f ca="1">SUM(AT4:AT28)</f>
        <v>42.416666666666629</v>
      </c>
      <c r="AU29" s="58">
        <f ca="1">SUM(AU4:AU28)</f>
        <v>2145.2116666666661</v>
      </c>
      <c r="AV29" s="42"/>
      <c r="AW29" s="58">
        <f ca="1">SUM(AW4:AW28)</f>
        <v>14189.152031166668</v>
      </c>
      <c r="AY29" s="42"/>
      <c r="AZ29" s="58">
        <f ca="1">SUM(AZ4:AZ28)</f>
        <v>611.84841666666659</v>
      </c>
      <c r="BA29" s="42"/>
      <c r="BB29" s="58">
        <f ca="1">SUM(BB4:BB28)</f>
        <v>908.96386072222219</v>
      </c>
      <c r="BC29" s="58">
        <f ca="1">SUM(BC4:BC28)</f>
        <v>211.16593333333324</v>
      </c>
      <c r="BE29" s="50" t="s">
        <v>75</v>
      </c>
      <c r="BF29" s="55" t="s">
        <v>76</v>
      </c>
      <c r="BG29" s="49">
        <f ca="1">IF(WL_No="  ","  ",M_Disp*BML/100/BG8)</f>
        <v>100.35878671194037</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0.57331823174080165</v>
      </c>
      <c r="AA30" s="60"/>
      <c r="AB30" s="60"/>
      <c r="BE30" s="50" t="s">
        <v>78</v>
      </c>
      <c r="BF30" s="48" t="s">
        <v>79</v>
      </c>
      <c r="BG30" s="49">
        <f>IF(WL_No="  ","  ",WLS*WL_No)</f>
        <v>2.7</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0.46666088280757401</v>
      </c>
      <c r="AF31" s="61" t="s">
        <v>84</v>
      </c>
      <c r="AG31" s="62">
        <f ca="1">COUNTIF(OFFSET(AQ4,,,ROUNDUP(Max_STN_count/2,0),1),"")</f>
        <v>2</v>
      </c>
      <c r="AH31" s="63">
        <f ca="1">HLOOKUP(Stn_WL,AREA_TABLE,AG31+2,FALSE)</f>
        <v>1</v>
      </c>
      <c r="AI31" s="63">
        <f ca="1">IF(AH31&gt;Long_Div/2,Long_Div/2,AH31)</f>
        <v>1</v>
      </c>
      <c r="AJ31" s="63">
        <f ca="1">AI31*STN_GAP</f>
        <v>6.5849999999999991</v>
      </c>
      <c r="BE31" s="50" t="s">
        <v>80</v>
      </c>
      <c r="BF31" s="48" t="s">
        <v>81</v>
      </c>
      <c r="BG31" s="49">
        <f ca="1">IF(WL_No="  ","  ",AWP/(BG8*B_current))</f>
        <v>0.60349287551663333</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0.90675910671792026</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0.49122198190270949</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0.51464703177527116</v>
      </c>
      <c r="AF33" s="63"/>
      <c r="AG33" s="63"/>
      <c r="AH33" s="63">
        <f ca="1">Long_Div-AH32</f>
        <v>20</v>
      </c>
      <c r="AI33" s="63"/>
      <c r="AJ33" s="63">
        <f ca="1">AJ32+AJ31</f>
        <v>6.5849999999999991</v>
      </c>
      <c r="BE33" s="50" t="s">
        <v>85</v>
      </c>
      <c r="BF33" s="48" t="s">
        <v>86</v>
      </c>
      <c r="BG33" s="65">
        <f>IFERROR(IF(WL_No="  ","  ",(VLOOKUP(Long_Div/2,AREA_TABLE,Count_WL+1,FALSE))/(B_current*T)),"-")</f>
        <v>0.90675910671792026</v>
      </c>
    </row>
    <row r="34" spans="1:59" x14ac:dyDescent="0.25">
      <c r="G34" s="45"/>
      <c r="H34" s="46"/>
      <c r="I34" s="507"/>
      <c r="BE34" s="50" t="s">
        <v>88</v>
      </c>
      <c r="BF34" s="48" t="s">
        <v>89</v>
      </c>
      <c r="BG34" s="49">
        <f>IF(WL_No="  ","  ",CB/CM)</f>
        <v>0.51464703177527116</v>
      </c>
    </row>
    <row r="35" spans="1:59" x14ac:dyDescent="0.25">
      <c r="G35" s="47" t="s">
        <v>34</v>
      </c>
      <c r="H35" s="48" t="s">
        <v>35</v>
      </c>
      <c r="I35" s="49">
        <f>IF(WL_No="  ","  ",2/3*h*$D$29)</f>
        <v>1833.2859499999995</v>
      </c>
    </row>
    <row r="36" spans="1:59" x14ac:dyDescent="0.25">
      <c r="G36" s="47" t="s">
        <v>36</v>
      </c>
      <c r="H36" s="48" t="s">
        <v>37</v>
      </c>
      <c r="I36" s="49">
        <f>IF(WL_No="  ","  ",2/3*(h^2)*$F$29)</f>
        <v>3678.562087499995</v>
      </c>
    </row>
    <row r="37" spans="1:59" x14ac:dyDescent="0.25">
      <c r="G37" s="50" t="s">
        <v>39</v>
      </c>
      <c r="H37" s="48" t="s">
        <v>40</v>
      </c>
      <c r="I37" s="49">
        <f>IF(WL_No="  ","  ",Mmid/AWP)</f>
        <v>2.0065402713090097</v>
      </c>
    </row>
    <row r="38" spans="1:59" x14ac:dyDescent="0.25">
      <c r="G38" s="50" t="s">
        <v>42</v>
      </c>
      <c r="H38" s="48" t="s">
        <v>43</v>
      </c>
      <c r="I38" s="49">
        <f>IF(WL_No="  ","  ",2/3*(h^3)*$G$29)</f>
        <v>1225088.5581777706</v>
      </c>
    </row>
    <row r="39" spans="1:59" x14ac:dyDescent="0.25">
      <c r="G39" s="51" t="s">
        <v>44</v>
      </c>
      <c r="H39" s="48" t="s">
        <v>45</v>
      </c>
      <c r="I39" s="49">
        <f>IF(WL_No="  ","  ",2/9*h*$I$29)</f>
        <v>62290.377416821662</v>
      </c>
    </row>
    <row r="40" spans="1:59" x14ac:dyDescent="0.25">
      <c r="G40" s="50" t="s">
        <v>47</v>
      </c>
      <c r="H40" s="48" t="s">
        <v>48</v>
      </c>
      <c r="I40" s="49">
        <f>IF(WL_No="  ","  ",IL-AWP*(LCF^2))</f>
        <v>1217707.3752086912</v>
      </c>
    </row>
    <row r="41" spans="1:59" x14ac:dyDescent="0.25">
      <c r="G41" s="50" t="s">
        <v>50</v>
      </c>
      <c r="H41" s="48" t="s">
        <v>51</v>
      </c>
      <c r="I41" s="49">
        <f>IF(WL_No="  ","  ",h/3*$L$29)</f>
        <v>4029.0218237499989</v>
      </c>
    </row>
    <row r="42" spans="1:59" x14ac:dyDescent="0.25">
      <c r="G42" s="50" t="s">
        <v>52</v>
      </c>
      <c r="H42" s="48" t="s">
        <v>53</v>
      </c>
      <c r="I42" s="49">
        <f>IF(WL_No="  ","  ",V_Disp*1.025*1.006)</f>
        <v>4154.5258535598114</v>
      </c>
    </row>
    <row r="43" spans="1:59" x14ac:dyDescent="0.25">
      <c r="G43" s="50" t="s">
        <v>55</v>
      </c>
      <c r="H43" s="48" t="s">
        <v>56</v>
      </c>
      <c r="I43" s="49">
        <f>IF(WL_No="  ","  ",h/3*$N$29)</f>
        <v>5985.5270228558311</v>
      </c>
    </row>
    <row r="44" spans="1:59" x14ac:dyDescent="0.25">
      <c r="G44" s="50" t="s">
        <v>57</v>
      </c>
      <c r="H44" s="48" t="s">
        <v>58</v>
      </c>
      <c r="I44" s="49">
        <f>IF(WL_No="  ","  ",(h^2)/3*$O$29)</f>
        <v>9156.6247135349931</v>
      </c>
    </row>
    <row r="45" spans="1:59" x14ac:dyDescent="0.25">
      <c r="G45" s="50" t="s">
        <v>60</v>
      </c>
      <c r="H45" s="48" t="s">
        <v>61</v>
      </c>
      <c r="I45" s="49">
        <f>IF(WL_No="  ","  ",IF/V_Disp)</f>
        <v>302.23399834437083</v>
      </c>
    </row>
    <row r="46" spans="1:59" x14ac:dyDescent="0.25">
      <c r="G46" s="50" t="s">
        <v>63</v>
      </c>
      <c r="H46" s="48" t="s">
        <v>64</v>
      </c>
      <c r="I46" s="49">
        <f>IF(WL_No="  ","  ",IT/V_Disp)</f>
        <v>15.460421944015458</v>
      </c>
    </row>
    <row r="47" spans="1:59" x14ac:dyDescent="0.25">
      <c r="G47" s="50" t="s">
        <v>65</v>
      </c>
      <c r="H47" s="48" t="s">
        <v>66</v>
      </c>
      <c r="I47" s="49">
        <f>IF(WL_No="  ","  ",MT/V_Disp)</f>
        <v>1.4856030284007797</v>
      </c>
    </row>
    <row r="48" spans="1:59" x14ac:dyDescent="0.25">
      <c r="G48" s="50" t="s">
        <v>67</v>
      </c>
      <c r="H48" s="48" t="s">
        <v>68</v>
      </c>
      <c r="I48" s="49">
        <f>IF(WL_No="  ","  ",KB+BMT)</f>
        <v>16.94602497241624</v>
      </c>
    </row>
    <row r="49" spans="7:9" x14ac:dyDescent="0.25">
      <c r="G49" s="50" t="s">
        <v>69</v>
      </c>
      <c r="H49" s="48" t="s">
        <v>70</v>
      </c>
      <c r="I49" s="49">
        <f>IF(WL_No="  ","  ",KB+BML)</f>
        <v>303.71960137277159</v>
      </c>
    </row>
    <row r="50" spans="7:9" x14ac:dyDescent="0.25">
      <c r="G50" s="50" t="s">
        <v>71</v>
      </c>
      <c r="H50" s="48" t="s">
        <v>72</v>
      </c>
      <c r="I50" s="49">
        <f>IF(WL_No="  ","  ",AWP*1.025/100)</f>
        <v>18.791180987499992</v>
      </c>
    </row>
    <row r="51" spans="7:9" x14ac:dyDescent="0.25">
      <c r="G51" s="50" t="s">
        <v>73</v>
      </c>
      <c r="H51" s="48" t="s">
        <v>74</v>
      </c>
      <c r="I51" s="49">
        <f>IF(WL_No="  ","  ",ML/V_Disp)</f>
        <v>2.2726669435144671</v>
      </c>
    </row>
    <row r="52" spans="7:9" x14ac:dyDescent="0.25">
      <c r="G52" s="50" t="s">
        <v>75</v>
      </c>
      <c r="H52" s="55" t="s">
        <v>76</v>
      </c>
      <c r="I52" s="49">
        <f>IF(WL_No="  ","  ",M_Disp*BML/100/LBP)</f>
        <v>95.340847376343362</v>
      </c>
    </row>
    <row r="53" spans="7:9" x14ac:dyDescent="0.25">
      <c r="G53" s="50" t="s">
        <v>78</v>
      </c>
      <c r="H53" s="48" t="s">
        <v>79</v>
      </c>
      <c r="I53" s="49">
        <f>IF(WL_No="  ","  ",WLS*WL_No)</f>
        <v>2.7</v>
      </c>
    </row>
    <row r="54" spans="7:9" x14ac:dyDescent="0.25">
      <c r="G54" s="50" t="s">
        <v>80</v>
      </c>
      <c r="H54" s="48" t="s">
        <v>81</v>
      </c>
      <c r="I54" s="49">
        <f>IF(WL_No="  ","  ",AWP/(LBP*B_current))</f>
        <v>0.57331823174080165</v>
      </c>
    </row>
    <row r="55" spans="7:9" x14ac:dyDescent="0.25">
      <c r="G55" s="50" t="s">
        <v>82</v>
      </c>
      <c r="H55" s="48" t="s">
        <v>83</v>
      </c>
      <c r="I55" s="49">
        <f>IF(WL_No="  ","  ",V_Disp/(LBP*B_current*T))</f>
        <v>0.46666088280757401</v>
      </c>
    </row>
    <row r="56" spans="7:9" x14ac:dyDescent="0.25">
      <c r="G56" s="50" t="s">
        <v>85</v>
      </c>
      <c r="H56" s="48" t="s">
        <v>86</v>
      </c>
      <c r="I56" s="65">
        <f>IF(WL_No="  ","  ",(VLOOKUP(Long_Div/2,AREA_TABLE,Count_WL+1,FALSE))/(B_current*T))</f>
        <v>0.90675910671792026</v>
      </c>
    </row>
    <row r="57" spans="7:9" x14ac:dyDescent="0.25">
      <c r="G57" s="50" t="s">
        <v>88</v>
      </c>
      <c r="H57" s="48" t="s">
        <v>89</v>
      </c>
      <c r="I57" s="49">
        <f>IF(WL_No="  ","  ",CB/CM)</f>
        <v>0.51464703177527116</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J43:BD57 J42:M42 O42:BD42 J38:BD41 AO3:AX28">
    <cfRule type="containsErrors" dxfId="171" priority="13">
      <formula>ISERROR(A1)</formula>
    </cfRule>
  </conditionalFormatting>
  <conditionalFormatting sqref="G33:I34 G35:H57">
    <cfRule type="containsErrors" dxfId="170" priority="12">
      <formula>ISERROR(G33)</formula>
    </cfRule>
  </conditionalFormatting>
  <conditionalFormatting sqref="T12:T33">
    <cfRule type="containsErrors" dxfId="169" priority="11">
      <formula>ISERROR(T12)</formula>
    </cfRule>
  </conditionalFormatting>
  <conditionalFormatting sqref="I35:I57">
    <cfRule type="containsErrors" dxfId="168" priority="10">
      <formula>ISERROR(I35)</formula>
    </cfRule>
  </conditionalFormatting>
  <conditionalFormatting sqref="AY2:BC29">
    <cfRule type="containsErrors" dxfId="167" priority="7">
      <formula>ISERROR(AY2)</formula>
    </cfRule>
  </conditionalFormatting>
  <conditionalFormatting sqref="BE10:BG11 BE12:BF34">
    <cfRule type="containsErrors" dxfId="166" priority="9">
      <formula>ISERROR(BE10)</formula>
    </cfRule>
  </conditionalFormatting>
  <conditionalFormatting sqref="BG12:BG28 BG34">
    <cfRule type="containsErrors" dxfId="165" priority="8">
      <formula>ISERROR(BG12)</formula>
    </cfRule>
  </conditionalFormatting>
  <conditionalFormatting sqref="BE2:BG6">
    <cfRule type="containsErrors" dxfId="164" priority="6">
      <formula>ISERROR(BE2)</formula>
    </cfRule>
  </conditionalFormatting>
  <conditionalFormatting sqref="BF7:BG8">
    <cfRule type="containsErrors" dxfId="163" priority="4">
      <formula>ISERROR(BF7)</formula>
    </cfRule>
  </conditionalFormatting>
  <conditionalFormatting sqref="BE7:BE8">
    <cfRule type="containsErrors" dxfId="162" priority="5">
      <formula>ISERROR(BE7)</formula>
    </cfRule>
  </conditionalFormatting>
  <conditionalFormatting sqref="S30:S33">
    <cfRule type="containsErrors" dxfId="161" priority="3">
      <formula>ISERROR(S30)</formula>
    </cfRule>
  </conditionalFormatting>
  <conditionalFormatting sqref="BG29:BG32">
    <cfRule type="containsErrors" dxfId="160" priority="2">
      <formula>ISERROR(BG29)</formula>
    </cfRule>
  </conditionalFormatting>
  <conditionalFormatting sqref="BG33">
    <cfRule type="containsErrors" dxfId="159" priority="1">
      <formula>ISERROR(BG33)</formula>
    </cfRule>
  </conditionalFormatting>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4" tint="0.79998168889431442"/>
  </sheetPr>
  <dimension ref="A1:BH57"/>
  <sheetViews>
    <sheetView topLeftCell="AG1" zoomScale="55" zoomScaleNormal="55" workbookViewId="0">
      <pane ySplit="1" topLeftCell="A7"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1</v>
      </c>
      <c r="C1" s="3"/>
      <c r="D1" s="4"/>
      <c r="E1" s="4" t="s">
        <v>1</v>
      </c>
      <c r="F1" s="5">
        <v>3</v>
      </c>
      <c r="G1" s="4"/>
      <c r="H1" s="4"/>
      <c r="I1" s="4"/>
      <c r="J1" s="4"/>
      <c r="K1" s="4"/>
      <c r="L1" s="4"/>
      <c r="M1" s="4"/>
      <c r="N1" s="4"/>
      <c r="O1" s="4"/>
      <c r="P1" s="4"/>
      <c r="Q1" s="4"/>
      <c r="R1" s="4"/>
      <c r="S1" s="4"/>
      <c r="V1" t="s">
        <v>2</v>
      </c>
      <c r="W1">
        <f ca="1">COUNTIF(OFFSET(Z4,,,ROUNDDOWN(Max_STN_count/2+1,0),1),TRUE)</f>
        <v>5</v>
      </c>
      <c r="X1">
        <f ca="1">COUNTIF(OFFSET(AA4,,,ROUNDDOWN(Max_STN_count/2+1,0),1),TRUE)</f>
        <v>2</v>
      </c>
      <c r="Y1">
        <f ca="1">W1-X1</f>
        <v>3</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1</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131.69999999999999</v>
      </c>
      <c r="W4" s="29">
        <f>IF(AO4="  ","  ",IF(AO5="  ","?",1*(AO5-AO4)))</f>
        <v>0.5</v>
      </c>
      <c r="X4" s="30" t="str">
        <f t="shared" ref="X4:X28" si="4">IF(Y4=0,"--",CONCATENATE(IF(AO4=0,"-",IF(Y3=0,"-",IF(AO4-AO3=0.5,"D",IF(AO4-AO3=1,"W","-")))),IF(AO4=Long_Div,"-",IF(Y5=0,"-",IF(AO5-AO4=0.5,"D",IF(AO5-AO4=1,"W","-"))))))</f>
        <v>--</v>
      </c>
      <c r="Y4" s="30">
        <f t="shared" ref="Y4:Y28" si="5">IF(ISNUMBER(AO4),IF(AO4=Long_Div/2,"-",IF(AND(AO4=Long_Div,$AP4=0,$AP3=0),0,IF(AND(AO4=0,$AP4=0,$AP5=0),0,IF($AO4&lt;Long_Div/2,IF(AND(Y3=0,$AP4=0,$AP5=0),0,"-"),IF(AND(Y5=0,$AP4=0,$AP3=0),0,"-")))))," ")</f>
        <v>0</v>
      </c>
      <c r="Z4" s="29" t="b">
        <f t="shared" ref="Z4:Z28" si="6">IF(ISNUMBER(AO4),IF(AO4=0,IF(AO5=0.5,TRUE,FALSE),IF(AO4=Long_Div,IF(AO3=Long_Div-0.5,TRUE,FALSE),IF(OR(AO5-AO4=0.5,AO4-AO3=0.5),TRUE,FALSE)))," ")</f>
        <v>1</v>
      </c>
      <c r="AA4" s="29" t="str">
        <f t="shared" ref="AA4:AA28" si="7">IF(ISNUMBER(AO4),IF(Y4=0," ",IF(AO4=0,IF(AO5=0.5,TRUE,"-"),IF(AO4=Long_Div,IF(AO3=Long_Div-0.5,TRUE,"-"),IF(OR(AO5-AO4=0.5,AO4-AO3=0.5),TRUE,FALSE))))," ")</f>
        <v xml:space="preserve"> </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v>
      </c>
      <c r="AC4" s="29">
        <f>IF(ISNUMBER(AO4),IF(ISNUMBER(AO4),IF(OR(AO4=0,AO4=Long_Div),1,IF(AO4&gt;Long_Div/2,AC5+1,IF(AO4&lt;=Long_Div/2,AE3+1,"?")))," --")," ")</f>
        <v>1</v>
      </c>
      <c r="AD4" s="29">
        <f t="shared" ref="AD4:AD28" ca="1" si="9">IF(ISNUMBER(AO4),IF(AO4&gt;Long_Div/2,4-ROW(AD4)+Max_STN_count-$AE$1,ROW(AD4)-3-$Y$1)," ")</f>
        <v>-2</v>
      </c>
      <c r="AE4" s="29">
        <v>1</v>
      </c>
      <c r="AF4" s="31" t="str">
        <f t="shared" ref="AF4:AF8" si="10">IF(AND(AG4=TRUE,OR(NOT(AG3=TRUE),AG3="Full")),1,IF(ISNUMBER(AF3),AF3+1," "))</f>
        <v xml:space="preserve"> </v>
      </c>
      <c r="AG4" s="29" t="str">
        <f t="shared" ref="AG4:AG28" si="11">IF(ISNUMBER(AO4),IF(AA4=" "," ",IF(AO4=0,IF(AO5-AO4=1,TRUE,FALSE),IF(AO4=Long_Div,IF(AO4-AO3=1,TRUE,FALSE),IF(OR(AO5-AO4=1,AO4-AO3=1),TRUE,FALSE))))," ")</f>
        <v xml:space="preserve"> </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
      </c>
      <c r="AJ4" s="29">
        <f t="shared" ref="AJ4:AJ28" ca="1" si="14">IF(OR(AB4="1331-1",AB4="1331-1,141-1"),(1/2)*(3/8),IF(AB4="1331-3",(1/2)*(9/8),IF(AB4="141-1",(1/2)*(1/3),IF(AB4="141-2",(1/2)*(2/3),IF(AB4="141-4",(1/2)*(4/3),0)))))</f>
        <v>0</v>
      </c>
      <c r="AK4" s="29" t="str">
        <f t="shared" ref="AK4:AK28" si="15">IF(AH4="1331-1,141-1","(1*3/8)+(1/3)",IF(LEFT(AH4,4)="141-",CONCATENATE(RIGHT(AH4,1),"/3"),IF(LEFT(AH4,4)="1331",CONCATENATE(RIGHT(AH4,1),"*3/8"),"")))</f>
        <v/>
      </c>
      <c r="AL4" s="29">
        <f t="shared" ref="AL4:AL28" si="16">IF(AH4="1331-1,141-1",(1*3/8)+(1/3),IF(LEFT(AH4,4)="141-",(RIGHT(AH4,1)/3),IF(LEFT(AH4,4)="1331",RIGHT(AH4,1)*3/8,0)))</f>
        <v>0</v>
      </c>
      <c r="AM4" s="32" t="str">
        <f ca="1">IF(AQ4=""," ",AJ4+AL4)</f>
        <v xml:space="preserve"> </v>
      </c>
      <c r="AO4" s="20">
        <f>Tools!$AD3</f>
        <v>0</v>
      </c>
      <c r="AP4" s="33">
        <f t="shared" ref="AP4" si="17">VLOOKUP(AO4,OFFSET_A,Count_WL+1,FALSE)</f>
        <v>0</v>
      </c>
      <c r="AQ4" s="34" t="str">
        <f t="shared" ref="AQ4:AQ28" ca="1" si="18">CONCATENATE(AI4,IF(NOT(OR(AI4="",AK4="")),"+",""),AK4)</f>
        <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f t="shared" ref="AV4:AV28" si="21">IFERROR(AP4^3,"  ")</f>
        <v>0</v>
      </c>
      <c r="AW4" s="23" t="str">
        <f t="shared" ref="AW4:AW28" ca="1" si="22">IFERROR(AV4*AM4,"  ")</f>
        <v xml:space="preserve">  </v>
      </c>
      <c r="AY4" s="35">
        <f t="shared" ref="AY4:AY28" si="23">IF(ROW(AY4)-3&gt;Max_STN_count," ",VLOOKUP(AO4,AREA_TABLE,Count_WL+1,FALSE))</f>
        <v>0</v>
      </c>
      <c r="AZ4" s="23" t="str">
        <f t="shared" ref="AZ4:AZ7" ca="1" si="24">IFERROR(AY4*AM4,"  ")</f>
        <v xml:space="preserve">  </v>
      </c>
      <c r="BA4" s="36">
        <f t="shared" ref="BA4:BA28" si="25">IF(ROW(AY4)-3&gt;Max_STN_count," ",VLOOKUP(AO4,MOMENT_TABLE,Count_WL+1,FALSE))</f>
        <v>0</v>
      </c>
      <c r="BB4" s="27" t="str">
        <f ca="1">IFERROR(BA4*AM4,"  ")</f>
        <v xml:space="preserve">  </v>
      </c>
      <c r="BC4" s="23" t="str">
        <f ca="1">IFERROR(AZ4*AS4,"  ")</f>
        <v xml:space="preserve">  </v>
      </c>
      <c r="BE4" s="16" t="s">
        <v>26</v>
      </c>
      <c r="BF4" s="9" t="s">
        <v>8</v>
      </c>
      <c r="BG4" s="28">
        <f>LBP</f>
        <v>131.69999999999999</v>
      </c>
    </row>
    <row r="5" spans="1:60" x14ac:dyDescent="0.25">
      <c r="A5" s="20">
        <f>Tools!$AD4</f>
        <v>0.5</v>
      </c>
      <c r="B5" s="33">
        <f t="shared" si="0"/>
        <v>0</v>
      </c>
      <c r="C5" s="22">
        <f>IF(A5="  ","  ",IF(AND(A4="  ",A6="  "),"?",IF(A4="  ",2*(A6-A5),IF(A6="  ",2*(A5-A4),2*(A6-A4)))))</f>
        <v>2</v>
      </c>
      <c r="D5" s="23">
        <f t="shared" ref="D5:D28" si="26">IFERROR(B5*C5,"  ")</f>
        <v>0</v>
      </c>
      <c r="E5" s="24">
        <f t="shared" si="1"/>
        <v>-9.5</v>
      </c>
      <c r="F5" s="23">
        <f t="shared" ref="F5:F28" si="27">IFERROR(D5*E5,"  ")</f>
        <v>0</v>
      </c>
      <c r="G5" s="23">
        <f t="shared" ref="G5:G28" si="28">IFERROR(F5*E5,"  ")</f>
        <v>0</v>
      </c>
      <c r="H5" s="23">
        <f t="shared" ref="H5:H28" si="29">IFERROR(B5^3,"  ")</f>
        <v>0</v>
      </c>
      <c r="I5" s="23">
        <f t="shared" ref="I5:I28" si="30">IFERROR(H5*C5,"  ")</f>
        <v>0</v>
      </c>
      <c r="J5" s="4"/>
      <c r="K5" s="37">
        <f t="shared" si="2"/>
        <v>0</v>
      </c>
      <c r="L5" s="23">
        <f t="shared" ref="L5:L28" si="31">IFERROR(K5*C5,"  ")</f>
        <v>0</v>
      </c>
      <c r="M5" s="38">
        <f t="shared" si="3"/>
        <v>0</v>
      </c>
      <c r="N5" s="27">
        <f t="shared" ref="N5:N28" si="32">IFERROR(M5*C5,"  ")</f>
        <v>0</v>
      </c>
      <c r="O5" s="23">
        <f t="shared" ref="O5:O28" si="33">IFERROR(L5*E5,"  ")</f>
        <v>0</v>
      </c>
      <c r="P5" s="4"/>
      <c r="Q5" s="8" t="s">
        <v>27</v>
      </c>
      <c r="R5" s="9" t="s">
        <v>8</v>
      </c>
      <c r="S5" s="10">
        <f>BREADTH</f>
        <v>24.5</v>
      </c>
      <c r="W5" s="29">
        <f>IF(AO5="  ","  ",IF(AND(AO4="  ",AO6="  "),"?",IF(AO4="  ",2*(AO6-AO5),IF(AO6="  ",2*(AO5-AO4),2*(AO6-AO4)))))</f>
        <v>2</v>
      </c>
      <c r="X5" s="30" t="str">
        <f t="shared" si="4"/>
        <v>--</v>
      </c>
      <c r="Y5" s="30">
        <f t="shared" si="5"/>
        <v>0</v>
      </c>
      <c r="Z5" s="29" t="b">
        <f t="shared" si="6"/>
        <v>1</v>
      </c>
      <c r="AA5" s="29" t="str">
        <f t="shared" si="7"/>
        <v xml:space="preserve"> </v>
      </c>
      <c r="AB5" s="29" t="str">
        <f t="shared" ca="1" si="8"/>
        <v>**</v>
      </c>
      <c r="AC5" s="29">
        <f t="shared" ref="AC5:AC27" si="34">IF(ISNUMBER(AO5),IF(ISNUMBER(AO5),IF(OR(AO5=0,AO5=Long_Div),1,IF(AO5&gt;Long_Div/2,AC6+1,IF(AO5&lt;=Long_Div/2,AC4+1,"?")))," --")," ")</f>
        <v>2</v>
      </c>
      <c r="AD5" s="29">
        <f t="shared" ca="1" si="9"/>
        <v>-1</v>
      </c>
      <c r="AE5" s="29">
        <v>2</v>
      </c>
      <c r="AF5" s="31" t="str">
        <f t="shared" si="10"/>
        <v xml:space="preserve"> </v>
      </c>
      <c r="AG5" s="29" t="str">
        <f t="shared" si="11"/>
        <v xml:space="preserve"> </v>
      </c>
      <c r="AH5" s="30" t="str">
        <f t="shared" si="12"/>
        <v>-</v>
      </c>
      <c r="AI5" s="30" t="str">
        <f t="shared" ca="1" si="13"/>
        <v/>
      </c>
      <c r="AJ5" s="29">
        <f t="shared" ca="1" si="14"/>
        <v>0</v>
      </c>
      <c r="AK5" s="29" t="str">
        <f t="shared" si="15"/>
        <v/>
      </c>
      <c r="AL5" s="29">
        <f t="shared" si="16"/>
        <v>0</v>
      </c>
      <c r="AM5" s="32" t="str">
        <f t="shared" ref="AM5:AM28" ca="1" si="35">IF(AQ5=""," ",AJ5+AL5)</f>
        <v xml:space="preserve"> </v>
      </c>
      <c r="AO5" s="20">
        <f>Tools!$AD4</f>
        <v>0.5</v>
      </c>
      <c r="AP5" s="33">
        <f t="shared" ref="AP5:AP26" si="36">VLOOKUP(AO5,OFFSET_A,Count_WL+1,FALSE)</f>
        <v>0</v>
      </c>
      <c r="AQ5" s="34" t="str">
        <f t="shared" ca="1" si="18"/>
        <v/>
      </c>
      <c r="AR5" s="23" t="str">
        <f t="shared" ca="1" si="19"/>
        <v xml:space="preserve">  </v>
      </c>
      <c r="AS5" s="24">
        <f t="shared" si="20"/>
        <v>-9.5</v>
      </c>
      <c r="AT5" s="23" t="str">
        <f t="shared" ref="AT5:AT28" ca="1" si="37">IFERROR(AR5*AS5,"  ")</f>
        <v xml:space="preserve">  </v>
      </c>
      <c r="AU5" s="23" t="str">
        <f ca="1">IFERROR(AT5*AS5,"  ")</f>
        <v xml:space="preserve">  </v>
      </c>
      <c r="AV5" s="23">
        <f t="shared" si="21"/>
        <v>0</v>
      </c>
      <c r="AW5" s="23" t="str">
        <f t="shared" ca="1" si="22"/>
        <v xml:space="preserve">  </v>
      </c>
      <c r="AY5" s="35">
        <f t="shared" si="23"/>
        <v>0</v>
      </c>
      <c r="AZ5" s="23" t="str">
        <f t="shared" ca="1" si="24"/>
        <v xml:space="preserve">  </v>
      </c>
      <c r="BA5" s="36">
        <f t="shared" si="25"/>
        <v>0</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f t="shared" si="0"/>
        <v>0</v>
      </c>
      <c r="C6" s="22">
        <f>IF(A6="  ","  ",IF(AND(A5="  ",A7="  "),"?",IF(A5="  ",1*(A7-A6),IF(A7="  ",1*(A6-A5),1*(A7-A5)))))</f>
        <v>1</v>
      </c>
      <c r="D6" s="23">
        <f t="shared" si="26"/>
        <v>0</v>
      </c>
      <c r="E6" s="24">
        <f t="shared" si="1"/>
        <v>-9</v>
      </c>
      <c r="F6" s="23">
        <f t="shared" si="27"/>
        <v>0</v>
      </c>
      <c r="G6" s="23">
        <f t="shared" si="28"/>
        <v>0</v>
      </c>
      <c r="H6" s="23">
        <f t="shared" si="29"/>
        <v>0</v>
      </c>
      <c r="I6" s="23">
        <f t="shared" si="30"/>
        <v>0</v>
      </c>
      <c r="J6" s="4"/>
      <c r="K6" s="37">
        <f t="shared" si="2"/>
        <v>0</v>
      </c>
      <c r="L6" s="23">
        <f t="shared" si="31"/>
        <v>0</v>
      </c>
      <c r="M6" s="38">
        <f t="shared" si="3"/>
        <v>0</v>
      </c>
      <c r="N6" s="27">
        <f t="shared" si="32"/>
        <v>0</v>
      </c>
      <c r="O6" s="23">
        <f t="shared" si="33"/>
        <v>0</v>
      </c>
      <c r="P6" s="4"/>
      <c r="Q6" s="8" t="s">
        <v>28</v>
      </c>
      <c r="R6" s="9" t="s">
        <v>8</v>
      </c>
      <c r="S6" s="10">
        <f>DEPTH</f>
        <v>14.19</v>
      </c>
      <c r="W6" s="29">
        <f>IF(AO6="  ","  ",IF(AND(AO5="  ",AO7="  "),"?",IF(AO5="  ",1*(AO7-AO6),IF(AO7="  ",1*(AO6-AO5),1*(AO7-AO5)))))</f>
        <v>1</v>
      </c>
      <c r="X6" s="30" t="str">
        <f t="shared" si="4"/>
        <v>--</v>
      </c>
      <c r="Y6" s="30">
        <f t="shared" si="5"/>
        <v>0</v>
      </c>
      <c r="Z6" s="29" t="b">
        <f t="shared" si="6"/>
        <v>1</v>
      </c>
      <c r="AA6" s="29" t="str">
        <f t="shared" si="7"/>
        <v xml:space="preserve"> </v>
      </c>
      <c r="AB6" s="29" t="str">
        <f t="shared" ca="1" si="8"/>
        <v>141-1</v>
      </c>
      <c r="AC6" s="29">
        <f t="shared" si="34"/>
        <v>3</v>
      </c>
      <c r="AD6" s="29">
        <f t="shared" ca="1" si="9"/>
        <v>0</v>
      </c>
      <c r="AE6" s="29">
        <v>3</v>
      </c>
      <c r="AF6" s="31" t="str">
        <f t="shared" si="10"/>
        <v xml:space="preserve"> </v>
      </c>
      <c r="AG6" s="29" t="str">
        <f t="shared" si="11"/>
        <v xml:space="preserve"> </v>
      </c>
      <c r="AH6" s="30" t="str">
        <f t="shared" si="12"/>
        <v>-</v>
      </c>
      <c r="AI6" s="30" t="str">
        <f t="shared" ca="1" si="13"/>
        <v>(1/2)*(1/3)</v>
      </c>
      <c r="AJ6" s="29">
        <f t="shared" ca="1" si="14"/>
        <v>0.16666666666666666</v>
      </c>
      <c r="AK6" s="29" t="str">
        <f t="shared" si="15"/>
        <v/>
      </c>
      <c r="AL6" s="29">
        <f t="shared" si="16"/>
        <v>0</v>
      </c>
      <c r="AM6" s="32">
        <f t="shared" ca="1" si="35"/>
        <v>0.16666666666666666</v>
      </c>
      <c r="AO6" s="20">
        <f>Tools!$AD5</f>
        <v>1</v>
      </c>
      <c r="AP6" s="33">
        <f t="shared" si="36"/>
        <v>0</v>
      </c>
      <c r="AQ6" s="34" t="str">
        <f t="shared" ca="1" si="18"/>
        <v>(1/2)*(1/3)</v>
      </c>
      <c r="AR6" s="23">
        <f t="shared" ca="1" si="19"/>
        <v>0</v>
      </c>
      <c r="AS6" s="24">
        <f t="shared" si="20"/>
        <v>-9</v>
      </c>
      <c r="AT6" s="23">
        <f t="shared" ca="1" si="37"/>
        <v>0</v>
      </c>
      <c r="AU6" s="23">
        <f ca="1">IFERROR(AT6*AS6,"  ")</f>
        <v>0</v>
      </c>
      <c r="AV6" s="23">
        <f t="shared" si="21"/>
        <v>0</v>
      </c>
      <c r="AW6" s="23">
        <f t="shared" ca="1" si="22"/>
        <v>0</v>
      </c>
      <c r="AY6" s="35">
        <f t="shared" si="23"/>
        <v>0</v>
      </c>
      <c r="AZ6" s="23">
        <f t="shared" ca="1" si="24"/>
        <v>0</v>
      </c>
      <c r="BA6" s="36">
        <f t="shared" si="25"/>
        <v>0</v>
      </c>
      <c r="BB6" s="27">
        <f t="shared" ca="1" si="38"/>
        <v>0</v>
      </c>
      <c r="BC6" s="23">
        <f t="shared" ca="1" si="39"/>
        <v>0</v>
      </c>
      <c r="BE6" s="8" t="s">
        <v>28</v>
      </c>
      <c r="BF6" s="9" t="s">
        <v>8</v>
      </c>
      <c r="BG6" s="10">
        <f>DEPTH</f>
        <v>14.19</v>
      </c>
    </row>
    <row r="7" spans="1:60" x14ac:dyDescent="0.25">
      <c r="A7" s="20">
        <f>Tools!$AD6</f>
        <v>1.5</v>
      </c>
      <c r="B7" s="33">
        <f t="shared" si="0"/>
        <v>0</v>
      </c>
      <c r="C7" s="22">
        <f>IF(A7="  ","  ",IF(AND(A6="  ",A8="  "),"?",IF(A6="  ",2*(A8-A7),IF(A8="  ",2*(A7-A6),2*(A8-A6)))))</f>
        <v>2</v>
      </c>
      <c r="D7" s="23">
        <f t="shared" si="26"/>
        <v>0</v>
      </c>
      <c r="E7" s="24">
        <f t="shared" si="1"/>
        <v>-8.5</v>
      </c>
      <c r="F7" s="23">
        <f t="shared" si="27"/>
        <v>0</v>
      </c>
      <c r="G7" s="23">
        <f t="shared" si="28"/>
        <v>0</v>
      </c>
      <c r="H7" s="23">
        <f t="shared" si="29"/>
        <v>0</v>
      </c>
      <c r="I7" s="23">
        <f t="shared" si="30"/>
        <v>0</v>
      </c>
      <c r="J7" s="4"/>
      <c r="K7" s="37">
        <f t="shared" si="2"/>
        <v>0</v>
      </c>
      <c r="L7" s="23">
        <f t="shared" si="31"/>
        <v>0</v>
      </c>
      <c r="M7" s="38">
        <f t="shared" si="3"/>
        <v>0</v>
      </c>
      <c r="N7" s="27">
        <f t="shared" si="32"/>
        <v>0</v>
      </c>
      <c r="O7" s="23">
        <f t="shared" si="33"/>
        <v>0</v>
      </c>
      <c r="P7" s="4"/>
      <c r="Q7" s="39" t="s">
        <v>29</v>
      </c>
      <c r="R7" s="40" t="s">
        <v>8</v>
      </c>
      <c r="S7" s="41">
        <f>IF(MAX(B4:B28)=0," ",2*MAX(B4:B28))</f>
        <v>23.52</v>
      </c>
      <c r="W7" s="29">
        <f>IF(AO7="  ","  ",IF(AND(AO6="  ",AO8="  "),"?",IF(AO6="  ",2*(AO8-AO7),IF(AO8="  ",2*(AO7-AO6),2*(AO8-AO6)))))</f>
        <v>2</v>
      </c>
      <c r="X7" s="30" t="str">
        <f t="shared" si="4"/>
        <v>-D</v>
      </c>
      <c r="Y7" s="30" t="str">
        <f t="shared" si="5"/>
        <v>-</v>
      </c>
      <c r="Z7" s="29" t="b">
        <f t="shared" si="6"/>
        <v>1</v>
      </c>
      <c r="AA7" s="29" t="b">
        <f t="shared" si="7"/>
        <v>1</v>
      </c>
      <c r="AB7" s="29" t="str">
        <f t="shared" ca="1" si="8"/>
        <v>141-4</v>
      </c>
      <c r="AC7" s="29">
        <f t="shared" si="34"/>
        <v>4</v>
      </c>
      <c r="AD7" s="29">
        <f t="shared" ca="1" si="9"/>
        <v>1</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0</v>
      </c>
      <c r="AQ7" s="34" t="str">
        <f t="shared" ca="1" si="18"/>
        <v>(1/2)*(4/3)</v>
      </c>
      <c r="AR7" s="23">
        <f t="shared" ca="1" si="19"/>
        <v>0</v>
      </c>
      <c r="AS7" s="24">
        <f t="shared" si="20"/>
        <v>-8.5</v>
      </c>
      <c r="AT7" s="23">
        <f t="shared" ca="1" si="37"/>
        <v>0</v>
      </c>
      <c r="AU7" s="23">
        <f t="shared" ref="AU7:AU28" ca="1" si="40">IFERROR(AT7*AS7,"  ")</f>
        <v>0</v>
      </c>
      <c r="AV7" s="23">
        <f t="shared" si="21"/>
        <v>0</v>
      </c>
      <c r="AW7" s="23">
        <f t="shared" ca="1" si="22"/>
        <v>0</v>
      </c>
      <c r="AY7" s="35">
        <f t="shared" si="23"/>
        <v>0</v>
      </c>
      <c r="AZ7" s="23">
        <f t="shared" ca="1" si="24"/>
        <v>0</v>
      </c>
      <c r="BA7" s="36">
        <f t="shared" si="25"/>
        <v>0</v>
      </c>
      <c r="BB7" s="27">
        <f t="shared" ca="1" si="38"/>
        <v>0</v>
      </c>
      <c r="BC7" s="23">
        <f t="shared" ca="1" si="39"/>
        <v>0</v>
      </c>
      <c r="BE7" s="8" t="s">
        <v>29</v>
      </c>
      <c r="BF7" s="9" t="s">
        <v>8</v>
      </c>
      <c r="BG7" s="10">
        <f>IF(MAX(AP4:AP28)=0," ",2*MAX(AP4:AP28))</f>
        <v>23.52</v>
      </c>
    </row>
    <row r="8" spans="1:60" x14ac:dyDescent="0.25">
      <c r="A8" s="20">
        <f>Tools!$AD7</f>
        <v>2</v>
      </c>
      <c r="B8" s="33">
        <f t="shared" si="0"/>
        <v>1.04</v>
      </c>
      <c r="C8" s="22">
        <f>IF(A8="  ","  ",IF(AND(A7="  ",A9="  "),"?",IF(A7="  ",1*(A9-A8),IF(A9="  ",1*(A8-A7),1*(A9-A7)))))</f>
        <v>1.5</v>
      </c>
      <c r="D8" s="23">
        <f t="shared" si="26"/>
        <v>1.56</v>
      </c>
      <c r="E8" s="24">
        <f t="shared" si="1"/>
        <v>-8</v>
      </c>
      <c r="F8" s="23">
        <f t="shared" si="27"/>
        <v>-12.48</v>
      </c>
      <c r="G8" s="23">
        <f t="shared" si="28"/>
        <v>99.84</v>
      </c>
      <c r="H8" s="23">
        <f t="shared" si="29"/>
        <v>1.1248640000000001</v>
      </c>
      <c r="I8" s="23">
        <f t="shared" si="30"/>
        <v>1.6872960000000001</v>
      </c>
      <c r="J8" s="4"/>
      <c r="K8" s="37">
        <f t="shared" si="2"/>
        <v>1.4550000000000001</v>
      </c>
      <c r="L8" s="23">
        <f t="shared" si="31"/>
        <v>2.1825000000000001</v>
      </c>
      <c r="M8" s="38">
        <f t="shared" si="3"/>
        <v>1.9767300000000001</v>
      </c>
      <c r="N8" s="27">
        <f t="shared" si="32"/>
        <v>2.9650950000000003</v>
      </c>
      <c r="O8" s="23">
        <f t="shared" si="33"/>
        <v>-17.46</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2</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1.04</v>
      </c>
      <c r="AQ8" s="34" t="str">
        <f t="shared" ca="1" si="18"/>
        <v>(1/2)*(1/3)+1/3</v>
      </c>
      <c r="AR8" s="23">
        <f t="shared" ca="1" si="19"/>
        <v>0.52</v>
      </c>
      <c r="AS8" s="24">
        <f t="shared" si="20"/>
        <v>-8</v>
      </c>
      <c r="AT8" s="23">
        <f t="shared" ca="1" si="37"/>
        <v>-4.16</v>
      </c>
      <c r="AU8" s="23">
        <f t="shared" ca="1" si="40"/>
        <v>33.28</v>
      </c>
      <c r="AV8" s="23">
        <f t="shared" si="21"/>
        <v>1.1248640000000001</v>
      </c>
      <c r="AW8" s="23">
        <f t="shared" ca="1" si="22"/>
        <v>0.56243200000000004</v>
      </c>
      <c r="AY8" s="35">
        <f t="shared" si="23"/>
        <v>1.4550000000000001</v>
      </c>
      <c r="AZ8" s="23">
        <f ca="1">IFERROR(AY8*AM8,"  ")</f>
        <v>0.72750000000000004</v>
      </c>
      <c r="BA8" s="36">
        <f t="shared" si="25"/>
        <v>1.9767300000000001</v>
      </c>
      <c r="BB8" s="27">
        <f t="shared" ca="1" si="38"/>
        <v>0.98836500000000005</v>
      </c>
      <c r="BC8" s="23">
        <f t="shared" ca="1" si="39"/>
        <v>-5.82</v>
      </c>
      <c r="BE8" s="8" t="s">
        <v>30</v>
      </c>
      <c r="BF8" s="9" t="s">
        <v>8</v>
      </c>
      <c r="BG8" s="10">
        <f ca="1">LBP-AJ33</f>
        <v>125.11499999999999</v>
      </c>
      <c r="BH8" t="str">
        <f ca="1">IF(AJ33&gt;0,CONCATENATE("(LWL is assumed between stations ",$AH$31," and ",$AH$33," as offset values extreme to these stations are zeros.)"),"")</f>
        <v>(LWL is assumed between stations 1 and 20 as offset values extreme to these stations are zeros.)</v>
      </c>
    </row>
    <row r="9" spans="1:60" x14ac:dyDescent="0.25">
      <c r="A9" s="20">
        <f>Tools!$AD8</f>
        <v>3</v>
      </c>
      <c r="B9" s="33">
        <f t="shared" si="0"/>
        <v>2.2999999999999998</v>
      </c>
      <c r="C9" s="22">
        <f>IF(A9="  ","  ",IF(AND(A8="  ",A10="  "),"?",IF(A8="  ",2*(A10-A9),IF(A10="  ",2*(A9-A8),2*(A10-A8)))))</f>
        <v>4</v>
      </c>
      <c r="D9" s="23">
        <f t="shared" si="26"/>
        <v>9.1999999999999993</v>
      </c>
      <c r="E9" s="24">
        <f t="shared" si="1"/>
        <v>-7</v>
      </c>
      <c r="F9" s="23">
        <f t="shared" si="27"/>
        <v>-64.399999999999991</v>
      </c>
      <c r="G9" s="23">
        <f t="shared" si="28"/>
        <v>450.79999999999995</v>
      </c>
      <c r="H9" s="23">
        <f t="shared" si="29"/>
        <v>12.166999999999996</v>
      </c>
      <c r="I9" s="23">
        <f t="shared" si="30"/>
        <v>48.667999999999985</v>
      </c>
      <c r="J9" s="4"/>
      <c r="K9" s="37">
        <f t="shared" si="2"/>
        <v>5.5679999999999996</v>
      </c>
      <c r="L9" s="23">
        <f t="shared" si="31"/>
        <v>22.271999999999998</v>
      </c>
      <c r="M9" s="38">
        <f t="shared" si="3"/>
        <v>6.0911999999999997</v>
      </c>
      <c r="N9" s="27">
        <f t="shared" si="32"/>
        <v>24.364799999999999</v>
      </c>
      <c r="O9" s="23">
        <f t="shared" si="33"/>
        <v>-155.904</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3</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2.2999999999999998</v>
      </c>
      <c r="AQ9" s="34" t="str">
        <f t="shared" ca="1" si="18"/>
        <v>4/3</v>
      </c>
      <c r="AR9" s="23">
        <f t="shared" ca="1" si="19"/>
        <v>3.0666666666666664</v>
      </c>
      <c r="AS9" s="24">
        <f t="shared" si="20"/>
        <v>-7</v>
      </c>
      <c r="AT9" s="23">
        <f t="shared" ca="1" si="37"/>
        <v>-21.466666666666665</v>
      </c>
      <c r="AU9" s="23">
        <f t="shared" ca="1" si="40"/>
        <v>150.26666666666665</v>
      </c>
      <c r="AV9" s="23">
        <f t="shared" si="21"/>
        <v>12.166999999999996</v>
      </c>
      <c r="AW9" s="23">
        <f t="shared" ca="1" si="22"/>
        <v>16.222666666666662</v>
      </c>
      <c r="AY9" s="35">
        <f t="shared" si="23"/>
        <v>5.5679999999999996</v>
      </c>
      <c r="AZ9" s="23">
        <f t="shared" ref="AZ9:AZ28" ca="1" si="41">IFERROR(AY9*AM9,"  ")</f>
        <v>7.4239999999999995</v>
      </c>
      <c r="BA9" s="36">
        <f t="shared" si="25"/>
        <v>6.0911999999999997</v>
      </c>
      <c r="BB9" s="27">
        <f t="shared" ca="1" si="38"/>
        <v>8.121599999999999</v>
      </c>
      <c r="BC9" s="23">
        <f t="shared" ca="1" si="39"/>
        <v>-51.967999999999996</v>
      </c>
    </row>
    <row r="10" spans="1:60" x14ac:dyDescent="0.25">
      <c r="A10" s="20">
        <f>Tools!$AD9</f>
        <v>4</v>
      </c>
      <c r="B10" s="33">
        <f t="shared" si="0"/>
        <v>4.08</v>
      </c>
      <c r="C10" s="22">
        <f>IF(A10="  ","  ",IF(AND(A9="  ",A11="  "),"?",IF(A9="  ",1*(A11-A10),IF(A11="  ",1*(A10-A9),1*(A11-A9)))))</f>
        <v>2</v>
      </c>
      <c r="D10" s="23">
        <f t="shared" si="26"/>
        <v>8.16</v>
      </c>
      <c r="E10" s="24">
        <f t="shared" si="1"/>
        <v>-6</v>
      </c>
      <c r="F10" s="23">
        <f t="shared" si="27"/>
        <v>-48.96</v>
      </c>
      <c r="G10" s="23">
        <f t="shared" si="28"/>
        <v>293.76</v>
      </c>
      <c r="H10" s="23">
        <f t="shared" si="29"/>
        <v>67.917311999999995</v>
      </c>
      <c r="I10" s="23">
        <f>IFERROR(H10*C10,"  ")</f>
        <v>135.83462399999999</v>
      </c>
      <c r="J10" s="4"/>
      <c r="K10" s="37">
        <f t="shared" si="2"/>
        <v>10.655999999999999</v>
      </c>
      <c r="L10" s="23">
        <f t="shared" si="31"/>
        <v>21.311999999999998</v>
      </c>
      <c r="M10" s="38">
        <f t="shared" si="3"/>
        <v>11.2536</v>
      </c>
      <c r="N10" s="27">
        <f t="shared" si="32"/>
        <v>22.507200000000001</v>
      </c>
      <c r="O10" s="23">
        <f t="shared" si="33"/>
        <v>-127.87199999999999</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4</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4.08</v>
      </c>
      <c r="AQ10" s="34" t="str">
        <f t="shared" ca="1" si="18"/>
        <v>2/3</v>
      </c>
      <c r="AR10" s="23">
        <f t="shared" ca="1" si="19"/>
        <v>2.7199999999999998</v>
      </c>
      <c r="AS10" s="24">
        <f t="shared" si="20"/>
        <v>-6</v>
      </c>
      <c r="AT10" s="23">
        <f t="shared" ca="1" si="37"/>
        <v>-16.32</v>
      </c>
      <c r="AU10" s="23">
        <f ca="1">IFERROR(AT10*AS10,"  ")</f>
        <v>97.92</v>
      </c>
      <c r="AV10" s="23">
        <f t="shared" si="21"/>
        <v>67.917311999999995</v>
      </c>
      <c r="AW10" s="23">
        <f t="shared" ca="1" si="22"/>
        <v>45.278207999999992</v>
      </c>
      <c r="AY10" s="35">
        <f t="shared" si="23"/>
        <v>10.655999999999999</v>
      </c>
      <c r="AZ10" s="23">
        <f t="shared" ca="1" si="41"/>
        <v>7.1039999999999992</v>
      </c>
      <c r="BA10" s="36">
        <f t="shared" si="25"/>
        <v>11.2536</v>
      </c>
      <c r="BB10" s="27">
        <f t="shared" ca="1" si="38"/>
        <v>7.5023999999999997</v>
      </c>
      <c r="BC10" s="23">
        <f t="shared" ca="1" si="39"/>
        <v>-42.623999999999995</v>
      </c>
      <c r="BE10" s="43" t="s">
        <v>31</v>
      </c>
      <c r="BF10" s="44" t="s">
        <v>32</v>
      </c>
      <c r="BG10" s="506" t="s">
        <v>33</v>
      </c>
    </row>
    <row r="11" spans="1:60" x14ac:dyDescent="0.25">
      <c r="A11" s="20">
        <f>Tools!$AD10</f>
        <v>5</v>
      </c>
      <c r="B11" s="33">
        <f t="shared" si="0"/>
        <v>6.09</v>
      </c>
      <c r="C11" s="22">
        <f>IF(A11="  ","  ",IF(AND(A10="  ",A12="  "),"?",IF(A10="  ",2*(A12-A11),IF(A12="  ",2*(A11-A10),2*(A12-A10)))))</f>
        <v>4</v>
      </c>
      <c r="D11" s="23">
        <f t="shared" si="26"/>
        <v>24.36</v>
      </c>
      <c r="E11" s="24">
        <f t="shared" si="1"/>
        <v>-5</v>
      </c>
      <c r="F11" s="23">
        <f t="shared" si="27"/>
        <v>-121.8</v>
      </c>
      <c r="G11" s="23">
        <f t="shared" si="28"/>
        <v>609</v>
      </c>
      <c r="H11" s="23">
        <f t="shared" si="29"/>
        <v>225.86652899999999</v>
      </c>
      <c r="I11" s="23">
        <f t="shared" si="30"/>
        <v>903.46611599999994</v>
      </c>
      <c r="J11" s="4"/>
      <c r="K11" s="37">
        <f t="shared" si="2"/>
        <v>16.169999999999998</v>
      </c>
      <c r="L11" s="23">
        <f t="shared" si="31"/>
        <v>64.679999999999993</v>
      </c>
      <c r="M11" s="38">
        <f t="shared" si="3"/>
        <v>16.966799999999999</v>
      </c>
      <c r="N11" s="27">
        <f t="shared" si="32"/>
        <v>67.867199999999997</v>
      </c>
      <c r="O11" s="23">
        <f t="shared" si="33"/>
        <v>-323.39999999999998</v>
      </c>
      <c r="P11" s="4"/>
      <c r="Q11" s="47" t="s">
        <v>34</v>
      </c>
      <c r="R11" s="48" t="s">
        <v>35</v>
      </c>
      <c r="S11">
        <f>IF(Tools!$L$49="Use 141 rule only",I35,IF(Tools!$L$49="Use 141 and 1331 rules",BG12," "))</f>
        <v>1670.0218499999996</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5</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6.09</v>
      </c>
      <c r="AQ11" s="34" t="str">
        <f t="shared" ca="1" si="18"/>
        <v>4/3</v>
      </c>
      <c r="AR11" s="23">
        <f t="shared" ca="1" si="19"/>
        <v>8.1199999999999992</v>
      </c>
      <c r="AS11" s="24">
        <f t="shared" si="20"/>
        <v>-5</v>
      </c>
      <c r="AT11" s="23">
        <f t="shared" ca="1" si="37"/>
        <v>-40.599999999999994</v>
      </c>
      <c r="AU11" s="23">
        <f t="shared" ca="1" si="40"/>
        <v>202.99999999999997</v>
      </c>
      <c r="AV11" s="23">
        <f t="shared" si="21"/>
        <v>225.86652899999999</v>
      </c>
      <c r="AW11" s="23">
        <f t="shared" ca="1" si="22"/>
        <v>301.15537199999994</v>
      </c>
      <c r="AY11" s="35">
        <f t="shared" si="23"/>
        <v>16.169999999999998</v>
      </c>
      <c r="AZ11" s="23">
        <f t="shared" ca="1" si="41"/>
        <v>21.559999999999995</v>
      </c>
      <c r="BA11" s="36">
        <f t="shared" si="25"/>
        <v>16.966799999999999</v>
      </c>
      <c r="BB11" s="27">
        <f t="shared" ca="1" si="38"/>
        <v>22.622399999999999</v>
      </c>
      <c r="BC11" s="23">
        <f ca="1">IFERROR(AZ11*AS11,"  ")</f>
        <v>-107.79999999999998</v>
      </c>
      <c r="BE11" s="45"/>
      <c r="BF11" s="46"/>
      <c r="BG11" s="507"/>
    </row>
    <row r="12" spans="1:60" x14ac:dyDescent="0.25">
      <c r="A12" s="20">
        <f>Tools!$AD11</f>
        <v>6</v>
      </c>
      <c r="B12" s="33">
        <f t="shared" si="0"/>
        <v>8.34</v>
      </c>
      <c r="C12" s="22">
        <f>IF(A12="  ","  ",IF(AND(A11="  ",A13="  "),"?",IF(A11="  ",1*(A13-A12),IF(A13="  ",1*(A12-A11),1*(A13-A11)))))</f>
        <v>2</v>
      </c>
      <c r="D12" s="23">
        <f t="shared" si="26"/>
        <v>16.68</v>
      </c>
      <c r="E12" s="24">
        <f t="shared" si="1"/>
        <v>-4</v>
      </c>
      <c r="F12" s="23">
        <f t="shared" si="27"/>
        <v>-66.72</v>
      </c>
      <c r="G12" s="23">
        <f t="shared" si="28"/>
        <v>266.88</v>
      </c>
      <c r="H12" s="23">
        <f t="shared" si="29"/>
        <v>580.093704</v>
      </c>
      <c r="I12" s="23">
        <f t="shared" si="30"/>
        <v>1160.187408</v>
      </c>
      <c r="J12" s="4"/>
      <c r="K12" s="37">
        <f t="shared" si="2"/>
        <v>22.139999999999997</v>
      </c>
      <c r="L12" s="23">
        <f t="shared" si="31"/>
        <v>44.279999999999994</v>
      </c>
      <c r="M12" s="38">
        <f t="shared" si="3"/>
        <v>23.241600000000002</v>
      </c>
      <c r="N12" s="27">
        <f t="shared" si="32"/>
        <v>46.483200000000004</v>
      </c>
      <c r="O12" s="23">
        <f t="shared" si="33"/>
        <v>-177.11999999999998</v>
      </c>
      <c r="P12" s="4"/>
      <c r="Q12" s="47" t="s">
        <v>36</v>
      </c>
      <c r="R12" s="48" t="s">
        <v>37</v>
      </c>
      <c r="S12">
        <f>IF(Tools!$L$49="Use 141 rule only",I36,IF(Tools!$L$49="Use 141 and 1331 rules",BG13," "))</f>
        <v>3638.6688404999991</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6</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8.34</v>
      </c>
      <c r="AQ12" s="34" t="str">
        <f t="shared" ca="1" si="18"/>
        <v>2/3</v>
      </c>
      <c r="AR12" s="23">
        <f t="shared" ca="1" si="19"/>
        <v>5.56</v>
      </c>
      <c r="AS12" s="24">
        <f t="shared" si="20"/>
        <v>-4</v>
      </c>
      <c r="AT12" s="23">
        <f t="shared" ca="1" si="37"/>
        <v>-22.24</v>
      </c>
      <c r="AU12" s="23">
        <f t="shared" ca="1" si="40"/>
        <v>88.96</v>
      </c>
      <c r="AV12" s="23">
        <f t="shared" si="21"/>
        <v>580.093704</v>
      </c>
      <c r="AW12" s="23">
        <f t="shared" ca="1" si="22"/>
        <v>386.72913599999998</v>
      </c>
      <c r="AY12" s="35">
        <f t="shared" si="23"/>
        <v>22.139999999999997</v>
      </c>
      <c r="AZ12" s="23">
        <f t="shared" ca="1" si="41"/>
        <v>14.759999999999998</v>
      </c>
      <c r="BA12" s="36">
        <f t="shared" si="25"/>
        <v>23.241600000000002</v>
      </c>
      <c r="BB12" s="27">
        <f t="shared" ca="1" si="38"/>
        <v>15.494400000000001</v>
      </c>
      <c r="BC12" s="23">
        <f t="shared" ca="1" si="39"/>
        <v>-59.039999999999992</v>
      </c>
      <c r="BE12" s="47" t="s">
        <v>34</v>
      </c>
      <c r="BF12" s="48" t="s">
        <v>38</v>
      </c>
      <c r="BG12" s="49">
        <f ca="1">IF(WL_No="  ","  ",2*h*$AR$29)</f>
        <v>1670.0218499999999</v>
      </c>
    </row>
    <row r="13" spans="1:60" x14ac:dyDescent="0.25">
      <c r="A13" s="20">
        <f>Tools!$AD12</f>
        <v>7</v>
      </c>
      <c r="B13" s="33">
        <f t="shared" si="0"/>
        <v>10.26</v>
      </c>
      <c r="C13" s="22">
        <f>IF(A13="  ","  ",IF(AND(A12="  ",A14="  "),"?",IF(A12="  ",2*(A14-A13),IF(A14="  ",2*(A13-A12),2*(A14-A12)))))</f>
        <v>4</v>
      </c>
      <c r="D13" s="23">
        <f t="shared" si="26"/>
        <v>41.04</v>
      </c>
      <c r="E13" s="24">
        <f t="shared" si="1"/>
        <v>-3</v>
      </c>
      <c r="F13" s="23">
        <f t="shared" si="27"/>
        <v>-123.12</v>
      </c>
      <c r="G13" s="23">
        <f t="shared" si="28"/>
        <v>369.36</v>
      </c>
      <c r="H13" s="23">
        <f t="shared" si="29"/>
        <v>1080.045576</v>
      </c>
      <c r="I13" s="23">
        <f t="shared" si="30"/>
        <v>4320.1823039999999</v>
      </c>
      <c r="J13" s="4"/>
      <c r="K13" s="37">
        <f t="shared" si="2"/>
        <v>28.973999999999997</v>
      </c>
      <c r="L13" s="23">
        <f t="shared" si="31"/>
        <v>115.89599999999999</v>
      </c>
      <c r="M13" s="38">
        <f t="shared" si="3"/>
        <v>29.613600000000005</v>
      </c>
      <c r="N13" s="27">
        <f t="shared" si="32"/>
        <v>118.45440000000002</v>
      </c>
      <c r="O13" s="23">
        <f t="shared" si="33"/>
        <v>-347.68799999999999</v>
      </c>
      <c r="P13" s="4"/>
      <c r="Q13" s="50" t="s">
        <v>39</v>
      </c>
      <c r="R13" s="48" t="s">
        <v>40</v>
      </c>
      <c r="S13">
        <f>IF(Tools!$L$49="Use 141 rule only",I37,IF(Tools!$L$49="Use 141 and 1331 rules",BG14," "))</f>
        <v>2.1788151098142818</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7</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10.26</v>
      </c>
      <c r="AQ13" s="34" t="str">
        <f t="shared" ca="1" si="18"/>
        <v>4/3</v>
      </c>
      <c r="AR13" s="23">
        <f t="shared" ca="1" si="19"/>
        <v>13.68</v>
      </c>
      <c r="AS13" s="24">
        <f t="shared" si="20"/>
        <v>-3</v>
      </c>
      <c r="AT13" s="23">
        <f t="shared" ca="1" si="37"/>
        <v>-41.04</v>
      </c>
      <c r="AU13" s="23">
        <f t="shared" ca="1" si="40"/>
        <v>123.12</v>
      </c>
      <c r="AV13" s="23">
        <f t="shared" si="21"/>
        <v>1080.045576</v>
      </c>
      <c r="AW13" s="23">
        <f t="shared" ca="1" si="22"/>
        <v>1440.0607679999998</v>
      </c>
      <c r="AY13" s="35">
        <f t="shared" si="23"/>
        <v>28.973999999999997</v>
      </c>
      <c r="AZ13" s="23">
        <f t="shared" ca="1" si="41"/>
        <v>38.631999999999991</v>
      </c>
      <c r="BA13" s="36">
        <f t="shared" si="25"/>
        <v>29.613600000000005</v>
      </c>
      <c r="BB13" s="27">
        <f t="shared" ca="1" si="38"/>
        <v>39.484800000000007</v>
      </c>
      <c r="BC13" s="23">
        <f t="shared" ca="1" si="39"/>
        <v>-115.89599999999997</v>
      </c>
      <c r="BE13" s="47" t="s">
        <v>36</v>
      </c>
      <c r="BF13" s="48" t="s">
        <v>41</v>
      </c>
      <c r="BG13" s="49">
        <f ca="1">IF(WL_No="  ","  ",2*(h^2)*$AT$29)</f>
        <v>3638.6688405000014</v>
      </c>
    </row>
    <row r="14" spans="1:60" x14ac:dyDescent="0.25">
      <c r="A14" s="20">
        <f>Tools!$AD13</f>
        <v>8</v>
      </c>
      <c r="B14" s="33">
        <f t="shared" si="0"/>
        <v>11.35</v>
      </c>
      <c r="C14" s="22">
        <f>IF(A14="  ","  ",IF(AND(A13="  ",A15="  "),"?",IF(A13="  ",1*(A15-A14),IF(A15="  ",1*(A14-A13),1*(A15-A13)))))</f>
        <v>2</v>
      </c>
      <c r="D14" s="23">
        <f t="shared" si="26"/>
        <v>22.7</v>
      </c>
      <c r="E14" s="24">
        <f t="shared" si="1"/>
        <v>-2</v>
      </c>
      <c r="F14" s="23">
        <f t="shared" si="27"/>
        <v>-45.4</v>
      </c>
      <c r="G14" s="23">
        <f t="shared" si="28"/>
        <v>90.8</v>
      </c>
      <c r="H14" s="23">
        <f t="shared" si="29"/>
        <v>1462.1353749999998</v>
      </c>
      <c r="I14" s="23">
        <f t="shared" si="30"/>
        <v>2924.2707499999997</v>
      </c>
      <c r="J14" s="4"/>
      <c r="K14" s="37">
        <f t="shared" si="2"/>
        <v>34.734000000000002</v>
      </c>
      <c r="L14" s="23">
        <f t="shared" si="31"/>
        <v>69.468000000000004</v>
      </c>
      <c r="M14" s="38">
        <f t="shared" si="3"/>
        <v>34.203600000000002</v>
      </c>
      <c r="N14" s="27">
        <f t="shared" si="32"/>
        <v>68.407200000000003</v>
      </c>
      <c r="O14" s="23">
        <f t="shared" si="33"/>
        <v>-138.93600000000001</v>
      </c>
      <c r="P14" s="4"/>
      <c r="Q14" s="50" t="s">
        <v>42</v>
      </c>
      <c r="R14" s="48" t="s">
        <v>43</v>
      </c>
      <c r="S14">
        <f>IF(Tools!$L$49="Use 141 rule only",I38,IF(Tools!$L$49="Use 141 and 1331 rules",BG15," "))</f>
        <v>1035450.8072643819</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8</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11.35</v>
      </c>
      <c r="AQ14" s="34" t="str">
        <f t="shared" ca="1" si="18"/>
        <v>2/3</v>
      </c>
      <c r="AR14" s="23">
        <f t="shared" ca="1" si="19"/>
        <v>7.5666666666666664</v>
      </c>
      <c r="AS14" s="24">
        <f t="shared" si="20"/>
        <v>-2</v>
      </c>
      <c r="AT14" s="23">
        <f t="shared" ca="1" si="37"/>
        <v>-15.133333333333333</v>
      </c>
      <c r="AU14" s="23">
        <f t="shared" ca="1" si="40"/>
        <v>30.266666666666666</v>
      </c>
      <c r="AV14" s="23">
        <f t="shared" si="21"/>
        <v>1462.1353749999998</v>
      </c>
      <c r="AW14" s="23">
        <f t="shared" ca="1" si="22"/>
        <v>974.75691666666648</v>
      </c>
      <c r="AY14" s="35">
        <f t="shared" si="23"/>
        <v>34.734000000000002</v>
      </c>
      <c r="AZ14" s="23">
        <f t="shared" ca="1" si="41"/>
        <v>23.155999999999999</v>
      </c>
      <c r="BA14" s="36">
        <f t="shared" si="25"/>
        <v>34.203600000000002</v>
      </c>
      <c r="BB14" s="27">
        <f t="shared" ca="1" si="38"/>
        <v>22.802399999999999</v>
      </c>
      <c r="BC14" s="23">
        <f t="shared" ca="1" si="39"/>
        <v>-46.311999999999998</v>
      </c>
      <c r="BE14" s="50" t="s">
        <v>39</v>
      </c>
      <c r="BF14" s="48" t="s">
        <v>40</v>
      </c>
      <c r="BG14" s="49">
        <f>IF(WL_No="  ","  ",Mmid/AWP)</f>
        <v>2.1788151098142818</v>
      </c>
    </row>
    <row r="15" spans="1:60" x14ac:dyDescent="0.25">
      <c r="A15" s="20">
        <f>Tools!$AD14</f>
        <v>9</v>
      </c>
      <c r="B15" s="33">
        <f t="shared" si="0"/>
        <v>11.72</v>
      </c>
      <c r="C15" s="22">
        <f>IF(A15="  ","  ",IF(AND(A14="  ",A16="  "),"?",IF(A14="  ",2*(A16-A15),IF(A16="  ",2*(A15-A14),2*(A16-A14)))))</f>
        <v>4</v>
      </c>
      <c r="D15" s="23">
        <f t="shared" si="26"/>
        <v>46.88</v>
      </c>
      <c r="E15" s="24">
        <f t="shared" si="1"/>
        <v>-1</v>
      </c>
      <c r="F15" s="23">
        <f t="shared" si="27"/>
        <v>-46.88</v>
      </c>
      <c r="G15" s="23">
        <f t="shared" si="28"/>
        <v>46.88</v>
      </c>
      <c r="H15" s="23">
        <f t="shared" si="29"/>
        <v>1609.8404480000004</v>
      </c>
      <c r="I15" s="23">
        <f t="shared" si="30"/>
        <v>6439.3617920000015</v>
      </c>
      <c r="J15" s="4"/>
      <c r="K15" s="37">
        <f t="shared" si="2"/>
        <v>37.223999999999997</v>
      </c>
      <c r="L15" s="23">
        <f t="shared" si="31"/>
        <v>148.89599999999999</v>
      </c>
      <c r="M15" s="38">
        <f t="shared" si="3"/>
        <v>35.942400000000006</v>
      </c>
      <c r="N15" s="27">
        <f t="shared" si="32"/>
        <v>143.76960000000003</v>
      </c>
      <c r="O15" s="23">
        <f t="shared" si="33"/>
        <v>-148.89599999999999</v>
      </c>
      <c r="P15" s="4"/>
      <c r="Q15" s="51" t="s">
        <v>44</v>
      </c>
      <c r="R15" s="48" t="s">
        <v>45</v>
      </c>
      <c r="S15">
        <f>IF(Tools!$L$49="Use 141 rule only",I39,IF(Tools!$L$49="Use 141 and 1331 rules",BG16," "))</f>
        <v>51280.579929635009</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9</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11.72</v>
      </c>
      <c r="AQ15" s="34" t="str">
        <f t="shared" ca="1" si="18"/>
        <v>4/3</v>
      </c>
      <c r="AR15" s="23">
        <f t="shared" ca="1" si="19"/>
        <v>15.626666666666667</v>
      </c>
      <c r="AS15" s="24">
        <f t="shared" si="20"/>
        <v>-1</v>
      </c>
      <c r="AT15" s="23">
        <f t="shared" ca="1" si="37"/>
        <v>-15.626666666666667</v>
      </c>
      <c r="AU15" s="23">
        <f t="shared" ca="1" si="40"/>
        <v>15.626666666666667</v>
      </c>
      <c r="AV15" s="23">
        <f t="shared" si="21"/>
        <v>1609.8404480000004</v>
      </c>
      <c r="AW15" s="23">
        <f t="shared" ca="1" si="22"/>
        <v>2146.453930666667</v>
      </c>
      <c r="AY15" s="35">
        <f t="shared" si="23"/>
        <v>37.223999999999997</v>
      </c>
      <c r="AZ15" s="23">
        <f t="shared" ca="1" si="41"/>
        <v>49.631999999999991</v>
      </c>
      <c r="BA15" s="36">
        <f t="shared" si="25"/>
        <v>35.942400000000006</v>
      </c>
      <c r="BB15" s="27">
        <f ca="1">IFERROR(BA15*AM15,"  ")</f>
        <v>47.923200000000008</v>
      </c>
      <c r="BC15" s="23">
        <f t="shared" ca="1" si="39"/>
        <v>-49.631999999999991</v>
      </c>
      <c r="BE15" s="50" t="s">
        <v>42</v>
      </c>
      <c r="BF15" s="48" t="s">
        <v>46</v>
      </c>
      <c r="BG15" s="49">
        <f ca="1">IF(WL_No="  ","  ",2*(h^3)*$AU$29)</f>
        <v>1035450.8072643821</v>
      </c>
    </row>
    <row r="16" spans="1:60" x14ac:dyDescent="0.25">
      <c r="A16" s="20">
        <f>Tools!$AD15</f>
        <v>10</v>
      </c>
      <c r="B16" s="33">
        <f t="shared" si="0"/>
        <v>11.76</v>
      </c>
      <c r="C16" s="22">
        <f>IF(A16="  ","  ",IF(AND(A15="  ",A17="  "),"?",IF(A15="  ",1*(A17-A16),IF(A17="  ",1*(A16-A15),1*(A17-A15)))))</f>
        <v>2</v>
      </c>
      <c r="D16" s="23">
        <f t="shared" si="26"/>
        <v>23.52</v>
      </c>
      <c r="E16" s="24">
        <f t="shared" si="1"/>
        <v>0</v>
      </c>
      <c r="F16" s="23">
        <f t="shared" si="27"/>
        <v>0</v>
      </c>
      <c r="G16" s="23">
        <f t="shared" si="28"/>
        <v>0</v>
      </c>
      <c r="H16" s="23">
        <f t="shared" si="29"/>
        <v>1626.3797759999998</v>
      </c>
      <c r="I16" s="23">
        <f t="shared" si="30"/>
        <v>3252.7595519999995</v>
      </c>
      <c r="J16" s="4"/>
      <c r="K16" s="37">
        <f t="shared" si="2"/>
        <v>38.021999999999998</v>
      </c>
      <c r="L16" s="23">
        <f t="shared" si="31"/>
        <v>76.043999999999997</v>
      </c>
      <c r="M16" s="38">
        <f t="shared" si="3"/>
        <v>36.115200000000002</v>
      </c>
      <c r="N16" s="27">
        <f t="shared" si="32"/>
        <v>72.230400000000003</v>
      </c>
      <c r="O16" s="23">
        <f t="shared" si="33"/>
        <v>0</v>
      </c>
      <c r="P16" s="4"/>
      <c r="Q16" s="50" t="s">
        <v>47</v>
      </c>
      <c r="R16" s="48" t="s">
        <v>48</v>
      </c>
      <c r="S16">
        <f>IF(Tools!$L$49="Use 141 rule only",I40,IF(Tools!$L$49="Use 141 and 1331 rules",BG17," "))</f>
        <v>1027522.8206150901</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10</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11.76</v>
      </c>
      <c r="AQ16" s="34" t="str">
        <f t="shared" ca="1" si="18"/>
        <v>2/3</v>
      </c>
      <c r="AR16" s="23">
        <f t="shared" ca="1" si="19"/>
        <v>7.84</v>
      </c>
      <c r="AS16" s="24">
        <f t="shared" si="20"/>
        <v>0</v>
      </c>
      <c r="AT16" s="23">
        <f t="shared" ca="1" si="37"/>
        <v>0</v>
      </c>
      <c r="AU16" s="23">
        <f t="shared" ca="1" si="40"/>
        <v>0</v>
      </c>
      <c r="AV16" s="23">
        <f t="shared" si="21"/>
        <v>1626.3797759999998</v>
      </c>
      <c r="AW16" s="23">
        <f t="shared" ca="1" si="22"/>
        <v>1084.2531839999997</v>
      </c>
      <c r="AY16" s="35">
        <f t="shared" si="23"/>
        <v>38.021999999999998</v>
      </c>
      <c r="AZ16" s="23">
        <f t="shared" ca="1" si="41"/>
        <v>25.347999999999999</v>
      </c>
      <c r="BA16" s="36">
        <f t="shared" si="25"/>
        <v>36.115200000000002</v>
      </c>
      <c r="BB16" s="27">
        <f t="shared" ca="1" si="38"/>
        <v>24.076799999999999</v>
      </c>
      <c r="BC16" s="23">
        <f ca="1">IFERROR(AZ16*AS16,"  ")</f>
        <v>0</v>
      </c>
      <c r="BE16" s="51" t="s">
        <v>44</v>
      </c>
      <c r="BF16" s="48" t="s">
        <v>49</v>
      </c>
      <c r="BG16" s="49">
        <f ca="1">IF(WL_No="  ","  ",2/3*h*$AW$29)</f>
        <v>51280.579929634965</v>
      </c>
    </row>
    <row r="17" spans="1:59" x14ac:dyDescent="0.25">
      <c r="A17" s="20">
        <f>Tools!$AD16</f>
        <v>11</v>
      </c>
      <c r="B17" s="33">
        <f t="shared" si="0"/>
        <v>11.62</v>
      </c>
      <c r="C17" s="22">
        <f>IF(A17="  ","  ",IF(AND(A16="  ",A18="  "),"?",IF(A16="  ",2*(A18-A17),IF(A18="  ",2*(A17-A16),2*(A18-A16)))))</f>
        <v>4</v>
      </c>
      <c r="D17" s="23">
        <f t="shared" si="26"/>
        <v>46.48</v>
      </c>
      <c r="E17" s="24">
        <f t="shared" si="1"/>
        <v>1</v>
      </c>
      <c r="F17" s="23">
        <f t="shared" si="27"/>
        <v>46.48</v>
      </c>
      <c r="G17" s="23">
        <f t="shared" si="28"/>
        <v>46.48</v>
      </c>
      <c r="H17" s="23">
        <f t="shared" si="29"/>
        <v>1568.9835279999998</v>
      </c>
      <c r="I17" s="23">
        <f t="shared" si="30"/>
        <v>6275.934111999999</v>
      </c>
      <c r="J17" s="4"/>
      <c r="K17" s="37">
        <f t="shared" si="2"/>
        <v>37.692</v>
      </c>
      <c r="L17" s="23">
        <f t="shared" si="31"/>
        <v>150.768</v>
      </c>
      <c r="M17" s="38">
        <f t="shared" si="3"/>
        <v>35.553600000000003</v>
      </c>
      <c r="N17" s="27">
        <f t="shared" si="32"/>
        <v>142.21440000000001</v>
      </c>
      <c r="O17" s="23">
        <f t="shared" si="33"/>
        <v>150.768</v>
      </c>
      <c r="P17" s="4"/>
      <c r="Q17" s="50" t="s">
        <v>50</v>
      </c>
      <c r="R17" s="48" t="s">
        <v>51</v>
      </c>
      <c r="S17">
        <f>IF(Tools!$L$49="Use 141 rule only",I41,IF(Tools!$L$49="Use 141 and 1331 rules",BG18," "))</f>
        <v>2464.4444812500001</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11.62</v>
      </c>
      <c r="AQ17" s="34" t="str">
        <f t="shared" ca="1" si="18"/>
        <v>4/3</v>
      </c>
      <c r="AR17" s="23">
        <f t="shared" ca="1" si="19"/>
        <v>15.493333333333332</v>
      </c>
      <c r="AS17" s="24">
        <f t="shared" si="20"/>
        <v>1</v>
      </c>
      <c r="AT17" s="23">
        <f t="shared" ca="1" si="37"/>
        <v>15.493333333333332</v>
      </c>
      <c r="AU17" s="23">
        <f t="shared" ca="1" si="40"/>
        <v>15.493333333333332</v>
      </c>
      <c r="AV17" s="23">
        <f t="shared" si="21"/>
        <v>1568.9835279999998</v>
      </c>
      <c r="AW17" s="23">
        <f t="shared" ca="1" si="22"/>
        <v>2091.9780373333328</v>
      </c>
      <c r="AY17" s="35">
        <f t="shared" si="23"/>
        <v>37.692</v>
      </c>
      <c r="AZ17" s="23">
        <f t="shared" ca="1" si="41"/>
        <v>50.256</v>
      </c>
      <c r="BA17" s="36">
        <f t="shared" si="25"/>
        <v>35.553600000000003</v>
      </c>
      <c r="BB17" s="27">
        <f t="shared" ca="1" si="38"/>
        <v>47.404800000000002</v>
      </c>
      <c r="BC17" s="23">
        <f t="shared" ca="1" si="39"/>
        <v>50.256</v>
      </c>
      <c r="BE17" s="50" t="s">
        <v>47</v>
      </c>
      <c r="BF17" s="48" t="s">
        <v>48</v>
      </c>
      <c r="BG17" s="49">
        <f>IF(WL_No="  ","  ",IL-AWP*(LCF^2))</f>
        <v>1027522.8206150901</v>
      </c>
    </row>
    <row r="18" spans="1:59" x14ac:dyDescent="0.25">
      <c r="A18" s="20">
        <f>Tools!$AD17</f>
        <v>12</v>
      </c>
      <c r="B18" s="33">
        <f t="shared" si="0"/>
        <v>11.1</v>
      </c>
      <c r="C18" s="22">
        <f>IF(A18="  ","  ",IF(AND(A17="  ",A19="  "),"?",IF(A17="  ",1*(A19-A18),IF(A19="  ",1*(A18-A17),1*(A19-A17)))))</f>
        <v>2</v>
      </c>
      <c r="D18" s="23">
        <f t="shared" si="26"/>
        <v>22.2</v>
      </c>
      <c r="E18" s="24">
        <f t="shared" si="1"/>
        <v>2</v>
      </c>
      <c r="F18" s="23">
        <f t="shared" si="27"/>
        <v>44.4</v>
      </c>
      <c r="G18" s="23">
        <f t="shared" si="28"/>
        <v>88.8</v>
      </c>
      <c r="H18" s="23">
        <f t="shared" si="29"/>
        <v>1367.6309999999999</v>
      </c>
      <c r="I18" s="23">
        <f t="shared" si="30"/>
        <v>2735.2619999999997</v>
      </c>
      <c r="J18" s="4"/>
      <c r="K18" s="37">
        <f t="shared" si="2"/>
        <v>35.417999999999999</v>
      </c>
      <c r="L18" s="23">
        <f t="shared" si="31"/>
        <v>70.835999999999999</v>
      </c>
      <c r="M18" s="38">
        <f t="shared" si="3"/>
        <v>33.6312</v>
      </c>
      <c r="N18" s="27">
        <f t="shared" si="32"/>
        <v>67.2624</v>
      </c>
      <c r="O18" s="23">
        <f t="shared" si="33"/>
        <v>141.672</v>
      </c>
      <c r="P18" s="4"/>
      <c r="Q18" s="50" t="s">
        <v>52</v>
      </c>
      <c r="R18" s="48" t="s">
        <v>53</v>
      </c>
      <c r="S18">
        <f>IF(Tools!$L$49="Use 141 rule only",I42,IF(Tools!$L$49="Use 141 and 1331 rules",BG19," "))</f>
        <v>2541.2119268409374</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11.1</v>
      </c>
      <c r="AQ18" s="34" t="str">
        <f t="shared" ca="1" si="18"/>
        <v>2/3</v>
      </c>
      <c r="AR18" s="23">
        <f t="shared" ca="1" si="19"/>
        <v>7.3999999999999995</v>
      </c>
      <c r="AS18" s="24">
        <f t="shared" si="20"/>
        <v>2</v>
      </c>
      <c r="AT18" s="23">
        <f t="shared" ca="1" si="37"/>
        <v>14.799999999999999</v>
      </c>
      <c r="AU18" s="23">
        <f t="shared" ca="1" si="40"/>
        <v>29.599999999999998</v>
      </c>
      <c r="AV18" s="23">
        <f t="shared" si="21"/>
        <v>1367.6309999999999</v>
      </c>
      <c r="AW18" s="23">
        <f t="shared" ca="1" si="22"/>
        <v>911.75399999999991</v>
      </c>
      <c r="AY18" s="35">
        <f t="shared" si="23"/>
        <v>35.417999999999999</v>
      </c>
      <c r="AZ18" s="23">
        <f t="shared" ca="1" si="41"/>
        <v>23.611999999999998</v>
      </c>
      <c r="BA18" s="36">
        <f t="shared" si="25"/>
        <v>33.6312</v>
      </c>
      <c r="BB18" s="27">
        <f t="shared" ca="1" si="38"/>
        <v>22.4208</v>
      </c>
      <c r="BC18" s="23">
        <f t="shared" ca="1" si="39"/>
        <v>47.223999999999997</v>
      </c>
      <c r="BE18" s="50" t="s">
        <v>50</v>
      </c>
      <c r="BF18" s="48" t="s">
        <v>54</v>
      </c>
      <c r="BG18" s="49">
        <f ca="1">IF(WL_No="  ","  ",h*$AZ$29)</f>
        <v>2464.4444812499996</v>
      </c>
    </row>
    <row r="19" spans="1:59" x14ac:dyDescent="0.25">
      <c r="A19" s="20">
        <f>Tools!$AD18</f>
        <v>13</v>
      </c>
      <c r="B19" s="33">
        <f t="shared" si="0"/>
        <v>10.029999999999999</v>
      </c>
      <c r="C19" s="22">
        <f>IF(A19="  ","  ",IF(AND(A18="  ",A20="  "),"?",IF(A18="  ",2*(A20-A19),IF(A20="  ",2*(A19-A18),2*(A20-A18)))))</f>
        <v>4</v>
      </c>
      <c r="D19" s="23">
        <f t="shared" si="26"/>
        <v>40.119999999999997</v>
      </c>
      <c r="E19" s="24">
        <f t="shared" si="1"/>
        <v>3</v>
      </c>
      <c r="F19" s="23">
        <f t="shared" si="27"/>
        <v>120.35999999999999</v>
      </c>
      <c r="G19" s="23">
        <f t="shared" si="28"/>
        <v>361.07999999999993</v>
      </c>
      <c r="H19" s="23">
        <f t="shared" si="29"/>
        <v>1009.0270269999997</v>
      </c>
      <c r="I19" s="23">
        <f t="shared" si="30"/>
        <v>4036.108107999999</v>
      </c>
      <c r="J19" s="4"/>
      <c r="K19" s="37">
        <f t="shared" si="2"/>
        <v>31.254000000000001</v>
      </c>
      <c r="L19" s="23">
        <f t="shared" si="31"/>
        <v>125.01600000000001</v>
      </c>
      <c r="M19" s="38">
        <f t="shared" si="3"/>
        <v>29.926800000000004</v>
      </c>
      <c r="N19" s="27">
        <f t="shared" si="32"/>
        <v>119.70720000000001</v>
      </c>
      <c r="O19" s="23">
        <f t="shared" si="33"/>
        <v>375.048</v>
      </c>
      <c r="P19" s="4"/>
      <c r="Q19" s="50" t="s">
        <v>55</v>
      </c>
      <c r="R19" s="48" t="s">
        <v>56</v>
      </c>
      <c r="S19">
        <f>IF(Tools!$L$49="Use 141 rule only",I43,IF(Tools!$L$49="Use 141 and 1331 rules",BG20," "))</f>
        <v>2438.0414273141664</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10.029999999999999</v>
      </c>
      <c r="AQ19" s="34" t="str">
        <f t="shared" ca="1" si="18"/>
        <v>4/3</v>
      </c>
      <c r="AR19" s="23">
        <f t="shared" ca="1" si="19"/>
        <v>13.373333333333331</v>
      </c>
      <c r="AS19" s="24">
        <f t="shared" si="20"/>
        <v>3</v>
      </c>
      <c r="AT19" s="23">
        <f t="shared" ca="1" si="37"/>
        <v>40.11999999999999</v>
      </c>
      <c r="AU19" s="23">
        <f t="shared" ca="1" si="40"/>
        <v>120.35999999999997</v>
      </c>
      <c r="AV19" s="23">
        <f t="shared" si="21"/>
        <v>1009.0270269999997</v>
      </c>
      <c r="AW19" s="23">
        <f t="shared" ca="1" si="22"/>
        <v>1345.369369333333</v>
      </c>
      <c r="AY19" s="35">
        <f t="shared" si="23"/>
        <v>31.254000000000001</v>
      </c>
      <c r="AZ19" s="23">
        <f t="shared" ca="1" si="41"/>
        <v>41.671999999999997</v>
      </c>
      <c r="BA19" s="36">
        <f t="shared" si="25"/>
        <v>29.926800000000004</v>
      </c>
      <c r="BB19" s="27">
        <f t="shared" ca="1" si="38"/>
        <v>39.9024</v>
      </c>
      <c r="BC19" s="23">
        <f t="shared" ca="1" si="39"/>
        <v>125.01599999999999</v>
      </c>
      <c r="BE19" s="50" t="s">
        <v>52</v>
      </c>
      <c r="BF19" s="48" t="s">
        <v>53</v>
      </c>
      <c r="BG19" s="49">
        <f>IF(WL_No="  ","  ",V_Disp*1.025*1.006)</f>
        <v>2541.2119268409374</v>
      </c>
    </row>
    <row r="20" spans="1:59" x14ac:dyDescent="0.25">
      <c r="A20" s="20">
        <f>Tools!$AD19</f>
        <v>14</v>
      </c>
      <c r="B20" s="33">
        <f t="shared" si="0"/>
        <v>8.15</v>
      </c>
      <c r="C20" s="22">
        <f>IF(A20="  ","  ",IF(AND(A19="  ",A21="  "),"?",IF(A19="  ",1*(A21-A20),IF(A21="  ",1*(A20-A19),1*(A21-A19)))))</f>
        <v>2</v>
      </c>
      <c r="D20" s="23">
        <f t="shared" si="26"/>
        <v>16.3</v>
      </c>
      <c r="E20" s="24">
        <f t="shared" si="1"/>
        <v>4</v>
      </c>
      <c r="F20" s="23">
        <f t="shared" si="27"/>
        <v>65.2</v>
      </c>
      <c r="G20" s="23">
        <f t="shared" si="28"/>
        <v>260.8</v>
      </c>
      <c r="H20" s="23">
        <f t="shared" si="29"/>
        <v>541.34337500000004</v>
      </c>
      <c r="I20" s="23">
        <f t="shared" si="30"/>
        <v>1082.6867500000001</v>
      </c>
      <c r="J20" s="4"/>
      <c r="K20" s="37">
        <f t="shared" si="2"/>
        <v>25.595999999999997</v>
      </c>
      <c r="L20" s="23">
        <f t="shared" si="31"/>
        <v>51.191999999999993</v>
      </c>
      <c r="M20" s="38">
        <f t="shared" si="3"/>
        <v>24.548400000000001</v>
      </c>
      <c r="N20" s="27">
        <f t="shared" si="32"/>
        <v>49.096800000000002</v>
      </c>
      <c r="O20" s="23">
        <f t="shared" si="33"/>
        <v>204.76799999999997</v>
      </c>
      <c r="P20" s="4"/>
      <c r="Q20" s="50" t="s">
        <v>57</v>
      </c>
      <c r="R20" s="48" t="s">
        <v>58</v>
      </c>
      <c r="S20">
        <f>IF(Tools!$L$49="Use 141 rule only",I44,IF(Tools!$L$49="Use 141 and 1331 rules",BG21," "))</f>
        <v>5645.7298960350017</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8.15</v>
      </c>
      <c r="AQ20" s="34" t="str">
        <f t="shared" ca="1" si="18"/>
        <v>2/3</v>
      </c>
      <c r="AR20" s="23">
        <f t="shared" ca="1" si="19"/>
        <v>5.4333333333333336</v>
      </c>
      <c r="AS20" s="24">
        <f t="shared" si="20"/>
        <v>4</v>
      </c>
      <c r="AT20" s="23">
        <f t="shared" ca="1" si="37"/>
        <v>21.733333333333334</v>
      </c>
      <c r="AU20" s="23">
        <f t="shared" ca="1" si="40"/>
        <v>86.933333333333337</v>
      </c>
      <c r="AV20" s="23">
        <f t="shared" si="21"/>
        <v>541.34337500000004</v>
      </c>
      <c r="AW20" s="23">
        <f t="shared" ca="1" si="22"/>
        <v>360.89558333333332</v>
      </c>
      <c r="AY20" s="35">
        <f t="shared" si="23"/>
        <v>25.595999999999997</v>
      </c>
      <c r="AZ20" s="23">
        <f t="shared" ca="1" si="41"/>
        <v>17.063999999999997</v>
      </c>
      <c r="BA20" s="36">
        <f t="shared" si="25"/>
        <v>24.548400000000001</v>
      </c>
      <c r="BB20" s="27">
        <f t="shared" ca="1" si="38"/>
        <v>16.365600000000001</v>
      </c>
      <c r="BC20" s="23">
        <f t="shared" ca="1" si="39"/>
        <v>68.255999999999986</v>
      </c>
      <c r="BE20" s="50" t="s">
        <v>55</v>
      </c>
      <c r="BF20" s="48" t="s">
        <v>59</v>
      </c>
      <c r="BG20" s="49">
        <f ca="1">IF(WL_No="  ","  ",h*$BB$29)</f>
        <v>2438.0414273141664</v>
      </c>
    </row>
    <row r="21" spans="1:59" x14ac:dyDescent="0.25">
      <c r="A21" s="20">
        <f>Tools!$AD20</f>
        <v>15</v>
      </c>
      <c r="B21" s="33">
        <f t="shared" si="0"/>
        <v>6.8</v>
      </c>
      <c r="C21" s="22">
        <f>IF(A21="  ","  ",IF(AND(A20="  ",A22="  "),"?",IF(A20="  ",2*(A22-A21),IF(A22="  ",2*(A21-A20),2*(A22-A20)))))</f>
        <v>4</v>
      </c>
      <c r="D21" s="23">
        <f t="shared" si="26"/>
        <v>27.2</v>
      </c>
      <c r="E21" s="24">
        <f t="shared" si="1"/>
        <v>5</v>
      </c>
      <c r="F21" s="23">
        <f t="shared" si="27"/>
        <v>136</v>
      </c>
      <c r="G21" s="23">
        <f t="shared" si="28"/>
        <v>680</v>
      </c>
      <c r="H21" s="23">
        <f t="shared" si="29"/>
        <v>314.43199999999996</v>
      </c>
      <c r="I21" s="23">
        <f t="shared" si="30"/>
        <v>1257.7279999999998</v>
      </c>
      <c r="J21" s="4"/>
      <c r="K21" s="37">
        <f t="shared" si="2"/>
        <v>19.920000000000002</v>
      </c>
      <c r="L21" s="23">
        <f t="shared" si="31"/>
        <v>79.680000000000007</v>
      </c>
      <c r="M21" s="38">
        <f t="shared" si="3"/>
        <v>19.548000000000002</v>
      </c>
      <c r="N21" s="27">
        <f t="shared" si="32"/>
        <v>78.192000000000007</v>
      </c>
      <c r="O21" s="23">
        <f t="shared" si="33"/>
        <v>398.40000000000003</v>
      </c>
      <c r="P21" s="4"/>
      <c r="Q21" s="50" t="s">
        <v>60</v>
      </c>
      <c r="R21" s="48" t="s">
        <v>61</v>
      </c>
      <c r="S21">
        <f>IF(Tools!$L$49="Use 141 rule only",I45,IF(Tools!$L$49="Use 141 and 1331 rules",BG22," "))</f>
        <v>416.93892008227203</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6.8</v>
      </c>
      <c r="AQ21" s="34" t="str">
        <f t="shared" ca="1" si="18"/>
        <v>4/3</v>
      </c>
      <c r="AR21" s="23">
        <f t="shared" ca="1" si="19"/>
        <v>9.0666666666666664</v>
      </c>
      <c r="AS21" s="24">
        <f t="shared" si="20"/>
        <v>5</v>
      </c>
      <c r="AT21" s="23">
        <f t="shared" ca="1" si="37"/>
        <v>45.333333333333329</v>
      </c>
      <c r="AU21" s="23">
        <f t="shared" ca="1" si="40"/>
        <v>226.66666666666663</v>
      </c>
      <c r="AV21" s="23">
        <f t="shared" si="21"/>
        <v>314.43199999999996</v>
      </c>
      <c r="AW21" s="23">
        <f t="shared" ca="1" si="22"/>
        <v>419.24266666666659</v>
      </c>
      <c r="AY21" s="35">
        <f t="shared" si="23"/>
        <v>19.920000000000002</v>
      </c>
      <c r="AZ21" s="23">
        <f t="shared" ca="1" si="41"/>
        <v>26.560000000000002</v>
      </c>
      <c r="BA21" s="36">
        <f t="shared" si="25"/>
        <v>19.548000000000002</v>
      </c>
      <c r="BB21" s="27">
        <f t="shared" ca="1" si="38"/>
        <v>26.064</v>
      </c>
      <c r="BC21" s="23">
        <f t="shared" ca="1" si="39"/>
        <v>132.80000000000001</v>
      </c>
      <c r="BE21" s="50" t="s">
        <v>57</v>
      </c>
      <c r="BF21" s="48" t="s">
        <v>62</v>
      </c>
      <c r="BG21" s="49">
        <f ca="1">IF(WL_No="  ","  ",(h^2)*$BC$29)</f>
        <v>5645.7298960350017</v>
      </c>
    </row>
    <row r="22" spans="1:59" x14ac:dyDescent="0.25">
      <c r="A22" s="20">
        <f>Tools!$AD21</f>
        <v>16</v>
      </c>
      <c r="B22" s="33">
        <f t="shared" si="0"/>
        <v>5.0999999999999996</v>
      </c>
      <c r="C22" s="22">
        <f>IF(A22="  ","  ",IF(AND(A21="  ",A23="  "),"?",IF(A21="  ",1*(A23-A22),IF(A23="  ",1*(A22-A21),1*(A23-A21)))))</f>
        <v>2</v>
      </c>
      <c r="D22" s="23">
        <f t="shared" si="26"/>
        <v>10.199999999999999</v>
      </c>
      <c r="E22" s="24">
        <f t="shared" si="1"/>
        <v>6</v>
      </c>
      <c r="F22" s="23">
        <f t="shared" si="27"/>
        <v>61.199999999999996</v>
      </c>
      <c r="G22" s="23">
        <f t="shared" si="28"/>
        <v>367.2</v>
      </c>
      <c r="H22" s="23">
        <f t="shared" si="29"/>
        <v>132.65099999999998</v>
      </c>
      <c r="I22" s="23">
        <f t="shared" si="30"/>
        <v>265.30199999999996</v>
      </c>
      <c r="J22" s="4"/>
      <c r="K22" s="37">
        <f t="shared" si="2"/>
        <v>14.111999999999997</v>
      </c>
      <c r="L22" s="23">
        <f t="shared" si="31"/>
        <v>28.223999999999993</v>
      </c>
      <c r="M22" s="38">
        <f t="shared" si="3"/>
        <v>14.256</v>
      </c>
      <c r="N22" s="27">
        <f t="shared" si="32"/>
        <v>28.512</v>
      </c>
      <c r="O22" s="23">
        <f t="shared" si="33"/>
        <v>169.34399999999997</v>
      </c>
      <c r="P22" s="4"/>
      <c r="Q22" s="50" t="s">
        <v>63</v>
      </c>
      <c r="R22" s="48" t="s">
        <v>64</v>
      </c>
      <c r="S22">
        <f>IF(Tools!$L$49="Use 141 rule only",I46,IF(Tools!$L$49="Use 141 and 1331 rules",BG23," "))</f>
        <v>20.808170084490925</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5.0999999999999996</v>
      </c>
      <c r="AQ22" s="34" t="str">
        <f t="shared" ca="1" si="18"/>
        <v>2/3</v>
      </c>
      <c r="AR22" s="23">
        <f t="shared" ca="1" si="19"/>
        <v>3.3999999999999995</v>
      </c>
      <c r="AS22" s="24">
        <f t="shared" si="20"/>
        <v>6</v>
      </c>
      <c r="AT22" s="23">
        <f t="shared" ca="1" si="37"/>
        <v>20.399999999999999</v>
      </c>
      <c r="AU22" s="23">
        <f t="shared" ca="1" si="40"/>
        <v>122.39999999999999</v>
      </c>
      <c r="AV22" s="23">
        <f t="shared" si="21"/>
        <v>132.65099999999998</v>
      </c>
      <c r="AW22" s="23">
        <f t="shared" ca="1" si="22"/>
        <v>88.433999999999983</v>
      </c>
      <c r="AY22" s="35">
        <f t="shared" si="23"/>
        <v>14.111999999999997</v>
      </c>
      <c r="AZ22" s="23">
        <f t="shared" ca="1" si="41"/>
        <v>9.4079999999999977</v>
      </c>
      <c r="BA22" s="36">
        <f t="shared" si="25"/>
        <v>14.256</v>
      </c>
      <c r="BB22" s="27">
        <f t="shared" ca="1" si="38"/>
        <v>9.5039999999999996</v>
      </c>
      <c r="BC22" s="23">
        <f t="shared" ca="1" si="39"/>
        <v>56.447999999999986</v>
      </c>
      <c r="BE22" s="50" t="s">
        <v>60</v>
      </c>
      <c r="BF22" s="48" t="s">
        <v>61</v>
      </c>
      <c r="BG22" s="49">
        <f>IF(WL_No="  ","  ",IF/V_Disp)</f>
        <v>416.93892008227203</v>
      </c>
    </row>
    <row r="23" spans="1:59" x14ac:dyDescent="0.25">
      <c r="A23" s="20">
        <f>Tools!$AD22</f>
        <v>17</v>
      </c>
      <c r="B23" s="33">
        <f t="shared" si="0"/>
        <v>3.52</v>
      </c>
      <c r="C23" s="22">
        <f>IF(A23="  ","  ",IF(AND(A22="  ",A24="  "),"?",IF(A22="  ",2*(A24-A23),IF(A24="  ",2*(A23-A22),2*(A24-A22)))))</f>
        <v>4</v>
      </c>
      <c r="D23" s="23">
        <f t="shared" si="26"/>
        <v>14.08</v>
      </c>
      <c r="E23" s="24">
        <f t="shared" si="1"/>
        <v>7</v>
      </c>
      <c r="F23" s="23">
        <f t="shared" si="27"/>
        <v>98.56</v>
      </c>
      <c r="G23" s="23">
        <f t="shared" si="28"/>
        <v>689.92000000000007</v>
      </c>
      <c r="H23" s="23">
        <f t="shared" si="29"/>
        <v>43.614207999999998</v>
      </c>
      <c r="I23" s="23">
        <f t="shared" si="30"/>
        <v>174.45683199999999</v>
      </c>
      <c r="J23" s="4"/>
      <c r="K23" s="37">
        <f t="shared" si="2"/>
        <v>8.8140000000000001</v>
      </c>
      <c r="L23" s="23">
        <f t="shared" si="31"/>
        <v>35.256</v>
      </c>
      <c r="M23" s="38">
        <f t="shared" si="3"/>
        <v>9.4824000000000002</v>
      </c>
      <c r="N23" s="27">
        <f t="shared" si="32"/>
        <v>37.929600000000001</v>
      </c>
      <c r="O23" s="23">
        <f t="shared" si="33"/>
        <v>246.792</v>
      </c>
      <c r="P23" s="4"/>
      <c r="Q23" s="50" t="s">
        <v>65</v>
      </c>
      <c r="R23" s="48" t="s">
        <v>66</v>
      </c>
      <c r="S23">
        <f>IF(Tools!$L$49="Use 141 rule only",I47,IF(Tools!$L$49="Use 141 and 1331 rules",BG24," "))</f>
        <v>0.9892864074899177</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3.52</v>
      </c>
      <c r="AQ23" s="34" t="str">
        <f t="shared" ca="1" si="18"/>
        <v>4/3</v>
      </c>
      <c r="AR23" s="23">
        <f t="shared" ca="1" si="19"/>
        <v>4.6933333333333334</v>
      </c>
      <c r="AS23" s="24">
        <f t="shared" si="20"/>
        <v>7</v>
      </c>
      <c r="AT23" s="23">
        <f t="shared" ca="1" si="37"/>
        <v>32.853333333333332</v>
      </c>
      <c r="AU23" s="23">
        <f t="shared" ca="1" si="40"/>
        <v>229.97333333333333</v>
      </c>
      <c r="AV23" s="23">
        <f t="shared" si="21"/>
        <v>43.614207999999998</v>
      </c>
      <c r="AW23" s="23">
        <f t="shared" ca="1" si="22"/>
        <v>58.15227733333333</v>
      </c>
      <c r="AY23" s="35">
        <f t="shared" si="23"/>
        <v>8.8140000000000001</v>
      </c>
      <c r="AZ23" s="23">
        <f t="shared" ca="1" si="41"/>
        <v>11.751999999999999</v>
      </c>
      <c r="BA23" s="36">
        <f t="shared" si="25"/>
        <v>9.4824000000000002</v>
      </c>
      <c r="BB23" s="27">
        <f t="shared" ca="1" si="38"/>
        <v>12.6432</v>
      </c>
      <c r="BC23" s="23">
        <f t="shared" ca="1" si="39"/>
        <v>82.263999999999996</v>
      </c>
      <c r="BE23" s="50" t="s">
        <v>63</v>
      </c>
      <c r="BF23" s="48" t="s">
        <v>64</v>
      </c>
      <c r="BG23" s="49">
        <f>IF(WL_No="  ","  ",IT/V_Disp)</f>
        <v>20.808170084490925</v>
      </c>
    </row>
    <row r="24" spans="1:59" x14ac:dyDescent="0.25">
      <c r="A24" s="20">
        <f>Tools!$AD23</f>
        <v>18</v>
      </c>
      <c r="B24" s="33">
        <f t="shared" si="0"/>
        <v>2.23</v>
      </c>
      <c r="C24" s="22">
        <f>IF(A24="  ","  ",IF(AND(A23="  ",A25="  "),"?",IF(A23="  ",1*(A25-A24),IF(A25="  ",1*(A24-A23),1*(A25-A23)))))</f>
        <v>1.5</v>
      </c>
      <c r="D24" s="23">
        <f t="shared" si="26"/>
        <v>3.3449999999999998</v>
      </c>
      <c r="E24" s="24">
        <f t="shared" si="1"/>
        <v>8</v>
      </c>
      <c r="F24" s="23">
        <f t="shared" si="27"/>
        <v>26.759999999999998</v>
      </c>
      <c r="G24" s="23">
        <f t="shared" si="28"/>
        <v>214.07999999999998</v>
      </c>
      <c r="H24" s="23">
        <f t="shared" si="29"/>
        <v>11.089567000000001</v>
      </c>
      <c r="I24" s="23">
        <f t="shared" si="30"/>
        <v>16.6343505</v>
      </c>
      <c r="J24" s="4"/>
      <c r="K24" s="37">
        <f t="shared" si="2"/>
        <v>4.8434999999999997</v>
      </c>
      <c r="L24" s="23">
        <f t="shared" si="31"/>
        <v>7.26525</v>
      </c>
      <c r="M24" s="38">
        <f t="shared" si="3"/>
        <v>5.5316249999999991</v>
      </c>
      <c r="N24" s="27">
        <f t="shared" si="32"/>
        <v>8.2974374999999991</v>
      </c>
      <c r="O24" s="23">
        <f t="shared" si="33"/>
        <v>58.122</v>
      </c>
      <c r="P24" s="4"/>
      <c r="Q24" s="50" t="s">
        <v>67</v>
      </c>
      <c r="R24" s="48" t="s">
        <v>68</v>
      </c>
      <c r="S24">
        <f>IF(Tools!$L$49="Use 141 rule only",I48,IF(Tools!$L$49="Use 141 and 1331 rules",BG25," "))</f>
        <v>21.797456491980842</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2.23</v>
      </c>
      <c r="AQ24" s="34" t="str">
        <f t="shared" ca="1" si="18"/>
        <v>(1/2)*(1/3)+1/3</v>
      </c>
      <c r="AR24" s="23">
        <f t="shared" ca="1" si="19"/>
        <v>1.115</v>
      </c>
      <c r="AS24" s="24">
        <f t="shared" si="20"/>
        <v>8</v>
      </c>
      <c r="AT24" s="23">
        <f t="shared" ca="1" si="37"/>
        <v>8.92</v>
      </c>
      <c r="AU24" s="23">
        <f t="shared" ca="1" si="40"/>
        <v>71.36</v>
      </c>
      <c r="AV24" s="23">
        <f t="shared" si="21"/>
        <v>11.089567000000001</v>
      </c>
      <c r="AW24" s="23">
        <f t="shared" ca="1" si="22"/>
        <v>5.5447835000000003</v>
      </c>
      <c r="AY24" s="35">
        <f t="shared" si="23"/>
        <v>4.8434999999999997</v>
      </c>
      <c r="AZ24" s="23">
        <f t="shared" ca="1" si="41"/>
        <v>2.4217499999999998</v>
      </c>
      <c r="BA24" s="36">
        <f t="shared" si="25"/>
        <v>5.5316249999999991</v>
      </c>
      <c r="BB24" s="27">
        <f t="shared" ca="1" si="38"/>
        <v>2.7658124999999996</v>
      </c>
      <c r="BC24" s="23">
        <f t="shared" ca="1" si="39"/>
        <v>19.373999999999999</v>
      </c>
      <c r="BE24" s="50" t="s">
        <v>65</v>
      </c>
      <c r="BF24" s="48" t="s">
        <v>66</v>
      </c>
      <c r="BG24" s="49">
        <f>IF(WL_No="  ","  ",MT/V_Disp)</f>
        <v>0.9892864074899177</v>
      </c>
    </row>
    <row r="25" spans="1:59" x14ac:dyDescent="0.25">
      <c r="A25" s="20">
        <f>Tools!$AD24</f>
        <v>18.5</v>
      </c>
      <c r="B25" s="33">
        <f t="shared" si="0"/>
        <v>1.7</v>
      </c>
      <c r="C25" s="22">
        <f>IF(A25="  ","  ",IF(AND(A24="  ",A26="  "),"?",IF(A24="  ",2*(A26-A25),IF(A26="  ",2*(A25-A24),2*(A26-A24)))))</f>
        <v>2</v>
      </c>
      <c r="D25" s="23">
        <f t="shared" si="26"/>
        <v>3.4</v>
      </c>
      <c r="E25" s="24">
        <f t="shared" si="1"/>
        <v>8.5</v>
      </c>
      <c r="F25" s="23">
        <f t="shared" si="27"/>
        <v>28.9</v>
      </c>
      <c r="G25" s="23">
        <f t="shared" si="28"/>
        <v>245.64999999999998</v>
      </c>
      <c r="H25" s="23">
        <f t="shared" si="29"/>
        <v>4.9129999999999994</v>
      </c>
      <c r="I25" s="23">
        <f t="shared" si="30"/>
        <v>9.8259999999999987</v>
      </c>
      <c r="J25" s="4"/>
      <c r="K25" s="37">
        <f t="shared" si="2"/>
        <v>3.1021999999999998</v>
      </c>
      <c r="L25" s="23">
        <f t="shared" si="31"/>
        <v>6.2043999999999997</v>
      </c>
      <c r="M25" s="38">
        <f t="shared" si="3"/>
        <v>3.8890113333333338</v>
      </c>
      <c r="N25" s="27">
        <f t="shared" si="32"/>
        <v>7.7780226666666676</v>
      </c>
      <c r="O25" s="23">
        <f t="shared" si="33"/>
        <v>52.737399999999994</v>
      </c>
      <c r="P25" s="4"/>
      <c r="Q25" s="50" t="s">
        <v>69</v>
      </c>
      <c r="R25" s="48" t="s">
        <v>70</v>
      </c>
      <c r="S25">
        <f>IF(Tools!$L$49="Use 141 rule only",I49,IF(Tools!$L$49="Use 141 and 1331 rules",BG26," "))</f>
        <v>417.92820648976198</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1.7</v>
      </c>
      <c r="AQ25" s="34" t="str">
        <f t="shared" ca="1" si="18"/>
        <v>(1/2)*(4/3)</v>
      </c>
      <c r="AR25" s="23">
        <f t="shared" ca="1" si="19"/>
        <v>1.1333333333333333</v>
      </c>
      <c r="AS25" s="24">
        <f t="shared" si="20"/>
        <v>8.5</v>
      </c>
      <c r="AT25" s="23">
        <f t="shared" ca="1" si="37"/>
        <v>9.6333333333333329</v>
      </c>
      <c r="AU25" s="23">
        <f t="shared" ca="1" si="40"/>
        <v>81.883333333333326</v>
      </c>
      <c r="AV25" s="23">
        <f t="shared" si="21"/>
        <v>4.9129999999999994</v>
      </c>
      <c r="AW25" s="23">
        <f t="shared" ca="1" si="22"/>
        <v>3.2753333333333328</v>
      </c>
      <c r="AY25" s="35">
        <f t="shared" si="23"/>
        <v>3.1021999999999998</v>
      </c>
      <c r="AZ25" s="23">
        <f t="shared" ca="1" si="41"/>
        <v>2.0681333333333329</v>
      </c>
      <c r="BA25" s="36">
        <f t="shared" si="25"/>
        <v>3.8890113333333338</v>
      </c>
      <c r="BB25" s="27">
        <f t="shared" ca="1" si="38"/>
        <v>2.5926742222222225</v>
      </c>
      <c r="BC25" s="23">
        <f t="shared" ca="1" si="39"/>
        <v>17.579133333333331</v>
      </c>
      <c r="BE25" s="50" t="s">
        <v>67</v>
      </c>
      <c r="BF25" s="48" t="s">
        <v>68</v>
      </c>
      <c r="BG25" s="49">
        <f>IF(WL_No="  ","  ",KB+BMT)</f>
        <v>21.797456491980842</v>
      </c>
    </row>
    <row r="26" spans="1:59" x14ac:dyDescent="0.25">
      <c r="A26" s="20">
        <f>Tools!$AD25</f>
        <v>19</v>
      </c>
      <c r="B26" s="33">
        <f t="shared" si="0"/>
        <v>1.27</v>
      </c>
      <c r="C26" s="22">
        <f>IF(A26="  ","  ",IF(AND(A25="  ",A27="  "),"?",IF(A25="  ",1*(A27-A26),IF(A27="  ",1*(A26-A25),1*(A27-A25)))))</f>
        <v>1</v>
      </c>
      <c r="D26" s="23">
        <f t="shared" si="26"/>
        <v>1.27</v>
      </c>
      <c r="E26" s="24">
        <f t="shared" si="1"/>
        <v>9</v>
      </c>
      <c r="F26" s="23">
        <f t="shared" si="27"/>
        <v>11.43</v>
      </c>
      <c r="G26" s="23">
        <f t="shared" si="28"/>
        <v>102.87</v>
      </c>
      <c r="H26" s="23">
        <f t="shared" si="29"/>
        <v>2.0483829999999998</v>
      </c>
      <c r="I26" s="23">
        <f t="shared" si="30"/>
        <v>2.0483829999999998</v>
      </c>
      <c r="J26" s="4"/>
      <c r="K26" s="37">
        <f t="shared" si="2"/>
        <v>1.9056</v>
      </c>
      <c r="L26" s="23">
        <f t="shared" si="31"/>
        <v>1.9056</v>
      </c>
      <c r="M26" s="38">
        <f t="shared" si="3"/>
        <v>2.5762019999999999</v>
      </c>
      <c r="N26" s="27">
        <f t="shared" si="32"/>
        <v>2.5762019999999999</v>
      </c>
      <c r="O26" s="23">
        <f t="shared" si="33"/>
        <v>17.150400000000001</v>
      </c>
      <c r="P26" s="4"/>
      <c r="Q26" s="50" t="s">
        <v>71</v>
      </c>
      <c r="R26" s="48" t="s">
        <v>72</v>
      </c>
      <c r="S26">
        <f>IF(Tools!$L$49="Use 141 rule only",I50,IF(Tools!$L$49="Use 141 and 1331 rules",BG27," "))</f>
        <v>17.117723962499994</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1.27</v>
      </c>
      <c r="AQ26" s="34" t="str">
        <f t="shared" ca="1" si="18"/>
        <v>(1/2)*(2/3)</v>
      </c>
      <c r="AR26" s="23">
        <f t="shared" ca="1" si="19"/>
        <v>0.42333333333333334</v>
      </c>
      <c r="AS26" s="24">
        <f t="shared" si="20"/>
        <v>9</v>
      </c>
      <c r="AT26" s="23">
        <f t="shared" ca="1" si="37"/>
        <v>3.81</v>
      </c>
      <c r="AU26" s="23">
        <f t="shared" ca="1" si="40"/>
        <v>34.29</v>
      </c>
      <c r="AV26" s="23">
        <f t="shared" si="21"/>
        <v>2.0483829999999998</v>
      </c>
      <c r="AW26" s="23">
        <f t="shared" ca="1" si="22"/>
        <v>0.68279433333333328</v>
      </c>
      <c r="AY26" s="35">
        <f t="shared" si="23"/>
        <v>1.9056</v>
      </c>
      <c r="AZ26" s="23">
        <f t="shared" ca="1" si="41"/>
        <v>0.63519999999999999</v>
      </c>
      <c r="BA26" s="36">
        <f t="shared" si="25"/>
        <v>2.5762019999999999</v>
      </c>
      <c r="BB26" s="27">
        <f t="shared" ca="1" si="38"/>
        <v>0.85873399999999989</v>
      </c>
      <c r="BC26" s="23">
        <f t="shared" ca="1" si="39"/>
        <v>5.7168000000000001</v>
      </c>
      <c r="BE26" s="50" t="s">
        <v>69</v>
      </c>
      <c r="BF26" s="48" t="s">
        <v>70</v>
      </c>
      <c r="BG26" s="49">
        <f>IF(WL_No="  ","  ",KB+BML)</f>
        <v>417.92820648976198</v>
      </c>
    </row>
    <row r="27" spans="1:59" x14ac:dyDescent="0.25">
      <c r="A27" s="20">
        <f>Tools!$AD26</f>
        <v>19.5</v>
      </c>
      <c r="B27" s="33">
        <f t="shared" si="0"/>
        <v>0.86</v>
      </c>
      <c r="C27" s="22">
        <f>IF(A27="  ","  ",IF(AND(A26="  ",A28="  "),"?",IF(A26="  ",2*(A28-A27),IF(A28="  ",2*(A27-A26),2*(A28-A26)))))</f>
        <v>2</v>
      </c>
      <c r="D27" s="23">
        <f t="shared" si="26"/>
        <v>1.72</v>
      </c>
      <c r="E27" s="24">
        <f t="shared" si="1"/>
        <v>9.5</v>
      </c>
      <c r="F27" s="23">
        <f t="shared" si="27"/>
        <v>16.34</v>
      </c>
      <c r="G27" s="23">
        <f t="shared" si="28"/>
        <v>155.22999999999999</v>
      </c>
      <c r="H27" s="23">
        <f t="shared" si="29"/>
        <v>0.63605599999999995</v>
      </c>
      <c r="I27" s="23">
        <f t="shared" si="30"/>
        <v>1.2721119999999999</v>
      </c>
      <c r="J27" s="4"/>
      <c r="K27" s="37">
        <f t="shared" si="2"/>
        <v>0.68799999999999994</v>
      </c>
      <c r="L27" s="23">
        <f t="shared" si="31"/>
        <v>1.3759999999999999</v>
      </c>
      <c r="M27" s="38">
        <f t="shared" si="3"/>
        <v>1.0549333333333333</v>
      </c>
      <c r="N27" s="27">
        <f t="shared" si="32"/>
        <v>2.1098666666666666</v>
      </c>
      <c r="O27" s="23">
        <f t="shared" si="33"/>
        <v>13.071999999999999</v>
      </c>
      <c r="P27" s="4"/>
      <c r="Q27" s="50" t="s">
        <v>73</v>
      </c>
      <c r="R27" s="48" t="s">
        <v>74</v>
      </c>
      <c r="S27">
        <f>IF(Tools!$L$49="Use 141 rule only",I51,IF(Tools!$L$49="Use 141 and 1331 rules",BG28," "))</f>
        <v>2.2908732328883343</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0.86</v>
      </c>
      <c r="AQ27" s="34" t="str">
        <f t="shared" ca="1" si="18"/>
        <v>(1/2)*(4/3)</v>
      </c>
      <c r="AR27" s="23">
        <f t="shared" ca="1" si="19"/>
        <v>0.57333333333333325</v>
      </c>
      <c r="AS27" s="24">
        <f t="shared" si="20"/>
        <v>9.5</v>
      </c>
      <c r="AT27" s="23">
        <f t="shared" ca="1" si="37"/>
        <v>5.4466666666666654</v>
      </c>
      <c r="AU27" s="23">
        <f t="shared" ca="1" si="40"/>
        <v>51.743333333333325</v>
      </c>
      <c r="AV27" s="23">
        <f t="shared" si="21"/>
        <v>0.63605599999999995</v>
      </c>
      <c r="AW27" s="23">
        <f t="shared" ca="1" si="22"/>
        <v>0.42403733333333327</v>
      </c>
      <c r="AY27" s="35">
        <f t="shared" si="23"/>
        <v>0.68799999999999994</v>
      </c>
      <c r="AZ27" s="23">
        <f t="shared" ca="1" si="41"/>
        <v>0.45866666666666661</v>
      </c>
      <c r="BA27" s="36">
        <f t="shared" si="25"/>
        <v>1.0549333333333333</v>
      </c>
      <c r="BB27" s="27">
        <f t="shared" ca="1" si="38"/>
        <v>0.70328888888888885</v>
      </c>
      <c r="BC27" s="23">
        <f t="shared" ca="1" si="39"/>
        <v>4.3573333333333331</v>
      </c>
      <c r="BE27" s="50" t="s">
        <v>71</v>
      </c>
      <c r="BF27" s="48" t="s">
        <v>72</v>
      </c>
      <c r="BG27" s="49">
        <f>IF(WL_No="  ","  ",AWP*1.025/100)</f>
        <v>17.117723962499994</v>
      </c>
    </row>
    <row r="28" spans="1:59" ht="15.75" thickBot="1" x14ac:dyDescent="0.3">
      <c r="A28" s="20">
        <f>Tools!$AD27</f>
        <v>20</v>
      </c>
      <c r="B28" s="52">
        <f t="shared" si="0"/>
        <v>0</v>
      </c>
      <c r="C28" s="22">
        <f>IF(A28="  ","  ",IF(A27="  ","?",1*(A28-A27)))</f>
        <v>0.5</v>
      </c>
      <c r="D28" s="53">
        <f t="shared" si="26"/>
        <v>0</v>
      </c>
      <c r="E28" s="24">
        <f t="shared" si="1"/>
        <v>10</v>
      </c>
      <c r="F28" s="53">
        <f t="shared" si="27"/>
        <v>0</v>
      </c>
      <c r="G28" s="53">
        <f t="shared" si="28"/>
        <v>0</v>
      </c>
      <c r="H28" s="23">
        <f t="shared" si="29"/>
        <v>0</v>
      </c>
      <c r="I28" s="53">
        <f t="shared" si="30"/>
        <v>0</v>
      </c>
      <c r="J28" s="4"/>
      <c r="K28" s="35">
        <f t="shared" si="2"/>
        <v>0</v>
      </c>
      <c r="L28" s="53">
        <f t="shared" si="31"/>
        <v>0</v>
      </c>
      <c r="M28" s="36">
        <f t="shared" si="3"/>
        <v>0</v>
      </c>
      <c r="N28" s="54">
        <f t="shared" si="32"/>
        <v>0</v>
      </c>
      <c r="O28" s="53">
        <f t="shared" si="33"/>
        <v>0</v>
      </c>
      <c r="P28" s="4"/>
      <c r="Q28" s="50" t="s">
        <v>75</v>
      </c>
      <c r="R28" s="55" t="s">
        <v>76</v>
      </c>
      <c r="S28">
        <f>IF(Tools!$L$49="Use 141 rule only",I52,IF(Tools!$L$49="Use 141 and 1331 rules",BG29," "))</f>
        <v>80.450277636845129</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v>
      </c>
      <c r="AQ28" s="34" t="str">
        <f t="shared" ca="1" si="18"/>
        <v>(1/2)*(1/3)</v>
      </c>
      <c r="AR28" s="23">
        <f t="shared" ca="1" si="19"/>
        <v>0</v>
      </c>
      <c r="AS28" s="24">
        <f t="shared" si="20"/>
        <v>10</v>
      </c>
      <c r="AT28" s="53">
        <f t="shared" ca="1" si="37"/>
        <v>0</v>
      </c>
      <c r="AU28" s="53">
        <f t="shared" ca="1" si="40"/>
        <v>0</v>
      </c>
      <c r="AV28" s="23">
        <f t="shared" si="21"/>
        <v>0</v>
      </c>
      <c r="AW28" s="23">
        <f t="shared" ca="1" si="22"/>
        <v>0</v>
      </c>
      <c r="AY28" s="35">
        <f t="shared" si="23"/>
        <v>0</v>
      </c>
      <c r="AZ28" s="23">
        <f t="shared" ca="1" si="41"/>
        <v>0</v>
      </c>
      <c r="BA28" s="36">
        <f t="shared" si="25"/>
        <v>0</v>
      </c>
      <c r="BB28" s="27">
        <f t="shared" ca="1" si="38"/>
        <v>0</v>
      </c>
      <c r="BC28" s="53">
        <f t="shared" ca="1" si="39"/>
        <v>0</v>
      </c>
      <c r="BE28" s="50" t="s">
        <v>73</v>
      </c>
      <c r="BF28" s="48" t="s">
        <v>74</v>
      </c>
      <c r="BG28" s="49">
        <f>IF(WL_No="  ","  ",ML/V_Disp)</f>
        <v>2.2908732328883343</v>
      </c>
    </row>
    <row r="29" spans="1:59" ht="15.75" thickBot="1" x14ac:dyDescent="0.3">
      <c r="A29" s="56" t="s">
        <v>77</v>
      </c>
      <c r="B29" s="56"/>
      <c r="C29" s="56"/>
      <c r="D29" s="57">
        <f>SUM(D4:D28)</f>
        <v>380.41500000000002</v>
      </c>
      <c r="E29" s="42"/>
      <c r="F29" s="58">
        <f>SUM(F4:F28)</f>
        <v>125.87</v>
      </c>
      <c r="G29" s="58">
        <f>SUM(G4:G28)</f>
        <v>5439.4299999999994</v>
      </c>
      <c r="H29" s="42"/>
      <c r="I29" s="58">
        <f>SUM(I4:I28)</f>
        <v>35043.676489500009</v>
      </c>
      <c r="J29" s="4"/>
      <c r="K29" s="42"/>
      <c r="L29" s="58">
        <f>SUM(L4:L28)</f>
        <v>1122.7537500000001</v>
      </c>
      <c r="M29" s="42"/>
      <c r="N29" s="58">
        <f>SUM(N4:N28)</f>
        <v>1110.7250238333334</v>
      </c>
      <c r="O29" s="58">
        <f>SUM(O4:O28)</f>
        <v>390.59780000000023</v>
      </c>
      <c r="P29" s="4"/>
      <c r="Q29" s="50" t="s">
        <v>78</v>
      </c>
      <c r="R29" s="48" t="s">
        <v>79</v>
      </c>
      <c r="S29">
        <f>IF(Tools!$L$49="Use 141 rule only",I53,IF(Tools!$L$49="Use 141 and 1331 rules",BG30," "))</f>
        <v>1.8</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126.80500000000001</v>
      </c>
      <c r="AS29" s="42"/>
      <c r="AT29" s="58">
        <f ca="1">SUM(AT4:AT28)</f>
        <v>41.956666666666692</v>
      </c>
      <c r="AU29" s="58">
        <f ca="1">SUM(AU4:AU28)</f>
        <v>1813.1433333333334</v>
      </c>
      <c r="AV29" s="42"/>
      <c r="AW29" s="58">
        <f ca="1">SUM(AW4:AW28)</f>
        <v>11681.225496499996</v>
      </c>
      <c r="AY29" s="42"/>
      <c r="AZ29" s="58">
        <f ca="1">SUM(AZ4:AZ28)</f>
        <v>374.25125000000003</v>
      </c>
      <c r="BA29" s="42"/>
      <c r="BB29" s="58">
        <f ca="1">SUM(BB4:BB28)</f>
        <v>370.24167461111114</v>
      </c>
      <c r="BC29" s="58">
        <f ca="1">SUM(BC4:BC28)</f>
        <v>130.19926666666674</v>
      </c>
      <c r="BE29" s="50" t="s">
        <v>75</v>
      </c>
      <c r="BF29" s="55" t="s">
        <v>76</v>
      </c>
      <c r="BG29" s="49">
        <f ca="1">IF(WL_No="  ","  ",M_Disp*BML/100/BG8)</f>
        <v>84.684502775626441</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0.53913690476190468</v>
      </c>
      <c r="AA30" s="60"/>
      <c r="AB30" s="60"/>
      <c r="BE30" s="50" t="s">
        <v>78</v>
      </c>
      <c r="BF30" s="48" t="s">
        <v>79</v>
      </c>
      <c r="BG30" s="49">
        <f>IF(WL_No="  ","  ",WLS*WL_No)</f>
        <v>1.8</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0.4420011928382464</v>
      </c>
      <c r="AF31" s="61" t="s">
        <v>84</v>
      </c>
      <c r="AG31" s="62">
        <f ca="1">COUNTIF(OFFSET(AQ4,,,ROUNDUP(Max_STN_count/2,0),1),"")</f>
        <v>2</v>
      </c>
      <c r="AH31" s="63">
        <f ca="1">HLOOKUP(Stn_WL,AREA_TABLE,AG31+2,FALSE)</f>
        <v>1</v>
      </c>
      <c r="AI31" s="63">
        <f ca="1">IF(AH31&gt;Long_Div/2,Long_Div/2,AH31)</f>
        <v>1</v>
      </c>
      <c r="AJ31" s="63">
        <f ca="1">AI31*STN_GAP</f>
        <v>6.5849999999999991</v>
      </c>
      <c r="BE31" s="50" t="s">
        <v>80</v>
      </c>
      <c r="BF31" s="48" t="s">
        <v>81</v>
      </c>
      <c r="BG31" s="49">
        <f ca="1">IF(WL_No="  ","  ",AWP/(BG8*B_current))</f>
        <v>0.56751253132832069</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0.89810090702947842</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0.46526441351394365</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0.49215092577981168</v>
      </c>
      <c r="AF33" s="63"/>
      <c r="AG33" s="63"/>
      <c r="AH33" s="63">
        <f ca="1">Long_Div-AH32</f>
        <v>20</v>
      </c>
      <c r="AI33" s="63"/>
      <c r="AJ33" s="63">
        <f ca="1">AJ32+AJ31</f>
        <v>6.5849999999999991</v>
      </c>
      <c r="BE33" s="50" t="s">
        <v>85</v>
      </c>
      <c r="BF33" s="48" t="s">
        <v>86</v>
      </c>
      <c r="BG33" s="65">
        <f>IFERROR(IF(WL_No="  ","  ",(VLOOKUP(Long_Div/2,AREA_TABLE,Count_WL+1,FALSE))/(B_current*T)),"-")</f>
        <v>0.89810090702947842</v>
      </c>
    </row>
    <row r="34" spans="1:59" x14ac:dyDescent="0.25">
      <c r="G34" s="45"/>
      <c r="H34" s="46"/>
      <c r="I34" s="507"/>
      <c r="BE34" s="50" t="s">
        <v>88</v>
      </c>
      <c r="BF34" s="48" t="s">
        <v>89</v>
      </c>
      <c r="BG34" s="49">
        <f>IF(WL_No="  ","  ",CB/CM)</f>
        <v>0.49215092577981168</v>
      </c>
    </row>
    <row r="35" spans="1:59" x14ac:dyDescent="0.25">
      <c r="G35" s="47" t="s">
        <v>34</v>
      </c>
      <c r="H35" s="48" t="s">
        <v>35</v>
      </c>
      <c r="I35" s="49">
        <f>IF(WL_No="  ","  ",2/3*h*$D$29)</f>
        <v>1670.0218499999996</v>
      </c>
    </row>
    <row r="36" spans="1:59" x14ac:dyDescent="0.25">
      <c r="G36" s="47" t="s">
        <v>36</v>
      </c>
      <c r="H36" s="48" t="s">
        <v>37</v>
      </c>
      <c r="I36" s="49">
        <f>IF(WL_No="  ","  ",2/3*(h^2)*$F$29)</f>
        <v>3638.6688404999991</v>
      </c>
    </row>
    <row r="37" spans="1:59" x14ac:dyDescent="0.25">
      <c r="G37" s="50" t="s">
        <v>39</v>
      </c>
      <c r="H37" s="48" t="s">
        <v>40</v>
      </c>
      <c r="I37" s="49">
        <f>IF(WL_No="  ","  ",Mmid/AWP)</f>
        <v>2.1788151098142818</v>
      </c>
    </row>
    <row r="38" spans="1:59" x14ac:dyDescent="0.25">
      <c r="G38" s="50" t="s">
        <v>42</v>
      </c>
      <c r="H38" s="48" t="s">
        <v>43</v>
      </c>
      <c r="I38" s="49">
        <f>IF(WL_No="  ","  ",2/3*(h^3)*$G$29)</f>
        <v>1035450.8072643819</v>
      </c>
    </row>
    <row r="39" spans="1:59" x14ac:dyDescent="0.25">
      <c r="G39" s="51" t="s">
        <v>44</v>
      </c>
      <c r="H39" s="48" t="s">
        <v>45</v>
      </c>
      <c r="I39" s="49">
        <f>IF(WL_No="  ","  ",2/9*h*$I$29)</f>
        <v>51280.579929635009</v>
      </c>
    </row>
    <row r="40" spans="1:59" x14ac:dyDescent="0.25">
      <c r="G40" s="50" t="s">
        <v>47</v>
      </c>
      <c r="H40" s="48" t="s">
        <v>48</v>
      </c>
      <c r="I40" s="49">
        <f>IF(WL_No="  ","  ",IL-AWP*(LCF^2))</f>
        <v>1027522.8206150901</v>
      </c>
    </row>
    <row r="41" spans="1:59" x14ac:dyDescent="0.25">
      <c r="G41" s="50" t="s">
        <v>50</v>
      </c>
      <c r="H41" s="48" t="s">
        <v>51</v>
      </c>
      <c r="I41" s="49">
        <f>IF(WL_No="  ","  ",h/3*$L$29)</f>
        <v>2464.4444812500001</v>
      </c>
    </row>
    <row r="42" spans="1:59" x14ac:dyDescent="0.25">
      <c r="G42" s="50" t="s">
        <v>52</v>
      </c>
      <c r="H42" s="48" t="s">
        <v>53</v>
      </c>
      <c r="I42" s="49">
        <f>IF(WL_No="  ","  ",V_Disp*1.025*1.006)</f>
        <v>2541.2119268409374</v>
      </c>
    </row>
    <row r="43" spans="1:59" x14ac:dyDescent="0.25">
      <c r="G43" s="50" t="s">
        <v>55</v>
      </c>
      <c r="H43" s="48" t="s">
        <v>56</v>
      </c>
      <c r="I43" s="49">
        <f>IF(WL_No="  ","  ",h/3*$N$29)</f>
        <v>2438.0414273141664</v>
      </c>
    </row>
    <row r="44" spans="1:59" x14ac:dyDescent="0.25">
      <c r="G44" s="50" t="s">
        <v>57</v>
      </c>
      <c r="H44" s="48" t="s">
        <v>58</v>
      </c>
      <c r="I44" s="49">
        <f>IF(WL_No="  ","  ",(h^2)/3*$O$29)</f>
        <v>5645.7298960350017</v>
      </c>
    </row>
    <row r="45" spans="1:59" x14ac:dyDescent="0.25">
      <c r="G45" s="50" t="s">
        <v>60</v>
      </c>
      <c r="H45" s="48" t="s">
        <v>61</v>
      </c>
      <c r="I45" s="49">
        <f>IF(WL_No="  ","  ",IF/V_Disp)</f>
        <v>416.93892008227203</v>
      </c>
    </row>
    <row r="46" spans="1:59" x14ac:dyDescent="0.25">
      <c r="G46" s="50" t="s">
        <v>63</v>
      </c>
      <c r="H46" s="48" t="s">
        <v>64</v>
      </c>
      <c r="I46" s="49">
        <f>IF(WL_No="  ","  ",IT/V_Disp)</f>
        <v>20.808170084490925</v>
      </c>
    </row>
    <row r="47" spans="1:59" x14ac:dyDescent="0.25">
      <c r="G47" s="50" t="s">
        <v>65</v>
      </c>
      <c r="H47" s="48" t="s">
        <v>66</v>
      </c>
      <c r="I47" s="49">
        <f>IF(WL_No="  ","  ",MT/V_Disp)</f>
        <v>0.9892864074899177</v>
      </c>
    </row>
    <row r="48" spans="1:59" x14ac:dyDescent="0.25">
      <c r="G48" s="50" t="s">
        <v>67</v>
      </c>
      <c r="H48" s="48" t="s">
        <v>68</v>
      </c>
      <c r="I48" s="49">
        <f>IF(WL_No="  ","  ",KB+BMT)</f>
        <v>21.797456491980842</v>
      </c>
    </row>
    <row r="49" spans="7:9" x14ac:dyDescent="0.25">
      <c r="G49" s="50" t="s">
        <v>69</v>
      </c>
      <c r="H49" s="48" t="s">
        <v>70</v>
      </c>
      <c r="I49" s="49">
        <f>IF(WL_No="  ","  ",KB+BML)</f>
        <v>417.92820648976198</v>
      </c>
    </row>
    <row r="50" spans="7:9" x14ac:dyDescent="0.25">
      <c r="G50" s="50" t="s">
        <v>71</v>
      </c>
      <c r="H50" s="48" t="s">
        <v>72</v>
      </c>
      <c r="I50" s="49">
        <f>IF(WL_No="  ","  ",AWP*1.025/100)</f>
        <v>17.117723962499994</v>
      </c>
    </row>
    <row r="51" spans="7:9" x14ac:dyDescent="0.25">
      <c r="G51" s="50" t="s">
        <v>73</v>
      </c>
      <c r="H51" s="48" t="s">
        <v>74</v>
      </c>
      <c r="I51" s="49">
        <f>IF(WL_No="  ","  ",ML/V_Disp)</f>
        <v>2.2908732328883343</v>
      </c>
    </row>
    <row r="52" spans="7:9" x14ac:dyDescent="0.25">
      <c r="G52" s="50" t="s">
        <v>75</v>
      </c>
      <c r="H52" s="55" t="s">
        <v>76</v>
      </c>
      <c r="I52" s="49">
        <f>IF(WL_No="  ","  ",M_Disp*BML/100/LBP)</f>
        <v>80.450277636845129</v>
      </c>
    </row>
    <row r="53" spans="7:9" x14ac:dyDescent="0.25">
      <c r="G53" s="50" t="s">
        <v>78</v>
      </c>
      <c r="H53" s="48" t="s">
        <v>79</v>
      </c>
      <c r="I53" s="49">
        <f>IF(WL_No="  ","  ",WLS*WL_No)</f>
        <v>1.8</v>
      </c>
    </row>
    <row r="54" spans="7:9" x14ac:dyDescent="0.25">
      <c r="G54" s="50" t="s">
        <v>80</v>
      </c>
      <c r="H54" s="48" t="s">
        <v>81</v>
      </c>
      <c r="I54" s="49">
        <f>IF(WL_No="  ","  ",AWP/(LBP*B_current))</f>
        <v>0.53913690476190468</v>
      </c>
    </row>
    <row r="55" spans="7:9" x14ac:dyDescent="0.25">
      <c r="G55" s="50" t="s">
        <v>82</v>
      </c>
      <c r="H55" s="48" t="s">
        <v>83</v>
      </c>
      <c r="I55" s="49">
        <f>IF(WL_No="  ","  ",V_Disp/(LBP*B_current*T))</f>
        <v>0.4420011928382464</v>
      </c>
    </row>
    <row r="56" spans="7:9" x14ac:dyDescent="0.25">
      <c r="G56" s="50" t="s">
        <v>85</v>
      </c>
      <c r="H56" s="48" t="s">
        <v>86</v>
      </c>
      <c r="I56" s="65">
        <f>IF(WL_No="  ","  ",(VLOOKUP(Long_Div/2,AREA_TABLE,Count_WL+1,FALSE))/(B_current*T))</f>
        <v>0.89810090702947842</v>
      </c>
    </row>
    <row r="57" spans="7:9" x14ac:dyDescent="0.25">
      <c r="G57" s="50" t="s">
        <v>88</v>
      </c>
      <c r="H57" s="48" t="s">
        <v>89</v>
      </c>
      <c r="I57" s="49">
        <f>IF(WL_No="  ","  ",CB/CM)</f>
        <v>0.49215092577981168</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J43:BD57 J42:M42 O42:BD42 J38:BD41 AO3:AX26 AO27:AO28 AQ27:AX28">
    <cfRule type="containsErrors" dxfId="158" priority="14">
      <formula>ISERROR(A1)</formula>
    </cfRule>
  </conditionalFormatting>
  <conditionalFormatting sqref="G33:I34 G35:H57">
    <cfRule type="containsErrors" dxfId="157" priority="13">
      <formula>ISERROR(G33)</formula>
    </cfRule>
  </conditionalFormatting>
  <conditionalFormatting sqref="T12:T33">
    <cfRule type="containsErrors" dxfId="156" priority="12">
      <formula>ISERROR(T12)</formula>
    </cfRule>
  </conditionalFormatting>
  <conditionalFormatting sqref="I35:I57">
    <cfRule type="containsErrors" dxfId="155" priority="11">
      <formula>ISERROR(I35)</formula>
    </cfRule>
  </conditionalFormatting>
  <conditionalFormatting sqref="AY2:BC29">
    <cfRule type="containsErrors" dxfId="154" priority="8">
      <formula>ISERROR(AY2)</formula>
    </cfRule>
  </conditionalFormatting>
  <conditionalFormatting sqref="BE10:BG11 BE12:BF34">
    <cfRule type="containsErrors" dxfId="153" priority="10">
      <formula>ISERROR(BE10)</formula>
    </cfRule>
  </conditionalFormatting>
  <conditionalFormatting sqref="BG12:BG28 BG34">
    <cfRule type="containsErrors" dxfId="152" priority="9">
      <formula>ISERROR(BG12)</formula>
    </cfRule>
  </conditionalFormatting>
  <conditionalFormatting sqref="BE2:BG6">
    <cfRule type="containsErrors" dxfId="151" priority="7">
      <formula>ISERROR(BE2)</formula>
    </cfRule>
  </conditionalFormatting>
  <conditionalFormatting sqref="BF7:BG8">
    <cfRule type="containsErrors" dxfId="150" priority="5">
      <formula>ISERROR(BF7)</formula>
    </cfRule>
  </conditionalFormatting>
  <conditionalFormatting sqref="BE7:BE8">
    <cfRule type="containsErrors" dxfId="149" priority="6">
      <formula>ISERROR(BE7)</formula>
    </cfRule>
  </conditionalFormatting>
  <conditionalFormatting sqref="S30:S33">
    <cfRule type="containsErrors" dxfId="148" priority="4">
      <formula>ISERROR(S30)</formula>
    </cfRule>
  </conditionalFormatting>
  <conditionalFormatting sqref="AP27:AP28">
    <cfRule type="containsErrors" dxfId="147" priority="3">
      <formula>ISERROR(AP27)</formula>
    </cfRule>
  </conditionalFormatting>
  <conditionalFormatting sqref="BG29:BG32">
    <cfRule type="containsErrors" dxfId="146" priority="2">
      <formula>ISERROR(BG29)</formula>
    </cfRule>
  </conditionalFormatting>
  <conditionalFormatting sqref="BG33">
    <cfRule type="containsErrors" dxfId="145" priority="1">
      <formula>ISERROR(BG33)</formula>
    </cfRule>
  </conditionalFormatting>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0.5</v>
      </c>
      <c r="C1" s="3"/>
      <c r="D1" s="4"/>
      <c r="E1" s="4" t="s">
        <v>1</v>
      </c>
      <c r="F1" s="5">
        <v>2</v>
      </c>
      <c r="G1" s="4"/>
      <c r="H1" s="4"/>
      <c r="I1" s="4"/>
      <c r="J1" s="4"/>
      <c r="K1" s="4"/>
      <c r="L1" s="4"/>
      <c r="M1" s="4"/>
      <c r="N1" s="4"/>
      <c r="O1" s="4"/>
      <c r="P1" s="4"/>
      <c r="Q1" s="4"/>
      <c r="R1" s="4"/>
      <c r="S1" s="4"/>
      <c r="V1" t="s">
        <v>2</v>
      </c>
      <c r="W1">
        <f ca="1">COUNTIF(OFFSET(Z4,,,ROUNDDOWN(Max_STN_count/2+1,0),1),TRUE)</f>
        <v>5</v>
      </c>
      <c r="X1">
        <f ca="1">COUNTIF(OFFSET(AA4,,,ROUNDDOWN(Max_STN_count/2+1,0),1),TRUE)</f>
        <v>2</v>
      </c>
      <c r="Y1">
        <f ca="1">W1-X1</f>
        <v>3</v>
      </c>
      <c r="AB1" s="6" t="s">
        <v>3</v>
      </c>
      <c r="AC1">
        <f ca="1">COUNTIF(OFFSET(Z4,ROUNDUP(Max_STN_count/2,0),,ROUNDDOWN(Max_STN_count/2,0),1),TRUE)</f>
        <v>5</v>
      </c>
      <c r="AD1">
        <f ca="1">COUNTIF(OFFSET(AA4,ROUNDUP(Max_STN_count/2,0),,ROUNDDOWN(Max_STN_count/2,0),1),TRUE)</f>
        <v>4</v>
      </c>
      <c r="AE1">
        <f ca="1">AC1-AD1</f>
        <v>1</v>
      </c>
      <c r="AG1" t="s">
        <v>4</v>
      </c>
      <c r="AH1">
        <f>COUNTIF(AG4:AG28,TRUE)</f>
        <v>17</v>
      </c>
      <c r="AI1">
        <f ca="1">COUNTIF(OFFSET(AG4,,,ROUNDUP(Max_STN_count/2,0),1),FALSE)</f>
        <v>1</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131.69999999999999</v>
      </c>
      <c r="W4" s="29">
        <f>IF(AO4="  ","  ",IF(AO5="  ","?",1*(AO5-AO4)))</f>
        <v>0.5</v>
      </c>
      <c r="X4" s="30" t="str">
        <f t="shared" ref="X4:X28" si="4">IF(Y4=0,"--",CONCATENATE(IF(AO4=0,"-",IF(Y3=0,"-",IF(AO4-AO3=0.5,"D",IF(AO4-AO3=1,"W","-")))),IF(AO4=Long_Div,"-",IF(Y5=0,"-",IF(AO5-AO4=0.5,"D",IF(AO5-AO4=1,"W","-"))))))</f>
        <v>--</v>
      </c>
      <c r="Y4" s="30">
        <f t="shared" ref="Y4:Y28" si="5">IF(ISNUMBER(AO4),IF(AO4=Long_Div/2,"-",IF(AND(AO4=Long_Div,$AP4=0,$AP3=0),0,IF(AND(AO4=0,$AP4=0,$AP5=0),0,IF($AO4&lt;Long_Div/2,IF(AND(Y3=0,$AP4=0,$AP5=0),0,"-"),IF(AND(Y5=0,$AP4=0,$AP3=0),0,"-")))))," ")</f>
        <v>0</v>
      </c>
      <c r="Z4" s="29" t="b">
        <f t="shared" ref="Z4:Z28" si="6">IF(ISNUMBER(AO4),IF(AO4=0,IF(AO5=0.5,TRUE,FALSE),IF(AO4=Long_Div,IF(AO3=Long_Div-0.5,TRUE,FALSE),IF(OR(AO5-AO4=0.5,AO4-AO3=0.5),TRUE,FALSE)))," ")</f>
        <v>1</v>
      </c>
      <c r="AA4" s="29" t="str">
        <f t="shared" ref="AA4:AA28" si="7">IF(ISNUMBER(AO4),IF(Y4=0," ",IF(AO4=0,IF(AO5=0.5,TRUE,"-"),IF(AO4=Long_Div,IF(AO3=Long_Div-0.5,TRUE,"-"),IF(OR(AO5-AO4=0.5,AO4-AO3=0.5),TRUE,FALSE))))," ")</f>
        <v xml:space="preserve"> </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v>
      </c>
      <c r="AC4" s="29">
        <f>IF(ISNUMBER(AO4),IF(ISNUMBER(AO4),IF(OR(AO4=0,AO4=Long_Div),1,IF(AO4&gt;Long_Div/2,AC5+1,IF(AO4&lt;=Long_Div/2,AE3+1,"?")))," --")," ")</f>
        <v>1</v>
      </c>
      <c r="AD4" s="29">
        <f t="shared" ref="AD4:AD28" ca="1" si="9">IF(ISNUMBER(AO4),IF(AO4&gt;Long_Div/2,4-ROW(AD4)+Max_STN_count-$AE$1,ROW(AD4)-3-$Y$1)," ")</f>
        <v>-2</v>
      </c>
      <c r="AE4" s="29">
        <v>1</v>
      </c>
      <c r="AF4" s="31" t="str">
        <f t="shared" ref="AF4:AF8" si="10">IF(AND(AG4=TRUE,OR(NOT(AG3=TRUE),AG3="Full")),1,IF(ISNUMBER(AF3),AF3+1," "))</f>
        <v xml:space="preserve"> </v>
      </c>
      <c r="AG4" s="29" t="str">
        <f t="shared" ref="AG4:AG28" si="11">IF(ISNUMBER(AO4),IF(AA4=" "," ",IF(AO4=0,IF(AO5-AO4=1,TRUE,FALSE),IF(AO4=Long_Div,IF(AO4-AO3=1,TRUE,FALSE),IF(OR(AO5-AO4=1,AO4-AO3=1),TRUE,FALSE))))," ")</f>
        <v xml:space="preserve"> </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
      </c>
      <c r="AJ4" s="29">
        <f t="shared" ref="AJ4:AJ28" ca="1" si="14">IF(OR(AB4="1331-1",AB4="1331-1,141-1"),(1/2)*(3/8),IF(AB4="1331-3",(1/2)*(9/8),IF(AB4="141-1",(1/2)*(1/3),IF(AB4="141-2",(1/2)*(2/3),IF(AB4="141-4",(1/2)*(4/3),0)))))</f>
        <v>0</v>
      </c>
      <c r="AK4" s="29" t="str">
        <f t="shared" ref="AK4:AK28" si="15">IF(AH4="1331-1,141-1","(1*3/8)+(1/3)",IF(LEFT(AH4,4)="141-",CONCATENATE(RIGHT(AH4,1),"/3"),IF(LEFT(AH4,4)="1331",CONCATENATE(RIGHT(AH4,1),"*3/8"),"")))</f>
        <v/>
      </c>
      <c r="AL4" s="29">
        <f t="shared" ref="AL4:AL28" si="16">IF(AH4="1331-1,141-1",(1*3/8)+(1/3),IF(LEFT(AH4,4)="141-",(RIGHT(AH4,1)/3),IF(LEFT(AH4,4)="1331",RIGHT(AH4,1)*3/8,0)))</f>
        <v>0</v>
      </c>
      <c r="AM4" s="32" t="str">
        <f ca="1">IF(AQ4=""," ",AJ4+AL4)</f>
        <v xml:space="preserve"> </v>
      </c>
      <c r="AO4" s="20">
        <f>Tools!$AD3</f>
        <v>0</v>
      </c>
      <c r="AP4" s="33">
        <f t="shared" ref="AP4" si="17">VLOOKUP(AO4,OFFSET_A,Count_WL+1,FALSE)</f>
        <v>0</v>
      </c>
      <c r="AQ4" s="34" t="str">
        <f t="shared" ref="AQ4:AQ28" ca="1" si="18">CONCATENATE(AI4,IF(NOT(OR(AI4="",AK4="")),"+",""),AK4)</f>
        <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f t="shared" ref="AV4:AV28" si="21">IFERROR(AP4^3,"  ")</f>
        <v>0</v>
      </c>
      <c r="AW4" s="23" t="str">
        <f t="shared" ref="AW4:AW28" ca="1" si="22">IFERROR(AV4*AM4,"  ")</f>
        <v xml:space="preserve">  </v>
      </c>
      <c r="AY4" s="35">
        <f t="shared" ref="AY4:AY28" si="23">IF(ROW(AY4)-3&gt;Max_STN_count," ",VLOOKUP(AO4,AREA_TABLE,Count_WL+1,FALSE))</f>
        <v>0</v>
      </c>
      <c r="AZ4" s="23" t="str">
        <f t="shared" ref="AZ4:AZ7" ca="1" si="24">IFERROR(AY4*AM4,"  ")</f>
        <v xml:space="preserve">  </v>
      </c>
      <c r="BA4" s="36">
        <f t="shared" ref="BA4:BA28" si="25">IF(ROW(AY4)-3&gt;Max_STN_count," ",VLOOKUP(AO4,MOMENT_TABLE,Count_WL+1,FALSE))</f>
        <v>0</v>
      </c>
      <c r="BB4" s="27" t="str">
        <f ca="1">IFERROR(BA4*AM4,"  ")</f>
        <v xml:space="preserve">  </v>
      </c>
      <c r="BC4" s="23" t="str">
        <f ca="1">IFERROR(AZ4*AS4,"  ")</f>
        <v xml:space="preserve">  </v>
      </c>
      <c r="BE4" s="16" t="s">
        <v>26</v>
      </c>
      <c r="BF4" s="9" t="s">
        <v>8</v>
      </c>
      <c r="BG4" s="28">
        <f>LBP</f>
        <v>131.69999999999999</v>
      </c>
    </row>
    <row r="5" spans="1:60" x14ac:dyDescent="0.25">
      <c r="A5" s="20">
        <f>Tools!$AD4</f>
        <v>0.5</v>
      </c>
      <c r="B5" s="33">
        <f t="shared" si="0"/>
        <v>0</v>
      </c>
      <c r="C5" s="22">
        <f>IF(A5="  ","  ",IF(AND(A4="  ",A6="  "),"?",IF(A4="  ",2*(A6-A5),IF(A6="  ",2*(A5-A4),2*(A6-A4)))))</f>
        <v>2</v>
      </c>
      <c r="D5" s="23">
        <f t="shared" ref="D5:D28" si="26">IFERROR(B5*C5,"  ")</f>
        <v>0</v>
      </c>
      <c r="E5" s="24">
        <f t="shared" si="1"/>
        <v>-9.5</v>
      </c>
      <c r="F5" s="23">
        <f t="shared" ref="F5:F28" si="27">IFERROR(D5*E5,"  ")</f>
        <v>0</v>
      </c>
      <c r="G5" s="23">
        <f t="shared" ref="G5:G28" si="28">IFERROR(F5*E5,"  ")</f>
        <v>0</v>
      </c>
      <c r="H5" s="23">
        <f t="shared" ref="H5:H28" si="29">IFERROR(B5^3,"  ")</f>
        <v>0</v>
      </c>
      <c r="I5" s="23">
        <f t="shared" ref="I5:I28" si="30">IFERROR(H5*C5,"  ")</f>
        <v>0</v>
      </c>
      <c r="J5" s="4"/>
      <c r="K5" s="37">
        <f t="shared" si="2"/>
        <v>0</v>
      </c>
      <c r="L5" s="23">
        <f t="shared" ref="L5:L28" si="31">IFERROR(K5*C5,"  ")</f>
        <v>0</v>
      </c>
      <c r="M5" s="38">
        <f t="shared" si="3"/>
        <v>0</v>
      </c>
      <c r="N5" s="27">
        <f t="shared" ref="N5:N28" si="32">IFERROR(M5*C5,"  ")</f>
        <v>0</v>
      </c>
      <c r="O5" s="23">
        <f t="shared" ref="O5:O28" si="33">IFERROR(L5*E5,"  ")</f>
        <v>0</v>
      </c>
      <c r="P5" s="4"/>
      <c r="Q5" s="8" t="s">
        <v>27</v>
      </c>
      <c r="R5" s="9" t="s">
        <v>8</v>
      </c>
      <c r="S5" s="10">
        <f>BREADTH</f>
        <v>24.5</v>
      </c>
      <c r="W5" s="29">
        <f>IF(AO5="  ","  ",IF(AND(AO4="  ",AO6="  "),"?",IF(AO4="  ",2*(AO6-AO5),IF(AO6="  ",2*(AO5-AO4),2*(AO6-AO4)))))</f>
        <v>2</v>
      </c>
      <c r="X5" s="30" t="str">
        <f t="shared" si="4"/>
        <v>--</v>
      </c>
      <c r="Y5" s="30">
        <f t="shared" si="5"/>
        <v>0</v>
      </c>
      <c r="Z5" s="29" t="b">
        <f t="shared" si="6"/>
        <v>1</v>
      </c>
      <c r="AA5" s="29" t="str">
        <f t="shared" si="7"/>
        <v xml:space="preserve"> </v>
      </c>
      <c r="AB5" s="29" t="str">
        <f t="shared" ca="1" si="8"/>
        <v>**</v>
      </c>
      <c r="AC5" s="29">
        <f t="shared" ref="AC5:AC27" si="34">IF(ISNUMBER(AO5),IF(ISNUMBER(AO5),IF(OR(AO5=0,AO5=Long_Div),1,IF(AO5&gt;Long_Div/2,AC6+1,IF(AO5&lt;=Long_Div/2,AC4+1,"?")))," --")," ")</f>
        <v>2</v>
      </c>
      <c r="AD5" s="29">
        <f t="shared" ca="1" si="9"/>
        <v>-1</v>
      </c>
      <c r="AE5" s="29">
        <v>2</v>
      </c>
      <c r="AF5" s="31" t="str">
        <f t="shared" si="10"/>
        <v xml:space="preserve"> </v>
      </c>
      <c r="AG5" s="29" t="str">
        <f t="shared" si="11"/>
        <v xml:space="preserve"> </v>
      </c>
      <c r="AH5" s="30" t="str">
        <f t="shared" si="12"/>
        <v>-</v>
      </c>
      <c r="AI5" s="30" t="str">
        <f t="shared" ca="1" si="13"/>
        <v/>
      </c>
      <c r="AJ5" s="29">
        <f t="shared" ca="1" si="14"/>
        <v>0</v>
      </c>
      <c r="AK5" s="29" t="str">
        <f t="shared" si="15"/>
        <v/>
      </c>
      <c r="AL5" s="29">
        <f t="shared" si="16"/>
        <v>0</v>
      </c>
      <c r="AM5" s="32" t="str">
        <f t="shared" ref="AM5:AM28" ca="1" si="35">IF(AQ5=""," ",AJ5+AL5)</f>
        <v xml:space="preserve"> </v>
      </c>
      <c r="AO5" s="20">
        <f>Tools!$AD4</f>
        <v>0.5</v>
      </c>
      <c r="AP5" s="33">
        <f t="shared" ref="AP5:AP28" si="36">VLOOKUP(AO5,OFFSET_A,Count_WL+1,FALSE)</f>
        <v>0</v>
      </c>
      <c r="AQ5" s="34" t="str">
        <f t="shared" ca="1" si="18"/>
        <v/>
      </c>
      <c r="AR5" s="23" t="str">
        <f t="shared" ca="1" si="19"/>
        <v xml:space="preserve">  </v>
      </c>
      <c r="AS5" s="24">
        <f t="shared" si="20"/>
        <v>-9.5</v>
      </c>
      <c r="AT5" s="23" t="str">
        <f t="shared" ref="AT5:AT28" ca="1" si="37">IFERROR(AR5*AS5,"  ")</f>
        <v xml:space="preserve">  </v>
      </c>
      <c r="AU5" s="23" t="str">
        <f ca="1">IFERROR(AT5*AS5,"  ")</f>
        <v xml:space="preserve">  </v>
      </c>
      <c r="AV5" s="23">
        <f t="shared" si="21"/>
        <v>0</v>
      </c>
      <c r="AW5" s="23" t="str">
        <f t="shared" ca="1" si="22"/>
        <v xml:space="preserve">  </v>
      </c>
      <c r="AY5" s="35">
        <f t="shared" si="23"/>
        <v>0</v>
      </c>
      <c r="AZ5" s="23" t="str">
        <f t="shared" ca="1" si="24"/>
        <v xml:space="preserve">  </v>
      </c>
      <c r="BA5" s="36">
        <f t="shared" si="25"/>
        <v>0</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f t="shared" si="0"/>
        <v>0</v>
      </c>
      <c r="C6" s="22">
        <f>IF(A6="  ","  ",IF(AND(A5="  ",A7="  "),"?",IF(A5="  ",1*(A7-A6),IF(A7="  ",1*(A6-A5),1*(A7-A5)))))</f>
        <v>1</v>
      </c>
      <c r="D6" s="23">
        <f t="shared" si="26"/>
        <v>0</v>
      </c>
      <c r="E6" s="24">
        <f t="shared" si="1"/>
        <v>-9</v>
      </c>
      <c r="F6" s="23">
        <f t="shared" si="27"/>
        <v>0</v>
      </c>
      <c r="G6" s="23">
        <f t="shared" si="28"/>
        <v>0</v>
      </c>
      <c r="H6" s="23">
        <f t="shared" si="29"/>
        <v>0</v>
      </c>
      <c r="I6" s="23">
        <f t="shared" si="30"/>
        <v>0</v>
      </c>
      <c r="J6" s="4"/>
      <c r="K6" s="37">
        <f t="shared" si="2"/>
        <v>0</v>
      </c>
      <c r="L6" s="23">
        <f t="shared" si="31"/>
        <v>0</v>
      </c>
      <c r="M6" s="38">
        <f t="shared" si="3"/>
        <v>0</v>
      </c>
      <c r="N6" s="27">
        <f t="shared" si="32"/>
        <v>0</v>
      </c>
      <c r="O6" s="23">
        <f t="shared" si="33"/>
        <v>0</v>
      </c>
      <c r="P6" s="4"/>
      <c r="Q6" s="8" t="s">
        <v>28</v>
      </c>
      <c r="R6" s="9" t="s">
        <v>8</v>
      </c>
      <c r="S6" s="10">
        <f>DEPTH</f>
        <v>14.19</v>
      </c>
      <c r="W6" s="29">
        <f>IF(AO6="  ","  ",IF(AND(AO5="  ",AO7="  "),"?",IF(AO5="  ",1*(AO7-AO6),IF(AO7="  ",1*(AO6-AO5),1*(AO7-AO5)))))</f>
        <v>1</v>
      </c>
      <c r="X6" s="30" t="str">
        <f t="shared" si="4"/>
        <v>--</v>
      </c>
      <c r="Y6" s="30">
        <f t="shared" si="5"/>
        <v>0</v>
      </c>
      <c r="Z6" s="29" t="b">
        <f t="shared" si="6"/>
        <v>1</v>
      </c>
      <c r="AA6" s="29" t="str">
        <f t="shared" si="7"/>
        <v xml:space="preserve"> </v>
      </c>
      <c r="AB6" s="29" t="str">
        <f t="shared" ca="1" si="8"/>
        <v>141-1</v>
      </c>
      <c r="AC6" s="29">
        <f t="shared" si="34"/>
        <v>3</v>
      </c>
      <c r="AD6" s="29">
        <f t="shared" ca="1" si="9"/>
        <v>0</v>
      </c>
      <c r="AE6" s="29">
        <v>3</v>
      </c>
      <c r="AF6" s="31" t="str">
        <f t="shared" si="10"/>
        <v xml:space="preserve"> </v>
      </c>
      <c r="AG6" s="29" t="str">
        <f t="shared" si="11"/>
        <v xml:space="preserve"> </v>
      </c>
      <c r="AH6" s="30" t="str">
        <f t="shared" si="12"/>
        <v>-</v>
      </c>
      <c r="AI6" s="30" t="str">
        <f t="shared" ca="1" si="13"/>
        <v>(1/2)*(1/3)</v>
      </c>
      <c r="AJ6" s="29">
        <f t="shared" ca="1" si="14"/>
        <v>0.16666666666666666</v>
      </c>
      <c r="AK6" s="29" t="str">
        <f t="shared" si="15"/>
        <v/>
      </c>
      <c r="AL6" s="29">
        <f t="shared" si="16"/>
        <v>0</v>
      </c>
      <c r="AM6" s="32">
        <f t="shared" ca="1" si="35"/>
        <v>0.16666666666666666</v>
      </c>
      <c r="AO6" s="20">
        <f>Tools!$AD5</f>
        <v>1</v>
      </c>
      <c r="AP6" s="33">
        <f t="shared" si="36"/>
        <v>0</v>
      </c>
      <c r="AQ6" s="34" t="str">
        <f t="shared" ca="1" si="18"/>
        <v>(1/2)*(1/3)</v>
      </c>
      <c r="AR6" s="23">
        <f t="shared" ca="1" si="19"/>
        <v>0</v>
      </c>
      <c r="AS6" s="24">
        <f t="shared" si="20"/>
        <v>-9</v>
      </c>
      <c r="AT6" s="23">
        <f t="shared" ca="1" si="37"/>
        <v>0</v>
      </c>
      <c r="AU6" s="23">
        <f ca="1">IFERROR(AT6*AS6,"  ")</f>
        <v>0</v>
      </c>
      <c r="AV6" s="23">
        <f t="shared" si="21"/>
        <v>0</v>
      </c>
      <c r="AW6" s="23">
        <f t="shared" ca="1" si="22"/>
        <v>0</v>
      </c>
      <c r="AY6" s="35">
        <f t="shared" si="23"/>
        <v>0</v>
      </c>
      <c r="AZ6" s="23">
        <f t="shared" ca="1" si="24"/>
        <v>0</v>
      </c>
      <c r="BA6" s="36">
        <f t="shared" si="25"/>
        <v>0</v>
      </c>
      <c r="BB6" s="27">
        <f t="shared" ca="1" si="38"/>
        <v>0</v>
      </c>
      <c r="BC6" s="23">
        <f t="shared" ca="1" si="39"/>
        <v>0</v>
      </c>
      <c r="BE6" s="8" t="s">
        <v>28</v>
      </c>
      <c r="BF6" s="9" t="s">
        <v>8</v>
      </c>
      <c r="BG6" s="10">
        <f>DEPTH</f>
        <v>14.19</v>
      </c>
    </row>
    <row r="7" spans="1:60" x14ac:dyDescent="0.25">
      <c r="A7" s="20">
        <f>Tools!$AD6</f>
        <v>1.5</v>
      </c>
      <c r="B7" s="33">
        <f t="shared" si="0"/>
        <v>0</v>
      </c>
      <c r="C7" s="22">
        <f>IF(A7="  ","  ",IF(AND(A6="  ",A8="  "),"?",IF(A6="  ",2*(A8-A7),IF(A8="  ",2*(A7-A6),2*(A8-A6)))))</f>
        <v>2</v>
      </c>
      <c r="D7" s="23">
        <f t="shared" si="26"/>
        <v>0</v>
      </c>
      <c r="E7" s="24">
        <f t="shared" si="1"/>
        <v>-8.5</v>
      </c>
      <c r="F7" s="23">
        <f t="shared" si="27"/>
        <v>0</v>
      </c>
      <c r="G7" s="23">
        <f t="shared" si="28"/>
        <v>0</v>
      </c>
      <c r="H7" s="23">
        <f t="shared" si="29"/>
        <v>0</v>
      </c>
      <c r="I7" s="23">
        <f t="shared" si="30"/>
        <v>0</v>
      </c>
      <c r="J7" s="4"/>
      <c r="K7" s="37">
        <f t="shared" si="2"/>
        <v>0</v>
      </c>
      <c r="L7" s="23">
        <f t="shared" si="31"/>
        <v>0</v>
      </c>
      <c r="M7" s="38">
        <f t="shared" si="3"/>
        <v>0</v>
      </c>
      <c r="N7" s="27">
        <f t="shared" si="32"/>
        <v>0</v>
      </c>
      <c r="O7" s="23">
        <f t="shared" si="33"/>
        <v>0</v>
      </c>
      <c r="P7" s="4"/>
      <c r="Q7" s="39" t="s">
        <v>29</v>
      </c>
      <c r="R7" s="40" t="s">
        <v>8</v>
      </c>
      <c r="S7" s="41">
        <f>IF(MAX(B4:B28)=0," ",2*MAX(B4:B28))</f>
        <v>21.68</v>
      </c>
      <c r="W7" s="29">
        <f>IF(AO7="  ","  ",IF(AND(AO6="  ",AO8="  "),"?",IF(AO6="  ",2*(AO8-AO7),IF(AO8="  ",2*(AO7-AO6),2*(AO8-AO6)))))</f>
        <v>2</v>
      </c>
      <c r="X7" s="30" t="str">
        <f t="shared" si="4"/>
        <v>-D</v>
      </c>
      <c r="Y7" s="30" t="str">
        <f t="shared" si="5"/>
        <v>-</v>
      </c>
      <c r="Z7" s="29" t="b">
        <f t="shared" si="6"/>
        <v>1</v>
      </c>
      <c r="AA7" s="29" t="b">
        <f t="shared" si="7"/>
        <v>1</v>
      </c>
      <c r="AB7" s="29" t="str">
        <f t="shared" ca="1" si="8"/>
        <v>141-4</v>
      </c>
      <c r="AC7" s="29">
        <f t="shared" si="34"/>
        <v>4</v>
      </c>
      <c r="AD7" s="29">
        <f t="shared" ca="1" si="9"/>
        <v>1</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0</v>
      </c>
      <c r="AQ7" s="34" t="str">
        <f t="shared" ca="1" si="18"/>
        <v>(1/2)*(4/3)</v>
      </c>
      <c r="AR7" s="23">
        <f t="shared" ca="1" si="19"/>
        <v>0</v>
      </c>
      <c r="AS7" s="24">
        <f t="shared" si="20"/>
        <v>-8.5</v>
      </c>
      <c r="AT7" s="23">
        <f t="shared" ca="1" si="37"/>
        <v>0</v>
      </c>
      <c r="AU7" s="23">
        <f t="shared" ref="AU7:AU28" ca="1" si="40">IFERROR(AT7*AS7,"  ")</f>
        <v>0</v>
      </c>
      <c r="AV7" s="23">
        <f t="shared" si="21"/>
        <v>0</v>
      </c>
      <c r="AW7" s="23">
        <f t="shared" ca="1" si="22"/>
        <v>0</v>
      </c>
      <c r="AY7" s="35">
        <f t="shared" si="23"/>
        <v>0</v>
      </c>
      <c r="AZ7" s="23">
        <f t="shared" ca="1" si="24"/>
        <v>0</v>
      </c>
      <c r="BA7" s="36">
        <f t="shared" si="25"/>
        <v>0</v>
      </c>
      <c r="BB7" s="27">
        <f t="shared" ca="1" si="38"/>
        <v>0</v>
      </c>
      <c r="BC7" s="23">
        <f t="shared" ca="1" si="39"/>
        <v>0</v>
      </c>
      <c r="BE7" s="8" t="s">
        <v>29</v>
      </c>
      <c r="BF7" s="9" t="s">
        <v>8</v>
      </c>
      <c r="BG7" s="10">
        <f>IF(MAX(AP4:AP28)=0," ",2*MAX(AP4:AP28))</f>
        <v>21.68</v>
      </c>
    </row>
    <row r="8" spans="1:60" x14ac:dyDescent="0.25">
      <c r="A8" s="20">
        <f>Tools!$AD7</f>
        <v>2</v>
      </c>
      <c r="B8" s="33">
        <f t="shared" si="0"/>
        <v>0.4</v>
      </c>
      <c r="C8" s="22">
        <f>IF(A8="  ","  ",IF(AND(A7="  ",A9="  "),"?",IF(A7="  ",1*(A9-A8),IF(A9="  ",1*(A8-A7),1*(A9-A7)))))</f>
        <v>1.5</v>
      </c>
      <c r="D8" s="23">
        <f t="shared" si="26"/>
        <v>0.60000000000000009</v>
      </c>
      <c r="E8" s="24">
        <f t="shared" si="1"/>
        <v>-8</v>
      </c>
      <c r="F8" s="23">
        <f t="shared" si="27"/>
        <v>-4.8000000000000007</v>
      </c>
      <c r="G8" s="23">
        <f t="shared" si="28"/>
        <v>38.400000000000006</v>
      </c>
      <c r="H8" s="23">
        <f t="shared" si="29"/>
        <v>6.4000000000000015E-2</v>
      </c>
      <c r="I8" s="23">
        <f t="shared" si="30"/>
        <v>9.600000000000003E-2</v>
      </c>
      <c r="J8" s="4"/>
      <c r="K8" s="37">
        <f t="shared" si="2"/>
        <v>0.13200000000000001</v>
      </c>
      <c r="L8" s="23">
        <f t="shared" si="31"/>
        <v>0.19800000000000001</v>
      </c>
      <c r="M8" s="38">
        <f t="shared" si="3"/>
        <v>0.10428000000000001</v>
      </c>
      <c r="N8" s="27">
        <f t="shared" si="32"/>
        <v>0.15642</v>
      </c>
      <c r="O8" s="23">
        <f t="shared" si="33"/>
        <v>-1.5840000000000001</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2</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0.4</v>
      </c>
      <c r="AQ8" s="34" t="str">
        <f t="shared" ca="1" si="18"/>
        <v>(1/2)*(1/3)+1/3</v>
      </c>
      <c r="AR8" s="23">
        <f t="shared" ca="1" si="19"/>
        <v>0.2</v>
      </c>
      <c r="AS8" s="24">
        <f t="shared" si="20"/>
        <v>-8</v>
      </c>
      <c r="AT8" s="23">
        <f t="shared" ca="1" si="37"/>
        <v>-1.6</v>
      </c>
      <c r="AU8" s="23">
        <f t="shared" ca="1" si="40"/>
        <v>12.8</v>
      </c>
      <c r="AV8" s="23">
        <f t="shared" si="21"/>
        <v>6.4000000000000015E-2</v>
      </c>
      <c r="AW8" s="23">
        <f t="shared" ca="1" si="22"/>
        <v>3.2000000000000008E-2</v>
      </c>
      <c r="AY8" s="35">
        <f t="shared" si="23"/>
        <v>0.13200000000000001</v>
      </c>
      <c r="AZ8" s="23">
        <f ca="1">IFERROR(AY8*AM8,"  ")</f>
        <v>6.6000000000000003E-2</v>
      </c>
      <c r="BA8" s="36">
        <f t="shared" si="25"/>
        <v>0.10428000000000001</v>
      </c>
      <c r="BB8" s="27">
        <f t="shared" ca="1" si="38"/>
        <v>5.2140000000000006E-2</v>
      </c>
      <c r="BC8" s="23">
        <f t="shared" ca="1" si="39"/>
        <v>-0.52800000000000002</v>
      </c>
      <c r="BE8" s="8" t="s">
        <v>30</v>
      </c>
      <c r="BF8" s="9" t="s">
        <v>8</v>
      </c>
      <c r="BG8" s="10">
        <f ca="1">LBP-AJ33</f>
        <v>121.82249999999999</v>
      </c>
      <c r="BH8" t="str">
        <f ca="1">IF(AJ33&gt;0,CONCATENATE("(LWL is assumed between stations ",$AH$31," and ",$AH$33," as offset values extreme to these stations are zeros.)"),"")</f>
        <v>(LWL is assumed between stations 1 and 19.5 as offset values extreme to these stations are zeros.)</v>
      </c>
    </row>
    <row r="9" spans="1:60" x14ac:dyDescent="0.25">
      <c r="A9" s="20">
        <f>Tools!$AD8</f>
        <v>3</v>
      </c>
      <c r="B9" s="33">
        <f t="shared" si="0"/>
        <v>1.67</v>
      </c>
      <c r="C9" s="22">
        <f>IF(A9="  ","  ",IF(AND(A8="  ",A10="  "),"?",IF(A8="  ",2*(A10-A9),IF(A10="  ",2*(A9-A8),2*(A10-A8)))))</f>
        <v>4</v>
      </c>
      <c r="D9" s="23">
        <f t="shared" si="26"/>
        <v>6.68</v>
      </c>
      <c r="E9" s="24">
        <f t="shared" si="1"/>
        <v>-7</v>
      </c>
      <c r="F9" s="23">
        <f t="shared" si="27"/>
        <v>-46.76</v>
      </c>
      <c r="G9" s="23">
        <f t="shared" si="28"/>
        <v>327.32</v>
      </c>
      <c r="H9" s="23">
        <f t="shared" si="29"/>
        <v>4.6574629999999999</v>
      </c>
      <c r="I9" s="23">
        <f t="shared" si="30"/>
        <v>18.629852</v>
      </c>
      <c r="J9" s="4"/>
      <c r="K9" s="37">
        <f t="shared" si="2"/>
        <v>1.8839999999999997</v>
      </c>
      <c r="L9" s="23">
        <f t="shared" si="31"/>
        <v>7.5359999999999987</v>
      </c>
      <c r="M9" s="38">
        <f t="shared" si="3"/>
        <v>1.0327499999999998</v>
      </c>
      <c r="N9" s="27">
        <f t="shared" si="32"/>
        <v>4.1309999999999993</v>
      </c>
      <c r="O9" s="23">
        <f t="shared" si="33"/>
        <v>-52.751999999999988</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3</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1.67</v>
      </c>
      <c r="AQ9" s="34" t="str">
        <f t="shared" ca="1" si="18"/>
        <v>4/3</v>
      </c>
      <c r="AR9" s="23">
        <f t="shared" ca="1" si="19"/>
        <v>2.2266666666666666</v>
      </c>
      <c r="AS9" s="24">
        <f t="shared" si="20"/>
        <v>-7</v>
      </c>
      <c r="AT9" s="23">
        <f t="shared" ca="1" si="37"/>
        <v>-15.586666666666666</v>
      </c>
      <c r="AU9" s="23">
        <f t="shared" ca="1" si="40"/>
        <v>109.10666666666665</v>
      </c>
      <c r="AV9" s="23">
        <f t="shared" si="21"/>
        <v>4.6574629999999999</v>
      </c>
      <c r="AW9" s="23">
        <f t="shared" ca="1" si="22"/>
        <v>6.209950666666666</v>
      </c>
      <c r="AY9" s="35">
        <f t="shared" si="23"/>
        <v>1.8839999999999997</v>
      </c>
      <c r="AZ9" s="23">
        <f t="shared" ref="AZ9:AZ28" ca="1" si="41">IFERROR(AY9*AM9,"  ")</f>
        <v>2.5119999999999996</v>
      </c>
      <c r="BA9" s="36">
        <f t="shared" si="25"/>
        <v>1.0327499999999998</v>
      </c>
      <c r="BB9" s="27">
        <f t="shared" ca="1" si="38"/>
        <v>1.3769999999999998</v>
      </c>
      <c r="BC9" s="23">
        <f t="shared" ca="1" si="39"/>
        <v>-17.583999999999996</v>
      </c>
    </row>
    <row r="10" spans="1:60" x14ac:dyDescent="0.25">
      <c r="A10" s="20">
        <f>Tools!$AD9</f>
        <v>4</v>
      </c>
      <c r="B10" s="33">
        <f t="shared" si="0"/>
        <v>3.17</v>
      </c>
      <c r="C10" s="22">
        <f>IF(A10="  ","  ",IF(AND(A9="  ",A11="  "),"?",IF(A9="  ",1*(A11-A10),IF(A11="  ",1*(A10-A9),1*(A11-A9)))))</f>
        <v>2</v>
      </c>
      <c r="D10" s="23">
        <f t="shared" si="26"/>
        <v>6.34</v>
      </c>
      <c r="E10" s="24">
        <f t="shared" si="1"/>
        <v>-6</v>
      </c>
      <c r="F10" s="23">
        <f t="shared" si="27"/>
        <v>-38.04</v>
      </c>
      <c r="G10" s="23">
        <f t="shared" si="28"/>
        <v>228.24</v>
      </c>
      <c r="H10" s="23">
        <f t="shared" si="29"/>
        <v>31.855013</v>
      </c>
      <c r="I10" s="23">
        <f>IFERROR(H10*C10,"  ")</f>
        <v>63.710025999999999</v>
      </c>
      <c r="J10" s="4"/>
      <c r="K10" s="37">
        <f t="shared" si="2"/>
        <v>3.9420000000000002</v>
      </c>
      <c r="L10" s="23">
        <f t="shared" si="31"/>
        <v>7.8840000000000003</v>
      </c>
      <c r="M10" s="38">
        <f t="shared" si="3"/>
        <v>2.0668500000000005</v>
      </c>
      <c r="N10" s="27">
        <f t="shared" si="32"/>
        <v>4.133700000000001</v>
      </c>
      <c r="O10" s="23">
        <f t="shared" si="33"/>
        <v>-47.304000000000002</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4</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3.17</v>
      </c>
      <c r="AQ10" s="34" t="str">
        <f t="shared" ca="1" si="18"/>
        <v>2/3</v>
      </c>
      <c r="AR10" s="23">
        <f t="shared" ca="1" si="19"/>
        <v>2.1133333333333333</v>
      </c>
      <c r="AS10" s="24">
        <f t="shared" si="20"/>
        <v>-6</v>
      </c>
      <c r="AT10" s="23">
        <f t="shared" ca="1" si="37"/>
        <v>-12.68</v>
      </c>
      <c r="AU10" s="23">
        <f ca="1">IFERROR(AT10*AS10,"  ")</f>
        <v>76.08</v>
      </c>
      <c r="AV10" s="23">
        <f t="shared" si="21"/>
        <v>31.855013</v>
      </c>
      <c r="AW10" s="23">
        <f t="shared" ca="1" si="22"/>
        <v>21.236675333333331</v>
      </c>
      <c r="AY10" s="35">
        <f t="shared" si="23"/>
        <v>3.9420000000000002</v>
      </c>
      <c r="AZ10" s="23">
        <f t="shared" ca="1" si="41"/>
        <v>2.6280000000000001</v>
      </c>
      <c r="BA10" s="36">
        <f t="shared" si="25"/>
        <v>2.0668500000000005</v>
      </c>
      <c r="BB10" s="27">
        <f t="shared" ca="1" si="38"/>
        <v>1.3779000000000003</v>
      </c>
      <c r="BC10" s="23">
        <f t="shared" ca="1" si="39"/>
        <v>-15.768000000000001</v>
      </c>
      <c r="BE10" s="43" t="s">
        <v>31</v>
      </c>
      <c r="BF10" s="44" t="s">
        <v>32</v>
      </c>
      <c r="BG10" s="506" t="s">
        <v>33</v>
      </c>
    </row>
    <row r="11" spans="1:60" x14ac:dyDescent="0.25">
      <c r="A11" s="20">
        <f>Tools!$AD10</f>
        <v>5</v>
      </c>
      <c r="B11" s="33">
        <f t="shared" si="0"/>
        <v>4.8099999999999996</v>
      </c>
      <c r="C11" s="22">
        <f>IF(A11="  ","  ",IF(AND(A10="  ",A12="  "),"?",IF(A10="  ",2*(A12-A11),IF(A12="  ",2*(A11-A10),2*(A12-A10)))))</f>
        <v>4</v>
      </c>
      <c r="D11" s="23">
        <f t="shared" si="26"/>
        <v>19.239999999999998</v>
      </c>
      <c r="E11" s="24">
        <f t="shared" si="1"/>
        <v>-5</v>
      </c>
      <c r="F11" s="23">
        <f t="shared" si="27"/>
        <v>-96.199999999999989</v>
      </c>
      <c r="G11" s="23">
        <f t="shared" si="28"/>
        <v>480.99999999999994</v>
      </c>
      <c r="H11" s="23">
        <f t="shared" si="29"/>
        <v>111.28464099999997</v>
      </c>
      <c r="I11" s="23">
        <f t="shared" si="30"/>
        <v>445.13856399999986</v>
      </c>
      <c r="J11" s="4"/>
      <c r="K11" s="37">
        <f t="shared" si="2"/>
        <v>6.0734999999999992</v>
      </c>
      <c r="L11" s="23">
        <f t="shared" si="31"/>
        <v>24.293999999999997</v>
      </c>
      <c r="M11" s="38">
        <f t="shared" si="3"/>
        <v>3.1637249999999995</v>
      </c>
      <c r="N11" s="27">
        <f t="shared" si="32"/>
        <v>12.654899999999998</v>
      </c>
      <c r="O11" s="23">
        <f t="shared" si="33"/>
        <v>-121.46999999999998</v>
      </c>
      <c r="P11" s="4"/>
      <c r="Q11" s="47" t="s">
        <v>34</v>
      </c>
      <c r="R11" s="48" t="s">
        <v>35</v>
      </c>
      <c r="S11">
        <f>IF(Tools!$L$49="Use 141 rule only",I35,IF(Tools!$L$49="Use 141 and 1331 rules",BG12," "))</f>
        <v>1423.3916499999996</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5</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4.8099999999999996</v>
      </c>
      <c r="AQ11" s="34" t="str">
        <f t="shared" ca="1" si="18"/>
        <v>4/3</v>
      </c>
      <c r="AR11" s="23">
        <f t="shared" ca="1" si="19"/>
        <v>6.4133333333333322</v>
      </c>
      <c r="AS11" s="24">
        <f t="shared" si="20"/>
        <v>-5</v>
      </c>
      <c r="AT11" s="23">
        <f t="shared" ca="1" si="37"/>
        <v>-32.066666666666663</v>
      </c>
      <c r="AU11" s="23">
        <f t="shared" ca="1" si="40"/>
        <v>160.33333333333331</v>
      </c>
      <c r="AV11" s="23">
        <f t="shared" si="21"/>
        <v>111.28464099999997</v>
      </c>
      <c r="AW11" s="23">
        <f t="shared" ca="1" si="22"/>
        <v>148.37952133333329</v>
      </c>
      <c r="AY11" s="35">
        <f t="shared" si="23"/>
        <v>6.0734999999999992</v>
      </c>
      <c r="AZ11" s="23">
        <f t="shared" ca="1" si="41"/>
        <v>8.097999999999999</v>
      </c>
      <c r="BA11" s="36">
        <f t="shared" si="25"/>
        <v>3.1637249999999995</v>
      </c>
      <c r="BB11" s="27">
        <f t="shared" ca="1" si="38"/>
        <v>4.2182999999999993</v>
      </c>
      <c r="BC11" s="23">
        <f ca="1">IFERROR(AZ11*AS11,"  ")</f>
        <v>-40.489999999999995</v>
      </c>
      <c r="BE11" s="45"/>
      <c r="BF11" s="46"/>
      <c r="BG11" s="507"/>
    </row>
    <row r="12" spans="1:60" x14ac:dyDescent="0.25">
      <c r="A12" s="20">
        <f>Tools!$AD11</f>
        <v>6</v>
      </c>
      <c r="B12" s="33">
        <f t="shared" si="0"/>
        <v>6.59</v>
      </c>
      <c r="C12" s="22">
        <f>IF(A12="  ","  ",IF(AND(A11="  ",A13="  "),"?",IF(A11="  ",1*(A13-A12),IF(A13="  ",1*(A12-A11),1*(A13-A11)))))</f>
        <v>2</v>
      </c>
      <c r="D12" s="23">
        <f t="shared" si="26"/>
        <v>13.18</v>
      </c>
      <c r="E12" s="24">
        <f t="shared" si="1"/>
        <v>-4</v>
      </c>
      <c r="F12" s="23">
        <f t="shared" si="27"/>
        <v>-52.72</v>
      </c>
      <c r="G12" s="23">
        <f t="shared" si="28"/>
        <v>210.88</v>
      </c>
      <c r="H12" s="23">
        <f t="shared" si="29"/>
        <v>286.19117899999998</v>
      </c>
      <c r="I12" s="23">
        <f t="shared" si="30"/>
        <v>572.38235799999995</v>
      </c>
      <c r="J12" s="4"/>
      <c r="K12" s="37">
        <f t="shared" si="2"/>
        <v>8.3069999999999986</v>
      </c>
      <c r="L12" s="23">
        <f t="shared" si="31"/>
        <v>16.613999999999997</v>
      </c>
      <c r="M12" s="38">
        <f t="shared" si="3"/>
        <v>4.3308</v>
      </c>
      <c r="N12" s="27">
        <f t="shared" si="32"/>
        <v>8.6616</v>
      </c>
      <c r="O12" s="23">
        <f t="shared" si="33"/>
        <v>-66.455999999999989</v>
      </c>
      <c r="P12" s="4"/>
      <c r="Q12" s="47" t="s">
        <v>36</v>
      </c>
      <c r="R12" s="48" t="s">
        <v>37</v>
      </c>
      <c r="S12">
        <f>IF(Tools!$L$49="Use 141 rule only",I36,IF(Tools!$L$49="Use 141 and 1331 rules",BG13," "))</f>
        <v>2844.5619599999982</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6</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6.59</v>
      </c>
      <c r="AQ12" s="34" t="str">
        <f t="shared" ca="1" si="18"/>
        <v>2/3</v>
      </c>
      <c r="AR12" s="23">
        <f t="shared" ca="1" si="19"/>
        <v>4.3933333333333326</v>
      </c>
      <c r="AS12" s="24">
        <f t="shared" si="20"/>
        <v>-4</v>
      </c>
      <c r="AT12" s="23">
        <f t="shared" ca="1" si="37"/>
        <v>-17.573333333333331</v>
      </c>
      <c r="AU12" s="23">
        <f t="shared" ca="1" si="40"/>
        <v>70.293333333333322</v>
      </c>
      <c r="AV12" s="23">
        <f t="shared" si="21"/>
        <v>286.19117899999998</v>
      </c>
      <c r="AW12" s="23">
        <f t="shared" ca="1" si="22"/>
        <v>190.7941193333333</v>
      </c>
      <c r="AY12" s="35">
        <f t="shared" si="23"/>
        <v>8.3069999999999986</v>
      </c>
      <c r="AZ12" s="23">
        <f t="shared" ca="1" si="41"/>
        <v>5.5379999999999985</v>
      </c>
      <c r="BA12" s="36">
        <f t="shared" si="25"/>
        <v>4.3308</v>
      </c>
      <c r="BB12" s="27">
        <f t="shared" ca="1" si="38"/>
        <v>2.8872</v>
      </c>
      <c r="BC12" s="23">
        <f t="shared" ca="1" si="39"/>
        <v>-22.151999999999994</v>
      </c>
      <c r="BE12" s="47" t="s">
        <v>34</v>
      </c>
      <c r="BF12" s="48" t="s">
        <v>38</v>
      </c>
      <c r="BG12" s="49">
        <f ca="1">IF(WL_No="  ","  ",2*h*$AR$29)</f>
        <v>1424.3053187499995</v>
      </c>
    </row>
    <row r="13" spans="1:60" x14ac:dyDescent="0.25">
      <c r="A13" s="20">
        <f>Tools!$AD12</f>
        <v>7</v>
      </c>
      <c r="B13" s="33">
        <f t="shared" si="0"/>
        <v>8.58</v>
      </c>
      <c r="C13" s="22">
        <f>IF(A13="  ","  ",IF(AND(A12="  ",A14="  "),"?",IF(A12="  ",2*(A14-A13),IF(A14="  ",2*(A13-A12),2*(A14-A12)))))</f>
        <v>4</v>
      </c>
      <c r="D13" s="23">
        <f t="shared" si="26"/>
        <v>34.32</v>
      </c>
      <c r="E13" s="24">
        <f t="shared" si="1"/>
        <v>-3</v>
      </c>
      <c r="F13" s="23">
        <f t="shared" si="27"/>
        <v>-102.96000000000001</v>
      </c>
      <c r="G13" s="23">
        <f t="shared" si="28"/>
        <v>308.88</v>
      </c>
      <c r="H13" s="23">
        <f t="shared" si="29"/>
        <v>631.62871199999995</v>
      </c>
      <c r="I13" s="23">
        <f t="shared" si="30"/>
        <v>2526.5148479999998</v>
      </c>
      <c r="J13" s="4"/>
      <c r="K13" s="37">
        <f t="shared" si="2"/>
        <v>11.539499999999999</v>
      </c>
      <c r="L13" s="23">
        <f t="shared" si="31"/>
        <v>46.157999999999994</v>
      </c>
      <c r="M13" s="38">
        <f t="shared" si="3"/>
        <v>5.8502249999999991</v>
      </c>
      <c r="N13" s="27">
        <f t="shared" si="32"/>
        <v>23.400899999999996</v>
      </c>
      <c r="O13" s="23">
        <f t="shared" si="33"/>
        <v>-138.47399999999999</v>
      </c>
      <c r="P13" s="4"/>
      <c r="Q13" s="50" t="s">
        <v>39</v>
      </c>
      <c r="R13" s="48" t="s">
        <v>40</v>
      </c>
      <c r="S13">
        <f>IF(Tools!$L$49="Use 141 rule only",I37,IF(Tools!$L$49="Use 141 and 1331 rules",BG14," "))</f>
        <v>1.9984394035190518</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7</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8.58</v>
      </c>
      <c r="AQ13" s="34" t="str">
        <f t="shared" ca="1" si="18"/>
        <v>4/3</v>
      </c>
      <c r="AR13" s="23">
        <f t="shared" ca="1" si="19"/>
        <v>11.44</v>
      </c>
      <c r="AS13" s="24">
        <f t="shared" si="20"/>
        <v>-3</v>
      </c>
      <c r="AT13" s="23">
        <f t="shared" ca="1" si="37"/>
        <v>-34.32</v>
      </c>
      <c r="AU13" s="23">
        <f t="shared" ca="1" si="40"/>
        <v>102.96000000000001</v>
      </c>
      <c r="AV13" s="23">
        <f t="shared" si="21"/>
        <v>631.62871199999995</v>
      </c>
      <c r="AW13" s="23">
        <f t="shared" ca="1" si="22"/>
        <v>842.17161599999986</v>
      </c>
      <c r="AY13" s="35">
        <f t="shared" si="23"/>
        <v>11.539499999999999</v>
      </c>
      <c r="AZ13" s="23">
        <f t="shared" ca="1" si="41"/>
        <v>15.385999999999997</v>
      </c>
      <c r="BA13" s="36">
        <f t="shared" si="25"/>
        <v>5.8502249999999991</v>
      </c>
      <c r="BB13" s="27">
        <f t="shared" ca="1" si="38"/>
        <v>7.8002999999999982</v>
      </c>
      <c r="BC13" s="23">
        <f t="shared" ca="1" si="39"/>
        <v>-46.157999999999994</v>
      </c>
      <c r="BE13" s="47" t="s">
        <v>36</v>
      </c>
      <c r="BF13" s="48" t="s">
        <v>41</v>
      </c>
      <c r="BG13" s="49">
        <f ca="1">IF(WL_No="  ","  ",2*(h^2)*$AT$29)</f>
        <v>2900.7160413750007</v>
      </c>
    </row>
    <row r="14" spans="1:60" x14ac:dyDescent="0.25">
      <c r="A14" s="20">
        <f>Tools!$AD13</f>
        <v>8</v>
      </c>
      <c r="B14" s="33">
        <f t="shared" si="0"/>
        <v>10.16</v>
      </c>
      <c r="C14" s="22">
        <f>IF(A14="  ","  ",IF(AND(A13="  ",A15="  "),"?",IF(A13="  ",1*(A15-A14),IF(A15="  ",1*(A14-A13),1*(A15-A13)))))</f>
        <v>2</v>
      </c>
      <c r="D14" s="23">
        <f t="shared" si="26"/>
        <v>20.32</v>
      </c>
      <c r="E14" s="24">
        <f t="shared" si="1"/>
        <v>-2</v>
      </c>
      <c r="F14" s="23">
        <f t="shared" si="27"/>
        <v>-40.64</v>
      </c>
      <c r="G14" s="23">
        <f t="shared" si="28"/>
        <v>81.28</v>
      </c>
      <c r="H14" s="23">
        <f t="shared" si="29"/>
        <v>1048.7720959999999</v>
      </c>
      <c r="I14" s="23">
        <f t="shared" si="30"/>
        <v>2097.5441919999998</v>
      </c>
      <c r="J14" s="4"/>
      <c r="K14" s="37">
        <f t="shared" si="2"/>
        <v>14.9145</v>
      </c>
      <c r="L14" s="23">
        <f t="shared" si="31"/>
        <v>29.829000000000001</v>
      </c>
      <c r="M14" s="38">
        <f t="shared" si="3"/>
        <v>7.2866250000000008</v>
      </c>
      <c r="N14" s="27">
        <f t="shared" si="32"/>
        <v>14.573250000000002</v>
      </c>
      <c r="O14" s="23">
        <f t="shared" si="33"/>
        <v>-59.658000000000001</v>
      </c>
      <c r="P14" s="4"/>
      <c r="Q14" s="50" t="s">
        <v>42</v>
      </c>
      <c r="R14" s="48" t="s">
        <v>43</v>
      </c>
      <c r="S14">
        <f>IF(Tools!$L$49="Use 141 rule only",I38,IF(Tools!$L$49="Use 141 and 1331 rules",BG15," "))</f>
        <v>782502.11995985964</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8</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10.16</v>
      </c>
      <c r="AQ14" s="34" t="str">
        <f t="shared" ca="1" si="18"/>
        <v>2/3</v>
      </c>
      <c r="AR14" s="23">
        <f t="shared" ca="1" si="19"/>
        <v>6.7733333333333334</v>
      </c>
      <c r="AS14" s="24">
        <f t="shared" si="20"/>
        <v>-2</v>
      </c>
      <c r="AT14" s="23">
        <f t="shared" ca="1" si="37"/>
        <v>-13.546666666666667</v>
      </c>
      <c r="AU14" s="23">
        <f t="shared" ca="1" si="40"/>
        <v>27.093333333333334</v>
      </c>
      <c r="AV14" s="23">
        <f t="shared" si="21"/>
        <v>1048.7720959999999</v>
      </c>
      <c r="AW14" s="23">
        <f t="shared" ca="1" si="22"/>
        <v>699.18139733333328</v>
      </c>
      <c r="AY14" s="35">
        <f t="shared" si="23"/>
        <v>14.9145</v>
      </c>
      <c r="AZ14" s="23">
        <f t="shared" ca="1" si="41"/>
        <v>9.9429999999999996</v>
      </c>
      <c r="BA14" s="36">
        <f t="shared" si="25"/>
        <v>7.2866250000000008</v>
      </c>
      <c r="BB14" s="27">
        <f t="shared" ca="1" si="38"/>
        <v>4.8577500000000002</v>
      </c>
      <c r="BC14" s="23">
        <f t="shared" ca="1" si="39"/>
        <v>-19.885999999999999</v>
      </c>
      <c r="BE14" s="50" t="s">
        <v>39</v>
      </c>
      <c r="BF14" s="48" t="s">
        <v>40</v>
      </c>
      <c r="BG14" s="49">
        <f>IF(WL_No="  ","  ",Mmid/AWP)</f>
        <v>1.9984394035190518</v>
      </c>
    </row>
    <row r="15" spans="1:60" x14ac:dyDescent="0.25">
      <c r="A15" s="20">
        <f>Tools!$AD14</f>
        <v>9</v>
      </c>
      <c r="B15" s="33">
        <f t="shared" si="0"/>
        <v>10.78</v>
      </c>
      <c r="C15" s="22">
        <f>IF(A15="  ","  ",IF(AND(A14="  ",A16="  "),"?",IF(A14="  ",2*(A16-A15),IF(A16="  ",2*(A15-A14),2*(A16-A14)))))</f>
        <v>4</v>
      </c>
      <c r="D15" s="23">
        <f t="shared" si="26"/>
        <v>43.12</v>
      </c>
      <c r="E15" s="24">
        <f t="shared" si="1"/>
        <v>-1</v>
      </c>
      <c r="F15" s="23">
        <f t="shared" si="27"/>
        <v>-43.12</v>
      </c>
      <c r="G15" s="23">
        <f t="shared" si="28"/>
        <v>43.12</v>
      </c>
      <c r="H15" s="23">
        <f t="shared" si="29"/>
        <v>1252.7265519999999</v>
      </c>
      <c r="I15" s="23">
        <f t="shared" si="30"/>
        <v>5010.9062079999994</v>
      </c>
      <c r="J15" s="4"/>
      <c r="K15" s="37">
        <f t="shared" si="2"/>
        <v>16.577999999999999</v>
      </c>
      <c r="L15" s="23">
        <f t="shared" si="31"/>
        <v>66.311999999999998</v>
      </c>
      <c r="M15" s="38">
        <f t="shared" si="3"/>
        <v>7.9434000000000013</v>
      </c>
      <c r="N15" s="27">
        <f t="shared" si="32"/>
        <v>31.773600000000005</v>
      </c>
      <c r="O15" s="23">
        <f t="shared" si="33"/>
        <v>-66.311999999999998</v>
      </c>
      <c r="P15" s="4"/>
      <c r="Q15" s="51" t="s">
        <v>44</v>
      </c>
      <c r="R15" s="48" t="s">
        <v>45</v>
      </c>
      <c r="S15">
        <f>IF(Tools!$L$49="Use 141 rule only",I39,IF(Tools!$L$49="Use 141 and 1331 rules",BG16," "))</f>
        <v>35996.366480268327</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9</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10.78</v>
      </c>
      <c r="AQ15" s="34" t="str">
        <f t="shared" ca="1" si="18"/>
        <v>4/3</v>
      </c>
      <c r="AR15" s="23">
        <f t="shared" ca="1" si="19"/>
        <v>14.373333333333331</v>
      </c>
      <c r="AS15" s="24">
        <f t="shared" si="20"/>
        <v>-1</v>
      </c>
      <c r="AT15" s="23">
        <f t="shared" ca="1" si="37"/>
        <v>-14.373333333333331</v>
      </c>
      <c r="AU15" s="23">
        <f t="shared" ca="1" si="40"/>
        <v>14.373333333333331</v>
      </c>
      <c r="AV15" s="23">
        <f t="shared" si="21"/>
        <v>1252.7265519999999</v>
      </c>
      <c r="AW15" s="23">
        <f t="shared" ca="1" si="22"/>
        <v>1670.3020693333331</v>
      </c>
      <c r="AY15" s="35">
        <f t="shared" si="23"/>
        <v>16.577999999999999</v>
      </c>
      <c r="AZ15" s="23">
        <f t="shared" ca="1" si="41"/>
        <v>22.103999999999999</v>
      </c>
      <c r="BA15" s="36">
        <f t="shared" si="25"/>
        <v>7.9434000000000013</v>
      </c>
      <c r="BB15" s="27">
        <f ca="1">IFERROR(BA15*AM15,"  ")</f>
        <v>10.591200000000001</v>
      </c>
      <c r="BC15" s="23">
        <f t="shared" ca="1" si="39"/>
        <v>-22.103999999999999</v>
      </c>
      <c r="BE15" s="50" t="s">
        <v>42</v>
      </c>
      <c r="BF15" s="48" t="s">
        <v>46</v>
      </c>
      <c r="BG15" s="49">
        <f ca="1">IF(WL_No="  ","  ",2*(h^3)*$AU$29)</f>
        <v>785951.20824928011</v>
      </c>
    </row>
    <row r="16" spans="1:60" x14ac:dyDescent="0.25">
      <c r="A16" s="20">
        <f>Tools!$AD15</f>
        <v>10</v>
      </c>
      <c r="B16" s="33">
        <f t="shared" si="0"/>
        <v>10.84</v>
      </c>
      <c r="C16" s="22">
        <f>IF(A16="  ","  ",IF(AND(A15="  ",A17="  "),"?",IF(A15="  ",1*(A17-A16),IF(A17="  ",1*(A16-A15),1*(A17-A15)))))</f>
        <v>2</v>
      </c>
      <c r="D16" s="23">
        <f t="shared" si="26"/>
        <v>21.68</v>
      </c>
      <c r="E16" s="24">
        <f t="shared" si="1"/>
        <v>0</v>
      </c>
      <c r="F16" s="23">
        <f t="shared" si="27"/>
        <v>0</v>
      </c>
      <c r="G16" s="23">
        <f t="shared" si="28"/>
        <v>0</v>
      </c>
      <c r="H16" s="23">
        <f t="shared" si="29"/>
        <v>1273.760704</v>
      </c>
      <c r="I16" s="23">
        <f t="shared" si="30"/>
        <v>2547.5214080000001</v>
      </c>
      <c r="J16" s="4"/>
      <c r="K16" s="37">
        <f t="shared" si="2"/>
        <v>17.4315</v>
      </c>
      <c r="L16" s="23">
        <f t="shared" si="31"/>
        <v>34.863</v>
      </c>
      <c r="M16" s="38">
        <f t="shared" si="3"/>
        <v>8.1938250000000004</v>
      </c>
      <c r="N16" s="27">
        <f t="shared" si="32"/>
        <v>16.387650000000001</v>
      </c>
      <c r="O16" s="23">
        <f t="shared" si="33"/>
        <v>0</v>
      </c>
      <c r="P16" s="4"/>
      <c r="Q16" s="50" t="s">
        <v>47</v>
      </c>
      <c r="R16" s="48" t="s">
        <v>48</v>
      </c>
      <c r="S16">
        <f>IF(Tools!$L$49="Use 141 rule only",I40,IF(Tools!$L$49="Use 141 and 1331 rules",BG17," "))</f>
        <v>776817.43525324424</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10</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10.84</v>
      </c>
      <c r="AQ16" s="34" t="str">
        <f t="shared" ca="1" si="18"/>
        <v>2/3</v>
      </c>
      <c r="AR16" s="23">
        <f t="shared" ca="1" si="19"/>
        <v>7.2266666666666666</v>
      </c>
      <c r="AS16" s="24">
        <f t="shared" si="20"/>
        <v>0</v>
      </c>
      <c r="AT16" s="23">
        <f t="shared" ca="1" si="37"/>
        <v>0</v>
      </c>
      <c r="AU16" s="23">
        <f t="shared" ca="1" si="40"/>
        <v>0</v>
      </c>
      <c r="AV16" s="23">
        <f t="shared" si="21"/>
        <v>1273.760704</v>
      </c>
      <c r="AW16" s="23">
        <f t="shared" ca="1" si="22"/>
        <v>849.17380266666669</v>
      </c>
      <c r="AY16" s="35">
        <f t="shared" si="23"/>
        <v>17.4315</v>
      </c>
      <c r="AZ16" s="23">
        <f t="shared" ca="1" si="41"/>
        <v>11.620999999999999</v>
      </c>
      <c r="BA16" s="36">
        <f t="shared" si="25"/>
        <v>8.1938250000000004</v>
      </c>
      <c r="BB16" s="27">
        <f t="shared" ca="1" si="38"/>
        <v>5.4625500000000002</v>
      </c>
      <c r="BC16" s="23">
        <f ca="1">IFERROR(AZ16*AS16,"  ")</f>
        <v>0</v>
      </c>
      <c r="BE16" s="51" t="s">
        <v>44</v>
      </c>
      <c r="BF16" s="48" t="s">
        <v>49</v>
      </c>
      <c r="BG16" s="49">
        <f ca="1">IF(WL_No="  ","  ",2/3*h*$AW$29)</f>
        <v>35996.418356623952</v>
      </c>
    </row>
    <row r="17" spans="1:59" x14ac:dyDescent="0.25">
      <c r="A17" s="20">
        <f>Tools!$AD16</f>
        <v>11</v>
      </c>
      <c r="B17" s="33">
        <f t="shared" si="0"/>
        <v>10.65</v>
      </c>
      <c r="C17" s="22">
        <f>IF(A17="  ","  ",IF(AND(A16="  ",A18="  "),"?",IF(A16="  ",2*(A18-A17),IF(A18="  ",2*(A17-A16),2*(A18-A16)))))</f>
        <v>4</v>
      </c>
      <c r="D17" s="23">
        <f t="shared" si="26"/>
        <v>42.6</v>
      </c>
      <c r="E17" s="24">
        <f t="shared" si="1"/>
        <v>1</v>
      </c>
      <c r="F17" s="23">
        <f t="shared" si="27"/>
        <v>42.6</v>
      </c>
      <c r="G17" s="23">
        <f t="shared" si="28"/>
        <v>42.6</v>
      </c>
      <c r="H17" s="23">
        <f t="shared" si="29"/>
        <v>1207.9496250000002</v>
      </c>
      <c r="I17" s="23">
        <f t="shared" si="30"/>
        <v>4831.7985000000008</v>
      </c>
      <c r="J17" s="4"/>
      <c r="K17" s="37">
        <f t="shared" si="2"/>
        <v>17.486999999999998</v>
      </c>
      <c r="L17" s="23">
        <f t="shared" si="31"/>
        <v>69.947999999999993</v>
      </c>
      <c r="M17" s="38">
        <f t="shared" si="3"/>
        <v>8.145900000000001</v>
      </c>
      <c r="N17" s="27">
        <f t="shared" si="32"/>
        <v>32.583600000000004</v>
      </c>
      <c r="O17" s="23">
        <f t="shared" si="33"/>
        <v>69.947999999999993</v>
      </c>
      <c r="P17" s="4"/>
      <c r="Q17" s="50" t="s">
        <v>50</v>
      </c>
      <c r="R17" s="48" t="s">
        <v>51</v>
      </c>
      <c r="S17">
        <f>IF(Tools!$L$49="Use 141 rule only",I41,IF(Tools!$L$49="Use 141 and 1331 rules",BG18," "))</f>
        <v>1048.5103437499997</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11</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10.65</v>
      </c>
      <c r="AQ17" s="34" t="str">
        <f t="shared" ca="1" si="18"/>
        <v>4/3</v>
      </c>
      <c r="AR17" s="23">
        <f t="shared" ca="1" si="19"/>
        <v>14.2</v>
      </c>
      <c r="AS17" s="24">
        <f t="shared" si="20"/>
        <v>1</v>
      </c>
      <c r="AT17" s="23">
        <f t="shared" ca="1" si="37"/>
        <v>14.2</v>
      </c>
      <c r="AU17" s="23">
        <f t="shared" ca="1" si="40"/>
        <v>14.2</v>
      </c>
      <c r="AV17" s="23">
        <f t="shared" si="21"/>
        <v>1207.9496250000002</v>
      </c>
      <c r="AW17" s="23">
        <f t="shared" ca="1" si="22"/>
        <v>1610.5995000000003</v>
      </c>
      <c r="AY17" s="35">
        <f t="shared" si="23"/>
        <v>17.486999999999998</v>
      </c>
      <c r="AZ17" s="23">
        <f t="shared" ca="1" si="41"/>
        <v>23.315999999999995</v>
      </c>
      <c r="BA17" s="36">
        <f t="shared" si="25"/>
        <v>8.145900000000001</v>
      </c>
      <c r="BB17" s="27">
        <f t="shared" ca="1" si="38"/>
        <v>10.8612</v>
      </c>
      <c r="BC17" s="23">
        <f t="shared" ca="1" si="39"/>
        <v>23.315999999999995</v>
      </c>
      <c r="BE17" s="50" t="s">
        <v>47</v>
      </c>
      <c r="BF17" s="48" t="s">
        <v>48</v>
      </c>
      <c r="BG17" s="49">
        <f>IF(WL_No="  ","  ",IL-AWP*(LCF^2))</f>
        <v>776817.43525324424</v>
      </c>
    </row>
    <row r="18" spans="1:59" x14ac:dyDescent="0.25">
      <c r="A18" s="20">
        <f>Tools!$AD17</f>
        <v>12</v>
      </c>
      <c r="B18" s="33">
        <f t="shared" si="0"/>
        <v>10.02</v>
      </c>
      <c r="C18" s="22">
        <f>IF(A18="  ","  ",IF(AND(A17="  ",A19="  "),"?",IF(A17="  ",1*(A19-A18),IF(A19="  ",1*(A18-A17),1*(A19-A17)))))</f>
        <v>2</v>
      </c>
      <c r="D18" s="23">
        <f t="shared" si="26"/>
        <v>20.04</v>
      </c>
      <c r="E18" s="24">
        <f t="shared" si="1"/>
        <v>2</v>
      </c>
      <c r="F18" s="23">
        <f t="shared" si="27"/>
        <v>40.08</v>
      </c>
      <c r="G18" s="23">
        <f t="shared" si="28"/>
        <v>80.16</v>
      </c>
      <c r="H18" s="23">
        <f t="shared" si="29"/>
        <v>1006.0120079999998</v>
      </c>
      <c r="I18" s="23">
        <f t="shared" si="30"/>
        <v>2012.0240159999996</v>
      </c>
      <c r="J18" s="4"/>
      <c r="K18" s="37">
        <f t="shared" si="2"/>
        <v>16.246500000000001</v>
      </c>
      <c r="L18" s="23">
        <f t="shared" si="31"/>
        <v>32.493000000000002</v>
      </c>
      <c r="M18" s="38">
        <f t="shared" si="3"/>
        <v>7.6038749999999995</v>
      </c>
      <c r="N18" s="27">
        <f t="shared" si="32"/>
        <v>15.207749999999999</v>
      </c>
      <c r="O18" s="23">
        <f t="shared" si="33"/>
        <v>64.986000000000004</v>
      </c>
      <c r="P18" s="4"/>
      <c r="Q18" s="50" t="s">
        <v>52</v>
      </c>
      <c r="R18" s="48" t="s">
        <v>53</v>
      </c>
      <c r="S18">
        <f>IF(Tools!$L$49="Use 141 rule only",I42,IF(Tools!$L$49="Use 141 and 1331 rules",BG19," "))</f>
        <v>1081.1714409578121</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10</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10.02</v>
      </c>
      <c r="AQ18" s="34" t="str">
        <f t="shared" ca="1" si="18"/>
        <v>2/3</v>
      </c>
      <c r="AR18" s="23">
        <f t="shared" ca="1" si="19"/>
        <v>6.68</v>
      </c>
      <c r="AS18" s="24">
        <f t="shared" si="20"/>
        <v>2</v>
      </c>
      <c r="AT18" s="23">
        <f t="shared" ca="1" si="37"/>
        <v>13.36</v>
      </c>
      <c r="AU18" s="23">
        <f t="shared" ca="1" si="40"/>
        <v>26.72</v>
      </c>
      <c r="AV18" s="23">
        <f t="shared" si="21"/>
        <v>1006.0120079999998</v>
      </c>
      <c r="AW18" s="23">
        <f t="shared" ca="1" si="22"/>
        <v>670.67467199999987</v>
      </c>
      <c r="AY18" s="35">
        <f t="shared" si="23"/>
        <v>16.246500000000001</v>
      </c>
      <c r="AZ18" s="23">
        <f t="shared" ca="1" si="41"/>
        <v>10.831</v>
      </c>
      <c r="BA18" s="36">
        <f t="shared" si="25"/>
        <v>7.6038749999999995</v>
      </c>
      <c r="BB18" s="27">
        <f t="shared" ca="1" si="38"/>
        <v>5.0692499999999994</v>
      </c>
      <c r="BC18" s="23">
        <f t="shared" ca="1" si="39"/>
        <v>21.661999999999999</v>
      </c>
      <c r="BE18" s="50" t="s">
        <v>50</v>
      </c>
      <c r="BF18" s="48" t="s">
        <v>54</v>
      </c>
      <c r="BG18" s="49">
        <f ca="1">IF(WL_No="  ","  ",h*$AZ$29)</f>
        <v>1048.52778028125</v>
      </c>
    </row>
    <row r="19" spans="1:59" x14ac:dyDescent="0.25">
      <c r="A19" s="20">
        <f>Tools!$AD18</f>
        <v>13</v>
      </c>
      <c r="B19" s="33">
        <f t="shared" si="0"/>
        <v>8.84</v>
      </c>
      <c r="C19" s="22">
        <f>IF(A19="  ","  ",IF(AND(A18="  ",A20="  "),"?",IF(A18="  ",2*(A20-A19),IF(A20="  ",2*(A19-A18),2*(A20-A18)))))</f>
        <v>4</v>
      </c>
      <c r="D19" s="23">
        <f t="shared" si="26"/>
        <v>35.36</v>
      </c>
      <c r="E19" s="24">
        <f t="shared" si="1"/>
        <v>3</v>
      </c>
      <c r="F19" s="23">
        <f t="shared" si="27"/>
        <v>106.08</v>
      </c>
      <c r="G19" s="23">
        <f t="shared" si="28"/>
        <v>318.24</v>
      </c>
      <c r="H19" s="23">
        <f t="shared" si="29"/>
        <v>690.80710399999998</v>
      </c>
      <c r="I19" s="23">
        <f t="shared" si="30"/>
        <v>2763.2284159999999</v>
      </c>
      <c r="J19" s="4"/>
      <c r="K19" s="37">
        <f t="shared" si="2"/>
        <v>14.128499999999999</v>
      </c>
      <c r="L19" s="23">
        <f t="shared" si="31"/>
        <v>56.513999999999996</v>
      </c>
      <c r="M19" s="38">
        <f t="shared" si="3"/>
        <v>6.646725</v>
      </c>
      <c r="N19" s="27">
        <f t="shared" si="32"/>
        <v>26.5869</v>
      </c>
      <c r="O19" s="23">
        <f t="shared" si="33"/>
        <v>169.54199999999997</v>
      </c>
      <c r="P19" s="4"/>
      <c r="Q19" s="50" t="s">
        <v>55</v>
      </c>
      <c r="R19" s="48" t="s">
        <v>56</v>
      </c>
      <c r="S19">
        <f>IF(Tools!$L$49="Use 141 rule only",I43,IF(Tools!$L$49="Use 141 and 1331 rules",BG20," "))</f>
        <v>509.83875685583325</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9</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8.84</v>
      </c>
      <c r="AQ19" s="34" t="str">
        <f t="shared" ca="1" si="18"/>
        <v>4/3</v>
      </c>
      <c r="AR19" s="23">
        <f t="shared" ca="1" si="19"/>
        <v>11.786666666666665</v>
      </c>
      <c r="AS19" s="24">
        <f t="shared" si="20"/>
        <v>3</v>
      </c>
      <c r="AT19" s="23">
        <f t="shared" ca="1" si="37"/>
        <v>35.36</v>
      </c>
      <c r="AU19" s="23">
        <f t="shared" ca="1" si="40"/>
        <v>106.08</v>
      </c>
      <c r="AV19" s="23">
        <f t="shared" si="21"/>
        <v>690.80710399999998</v>
      </c>
      <c r="AW19" s="23">
        <f t="shared" ca="1" si="22"/>
        <v>921.07613866666657</v>
      </c>
      <c r="AY19" s="35">
        <f t="shared" si="23"/>
        <v>14.128499999999999</v>
      </c>
      <c r="AZ19" s="23">
        <f t="shared" ca="1" si="41"/>
        <v>18.837999999999997</v>
      </c>
      <c r="BA19" s="36">
        <f t="shared" si="25"/>
        <v>6.646725</v>
      </c>
      <c r="BB19" s="27">
        <f t="shared" ca="1" si="38"/>
        <v>8.8622999999999994</v>
      </c>
      <c r="BC19" s="23">
        <f t="shared" ca="1" si="39"/>
        <v>56.513999999999996</v>
      </c>
      <c r="BE19" s="50" t="s">
        <v>52</v>
      </c>
      <c r="BF19" s="48" t="s">
        <v>53</v>
      </c>
      <c r="BG19" s="49">
        <f>IF(WL_No="  ","  ",V_Disp*1.025*1.006)</f>
        <v>1081.1714409578121</v>
      </c>
    </row>
    <row r="20" spans="1:59" x14ac:dyDescent="0.25">
      <c r="A20" s="20">
        <f>Tools!$AD19</f>
        <v>14</v>
      </c>
      <c r="B20" s="33">
        <f t="shared" si="0"/>
        <v>7.29</v>
      </c>
      <c r="C20" s="22">
        <f>IF(A20="  ","  ",IF(AND(A19="  ",A21="  "),"?",IF(A19="  ",1*(A21-A20),IF(A21="  ",1*(A20-A19),1*(A21-A19)))))</f>
        <v>2</v>
      </c>
      <c r="D20" s="23">
        <f t="shared" si="26"/>
        <v>14.58</v>
      </c>
      <c r="E20" s="24">
        <f t="shared" si="1"/>
        <v>4</v>
      </c>
      <c r="F20" s="23">
        <f t="shared" si="27"/>
        <v>58.32</v>
      </c>
      <c r="G20" s="23">
        <f t="shared" si="28"/>
        <v>233.28</v>
      </c>
      <c r="H20" s="23">
        <f t="shared" si="29"/>
        <v>387.42048900000003</v>
      </c>
      <c r="I20" s="23">
        <f t="shared" si="30"/>
        <v>774.84097800000006</v>
      </c>
      <c r="J20" s="4"/>
      <c r="K20" s="37">
        <f t="shared" si="2"/>
        <v>11.537999999999998</v>
      </c>
      <c r="L20" s="23">
        <f t="shared" si="31"/>
        <v>23.075999999999997</v>
      </c>
      <c r="M20" s="38">
        <f t="shared" si="3"/>
        <v>5.4539999999999997</v>
      </c>
      <c r="N20" s="27">
        <f t="shared" si="32"/>
        <v>10.907999999999999</v>
      </c>
      <c r="O20" s="23">
        <f t="shared" si="33"/>
        <v>92.303999999999988</v>
      </c>
      <c r="P20" s="4"/>
      <c r="Q20" s="50" t="s">
        <v>57</v>
      </c>
      <c r="R20" s="48" t="s">
        <v>58</v>
      </c>
      <c r="S20">
        <f>IF(Tools!$L$49="Use 141 rule only",I44,IF(Tools!$L$49="Use 141 and 1331 rules",BG21," "))</f>
        <v>2896.63710141</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8</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7.29</v>
      </c>
      <c r="AQ20" s="34" t="str">
        <f t="shared" ca="1" si="18"/>
        <v>2/3</v>
      </c>
      <c r="AR20" s="23">
        <f t="shared" ca="1" si="19"/>
        <v>4.8599999999999994</v>
      </c>
      <c r="AS20" s="24">
        <f t="shared" si="20"/>
        <v>4</v>
      </c>
      <c r="AT20" s="23">
        <f t="shared" ca="1" si="37"/>
        <v>19.439999999999998</v>
      </c>
      <c r="AU20" s="23">
        <f t="shared" ca="1" si="40"/>
        <v>77.759999999999991</v>
      </c>
      <c r="AV20" s="23">
        <f t="shared" si="21"/>
        <v>387.42048900000003</v>
      </c>
      <c r="AW20" s="23">
        <f t="shared" ca="1" si="22"/>
        <v>258.280326</v>
      </c>
      <c r="AY20" s="35">
        <f t="shared" si="23"/>
        <v>11.537999999999998</v>
      </c>
      <c r="AZ20" s="23">
        <f t="shared" ca="1" si="41"/>
        <v>7.6919999999999984</v>
      </c>
      <c r="BA20" s="36">
        <f t="shared" si="25"/>
        <v>5.4539999999999997</v>
      </c>
      <c r="BB20" s="27">
        <f t="shared" ca="1" si="38"/>
        <v>3.6359999999999997</v>
      </c>
      <c r="BC20" s="23">
        <f t="shared" ca="1" si="39"/>
        <v>30.767999999999994</v>
      </c>
      <c r="BE20" s="50" t="s">
        <v>55</v>
      </c>
      <c r="BF20" s="48" t="s">
        <v>59</v>
      </c>
      <c r="BG20" s="49">
        <f ca="1">IF(WL_No="  ","  ",h*$BB$29)</f>
        <v>509.85376384218739</v>
      </c>
    </row>
    <row r="21" spans="1:59" x14ac:dyDescent="0.25">
      <c r="A21" s="20">
        <f>Tools!$AD20</f>
        <v>15</v>
      </c>
      <c r="B21" s="33">
        <f t="shared" si="0"/>
        <v>5.65</v>
      </c>
      <c r="C21" s="22">
        <f>IF(A21="  ","  ",IF(AND(A20="  ",A22="  "),"?",IF(A20="  ",2*(A22-A21),IF(A22="  ",2*(A21-A20),2*(A22-A20)))))</f>
        <v>4</v>
      </c>
      <c r="D21" s="23">
        <f t="shared" si="26"/>
        <v>22.6</v>
      </c>
      <c r="E21" s="24">
        <f t="shared" si="1"/>
        <v>5</v>
      </c>
      <c r="F21" s="23">
        <f t="shared" si="27"/>
        <v>113</v>
      </c>
      <c r="G21" s="23">
        <f t="shared" si="28"/>
        <v>565</v>
      </c>
      <c r="H21" s="23">
        <f t="shared" si="29"/>
        <v>180.36212500000002</v>
      </c>
      <c r="I21" s="23">
        <f t="shared" si="30"/>
        <v>721.44850000000008</v>
      </c>
      <c r="J21" s="4"/>
      <c r="K21" s="37">
        <f t="shared" si="2"/>
        <v>8.6100000000000012</v>
      </c>
      <c r="L21" s="23">
        <f t="shared" si="31"/>
        <v>34.440000000000005</v>
      </c>
      <c r="M21" s="38">
        <f t="shared" si="3"/>
        <v>4.1242500000000009</v>
      </c>
      <c r="N21" s="27">
        <f t="shared" si="32"/>
        <v>16.497000000000003</v>
      </c>
      <c r="O21" s="23">
        <f t="shared" si="33"/>
        <v>172.20000000000002</v>
      </c>
      <c r="P21" s="4"/>
      <c r="Q21" s="50" t="s">
        <v>60</v>
      </c>
      <c r="R21" s="48" t="s">
        <v>61</v>
      </c>
      <c r="S21">
        <f>IF(Tools!$L$49="Use 141 rule only",I45,IF(Tools!$L$49="Use 141 and 1331 rules",BG22," "))</f>
        <v>740.87722632754856</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7</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5.65</v>
      </c>
      <c r="AQ21" s="34" t="str">
        <f t="shared" ca="1" si="18"/>
        <v>4/3</v>
      </c>
      <c r="AR21" s="23">
        <f t="shared" ca="1" si="19"/>
        <v>7.5333333333333332</v>
      </c>
      <c r="AS21" s="24">
        <f t="shared" si="20"/>
        <v>5</v>
      </c>
      <c r="AT21" s="23">
        <f t="shared" ca="1" si="37"/>
        <v>37.666666666666664</v>
      </c>
      <c r="AU21" s="23">
        <f t="shared" ca="1" si="40"/>
        <v>188.33333333333331</v>
      </c>
      <c r="AV21" s="23">
        <f t="shared" si="21"/>
        <v>180.36212500000002</v>
      </c>
      <c r="AW21" s="23">
        <f t="shared" ca="1" si="22"/>
        <v>240.48283333333336</v>
      </c>
      <c r="AY21" s="35">
        <f t="shared" si="23"/>
        <v>8.6100000000000012</v>
      </c>
      <c r="AZ21" s="23">
        <f t="shared" ca="1" si="41"/>
        <v>11.48</v>
      </c>
      <c r="BA21" s="36">
        <f t="shared" si="25"/>
        <v>4.1242500000000009</v>
      </c>
      <c r="BB21" s="27">
        <f t="shared" ca="1" si="38"/>
        <v>5.4990000000000006</v>
      </c>
      <c r="BC21" s="23">
        <f t="shared" ca="1" si="39"/>
        <v>57.400000000000006</v>
      </c>
      <c r="BE21" s="50" t="s">
        <v>57</v>
      </c>
      <c r="BF21" s="48" t="s">
        <v>62</v>
      </c>
      <c r="BG21" s="49">
        <f ca="1">IF(WL_No="  ","  ",(h^2)*$BC$29)</f>
        <v>2897.7197116275011</v>
      </c>
    </row>
    <row r="22" spans="1:59" x14ac:dyDescent="0.25">
      <c r="A22" s="20">
        <f>Tools!$AD21</f>
        <v>16</v>
      </c>
      <c r="B22" s="33">
        <f t="shared" si="0"/>
        <v>4.05</v>
      </c>
      <c r="C22" s="22">
        <f>IF(A22="  ","  ",IF(AND(A21="  ",A23="  "),"?",IF(A21="  ",1*(A23-A22),IF(A23="  ",1*(A22-A21),1*(A23-A21)))))</f>
        <v>2</v>
      </c>
      <c r="D22" s="23">
        <f t="shared" si="26"/>
        <v>8.1</v>
      </c>
      <c r="E22" s="24">
        <f t="shared" si="1"/>
        <v>6</v>
      </c>
      <c r="F22" s="23">
        <f t="shared" si="27"/>
        <v>48.599999999999994</v>
      </c>
      <c r="G22" s="23">
        <f t="shared" si="28"/>
        <v>291.59999999999997</v>
      </c>
      <c r="H22" s="23">
        <f t="shared" si="29"/>
        <v>66.43012499999999</v>
      </c>
      <c r="I22" s="23">
        <f t="shared" si="30"/>
        <v>132.86024999999998</v>
      </c>
      <c r="J22" s="4"/>
      <c r="K22" s="37">
        <f t="shared" si="2"/>
        <v>5.76</v>
      </c>
      <c r="L22" s="23">
        <f t="shared" si="31"/>
        <v>11.52</v>
      </c>
      <c r="M22" s="38">
        <f t="shared" si="3"/>
        <v>2.8390499999999999</v>
      </c>
      <c r="N22" s="27">
        <f t="shared" si="32"/>
        <v>5.6780999999999997</v>
      </c>
      <c r="O22" s="23">
        <f t="shared" si="33"/>
        <v>69.12</v>
      </c>
      <c r="P22" s="4"/>
      <c r="Q22" s="50" t="s">
        <v>63</v>
      </c>
      <c r="R22" s="48" t="s">
        <v>64</v>
      </c>
      <c r="S22">
        <f>IF(Tools!$L$49="Use 141 rule only",I46,IF(Tools!$L$49="Use 141 and 1331 rules",BG23," "))</f>
        <v>34.330959818219092</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6</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4.05</v>
      </c>
      <c r="AQ22" s="34" t="str">
        <f t="shared" ca="1" si="18"/>
        <v>2/3</v>
      </c>
      <c r="AR22" s="23">
        <f t="shared" ca="1" si="19"/>
        <v>2.6999999999999997</v>
      </c>
      <c r="AS22" s="24">
        <f t="shared" si="20"/>
        <v>6</v>
      </c>
      <c r="AT22" s="23">
        <f t="shared" ca="1" si="37"/>
        <v>16.2</v>
      </c>
      <c r="AU22" s="23">
        <f t="shared" ca="1" si="40"/>
        <v>97.199999999999989</v>
      </c>
      <c r="AV22" s="23">
        <f t="shared" si="21"/>
        <v>66.43012499999999</v>
      </c>
      <c r="AW22" s="23">
        <f t="shared" ca="1" si="22"/>
        <v>44.286749999999991</v>
      </c>
      <c r="AY22" s="35">
        <f t="shared" si="23"/>
        <v>5.76</v>
      </c>
      <c r="AZ22" s="23">
        <f t="shared" ca="1" si="41"/>
        <v>3.84</v>
      </c>
      <c r="BA22" s="36">
        <f t="shared" si="25"/>
        <v>2.8390499999999999</v>
      </c>
      <c r="BB22" s="27">
        <f t="shared" ca="1" si="38"/>
        <v>1.8926999999999998</v>
      </c>
      <c r="BC22" s="23">
        <f t="shared" ca="1" si="39"/>
        <v>23.04</v>
      </c>
      <c r="BE22" s="50" t="s">
        <v>60</v>
      </c>
      <c r="BF22" s="48" t="s">
        <v>61</v>
      </c>
      <c r="BG22" s="49">
        <f>IF(WL_No="  ","  ",IF/V_Disp)</f>
        <v>740.87722632754856</v>
      </c>
    </row>
    <row r="23" spans="1:59" x14ac:dyDescent="0.25">
      <c r="A23" s="20">
        <f>Tools!$AD22</f>
        <v>17</v>
      </c>
      <c r="B23" s="33">
        <f t="shared" si="0"/>
        <v>2.63</v>
      </c>
      <c r="C23" s="22">
        <f>IF(A23="  ","  ",IF(AND(A22="  ",A24="  "),"?",IF(A22="  ",2*(A24-A23),IF(A24="  ",2*(A23-A22),2*(A24-A22)))))</f>
        <v>4</v>
      </c>
      <c r="D23" s="23">
        <f t="shared" si="26"/>
        <v>10.52</v>
      </c>
      <c r="E23" s="24">
        <f t="shared" si="1"/>
        <v>7</v>
      </c>
      <c r="F23" s="23">
        <f t="shared" si="27"/>
        <v>73.64</v>
      </c>
      <c r="G23" s="23">
        <f t="shared" si="28"/>
        <v>515.48</v>
      </c>
      <c r="H23" s="23">
        <f t="shared" si="29"/>
        <v>18.191446999999997</v>
      </c>
      <c r="I23" s="23">
        <f t="shared" si="30"/>
        <v>72.765787999999986</v>
      </c>
      <c r="J23" s="4"/>
      <c r="K23" s="37">
        <f t="shared" si="2"/>
        <v>3.1154999999999999</v>
      </c>
      <c r="L23" s="23">
        <f t="shared" si="31"/>
        <v>12.462</v>
      </c>
      <c r="M23" s="38">
        <f t="shared" si="3"/>
        <v>1.6692749999999998</v>
      </c>
      <c r="N23" s="27">
        <f t="shared" si="32"/>
        <v>6.6770999999999994</v>
      </c>
      <c r="O23" s="23">
        <f t="shared" si="33"/>
        <v>87.233999999999995</v>
      </c>
      <c r="P23" s="4"/>
      <c r="Q23" s="50" t="s">
        <v>65</v>
      </c>
      <c r="R23" s="48" t="s">
        <v>66</v>
      </c>
      <c r="S23">
        <f>IF(Tools!$L$49="Use 141 rule only",I47,IF(Tools!$L$49="Use 141 and 1331 rules",BG24," "))</f>
        <v>0.48625057434568908</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5</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2.63</v>
      </c>
      <c r="AQ23" s="34" t="str">
        <f t="shared" ca="1" si="18"/>
        <v>4/3</v>
      </c>
      <c r="AR23" s="23">
        <f t="shared" ca="1" si="19"/>
        <v>3.5066666666666664</v>
      </c>
      <c r="AS23" s="24">
        <f t="shared" si="20"/>
        <v>7</v>
      </c>
      <c r="AT23" s="23">
        <f t="shared" ca="1" si="37"/>
        <v>24.546666666666663</v>
      </c>
      <c r="AU23" s="23">
        <f t="shared" ca="1" si="40"/>
        <v>171.82666666666665</v>
      </c>
      <c r="AV23" s="23">
        <f t="shared" si="21"/>
        <v>18.191446999999997</v>
      </c>
      <c r="AW23" s="23">
        <f t="shared" ca="1" si="22"/>
        <v>24.25526266666666</v>
      </c>
      <c r="AY23" s="35">
        <f t="shared" si="23"/>
        <v>3.1154999999999999</v>
      </c>
      <c r="AZ23" s="23">
        <f t="shared" ca="1" si="41"/>
        <v>4.1539999999999999</v>
      </c>
      <c r="BA23" s="36">
        <f t="shared" si="25"/>
        <v>1.6692749999999998</v>
      </c>
      <c r="BB23" s="27">
        <f t="shared" ca="1" si="38"/>
        <v>2.2256999999999998</v>
      </c>
      <c r="BC23" s="23">
        <f t="shared" ca="1" si="39"/>
        <v>29.077999999999999</v>
      </c>
      <c r="BE23" s="50" t="s">
        <v>63</v>
      </c>
      <c r="BF23" s="48" t="s">
        <v>64</v>
      </c>
      <c r="BG23" s="49">
        <f>IF(WL_No="  ","  ",IT/V_Disp)</f>
        <v>34.330959818219092</v>
      </c>
    </row>
    <row r="24" spans="1:59" x14ac:dyDescent="0.25">
      <c r="A24" s="20">
        <f>Tools!$AD23</f>
        <v>18</v>
      </c>
      <c r="B24" s="33">
        <f t="shared" si="0"/>
        <v>1.49</v>
      </c>
      <c r="C24" s="22">
        <f>IF(A24="  ","  ",IF(AND(A23="  ",A25="  "),"?",IF(A23="  ",1*(A25-A24),IF(A25="  ",1*(A24-A23),1*(A25-A23)))))</f>
        <v>1.5</v>
      </c>
      <c r="D24" s="23">
        <f t="shared" si="26"/>
        <v>2.2349999999999999</v>
      </c>
      <c r="E24" s="24">
        <f t="shared" si="1"/>
        <v>8</v>
      </c>
      <c r="F24" s="23">
        <f t="shared" si="27"/>
        <v>17.88</v>
      </c>
      <c r="G24" s="23">
        <f t="shared" si="28"/>
        <v>143.04</v>
      </c>
      <c r="H24" s="23">
        <f t="shared" si="29"/>
        <v>3.3079489999999998</v>
      </c>
      <c r="I24" s="23">
        <f t="shared" si="30"/>
        <v>4.9619234999999993</v>
      </c>
      <c r="J24" s="4"/>
      <c r="K24" s="37">
        <f t="shared" si="2"/>
        <v>1.4534999999999998</v>
      </c>
      <c r="L24" s="23">
        <f t="shared" si="31"/>
        <v>2.1802499999999996</v>
      </c>
      <c r="M24" s="38">
        <f t="shared" si="3"/>
        <v>0.85522500000000001</v>
      </c>
      <c r="N24" s="27">
        <f t="shared" si="32"/>
        <v>1.2828375000000001</v>
      </c>
      <c r="O24" s="23">
        <f t="shared" si="33"/>
        <v>17.441999999999997</v>
      </c>
      <c r="P24" s="4"/>
      <c r="Q24" s="50" t="s">
        <v>67</v>
      </c>
      <c r="R24" s="48" t="s">
        <v>68</v>
      </c>
      <c r="S24">
        <f>IF(Tools!$L$49="Use 141 rule only",I48,IF(Tools!$L$49="Use 141 and 1331 rules",BG25," "))</f>
        <v>34.817210392564782</v>
      </c>
      <c r="W24" s="29">
        <f>IF(AO24="  ","  ",IF(AND(AO23="  ",AO25="  "),"?",IF(AO23="  ",1*(AO25-AO24),IF(AO25="  ",1*(AO24-AO23),1*(AO25-AO23)))))</f>
        <v>1.5</v>
      </c>
      <c r="X24" s="30" t="str">
        <f t="shared" si="4"/>
        <v>WD</v>
      </c>
      <c r="Y24" s="30" t="str">
        <f t="shared" si="5"/>
        <v>-</v>
      </c>
      <c r="Z24" s="29" t="b">
        <f t="shared" si="6"/>
        <v>1</v>
      </c>
      <c r="AA24" s="29" t="b">
        <f t="shared" si="7"/>
        <v>1</v>
      </c>
      <c r="AB24" s="29" t="str">
        <f t="shared" ca="1" si="8"/>
        <v>1331-1</v>
      </c>
      <c r="AC24" s="29">
        <f t="shared" si="34"/>
        <v>5</v>
      </c>
      <c r="AD24" s="29">
        <f t="shared" ca="1" si="9"/>
        <v>4</v>
      </c>
      <c r="AE24" s="29">
        <v>21</v>
      </c>
      <c r="AF24" s="31">
        <f t="shared" si="42"/>
        <v>17</v>
      </c>
      <c r="AG24" s="29" t="b">
        <f t="shared" si="11"/>
        <v>1</v>
      </c>
      <c r="AH24" s="30" t="str">
        <f t="shared" ca="1" si="43"/>
        <v>141-1</v>
      </c>
      <c r="AI24" s="30" t="str">
        <f t="shared" ca="1" si="13"/>
        <v>(1/2)*(3/8)</v>
      </c>
      <c r="AJ24" s="29">
        <f t="shared" ca="1" si="14"/>
        <v>0.1875</v>
      </c>
      <c r="AK24" s="29" t="str">
        <f t="shared" ca="1" si="15"/>
        <v>1/3</v>
      </c>
      <c r="AL24" s="29">
        <f t="shared" ca="1" si="16"/>
        <v>0.33333333333333331</v>
      </c>
      <c r="AM24" s="32">
        <f t="shared" ca="1" si="35"/>
        <v>0.52083333333333326</v>
      </c>
      <c r="AO24" s="20">
        <f>Tools!$AD23</f>
        <v>18</v>
      </c>
      <c r="AP24" s="33">
        <f t="shared" si="36"/>
        <v>1.49</v>
      </c>
      <c r="AQ24" s="34" t="str">
        <f t="shared" ca="1" si="18"/>
        <v>(1/2)*(3/8)+1/3</v>
      </c>
      <c r="AR24" s="23">
        <f t="shared" ca="1" si="19"/>
        <v>0.77604166666666652</v>
      </c>
      <c r="AS24" s="24">
        <f t="shared" si="20"/>
        <v>8</v>
      </c>
      <c r="AT24" s="23">
        <f t="shared" ca="1" si="37"/>
        <v>6.2083333333333321</v>
      </c>
      <c r="AU24" s="23">
        <f t="shared" ca="1" si="40"/>
        <v>49.666666666666657</v>
      </c>
      <c r="AV24" s="23">
        <f t="shared" si="21"/>
        <v>3.3079489999999998</v>
      </c>
      <c r="AW24" s="23">
        <f t="shared" ca="1" si="22"/>
        <v>1.7228901041666662</v>
      </c>
      <c r="AY24" s="35">
        <f t="shared" si="23"/>
        <v>1.4534999999999998</v>
      </c>
      <c r="AZ24" s="23">
        <f t="shared" ca="1" si="41"/>
        <v>0.75703124999999982</v>
      </c>
      <c r="BA24" s="36">
        <f t="shared" si="25"/>
        <v>0.85522500000000001</v>
      </c>
      <c r="BB24" s="27">
        <f t="shared" ca="1" si="38"/>
        <v>0.44542968749999995</v>
      </c>
      <c r="BC24" s="23">
        <f t="shared" ca="1" si="39"/>
        <v>6.0562499999999986</v>
      </c>
      <c r="BE24" s="50" t="s">
        <v>65</v>
      </c>
      <c r="BF24" s="48" t="s">
        <v>66</v>
      </c>
      <c r="BG24" s="49">
        <f>IF(WL_No="  ","  ",MT/V_Disp)</f>
        <v>0.48625057434568908</v>
      </c>
    </row>
    <row r="25" spans="1:59" x14ac:dyDescent="0.25">
      <c r="A25" s="20">
        <f>Tools!$AD24</f>
        <v>18.5</v>
      </c>
      <c r="B25" s="33">
        <f t="shared" si="0"/>
        <v>1.04</v>
      </c>
      <c r="C25" s="22">
        <f>IF(A25="  ","  ",IF(AND(A24="  ",A26="  "),"?",IF(A24="  ",2*(A26-A25),IF(A26="  ",2*(A25-A24),2*(A26-A24)))))</f>
        <v>2</v>
      </c>
      <c r="D25" s="23">
        <f t="shared" si="26"/>
        <v>2.08</v>
      </c>
      <c r="E25" s="24">
        <f t="shared" si="1"/>
        <v>8.5</v>
      </c>
      <c r="F25" s="23">
        <f t="shared" si="27"/>
        <v>17.68</v>
      </c>
      <c r="G25" s="23">
        <f t="shared" si="28"/>
        <v>150.28</v>
      </c>
      <c r="H25" s="23">
        <f t="shared" si="29"/>
        <v>1.1248640000000001</v>
      </c>
      <c r="I25" s="23">
        <f t="shared" si="30"/>
        <v>2.2497280000000002</v>
      </c>
      <c r="J25" s="4"/>
      <c r="K25" s="37">
        <f t="shared" si="2"/>
        <v>0.60319999999999996</v>
      </c>
      <c r="L25" s="23">
        <f t="shared" si="31"/>
        <v>1.2063999999999999</v>
      </c>
      <c r="M25" s="38">
        <f t="shared" si="3"/>
        <v>0.42626133333333333</v>
      </c>
      <c r="N25" s="27">
        <f t="shared" si="32"/>
        <v>0.85252266666666665</v>
      </c>
      <c r="O25" s="23">
        <f t="shared" si="33"/>
        <v>10.254399999999999</v>
      </c>
      <c r="P25" s="4"/>
      <c r="Q25" s="50" t="s">
        <v>69</v>
      </c>
      <c r="R25" s="48" t="s">
        <v>70</v>
      </c>
      <c r="S25">
        <f>IF(Tools!$L$49="Use 141 rule only",I49,IF(Tools!$L$49="Use 141 and 1331 rules",BG26," "))</f>
        <v>741.36347690189427</v>
      </c>
      <c r="W25" s="29">
        <f>IF(AO25="  ","  ",IF(AND(AO24="  ",AO26="  "),"?",IF(AO24="  ",2*(AO26-AO25),IF(AO26="  ",2*(AO25-AO24),2*(AO26-AO24)))))</f>
        <v>2</v>
      </c>
      <c r="X25" s="30" t="str">
        <f t="shared" si="4"/>
        <v>DD</v>
      </c>
      <c r="Y25" s="30" t="str">
        <f t="shared" si="5"/>
        <v>-</v>
      </c>
      <c r="Z25" s="29" t="b">
        <f t="shared" si="6"/>
        <v>1</v>
      </c>
      <c r="AA25" s="29" t="b">
        <f t="shared" si="7"/>
        <v>1</v>
      </c>
      <c r="AB25" s="29" t="str">
        <f t="shared" ca="1" si="8"/>
        <v>1331-3</v>
      </c>
      <c r="AC25" s="29">
        <f t="shared" si="34"/>
        <v>4</v>
      </c>
      <c r="AD25" s="29">
        <f t="shared" ca="1" si="9"/>
        <v>3</v>
      </c>
      <c r="AE25" s="29">
        <v>22</v>
      </c>
      <c r="AF25" s="31">
        <f t="shared" si="42"/>
        <v>18</v>
      </c>
      <c r="AG25" s="29" t="b">
        <f t="shared" si="11"/>
        <v>0</v>
      </c>
      <c r="AH25" s="30" t="str">
        <f t="shared" si="43"/>
        <v>-</v>
      </c>
      <c r="AI25" s="30" t="str">
        <f t="shared" ca="1" si="13"/>
        <v>(1/2)*(9/8)</v>
      </c>
      <c r="AJ25" s="29">
        <f t="shared" ca="1" si="14"/>
        <v>0.5625</v>
      </c>
      <c r="AK25" s="29" t="str">
        <f t="shared" si="15"/>
        <v/>
      </c>
      <c r="AL25" s="29">
        <f t="shared" si="16"/>
        <v>0</v>
      </c>
      <c r="AM25" s="32">
        <f t="shared" ca="1" si="35"/>
        <v>0.5625</v>
      </c>
      <c r="AO25" s="20">
        <f>Tools!$AD24</f>
        <v>18.5</v>
      </c>
      <c r="AP25" s="33">
        <f t="shared" si="36"/>
        <v>1.04</v>
      </c>
      <c r="AQ25" s="34" t="str">
        <f t="shared" ca="1" si="18"/>
        <v>(1/2)*(9/8)</v>
      </c>
      <c r="AR25" s="23">
        <f t="shared" ca="1" si="19"/>
        <v>0.58499999999999996</v>
      </c>
      <c r="AS25" s="24">
        <f t="shared" si="20"/>
        <v>8.5</v>
      </c>
      <c r="AT25" s="23">
        <f t="shared" ca="1" si="37"/>
        <v>4.9725000000000001</v>
      </c>
      <c r="AU25" s="23">
        <f t="shared" ca="1" si="40"/>
        <v>42.266249999999999</v>
      </c>
      <c r="AV25" s="23">
        <f t="shared" si="21"/>
        <v>1.1248640000000001</v>
      </c>
      <c r="AW25" s="23">
        <f t="shared" ca="1" si="22"/>
        <v>0.63273600000000008</v>
      </c>
      <c r="AY25" s="35">
        <f t="shared" si="23"/>
        <v>0.60319999999999996</v>
      </c>
      <c r="AZ25" s="23">
        <f t="shared" ca="1" si="41"/>
        <v>0.33929999999999999</v>
      </c>
      <c r="BA25" s="36">
        <f t="shared" si="25"/>
        <v>0.42626133333333333</v>
      </c>
      <c r="BB25" s="27">
        <f t="shared" ca="1" si="38"/>
        <v>0.23977199999999999</v>
      </c>
      <c r="BC25" s="23">
        <f t="shared" ca="1" si="39"/>
        <v>2.8840499999999998</v>
      </c>
      <c r="BE25" s="50" t="s">
        <v>67</v>
      </c>
      <c r="BF25" s="48" t="s">
        <v>68</v>
      </c>
      <c r="BG25" s="49">
        <f>IF(WL_No="  ","  ",KB+BMT)</f>
        <v>34.817210392564782</v>
      </c>
    </row>
    <row r="26" spans="1:59" x14ac:dyDescent="0.25">
      <c r="A26" s="20">
        <f>Tools!$AD25</f>
        <v>19</v>
      </c>
      <c r="B26" s="33">
        <f t="shared" si="0"/>
        <v>0.64</v>
      </c>
      <c r="C26" s="22">
        <f>IF(A26="  ","  ",IF(AND(A25="  ",A27="  "),"?",IF(A25="  ",1*(A27-A26),IF(A27="  ",1*(A26-A25),1*(A27-A25)))))</f>
        <v>1</v>
      </c>
      <c r="D26" s="23">
        <f t="shared" si="26"/>
        <v>0.64</v>
      </c>
      <c r="E26" s="24">
        <f t="shared" si="1"/>
        <v>9</v>
      </c>
      <c r="F26" s="23">
        <f t="shared" si="27"/>
        <v>5.76</v>
      </c>
      <c r="G26" s="23">
        <f t="shared" si="28"/>
        <v>51.839999999999996</v>
      </c>
      <c r="H26" s="23">
        <f t="shared" si="29"/>
        <v>0.26214400000000004</v>
      </c>
      <c r="I26" s="23">
        <f t="shared" si="30"/>
        <v>0.26214400000000004</v>
      </c>
      <c r="J26" s="4"/>
      <c r="K26" s="37">
        <f t="shared" si="2"/>
        <v>0.15359999999999999</v>
      </c>
      <c r="L26" s="23">
        <f t="shared" si="31"/>
        <v>0.15359999999999999</v>
      </c>
      <c r="M26" s="38">
        <f t="shared" si="3"/>
        <v>0.12595200000000001</v>
      </c>
      <c r="N26" s="27">
        <f t="shared" si="32"/>
        <v>0.12595200000000001</v>
      </c>
      <c r="O26" s="23">
        <f t="shared" si="33"/>
        <v>1.3823999999999999</v>
      </c>
      <c r="P26" s="4"/>
      <c r="Q26" s="50" t="s">
        <v>71</v>
      </c>
      <c r="R26" s="48" t="s">
        <v>72</v>
      </c>
      <c r="S26">
        <f>IF(Tools!$L$49="Use 141 rule only",I50,IF(Tools!$L$49="Use 141 and 1331 rules",BG27," "))</f>
        <v>14.589764412499994</v>
      </c>
      <c r="W26" s="29">
        <f>IF(AO26="  ","  ",IF(AND(AO25="  ",AO27="  "),"?",IF(AO25="  ",1*(AO27-AO26),IF(AO27="  ",1*(AO26-AO25),1*(AO27-AO25)))))</f>
        <v>1</v>
      </c>
      <c r="X26" s="30" t="str">
        <f t="shared" si="4"/>
        <v>DD</v>
      </c>
      <c r="Y26" s="30" t="str">
        <f t="shared" si="5"/>
        <v>-</v>
      </c>
      <c r="Z26" s="29" t="b">
        <f t="shared" si="6"/>
        <v>1</v>
      </c>
      <c r="AA26" s="29" t="b">
        <f t="shared" si="7"/>
        <v>1</v>
      </c>
      <c r="AB26" s="29" t="str">
        <f t="shared" ca="1" si="8"/>
        <v>1331-3</v>
      </c>
      <c r="AC26" s="29">
        <f t="shared" si="34"/>
        <v>3</v>
      </c>
      <c r="AD26" s="29">
        <f t="shared" ca="1" si="9"/>
        <v>2</v>
      </c>
      <c r="AE26" s="29">
        <v>23</v>
      </c>
      <c r="AF26" s="31">
        <f t="shared" si="42"/>
        <v>19</v>
      </c>
      <c r="AG26" s="29" t="b">
        <f t="shared" si="11"/>
        <v>0</v>
      </c>
      <c r="AH26" s="30" t="str">
        <f t="shared" si="43"/>
        <v>-</v>
      </c>
      <c r="AI26" s="30" t="str">
        <f t="shared" ca="1" si="13"/>
        <v>(1/2)*(9/8)</v>
      </c>
      <c r="AJ26" s="29">
        <f t="shared" ca="1" si="14"/>
        <v>0.5625</v>
      </c>
      <c r="AK26" s="29" t="str">
        <f t="shared" si="15"/>
        <v/>
      </c>
      <c r="AL26" s="29">
        <f t="shared" si="16"/>
        <v>0</v>
      </c>
      <c r="AM26" s="32">
        <f t="shared" ca="1" si="35"/>
        <v>0.5625</v>
      </c>
      <c r="AO26" s="20">
        <f>Tools!$AD25</f>
        <v>19</v>
      </c>
      <c r="AP26" s="33">
        <f t="shared" si="36"/>
        <v>0.64</v>
      </c>
      <c r="AQ26" s="34" t="str">
        <f t="shared" ca="1" si="18"/>
        <v>(1/2)*(9/8)</v>
      </c>
      <c r="AR26" s="23">
        <f t="shared" ca="1" si="19"/>
        <v>0.36</v>
      </c>
      <c r="AS26" s="24">
        <f t="shared" si="20"/>
        <v>9</v>
      </c>
      <c r="AT26" s="23">
        <f t="shared" ca="1" si="37"/>
        <v>3.2399999999999998</v>
      </c>
      <c r="AU26" s="23">
        <f t="shared" ca="1" si="40"/>
        <v>29.159999999999997</v>
      </c>
      <c r="AV26" s="23">
        <f t="shared" si="21"/>
        <v>0.26214400000000004</v>
      </c>
      <c r="AW26" s="23">
        <f t="shared" ca="1" si="22"/>
        <v>0.14745600000000003</v>
      </c>
      <c r="AY26" s="35">
        <f t="shared" si="23"/>
        <v>0.15359999999999999</v>
      </c>
      <c r="AZ26" s="23">
        <f t="shared" ca="1" si="41"/>
        <v>8.6399999999999991E-2</v>
      </c>
      <c r="BA26" s="36">
        <f t="shared" si="25"/>
        <v>0.12595200000000001</v>
      </c>
      <c r="BB26" s="27">
        <f t="shared" ca="1" si="38"/>
        <v>7.0848000000000008E-2</v>
      </c>
      <c r="BC26" s="23">
        <f t="shared" ca="1" si="39"/>
        <v>0.77759999999999996</v>
      </c>
      <c r="BE26" s="50" t="s">
        <v>69</v>
      </c>
      <c r="BF26" s="48" t="s">
        <v>70</v>
      </c>
      <c r="BG26" s="49">
        <f>IF(WL_No="  ","  ",KB+BML)</f>
        <v>741.36347690189427</v>
      </c>
    </row>
    <row r="27" spans="1:59" x14ac:dyDescent="0.25">
      <c r="A27" s="20">
        <f>Tools!$AD26</f>
        <v>19.5</v>
      </c>
      <c r="B27" s="33">
        <f t="shared" si="0"/>
        <v>0</v>
      </c>
      <c r="C27" s="22">
        <f>IF(A27="  ","  ",IF(AND(A26="  ",A28="  "),"?",IF(A26="  ",2*(A28-A27),IF(A28="  ",2*(A27-A26),2*(A28-A26)))))</f>
        <v>2</v>
      </c>
      <c r="D27" s="23">
        <f t="shared" si="26"/>
        <v>0</v>
      </c>
      <c r="E27" s="24">
        <f t="shared" si="1"/>
        <v>9.5</v>
      </c>
      <c r="F27" s="23">
        <f t="shared" si="27"/>
        <v>0</v>
      </c>
      <c r="G27" s="23">
        <f t="shared" si="28"/>
        <v>0</v>
      </c>
      <c r="H27" s="23">
        <f t="shared" si="29"/>
        <v>0</v>
      </c>
      <c r="I27" s="23">
        <f t="shared" si="30"/>
        <v>0</v>
      </c>
      <c r="J27" s="4"/>
      <c r="K27" s="37">
        <f t="shared" si="2"/>
        <v>0</v>
      </c>
      <c r="L27" s="23">
        <f t="shared" si="31"/>
        <v>0</v>
      </c>
      <c r="M27" s="38">
        <f t="shared" si="3"/>
        <v>0</v>
      </c>
      <c r="N27" s="27">
        <f t="shared" si="32"/>
        <v>0</v>
      </c>
      <c r="O27" s="23">
        <f t="shared" si="33"/>
        <v>0</v>
      </c>
      <c r="P27" s="4"/>
      <c r="Q27" s="50" t="s">
        <v>73</v>
      </c>
      <c r="R27" s="48" t="s">
        <v>74</v>
      </c>
      <c r="S27">
        <f>IF(Tools!$L$49="Use 141 rule only",I51,IF(Tools!$L$49="Use 141 and 1331 rules",BG28," "))</f>
        <v>2.7626213882165156</v>
      </c>
      <c r="W27" s="29">
        <f>IF(AO27="  ","  ",IF(AND(AO26="  ",AO28="  "),"?",IF(AO26="  ",2*(AO28-AO27),IF(AO28="  ",2*(AO27-AO26),2*(AO28-AO26)))))</f>
        <v>2</v>
      </c>
      <c r="X27" s="30" t="str">
        <f t="shared" si="4"/>
        <v>D-</v>
      </c>
      <c r="Y27" s="30" t="str">
        <f t="shared" si="5"/>
        <v>-</v>
      </c>
      <c r="Z27" s="29" t="b">
        <f t="shared" si="6"/>
        <v>1</v>
      </c>
      <c r="AA27" s="29" t="b">
        <f t="shared" si="7"/>
        <v>1</v>
      </c>
      <c r="AB27" s="29" t="str">
        <f t="shared" ca="1" si="8"/>
        <v>1331-1</v>
      </c>
      <c r="AC27" s="29">
        <f t="shared" si="34"/>
        <v>2</v>
      </c>
      <c r="AD27" s="29">
        <f t="shared" ca="1" si="9"/>
        <v>1</v>
      </c>
      <c r="AE27" s="29">
        <v>24</v>
      </c>
      <c r="AF27" s="31">
        <f t="shared" si="42"/>
        <v>20</v>
      </c>
      <c r="AG27" s="29" t="b">
        <f t="shared" si="11"/>
        <v>0</v>
      </c>
      <c r="AH27" s="30" t="str">
        <f t="shared" si="43"/>
        <v>-</v>
      </c>
      <c r="AI27" s="30" t="str">
        <f t="shared" ca="1" si="13"/>
        <v>(1/2)*(3/8)</v>
      </c>
      <c r="AJ27" s="29">
        <f t="shared" ca="1" si="14"/>
        <v>0.1875</v>
      </c>
      <c r="AK27" s="29" t="str">
        <f t="shared" si="15"/>
        <v/>
      </c>
      <c r="AL27" s="29">
        <f t="shared" si="16"/>
        <v>0</v>
      </c>
      <c r="AM27" s="32">
        <f t="shared" ca="1" si="35"/>
        <v>0.1875</v>
      </c>
      <c r="AO27" s="20">
        <f>Tools!$AD26</f>
        <v>19.5</v>
      </c>
      <c r="AP27" s="33">
        <f t="shared" si="36"/>
        <v>0</v>
      </c>
      <c r="AQ27" s="34" t="str">
        <f t="shared" ca="1" si="18"/>
        <v>(1/2)*(3/8)</v>
      </c>
      <c r="AR27" s="23">
        <f t="shared" ca="1" si="19"/>
        <v>0</v>
      </c>
      <c r="AS27" s="24">
        <f t="shared" si="20"/>
        <v>9.5</v>
      </c>
      <c r="AT27" s="23">
        <f t="shared" ca="1" si="37"/>
        <v>0</v>
      </c>
      <c r="AU27" s="23">
        <f t="shared" ca="1" si="40"/>
        <v>0</v>
      </c>
      <c r="AV27" s="23">
        <f t="shared" si="21"/>
        <v>0</v>
      </c>
      <c r="AW27" s="23">
        <f t="shared" ca="1" si="22"/>
        <v>0</v>
      </c>
      <c r="AY27" s="35">
        <f t="shared" si="23"/>
        <v>0</v>
      </c>
      <c r="AZ27" s="23">
        <f t="shared" ca="1" si="41"/>
        <v>0</v>
      </c>
      <c r="BA27" s="36">
        <f t="shared" si="25"/>
        <v>0</v>
      </c>
      <c r="BB27" s="27">
        <f t="shared" ca="1" si="38"/>
        <v>0</v>
      </c>
      <c r="BC27" s="23">
        <f t="shared" ca="1" si="39"/>
        <v>0</v>
      </c>
      <c r="BE27" s="50" t="s">
        <v>71</v>
      </c>
      <c r="BF27" s="48" t="s">
        <v>72</v>
      </c>
      <c r="BG27" s="49">
        <f>IF(WL_No="  ","  ",AWP*1.025/100)</f>
        <v>14.589764412499994</v>
      </c>
    </row>
    <row r="28" spans="1:59" ht="15.75" thickBot="1" x14ac:dyDescent="0.3">
      <c r="A28" s="20">
        <f>Tools!$AD27</f>
        <v>20</v>
      </c>
      <c r="B28" s="52">
        <f t="shared" si="0"/>
        <v>0</v>
      </c>
      <c r="C28" s="22">
        <f>IF(A28="  ","  ",IF(A27="  ","?",1*(A28-A27)))</f>
        <v>0.5</v>
      </c>
      <c r="D28" s="53">
        <f t="shared" si="26"/>
        <v>0</v>
      </c>
      <c r="E28" s="24">
        <f t="shared" si="1"/>
        <v>10</v>
      </c>
      <c r="F28" s="53">
        <f t="shared" si="27"/>
        <v>0</v>
      </c>
      <c r="G28" s="53">
        <f t="shared" si="28"/>
        <v>0</v>
      </c>
      <c r="H28" s="23">
        <f t="shared" si="29"/>
        <v>0</v>
      </c>
      <c r="I28" s="53">
        <f t="shared" si="30"/>
        <v>0</v>
      </c>
      <c r="J28" s="4"/>
      <c r="K28" s="35">
        <f t="shared" si="2"/>
        <v>0</v>
      </c>
      <c r="L28" s="53">
        <f t="shared" si="31"/>
        <v>0</v>
      </c>
      <c r="M28" s="36">
        <f t="shared" si="3"/>
        <v>0</v>
      </c>
      <c r="N28" s="54">
        <f t="shared" si="32"/>
        <v>0</v>
      </c>
      <c r="O28" s="53">
        <f t="shared" si="33"/>
        <v>0</v>
      </c>
      <c r="P28" s="4"/>
      <c r="Q28" s="50" t="s">
        <v>75</v>
      </c>
      <c r="R28" s="55" t="s">
        <v>76</v>
      </c>
      <c r="S28">
        <f>IF(Tools!$L$49="Use 141 rule only",I52,IF(Tools!$L$49="Use 141 and 1331 rules",BG29," "))</f>
        <v>60.821207164873414</v>
      </c>
      <c r="W28" s="29">
        <f>IF(AO28="  ","  ",IF(AO27="  ","?",1*(AO28-AO27)))</f>
        <v>0.5</v>
      </c>
      <c r="X28" s="30" t="str">
        <f t="shared" si="4"/>
        <v>--</v>
      </c>
      <c r="Y28" s="30">
        <f t="shared" si="5"/>
        <v>0</v>
      </c>
      <c r="Z28" s="29" t="b">
        <f t="shared" si="6"/>
        <v>1</v>
      </c>
      <c r="AA28" s="29" t="str">
        <f t="shared" si="7"/>
        <v xml:space="preserve"> </v>
      </c>
      <c r="AB28" s="29" t="str">
        <f t="shared" ca="1" si="8"/>
        <v>--</v>
      </c>
      <c r="AC28" s="29">
        <f>IF(ISNUMBER(AO28),IF(ISNUMBER(AO28),IF(OR(AO28=0,AO28=Long_Div),1,IF(AO28&gt;Long_Div/2,AF29+1,IF(AO28&lt;=Long_Div/2,AC27+1,"?")))," --")," ")</f>
        <v>1</v>
      </c>
      <c r="AD28" s="29">
        <f t="shared" ca="1" si="9"/>
        <v>0</v>
      </c>
      <c r="AE28" s="29">
        <v>25</v>
      </c>
      <c r="AF28" s="31">
        <f t="shared" si="42"/>
        <v>21</v>
      </c>
      <c r="AG28" s="29" t="str">
        <f t="shared" si="11"/>
        <v xml:space="preserve"> </v>
      </c>
      <c r="AH28" s="30" t="str">
        <f t="shared" si="43"/>
        <v>-</v>
      </c>
      <c r="AI28" s="30" t="str">
        <f t="shared" ca="1" si="13"/>
        <v/>
      </c>
      <c r="AJ28" s="29">
        <f t="shared" ca="1" si="14"/>
        <v>0</v>
      </c>
      <c r="AK28" s="29" t="str">
        <f t="shared" si="15"/>
        <v/>
      </c>
      <c r="AL28" s="29">
        <f t="shared" si="16"/>
        <v>0</v>
      </c>
      <c r="AM28" s="32" t="str">
        <f t="shared" ca="1" si="35"/>
        <v xml:space="preserve"> </v>
      </c>
      <c r="AO28" s="20">
        <f>Tools!$AD27</f>
        <v>20</v>
      </c>
      <c r="AP28" s="33">
        <f t="shared" si="36"/>
        <v>0</v>
      </c>
      <c r="AQ28" s="34" t="str">
        <f t="shared" ca="1" si="18"/>
        <v/>
      </c>
      <c r="AR28" s="23" t="str">
        <f t="shared" ca="1" si="19"/>
        <v xml:space="preserve">  </v>
      </c>
      <c r="AS28" s="24">
        <f t="shared" si="20"/>
        <v>10</v>
      </c>
      <c r="AT28" s="53" t="str">
        <f t="shared" ca="1" si="37"/>
        <v xml:space="preserve">  </v>
      </c>
      <c r="AU28" s="53" t="str">
        <f t="shared" ca="1" si="40"/>
        <v xml:space="preserve">  </v>
      </c>
      <c r="AV28" s="23">
        <f t="shared" si="21"/>
        <v>0</v>
      </c>
      <c r="AW28" s="23" t="str">
        <f t="shared" ca="1" si="22"/>
        <v xml:space="preserve">  </v>
      </c>
      <c r="AY28" s="35">
        <f t="shared" si="23"/>
        <v>0</v>
      </c>
      <c r="AZ28" s="23" t="str">
        <f t="shared" ca="1" si="41"/>
        <v xml:space="preserve">  </v>
      </c>
      <c r="BA28" s="36">
        <f t="shared" si="25"/>
        <v>0</v>
      </c>
      <c r="BB28" s="27" t="str">
        <f t="shared" ca="1" si="38"/>
        <v xml:space="preserve">  </v>
      </c>
      <c r="BC28" s="53" t="str">
        <f t="shared" ca="1" si="39"/>
        <v xml:space="preserve">  </v>
      </c>
      <c r="BE28" s="50" t="s">
        <v>73</v>
      </c>
      <c r="BF28" s="48" t="s">
        <v>74</v>
      </c>
      <c r="BG28" s="49">
        <f>IF(WL_No="  ","  ",ML/V_Disp)</f>
        <v>2.7626213882165156</v>
      </c>
    </row>
    <row r="29" spans="1:59" ht="15.75" thickBot="1" x14ac:dyDescent="0.3">
      <c r="A29" s="56" t="s">
        <v>77</v>
      </c>
      <c r="B29" s="56"/>
      <c r="C29" s="56"/>
      <c r="D29" s="57">
        <f>SUM(D4:D28)</f>
        <v>324.23500000000001</v>
      </c>
      <c r="E29" s="42"/>
      <c r="F29" s="58">
        <f>SUM(F4:F28)</f>
        <v>98.399999999999963</v>
      </c>
      <c r="G29" s="58">
        <f>SUM(G4:G28)</f>
        <v>4110.6400000000003</v>
      </c>
      <c r="H29" s="42"/>
      <c r="I29" s="58">
        <f>SUM(I4:I28)</f>
        <v>24598.883699499998</v>
      </c>
      <c r="J29" s="4"/>
      <c r="K29" s="42"/>
      <c r="L29" s="58">
        <f>SUM(L4:L28)</f>
        <v>477.68124999999992</v>
      </c>
      <c r="M29" s="42"/>
      <c r="N29" s="58">
        <f>SUM(N4:N28)</f>
        <v>232.27278216666664</v>
      </c>
      <c r="O29" s="58">
        <f>SUM(O4:O28)</f>
        <v>200.40280000000007</v>
      </c>
      <c r="P29" s="4"/>
      <c r="Q29" s="50" t="s">
        <v>78</v>
      </c>
      <c r="R29" s="48" t="s">
        <v>79</v>
      </c>
      <c r="S29">
        <f>IF(Tools!$L$49="Use 141 rule only",I53,IF(Tools!$L$49="Use 141 and 1331 rules",BG30," "))</f>
        <v>0.9</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108.14770833333331</v>
      </c>
      <c r="AS29" s="42"/>
      <c r="AT29" s="58">
        <f ca="1">SUM(AT4:AT28)</f>
        <v>33.447500000000019</v>
      </c>
      <c r="AU29" s="58">
        <f ca="1">SUM(AU4:AU28)</f>
        <v>1376.2529166666668</v>
      </c>
      <c r="AV29" s="42"/>
      <c r="AW29" s="58">
        <f ca="1">SUM(AW4:AW28)</f>
        <v>8199.6397167708346</v>
      </c>
      <c r="AY29" s="42"/>
      <c r="AZ29" s="58">
        <f ca="1">SUM(AZ4:AZ28)</f>
        <v>159.22973125000001</v>
      </c>
      <c r="BA29" s="42"/>
      <c r="BB29" s="58">
        <f ca="1">SUM(BB4:BB28)</f>
        <v>77.426539687499996</v>
      </c>
      <c r="BC29" s="58">
        <f ca="1">SUM(BC4:BC28)</f>
        <v>66.825900000000047</v>
      </c>
      <c r="BE29" s="50" t="s">
        <v>75</v>
      </c>
      <c r="BF29" s="55" t="s">
        <v>76</v>
      </c>
      <c r="BG29" s="49">
        <f ca="1">IF(WL_No="  ","  ",M_Disp*BML/100/BG8)</f>
        <v>65.752656394457745</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0.4985162976629765</v>
      </c>
      <c r="AA30" s="60"/>
      <c r="AB30" s="60"/>
      <c r="BE30" s="50" t="s">
        <v>78</v>
      </c>
      <c r="BF30" s="48" t="s">
        <v>79</v>
      </c>
      <c r="BG30" s="49">
        <f>IF(WL_No="  ","  ",WLS*WL_No)</f>
        <v>0.9</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0.40802348127647936</v>
      </c>
      <c r="AF31" s="61" t="s">
        <v>84</v>
      </c>
      <c r="AG31" s="62">
        <f ca="1">COUNTIF(OFFSET(AQ4,,,ROUNDUP(Max_STN_count/2,0),1),"")</f>
        <v>2</v>
      </c>
      <c r="AH31" s="63">
        <f ca="1">HLOOKUP(Stn_WL,AREA_TABLE,AG31+2,FALSE)</f>
        <v>1</v>
      </c>
      <c r="AI31" s="63">
        <f ca="1">IF(AH31&gt;Long_Div/2,Long_Div/2,AH31)</f>
        <v>1</v>
      </c>
      <c r="AJ31" s="63">
        <f ca="1">AI31*STN_GAP</f>
        <v>6.5849999999999991</v>
      </c>
      <c r="BE31" s="50" t="s">
        <v>80</v>
      </c>
      <c r="BF31" s="48" t="s">
        <v>81</v>
      </c>
      <c r="BG31" s="49">
        <f ca="1">IF(WL_No="  ","  ",AWP/(BG8*B_current))</f>
        <v>0.53893653801402874</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0.89337330873308729</v>
      </c>
      <c r="AF32" s="61" t="s">
        <v>87</v>
      </c>
      <c r="AG32" s="62">
        <f ca="1">COUNTIF(OFFSET(AQ4,ROUNDUP(Max_STN_count/2,0),,ROUNDDOWN(Max_STN_count/2,0),1),"")</f>
        <v>1</v>
      </c>
      <c r="AH32" s="63">
        <f ca="1">HLOOKUP(Stn_WL,AREA_TABLE,AG32+2,FALSE)</f>
        <v>0.5</v>
      </c>
      <c r="AI32" s="63">
        <f ca="1">IF(AH32&gt;Long_Div/2,Long_Div/2,AH32)</f>
        <v>0.5</v>
      </c>
      <c r="AJ32" s="63">
        <f ca="1">AI32*STN_GAP</f>
        <v>3.2924999999999995</v>
      </c>
      <c r="BE32" s="50" t="s">
        <v>82</v>
      </c>
      <c r="BF32" s="48" t="s">
        <v>83</v>
      </c>
      <c r="BG32" s="49">
        <f ca="1">IF(WL_No="  ","  ",V_Disp/(BG8*B_current*T))</f>
        <v>0.44110646624484257</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f>IF(Tools!$L$49="Use 141 rule only",I57,IF(Tools!$L$49="Use 141 and 1331 rules",BG34," "))</f>
        <v>0.45672226524777937</v>
      </c>
      <c r="AF33" s="63"/>
      <c r="AG33" s="63"/>
      <c r="AH33" s="63">
        <f ca="1">Long_Div-AH32</f>
        <v>19.5</v>
      </c>
      <c r="AI33" s="63"/>
      <c r="AJ33" s="63">
        <f ca="1">AJ32+AJ31</f>
        <v>9.8774999999999977</v>
      </c>
      <c r="BE33" s="50" t="s">
        <v>85</v>
      </c>
      <c r="BF33" s="48" t="s">
        <v>86</v>
      </c>
      <c r="BG33" s="65">
        <f>IFERROR(IF(WL_No="  ","  ",(VLOOKUP(Long_Div/2,AREA_TABLE,Count_WL+1,FALSE))/(B_current*T)),"-")</f>
        <v>0.89337330873308729</v>
      </c>
    </row>
    <row r="34" spans="1:59" x14ac:dyDescent="0.25">
      <c r="G34" s="45"/>
      <c r="H34" s="46"/>
      <c r="I34" s="507"/>
      <c r="BE34" s="50" t="s">
        <v>88</v>
      </c>
      <c r="BF34" s="48" t="s">
        <v>89</v>
      </c>
      <c r="BG34" s="49">
        <f>IF(WL_No="  ","  ",CB/CM)</f>
        <v>0.45672226524777937</v>
      </c>
    </row>
    <row r="35" spans="1:59" x14ac:dyDescent="0.25">
      <c r="G35" s="47" t="s">
        <v>34</v>
      </c>
      <c r="H35" s="48" t="s">
        <v>35</v>
      </c>
      <c r="I35" s="49">
        <f>IF(WL_No="  ","  ",2/3*h*$D$29)</f>
        <v>1423.3916499999996</v>
      </c>
    </row>
    <row r="36" spans="1:59" x14ac:dyDescent="0.25">
      <c r="G36" s="47" t="s">
        <v>36</v>
      </c>
      <c r="H36" s="48" t="s">
        <v>37</v>
      </c>
      <c r="I36" s="49">
        <f>IF(WL_No="  ","  ",2/3*(h^2)*$F$29)</f>
        <v>2844.5619599999982</v>
      </c>
    </row>
    <row r="37" spans="1:59" x14ac:dyDescent="0.25">
      <c r="G37" s="50" t="s">
        <v>39</v>
      </c>
      <c r="H37" s="48" t="s">
        <v>40</v>
      </c>
      <c r="I37" s="49">
        <f>IF(WL_No="  ","  ",Mmid/AWP)</f>
        <v>1.9984394035190518</v>
      </c>
    </row>
    <row r="38" spans="1:59" x14ac:dyDescent="0.25">
      <c r="G38" s="50" t="s">
        <v>42</v>
      </c>
      <c r="H38" s="48" t="s">
        <v>43</v>
      </c>
      <c r="I38" s="49">
        <f>IF(WL_No="  ","  ",2/3*(h^3)*$G$29)</f>
        <v>782502.11995985964</v>
      </c>
    </row>
    <row r="39" spans="1:59" x14ac:dyDescent="0.25">
      <c r="G39" s="51" t="s">
        <v>44</v>
      </c>
      <c r="H39" s="48" t="s">
        <v>45</v>
      </c>
      <c r="I39" s="49">
        <f>IF(WL_No="  ","  ",2/9*h*$I$29)</f>
        <v>35996.366480268327</v>
      </c>
    </row>
    <row r="40" spans="1:59" x14ac:dyDescent="0.25">
      <c r="G40" s="50" t="s">
        <v>47</v>
      </c>
      <c r="H40" s="48" t="s">
        <v>48</v>
      </c>
      <c r="I40" s="49">
        <f>IF(WL_No="  ","  ",IL-AWP*(LCF^2))</f>
        <v>776817.43525324424</v>
      </c>
    </row>
    <row r="41" spans="1:59" x14ac:dyDescent="0.25">
      <c r="G41" s="50" t="s">
        <v>50</v>
      </c>
      <c r="H41" s="48" t="s">
        <v>51</v>
      </c>
      <c r="I41" s="49">
        <f>IF(WL_No="  ","  ",h/3*$L$29)</f>
        <v>1048.5103437499997</v>
      </c>
    </row>
    <row r="42" spans="1:59" x14ac:dyDescent="0.25">
      <c r="G42" s="50" t="s">
        <v>52</v>
      </c>
      <c r="H42" s="48" t="s">
        <v>53</v>
      </c>
      <c r="I42" s="49">
        <f>IF(WL_No="  ","  ",V_Disp*1.025*1.006)</f>
        <v>1081.1714409578121</v>
      </c>
    </row>
    <row r="43" spans="1:59" x14ac:dyDescent="0.25">
      <c r="G43" s="50" t="s">
        <v>55</v>
      </c>
      <c r="H43" s="48" t="s">
        <v>56</v>
      </c>
      <c r="I43" s="49">
        <f>IF(WL_No="  ","  ",h/3*$N$29)</f>
        <v>509.83875685583325</v>
      </c>
    </row>
    <row r="44" spans="1:59" x14ac:dyDescent="0.25">
      <c r="G44" s="50" t="s">
        <v>57</v>
      </c>
      <c r="H44" s="48" t="s">
        <v>58</v>
      </c>
      <c r="I44" s="49">
        <f>IF(WL_No="  ","  ",(h^2)/3*$O$29)</f>
        <v>2896.63710141</v>
      </c>
    </row>
    <row r="45" spans="1:59" x14ac:dyDescent="0.25">
      <c r="G45" s="50" t="s">
        <v>60</v>
      </c>
      <c r="H45" s="48" t="s">
        <v>61</v>
      </c>
      <c r="I45" s="49">
        <f>IF(WL_No="  ","  ",IF/V_Disp)</f>
        <v>740.87722632754856</v>
      </c>
    </row>
    <row r="46" spans="1:59" x14ac:dyDescent="0.25">
      <c r="G46" s="50" t="s">
        <v>63</v>
      </c>
      <c r="H46" s="48" t="s">
        <v>64</v>
      </c>
      <c r="I46" s="49">
        <f>IF(WL_No="  ","  ",IT/V_Disp)</f>
        <v>34.330959818219092</v>
      </c>
    </row>
    <row r="47" spans="1:59" x14ac:dyDescent="0.25">
      <c r="G47" s="50" t="s">
        <v>65</v>
      </c>
      <c r="H47" s="48" t="s">
        <v>66</v>
      </c>
      <c r="I47" s="49">
        <f>IF(WL_No="  ","  ",MT/V_Disp)</f>
        <v>0.48625057434568908</v>
      </c>
    </row>
    <row r="48" spans="1:59" x14ac:dyDescent="0.25">
      <c r="G48" s="50" t="s">
        <v>67</v>
      </c>
      <c r="H48" s="48" t="s">
        <v>68</v>
      </c>
      <c r="I48" s="49">
        <f>IF(WL_No="  ","  ",KB+BMT)</f>
        <v>34.817210392564782</v>
      </c>
    </row>
    <row r="49" spans="7:9" x14ac:dyDescent="0.25">
      <c r="G49" s="50" t="s">
        <v>69</v>
      </c>
      <c r="H49" s="48" t="s">
        <v>70</v>
      </c>
      <c r="I49" s="49">
        <f>IF(WL_No="  ","  ",KB+BML)</f>
        <v>741.36347690189427</v>
      </c>
    </row>
    <row r="50" spans="7:9" x14ac:dyDescent="0.25">
      <c r="G50" s="50" t="s">
        <v>71</v>
      </c>
      <c r="H50" s="48" t="s">
        <v>72</v>
      </c>
      <c r="I50" s="49">
        <f>IF(WL_No="  ","  ",AWP*1.025/100)</f>
        <v>14.589764412499994</v>
      </c>
    </row>
    <row r="51" spans="7:9" x14ac:dyDescent="0.25">
      <c r="G51" s="50" t="s">
        <v>73</v>
      </c>
      <c r="H51" s="48" t="s">
        <v>74</v>
      </c>
      <c r="I51" s="49">
        <f>IF(WL_No="  ","  ",ML/V_Disp)</f>
        <v>2.7626213882165156</v>
      </c>
    </row>
    <row r="52" spans="7:9" x14ac:dyDescent="0.25">
      <c r="G52" s="50" t="s">
        <v>75</v>
      </c>
      <c r="H52" s="55" t="s">
        <v>76</v>
      </c>
      <c r="I52" s="49">
        <f>IF(WL_No="  ","  ",M_Disp*BML/100/LBP)</f>
        <v>60.821207164873414</v>
      </c>
    </row>
    <row r="53" spans="7:9" x14ac:dyDescent="0.25">
      <c r="G53" s="50" t="s">
        <v>78</v>
      </c>
      <c r="H53" s="48" t="s">
        <v>79</v>
      </c>
      <c r="I53" s="49">
        <f>IF(WL_No="  ","  ",WLS*WL_No)</f>
        <v>0.9</v>
      </c>
    </row>
    <row r="54" spans="7:9" x14ac:dyDescent="0.25">
      <c r="G54" s="50" t="s">
        <v>80</v>
      </c>
      <c r="H54" s="48" t="s">
        <v>81</v>
      </c>
      <c r="I54" s="49">
        <f>IF(WL_No="  ","  ",AWP/(LBP*B_current))</f>
        <v>0.4985162976629765</v>
      </c>
    </row>
    <row r="55" spans="7:9" x14ac:dyDescent="0.25">
      <c r="G55" s="50" t="s">
        <v>82</v>
      </c>
      <c r="H55" s="48" t="s">
        <v>83</v>
      </c>
      <c r="I55" s="49">
        <f>IF(WL_No="  ","  ",V_Disp/(LBP*B_current*T))</f>
        <v>0.40802348127647936</v>
      </c>
    </row>
    <row r="56" spans="7:9" x14ac:dyDescent="0.25">
      <c r="G56" s="50" t="s">
        <v>85</v>
      </c>
      <c r="H56" s="48" t="s">
        <v>86</v>
      </c>
      <c r="I56" s="65">
        <f>IF(WL_No="  ","  ",(VLOOKUP(Long_Div/2,AREA_TABLE,Count_WL+1,FALSE))/(B_current*T))</f>
        <v>0.89337330873308729</v>
      </c>
    </row>
    <row r="57" spans="7:9" x14ac:dyDescent="0.25">
      <c r="G57" s="50" t="s">
        <v>88</v>
      </c>
      <c r="H57" s="48" t="s">
        <v>89</v>
      </c>
      <c r="I57" s="49">
        <f>IF(WL_No="  ","  ",CB/CM)</f>
        <v>0.45672226524777937</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J43:BD57 J42:M42 O42:BD42 J38:BD41 AO3:AX28">
    <cfRule type="containsErrors" dxfId="144" priority="13">
      <formula>ISERROR(A1)</formula>
    </cfRule>
  </conditionalFormatting>
  <conditionalFormatting sqref="G33:I34 G35:H57">
    <cfRule type="containsErrors" dxfId="143" priority="12">
      <formula>ISERROR(G33)</formula>
    </cfRule>
  </conditionalFormatting>
  <conditionalFormatting sqref="T12:T33">
    <cfRule type="containsErrors" dxfId="142" priority="11">
      <formula>ISERROR(T12)</formula>
    </cfRule>
  </conditionalFormatting>
  <conditionalFormatting sqref="I35:I57">
    <cfRule type="containsErrors" dxfId="141" priority="10">
      <formula>ISERROR(I35)</formula>
    </cfRule>
  </conditionalFormatting>
  <conditionalFormatting sqref="AY2:BC29">
    <cfRule type="containsErrors" dxfId="140" priority="7">
      <formula>ISERROR(AY2)</formula>
    </cfRule>
  </conditionalFormatting>
  <conditionalFormatting sqref="BE10:BG11 BE12:BF34">
    <cfRule type="containsErrors" dxfId="139" priority="9">
      <formula>ISERROR(BE10)</formula>
    </cfRule>
  </conditionalFormatting>
  <conditionalFormatting sqref="BG12:BG28 BG34">
    <cfRule type="containsErrors" dxfId="138" priority="8">
      <formula>ISERROR(BG12)</formula>
    </cfRule>
  </conditionalFormatting>
  <conditionalFormatting sqref="BE2:BG6">
    <cfRule type="containsErrors" dxfId="137" priority="6">
      <formula>ISERROR(BE2)</formula>
    </cfRule>
  </conditionalFormatting>
  <conditionalFormatting sqref="BF7:BG8">
    <cfRule type="containsErrors" dxfId="136" priority="4">
      <formula>ISERROR(BF7)</formula>
    </cfRule>
  </conditionalFormatting>
  <conditionalFormatting sqref="BE7:BE8">
    <cfRule type="containsErrors" dxfId="135" priority="5">
      <formula>ISERROR(BE7)</formula>
    </cfRule>
  </conditionalFormatting>
  <conditionalFormatting sqref="S30:S33">
    <cfRule type="containsErrors" dxfId="134" priority="3">
      <formula>ISERROR(S30)</formula>
    </cfRule>
  </conditionalFormatting>
  <conditionalFormatting sqref="BG29:BG32">
    <cfRule type="containsErrors" dxfId="133" priority="2">
      <formula>ISERROR(BG29)</formula>
    </cfRule>
  </conditionalFormatting>
  <conditionalFormatting sqref="BG33">
    <cfRule type="containsErrors" dxfId="132" priority="1">
      <formula>ISERROR(BG33)</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tint="0.79998168889431442"/>
  </sheetPr>
  <dimension ref="A1:BH57"/>
  <sheetViews>
    <sheetView topLeftCell="AH1" zoomScale="55" zoomScaleNormal="55" workbookViewId="0">
      <pane ySplit="1" topLeftCell="A7"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0</v>
      </c>
      <c r="C1" s="3"/>
      <c r="D1" s="4"/>
      <c r="E1" s="4" t="s">
        <v>1</v>
      </c>
      <c r="F1" s="5">
        <v>1</v>
      </c>
      <c r="G1" s="4"/>
      <c r="H1" s="4"/>
      <c r="I1" s="4"/>
      <c r="J1" s="4"/>
      <c r="K1" s="4"/>
      <c r="L1" s="4"/>
      <c r="M1" s="4"/>
      <c r="N1" s="4"/>
      <c r="O1" s="4"/>
      <c r="P1" s="4"/>
      <c r="Q1" s="4"/>
      <c r="R1" s="4"/>
      <c r="S1" s="4"/>
      <c r="V1" t="s">
        <v>2</v>
      </c>
      <c r="W1">
        <f ca="1">COUNTIF(OFFSET(Z4,,,ROUNDDOWN(Max_STN_count/2+1,0),1),TRUE)</f>
        <v>5</v>
      </c>
      <c r="X1">
        <f ca="1">COUNTIF(OFFSET(AA4,,,ROUNDDOWN(Max_STN_count/2+1,0),1),TRUE)</f>
        <v>1</v>
      </c>
      <c r="Y1">
        <f ca="1">W1-X1</f>
        <v>4</v>
      </c>
      <c r="AB1" s="6" t="s">
        <v>3</v>
      </c>
      <c r="AC1">
        <f ca="1">COUNTIF(OFFSET(Z4,ROUNDUP(Max_STN_count/2,0),,ROUNDDOWN(Max_STN_count/2,0),1),TRUE)</f>
        <v>5</v>
      </c>
      <c r="AD1">
        <f ca="1">COUNTIF(OFFSET(AA4,ROUNDUP(Max_STN_count/2,0),,ROUNDDOWN(Max_STN_count/2,0),1),TRUE)</f>
        <v>1</v>
      </c>
      <c r="AE1">
        <f ca="1">AC1-AD1</f>
        <v>4</v>
      </c>
      <c r="AG1" t="s">
        <v>4</v>
      </c>
      <c r="AH1">
        <f>COUNTIF(AG4:AG28,TRUE)</f>
        <v>17</v>
      </c>
      <c r="AI1">
        <f ca="1">COUNTIF(OFFSET(AG4,,,ROUNDUP(Max_STN_count/2,0),1),FALSE)</f>
        <v>0</v>
      </c>
      <c r="AW1">
        <f ca="1">COUNTIF(OFFSET(AG4,,,Max_STN_count,1),TRUE)</f>
        <v>17</v>
      </c>
    </row>
    <row r="2" spans="1:60" x14ac:dyDescent="0.25">
      <c r="A2" s="508" t="s">
        <v>5</v>
      </c>
      <c r="B2" s="509"/>
      <c r="C2" s="509"/>
      <c r="D2" s="509"/>
      <c r="E2" s="509"/>
      <c r="F2" s="509"/>
      <c r="G2" s="509"/>
      <c r="H2" s="509"/>
      <c r="I2" s="510"/>
      <c r="J2" s="4"/>
      <c r="K2" s="508" t="s">
        <v>6</v>
      </c>
      <c r="L2" s="509"/>
      <c r="M2" s="509"/>
      <c r="N2" s="509"/>
      <c r="O2" s="510"/>
      <c r="P2" s="4"/>
      <c r="Q2" s="8" t="s">
        <v>7</v>
      </c>
      <c r="R2" s="9" t="s">
        <v>8</v>
      </c>
      <c r="S2" s="10">
        <f>WLS</f>
        <v>1.8</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Y2" s="508" t="s">
        <v>6</v>
      </c>
      <c r="AZ2" s="509"/>
      <c r="BA2" s="509"/>
      <c r="BB2" s="509"/>
      <c r="BC2" s="510"/>
      <c r="BE2" s="8" t="s">
        <v>7</v>
      </c>
      <c r="BF2" s="9" t="s">
        <v>8</v>
      </c>
      <c r="BG2" s="10">
        <f>WLS</f>
        <v>1.8</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6.5849999999999991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6.5849999999999991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131.69999999999999</v>
      </c>
      <c r="W4" s="29">
        <f>IF(AO4="  ","  ",IF(AO5="  ","?",1*(AO5-AO4)))</f>
        <v>0.5</v>
      </c>
      <c r="X4" s="30" t="str">
        <f t="shared" ref="X4:X28" si="4">IF(Y4=0,"--",CONCATENATE(IF(AO4=0,"-",IF(Y3=0,"-",IF(AO4-AO3=0.5,"D",IF(AO4-AO3=1,"W","-")))),IF(AO4=Long_Div,"-",IF(Y5=0,"-",IF(AO5-AO4=0.5,"D",IF(AO5-AO4=1,"W","-"))))))</f>
        <v>--</v>
      </c>
      <c r="Y4" s="30">
        <f t="shared" ref="Y4:Y28" si="5">IF(ISNUMBER(AO4),IF(AO4=Long_Div/2,"-",IF(AND(AO4=Long_Div,$AP4=0,$AP3=0),0,IF(AND(AO4=0,$AP4=0,$AP5=0),0,IF($AO4&lt;Long_Div/2,IF(AND(Y3=0,$AP4=0,$AP5=0),0,"-"),IF(AND(Y5=0,$AP4=0,$AP3=0),0,"-")))))," ")</f>
        <v>0</v>
      </c>
      <c r="Z4" s="29" t="b">
        <f t="shared" ref="Z4:Z28" si="6">IF(ISNUMBER(AO4),IF(AO4=0,IF(AO5=0.5,TRUE,FALSE),IF(AO4=Long_Div,IF(AO3=Long_Div-0.5,TRUE,FALSE),IF(OR(AO5-AO4=0.5,AO4-AO3=0.5),TRUE,FALSE)))," ")</f>
        <v>1</v>
      </c>
      <c r="AA4" s="29" t="str">
        <f t="shared" ref="AA4:AA28" si="7">IF(ISNUMBER(AO4),IF(Y4=0," ",IF(AO4=0,IF(AO5=0.5,TRUE,"-"),IF(AO4=Long_Div,IF(AO3=Long_Div-0.5,TRUE,"-"),IF(OR(AO5-AO4=0.5,AO4-AO3=0.5),TRUE,FALSE))))," ")</f>
        <v xml:space="preserve"> </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v>
      </c>
      <c r="AC4" s="29">
        <f>IF(ISNUMBER(AO4),IF(ISNUMBER(AO4),IF(OR(AO4=0,AO4=Long_Div),1,IF(AO4&gt;Long_Div/2,AC5+1,IF(AO4&lt;=Long_Div/2,AE3+1,"?")))," --")," ")</f>
        <v>1</v>
      </c>
      <c r="AD4" s="29">
        <f t="shared" ref="AD4:AD28" ca="1" si="9">IF(ISNUMBER(AO4),IF(AO4&gt;Long_Div/2,4-ROW(AD4)+Max_STN_count-$AE$1,ROW(AD4)-3-$Y$1)," ")</f>
        <v>-3</v>
      </c>
      <c r="AE4" s="29">
        <v>1</v>
      </c>
      <c r="AF4" s="31" t="str">
        <f t="shared" ref="AF4:AF8" si="10">IF(AND(AG4=TRUE,OR(NOT(AG3=TRUE),AG3="Full")),1,IF(ISNUMBER(AF3),AF3+1," "))</f>
        <v xml:space="preserve"> </v>
      </c>
      <c r="AG4" s="29" t="str">
        <f t="shared" ref="AG4:AG28" si="11">IF(ISNUMBER(AO4),IF(AA4=" "," ",IF(AO4=0,IF(AO5-AO4=1,TRUE,FALSE),IF(AO4=Long_Div,IF(AO4-AO3=1,TRUE,FALSE),IF(OR(AO5-AO4=1,AO4-AO3=1),TRUE,FALSE))))," ")</f>
        <v xml:space="preserve"> </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
      </c>
      <c r="AJ4" s="29">
        <f t="shared" ref="AJ4:AJ28" ca="1" si="14">IF(OR(AB4="1331-1",AB4="1331-1,141-1"),(1/2)*(3/8),IF(AB4="1331-3",(1/2)*(9/8),IF(AB4="141-1",(1/2)*(1/3),IF(AB4="141-2",(1/2)*(2/3),IF(AB4="141-4",(1/2)*(4/3),0)))))</f>
        <v>0</v>
      </c>
      <c r="AK4" s="29" t="str">
        <f t="shared" ref="AK4:AK28" si="15">IF(AH4="1331-1,141-1","(1*3/8)+(1/3)",IF(LEFT(AH4,4)="141-",CONCATENATE(RIGHT(AH4,1),"/3"),IF(LEFT(AH4,4)="1331",CONCATENATE(RIGHT(AH4,1),"*3/8"),"")))</f>
        <v/>
      </c>
      <c r="AL4" s="29">
        <f t="shared" ref="AL4:AL28" si="16">IF(AH4="1331-1,141-1",(1*3/8)+(1/3),IF(LEFT(AH4,4)="141-",(RIGHT(AH4,1)/3),IF(LEFT(AH4,4)="1331",RIGHT(AH4,1)*3/8,0)))</f>
        <v>0</v>
      </c>
      <c r="AM4" s="32" t="str">
        <f ca="1">IF(AQ4=""," ",AJ4+AL4)</f>
        <v xml:space="preserve"> </v>
      </c>
      <c r="AO4" s="20">
        <f>Tools!$AD3</f>
        <v>0</v>
      </c>
      <c r="AP4" s="33">
        <f t="shared" ref="AP4" si="17">VLOOKUP(AO4,OFFSET_A,Count_WL+1,FALSE)</f>
        <v>0</v>
      </c>
      <c r="AQ4" s="34" t="str">
        <f t="shared" ref="AQ4:AQ28" ca="1" si="18">CONCATENATE(AI4,IF(NOT(OR(AI4="",AK4="")),"+",""),AK4)</f>
        <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f t="shared" ref="AV4:AV28" si="21">IFERROR(AP4^3,"  ")</f>
        <v>0</v>
      </c>
      <c r="AW4" s="23" t="str">
        <f t="shared" ref="AW4:AW28" ca="1" si="22">IFERROR(AV4*AM4,"  ")</f>
        <v xml:space="preserve">  </v>
      </c>
      <c r="AY4" s="35">
        <f t="shared" ref="AY4:AY28" si="23">IF(ROW(AY4)-3&gt;Max_STN_count," ",VLOOKUP(AO4,AREA_TABLE,Count_WL+1,FALSE))</f>
        <v>0</v>
      </c>
      <c r="AZ4" s="23" t="str">
        <f t="shared" ref="AZ4:AZ7" ca="1" si="24">IFERROR(AY4*AM4,"  ")</f>
        <v xml:space="preserve">  </v>
      </c>
      <c r="BA4" s="36">
        <f t="shared" ref="BA4:BA28" si="25">IF(ROW(AY4)-3&gt;Max_STN_count," ",VLOOKUP(AO4,MOMENT_TABLE,Count_WL+1,FALSE))</f>
        <v>0</v>
      </c>
      <c r="BB4" s="27" t="str">
        <f ca="1">IFERROR(BA4*AM4,"  ")</f>
        <v xml:space="preserve">  </v>
      </c>
      <c r="BC4" s="23" t="str">
        <f ca="1">IFERROR(AZ4*AS4,"  ")</f>
        <v xml:space="preserve">  </v>
      </c>
      <c r="BE4" s="16" t="s">
        <v>26</v>
      </c>
      <c r="BF4" s="9" t="s">
        <v>8</v>
      </c>
      <c r="BG4" s="28">
        <f>LBP</f>
        <v>131.69999999999999</v>
      </c>
    </row>
    <row r="5" spans="1:60" x14ac:dyDescent="0.25">
      <c r="A5" s="20">
        <f>Tools!$AD4</f>
        <v>0.5</v>
      </c>
      <c r="B5" s="33">
        <f t="shared" si="0"/>
        <v>0</v>
      </c>
      <c r="C5" s="22">
        <f>IF(A5="  ","  ",IF(AND(A4="  ",A6="  "),"?",IF(A4="  ",2*(A6-A5),IF(A6="  ",2*(A5-A4),2*(A6-A4)))))</f>
        <v>2</v>
      </c>
      <c r="D5" s="23">
        <f t="shared" ref="D5:D28" si="26">IFERROR(B5*C5,"  ")</f>
        <v>0</v>
      </c>
      <c r="E5" s="24">
        <f t="shared" si="1"/>
        <v>-9.5</v>
      </c>
      <c r="F5" s="23">
        <f t="shared" ref="F5:F28" si="27">IFERROR(D5*E5,"  ")</f>
        <v>0</v>
      </c>
      <c r="G5" s="23">
        <f t="shared" ref="G5:G28" si="28">IFERROR(F5*E5,"  ")</f>
        <v>0</v>
      </c>
      <c r="H5" s="23">
        <f t="shared" ref="H5:H28" si="29">IFERROR(B5^3,"  ")</f>
        <v>0</v>
      </c>
      <c r="I5" s="23">
        <f t="shared" ref="I5:I28" si="30">IFERROR(H5*C5,"  ")</f>
        <v>0</v>
      </c>
      <c r="J5" s="4"/>
      <c r="K5" s="37">
        <f t="shared" si="2"/>
        <v>0</v>
      </c>
      <c r="L5" s="23">
        <f t="shared" ref="L5:L28" si="31">IFERROR(K5*C5,"  ")</f>
        <v>0</v>
      </c>
      <c r="M5" s="38">
        <f t="shared" si="3"/>
        <v>0</v>
      </c>
      <c r="N5" s="27">
        <f t="shared" ref="N5:N28" si="32">IFERROR(M5*C5,"  ")</f>
        <v>0</v>
      </c>
      <c r="O5" s="23">
        <f t="shared" ref="O5:O28" si="33">IFERROR(L5*E5,"  ")</f>
        <v>0</v>
      </c>
      <c r="P5" s="4"/>
      <c r="Q5" s="8" t="s">
        <v>27</v>
      </c>
      <c r="R5" s="9" t="s">
        <v>8</v>
      </c>
      <c r="S5" s="10">
        <f>BREADTH</f>
        <v>24.5</v>
      </c>
      <c r="W5" s="29">
        <f>IF(AO5="  ","  ",IF(AND(AO4="  ",AO6="  "),"?",IF(AO4="  ",2*(AO6-AO5),IF(AO6="  ",2*(AO5-AO4),2*(AO6-AO4)))))</f>
        <v>2</v>
      </c>
      <c r="X5" s="30" t="str">
        <f t="shared" si="4"/>
        <v>--</v>
      </c>
      <c r="Y5" s="30">
        <f t="shared" si="5"/>
        <v>0</v>
      </c>
      <c r="Z5" s="29" t="b">
        <f t="shared" si="6"/>
        <v>1</v>
      </c>
      <c r="AA5" s="29" t="str">
        <f t="shared" si="7"/>
        <v xml:space="preserve"> </v>
      </c>
      <c r="AB5" s="29" t="str">
        <f t="shared" ca="1" si="8"/>
        <v>##</v>
      </c>
      <c r="AC5" s="29">
        <f t="shared" ref="AC5:AC27" si="34">IF(ISNUMBER(AO5),IF(ISNUMBER(AO5),IF(OR(AO5=0,AO5=Long_Div),1,IF(AO5&gt;Long_Div/2,AC6+1,IF(AO5&lt;=Long_Div/2,AC4+1,"?")))," --")," ")</f>
        <v>2</v>
      </c>
      <c r="AD5" s="29">
        <f t="shared" ca="1" si="9"/>
        <v>-2</v>
      </c>
      <c r="AE5" s="29">
        <v>2</v>
      </c>
      <c r="AF5" s="31" t="str">
        <f t="shared" si="10"/>
        <v xml:space="preserve"> </v>
      </c>
      <c r="AG5" s="29" t="str">
        <f t="shared" si="11"/>
        <v xml:space="preserve"> </v>
      </c>
      <c r="AH5" s="30" t="str">
        <f t="shared" si="12"/>
        <v>-</v>
      </c>
      <c r="AI5" s="30" t="str">
        <f t="shared" ca="1" si="13"/>
        <v/>
      </c>
      <c r="AJ5" s="29">
        <f t="shared" ca="1" si="14"/>
        <v>0</v>
      </c>
      <c r="AK5" s="29" t="str">
        <f t="shared" si="15"/>
        <v/>
      </c>
      <c r="AL5" s="29">
        <f t="shared" si="16"/>
        <v>0</v>
      </c>
      <c r="AM5" s="32" t="str">
        <f t="shared" ref="AM5:AM28" ca="1" si="35">IF(AQ5=""," ",AJ5+AL5)</f>
        <v xml:space="preserve"> </v>
      </c>
      <c r="AO5" s="20">
        <f>Tools!$AD4</f>
        <v>0.5</v>
      </c>
      <c r="AP5" s="33">
        <f t="shared" ref="AP5:AP28" si="36">VLOOKUP(AO5,OFFSET_A,Count_WL+1,FALSE)</f>
        <v>0</v>
      </c>
      <c r="AQ5" s="34" t="str">
        <f t="shared" ca="1" si="18"/>
        <v/>
      </c>
      <c r="AR5" s="23" t="str">
        <f t="shared" ca="1" si="19"/>
        <v xml:space="preserve">  </v>
      </c>
      <c r="AS5" s="24">
        <f t="shared" si="20"/>
        <v>-9.5</v>
      </c>
      <c r="AT5" s="23" t="str">
        <f t="shared" ref="AT5:AT28" ca="1" si="37">IFERROR(AR5*AS5,"  ")</f>
        <v xml:space="preserve">  </v>
      </c>
      <c r="AU5" s="23" t="str">
        <f ca="1">IFERROR(AT5*AS5,"  ")</f>
        <v xml:space="preserve">  </v>
      </c>
      <c r="AV5" s="23">
        <f t="shared" si="21"/>
        <v>0</v>
      </c>
      <c r="AW5" s="23" t="str">
        <f t="shared" ca="1" si="22"/>
        <v xml:space="preserve">  </v>
      </c>
      <c r="AY5" s="35">
        <f t="shared" si="23"/>
        <v>0</v>
      </c>
      <c r="AZ5" s="23" t="str">
        <f t="shared" ca="1" si="24"/>
        <v xml:space="preserve">  </v>
      </c>
      <c r="BA5" s="36">
        <f t="shared" si="25"/>
        <v>0</v>
      </c>
      <c r="BB5" s="27" t="str">
        <f t="shared" ref="BB5:BB28" ca="1" si="38">IFERROR(BA5*AM5,"  ")</f>
        <v xml:space="preserve">  </v>
      </c>
      <c r="BC5" s="23" t="str">
        <f t="shared" ref="BC5:BC28" ca="1" si="39">IFERROR(AZ5*AS5,"  ")</f>
        <v xml:space="preserve">  </v>
      </c>
      <c r="BE5" s="8" t="s">
        <v>27</v>
      </c>
      <c r="BF5" s="9" t="s">
        <v>8</v>
      </c>
      <c r="BG5" s="10">
        <f>BREADTH</f>
        <v>24.5</v>
      </c>
    </row>
    <row r="6" spans="1:60" x14ac:dyDescent="0.25">
      <c r="A6" s="20">
        <f>Tools!$AD5</f>
        <v>1</v>
      </c>
      <c r="B6" s="33">
        <f t="shared" si="0"/>
        <v>0</v>
      </c>
      <c r="C6" s="22">
        <f>IF(A6="  ","  ",IF(AND(A5="  ",A7="  "),"?",IF(A5="  ",1*(A7-A6),IF(A7="  ",1*(A6-A5),1*(A7-A5)))))</f>
        <v>1</v>
      </c>
      <c r="D6" s="23">
        <f t="shared" si="26"/>
        <v>0</v>
      </c>
      <c r="E6" s="24">
        <f t="shared" si="1"/>
        <v>-9</v>
      </c>
      <c r="F6" s="23">
        <f t="shared" si="27"/>
        <v>0</v>
      </c>
      <c r="G6" s="23">
        <f t="shared" si="28"/>
        <v>0</v>
      </c>
      <c r="H6" s="23">
        <f t="shared" si="29"/>
        <v>0</v>
      </c>
      <c r="I6" s="23">
        <f t="shared" si="30"/>
        <v>0</v>
      </c>
      <c r="J6" s="4"/>
      <c r="K6" s="37">
        <f t="shared" si="2"/>
        <v>0</v>
      </c>
      <c r="L6" s="23">
        <f t="shared" si="31"/>
        <v>0</v>
      </c>
      <c r="M6" s="38">
        <f t="shared" si="3"/>
        <v>0</v>
      </c>
      <c r="N6" s="27">
        <f t="shared" si="32"/>
        <v>0</v>
      </c>
      <c r="O6" s="23">
        <f t="shared" si="33"/>
        <v>0</v>
      </c>
      <c r="P6" s="4"/>
      <c r="Q6" s="8" t="s">
        <v>28</v>
      </c>
      <c r="R6" s="9" t="s">
        <v>8</v>
      </c>
      <c r="S6" s="10">
        <f>DEPTH</f>
        <v>14.19</v>
      </c>
      <c r="W6" s="29">
        <f>IF(AO6="  ","  ",IF(AND(AO5="  ",AO7="  "),"?",IF(AO5="  ",1*(AO7-AO6),IF(AO7="  ",1*(AO6-AO5),1*(AO7-AO5)))))</f>
        <v>1</v>
      </c>
      <c r="X6" s="30" t="str">
        <f t="shared" si="4"/>
        <v>--</v>
      </c>
      <c r="Y6" s="30">
        <f t="shared" si="5"/>
        <v>0</v>
      </c>
      <c r="Z6" s="29" t="b">
        <f t="shared" si="6"/>
        <v>1</v>
      </c>
      <c r="AA6" s="29" t="str">
        <f t="shared" si="7"/>
        <v xml:space="preserve"> </v>
      </c>
      <c r="AB6" s="29" t="str">
        <f t="shared" ca="1" si="8"/>
        <v>##</v>
      </c>
      <c r="AC6" s="29">
        <f t="shared" si="34"/>
        <v>3</v>
      </c>
      <c r="AD6" s="29">
        <f t="shared" ca="1" si="9"/>
        <v>-1</v>
      </c>
      <c r="AE6" s="29">
        <v>3</v>
      </c>
      <c r="AF6" s="31" t="str">
        <f t="shared" si="10"/>
        <v xml:space="preserve"> </v>
      </c>
      <c r="AG6" s="29" t="str">
        <f t="shared" si="11"/>
        <v xml:space="preserve"> </v>
      </c>
      <c r="AH6" s="30" t="str">
        <f t="shared" si="12"/>
        <v>-</v>
      </c>
      <c r="AI6" s="30" t="str">
        <f t="shared" ca="1" si="13"/>
        <v/>
      </c>
      <c r="AJ6" s="29">
        <f t="shared" ca="1" si="14"/>
        <v>0</v>
      </c>
      <c r="AK6" s="29" t="str">
        <f t="shared" si="15"/>
        <v/>
      </c>
      <c r="AL6" s="29">
        <f t="shared" si="16"/>
        <v>0</v>
      </c>
      <c r="AM6" s="32" t="str">
        <f t="shared" ca="1" si="35"/>
        <v xml:space="preserve"> </v>
      </c>
      <c r="AO6" s="20">
        <f>Tools!$AD5</f>
        <v>1</v>
      </c>
      <c r="AP6" s="33">
        <f t="shared" si="36"/>
        <v>0</v>
      </c>
      <c r="AQ6" s="34" t="str">
        <f t="shared" ca="1" si="18"/>
        <v/>
      </c>
      <c r="AR6" s="23" t="str">
        <f t="shared" ca="1" si="19"/>
        <v xml:space="preserve">  </v>
      </c>
      <c r="AS6" s="24">
        <f t="shared" si="20"/>
        <v>-9</v>
      </c>
      <c r="AT6" s="23" t="str">
        <f t="shared" ca="1" si="37"/>
        <v xml:space="preserve">  </v>
      </c>
      <c r="AU6" s="23" t="str">
        <f ca="1">IFERROR(AT6*AS6,"  ")</f>
        <v xml:space="preserve">  </v>
      </c>
      <c r="AV6" s="23">
        <f t="shared" si="21"/>
        <v>0</v>
      </c>
      <c r="AW6" s="23" t="str">
        <f t="shared" ca="1" si="22"/>
        <v xml:space="preserve">  </v>
      </c>
      <c r="AY6" s="35">
        <f t="shared" si="23"/>
        <v>0</v>
      </c>
      <c r="AZ6" s="23" t="str">
        <f t="shared" ca="1" si="24"/>
        <v xml:space="preserve">  </v>
      </c>
      <c r="BA6" s="36">
        <f t="shared" si="25"/>
        <v>0</v>
      </c>
      <c r="BB6" s="27" t="str">
        <f t="shared" ca="1" si="38"/>
        <v xml:space="preserve">  </v>
      </c>
      <c r="BC6" s="23" t="str">
        <f t="shared" ca="1" si="39"/>
        <v xml:space="preserve">  </v>
      </c>
      <c r="BE6" s="8" t="s">
        <v>28</v>
      </c>
      <c r="BF6" s="9" t="s">
        <v>8</v>
      </c>
      <c r="BG6" s="10">
        <f>DEPTH</f>
        <v>14.19</v>
      </c>
    </row>
    <row r="7" spans="1:60" x14ac:dyDescent="0.25">
      <c r="A7" s="20">
        <f>Tools!$AD6</f>
        <v>1.5</v>
      </c>
      <c r="B7" s="33">
        <f t="shared" si="0"/>
        <v>0</v>
      </c>
      <c r="C7" s="22">
        <f>IF(A7="  ","  ",IF(AND(A6="  ",A8="  "),"?",IF(A6="  ",2*(A8-A7),IF(A8="  ",2*(A7-A6),2*(A8-A6)))))</f>
        <v>2</v>
      </c>
      <c r="D7" s="23">
        <f t="shared" si="26"/>
        <v>0</v>
      </c>
      <c r="E7" s="24">
        <f t="shared" si="1"/>
        <v>-8.5</v>
      </c>
      <c r="F7" s="23">
        <f t="shared" si="27"/>
        <v>0</v>
      </c>
      <c r="G7" s="23">
        <f t="shared" si="28"/>
        <v>0</v>
      </c>
      <c r="H7" s="23">
        <f t="shared" si="29"/>
        <v>0</v>
      </c>
      <c r="I7" s="23">
        <f t="shared" si="30"/>
        <v>0</v>
      </c>
      <c r="J7" s="4"/>
      <c r="K7" s="37">
        <f t="shared" si="2"/>
        <v>0</v>
      </c>
      <c r="L7" s="23">
        <f t="shared" si="31"/>
        <v>0</v>
      </c>
      <c r="M7" s="38">
        <f t="shared" si="3"/>
        <v>0</v>
      </c>
      <c r="N7" s="27">
        <f t="shared" si="32"/>
        <v>0</v>
      </c>
      <c r="O7" s="23">
        <f t="shared" si="33"/>
        <v>0</v>
      </c>
      <c r="P7" s="4"/>
      <c r="Q7" s="39" t="s">
        <v>29</v>
      </c>
      <c r="R7" s="40" t="s">
        <v>8</v>
      </c>
      <c r="S7" s="41">
        <f>IF(MAX(B4:B28)=0," ",2*MAX(B4:B28))</f>
        <v>17.2</v>
      </c>
      <c r="W7" s="29">
        <f>IF(AO7="  ","  ",IF(AND(AO6="  ",AO8="  "),"?",IF(AO6="  ",2*(AO8-AO7),IF(AO8="  ",2*(AO7-AO6),2*(AO8-AO6)))))</f>
        <v>2</v>
      </c>
      <c r="X7" s="30" t="str">
        <f t="shared" si="4"/>
        <v>--</v>
      </c>
      <c r="Y7" s="30">
        <f t="shared" si="5"/>
        <v>0</v>
      </c>
      <c r="Z7" s="29" t="b">
        <f t="shared" si="6"/>
        <v>1</v>
      </c>
      <c r="AA7" s="29" t="str">
        <f t="shared" si="7"/>
        <v xml:space="preserve"> </v>
      </c>
      <c r="AB7" s="29" t="str">
        <f t="shared" ca="1" si="8"/>
        <v>##</v>
      </c>
      <c r="AC7" s="29">
        <f t="shared" si="34"/>
        <v>4</v>
      </c>
      <c r="AD7" s="29">
        <f t="shared" ca="1" si="9"/>
        <v>0</v>
      </c>
      <c r="AE7" s="29">
        <v>4</v>
      </c>
      <c r="AF7" s="31" t="str">
        <f t="shared" si="10"/>
        <v xml:space="preserve"> </v>
      </c>
      <c r="AG7" s="29" t="str">
        <f t="shared" si="11"/>
        <v xml:space="preserve"> </v>
      </c>
      <c r="AH7" s="30" t="str">
        <f t="shared" si="12"/>
        <v>-</v>
      </c>
      <c r="AI7" s="30" t="str">
        <f t="shared" ca="1" si="13"/>
        <v/>
      </c>
      <c r="AJ7" s="29">
        <f t="shared" ca="1" si="14"/>
        <v>0</v>
      </c>
      <c r="AK7" s="29" t="str">
        <f t="shared" si="15"/>
        <v/>
      </c>
      <c r="AL7" s="29">
        <f t="shared" si="16"/>
        <v>0</v>
      </c>
      <c r="AM7" s="32" t="str">
        <f t="shared" ca="1" si="35"/>
        <v xml:space="preserve"> </v>
      </c>
      <c r="AO7" s="20">
        <f>Tools!$AD6</f>
        <v>1.5</v>
      </c>
      <c r="AP7" s="33">
        <f t="shared" si="36"/>
        <v>0</v>
      </c>
      <c r="AQ7" s="34" t="str">
        <f t="shared" ca="1" si="18"/>
        <v/>
      </c>
      <c r="AR7" s="23" t="str">
        <f t="shared" ca="1" si="19"/>
        <v xml:space="preserve">  </v>
      </c>
      <c r="AS7" s="24">
        <f t="shared" si="20"/>
        <v>-8.5</v>
      </c>
      <c r="AT7" s="23" t="str">
        <f t="shared" ca="1" si="37"/>
        <v xml:space="preserve">  </v>
      </c>
      <c r="AU7" s="23" t="str">
        <f t="shared" ref="AU7:AU28" ca="1" si="40">IFERROR(AT7*AS7,"  ")</f>
        <v xml:space="preserve">  </v>
      </c>
      <c r="AV7" s="23">
        <f t="shared" si="21"/>
        <v>0</v>
      </c>
      <c r="AW7" s="23" t="str">
        <f t="shared" ca="1" si="22"/>
        <v xml:space="preserve">  </v>
      </c>
      <c r="AY7" s="35">
        <f t="shared" si="23"/>
        <v>0</v>
      </c>
      <c r="AZ7" s="23" t="str">
        <f t="shared" ca="1" si="24"/>
        <v xml:space="preserve">  </v>
      </c>
      <c r="BA7" s="36">
        <f t="shared" si="25"/>
        <v>0</v>
      </c>
      <c r="BB7" s="27" t="str">
        <f t="shared" ca="1" si="38"/>
        <v xml:space="preserve">  </v>
      </c>
      <c r="BC7" s="23" t="str">
        <f t="shared" ca="1" si="39"/>
        <v xml:space="preserve">  </v>
      </c>
      <c r="BE7" s="8" t="s">
        <v>29</v>
      </c>
      <c r="BF7" s="9" t="s">
        <v>8</v>
      </c>
      <c r="BG7" s="10">
        <f>IF(MAX(AP4:AP28)=0," ",2*MAX(AP4:AP28))</f>
        <v>17.2</v>
      </c>
    </row>
    <row r="8" spans="1:60" x14ac:dyDescent="0.25">
      <c r="A8" s="20">
        <f>Tools!$AD7</f>
        <v>2</v>
      </c>
      <c r="B8" s="33">
        <f t="shared" si="0"/>
        <v>0</v>
      </c>
      <c r="C8" s="22">
        <f>IF(A8="  ","  ",IF(AND(A7="  ",A9="  "),"?",IF(A7="  ",1*(A9-A8),IF(A9="  ",1*(A8-A7),1*(A9-A7)))))</f>
        <v>1.5</v>
      </c>
      <c r="D8" s="23">
        <f t="shared" si="26"/>
        <v>0</v>
      </c>
      <c r="E8" s="24">
        <f t="shared" si="1"/>
        <v>-8</v>
      </c>
      <c r="F8" s="23">
        <f t="shared" si="27"/>
        <v>0</v>
      </c>
      <c r="G8" s="23">
        <f t="shared" si="28"/>
        <v>0</v>
      </c>
      <c r="H8" s="23">
        <f t="shared" si="29"/>
        <v>0</v>
      </c>
      <c r="I8" s="23">
        <f t="shared" si="30"/>
        <v>0</v>
      </c>
      <c r="J8" s="4"/>
      <c r="K8" s="37">
        <f t="shared" si="2"/>
        <v>0</v>
      </c>
      <c r="L8" s="23">
        <f t="shared" si="31"/>
        <v>0</v>
      </c>
      <c r="M8" s="38">
        <f t="shared" si="3"/>
        <v>0</v>
      </c>
      <c r="N8" s="27">
        <f t="shared" si="32"/>
        <v>0</v>
      </c>
      <c r="O8" s="23">
        <f t="shared" si="33"/>
        <v>0</v>
      </c>
      <c r="P8" s="4"/>
      <c r="Q8" s="42"/>
      <c r="R8" s="42"/>
      <c r="S8" s="42"/>
      <c r="W8" s="29">
        <f>IF(AO8="  ","  ",IF(AND(AO7="  ",AO9="  "),"?",IF(AO7="  ",1*(AO9-AO8),IF(AO9="  ",1*(AO8-AO7),1*(AO9-AO7)))))</f>
        <v>1.5</v>
      </c>
      <c r="X8" s="30" t="str">
        <f t="shared" si="4"/>
        <v>-W</v>
      </c>
      <c r="Y8" s="30" t="str">
        <f t="shared" si="5"/>
        <v>-</v>
      </c>
      <c r="Z8" s="29" t="b">
        <f t="shared" si="6"/>
        <v>1</v>
      </c>
      <c r="AA8" s="29" t="b">
        <f t="shared" si="7"/>
        <v>1</v>
      </c>
      <c r="AB8" s="29" t="str">
        <f t="shared" ca="1" si="8"/>
        <v>##</v>
      </c>
      <c r="AC8" s="29">
        <f t="shared" si="34"/>
        <v>5</v>
      </c>
      <c r="AD8" s="29">
        <f t="shared" ca="1" si="9"/>
        <v>1</v>
      </c>
      <c r="AE8" s="29">
        <v>5</v>
      </c>
      <c r="AF8" s="31">
        <f t="shared" si="10"/>
        <v>1</v>
      </c>
      <c r="AG8" s="29" t="b">
        <f t="shared" si="11"/>
        <v>1</v>
      </c>
      <c r="AH8" s="30" t="str">
        <f t="shared" si="12"/>
        <v>141-1</v>
      </c>
      <c r="AI8" s="30" t="str">
        <f t="shared" ca="1" si="13"/>
        <v/>
      </c>
      <c r="AJ8" s="29">
        <f t="shared" ca="1" si="14"/>
        <v>0</v>
      </c>
      <c r="AK8" s="29" t="str">
        <f t="shared" si="15"/>
        <v>1/3</v>
      </c>
      <c r="AL8" s="29">
        <f t="shared" si="16"/>
        <v>0.33333333333333331</v>
      </c>
      <c r="AM8" s="32">
        <f t="shared" ca="1" si="35"/>
        <v>0.33333333333333331</v>
      </c>
      <c r="AO8" s="20">
        <f>Tools!$AD7</f>
        <v>2</v>
      </c>
      <c r="AP8" s="33">
        <f t="shared" si="36"/>
        <v>0</v>
      </c>
      <c r="AQ8" s="34" t="str">
        <f t="shared" ca="1" si="18"/>
        <v>1/3</v>
      </c>
      <c r="AR8" s="23">
        <f t="shared" ca="1" si="19"/>
        <v>0</v>
      </c>
      <c r="AS8" s="24">
        <f t="shared" si="20"/>
        <v>-8</v>
      </c>
      <c r="AT8" s="23">
        <f t="shared" ca="1" si="37"/>
        <v>0</v>
      </c>
      <c r="AU8" s="23">
        <f t="shared" ca="1" si="40"/>
        <v>0</v>
      </c>
      <c r="AV8" s="23">
        <f t="shared" si="21"/>
        <v>0</v>
      </c>
      <c r="AW8" s="23">
        <f t="shared" ca="1" si="22"/>
        <v>0</v>
      </c>
      <c r="AY8" s="35">
        <f t="shared" si="23"/>
        <v>0</v>
      </c>
      <c r="AZ8" s="23">
        <f ca="1">IFERROR(AY8*AM8,"  ")</f>
        <v>0</v>
      </c>
      <c r="BA8" s="36">
        <f t="shared" si="25"/>
        <v>0</v>
      </c>
      <c r="BB8" s="27">
        <f t="shared" ca="1" si="38"/>
        <v>0</v>
      </c>
      <c r="BC8" s="23">
        <f t="shared" ca="1" si="39"/>
        <v>0</v>
      </c>
      <c r="BE8" s="8" t="s">
        <v>30</v>
      </c>
      <c r="BF8" s="9" t="s">
        <v>8</v>
      </c>
      <c r="BG8" s="10">
        <f ca="1">LBP-AJ33</f>
        <v>105.35999999999999</v>
      </c>
      <c r="BH8" t="str">
        <f ca="1">IF(AJ33&gt;0,CONCATENATE("(LWL is assumed between stations ",$AH$31," and ",$AH$33," as offset values extreme to these stations are zeros.)"),"")</f>
        <v>(LWL is assumed between stations 2 and 18 as offset values extreme to these stations are zeros.)</v>
      </c>
    </row>
    <row r="9" spans="1:60" x14ac:dyDescent="0.25">
      <c r="A9" s="20">
        <f>Tools!$AD8</f>
        <v>3</v>
      </c>
      <c r="B9" s="33">
        <f t="shared" si="0"/>
        <v>0.3</v>
      </c>
      <c r="C9" s="22">
        <f>IF(A9="  ","  ",IF(AND(A8="  ",A10="  "),"?",IF(A8="  ",2*(A10-A9),IF(A10="  ",2*(A9-A8),2*(A10-A8)))))</f>
        <v>4</v>
      </c>
      <c r="D9" s="23">
        <f t="shared" si="26"/>
        <v>1.2</v>
      </c>
      <c r="E9" s="24">
        <f t="shared" si="1"/>
        <v>-7</v>
      </c>
      <c r="F9" s="23">
        <f t="shared" si="27"/>
        <v>-8.4</v>
      </c>
      <c r="G9" s="23">
        <f t="shared" si="28"/>
        <v>58.800000000000004</v>
      </c>
      <c r="H9" s="23">
        <f t="shared" si="29"/>
        <v>2.7E-2</v>
      </c>
      <c r="I9" s="23">
        <f t="shared" si="30"/>
        <v>0.108</v>
      </c>
      <c r="J9" s="4"/>
      <c r="K9" s="37">
        <f t="shared" si="2"/>
        <v>0</v>
      </c>
      <c r="L9" s="23">
        <f t="shared" si="31"/>
        <v>0</v>
      </c>
      <c r="M9" s="38">
        <f t="shared" si="3"/>
        <v>0</v>
      </c>
      <c r="N9" s="27">
        <f t="shared" si="32"/>
        <v>0</v>
      </c>
      <c r="O9" s="23">
        <f t="shared" si="33"/>
        <v>0</v>
      </c>
      <c r="P9" s="4"/>
      <c r="Q9" s="43" t="s">
        <v>31</v>
      </c>
      <c r="R9" s="44" t="s">
        <v>32</v>
      </c>
      <c r="S9" s="506"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2</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0.3</v>
      </c>
      <c r="AQ9" s="34" t="str">
        <f t="shared" ca="1" si="18"/>
        <v>4/3</v>
      </c>
      <c r="AR9" s="23">
        <f t="shared" ca="1" si="19"/>
        <v>0.39999999999999997</v>
      </c>
      <c r="AS9" s="24">
        <f t="shared" si="20"/>
        <v>-7</v>
      </c>
      <c r="AT9" s="23">
        <f t="shared" ca="1" si="37"/>
        <v>-2.8</v>
      </c>
      <c r="AU9" s="23">
        <f t="shared" ca="1" si="40"/>
        <v>19.599999999999998</v>
      </c>
      <c r="AV9" s="23">
        <f t="shared" si="21"/>
        <v>2.7E-2</v>
      </c>
      <c r="AW9" s="23">
        <f t="shared" ca="1" si="22"/>
        <v>3.5999999999999997E-2</v>
      </c>
      <c r="AY9" s="35">
        <f t="shared" si="23"/>
        <v>0</v>
      </c>
      <c r="AZ9" s="23">
        <f t="shared" ref="AZ9:AZ28" ca="1" si="41">IFERROR(AY9*AM9,"  ")</f>
        <v>0</v>
      </c>
      <c r="BA9" s="36">
        <f t="shared" si="25"/>
        <v>0</v>
      </c>
      <c r="BB9" s="27">
        <f t="shared" ca="1" si="38"/>
        <v>0</v>
      </c>
      <c r="BC9" s="23">
        <f t="shared" ca="1" si="39"/>
        <v>0</v>
      </c>
    </row>
    <row r="10" spans="1:60" x14ac:dyDescent="0.25">
      <c r="A10" s="20">
        <f>Tools!$AD9</f>
        <v>4</v>
      </c>
      <c r="B10" s="33">
        <f t="shared" si="0"/>
        <v>1</v>
      </c>
      <c r="C10" s="22">
        <f>IF(A10="  ","  ",IF(AND(A9="  ",A11="  "),"?",IF(A9="  ",1*(A11-A10),IF(A11="  ",1*(A10-A9),1*(A11-A9)))))</f>
        <v>2</v>
      </c>
      <c r="D10" s="23">
        <f t="shared" si="26"/>
        <v>2</v>
      </c>
      <c r="E10" s="24">
        <f t="shared" si="1"/>
        <v>-6</v>
      </c>
      <c r="F10" s="23">
        <f t="shared" si="27"/>
        <v>-12</v>
      </c>
      <c r="G10" s="23">
        <f t="shared" si="28"/>
        <v>72</v>
      </c>
      <c r="H10" s="23">
        <f t="shared" si="29"/>
        <v>1</v>
      </c>
      <c r="I10" s="23">
        <f>IFERROR(H10*C10,"  ")</f>
        <v>2</v>
      </c>
      <c r="J10" s="4"/>
      <c r="K10" s="37">
        <f t="shared" si="2"/>
        <v>0</v>
      </c>
      <c r="L10" s="23">
        <f t="shared" si="31"/>
        <v>0</v>
      </c>
      <c r="M10" s="38">
        <f t="shared" si="3"/>
        <v>0</v>
      </c>
      <c r="N10" s="27">
        <f t="shared" si="32"/>
        <v>0</v>
      </c>
      <c r="O10" s="23">
        <f t="shared" si="33"/>
        <v>0</v>
      </c>
      <c r="P10" s="4"/>
      <c r="Q10" s="45"/>
      <c r="R10" s="46"/>
      <c r="S10" s="507"/>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3</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v>
      </c>
      <c r="AQ10" s="34" t="str">
        <f t="shared" ca="1" si="18"/>
        <v>2/3</v>
      </c>
      <c r="AR10" s="23">
        <f t="shared" ca="1" si="19"/>
        <v>0.66666666666666663</v>
      </c>
      <c r="AS10" s="24">
        <f t="shared" si="20"/>
        <v>-6</v>
      </c>
      <c r="AT10" s="23">
        <f t="shared" ca="1" si="37"/>
        <v>-4</v>
      </c>
      <c r="AU10" s="23">
        <f ca="1">IFERROR(AT10*AS10,"  ")</f>
        <v>24</v>
      </c>
      <c r="AV10" s="23">
        <f t="shared" si="21"/>
        <v>1</v>
      </c>
      <c r="AW10" s="23">
        <f t="shared" ca="1" si="22"/>
        <v>0.66666666666666663</v>
      </c>
      <c r="AY10" s="35">
        <f t="shared" si="23"/>
        <v>0</v>
      </c>
      <c r="AZ10" s="23">
        <f t="shared" ca="1" si="41"/>
        <v>0</v>
      </c>
      <c r="BA10" s="36">
        <f t="shared" si="25"/>
        <v>0</v>
      </c>
      <c r="BB10" s="27">
        <f t="shared" ca="1" si="38"/>
        <v>0</v>
      </c>
      <c r="BC10" s="23">
        <f t="shared" ca="1" si="39"/>
        <v>0</v>
      </c>
      <c r="BE10" s="43" t="s">
        <v>31</v>
      </c>
      <c r="BF10" s="44" t="s">
        <v>32</v>
      </c>
      <c r="BG10" s="506" t="s">
        <v>33</v>
      </c>
    </row>
    <row r="11" spans="1:60" x14ac:dyDescent="0.25">
      <c r="A11" s="20">
        <f>Tools!$AD10</f>
        <v>5</v>
      </c>
      <c r="B11" s="33">
        <f t="shared" si="0"/>
        <v>1.62</v>
      </c>
      <c r="C11" s="22">
        <f>IF(A11="  ","  ",IF(AND(A10="  ",A12="  "),"?",IF(A10="  ",2*(A12-A11),IF(A12="  ",2*(A11-A10),2*(A12-A10)))))</f>
        <v>4</v>
      </c>
      <c r="D11" s="23">
        <f t="shared" si="26"/>
        <v>6.48</v>
      </c>
      <c r="E11" s="24">
        <f t="shared" si="1"/>
        <v>-5</v>
      </c>
      <c r="F11" s="23">
        <f t="shared" si="27"/>
        <v>-32.400000000000006</v>
      </c>
      <c r="G11" s="23">
        <f t="shared" si="28"/>
        <v>162.00000000000003</v>
      </c>
      <c r="H11" s="23">
        <f t="shared" si="29"/>
        <v>4.2515280000000013</v>
      </c>
      <c r="I11" s="23">
        <f t="shared" si="30"/>
        <v>17.006112000000005</v>
      </c>
      <c r="J11" s="4"/>
      <c r="K11" s="37">
        <f t="shared" si="2"/>
        <v>0</v>
      </c>
      <c r="L11" s="23">
        <f t="shared" si="31"/>
        <v>0</v>
      </c>
      <c r="M11" s="38">
        <f t="shared" si="3"/>
        <v>0</v>
      </c>
      <c r="N11" s="27">
        <f t="shared" si="32"/>
        <v>0</v>
      </c>
      <c r="O11" s="23">
        <f t="shared" si="33"/>
        <v>0</v>
      </c>
      <c r="P11" s="4"/>
      <c r="Q11" s="47" t="s">
        <v>34</v>
      </c>
      <c r="R11" s="48" t="s">
        <v>35</v>
      </c>
      <c r="S11">
        <f>IF(Tools!$L$49="Use 141 rule only",I35,IF(Tools!$L$49="Use 141 and 1331 rules",BG12," "))</f>
        <v>859.8253999999996</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4</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1.62</v>
      </c>
      <c r="AQ11" s="34" t="str">
        <f t="shared" ca="1" si="18"/>
        <v>4/3</v>
      </c>
      <c r="AR11" s="23">
        <f t="shared" ca="1" si="19"/>
        <v>2.16</v>
      </c>
      <c r="AS11" s="24">
        <f t="shared" si="20"/>
        <v>-5</v>
      </c>
      <c r="AT11" s="23">
        <f t="shared" ca="1" si="37"/>
        <v>-10.8</v>
      </c>
      <c r="AU11" s="23">
        <f t="shared" ca="1" si="40"/>
        <v>54</v>
      </c>
      <c r="AV11" s="23">
        <f t="shared" si="21"/>
        <v>4.2515280000000013</v>
      </c>
      <c r="AW11" s="23">
        <f t="shared" ca="1" si="22"/>
        <v>5.6687040000000017</v>
      </c>
      <c r="AY11" s="35">
        <f t="shared" si="23"/>
        <v>0</v>
      </c>
      <c r="AZ11" s="23">
        <f t="shared" ca="1" si="41"/>
        <v>0</v>
      </c>
      <c r="BA11" s="36">
        <f t="shared" si="25"/>
        <v>0</v>
      </c>
      <c r="BB11" s="27">
        <f t="shared" ca="1" si="38"/>
        <v>0</v>
      </c>
      <c r="BC11" s="23">
        <f ca="1">IFERROR(AZ11*AS11,"  ")</f>
        <v>0</v>
      </c>
      <c r="BE11" s="45"/>
      <c r="BF11" s="46"/>
      <c r="BG11" s="507"/>
    </row>
    <row r="12" spans="1:60" x14ac:dyDescent="0.25">
      <c r="A12" s="20">
        <f>Tools!$AD11</f>
        <v>6</v>
      </c>
      <c r="B12" s="33">
        <f t="shared" si="0"/>
        <v>2.2000000000000002</v>
      </c>
      <c r="C12" s="22">
        <f>IF(A12="  ","  ",IF(AND(A11="  ",A13="  "),"?",IF(A11="  ",1*(A13-A12),IF(A13="  ",1*(A12-A11),1*(A13-A11)))))</f>
        <v>2</v>
      </c>
      <c r="D12" s="23">
        <f t="shared" si="26"/>
        <v>4.4000000000000004</v>
      </c>
      <c r="E12" s="24">
        <f t="shared" si="1"/>
        <v>-4</v>
      </c>
      <c r="F12" s="23">
        <f t="shared" si="27"/>
        <v>-17.600000000000001</v>
      </c>
      <c r="G12" s="23">
        <f t="shared" si="28"/>
        <v>70.400000000000006</v>
      </c>
      <c r="H12" s="23">
        <f t="shared" si="29"/>
        <v>10.648000000000003</v>
      </c>
      <c r="I12" s="23">
        <f t="shared" si="30"/>
        <v>21.296000000000006</v>
      </c>
      <c r="J12" s="4"/>
      <c r="K12" s="37">
        <f t="shared" si="2"/>
        <v>0</v>
      </c>
      <c r="L12" s="23">
        <f t="shared" si="31"/>
        <v>0</v>
      </c>
      <c r="M12" s="38">
        <f t="shared" si="3"/>
        <v>0</v>
      </c>
      <c r="N12" s="27">
        <f t="shared" si="32"/>
        <v>0</v>
      </c>
      <c r="O12" s="23">
        <f t="shared" si="33"/>
        <v>0</v>
      </c>
      <c r="P12" s="4"/>
      <c r="Q12" s="47" t="s">
        <v>36</v>
      </c>
      <c r="R12" s="48" t="s">
        <v>37</v>
      </c>
      <c r="S12">
        <f>IF(Tools!$L$49="Use 141 rule only",I36,IF(Tools!$L$49="Use 141 and 1331 rules",BG13," "))</f>
        <v>4119.989537999998</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5</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2.2000000000000002</v>
      </c>
      <c r="AQ12" s="34" t="str">
        <f t="shared" ca="1" si="18"/>
        <v>2/3</v>
      </c>
      <c r="AR12" s="23">
        <f t="shared" ca="1" si="19"/>
        <v>1.4666666666666668</v>
      </c>
      <c r="AS12" s="24">
        <f t="shared" si="20"/>
        <v>-4</v>
      </c>
      <c r="AT12" s="23">
        <f t="shared" ca="1" si="37"/>
        <v>-5.8666666666666671</v>
      </c>
      <c r="AU12" s="23">
        <f t="shared" ca="1" si="40"/>
        <v>23.466666666666669</v>
      </c>
      <c r="AV12" s="23">
        <f t="shared" si="21"/>
        <v>10.648000000000003</v>
      </c>
      <c r="AW12" s="23">
        <f t="shared" ca="1" si="22"/>
        <v>7.0986666666666682</v>
      </c>
      <c r="AY12" s="35">
        <f t="shared" si="23"/>
        <v>0</v>
      </c>
      <c r="AZ12" s="23">
        <f t="shared" ca="1" si="41"/>
        <v>0</v>
      </c>
      <c r="BA12" s="36">
        <f t="shared" si="25"/>
        <v>0</v>
      </c>
      <c r="BB12" s="27">
        <f t="shared" ca="1" si="38"/>
        <v>0</v>
      </c>
      <c r="BC12" s="23">
        <f t="shared" ca="1" si="39"/>
        <v>0</v>
      </c>
      <c r="BE12" s="47" t="s">
        <v>34</v>
      </c>
      <c r="BF12" s="48" t="s">
        <v>38</v>
      </c>
      <c r="BG12" s="49">
        <f ca="1">IF(WL_No="  ","  ",2*h*$AR$29)</f>
        <v>859.82539999999983</v>
      </c>
    </row>
    <row r="13" spans="1:60" x14ac:dyDescent="0.25">
      <c r="A13" s="20">
        <f>Tools!$AD12</f>
        <v>7</v>
      </c>
      <c r="B13" s="33">
        <f t="shared" si="0"/>
        <v>3.71</v>
      </c>
      <c r="C13" s="22">
        <f>IF(A13="  ","  ",IF(AND(A12="  ",A14="  "),"?",IF(A12="  ",2*(A14-A13),IF(A14="  ",2*(A13-A12),2*(A14-A12)))))</f>
        <v>4</v>
      </c>
      <c r="D13" s="23">
        <f t="shared" si="26"/>
        <v>14.84</v>
      </c>
      <c r="E13" s="24">
        <f t="shared" si="1"/>
        <v>-3</v>
      </c>
      <c r="F13" s="23">
        <f t="shared" si="27"/>
        <v>-44.519999999999996</v>
      </c>
      <c r="G13" s="23">
        <f t="shared" si="28"/>
        <v>133.56</v>
      </c>
      <c r="H13" s="23">
        <f t="shared" si="29"/>
        <v>51.064810999999999</v>
      </c>
      <c r="I13" s="23">
        <f t="shared" si="30"/>
        <v>204.259244</v>
      </c>
      <c r="J13" s="4"/>
      <c r="K13" s="37">
        <f t="shared" si="2"/>
        <v>0</v>
      </c>
      <c r="L13" s="23">
        <f t="shared" si="31"/>
        <v>0</v>
      </c>
      <c r="M13" s="38">
        <f t="shared" si="3"/>
        <v>0</v>
      </c>
      <c r="N13" s="27">
        <f t="shared" si="32"/>
        <v>0</v>
      </c>
      <c r="O13" s="23">
        <f t="shared" si="33"/>
        <v>0</v>
      </c>
      <c r="P13" s="4"/>
      <c r="Q13" s="50" t="s">
        <v>39</v>
      </c>
      <c r="R13" s="48" t="s">
        <v>40</v>
      </c>
      <c r="S13">
        <f>IF(Tools!$L$49="Use 141 rule only",I37,IF(Tools!$L$49="Use 141 and 1331 rules",BG14," "))</f>
        <v>4.7916583273766973</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6</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3.71</v>
      </c>
      <c r="AQ13" s="34" t="str">
        <f t="shared" ca="1" si="18"/>
        <v>4/3</v>
      </c>
      <c r="AR13" s="23">
        <f t="shared" ca="1" si="19"/>
        <v>4.9466666666666663</v>
      </c>
      <c r="AS13" s="24">
        <f t="shared" si="20"/>
        <v>-3</v>
      </c>
      <c r="AT13" s="23">
        <f t="shared" ca="1" si="37"/>
        <v>-14.84</v>
      </c>
      <c r="AU13" s="23">
        <f t="shared" ca="1" si="40"/>
        <v>44.519999999999996</v>
      </c>
      <c r="AV13" s="23">
        <f t="shared" si="21"/>
        <v>51.064810999999999</v>
      </c>
      <c r="AW13" s="23">
        <f t="shared" ca="1" si="22"/>
        <v>68.086414666666656</v>
      </c>
      <c r="AY13" s="35">
        <f t="shared" si="23"/>
        <v>0</v>
      </c>
      <c r="AZ13" s="23">
        <f t="shared" ca="1" si="41"/>
        <v>0</v>
      </c>
      <c r="BA13" s="36">
        <f t="shared" si="25"/>
        <v>0</v>
      </c>
      <c r="BB13" s="27">
        <f t="shared" ca="1" si="38"/>
        <v>0</v>
      </c>
      <c r="BC13" s="23">
        <f t="shared" ca="1" si="39"/>
        <v>0</v>
      </c>
      <c r="BE13" s="47" t="s">
        <v>36</v>
      </c>
      <c r="BF13" s="48" t="s">
        <v>41</v>
      </c>
      <c r="BG13" s="49">
        <f ca="1">IF(WL_No="  ","  ",2*(h^2)*$AT$29)</f>
        <v>4119.989537999998</v>
      </c>
    </row>
    <row r="14" spans="1:60" x14ac:dyDescent="0.25">
      <c r="A14" s="20">
        <f>Tools!$AD13</f>
        <v>8</v>
      </c>
      <c r="B14" s="33">
        <f t="shared" si="0"/>
        <v>5.9</v>
      </c>
      <c r="C14" s="22">
        <f>IF(A14="  ","  ",IF(AND(A13="  ",A15="  "),"?",IF(A13="  ",1*(A15-A14),IF(A15="  ",1*(A14-A13),1*(A15-A13)))))</f>
        <v>2</v>
      </c>
      <c r="D14" s="23">
        <f t="shared" si="26"/>
        <v>11.8</v>
      </c>
      <c r="E14" s="24">
        <f t="shared" si="1"/>
        <v>-2</v>
      </c>
      <c r="F14" s="23">
        <f t="shared" si="27"/>
        <v>-23.6</v>
      </c>
      <c r="G14" s="23">
        <f t="shared" si="28"/>
        <v>47.2</v>
      </c>
      <c r="H14" s="23">
        <f t="shared" si="29"/>
        <v>205.37900000000002</v>
      </c>
      <c r="I14" s="23">
        <f t="shared" si="30"/>
        <v>410.75800000000004</v>
      </c>
      <c r="J14" s="4"/>
      <c r="K14" s="37">
        <f t="shared" si="2"/>
        <v>0</v>
      </c>
      <c r="L14" s="23">
        <f t="shared" si="31"/>
        <v>0</v>
      </c>
      <c r="M14" s="38">
        <f t="shared" si="3"/>
        <v>0</v>
      </c>
      <c r="N14" s="27">
        <f t="shared" si="32"/>
        <v>0</v>
      </c>
      <c r="O14" s="23">
        <f t="shared" si="33"/>
        <v>0</v>
      </c>
      <c r="P14" s="4"/>
      <c r="Q14" s="50" t="s">
        <v>42</v>
      </c>
      <c r="R14" s="48" t="s">
        <v>43</v>
      </c>
      <c r="S14">
        <f>IF(Tools!$L$49="Use 141 rule only",I38,IF(Tools!$L$49="Use 141 and 1331 rules",BG15," "))</f>
        <v>333054.14949539979</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7</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5.9</v>
      </c>
      <c r="AQ14" s="34" t="str">
        <f t="shared" ca="1" si="18"/>
        <v>2/3</v>
      </c>
      <c r="AR14" s="23">
        <f t="shared" ca="1" si="19"/>
        <v>3.9333333333333336</v>
      </c>
      <c r="AS14" s="24">
        <f t="shared" si="20"/>
        <v>-2</v>
      </c>
      <c r="AT14" s="23">
        <f t="shared" ca="1" si="37"/>
        <v>-7.8666666666666671</v>
      </c>
      <c r="AU14" s="23">
        <f t="shared" ca="1" si="40"/>
        <v>15.733333333333334</v>
      </c>
      <c r="AV14" s="23">
        <f t="shared" si="21"/>
        <v>205.37900000000002</v>
      </c>
      <c r="AW14" s="23">
        <f t="shared" ca="1" si="22"/>
        <v>136.91933333333333</v>
      </c>
      <c r="AY14" s="35">
        <f t="shared" si="23"/>
        <v>0</v>
      </c>
      <c r="AZ14" s="23">
        <f t="shared" ca="1" si="41"/>
        <v>0</v>
      </c>
      <c r="BA14" s="36">
        <f t="shared" si="25"/>
        <v>0</v>
      </c>
      <c r="BB14" s="27">
        <f t="shared" ca="1" si="38"/>
        <v>0</v>
      </c>
      <c r="BC14" s="23">
        <f t="shared" ca="1" si="39"/>
        <v>0</v>
      </c>
      <c r="BE14" s="50" t="s">
        <v>39</v>
      </c>
      <c r="BF14" s="48" t="s">
        <v>40</v>
      </c>
      <c r="BG14" s="49">
        <f>IF(WL_No="  ","  ",Mmid/AWP)</f>
        <v>4.7916583273766973</v>
      </c>
    </row>
    <row r="15" spans="1:60" x14ac:dyDescent="0.25">
      <c r="A15" s="20">
        <f>Tools!$AD14</f>
        <v>9</v>
      </c>
      <c r="B15" s="33">
        <f t="shared" si="0"/>
        <v>7.2</v>
      </c>
      <c r="C15" s="22">
        <f>IF(A15="  ","  ",IF(AND(A14="  ",A16="  "),"?",IF(A14="  ",2*(A16-A15),IF(A16="  ",2*(A15-A14),2*(A16-A14)))))</f>
        <v>4</v>
      </c>
      <c r="D15" s="23">
        <f t="shared" si="26"/>
        <v>28.8</v>
      </c>
      <c r="E15" s="24">
        <f t="shared" si="1"/>
        <v>-1</v>
      </c>
      <c r="F15" s="23">
        <f t="shared" si="27"/>
        <v>-28.8</v>
      </c>
      <c r="G15" s="23">
        <f t="shared" si="28"/>
        <v>28.8</v>
      </c>
      <c r="H15" s="23">
        <f t="shared" si="29"/>
        <v>373.24800000000005</v>
      </c>
      <c r="I15" s="23">
        <f t="shared" si="30"/>
        <v>1492.9920000000002</v>
      </c>
      <c r="J15" s="4"/>
      <c r="K15" s="37">
        <f t="shared" si="2"/>
        <v>0</v>
      </c>
      <c r="L15" s="23">
        <f t="shared" si="31"/>
        <v>0</v>
      </c>
      <c r="M15" s="38">
        <f t="shared" si="3"/>
        <v>0</v>
      </c>
      <c r="N15" s="27">
        <f t="shared" si="32"/>
        <v>0</v>
      </c>
      <c r="O15" s="23">
        <f t="shared" si="33"/>
        <v>0</v>
      </c>
      <c r="P15" s="4"/>
      <c r="Q15" s="51" t="s">
        <v>44</v>
      </c>
      <c r="R15" s="48" t="s">
        <v>45</v>
      </c>
      <c r="S15">
        <f>IF(Tools!$L$49="Use 141 rule only",I39,IF(Tools!$L$49="Use 141 and 1331 rules",BG16," "))</f>
        <v>12489.446398926664</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8</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7.2</v>
      </c>
      <c r="AQ15" s="34" t="str">
        <f t="shared" ca="1" si="18"/>
        <v>4/3</v>
      </c>
      <c r="AR15" s="23">
        <f t="shared" ca="1" si="19"/>
        <v>9.6</v>
      </c>
      <c r="AS15" s="24">
        <f t="shared" si="20"/>
        <v>-1</v>
      </c>
      <c r="AT15" s="23">
        <f t="shared" ca="1" si="37"/>
        <v>-9.6</v>
      </c>
      <c r="AU15" s="23">
        <f t="shared" ca="1" si="40"/>
        <v>9.6</v>
      </c>
      <c r="AV15" s="23">
        <f t="shared" si="21"/>
        <v>373.24800000000005</v>
      </c>
      <c r="AW15" s="23">
        <f t="shared" ca="1" si="22"/>
        <v>497.66400000000004</v>
      </c>
      <c r="AY15" s="35">
        <f t="shared" si="23"/>
        <v>0</v>
      </c>
      <c r="AZ15" s="23">
        <f t="shared" ca="1" si="41"/>
        <v>0</v>
      </c>
      <c r="BA15" s="36">
        <f t="shared" si="25"/>
        <v>0</v>
      </c>
      <c r="BB15" s="27">
        <f ca="1">IFERROR(BA15*AM15,"  ")</f>
        <v>0</v>
      </c>
      <c r="BC15" s="23">
        <f t="shared" ca="1" si="39"/>
        <v>0</v>
      </c>
      <c r="BE15" s="50" t="s">
        <v>42</v>
      </c>
      <c r="BF15" s="48" t="s">
        <v>46</v>
      </c>
      <c r="BG15" s="49">
        <f ca="1">IF(WL_No="  ","  ",2*(h^3)*$AU$29)</f>
        <v>333054.14949539991</v>
      </c>
    </row>
    <row r="16" spans="1:60" x14ac:dyDescent="0.25">
      <c r="A16" s="20">
        <f>Tools!$AD15</f>
        <v>10</v>
      </c>
      <c r="B16" s="33">
        <f t="shared" si="0"/>
        <v>8.25</v>
      </c>
      <c r="C16" s="22">
        <f>IF(A16="  ","  ",IF(AND(A15="  ",A17="  "),"?",IF(A15="  ",1*(A17-A16),IF(A17="  ",1*(A16-A15),1*(A17-A15)))))</f>
        <v>2</v>
      </c>
      <c r="D16" s="23">
        <f t="shared" si="26"/>
        <v>16.5</v>
      </c>
      <c r="E16" s="24">
        <f t="shared" si="1"/>
        <v>0</v>
      </c>
      <c r="F16" s="23">
        <f t="shared" si="27"/>
        <v>0</v>
      </c>
      <c r="G16" s="23">
        <f t="shared" si="28"/>
        <v>0</v>
      </c>
      <c r="H16" s="23">
        <f t="shared" si="29"/>
        <v>561.515625</v>
      </c>
      <c r="I16" s="23">
        <f t="shared" si="30"/>
        <v>1123.03125</v>
      </c>
      <c r="J16" s="4"/>
      <c r="K16" s="37">
        <f t="shared" si="2"/>
        <v>0</v>
      </c>
      <c r="L16" s="23">
        <f t="shared" si="31"/>
        <v>0</v>
      </c>
      <c r="M16" s="38">
        <f t="shared" si="3"/>
        <v>0</v>
      </c>
      <c r="N16" s="27">
        <f t="shared" si="32"/>
        <v>0</v>
      </c>
      <c r="O16" s="23">
        <f t="shared" si="33"/>
        <v>0</v>
      </c>
      <c r="P16" s="4"/>
      <c r="Q16" s="50" t="s">
        <v>47</v>
      </c>
      <c r="R16" s="48" t="s">
        <v>48</v>
      </c>
      <c r="S16">
        <f>IF(Tools!$L$49="Use 141 rule only",I40,IF(Tools!$L$49="Use 141 and 1331 rules",BG17," "))</f>
        <v>313312.5673169372</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9</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8.25</v>
      </c>
      <c r="AQ16" s="34" t="str">
        <f t="shared" ca="1" si="18"/>
        <v>2/3</v>
      </c>
      <c r="AR16" s="23">
        <f t="shared" ca="1" si="19"/>
        <v>5.5</v>
      </c>
      <c r="AS16" s="24">
        <f t="shared" si="20"/>
        <v>0</v>
      </c>
      <c r="AT16" s="23">
        <f t="shared" ca="1" si="37"/>
        <v>0</v>
      </c>
      <c r="AU16" s="23">
        <f t="shared" ca="1" si="40"/>
        <v>0</v>
      </c>
      <c r="AV16" s="23">
        <f t="shared" si="21"/>
        <v>561.515625</v>
      </c>
      <c r="AW16" s="23">
        <f t="shared" ca="1" si="22"/>
        <v>374.34375</v>
      </c>
      <c r="AY16" s="35">
        <f t="shared" si="23"/>
        <v>0</v>
      </c>
      <c r="AZ16" s="23">
        <f t="shared" ca="1" si="41"/>
        <v>0</v>
      </c>
      <c r="BA16" s="36">
        <f t="shared" si="25"/>
        <v>0</v>
      </c>
      <c r="BB16" s="27">
        <f t="shared" ca="1" si="38"/>
        <v>0</v>
      </c>
      <c r="BC16" s="23">
        <f ca="1">IFERROR(AZ16*AS16,"  ")</f>
        <v>0</v>
      </c>
      <c r="BE16" s="51" t="s">
        <v>44</v>
      </c>
      <c r="BF16" s="48" t="s">
        <v>49</v>
      </c>
      <c r="BG16" s="49">
        <f ca="1">IF(WL_No="  ","  ",2/3*h*$AW$29)</f>
        <v>12489.446398926661</v>
      </c>
    </row>
    <row r="17" spans="1:59" x14ac:dyDescent="0.25">
      <c r="A17" s="20">
        <f>Tools!$AD16</f>
        <v>11</v>
      </c>
      <c r="B17" s="33">
        <f t="shared" si="0"/>
        <v>8.6</v>
      </c>
      <c r="C17" s="22">
        <f>IF(A17="  ","  ",IF(AND(A16="  ",A18="  "),"?",IF(A16="  ",2*(A18-A17),IF(A18="  ",2*(A17-A16),2*(A18-A16)))))</f>
        <v>4</v>
      </c>
      <c r="D17" s="23">
        <f t="shared" si="26"/>
        <v>34.4</v>
      </c>
      <c r="E17" s="24">
        <f t="shared" si="1"/>
        <v>1</v>
      </c>
      <c r="F17" s="23">
        <f t="shared" si="27"/>
        <v>34.4</v>
      </c>
      <c r="G17" s="23">
        <f t="shared" si="28"/>
        <v>34.4</v>
      </c>
      <c r="H17" s="23">
        <f t="shared" si="29"/>
        <v>636.05599999999993</v>
      </c>
      <c r="I17" s="23">
        <f t="shared" si="30"/>
        <v>2544.2239999999997</v>
      </c>
      <c r="J17" s="4"/>
      <c r="K17" s="37">
        <f t="shared" si="2"/>
        <v>0</v>
      </c>
      <c r="L17" s="23">
        <f t="shared" si="31"/>
        <v>0</v>
      </c>
      <c r="M17" s="38">
        <f t="shared" si="3"/>
        <v>0</v>
      </c>
      <c r="N17" s="27">
        <f t="shared" si="32"/>
        <v>0</v>
      </c>
      <c r="O17" s="23">
        <f t="shared" si="33"/>
        <v>0</v>
      </c>
      <c r="P17" s="4"/>
      <c r="Q17" s="50" t="s">
        <v>50</v>
      </c>
      <c r="R17" s="48" t="s">
        <v>51</v>
      </c>
      <c r="S17">
        <f>IF(Tools!$L$49="Use 141 rule only",I41,IF(Tools!$L$49="Use 141 and 1331 rules",BG18," "))</f>
        <v>0</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8</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8.6</v>
      </c>
      <c r="AQ17" s="34" t="str">
        <f t="shared" ca="1" si="18"/>
        <v>4/3</v>
      </c>
      <c r="AR17" s="23">
        <f t="shared" ca="1" si="19"/>
        <v>11.466666666666665</v>
      </c>
      <c r="AS17" s="24">
        <f t="shared" si="20"/>
        <v>1</v>
      </c>
      <c r="AT17" s="23">
        <f t="shared" ca="1" si="37"/>
        <v>11.466666666666665</v>
      </c>
      <c r="AU17" s="23">
        <f t="shared" ca="1" si="40"/>
        <v>11.466666666666665</v>
      </c>
      <c r="AV17" s="23">
        <f t="shared" si="21"/>
        <v>636.05599999999993</v>
      </c>
      <c r="AW17" s="23">
        <f t="shared" ca="1" si="22"/>
        <v>848.07466666666653</v>
      </c>
      <c r="AY17" s="35">
        <f t="shared" si="23"/>
        <v>0</v>
      </c>
      <c r="AZ17" s="23">
        <f t="shared" ca="1" si="41"/>
        <v>0</v>
      </c>
      <c r="BA17" s="36">
        <f t="shared" si="25"/>
        <v>0</v>
      </c>
      <c r="BB17" s="27">
        <f t="shared" ca="1" si="38"/>
        <v>0</v>
      </c>
      <c r="BC17" s="23">
        <f t="shared" ca="1" si="39"/>
        <v>0</v>
      </c>
      <c r="BE17" s="50" t="s">
        <v>47</v>
      </c>
      <c r="BF17" s="48" t="s">
        <v>48</v>
      </c>
      <c r="BG17" s="49">
        <f>IF(WL_No="  ","  ",IL-AWP*(LCF^2))</f>
        <v>313312.5673169372</v>
      </c>
    </row>
    <row r="18" spans="1:59" x14ac:dyDescent="0.25">
      <c r="A18" s="20">
        <f>Tools!$AD17</f>
        <v>12</v>
      </c>
      <c r="B18" s="33">
        <f t="shared" si="0"/>
        <v>7.85</v>
      </c>
      <c r="C18" s="22">
        <f>IF(A18="  ","  ",IF(AND(A17="  ",A19="  "),"?",IF(A17="  ",1*(A19-A18),IF(A19="  ",1*(A18-A17),1*(A19-A17)))))</f>
        <v>2</v>
      </c>
      <c r="D18" s="23">
        <f t="shared" si="26"/>
        <v>15.7</v>
      </c>
      <c r="E18" s="24">
        <f t="shared" si="1"/>
        <v>2</v>
      </c>
      <c r="F18" s="23">
        <f t="shared" si="27"/>
        <v>31.4</v>
      </c>
      <c r="G18" s="23">
        <f t="shared" si="28"/>
        <v>62.8</v>
      </c>
      <c r="H18" s="23">
        <f t="shared" si="29"/>
        <v>483.73662499999995</v>
      </c>
      <c r="I18" s="23">
        <f t="shared" si="30"/>
        <v>967.47324999999989</v>
      </c>
      <c r="J18" s="4"/>
      <c r="K18" s="37">
        <f t="shared" si="2"/>
        <v>0</v>
      </c>
      <c r="L18" s="23">
        <f t="shared" si="31"/>
        <v>0</v>
      </c>
      <c r="M18" s="38">
        <f t="shared" si="3"/>
        <v>0</v>
      </c>
      <c r="N18" s="27">
        <f t="shared" si="32"/>
        <v>0</v>
      </c>
      <c r="O18" s="23">
        <f t="shared" si="33"/>
        <v>0</v>
      </c>
      <c r="P18" s="4"/>
      <c r="Q18" s="50" t="s">
        <v>52</v>
      </c>
      <c r="R18" s="48" t="s">
        <v>53</v>
      </c>
      <c r="S18">
        <f>IF(Tools!$L$49="Use 141 rule only",I42,IF(Tools!$L$49="Use 141 and 1331 rules",BG19," "))</f>
        <v>0</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7</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7.85</v>
      </c>
      <c r="AQ18" s="34" t="str">
        <f t="shared" ca="1" si="18"/>
        <v>2/3</v>
      </c>
      <c r="AR18" s="23">
        <f t="shared" ca="1" si="19"/>
        <v>5.2333333333333325</v>
      </c>
      <c r="AS18" s="24">
        <f t="shared" si="20"/>
        <v>2</v>
      </c>
      <c r="AT18" s="23">
        <f t="shared" ca="1" si="37"/>
        <v>10.466666666666665</v>
      </c>
      <c r="AU18" s="23">
        <f t="shared" ca="1" si="40"/>
        <v>20.93333333333333</v>
      </c>
      <c r="AV18" s="23">
        <f t="shared" si="21"/>
        <v>483.73662499999995</v>
      </c>
      <c r="AW18" s="23">
        <f t="shared" ca="1" si="22"/>
        <v>322.49108333333328</v>
      </c>
      <c r="AY18" s="35">
        <f t="shared" si="23"/>
        <v>0</v>
      </c>
      <c r="AZ18" s="23">
        <f t="shared" ca="1" si="41"/>
        <v>0</v>
      </c>
      <c r="BA18" s="36">
        <f t="shared" si="25"/>
        <v>0</v>
      </c>
      <c r="BB18" s="27">
        <f t="shared" ca="1" si="38"/>
        <v>0</v>
      </c>
      <c r="BC18" s="23">
        <f t="shared" ca="1" si="39"/>
        <v>0</v>
      </c>
      <c r="BE18" s="50" t="s">
        <v>50</v>
      </c>
      <c r="BF18" s="48" t="s">
        <v>54</v>
      </c>
      <c r="BG18" s="49">
        <f ca="1">IF(WL_No="  ","  ",h*$AZ$29)</f>
        <v>0</v>
      </c>
    </row>
    <row r="19" spans="1:59" x14ac:dyDescent="0.25">
      <c r="A19" s="20">
        <f>Tools!$AD18</f>
        <v>13</v>
      </c>
      <c r="B19" s="33">
        <f t="shared" si="0"/>
        <v>6.7</v>
      </c>
      <c r="C19" s="22">
        <f>IF(A19="  ","  ",IF(AND(A18="  ",A20="  "),"?",IF(A18="  ",2*(A20-A19),IF(A20="  ",2*(A19-A18),2*(A20-A18)))))</f>
        <v>4</v>
      </c>
      <c r="D19" s="23">
        <f t="shared" si="26"/>
        <v>26.8</v>
      </c>
      <c r="E19" s="24">
        <f t="shared" si="1"/>
        <v>3</v>
      </c>
      <c r="F19" s="23">
        <f t="shared" si="27"/>
        <v>80.400000000000006</v>
      </c>
      <c r="G19" s="23">
        <f t="shared" si="28"/>
        <v>241.20000000000002</v>
      </c>
      <c r="H19" s="23">
        <f t="shared" si="29"/>
        <v>300.76300000000003</v>
      </c>
      <c r="I19" s="23">
        <f t="shared" si="30"/>
        <v>1203.0520000000001</v>
      </c>
      <c r="J19" s="4"/>
      <c r="K19" s="37">
        <f t="shared" si="2"/>
        <v>0</v>
      </c>
      <c r="L19" s="23">
        <f t="shared" si="31"/>
        <v>0</v>
      </c>
      <c r="M19" s="38">
        <f t="shared" si="3"/>
        <v>0</v>
      </c>
      <c r="N19" s="27">
        <f t="shared" si="32"/>
        <v>0</v>
      </c>
      <c r="O19" s="23">
        <f t="shared" si="33"/>
        <v>0</v>
      </c>
      <c r="P19" s="4"/>
      <c r="Q19" s="50" t="s">
        <v>55</v>
      </c>
      <c r="R19" s="48" t="s">
        <v>56</v>
      </c>
      <c r="S19">
        <f>IF(Tools!$L$49="Use 141 rule only",I43,IF(Tools!$L$49="Use 141 and 1331 rules",BG20," "))</f>
        <v>0</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6</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6.7</v>
      </c>
      <c r="AQ19" s="34" t="str">
        <f t="shared" ca="1" si="18"/>
        <v>4/3</v>
      </c>
      <c r="AR19" s="23">
        <f t="shared" ca="1" si="19"/>
        <v>8.9333333333333336</v>
      </c>
      <c r="AS19" s="24">
        <f t="shared" si="20"/>
        <v>3</v>
      </c>
      <c r="AT19" s="23">
        <f t="shared" ca="1" si="37"/>
        <v>26.8</v>
      </c>
      <c r="AU19" s="23">
        <f t="shared" ca="1" si="40"/>
        <v>80.400000000000006</v>
      </c>
      <c r="AV19" s="23">
        <f t="shared" si="21"/>
        <v>300.76300000000003</v>
      </c>
      <c r="AW19" s="23">
        <f t="shared" ca="1" si="22"/>
        <v>401.01733333333334</v>
      </c>
      <c r="AY19" s="35">
        <f t="shared" si="23"/>
        <v>0</v>
      </c>
      <c r="AZ19" s="23">
        <f t="shared" ca="1" si="41"/>
        <v>0</v>
      </c>
      <c r="BA19" s="36">
        <f t="shared" si="25"/>
        <v>0</v>
      </c>
      <c r="BB19" s="27">
        <f t="shared" ca="1" si="38"/>
        <v>0</v>
      </c>
      <c r="BC19" s="23">
        <f t="shared" ca="1" si="39"/>
        <v>0</v>
      </c>
      <c r="BE19" s="50" t="s">
        <v>52</v>
      </c>
      <c r="BF19" s="48" t="s">
        <v>53</v>
      </c>
      <c r="BG19" s="49">
        <f>IF(WL_No="  ","  ",V_Disp*1.025*1.006)</f>
        <v>0</v>
      </c>
    </row>
    <row r="20" spans="1:59" x14ac:dyDescent="0.25">
      <c r="A20" s="20">
        <f>Tools!$AD19</f>
        <v>14</v>
      </c>
      <c r="B20" s="33">
        <f t="shared" si="0"/>
        <v>5.35</v>
      </c>
      <c r="C20" s="22">
        <f>IF(A20="  ","  ",IF(AND(A19="  ",A21="  "),"?",IF(A19="  ",1*(A21-A20),IF(A21="  ",1*(A20-A19),1*(A21-A19)))))</f>
        <v>2</v>
      </c>
      <c r="D20" s="23">
        <f t="shared" si="26"/>
        <v>10.7</v>
      </c>
      <c r="E20" s="24">
        <f t="shared" si="1"/>
        <v>4</v>
      </c>
      <c r="F20" s="23">
        <f t="shared" si="27"/>
        <v>42.8</v>
      </c>
      <c r="G20" s="23">
        <f t="shared" si="28"/>
        <v>171.2</v>
      </c>
      <c r="H20" s="23">
        <f t="shared" si="29"/>
        <v>153.13037499999996</v>
      </c>
      <c r="I20" s="23">
        <f t="shared" si="30"/>
        <v>306.26074999999992</v>
      </c>
      <c r="J20" s="4"/>
      <c r="K20" s="37">
        <f t="shared" si="2"/>
        <v>0</v>
      </c>
      <c r="L20" s="23">
        <f t="shared" si="31"/>
        <v>0</v>
      </c>
      <c r="M20" s="38">
        <f t="shared" si="3"/>
        <v>0</v>
      </c>
      <c r="N20" s="27">
        <f t="shared" si="32"/>
        <v>0</v>
      </c>
      <c r="O20" s="23">
        <f t="shared" si="33"/>
        <v>0</v>
      </c>
      <c r="P20" s="4"/>
      <c r="Q20" s="50" t="s">
        <v>57</v>
      </c>
      <c r="R20" s="48" t="s">
        <v>58</v>
      </c>
      <c r="S20">
        <f>IF(Tools!$L$49="Use 141 rule only",I44,IF(Tools!$L$49="Use 141 and 1331 rules",BG21," "))</f>
        <v>0</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5</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5.35</v>
      </c>
      <c r="AQ20" s="34" t="str">
        <f t="shared" ca="1" si="18"/>
        <v>2/3</v>
      </c>
      <c r="AR20" s="23">
        <f t="shared" ca="1" si="19"/>
        <v>3.5666666666666664</v>
      </c>
      <c r="AS20" s="24">
        <f t="shared" si="20"/>
        <v>4</v>
      </c>
      <c r="AT20" s="23">
        <f t="shared" ca="1" si="37"/>
        <v>14.266666666666666</v>
      </c>
      <c r="AU20" s="23">
        <f t="shared" ca="1" si="40"/>
        <v>57.066666666666663</v>
      </c>
      <c r="AV20" s="23">
        <f t="shared" si="21"/>
        <v>153.13037499999996</v>
      </c>
      <c r="AW20" s="23">
        <f t="shared" ca="1" si="22"/>
        <v>102.08691666666664</v>
      </c>
      <c r="AY20" s="35">
        <f t="shared" si="23"/>
        <v>0</v>
      </c>
      <c r="AZ20" s="23">
        <f t="shared" ca="1" si="41"/>
        <v>0</v>
      </c>
      <c r="BA20" s="36">
        <f t="shared" si="25"/>
        <v>0</v>
      </c>
      <c r="BB20" s="27">
        <f t="shared" ca="1" si="38"/>
        <v>0</v>
      </c>
      <c r="BC20" s="23">
        <f t="shared" ca="1" si="39"/>
        <v>0</v>
      </c>
      <c r="BE20" s="50" t="s">
        <v>55</v>
      </c>
      <c r="BF20" s="48" t="s">
        <v>59</v>
      </c>
      <c r="BG20" s="49">
        <f ca="1">IF(WL_No="  ","  ",h*$BB$29)</f>
        <v>0</v>
      </c>
    </row>
    <row r="21" spans="1:59" x14ac:dyDescent="0.25">
      <c r="A21" s="20">
        <f>Tools!$AD20</f>
        <v>15</v>
      </c>
      <c r="B21" s="33">
        <f t="shared" si="0"/>
        <v>3.8</v>
      </c>
      <c r="C21" s="22">
        <f>IF(A21="  ","  ",IF(AND(A20="  ",A22="  "),"?",IF(A20="  ",2*(A22-A21),IF(A22="  ",2*(A21-A20),2*(A22-A20)))))</f>
        <v>4</v>
      </c>
      <c r="D21" s="23">
        <f t="shared" si="26"/>
        <v>15.2</v>
      </c>
      <c r="E21" s="24">
        <f t="shared" si="1"/>
        <v>5</v>
      </c>
      <c r="F21" s="23">
        <f t="shared" si="27"/>
        <v>76</v>
      </c>
      <c r="G21" s="23">
        <f t="shared" si="28"/>
        <v>380</v>
      </c>
      <c r="H21" s="23">
        <f t="shared" si="29"/>
        <v>54.871999999999993</v>
      </c>
      <c r="I21" s="23">
        <f t="shared" si="30"/>
        <v>219.48799999999997</v>
      </c>
      <c r="J21" s="4"/>
      <c r="K21" s="37">
        <f t="shared" si="2"/>
        <v>0</v>
      </c>
      <c r="L21" s="23">
        <f t="shared" si="31"/>
        <v>0</v>
      </c>
      <c r="M21" s="38">
        <f t="shared" si="3"/>
        <v>0</v>
      </c>
      <c r="N21" s="27">
        <f t="shared" si="32"/>
        <v>0</v>
      </c>
      <c r="O21" s="23">
        <f t="shared" si="33"/>
        <v>0</v>
      </c>
      <c r="P21" s="4"/>
      <c r="Q21" s="50" t="s">
        <v>60</v>
      </c>
      <c r="R21" s="48" t="s">
        <v>61</v>
      </c>
      <c r="S21" t="e">
        <f>IF(Tools!$L$49="Use 141 rule only",I45,IF(Tools!$L$49="Use 141 and 1331 rules",BG22," "))</f>
        <v>#DIV/0!</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4</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3.8</v>
      </c>
      <c r="AQ21" s="34" t="str">
        <f t="shared" ca="1" si="18"/>
        <v>4/3</v>
      </c>
      <c r="AR21" s="23">
        <f t="shared" ca="1" si="19"/>
        <v>5.0666666666666664</v>
      </c>
      <c r="AS21" s="24">
        <f t="shared" si="20"/>
        <v>5</v>
      </c>
      <c r="AT21" s="23">
        <f t="shared" ca="1" si="37"/>
        <v>25.333333333333332</v>
      </c>
      <c r="AU21" s="23">
        <f t="shared" ca="1" si="40"/>
        <v>126.66666666666666</v>
      </c>
      <c r="AV21" s="23">
        <f t="shared" si="21"/>
        <v>54.871999999999993</v>
      </c>
      <c r="AW21" s="23">
        <f t="shared" ca="1" si="22"/>
        <v>73.162666666666652</v>
      </c>
      <c r="AY21" s="35">
        <f t="shared" si="23"/>
        <v>0</v>
      </c>
      <c r="AZ21" s="23">
        <f t="shared" ca="1" si="41"/>
        <v>0</v>
      </c>
      <c r="BA21" s="36">
        <f t="shared" si="25"/>
        <v>0</v>
      </c>
      <c r="BB21" s="27">
        <f t="shared" ca="1" si="38"/>
        <v>0</v>
      </c>
      <c r="BC21" s="23">
        <f t="shared" ca="1" si="39"/>
        <v>0</v>
      </c>
      <c r="BE21" s="50" t="s">
        <v>57</v>
      </c>
      <c r="BF21" s="48" t="s">
        <v>62</v>
      </c>
      <c r="BG21" s="49">
        <f ca="1">IF(WL_No="  ","  ",(h^2)*$BC$29)</f>
        <v>0</v>
      </c>
    </row>
    <row r="22" spans="1:59" x14ac:dyDescent="0.25">
      <c r="A22" s="20">
        <f>Tools!$AD21</f>
        <v>16</v>
      </c>
      <c r="B22" s="33">
        <f t="shared" si="0"/>
        <v>2.2200000000000002</v>
      </c>
      <c r="C22" s="22">
        <f>IF(A22="  ","  ",IF(AND(A21="  ",A23="  "),"?",IF(A21="  ",1*(A23-A22),IF(A23="  ",1*(A22-A21),1*(A23-A21)))))</f>
        <v>2</v>
      </c>
      <c r="D22" s="23">
        <f t="shared" si="26"/>
        <v>4.4400000000000004</v>
      </c>
      <c r="E22" s="24">
        <f t="shared" si="1"/>
        <v>6</v>
      </c>
      <c r="F22" s="23">
        <f t="shared" si="27"/>
        <v>26.64</v>
      </c>
      <c r="G22" s="23">
        <f t="shared" si="28"/>
        <v>159.84</v>
      </c>
      <c r="H22" s="23">
        <f t="shared" si="29"/>
        <v>10.941048000000002</v>
      </c>
      <c r="I22" s="23">
        <f t="shared" si="30"/>
        <v>21.882096000000004</v>
      </c>
      <c r="J22" s="4"/>
      <c r="K22" s="37">
        <f t="shared" si="2"/>
        <v>0</v>
      </c>
      <c r="L22" s="23">
        <f t="shared" si="31"/>
        <v>0</v>
      </c>
      <c r="M22" s="38">
        <f t="shared" si="3"/>
        <v>0</v>
      </c>
      <c r="N22" s="27">
        <f t="shared" si="32"/>
        <v>0</v>
      </c>
      <c r="O22" s="23">
        <f t="shared" si="33"/>
        <v>0</v>
      </c>
      <c r="P22" s="4"/>
      <c r="Q22" s="50" t="s">
        <v>63</v>
      </c>
      <c r="R22" s="48" t="s">
        <v>64</v>
      </c>
      <c r="S22" t="e">
        <f>IF(Tools!$L$49="Use 141 rule only",I46,IF(Tools!$L$49="Use 141 and 1331 rules",BG23," "))</f>
        <v>#DIV/0!</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3</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2.2200000000000002</v>
      </c>
      <c r="AQ22" s="34" t="str">
        <f t="shared" ca="1" si="18"/>
        <v>2/3</v>
      </c>
      <c r="AR22" s="23">
        <f t="shared" ca="1" si="19"/>
        <v>1.48</v>
      </c>
      <c r="AS22" s="24">
        <f t="shared" si="20"/>
        <v>6</v>
      </c>
      <c r="AT22" s="23">
        <f t="shared" ca="1" si="37"/>
        <v>8.879999999999999</v>
      </c>
      <c r="AU22" s="23">
        <f t="shared" ca="1" si="40"/>
        <v>53.279999999999994</v>
      </c>
      <c r="AV22" s="23">
        <f t="shared" si="21"/>
        <v>10.941048000000002</v>
      </c>
      <c r="AW22" s="23">
        <f t="shared" ca="1" si="22"/>
        <v>7.2940320000000014</v>
      </c>
      <c r="AY22" s="35">
        <f t="shared" si="23"/>
        <v>0</v>
      </c>
      <c r="AZ22" s="23">
        <f t="shared" ca="1" si="41"/>
        <v>0</v>
      </c>
      <c r="BA22" s="36">
        <f t="shared" si="25"/>
        <v>0</v>
      </c>
      <c r="BB22" s="27">
        <f t="shared" ca="1" si="38"/>
        <v>0</v>
      </c>
      <c r="BC22" s="23">
        <f t="shared" ca="1" si="39"/>
        <v>0</v>
      </c>
      <c r="BE22" s="50" t="s">
        <v>60</v>
      </c>
      <c r="BF22" s="48" t="s">
        <v>61</v>
      </c>
      <c r="BG22" s="49" t="e">
        <f>IF(WL_No="  ","  ",IF/V_Disp)</f>
        <v>#DIV/0!</v>
      </c>
    </row>
    <row r="23" spans="1:59" x14ac:dyDescent="0.25">
      <c r="A23" s="20">
        <f>Tools!$AD22</f>
        <v>17</v>
      </c>
      <c r="B23" s="33">
        <f t="shared" si="0"/>
        <v>0.65</v>
      </c>
      <c r="C23" s="22">
        <f>IF(A23="  ","  ",IF(AND(A22="  ",A24="  "),"?",IF(A22="  ",2*(A24-A23),IF(A24="  ",2*(A23-A22),2*(A24-A22)))))</f>
        <v>4</v>
      </c>
      <c r="D23" s="23">
        <f t="shared" si="26"/>
        <v>2.6</v>
      </c>
      <c r="E23" s="24">
        <f t="shared" si="1"/>
        <v>7</v>
      </c>
      <c r="F23" s="23">
        <f t="shared" si="27"/>
        <v>18.2</v>
      </c>
      <c r="G23" s="23">
        <f t="shared" si="28"/>
        <v>127.39999999999999</v>
      </c>
      <c r="H23" s="23">
        <f t="shared" si="29"/>
        <v>0.27462500000000006</v>
      </c>
      <c r="I23" s="23">
        <f t="shared" si="30"/>
        <v>1.0985000000000003</v>
      </c>
      <c r="J23" s="4"/>
      <c r="K23" s="37">
        <f t="shared" si="2"/>
        <v>0</v>
      </c>
      <c r="L23" s="23">
        <f t="shared" si="31"/>
        <v>0</v>
      </c>
      <c r="M23" s="38">
        <f t="shared" si="3"/>
        <v>0</v>
      </c>
      <c r="N23" s="27">
        <f t="shared" si="32"/>
        <v>0</v>
      </c>
      <c r="O23" s="23">
        <f t="shared" si="33"/>
        <v>0</v>
      </c>
      <c r="P23" s="4"/>
      <c r="Q23" s="50" t="s">
        <v>65</v>
      </c>
      <c r="R23" s="48" t="s">
        <v>66</v>
      </c>
      <c r="S23" t="e">
        <f>IF(Tools!$L$49="Use 141 rule only",I47,IF(Tools!$L$49="Use 141 and 1331 rules",BG24," "))</f>
        <v>#DIV/0!</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2</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0.65</v>
      </c>
      <c r="AQ23" s="34" t="str">
        <f t="shared" ca="1" si="18"/>
        <v>4/3</v>
      </c>
      <c r="AR23" s="23">
        <f t="shared" ca="1" si="19"/>
        <v>0.8666666666666667</v>
      </c>
      <c r="AS23" s="24">
        <f t="shared" si="20"/>
        <v>7</v>
      </c>
      <c r="AT23" s="23">
        <f t="shared" ca="1" si="37"/>
        <v>6.0666666666666664</v>
      </c>
      <c r="AU23" s="23">
        <f t="shared" ca="1" si="40"/>
        <v>42.466666666666669</v>
      </c>
      <c r="AV23" s="23">
        <f t="shared" si="21"/>
        <v>0.27462500000000006</v>
      </c>
      <c r="AW23" s="23">
        <f t="shared" ca="1" si="22"/>
        <v>0.36616666666666675</v>
      </c>
      <c r="AY23" s="35">
        <f t="shared" si="23"/>
        <v>0</v>
      </c>
      <c r="AZ23" s="23">
        <f t="shared" ca="1" si="41"/>
        <v>0</v>
      </c>
      <c r="BA23" s="36">
        <f t="shared" si="25"/>
        <v>0</v>
      </c>
      <c r="BB23" s="27">
        <f t="shared" ca="1" si="38"/>
        <v>0</v>
      </c>
      <c r="BC23" s="23">
        <f t="shared" ca="1" si="39"/>
        <v>0</v>
      </c>
      <c r="BE23" s="50" t="s">
        <v>63</v>
      </c>
      <c r="BF23" s="48" t="s">
        <v>64</v>
      </c>
      <c r="BG23" s="49" t="e">
        <f>IF(WL_No="  ","  ",IT/V_Disp)</f>
        <v>#DIV/0!</v>
      </c>
    </row>
    <row r="24" spans="1:59" x14ac:dyDescent="0.25">
      <c r="A24" s="20">
        <f>Tools!$AD23</f>
        <v>18</v>
      </c>
      <c r="B24" s="33">
        <f t="shared" si="0"/>
        <v>0</v>
      </c>
      <c r="C24" s="22">
        <f>IF(A24="  ","  ",IF(AND(A23="  ",A25="  "),"?",IF(A23="  ",1*(A25-A24),IF(A25="  ",1*(A24-A23),1*(A25-A23)))))</f>
        <v>1.5</v>
      </c>
      <c r="D24" s="23">
        <f t="shared" si="26"/>
        <v>0</v>
      </c>
      <c r="E24" s="24">
        <f t="shared" si="1"/>
        <v>8</v>
      </c>
      <c r="F24" s="23">
        <f t="shared" si="27"/>
        <v>0</v>
      </c>
      <c r="G24" s="23">
        <f t="shared" si="28"/>
        <v>0</v>
      </c>
      <c r="H24" s="23">
        <f t="shared" si="29"/>
        <v>0</v>
      </c>
      <c r="I24" s="23">
        <f t="shared" si="30"/>
        <v>0</v>
      </c>
      <c r="J24" s="4"/>
      <c r="K24" s="37">
        <f t="shared" si="2"/>
        <v>0</v>
      </c>
      <c r="L24" s="23">
        <f t="shared" si="31"/>
        <v>0</v>
      </c>
      <c r="M24" s="38">
        <f t="shared" si="3"/>
        <v>0</v>
      </c>
      <c r="N24" s="27">
        <f t="shared" si="32"/>
        <v>0</v>
      </c>
      <c r="O24" s="23">
        <f t="shared" si="33"/>
        <v>0</v>
      </c>
      <c r="P24" s="4"/>
      <c r="Q24" s="50" t="s">
        <v>67</v>
      </c>
      <c r="R24" s="48" t="s">
        <v>68</v>
      </c>
      <c r="S24" t="e">
        <f>IF(Tools!$L$49="Use 141 rule only",I48,IF(Tools!$L$49="Use 141 and 1331 rules",BG25," "))</f>
        <v>#DIV/0!</v>
      </c>
      <c r="W24" s="29">
        <f>IF(AO24="  ","  ",IF(AND(AO23="  ",AO25="  "),"?",IF(AO23="  ",1*(AO25-AO24),IF(AO25="  ",1*(AO24-AO23),1*(AO25-AO23)))))</f>
        <v>1.5</v>
      </c>
      <c r="X24" s="30" t="str">
        <f t="shared" si="4"/>
        <v>W-</v>
      </c>
      <c r="Y24" s="30" t="str">
        <f t="shared" si="5"/>
        <v>-</v>
      </c>
      <c r="Z24" s="29" t="b">
        <f t="shared" si="6"/>
        <v>1</v>
      </c>
      <c r="AA24" s="29" t="b">
        <f t="shared" si="7"/>
        <v>1</v>
      </c>
      <c r="AB24" s="29" t="str">
        <f t="shared" ca="1" si="8"/>
        <v>##</v>
      </c>
      <c r="AC24" s="29">
        <f t="shared" si="34"/>
        <v>5</v>
      </c>
      <c r="AD24" s="29">
        <f t="shared" ca="1" si="9"/>
        <v>1</v>
      </c>
      <c r="AE24" s="29">
        <v>21</v>
      </c>
      <c r="AF24" s="31">
        <f t="shared" si="42"/>
        <v>17</v>
      </c>
      <c r="AG24" s="29" t="b">
        <f t="shared" si="11"/>
        <v>1</v>
      </c>
      <c r="AH24" s="30" t="str">
        <f t="shared" ca="1" si="43"/>
        <v>141-1</v>
      </c>
      <c r="AI24" s="30" t="str">
        <f t="shared" ca="1" si="13"/>
        <v/>
      </c>
      <c r="AJ24" s="29">
        <f t="shared" ca="1" si="14"/>
        <v>0</v>
      </c>
      <c r="AK24" s="29" t="str">
        <f t="shared" ca="1" si="15"/>
        <v>1/3</v>
      </c>
      <c r="AL24" s="29">
        <f t="shared" ca="1" si="16"/>
        <v>0.33333333333333331</v>
      </c>
      <c r="AM24" s="32">
        <f t="shared" ca="1" si="35"/>
        <v>0.33333333333333331</v>
      </c>
      <c r="AO24" s="20">
        <f>Tools!$AD23</f>
        <v>18</v>
      </c>
      <c r="AP24" s="33">
        <f t="shared" si="36"/>
        <v>0</v>
      </c>
      <c r="AQ24" s="34" t="str">
        <f t="shared" ca="1" si="18"/>
        <v>1/3</v>
      </c>
      <c r="AR24" s="23">
        <f t="shared" ca="1" si="19"/>
        <v>0</v>
      </c>
      <c r="AS24" s="24">
        <f t="shared" si="20"/>
        <v>8</v>
      </c>
      <c r="AT24" s="23">
        <f t="shared" ca="1" si="37"/>
        <v>0</v>
      </c>
      <c r="AU24" s="23">
        <f t="shared" ca="1" si="40"/>
        <v>0</v>
      </c>
      <c r="AV24" s="23">
        <f t="shared" si="21"/>
        <v>0</v>
      </c>
      <c r="AW24" s="23">
        <f t="shared" ca="1" si="22"/>
        <v>0</v>
      </c>
      <c r="AY24" s="35">
        <f t="shared" si="23"/>
        <v>0</v>
      </c>
      <c r="AZ24" s="23">
        <f t="shared" ca="1" si="41"/>
        <v>0</v>
      </c>
      <c r="BA24" s="36">
        <f t="shared" si="25"/>
        <v>0</v>
      </c>
      <c r="BB24" s="27">
        <f t="shared" ca="1" si="38"/>
        <v>0</v>
      </c>
      <c r="BC24" s="23">
        <f t="shared" ca="1" si="39"/>
        <v>0</v>
      </c>
      <c r="BE24" s="50" t="s">
        <v>65</v>
      </c>
      <c r="BF24" s="48" t="s">
        <v>66</v>
      </c>
      <c r="BG24" s="49" t="e">
        <f>IF(WL_No="  ","  ",MT/V_Disp)</f>
        <v>#DIV/0!</v>
      </c>
    </row>
    <row r="25" spans="1:59" x14ac:dyDescent="0.25">
      <c r="A25" s="20">
        <f>Tools!$AD24</f>
        <v>18.5</v>
      </c>
      <c r="B25" s="33">
        <f t="shared" si="0"/>
        <v>0</v>
      </c>
      <c r="C25" s="22">
        <f>IF(A25="  ","  ",IF(AND(A24="  ",A26="  "),"?",IF(A24="  ",2*(A26-A25),IF(A26="  ",2*(A25-A24),2*(A26-A24)))))</f>
        <v>2</v>
      </c>
      <c r="D25" s="23">
        <f t="shared" si="26"/>
        <v>0</v>
      </c>
      <c r="E25" s="24">
        <f t="shared" si="1"/>
        <v>8.5</v>
      </c>
      <c r="F25" s="23">
        <f t="shared" si="27"/>
        <v>0</v>
      </c>
      <c r="G25" s="23">
        <f t="shared" si="28"/>
        <v>0</v>
      </c>
      <c r="H25" s="23">
        <f t="shared" si="29"/>
        <v>0</v>
      </c>
      <c r="I25" s="23">
        <f t="shared" si="30"/>
        <v>0</v>
      </c>
      <c r="J25" s="4"/>
      <c r="K25" s="37">
        <f t="shared" si="2"/>
        <v>0</v>
      </c>
      <c r="L25" s="23">
        <f t="shared" si="31"/>
        <v>0</v>
      </c>
      <c r="M25" s="38">
        <f t="shared" si="3"/>
        <v>0</v>
      </c>
      <c r="N25" s="27">
        <f t="shared" si="32"/>
        <v>0</v>
      </c>
      <c r="O25" s="23">
        <f t="shared" si="33"/>
        <v>0</v>
      </c>
      <c r="P25" s="4"/>
      <c r="Q25" s="50" t="s">
        <v>69</v>
      </c>
      <c r="R25" s="48" t="s">
        <v>70</v>
      </c>
      <c r="S25" t="e">
        <f>IF(Tools!$L$49="Use 141 rule only",I49,IF(Tools!$L$49="Use 141 and 1331 rules",BG26," "))</f>
        <v>#DIV/0!</v>
      </c>
      <c r="W25" s="29">
        <f>IF(AO25="  ","  ",IF(AND(AO24="  ",AO26="  "),"?",IF(AO24="  ",2*(AO26-AO25),IF(AO26="  ",2*(AO25-AO24),2*(AO26-AO24)))))</f>
        <v>2</v>
      </c>
      <c r="X25" s="30" t="str">
        <f t="shared" si="4"/>
        <v>--</v>
      </c>
      <c r="Y25" s="30">
        <f t="shared" si="5"/>
        <v>0</v>
      </c>
      <c r="Z25" s="29" t="b">
        <f t="shared" si="6"/>
        <v>1</v>
      </c>
      <c r="AA25" s="29" t="str">
        <f t="shared" si="7"/>
        <v xml:space="preserve"> </v>
      </c>
      <c r="AB25" s="29" t="str">
        <f t="shared" ca="1" si="8"/>
        <v>##</v>
      </c>
      <c r="AC25" s="29">
        <f t="shared" si="34"/>
        <v>4</v>
      </c>
      <c r="AD25" s="29">
        <f t="shared" ca="1" si="9"/>
        <v>0</v>
      </c>
      <c r="AE25" s="29">
        <v>22</v>
      </c>
      <c r="AF25" s="31">
        <f t="shared" si="42"/>
        <v>18</v>
      </c>
      <c r="AG25" s="29" t="str">
        <f t="shared" si="11"/>
        <v xml:space="preserve"> </v>
      </c>
      <c r="AH25" s="30" t="str">
        <f t="shared" si="43"/>
        <v>-</v>
      </c>
      <c r="AI25" s="30" t="str">
        <f t="shared" ca="1" si="13"/>
        <v/>
      </c>
      <c r="AJ25" s="29">
        <f t="shared" ca="1" si="14"/>
        <v>0</v>
      </c>
      <c r="AK25" s="29" t="str">
        <f t="shared" si="15"/>
        <v/>
      </c>
      <c r="AL25" s="29">
        <f t="shared" si="16"/>
        <v>0</v>
      </c>
      <c r="AM25" s="32" t="str">
        <f t="shared" ca="1" si="35"/>
        <v xml:space="preserve"> </v>
      </c>
      <c r="AO25" s="20">
        <f>Tools!$AD24</f>
        <v>18.5</v>
      </c>
      <c r="AP25" s="33">
        <f t="shared" si="36"/>
        <v>0</v>
      </c>
      <c r="AQ25" s="34" t="str">
        <f t="shared" ca="1" si="18"/>
        <v/>
      </c>
      <c r="AR25" s="23" t="str">
        <f t="shared" ca="1" si="19"/>
        <v xml:space="preserve">  </v>
      </c>
      <c r="AS25" s="24">
        <f t="shared" si="20"/>
        <v>8.5</v>
      </c>
      <c r="AT25" s="23" t="str">
        <f t="shared" ca="1" si="37"/>
        <v xml:space="preserve">  </v>
      </c>
      <c r="AU25" s="23" t="str">
        <f t="shared" ca="1" si="40"/>
        <v xml:space="preserve">  </v>
      </c>
      <c r="AV25" s="23">
        <f t="shared" si="21"/>
        <v>0</v>
      </c>
      <c r="AW25" s="23" t="str">
        <f t="shared" ca="1" si="22"/>
        <v xml:space="preserve">  </v>
      </c>
      <c r="AY25" s="35">
        <f t="shared" si="23"/>
        <v>0</v>
      </c>
      <c r="AZ25" s="23" t="str">
        <f t="shared" ca="1" si="41"/>
        <v xml:space="preserve">  </v>
      </c>
      <c r="BA25" s="36">
        <f t="shared" si="25"/>
        <v>0</v>
      </c>
      <c r="BB25" s="27" t="str">
        <f t="shared" ca="1" si="38"/>
        <v xml:space="preserve">  </v>
      </c>
      <c r="BC25" s="23" t="str">
        <f t="shared" ca="1" si="39"/>
        <v xml:space="preserve">  </v>
      </c>
      <c r="BE25" s="50" t="s">
        <v>67</v>
      </c>
      <c r="BF25" s="48" t="s">
        <v>68</v>
      </c>
      <c r="BG25" s="49" t="e">
        <f>IF(WL_No="  ","  ",KB+BMT)</f>
        <v>#DIV/0!</v>
      </c>
    </row>
    <row r="26" spans="1:59" x14ac:dyDescent="0.25">
      <c r="A26" s="20">
        <f>Tools!$AD25</f>
        <v>19</v>
      </c>
      <c r="B26" s="33">
        <f t="shared" si="0"/>
        <v>0</v>
      </c>
      <c r="C26" s="22">
        <f>IF(A26="  ","  ",IF(AND(A25="  ",A27="  "),"?",IF(A25="  ",1*(A27-A26),IF(A27="  ",1*(A26-A25),1*(A27-A25)))))</f>
        <v>1</v>
      </c>
      <c r="D26" s="23">
        <f t="shared" si="26"/>
        <v>0</v>
      </c>
      <c r="E26" s="24">
        <f t="shared" si="1"/>
        <v>9</v>
      </c>
      <c r="F26" s="23">
        <f t="shared" si="27"/>
        <v>0</v>
      </c>
      <c r="G26" s="23">
        <f t="shared" si="28"/>
        <v>0</v>
      </c>
      <c r="H26" s="23">
        <f t="shared" si="29"/>
        <v>0</v>
      </c>
      <c r="I26" s="23">
        <f t="shared" si="30"/>
        <v>0</v>
      </c>
      <c r="J26" s="4"/>
      <c r="K26" s="37">
        <f t="shared" si="2"/>
        <v>0</v>
      </c>
      <c r="L26" s="23">
        <f t="shared" si="31"/>
        <v>0</v>
      </c>
      <c r="M26" s="38">
        <f t="shared" si="3"/>
        <v>0</v>
      </c>
      <c r="N26" s="27">
        <f t="shared" si="32"/>
        <v>0</v>
      </c>
      <c r="O26" s="23">
        <f t="shared" si="33"/>
        <v>0</v>
      </c>
      <c r="P26" s="4"/>
      <c r="Q26" s="50" t="s">
        <v>71</v>
      </c>
      <c r="R26" s="48" t="s">
        <v>72</v>
      </c>
      <c r="S26">
        <f>IF(Tools!$L$49="Use 141 rule only",I50,IF(Tools!$L$49="Use 141 and 1331 rules",BG27," "))</f>
        <v>8.813210349999995</v>
      </c>
      <c r="W26" s="29">
        <f>IF(AO26="  ","  ",IF(AND(AO25="  ",AO27="  "),"?",IF(AO25="  ",1*(AO27-AO26),IF(AO27="  ",1*(AO26-AO25),1*(AO27-AO25)))))</f>
        <v>1</v>
      </c>
      <c r="X26" s="30" t="str">
        <f t="shared" si="4"/>
        <v>--</v>
      </c>
      <c r="Y26" s="30">
        <f t="shared" si="5"/>
        <v>0</v>
      </c>
      <c r="Z26" s="29" t="b">
        <f t="shared" si="6"/>
        <v>1</v>
      </c>
      <c r="AA26" s="29" t="str">
        <f t="shared" si="7"/>
        <v xml:space="preserve"> </v>
      </c>
      <c r="AB26" s="29" t="str">
        <f t="shared" ca="1" si="8"/>
        <v>##</v>
      </c>
      <c r="AC26" s="29">
        <f t="shared" si="34"/>
        <v>3</v>
      </c>
      <c r="AD26" s="29">
        <f t="shared" ca="1" si="9"/>
        <v>-1</v>
      </c>
      <c r="AE26" s="29">
        <v>23</v>
      </c>
      <c r="AF26" s="31">
        <f t="shared" si="42"/>
        <v>19</v>
      </c>
      <c r="AG26" s="29" t="str">
        <f t="shared" si="11"/>
        <v xml:space="preserve"> </v>
      </c>
      <c r="AH26" s="30" t="str">
        <f t="shared" si="43"/>
        <v>-</v>
      </c>
      <c r="AI26" s="30" t="str">
        <f t="shared" ca="1" si="13"/>
        <v/>
      </c>
      <c r="AJ26" s="29">
        <f t="shared" ca="1" si="14"/>
        <v>0</v>
      </c>
      <c r="AK26" s="29" t="str">
        <f t="shared" si="15"/>
        <v/>
      </c>
      <c r="AL26" s="29">
        <f t="shared" si="16"/>
        <v>0</v>
      </c>
      <c r="AM26" s="32" t="str">
        <f t="shared" ca="1" si="35"/>
        <v xml:space="preserve"> </v>
      </c>
      <c r="AO26" s="20">
        <f>Tools!$AD25</f>
        <v>19</v>
      </c>
      <c r="AP26" s="33">
        <f t="shared" si="36"/>
        <v>0</v>
      </c>
      <c r="AQ26" s="34" t="str">
        <f t="shared" ca="1" si="18"/>
        <v/>
      </c>
      <c r="AR26" s="23" t="str">
        <f t="shared" ca="1" si="19"/>
        <v xml:space="preserve">  </v>
      </c>
      <c r="AS26" s="24">
        <f t="shared" si="20"/>
        <v>9</v>
      </c>
      <c r="AT26" s="23" t="str">
        <f t="shared" ca="1" si="37"/>
        <v xml:space="preserve">  </v>
      </c>
      <c r="AU26" s="23" t="str">
        <f t="shared" ca="1" si="40"/>
        <v xml:space="preserve">  </v>
      </c>
      <c r="AV26" s="23">
        <f t="shared" si="21"/>
        <v>0</v>
      </c>
      <c r="AW26" s="23" t="str">
        <f t="shared" ca="1" si="22"/>
        <v xml:space="preserve">  </v>
      </c>
      <c r="AY26" s="35">
        <f t="shared" si="23"/>
        <v>0</v>
      </c>
      <c r="AZ26" s="23" t="str">
        <f t="shared" ca="1" si="41"/>
        <v xml:space="preserve">  </v>
      </c>
      <c r="BA26" s="36">
        <f t="shared" si="25"/>
        <v>0</v>
      </c>
      <c r="BB26" s="27" t="str">
        <f t="shared" ca="1" si="38"/>
        <v xml:space="preserve">  </v>
      </c>
      <c r="BC26" s="23" t="str">
        <f t="shared" ca="1" si="39"/>
        <v xml:space="preserve">  </v>
      </c>
      <c r="BE26" s="50" t="s">
        <v>69</v>
      </c>
      <c r="BF26" s="48" t="s">
        <v>70</v>
      </c>
      <c r="BG26" s="49" t="e">
        <f>IF(WL_No="  ","  ",KB+BML)</f>
        <v>#DIV/0!</v>
      </c>
    </row>
    <row r="27" spans="1:59" x14ac:dyDescent="0.25">
      <c r="A27" s="20">
        <f>Tools!$AD26</f>
        <v>19.5</v>
      </c>
      <c r="B27" s="33">
        <f t="shared" si="0"/>
        <v>0</v>
      </c>
      <c r="C27" s="22">
        <f>IF(A27="  ","  ",IF(AND(A26="  ",A28="  "),"?",IF(A26="  ",2*(A28-A27),IF(A28="  ",2*(A27-A26),2*(A28-A26)))))</f>
        <v>2</v>
      </c>
      <c r="D27" s="23">
        <f t="shared" si="26"/>
        <v>0</v>
      </c>
      <c r="E27" s="24">
        <f t="shared" si="1"/>
        <v>9.5</v>
      </c>
      <c r="F27" s="23">
        <f t="shared" si="27"/>
        <v>0</v>
      </c>
      <c r="G27" s="23">
        <f t="shared" si="28"/>
        <v>0</v>
      </c>
      <c r="H27" s="23">
        <f t="shared" si="29"/>
        <v>0</v>
      </c>
      <c r="I27" s="23">
        <f t="shared" si="30"/>
        <v>0</v>
      </c>
      <c r="J27" s="4"/>
      <c r="K27" s="37">
        <f t="shared" si="2"/>
        <v>0</v>
      </c>
      <c r="L27" s="23">
        <f t="shared" si="31"/>
        <v>0</v>
      </c>
      <c r="M27" s="38">
        <f t="shared" si="3"/>
        <v>0</v>
      </c>
      <c r="N27" s="27">
        <f t="shared" si="32"/>
        <v>0</v>
      </c>
      <c r="O27" s="23">
        <f t="shared" si="33"/>
        <v>0</v>
      </c>
      <c r="P27" s="4"/>
      <c r="Q27" s="50" t="s">
        <v>73</v>
      </c>
      <c r="R27" s="48" t="s">
        <v>74</v>
      </c>
      <c r="S27" t="e">
        <f>IF(Tools!$L$49="Use 141 rule only",I51,IF(Tools!$L$49="Use 141 and 1331 rules",BG28," "))</f>
        <v>#DIV/0!</v>
      </c>
      <c r="W27" s="29">
        <f>IF(AO27="  ","  ",IF(AND(AO26="  ",AO28="  "),"?",IF(AO26="  ",2*(AO28-AO27),IF(AO28="  ",2*(AO27-AO26),2*(AO28-AO26)))))</f>
        <v>2</v>
      </c>
      <c r="X27" s="30" t="str">
        <f t="shared" si="4"/>
        <v>--</v>
      </c>
      <c r="Y27" s="30">
        <f t="shared" si="5"/>
        <v>0</v>
      </c>
      <c r="Z27" s="29" t="b">
        <f t="shared" si="6"/>
        <v>1</v>
      </c>
      <c r="AA27" s="29" t="str">
        <f t="shared" si="7"/>
        <v xml:space="preserve"> </v>
      </c>
      <c r="AB27" s="29" t="str">
        <f t="shared" ca="1" si="8"/>
        <v>##</v>
      </c>
      <c r="AC27" s="29">
        <f t="shared" si="34"/>
        <v>2</v>
      </c>
      <c r="AD27" s="29">
        <f t="shared" ca="1" si="9"/>
        <v>-2</v>
      </c>
      <c r="AE27" s="29">
        <v>24</v>
      </c>
      <c r="AF27" s="31">
        <f t="shared" si="42"/>
        <v>20</v>
      </c>
      <c r="AG27" s="29" t="str">
        <f t="shared" si="11"/>
        <v xml:space="preserve"> </v>
      </c>
      <c r="AH27" s="30" t="str">
        <f t="shared" si="43"/>
        <v>-</v>
      </c>
      <c r="AI27" s="30" t="str">
        <f t="shared" ca="1" si="13"/>
        <v/>
      </c>
      <c r="AJ27" s="29">
        <f t="shared" ca="1" si="14"/>
        <v>0</v>
      </c>
      <c r="AK27" s="29" t="str">
        <f t="shared" si="15"/>
        <v/>
      </c>
      <c r="AL27" s="29">
        <f t="shared" si="16"/>
        <v>0</v>
      </c>
      <c r="AM27" s="32" t="str">
        <f t="shared" ca="1" si="35"/>
        <v xml:space="preserve"> </v>
      </c>
      <c r="AO27" s="20">
        <f>Tools!$AD26</f>
        <v>19.5</v>
      </c>
      <c r="AP27" s="33">
        <f t="shared" si="36"/>
        <v>0</v>
      </c>
      <c r="AQ27" s="34" t="str">
        <f t="shared" ca="1" si="18"/>
        <v/>
      </c>
      <c r="AR27" s="23" t="str">
        <f t="shared" ca="1" si="19"/>
        <v xml:space="preserve">  </v>
      </c>
      <c r="AS27" s="24">
        <f t="shared" si="20"/>
        <v>9.5</v>
      </c>
      <c r="AT27" s="23" t="str">
        <f t="shared" ca="1" si="37"/>
        <v xml:space="preserve">  </v>
      </c>
      <c r="AU27" s="23" t="str">
        <f t="shared" ca="1" si="40"/>
        <v xml:space="preserve">  </v>
      </c>
      <c r="AV27" s="23">
        <f t="shared" si="21"/>
        <v>0</v>
      </c>
      <c r="AW27" s="23" t="str">
        <f t="shared" ca="1" si="22"/>
        <v xml:space="preserve">  </v>
      </c>
      <c r="AY27" s="35">
        <f t="shared" si="23"/>
        <v>0</v>
      </c>
      <c r="AZ27" s="23" t="str">
        <f t="shared" ca="1" si="41"/>
        <v xml:space="preserve">  </v>
      </c>
      <c r="BA27" s="36">
        <f t="shared" si="25"/>
        <v>0</v>
      </c>
      <c r="BB27" s="27" t="str">
        <f t="shared" ca="1" si="38"/>
        <v xml:space="preserve">  </v>
      </c>
      <c r="BC27" s="23" t="str">
        <f t="shared" ca="1" si="39"/>
        <v xml:space="preserve">  </v>
      </c>
      <c r="BE27" s="50" t="s">
        <v>71</v>
      </c>
      <c r="BF27" s="48" t="s">
        <v>72</v>
      </c>
      <c r="BG27" s="49">
        <f>IF(WL_No="  ","  ",AWP*1.025/100)</f>
        <v>8.813210349999995</v>
      </c>
    </row>
    <row r="28" spans="1:59" ht="15.75" thickBot="1" x14ac:dyDescent="0.3">
      <c r="A28" s="20">
        <f>Tools!$AD27</f>
        <v>20</v>
      </c>
      <c r="B28" s="52">
        <f t="shared" si="0"/>
        <v>0</v>
      </c>
      <c r="C28" s="22">
        <f>IF(A28="  ","  ",IF(A27="  ","?",1*(A28-A27)))</f>
        <v>0.5</v>
      </c>
      <c r="D28" s="53">
        <f t="shared" si="26"/>
        <v>0</v>
      </c>
      <c r="E28" s="24">
        <f t="shared" si="1"/>
        <v>10</v>
      </c>
      <c r="F28" s="53">
        <f t="shared" si="27"/>
        <v>0</v>
      </c>
      <c r="G28" s="53">
        <f t="shared" si="28"/>
        <v>0</v>
      </c>
      <c r="H28" s="23">
        <f t="shared" si="29"/>
        <v>0</v>
      </c>
      <c r="I28" s="53">
        <f t="shared" si="30"/>
        <v>0</v>
      </c>
      <c r="J28" s="4"/>
      <c r="K28" s="35">
        <f t="shared" si="2"/>
        <v>0</v>
      </c>
      <c r="L28" s="53">
        <f t="shared" si="31"/>
        <v>0</v>
      </c>
      <c r="M28" s="36">
        <f t="shared" si="3"/>
        <v>0</v>
      </c>
      <c r="N28" s="54">
        <f t="shared" si="32"/>
        <v>0</v>
      </c>
      <c r="O28" s="53">
        <f t="shared" si="33"/>
        <v>0</v>
      </c>
      <c r="P28" s="4"/>
      <c r="Q28" s="50" t="s">
        <v>75</v>
      </c>
      <c r="R28" s="55" t="s">
        <v>76</v>
      </c>
      <c r="S28" t="e">
        <f>IF(Tools!$L$49="Use 141 rule only",I52,IF(Tools!$L$49="Use 141 and 1331 rules",BG29," "))</f>
        <v>#DIV/0!</v>
      </c>
      <c r="W28" s="29">
        <f>IF(AO28="  ","  ",IF(AO27="  ","?",1*(AO28-AO27)))</f>
        <v>0.5</v>
      </c>
      <c r="X28" s="30" t="str">
        <f t="shared" si="4"/>
        <v>--</v>
      </c>
      <c r="Y28" s="30">
        <f t="shared" si="5"/>
        <v>0</v>
      </c>
      <c r="Z28" s="29" t="b">
        <f t="shared" si="6"/>
        <v>1</v>
      </c>
      <c r="AA28" s="29" t="str">
        <f t="shared" si="7"/>
        <v xml:space="preserve"> </v>
      </c>
      <c r="AB28" s="29" t="str">
        <f t="shared" ca="1" si="8"/>
        <v>##</v>
      </c>
      <c r="AC28" s="29">
        <f>IF(ISNUMBER(AO28),IF(ISNUMBER(AO28),IF(OR(AO28=0,AO28=Long_Div),1,IF(AO28&gt;Long_Div/2,AF29+1,IF(AO28&lt;=Long_Div/2,AC27+1,"?")))," --")," ")</f>
        <v>1</v>
      </c>
      <c r="AD28" s="29">
        <f t="shared" ca="1" si="9"/>
        <v>-3</v>
      </c>
      <c r="AE28" s="29">
        <v>25</v>
      </c>
      <c r="AF28" s="31">
        <f t="shared" si="42"/>
        <v>21</v>
      </c>
      <c r="AG28" s="29" t="str">
        <f t="shared" si="11"/>
        <v xml:space="preserve"> </v>
      </c>
      <c r="AH28" s="30" t="str">
        <f t="shared" si="43"/>
        <v>-</v>
      </c>
      <c r="AI28" s="30" t="str">
        <f t="shared" ca="1" si="13"/>
        <v/>
      </c>
      <c r="AJ28" s="29">
        <f t="shared" ca="1" si="14"/>
        <v>0</v>
      </c>
      <c r="AK28" s="29" t="str">
        <f t="shared" si="15"/>
        <v/>
      </c>
      <c r="AL28" s="29">
        <f t="shared" si="16"/>
        <v>0</v>
      </c>
      <c r="AM28" s="32" t="str">
        <f t="shared" ca="1" si="35"/>
        <v xml:space="preserve"> </v>
      </c>
      <c r="AO28" s="20">
        <f>Tools!$AD27</f>
        <v>20</v>
      </c>
      <c r="AP28" s="33">
        <f t="shared" si="36"/>
        <v>0</v>
      </c>
      <c r="AQ28" s="34" t="str">
        <f t="shared" ca="1" si="18"/>
        <v/>
      </c>
      <c r="AR28" s="23" t="str">
        <f t="shared" ca="1" si="19"/>
        <v xml:space="preserve">  </v>
      </c>
      <c r="AS28" s="24">
        <f t="shared" si="20"/>
        <v>10</v>
      </c>
      <c r="AT28" s="53" t="str">
        <f t="shared" ca="1" si="37"/>
        <v xml:space="preserve">  </v>
      </c>
      <c r="AU28" s="53" t="str">
        <f t="shared" ca="1" si="40"/>
        <v xml:space="preserve">  </v>
      </c>
      <c r="AV28" s="23">
        <f t="shared" si="21"/>
        <v>0</v>
      </c>
      <c r="AW28" s="23" t="str">
        <f t="shared" ca="1" si="22"/>
        <v xml:space="preserve">  </v>
      </c>
      <c r="AY28" s="35">
        <f t="shared" si="23"/>
        <v>0</v>
      </c>
      <c r="AZ28" s="23" t="str">
        <f t="shared" ca="1" si="41"/>
        <v xml:space="preserve">  </v>
      </c>
      <c r="BA28" s="36">
        <f t="shared" si="25"/>
        <v>0</v>
      </c>
      <c r="BB28" s="27" t="str">
        <f t="shared" ca="1" si="38"/>
        <v xml:space="preserve">  </v>
      </c>
      <c r="BC28" s="53" t="str">
        <f t="shared" ca="1" si="39"/>
        <v xml:space="preserve">  </v>
      </c>
      <c r="BE28" s="50" t="s">
        <v>73</v>
      </c>
      <c r="BF28" s="48" t="s">
        <v>74</v>
      </c>
      <c r="BG28" s="49" t="e">
        <f>IF(WL_No="  ","  ",ML/V_Disp)</f>
        <v>#DIV/0!</v>
      </c>
    </row>
    <row r="29" spans="1:59" ht="15.75" thickBot="1" x14ac:dyDescent="0.3">
      <c r="A29" s="56" t="s">
        <v>77</v>
      </c>
      <c r="B29" s="56"/>
      <c r="C29" s="56"/>
      <c r="D29" s="57">
        <f>SUM(D4:D28)</f>
        <v>195.85999999999996</v>
      </c>
      <c r="E29" s="42"/>
      <c r="F29" s="58">
        <f>SUM(F4:F28)</f>
        <v>142.51999999999998</v>
      </c>
      <c r="G29" s="58">
        <f>SUM(G4:G28)</f>
        <v>1749.6</v>
      </c>
      <c r="H29" s="42"/>
      <c r="I29" s="58">
        <f>SUM(I4:I28)</f>
        <v>8534.9292019999993</v>
      </c>
      <c r="J29" s="4"/>
      <c r="K29" s="42"/>
      <c r="L29" s="58">
        <f>SUM(L4:L28)</f>
        <v>0</v>
      </c>
      <c r="M29" s="42"/>
      <c r="N29" s="58">
        <f>SUM(N4:N28)</f>
        <v>0</v>
      </c>
      <c r="O29" s="58">
        <f>SUM(O4:O28)</f>
        <v>0</v>
      </c>
      <c r="P29" s="4"/>
      <c r="Q29" s="50" t="s">
        <v>78</v>
      </c>
      <c r="R29" s="48" t="s">
        <v>79</v>
      </c>
      <c r="S29">
        <f>IF(Tools!$L$49="Use 141 rule only",I53,IF(Tools!$L$49="Use 141 and 1331 rules",BG30," "))</f>
        <v>0</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65.286666666666662</v>
      </c>
      <c r="AS29" s="42"/>
      <c r="AT29" s="58">
        <f ca="1">SUM(AT4:AT28)</f>
        <v>47.506666666666661</v>
      </c>
      <c r="AU29" s="58">
        <f ca="1">SUM(AU4:AU28)</f>
        <v>583.20000000000005</v>
      </c>
      <c r="AV29" s="42"/>
      <c r="AW29" s="58">
        <f ca="1">SUM(AW4:AW28)</f>
        <v>2844.976400666666</v>
      </c>
      <c r="AY29" s="42"/>
      <c r="AZ29" s="58">
        <f ca="1">SUM(AZ4:AZ28)</f>
        <v>0</v>
      </c>
      <c r="BA29" s="42"/>
      <c r="BB29" s="58">
        <f ca="1">SUM(BB4:BB28)</f>
        <v>0</v>
      </c>
      <c r="BC29" s="58">
        <f ca="1">SUM(BC4:BC28)</f>
        <v>0</v>
      </c>
      <c r="BE29" s="50" t="s">
        <v>75</v>
      </c>
      <c r="BF29" s="55" t="s">
        <v>76</v>
      </c>
      <c r="BG29" s="49" t="e">
        <f ca="1">IF(WL_No="  ","  ",M_Disp*BML/100/BG8)</f>
        <v>#DIV/0!</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0.37957364341085259</v>
      </c>
      <c r="AA30" s="60"/>
      <c r="AB30" s="60"/>
      <c r="BE30" s="50" t="s">
        <v>78</v>
      </c>
      <c r="BF30" s="48" t="s">
        <v>79</v>
      </c>
      <c r="BG30" s="49">
        <f>IF(WL_No="  ","  ",WLS*WL_No)</f>
        <v>0</v>
      </c>
    </row>
    <row r="31" spans="1:59" x14ac:dyDescent="0.25">
      <c r="A31" s="15"/>
      <c r="B31" s="4"/>
      <c r="C31" s="4"/>
      <c r="D31" s="4"/>
      <c r="E31" s="4"/>
      <c r="F31" s="4"/>
      <c r="G31" s="4"/>
      <c r="H31" s="4"/>
      <c r="I31" s="4"/>
      <c r="J31" s="4"/>
      <c r="K31" s="4"/>
      <c r="L31" s="4"/>
      <c r="M31" s="4"/>
      <c r="N31" s="4"/>
      <c r="O31" s="4"/>
      <c r="P31" s="4"/>
      <c r="Q31" s="50" t="s">
        <v>82</v>
      </c>
      <c r="R31" s="48" t="s">
        <v>83</v>
      </c>
      <c r="S31" t="e">
        <f>IF(Tools!$L$49="Use 141 rule only",I55,IF(Tools!$L$49="Use 141 and 1331 rules",BG32," "))</f>
        <v>#DIV/0!</v>
      </c>
      <c r="AF31" s="61" t="s">
        <v>84</v>
      </c>
      <c r="AG31" s="62">
        <f ca="1">COUNTIF(OFFSET(AQ4,,,ROUNDUP(Max_STN_count/2,0),1),"")</f>
        <v>4</v>
      </c>
      <c r="AH31" s="63">
        <f ca="1">HLOOKUP(Stn_WL,AREA_TABLE,AG31+2,FALSE)</f>
        <v>2</v>
      </c>
      <c r="AI31" s="63">
        <f ca="1">IF(AH31&gt;Long_Div/2,Long_Div/2,AH31)</f>
        <v>2</v>
      </c>
      <c r="AJ31" s="63">
        <f ca="1">AI31*STN_GAP</f>
        <v>13.169999999999998</v>
      </c>
      <c r="BE31" s="50" t="s">
        <v>80</v>
      </c>
      <c r="BF31" s="48" t="s">
        <v>81</v>
      </c>
      <c r="BG31" s="49">
        <f ca="1">IF(WL_No="  ","  ",AWP/(BG8*B_current))</f>
        <v>0.47446705426356572</v>
      </c>
    </row>
    <row r="32" spans="1:59" x14ac:dyDescent="0.25">
      <c r="A32" s="15"/>
      <c r="B32" s="4"/>
      <c r="C32" s="4"/>
      <c r="D32" s="4"/>
      <c r="E32" s="4"/>
      <c r="F32" s="4"/>
      <c r="G32" s="4"/>
      <c r="H32" s="4"/>
      <c r="I32" s="4"/>
      <c r="J32" s="64"/>
      <c r="K32" s="4"/>
      <c r="L32" s="4"/>
      <c r="M32" s="4"/>
      <c r="N32" s="4"/>
      <c r="O32" s="4"/>
      <c r="P32" s="4"/>
      <c r="Q32" s="50" t="s">
        <v>85</v>
      </c>
      <c r="R32" s="48" t="s">
        <v>86</v>
      </c>
      <c r="S32" t="e">
        <f>IF(Tools!$L$49="Use 141 rule only",I56,IF(Tools!$L$49="Use 141 and 1331 rules",BG33," "))</f>
        <v>#DIV/0!</v>
      </c>
      <c r="AF32" s="61" t="s">
        <v>87</v>
      </c>
      <c r="AG32" s="62">
        <f ca="1">COUNTIF(OFFSET(AQ4,ROUNDUP(Max_STN_count/2,0),,ROUNDDOWN(Max_STN_count/2,0),1),"")</f>
        <v>4</v>
      </c>
      <c r="AH32" s="63">
        <f ca="1">HLOOKUP(Stn_WL,AREA_TABLE,AG32+2,FALSE)</f>
        <v>2</v>
      </c>
      <c r="AI32" s="63">
        <f ca="1">IF(AH32&gt;Long_Div/2,Long_Div/2,AH32)</f>
        <v>2</v>
      </c>
      <c r="AJ32" s="63">
        <f ca="1">AI32*STN_GAP</f>
        <v>13.169999999999998</v>
      </c>
      <c r="BE32" s="50" t="s">
        <v>82</v>
      </c>
      <c r="BF32" s="48" t="s">
        <v>83</v>
      </c>
      <c r="BG32" s="49" t="e">
        <f ca="1">IF(WL_No="  ","  ",V_Disp/(BG8*B_current*T))</f>
        <v>#DIV/0!</v>
      </c>
    </row>
    <row r="33" spans="1:59" x14ac:dyDescent="0.25">
      <c r="A33" s="15"/>
      <c r="B33" s="4"/>
      <c r="C33" s="4"/>
      <c r="D33" s="4"/>
      <c r="E33" s="4"/>
      <c r="F33" s="4"/>
      <c r="G33" s="43" t="s">
        <v>31</v>
      </c>
      <c r="H33" s="44" t="s">
        <v>32</v>
      </c>
      <c r="I33" s="506" t="s">
        <v>33</v>
      </c>
      <c r="J33" s="4"/>
      <c r="K33" s="4"/>
      <c r="L33" s="4"/>
      <c r="M33" s="4"/>
      <c r="N33" s="4"/>
      <c r="O33" s="4"/>
      <c r="P33" s="4"/>
      <c r="Q33" s="50" t="s">
        <v>88</v>
      </c>
      <c r="R33" s="48" t="s">
        <v>89</v>
      </c>
      <c r="S33" t="e">
        <f>IF(Tools!$L$49="Use 141 rule only",I57,IF(Tools!$L$49="Use 141 and 1331 rules",BG34," "))</f>
        <v>#DIV/0!</v>
      </c>
      <c r="AF33" s="63"/>
      <c r="AG33" s="63"/>
      <c r="AH33" s="63">
        <f ca="1">Long_Div-AH32</f>
        <v>18</v>
      </c>
      <c r="AI33" s="63"/>
      <c r="AJ33" s="63">
        <f ca="1">AJ32+AJ31</f>
        <v>26.339999999999996</v>
      </c>
      <c r="BE33" s="50" t="s">
        <v>85</v>
      </c>
      <c r="BF33" s="48" t="s">
        <v>86</v>
      </c>
      <c r="BG33" s="65" t="str">
        <f>IFERROR(IF(WL_No="  ","  ",(VLOOKUP(Long_Div/2,AREA_TABLE,Count_WL+1,FALSE))/(B_current*T)),"-")</f>
        <v>-</v>
      </c>
    </row>
    <row r="34" spans="1:59" x14ac:dyDescent="0.25">
      <c r="G34" s="45"/>
      <c r="H34" s="46"/>
      <c r="I34" s="507"/>
      <c r="BE34" s="50" t="s">
        <v>88</v>
      </c>
      <c r="BF34" s="48" t="s">
        <v>89</v>
      </c>
      <c r="BG34" s="49" t="e">
        <f>IF(WL_No="  ","  ",CB/CM)</f>
        <v>#DIV/0!</v>
      </c>
    </row>
    <row r="35" spans="1:59" x14ac:dyDescent="0.25">
      <c r="G35" s="47" t="s">
        <v>34</v>
      </c>
      <c r="H35" s="48" t="s">
        <v>35</v>
      </c>
      <c r="I35" s="49">
        <f>IF(WL_No="  ","  ",2/3*h*$D$29)</f>
        <v>859.8253999999996</v>
      </c>
    </row>
    <row r="36" spans="1:59" x14ac:dyDescent="0.25">
      <c r="G36" s="47" t="s">
        <v>36</v>
      </c>
      <c r="H36" s="48" t="s">
        <v>37</v>
      </c>
      <c r="I36" s="49">
        <f>IF(WL_No="  ","  ",2/3*(h^2)*$F$29)</f>
        <v>4119.989537999998</v>
      </c>
    </row>
    <row r="37" spans="1:59" x14ac:dyDescent="0.25">
      <c r="G37" s="50" t="s">
        <v>39</v>
      </c>
      <c r="H37" s="48" t="s">
        <v>40</v>
      </c>
      <c r="I37" s="49">
        <f>IF(WL_No="  ","  ",Mmid/AWP)</f>
        <v>4.7916583273766973</v>
      </c>
    </row>
    <row r="38" spans="1:59" x14ac:dyDescent="0.25">
      <c r="G38" s="50" t="s">
        <v>42</v>
      </c>
      <c r="H38" s="48" t="s">
        <v>43</v>
      </c>
      <c r="I38" s="49">
        <f>IF(WL_No="  ","  ",2/3*(h^3)*$G$29)</f>
        <v>333054.14949539979</v>
      </c>
    </row>
    <row r="39" spans="1:59" x14ac:dyDescent="0.25">
      <c r="G39" s="51" t="s">
        <v>44</v>
      </c>
      <c r="H39" s="48" t="s">
        <v>45</v>
      </c>
      <c r="I39" s="49">
        <f>IF(WL_No="  ","  ",2/9*h*$I$29)</f>
        <v>12489.446398926664</v>
      </c>
    </row>
    <row r="40" spans="1:59" x14ac:dyDescent="0.25">
      <c r="G40" s="50" t="s">
        <v>47</v>
      </c>
      <c r="H40" s="48" t="s">
        <v>48</v>
      </c>
      <c r="I40" s="49">
        <f>IF(WL_No="  ","  ",IL-AWP*(LCF^2))</f>
        <v>313312.5673169372</v>
      </c>
    </row>
    <row r="41" spans="1:59" x14ac:dyDescent="0.25">
      <c r="G41" s="50" t="s">
        <v>50</v>
      </c>
      <c r="H41" s="48" t="s">
        <v>51</v>
      </c>
      <c r="I41" s="49">
        <f>IF(WL_No="  ","  ",h/3*$L$29)</f>
        <v>0</v>
      </c>
    </row>
    <row r="42" spans="1:59" x14ac:dyDescent="0.25">
      <c r="G42" s="50" t="s">
        <v>52</v>
      </c>
      <c r="H42" s="48" t="s">
        <v>53</v>
      </c>
      <c r="I42" s="49">
        <f>IF(WL_No="  ","  ",V_Disp*1.025*1.006)</f>
        <v>0</v>
      </c>
    </row>
    <row r="43" spans="1:59" x14ac:dyDescent="0.25">
      <c r="G43" s="50" t="s">
        <v>55</v>
      </c>
      <c r="H43" s="48" t="s">
        <v>56</v>
      </c>
      <c r="I43" s="49">
        <f>IF(WL_No="  ","  ",h/3*$N$29)</f>
        <v>0</v>
      </c>
    </row>
    <row r="44" spans="1:59" x14ac:dyDescent="0.25">
      <c r="G44" s="50" t="s">
        <v>57</v>
      </c>
      <c r="H44" s="48" t="s">
        <v>58</v>
      </c>
      <c r="I44" s="49">
        <f>IF(WL_No="  ","  ",(h^2)/3*$O$29)</f>
        <v>0</v>
      </c>
    </row>
    <row r="45" spans="1:59" x14ac:dyDescent="0.25">
      <c r="G45" s="50" t="s">
        <v>60</v>
      </c>
      <c r="H45" s="48" t="s">
        <v>61</v>
      </c>
      <c r="I45" s="49" t="e">
        <f>IF(WL_No="  ","  ",IF/V_Disp)</f>
        <v>#DIV/0!</v>
      </c>
    </row>
    <row r="46" spans="1:59" x14ac:dyDescent="0.25">
      <c r="G46" s="50" t="s">
        <v>63</v>
      </c>
      <c r="H46" s="48" t="s">
        <v>64</v>
      </c>
      <c r="I46" s="49" t="e">
        <f>IF(WL_No="  ","  ",IT/V_Disp)</f>
        <v>#DIV/0!</v>
      </c>
    </row>
    <row r="47" spans="1:59" x14ac:dyDescent="0.25">
      <c r="G47" s="50" t="s">
        <v>65</v>
      </c>
      <c r="H47" s="48" t="s">
        <v>66</v>
      </c>
      <c r="I47" s="49" t="e">
        <f>IF(WL_No="  ","  ",MT/V_Disp)</f>
        <v>#DIV/0!</v>
      </c>
    </row>
    <row r="48" spans="1:59" x14ac:dyDescent="0.25">
      <c r="G48" s="50" t="s">
        <v>67</v>
      </c>
      <c r="H48" s="48" t="s">
        <v>68</v>
      </c>
      <c r="I48" s="49" t="e">
        <f>IF(WL_No="  ","  ",KB+BMT)</f>
        <v>#DIV/0!</v>
      </c>
    </row>
    <row r="49" spans="7:9" x14ac:dyDescent="0.25">
      <c r="G49" s="50" t="s">
        <v>69</v>
      </c>
      <c r="H49" s="48" t="s">
        <v>70</v>
      </c>
      <c r="I49" s="49" t="e">
        <f>IF(WL_No="  ","  ",KB+BML)</f>
        <v>#DIV/0!</v>
      </c>
    </row>
    <row r="50" spans="7:9" x14ac:dyDescent="0.25">
      <c r="G50" s="50" t="s">
        <v>71</v>
      </c>
      <c r="H50" s="48" t="s">
        <v>72</v>
      </c>
      <c r="I50" s="49">
        <f>IF(WL_No="  ","  ",AWP*1.025/100)</f>
        <v>8.813210349999995</v>
      </c>
    </row>
    <row r="51" spans="7:9" x14ac:dyDescent="0.25">
      <c r="G51" s="50" t="s">
        <v>73</v>
      </c>
      <c r="H51" s="48" t="s">
        <v>74</v>
      </c>
      <c r="I51" s="49" t="e">
        <f>IF(WL_No="  ","  ",ML/V_Disp)</f>
        <v>#DIV/0!</v>
      </c>
    </row>
    <row r="52" spans="7:9" x14ac:dyDescent="0.25">
      <c r="G52" s="50" t="s">
        <v>75</v>
      </c>
      <c r="H52" s="55" t="s">
        <v>76</v>
      </c>
      <c r="I52" s="49" t="e">
        <f>IF(WL_No="  ","  ",M_Disp*BML/100/LBP)</f>
        <v>#DIV/0!</v>
      </c>
    </row>
    <row r="53" spans="7:9" x14ac:dyDescent="0.25">
      <c r="G53" s="50" t="s">
        <v>78</v>
      </c>
      <c r="H53" s="48" t="s">
        <v>79</v>
      </c>
      <c r="I53" s="49">
        <f>IF(WL_No="  ","  ",WLS*WL_No)</f>
        <v>0</v>
      </c>
    </row>
    <row r="54" spans="7:9" x14ac:dyDescent="0.25">
      <c r="G54" s="50" t="s">
        <v>80</v>
      </c>
      <c r="H54" s="48" t="s">
        <v>81</v>
      </c>
      <c r="I54" s="49">
        <f>IF(WL_No="  ","  ",AWP/(LBP*B_current))</f>
        <v>0.37957364341085259</v>
      </c>
    </row>
    <row r="55" spans="7:9" x14ac:dyDescent="0.25">
      <c r="G55" s="50" t="s">
        <v>82</v>
      </c>
      <c r="H55" s="48" t="s">
        <v>83</v>
      </c>
      <c r="I55" s="49" t="e">
        <f>IF(WL_No="  ","  ",V_Disp/(LBP*B_current*T))</f>
        <v>#DIV/0!</v>
      </c>
    </row>
    <row r="56" spans="7:9" x14ac:dyDescent="0.25">
      <c r="G56" s="50" t="s">
        <v>85</v>
      </c>
      <c r="H56" s="48" t="s">
        <v>86</v>
      </c>
      <c r="I56" s="65" t="e">
        <f>IF(WL_No="  ","  ",(VLOOKUP(Long_Div/2,AREA_TABLE,Count_WL+1,FALSE))/(B_current*T))</f>
        <v>#DIV/0!</v>
      </c>
    </row>
    <row r="57" spans="7:9" x14ac:dyDescent="0.25">
      <c r="G57" s="50" t="s">
        <v>88</v>
      </c>
      <c r="H57" s="48" t="s">
        <v>89</v>
      </c>
      <c r="I57" s="49" t="e">
        <f>IF(WL_No="  ","  ",CB/CM)</f>
        <v>#DIV/0!</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131" priority="14">
      <formula>ISERROR(A1)</formula>
    </cfRule>
  </conditionalFormatting>
  <conditionalFormatting sqref="G33:I34 G35:H57">
    <cfRule type="containsErrors" dxfId="130" priority="13">
      <formula>ISERROR(G33)</formula>
    </cfRule>
  </conditionalFormatting>
  <conditionalFormatting sqref="T12:T33">
    <cfRule type="containsErrors" dxfId="129" priority="12">
      <formula>ISERROR(T12)</formula>
    </cfRule>
  </conditionalFormatting>
  <conditionalFormatting sqref="I35:I57">
    <cfRule type="containsErrors" dxfId="128" priority="11">
      <formula>ISERROR(I35)</formula>
    </cfRule>
  </conditionalFormatting>
  <conditionalFormatting sqref="AY2:BC29">
    <cfRule type="containsErrors" dxfId="127" priority="8">
      <formula>ISERROR(AY2)</formula>
    </cfRule>
  </conditionalFormatting>
  <conditionalFormatting sqref="BE10:BG11 BE12:BF34">
    <cfRule type="containsErrors" dxfId="126" priority="10">
      <formula>ISERROR(BE10)</formula>
    </cfRule>
  </conditionalFormatting>
  <conditionalFormatting sqref="BG12:BG28 BG34">
    <cfRule type="containsErrors" dxfId="125" priority="9">
      <formula>ISERROR(BG12)</formula>
    </cfRule>
  </conditionalFormatting>
  <conditionalFormatting sqref="BE2:BG6">
    <cfRule type="containsErrors" dxfId="124" priority="7">
      <formula>ISERROR(BE2)</formula>
    </cfRule>
  </conditionalFormatting>
  <conditionalFormatting sqref="BF7:BG8">
    <cfRule type="containsErrors" dxfId="123" priority="5">
      <formula>ISERROR(BF7)</formula>
    </cfRule>
  </conditionalFormatting>
  <conditionalFormatting sqref="BE7:BE8">
    <cfRule type="containsErrors" dxfId="122" priority="6">
      <formula>ISERROR(BE7)</formula>
    </cfRule>
  </conditionalFormatting>
  <conditionalFormatting sqref="S30:S33">
    <cfRule type="containsErrors" dxfId="121" priority="4">
      <formula>ISERROR(S30)</formula>
    </cfRule>
  </conditionalFormatting>
  <conditionalFormatting sqref="BG29:BG32">
    <cfRule type="containsErrors" dxfId="120" priority="2">
      <formula>ISERROR(BG29)</formula>
    </cfRule>
  </conditionalFormatting>
  <conditionalFormatting sqref="AP27:AP28">
    <cfRule type="containsErrors" dxfId="119" priority="3">
      <formula>ISERROR(AP27)</formula>
    </cfRule>
  </conditionalFormatting>
  <conditionalFormatting sqref="BG33">
    <cfRule type="containsErrors" dxfId="118" priority="1">
      <formula>ISERROR(BG33)</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20</v>
      </c>
      <c r="E1" s="511" t="s">
        <v>91</v>
      </c>
      <c r="F1" s="511"/>
      <c r="G1">
        <f>VLOOKUP(Station_No,RISE_CALC,2,FALSE)</f>
        <v>2</v>
      </c>
      <c r="L1" s="511" t="s">
        <v>92</v>
      </c>
      <c r="M1" s="511"/>
      <c r="N1">
        <v>25</v>
      </c>
    </row>
    <row r="2" spans="1:46" x14ac:dyDescent="0.25">
      <c r="Q2" s="66" t="str">
        <f t="shared" ref="Q2:R6" si="0">G4</f>
        <v>Rise</v>
      </c>
      <c r="R2" s="67">
        <f t="shared" si="0"/>
        <v>1.1111111111111112</v>
      </c>
      <c r="S2" s="68" t="str">
        <f>IF(OR(R5-R4=R4-R3,R6-R4=R4-R3),R3,IF(OR(R5-R4=R4-R2,R6-R4=R4-R2),R2,"-"))</f>
        <v>-</v>
      </c>
      <c r="T2" s="69">
        <f>IFERROR(VLOOKUP(S2,STN_TABLE,2,FALSE),IF(R2=RisePerWLS,0,"-"))</f>
        <v>0</v>
      </c>
      <c r="U2" s="69">
        <v>5</v>
      </c>
      <c r="V2" s="69">
        <f>T2*U2</f>
        <v>0</v>
      </c>
      <c r="W2" s="69">
        <v>3</v>
      </c>
      <c r="X2" s="69">
        <f>T2*W2</f>
        <v>0</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1.5</v>
      </c>
      <c r="S3" s="76">
        <f>R4</f>
        <v>2</v>
      </c>
      <c r="T3" s="77">
        <f>VLOOKUP(S3,STN_TABLE,2,FALSE)</f>
        <v>1.1499999999999999</v>
      </c>
      <c r="U3" s="77">
        <v>8</v>
      </c>
      <c r="V3" s="77">
        <f>T3*U3</f>
        <v>9.1999999999999993</v>
      </c>
      <c r="W3" s="77">
        <v>10</v>
      </c>
      <c r="X3" s="77">
        <f>T3*W3</f>
        <v>11.5</v>
      </c>
      <c r="Y3" s="78" t="s">
        <v>97</v>
      </c>
      <c r="Z3" s="78"/>
      <c r="AA3" s="78" t="s">
        <v>98</v>
      </c>
      <c r="AB3" s="78"/>
      <c r="AC3" s="7" t="s">
        <v>99</v>
      </c>
      <c r="AD3" s="7"/>
      <c r="AE3" s="66" t="str">
        <f t="shared" ref="AE3:AF7" si="1">G4</f>
        <v>Rise</v>
      </c>
      <c r="AF3" s="67">
        <f t="shared" si="1"/>
        <v>1.1111111111111112</v>
      </c>
      <c r="AG3" s="79">
        <f>IF(AF7-AF6=AF6-AF5,AF5,IF(OR(AF7-AF6=AF6-AF4,AF7-AF5=AF5-AF4),AF4,IF(OR(AF7-AF6=AF6-AF3,AF7-AF5=AF5-AF3,AF7-AF4=AF4-AF3),AF3,"#NA")))</f>
        <v>2</v>
      </c>
      <c r="AH3" s="69">
        <f>IFERROR(VLOOKUP(AG3,STN_TABLE,2,FALSE),IF(AF3=RisePerWLS,0,"-"))</f>
        <v>1.1499999999999999</v>
      </c>
      <c r="AI3" s="69">
        <v>1</v>
      </c>
      <c r="AJ3" s="69">
        <f>AH3*AI3</f>
        <v>1.1499999999999999</v>
      </c>
      <c r="AK3" s="69">
        <f>AG3</f>
        <v>2</v>
      </c>
      <c r="AL3" s="69">
        <f>AJ3*AK3</f>
        <v>2.2999999999999998</v>
      </c>
      <c r="AM3" s="6" t="s">
        <v>93</v>
      </c>
      <c r="AN3" s="70">
        <f>IF(AND(AH3=0,AH4=0,AH5=0),WLS*(AG5-AG4),IF(AND(AG5-AG4=AG4-AG3,AG4&lt;&gt;AG5,AG3&lt;&gt;AG4,AG3&lt;&gt;AG5,AH5&lt;&gt;0,OR(AH3&lt;&gt;0,AH4&lt;&gt;0)),WLS*(AG5-AG4),"#NA"))</f>
        <v>1.8</v>
      </c>
    </row>
    <row r="4" spans="1:46" x14ac:dyDescent="0.25">
      <c r="A4">
        <v>1</v>
      </c>
      <c r="B4" s="80">
        <f t="shared" ref="B4:B28" si="2">VLOOKUP(Stn_WL,OFFSET_A,A4+1,FALSE)</f>
        <v>0</v>
      </c>
      <c r="C4" s="81">
        <f t="shared" ref="C4:C28" si="3">VLOOKUP(Station_No,OFFSET_A,A4+1,FALSE)</f>
        <v>0</v>
      </c>
      <c r="D4" s="81">
        <v>0</v>
      </c>
      <c r="E4" s="77">
        <v>0</v>
      </c>
      <c r="G4" t="s">
        <v>100</v>
      </c>
      <c r="H4">
        <f>Rise/WLS</f>
        <v>1.1111111111111112</v>
      </c>
      <c r="K4" t="str">
        <f>CONCATENATE("A(",H5,")=")</f>
        <v>A(1.5)=</v>
      </c>
      <c r="L4">
        <f>IFERROR(N18,N22)</f>
        <v>0.53199999999999992</v>
      </c>
      <c r="Q4" s="66" t="str">
        <f t="shared" si="0"/>
        <v>2nd_UWL</v>
      </c>
      <c r="R4" s="67">
        <f t="shared" si="0"/>
        <v>2</v>
      </c>
      <c r="S4" s="82" t="e">
        <f>IF((S2-S3)=S3-R5,R5,IF(S2-S3=S3-R6,R6,"-"))</f>
        <v>#VALUE!</v>
      </c>
      <c r="T4" s="83" t="e">
        <f>VLOOKUP(S4,STN_TABLE,2,FALSE)</f>
        <v>#VALUE!</v>
      </c>
      <c r="U4" s="83">
        <v>-1</v>
      </c>
      <c r="V4" s="83" t="e">
        <f>T4*U4</f>
        <v>#VALUE!</v>
      </c>
      <c r="W4" s="83">
        <v>-1</v>
      </c>
      <c r="X4" s="83" t="e">
        <f>T4*W4</f>
        <v>#VALUE!</v>
      </c>
      <c r="Y4" s="84" t="str">
        <f>CONCATENATE("a'(",S3,")=")</f>
        <v>a'(2)=</v>
      </c>
      <c r="Z4" s="85" t="e">
        <f>2*Z2/12*V5</f>
        <v>#VALUE!</v>
      </c>
      <c r="AA4" s="84" t="str">
        <f>CONCATENATE("A(",S2,")=")</f>
        <v>A(-)=</v>
      </c>
      <c r="AB4" s="84" t="e">
        <f>IF(S2=RisePerWLS,0,VLOOKUP(S2,STN_TABLE,3,FALSE))</f>
        <v>#N/A</v>
      </c>
      <c r="AC4" t="str">
        <f>CONCATENATE("A(",S3,")=")</f>
        <v>A(2)=</v>
      </c>
      <c r="AD4" t="e">
        <f>Z4+AB4</f>
        <v>#VALUE!</v>
      </c>
      <c r="AE4" s="66" t="str">
        <f t="shared" si="1"/>
        <v>1st_UWL</v>
      </c>
      <c r="AF4" s="67">
        <f t="shared" si="1"/>
        <v>1.5</v>
      </c>
      <c r="AG4" s="80">
        <f>IF(OR(AF7-AF6=AF6-AF5,AF7-AF6=AF6-AF4,AF7-AF6=AF6-AF3),AF6,IF(OR(AF7-AF5=AF5-AF4,AF7-AF5=AF5-AF3),AF5,IF(AF7-AF4=AF4-AF3,AF4,"#NA")))</f>
        <v>3</v>
      </c>
      <c r="AH4" s="77">
        <f>VLOOKUP(AG4,STN_TABLE,2,FALSE)</f>
        <v>1.45</v>
      </c>
      <c r="AI4" s="77">
        <v>4</v>
      </c>
      <c r="AJ4" s="77">
        <f>AH4*AI4</f>
        <v>5.8</v>
      </c>
      <c r="AK4" s="77">
        <f>AG4</f>
        <v>3</v>
      </c>
      <c r="AL4" s="77">
        <f>AJ4*AK4</f>
        <v>17.399999999999999</v>
      </c>
      <c r="AM4" s="78" t="s">
        <v>97</v>
      </c>
      <c r="AN4" s="78"/>
      <c r="AO4" s="78" t="s">
        <v>98</v>
      </c>
      <c r="AP4" s="78"/>
      <c r="AQ4" s="7" t="s">
        <v>99</v>
      </c>
      <c r="AR4" s="7"/>
      <c r="AS4" s="7"/>
      <c r="AT4" s="7"/>
    </row>
    <row r="5" spans="1:46" x14ac:dyDescent="0.25">
      <c r="A5">
        <v>2</v>
      </c>
      <c r="B5" s="80">
        <f t="shared" si="2"/>
        <v>0.5</v>
      </c>
      <c r="C5" s="81">
        <f t="shared" si="3"/>
        <v>0</v>
      </c>
      <c r="D5" s="81">
        <f t="shared" ref="D5:D28" si="4">IFERROR(VLOOKUP(CONCATENATE("A(",B5,")="),RESULT_TABLE,6,FALSE)," ")</f>
        <v>0</v>
      </c>
      <c r="E5" s="77">
        <f t="shared" ref="E5:E28" si="5">IFERROR(VLOOKUP(CONCATENATE("M(",B5,")="),RESULT_TABLE,6,FALSE)," ")</f>
        <v>0</v>
      </c>
      <c r="G5" t="s">
        <v>101</v>
      </c>
      <c r="H5">
        <f>VLOOKUP(Station_No,RISE_CALC,4,FALSE)</f>
        <v>1.5</v>
      </c>
      <c r="K5" t="str">
        <f>CONCATENATE("M(",H5,")=")</f>
        <v>M(1.5)=</v>
      </c>
      <c r="L5">
        <f>IFERROR(N19,N23)</f>
        <v>1.3122666666666665</v>
      </c>
      <c r="Q5" s="66" t="str">
        <f t="shared" si="0"/>
        <v>3rd_UWL</v>
      </c>
      <c r="R5" s="67">
        <f t="shared" si="0"/>
        <v>3</v>
      </c>
      <c r="V5" s="86" t="e">
        <f>SUM(V2:V4)</f>
        <v>#VALUE!</v>
      </c>
      <c r="X5" s="87" t="e">
        <f>SUM(X2:X4)</f>
        <v>#VALUE!</v>
      </c>
      <c r="Y5" s="84" t="str">
        <f>CONCATENATE("m'(",S3,")=")</f>
        <v>m'(2)=</v>
      </c>
      <c r="Z5" s="85" t="e">
        <f>(2*(Z2^2)/24*X5)+(Z4*S2*WLS)</f>
        <v>#VALUE!</v>
      </c>
      <c r="AA5" s="84" t="str">
        <f>CONCATENATE("M(",S2,")=")</f>
        <v>M(-)=</v>
      </c>
      <c r="AB5" s="84" t="e">
        <f>IF(S2=RisePerWLS,0,VLOOKUP(S2,STN_TABLE,4,FALSE))</f>
        <v>#N/A</v>
      </c>
      <c r="AC5" t="str">
        <f>CONCATENATE("M(",S3,")=")</f>
        <v>M(2)=</v>
      </c>
      <c r="AD5" t="e">
        <f>Z5+AB5</f>
        <v>#VALUE!</v>
      </c>
      <c r="AE5" s="66" t="str">
        <f t="shared" si="1"/>
        <v>2nd_UWL</v>
      </c>
      <c r="AF5" s="67">
        <f t="shared" si="1"/>
        <v>2</v>
      </c>
      <c r="AG5" s="88">
        <f>AF7</f>
        <v>4</v>
      </c>
      <c r="AH5" s="83">
        <f>VLOOKUP(AG5,STN_TABLE,2,FALSE)</f>
        <v>1.04</v>
      </c>
      <c r="AI5" s="83">
        <v>1</v>
      </c>
      <c r="AJ5" s="83">
        <f>AH5*AI5</f>
        <v>1.04</v>
      </c>
      <c r="AK5" s="83">
        <f>AG5</f>
        <v>4</v>
      </c>
      <c r="AL5" s="83">
        <f>AJ5*AK5</f>
        <v>4.16</v>
      </c>
      <c r="AM5" s="84" t="str">
        <f>CONCATENATE("a'(",AG5,")=")</f>
        <v>a'(4)=</v>
      </c>
      <c r="AN5" s="84">
        <f>2*AN3/3*AJ6</f>
        <v>9.5879999999999992</v>
      </c>
      <c r="AO5" s="84" t="str">
        <f>CONCATENATE("A(",AG3,")=")</f>
        <v>A(2)=</v>
      </c>
      <c r="AP5" s="84">
        <f>IF(AG3=RisePerWLS,0,VLOOKUP(AG3,STN_TABLE,3,FALSE))</f>
        <v>2.2509999999999999</v>
      </c>
      <c r="AQ5" t="str">
        <f>CONCATENATE("A(",AG5,")=")</f>
        <v>A(4)=</v>
      </c>
      <c r="AR5">
        <f>AN5+AP5</f>
        <v>11.838999999999999</v>
      </c>
    </row>
    <row r="6" spans="1:46" x14ac:dyDescent="0.25">
      <c r="A6">
        <v>3</v>
      </c>
      <c r="B6" s="80">
        <f t="shared" si="2"/>
        <v>1</v>
      </c>
      <c r="C6" s="81">
        <f t="shared" si="3"/>
        <v>0</v>
      </c>
      <c r="D6" s="81">
        <f t="shared" si="4"/>
        <v>0</v>
      </c>
      <c r="E6" s="77">
        <f t="shared" si="5"/>
        <v>0</v>
      </c>
      <c r="G6" t="s">
        <v>102</v>
      </c>
      <c r="H6">
        <f>VLOOKUP(Station_No,RISE_CALC,5,FALSE)</f>
        <v>2</v>
      </c>
      <c r="K6" t="str">
        <f>CONCATENATE("A(",H6,")=")</f>
        <v>A(2)=</v>
      </c>
      <c r="L6">
        <f>IFERROR(P27,IFERROR(X6,AD9))</f>
        <v>2.2509999999999999</v>
      </c>
      <c r="Q6" s="66" t="str">
        <f t="shared" si="0"/>
        <v>4th_UWL</v>
      </c>
      <c r="R6" s="67">
        <f t="shared" si="0"/>
        <v>4</v>
      </c>
      <c r="U6" t="s">
        <v>103</v>
      </c>
      <c r="W6" t="str">
        <f>CONCATENATE("A(",S3,")=")</f>
        <v>A(2)=</v>
      </c>
      <c r="X6" t="e">
        <f>IF(OR(AD4&lt;=0,AD5&lt;=0),AD9,AD4)</f>
        <v>#VALUE!</v>
      </c>
      <c r="AE6" s="66" t="str">
        <f t="shared" si="1"/>
        <v>3rd_UWL</v>
      </c>
      <c r="AF6" s="67">
        <f t="shared" si="1"/>
        <v>3</v>
      </c>
      <c r="AJ6" s="89">
        <f>SUM(AJ3:AJ5)</f>
        <v>7.9899999999999993</v>
      </c>
      <c r="AL6" s="89">
        <f>SUM(AL3:AL5)</f>
        <v>23.86</v>
      </c>
      <c r="AM6" s="84" t="str">
        <f>CONCATENATE("m'(",AG5,")=")</f>
        <v>m'(4)=</v>
      </c>
      <c r="AN6" s="84">
        <f>2*(AN3*WLS)/3*AL6</f>
        <v>51.537600000000005</v>
      </c>
      <c r="AO6" s="84" t="str">
        <f>CONCATENATE("M(",AG3,")=")</f>
        <v>M(2)=</v>
      </c>
      <c r="AP6" s="84">
        <f>IF(AG3=RisePerWLS,0,VLOOKUP(AG3,STN_TABLE,4,FALSE))</f>
        <v>6.7797666666666672</v>
      </c>
      <c r="AQ6" t="str">
        <f>CONCATENATE("M(",AG5,")=")</f>
        <v>M(4)=</v>
      </c>
      <c r="AR6">
        <f>AN6+AP6</f>
        <v>58.317366666666672</v>
      </c>
    </row>
    <row r="7" spans="1:46" x14ac:dyDescent="0.25">
      <c r="A7">
        <v>4</v>
      </c>
      <c r="B7" s="80">
        <f t="shared" si="2"/>
        <v>1.5</v>
      </c>
      <c r="C7" s="81">
        <f t="shared" si="3"/>
        <v>0.76</v>
      </c>
      <c r="D7" s="81">
        <f t="shared" si="4"/>
        <v>0.53199999999999992</v>
      </c>
      <c r="E7" s="77">
        <f t="shared" si="5"/>
        <v>1.3122666666666665</v>
      </c>
      <c r="G7" t="s">
        <v>104</v>
      </c>
      <c r="H7">
        <f>VLOOKUP(Station_No,RISE_CALC,6,FALSE)</f>
        <v>3</v>
      </c>
      <c r="K7" t="str">
        <f>CONCATENATE("M(",H6,")=")</f>
        <v>M(2)=</v>
      </c>
      <c r="L7">
        <f>IFERROR(P28,IFERROR(X7,AD10))</f>
        <v>6.7797666666666672</v>
      </c>
      <c r="Q7" s="66"/>
      <c r="R7" s="67"/>
      <c r="W7" t="str">
        <f>CONCATENATE("M(",S3,")=")</f>
        <v>M(2)=</v>
      </c>
      <c r="X7" t="e">
        <f>IF(OR(AD4&lt;=0,AD5&lt;=0),AD10,AD5)</f>
        <v>#VALUE!</v>
      </c>
      <c r="Y7" s="6" t="s">
        <v>93</v>
      </c>
      <c r="Z7" s="70">
        <f>WLS*(U9-U8)</f>
        <v>0.9</v>
      </c>
      <c r="AE7" s="66" t="str">
        <f t="shared" si="1"/>
        <v>4th_UWL</v>
      </c>
      <c r="AF7" s="67">
        <f t="shared" si="1"/>
        <v>4</v>
      </c>
      <c r="AH7" s="81"/>
    </row>
    <row r="8" spans="1:46" x14ac:dyDescent="0.25">
      <c r="A8">
        <v>5</v>
      </c>
      <c r="B8" s="80">
        <f t="shared" si="2"/>
        <v>2</v>
      </c>
      <c r="C8" s="81">
        <f t="shared" si="3"/>
        <v>1.1499999999999999</v>
      </c>
      <c r="D8" s="81">
        <f t="shared" si="4"/>
        <v>2.2509999999999999</v>
      </c>
      <c r="E8" s="77">
        <f t="shared" si="5"/>
        <v>6.7797666666666672</v>
      </c>
      <c r="G8" t="s">
        <v>105</v>
      </c>
      <c r="H8">
        <f>VLOOKUP(Station_No,RISE_CALC,7,FALSE)</f>
        <v>4</v>
      </c>
      <c r="K8" t="str">
        <f>CONCATENATE("A(",H7,")=")</f>
        <v>A(3)=</v>
      </c>
      <c r="L8">
        <f>IFERROR(AD15,IFERROR(X24,AD27))</f>
        <v>7.1440000000000001</v>
      </c>
      <c r="Q8" s="80"/>
      <c r="R8" s="81"/>
      <c r="U8" s="79">
        <f>R3</f>
        <v>1.5</v>
      </c>
      <c r="V8" s="68">
        <f>VLOOKUP(U8,STN_TABLE,2,FALSE)</f>
        <v>0.76</v>
      </c>
      <c r="W8" s="68">
        <v>1</v>
      </c>
      <c r="X8" s="69">
        <f>V8*W8</f>
        <v>0.76</v>
      </c>
      <c r="Y8" s="78" t="s">
        <v>97</v>
      </c>
      <c r="Z8" s="78"/>
      <c r="AA8" s="78" t="s">
        <v>98</v>
      </c>
      <c r="AB8" s="78"/>
      <c r="AC8" s="7" t="s">
        <v>99</v>
      </c>
      <c r="AD8" s="7"/>
      <c r="AE8" s="66"/>
      <c r="AF8" s="67"/>
      <c r="AG8" s="68">
        <f>IF(OR(AF12-AF11=AF11-AF10,AF13-AF11=AF11-AF10),AF10,IF(OR(AF12-AF11=AF11-AF9,AF13-AF11=AF11-AF9),AF9,"-"))</f>
        <v>3</v>
      </c>
      <c r="AH8" s="69">
        <f>IFERROR(VLOOKUP(AG8,STN_TABLE,2,FALSE),IF(AF8=RisePerWLS,0,"-"))</f>
        <v>1.45</v>
      </c>
      <c r="AI8" s="69">
        <v>5</v>
      </c>
      <c r="AJ8" s="69">
        <f>AH8*AI8</f>
        <v>7.25</v>
      </c>
      <c r="AK8" s="69">
        <v>3</v>
      </c>
      <c r="AL8" s="69">
        <f>AH8*AK8</f>
        <v>4.3499999999999996</v>
      </c>
      <c r="AM8" s="6" t="s">
        <v>93</v>
      </c>
      <c r="AN8" s="70">
        <f>IF(AND(AG10-AG9=AG9-AG8,NOT(AND(AG8=0,AG9=0)),NOT(AND(AG9=0,AG10=0))),WLS*(AG10-AG9),"#NA")</f>
        <v>1.8</v>
      </c>
    </row>
    <row r="9" spans="1:46" x14ac:dyDescent="0.25">
      <c r="A9">
        <v>6</v>
      </c>
      <c r="B9" s="80">
        <f t="shared" si="2"/>
        <v>3</v>
      </c>
      <c r="C9" s="81">
        <f t="shared" si="3"/>
        <v>1.45</v>
      </c>
      <c r="D9" s="81">
        <f t="shared" si="4"/>
        <v>7.1440000000000001</v>
      </c>
      <c r="E9" s="77">
        <f t="shared" si="5"/>
        <v>28.960266666666669</v>
      </c>
      <c r="G9" t="s">
        <v>106</v>
      </c>
      <c r="H9">
        <f>VLOOKUP(Station_No,RISE_CALC,8,FALSE)</f>
        <v>5</v>
      </c>
      <c r="K9" t="str">
        <f>CONCATENATE("M(",H7,")=")</f>
        <v>M(3)=</v>
      </c>
      <c r="L9">
        <f>IFERROR(AD16,IFERROR(X25,AD28))</f>
        <v>28.960266666666669</v>
      </c>
      <c r="Q9" s="80"/>
      <c r="R9" s="81"/>
      <c r="U9" s="88">
        <f>R4</f>
        <v>2</v>
      </c>
      <c r="V9" s="82">
        <f>VLOOKUP(U9,STN_TABLE,2,FALSE)</f>
        <v>1.1499999999999999</v>
      </c>
      <c r="W9" s="82">
        <v>2</v>
      </c>
      <c r="X9" s="83">
        <f>V9*W9</f>
        <v>2.2999999999999998</v>
      </c>
      <c r="Y9" s="84" t="str">
        <f>CONCATENATE("a'(",U9,")=")</f>
        <v>a'(2)=</v>
      </c>
      <c r="Z9" s="84">
        <f>2*Z7/2*V10</f>
        <v>1.7189999999999999</v>
      </c>
      <c r="AA9" s="84" t="str">
        <f>CONCATENATE("A(",U8,")=")</f>
        <v>A(1.5)=</v>
      </c>
      <c r="AB9" s="84">
        <f>IF(U8=RisePerWLS,0,VLOOKUP(U8,STN_TABLE,3,FALSE))</f>
        <v>0.53199999999999992</v>
      </c>
      <c r="AC9" t="str">
        <f>CONCATENATE("A(",U9,")=")</f>
        <v>A(2)=</v>
      </c>
      <c r="AD9">
        <f>Z9+AB9</f>
        <v>2.2509999999999999</v>
      </c>
      <c r="AE9" s="66" t="str">
        <f t="shared" ref="AE9:AF13" si="6">G6</f>
        <v>2nd_UWL</v>
      </c>
      <c r="AF9" s="67">
        <f t="shared" si="6"/>
        <v>2</v>
      </c>
      <c r="AG9" s="76">
        <f>AF11</f>
        <v>4</v>
      </c>
      <c r="AH9" s="77">
        <f>VLOOKUP(AG9,STN_TABLE,2,FALSE)</f>
        <v>1.04</v>
      </c>
      <c r="AI9" s="77">
        <v>8</v>
      </c>
      <c r="AJ9" s="77">
        <f>AH9*AI9</f>
        <v>8.32</v>
      </c>
      <c r="AK9" s="77">
        <v>10</v>
      </c>
      <c r="AL9" s="77">
        <f>AH9*AK9</f>
        <v>10.4</v>
      </c>
      <c r="AM9" s="78" t="s">
        <v>97</v>
      </c>
      <c r="AN9" s="78"/>
      <c r="AO9" s="78" t="s">
        <v>98</v>
      </c>
      <c r="AP9" s="78"/>
      <c r="AQ9" s="7" t="s">
        <v>99</v>
      </c>
      <c r="AR9" s="7"/>
      <c r="AS9" s="7"/>
      <c r="AT9" s="7"/>
    </row>
    <row r="10" spans="1:46" x14ac:dyDescent="0.25">
      <c r="A10">
        <v>7</v>
      </c>
      <c r="B10" s="80">
        <f t="shared" si="2"/>
        <v>4</v>
      </c>
      <c r="C10" s="81">
        <f t="shared" si="3"/>
        <v>1.04</v>
      </c>
      <c r="D10" s="81">
        <f t="shared" si="4"/>
        <v>11.838999999999999</v>
      </c>
      <c r="E10" s="77">
        <f t="shared" si="5"/>
        <v>58.317366666666672</v>
      </c>
      <c r="G10" t="s">
        <v>107</v>
      </c>
      <c r="H10">
        <f>VLOOKUP(Station_No,RISE_CALC,9,FALSE)</f>
        <v>5.6111111111111107</v>
      </c>
      <c r="K10" t="str">
        <f>CONCATENATE("A(",H8,")=")</f>
        <v>A(4)=</v>
      </c>
      <c r="L10">
        <f>IFERROR(AR5,IFERROR(AL12,AR15))</f>
        <v>11.838999999999999</v>
      </c>
      <c r="Q10" s="80"/>
      <c r="R10" s="81"/>
      <c r="V10" s="89">
        <f>SUM(V8:V9)</f>
        <v>1.91</v>
      </c>
      <c r="X10" s="89">
        <f>SUM(X8:X9)</f>
        <v>3.0599999999999996</v>
      </c>
      <c r="Y10" s="84" t="str">
        <f>CONCATENATE("m'(",U9,")=")</f>
        <v>m'(2)=</v>
      </c>
      <c r="Z10" s="84">
        <f>(2*(Z7^2)/6*X10)+(Z9*U8*WLS)</f>
        <v>5.4675000000000002</v>
      </c>
      <c r="AA10" s="84" t="str">
        <f>CONCATENATE("M(",U8,")=")</f>
        <v>M(1.5)=</v>
      </c>
      <c r="AB10" s="84">
        <f>IF(U8=RisePerWLS,0,VLOOKUP(U8,STN_TABLE,4,FALSE))</f>
        <v>1.3122666666666665</v>
      </c>
      <c r="AC10" t="str">
        <f>CONCATENATE("M(",U9,")=")</f>
        <v>M(2)=</v>
      </c>
      <c r="AD10">
        <f>Z10+AB10</f>
        <v>6.7797666666666672</v>
      </c>
      <c r="AE10" s="66" t="str">
        <f t="shared" si="6"/>
        <v>3rd_UWL</v>
      </c>
      <c r="AF10" s="67">
        <f t="shared" si="6"/>
        <v>3</v>
      </c>
      <c r="AG10" s="82">
        <f>IF(AG8-AG9=AG9-AF12,AF12,IF(AG8-AG9=AG9-AF13,AF13,"-"))</f>
        <v>5</v>
      </c>
      <c r="AH10" s="83">
        <f>VLOOKUP(AG10,STN_TABLE,2,FALSE)</f>
        <v>0</v>
      </c>
      <c r="AI10" s="83">
        <v>-1</v>
      </c>
      <c r="AJ10" s="83">
        <f>AH10*AI10</f>
        <v>0</v>
      </c>
      <c r="AK10" s="83">
        <v>-1</v>
      </c>
      <c r="AL10" s="83">
        <f>AH10*AK10</f>
        <v>0</v>
      </c>
      <c r="AM10" s="84" t="str">
        <f>CONCATENATE("a'(",AG9,")=")</f>
        <v>a'(4)=</v>
      </c>
      <c r="AN10" s="84">
        <f>2*AN8/12*AJ11</f>
        <v>4.6710000000000003</v>
      </c>
      <c r="AO10" s="84" t="str">
        <f>CONCATENATE("A(",AG8,")=")</f>
        <v>A(3)=</v>
      </c>
      <c r="AP10" s="84">
        <f>VLOOKUP(AG8,STN_TABLE,3,FALSE)</f>
        <v>7.1440000000000001</v>
      </c>
      <c r="AQ10" t="str">
        <f>CONCATENATE("A(",AG9,")=")</f>
        <v>A(4)=</v>
      </c>
      <c r="AR10">
        <f>AN10+AP10</f>
        <v>11.815000000000001</v>
      </c>
    </row>
    <row r="11" spans="1:46" x14ac:dyDescent="0.25">
      <c r="A11">
        <v>8</v>
      </c>
      <c r="B11" s="80">
        <f t="shared" si="2"/>
        <v>5</v>
      </c>
      <c r="C11" s="81">
        <f t="shared" si="3"/>
        <v>0</v>
      </c>
      <c r="D11" s="81">
        <f t="shared" si="4"/>
        <v>13.323999999999998</v>
      </c>
      <c r="E11" s="77">
        <f t="shared" si="5"/>
        <v>69.784266666666667</v>
      </c>
      <c r="G11" t="s">
        <v>108</v>
      </c>
      <c r="H11">
        <f>VLOOKUP(Station_No,RISE_CALC,10,FALSE)</f>
        <v>6</v>
      </c>
      <c r="K11" t="str">
        <f>CONCATENATE("M(",H8,")=")</f>
        <v>M(4)=</v>
      </c>
      <c r="L11">
        <f>IFERROR(AR6,IFERROR(AL13,AR16))</f>
        <v>58.317366666666672</v>
      </c>
      <c r="Q11" s="80"/>
      <c r="R11" s="81"/>
      <c r="AE11" s="66" t="str">
        <f t="shared" si="6"/>
        <v>4th_UWL</v>
      </c>
      <c r="AF11" s="67">
        <f t="shared" si="6"/>
        <v>4</v>
      </c>
      <c r="AJ11" s="89">
        <f>SUM(AJ8:AJ10)</f>
        <v>15.57</v>
      </c>
      <c r="AL11" s="89">
        <f>SUM(AL8:AL10)</f>
        <v>14.75</v>
      </c>
      <c r="AM11" s="84" t="str">
        <f>CONCATENATE("m'(",AG9,")=")</f>
        <v>m'(4)=</v>
      </c>
      <c r="AN11" s="84">
        <f>(2*(AN8^2)/24*AL11)+(AN10*AG8*WLS)</f>
        <v>29.205900000000007</v>
      </c>
      <c r="AO11" s="84" t="str">
        <f>CONCATENATE("M(",AG8,")=")</f>
        <v>M(3)=</v>
      </c>
      <c r="AP11" s="84">
        <f>VLOOKUP(AG8,STN_TABLE,4,FALSE)</f>
        <v>28.960266666666669</v>
      </c>
      <c r="AQ11" t="str">
        <f>CONCATENATE("M(",AG9,")=")</f>
        <v>M(4)=</v>
      </c>
      <c r="AR11">
        <f>AN11+AP11</f>
        <v>58.166166666666676</v>
      </c>
    </row>
    <row r="12" spans="1:46" x14ac:dyDescent="0.25">
      <c r="A12">
        <v>9</v>
      </c>
      <c r="B12" s="80">
        <f t="shared" si="2"/>
        <v>5.6111111111111107</v>
      </c>
      <c r="C12" s="81">
        <f t="shared" si="3"/>
        <v>0</v>
      </c>
      <c r="D12" s="81">
        <f t="shared" si="4"/>
        <v>13.323999999999998</v>
      </c>
      <c r="E12" s="77">
        <f t="shared" si="5"/>
        <v>69.784266666666667</v>
      </c>
      <c r="Q12" s="90" t="s">
        <v>109</v>
      </c>
      <c r="R12" s="81"/>
      <c r="AE12" s="66" t="str">
        <f t="shared" si="6"/>
        <v>5th_UWL</v>
      </c>
      <c r="AF12" s="67">
        <f t="shared" si="6"/>
        <v>5</v>
      </c>
      <c r="AI12" t="s">
        <v>103</v>
      </c>
      <c r="AK12" t="str">
        <f>CONCATENATE("A(",AG9,")=")</f>
        <v>A(4)=</v>
      </c>
      <c r="AL12">
        <f>IF(OR(AR10&lt;=0,AR11&lt;=0),AR15,AR10)</f>
        <v>11.815000000000001</v>
      </c>
    </row>
    <row r="13" spans="1:46" x14ac:dyDescent="0.25">
      <c r="A13">
        <v>10</v>
      </c>
      <c r="B13" s="80">
        <f t="shared" si="2"/>
        <v>6</v>
      </c>
      <c r="C13" s="81">
        <f t="shared" si="3"/>
        <v>0.25</v>
      </c>
      <c r="D13" s="81">
        <f t="shared" si="4"/>
        <v>13.668999999999999</v>
      </c>
      <c r="E13" s="77">
        <f t="shared" si="5"/>
        <v>73.334766666666667</v>
      </c>
      <c r="G13" s="71" t="s">
        <v>110</v>
      </c>
      <c r="Q13" s="66" t="str">
        <f t="shared" ref="Q13:R16" si="7">G4</f>
        <v>Rise</v>
      </c>
      <c r="R13" s="67">
        <f t="shared" si="7"/>
        <v>1.1111111111111112</v>
      </c>
      <c r="S13" s="68" t="str">
        <f>IF(R16-R15=R15-R14,R14,IF(R16-R14=R14-R13,R13,"-"))</f>
        <v>-</v>
      </c>
      <c r="T13" s="69">
        <f>IFERROR(VLOOKUP(S13,STN_TABLE,2,FALSE),IF(R13=RisePerWLS,0,"-"))</f>
        <v>0</v>
      </c>
      <c r="U13" s="69">
        <v>1</v>
      </c>
      <c r="V13" s="69">
        <f>T13*U13</f>
        <v>0</v>
      </c>
      <c r="W13" s="69" t="str">
        <f>S13</f>
        <v>-</v>
      </c>
      <c r="X13" s="69" t="e">
        <f>V13*W13</f>
        <v>#VALUE!</v>
      </c>
      <c r="Y13" s="6" t="s">
        <v>93</v>
      </c>
      <c r="Z13" s="70" t="e">
        <f>IF(AND(T13=0,T14=0,T15=0),WLS*(S15-S14),IF(AND(S15-S14=S14-S13,S14&lt;&gt;S15,S13&lt;&gt;S14,S13&lt;&gt;S15,T15&lt;&gt;0,OR(T13&lt;&gt;0,T14&lt;&gt;0)),WLS*(S15-S14),"#NA"))</f>
        <v>#N/A</v>
      </c>
      <c r="AE13" s="66" t="str">
        <f t="shared" si="6"/>
        <v>6th_UWL</v>
      </c>
      <c r="AF13" s="67">
        <f t="shared" si="6"/>
        <v>5.6111111111111107</v>
      </c>
      <c r="AK13" t="str">
        <f>CONCATENATE("M(",AG9,")=")</f>
        <v>M(4)=</v>
      </c>
      <c r="AL13">
        <f>IF(OR(AR10&lt;=0,AR11&lt;=0),AR16,AR11)</f>
        <v>58.166166666666676</v>
      </c>
      <c r="AM13" s="6" t="s">
        <v>93</v>
      </c>
      <c r="AN13" s="70">
        <f>WLS*(AI15-AI14)</f>
        <v>1.8</v>
      </c>
    </row>
    <row r="14" spans="1:46" x14ac:dyDescent="0.25">
      <c r="A14">
        <v>11</v>
      </c>
      <c r="B14" s="80">
        <f t="shared" si="2"/>
        <v>7</v>
      </c>
      <c r="C14" s="81">
        <f t="shared" si="3"/>
        <v>0.85</v>
      </c>
      <c r="D14" s="81">
        <f t="shared" si="4"/>
        <v>15.648999999999999</v>
      </c>
      <c r="E14" s="77">
        <f t="shared" si="5"/>
        <v>96.824766666666676</v>
      </c>
      <c r="G14" s="91" t="str">
        <f>G4</f>
        <v>Rise</v>
      </c>
      <c r="H14" s="91">
        <f>RisePerWLS</f>
        <v>1.1111111111111112</v>
      </c>
      <c r="I14" s="68">
        <f>H14</f>
        <v>1.1111111111111112</v>
      </c>
      <c r="J14" s="69">
        <v>0</v>
      </c>
      <c r="K14" s="69">
        <v>5</v>
      </c>
      <c r="L14" s="69">
        <f>J14*K14</f>
        <v>0</v>
      </c>
      <c r="M14" s="69">
        <v>3</v>
      </c>
      <c r="N14" s="69">
        <f>J14*M14</f>
        <v>0</v>
      </c>
      <c r="O14" t="s">
        <v>93</v>
      </c>
      <c r="P14" t="e">
        <f>IF(AND(NOT(AND(J14=0,J15=0)),I14&lt;&gt;I15,I15&lt;&gt;I16,I16-I15=I15-I14),(I16-I15)*WLS,"#NA")</f>
        <v>#VALUE!</v>
      </c>
      <c r="Q14" s="66" t="str">
        <f t="shared" si="7"/>
        <v>1st_UWL</v>
      </c>
      <c r="R14" s="67">
        <f t="shared" si="7"/>
        <v>1.5</v>
      </c>
      <c r="S14" s="76" t="str">
        <f>IF(R16-R15=R15-R14,R15,IF(R16-R14=R14-R13,R14,"-"))</f>
        <v>-</v>
      </c>
      <c r="T14" s="77" t="e">
        <f>VLOOKUP(S14,STN_TABLE,2,FALSE)</f>
        <v>#N/A</v>
      </c>
      <c r="U14" s="77">
        <v>4</v>
      </c>
      <c r="V14" s="77" t="e">
        <f>T14*U14</f>
        <v>#N/A</v>
      </c>
      <c r="W14" s="77" t="str">
        <f>S14</f>
        <v>-</v>
      </c>
      <c r="X14" s="77" t="e">
        <f>V14*W14</f>
        <v>#N/A</v>
      </c>
      <c r="Y14" s="78" t="s">
        <v>97</v>
      </c>
      <c r="Z14" s="78"/>
      <c r="AA14" s="78" t="s">
        <v>98</v>
      </c>
      <c r="AB14" s="78"/>
      <c r="AC14" s="7" t="s">
        <v>99</v>
      </c>
      <c r="AD14" s="7"/>
      <c r="AE14" s="66"/>
      <c r="AF14" s="67"/>
      <c r="AI14" s="79">
        <f>AF10</f>
        <v>3</v>
      </c>
      <c r="AJ14" s="68">
        <f>VLOOKUP(AI14,STN_TABLE,2,FALSE)</f>
        <v>1.45</v>
      </c>
      <c r="AK14" s="68">
        <v>1</v>
      </c>
      <c r="AL14" s="69">
        <f>AJ14*AK14</f>
        <v>1.45</v>
      </c>
      <c r="AM14" s="78" t="s">
        <v>97</v>
      </c>
      <c r="AN14" s="78"/>
      <c r="AO14" s="78" t="s">
        <v>98</v>
      </c>
      <c r="AP14" s="78"/>
      <c r="AQ14" s="7" t="s">
        <v>99</v>
      </c>
      <c r="AR14" s="7"/>
      <c r="AS14" s="7"/>
      <c r="AT14" s="7"/>
    </row>
    <row r="15" spans="1:46" x14ac:dyDescent="0.25">
      <c r="A15">
        <v>12</v>
      </c>
      <c r="B15" s="80">
        <f t="shared" si="2"/>
        <v>7.8833333333333329</v>
      </c>
      <c r="C15" s="81">
        <f t="shared" si="3"/>
        <v>1.78</v>
      </c>
      <c r="D15" s="81">
        <f t="shared" si="4"/>
        <v>19.830699999999997</v>
      </c>
      <c r="E15" s="77">
        <f t="shared" si="5"/>
        <v>153.23049366666663</v>
      </c>
      <c r="G15" s="91" t="str">
        <f>G5</f>
        <v>1st_UWL</v>
      </c>
      <c r="H15" s="91">
        <f>H5</f>
        <v>1.5</v>
      </c>
      <c r="I15" s="76">
        <f>H15</f>
        <v>1.5</v>
      </c>
      <c r="J15" s="77">
        <f>VLOOKUP(I15,STN_TABLE,2,FALSE)</f>
        <v>0.76</v>
      </c>
      <c r="K15" s="77">
        <v>8</v>
      </c>
      <c r="L15" s="77">
        <f>J15*K15</f>
        <v>6.08</v>
      </c>
      <c r="M15" s="77">
        <v>10</v>
      </c>
      <c r="N15" s="77">
        <f>J15*M15</f>
        <v>7.6</v>
      </c>
      <c r="O15" t="str">
        <f>CONCATENATE("A(",I15,")=")</f>
        <v>A(1.5)=</v>
      </c>
      <c r="P15" t="e">
        <f>2*P14/12*L17</f>
        <v>#VALUE!</v>
      </c>
      <c r="Q15" s="66" t="str">
        <f t="shared" si="7"/>
        <v>2nd_UWL</v>
      </c>
      <c r="R15" s="67">
        <f t="shared" si="7"/>
        <v>2</v>
      </c>
      <c r="S15" s="82">
        <f>R16</f>
        <v>3</v>
      </c>
      <c r="T15" s="83">
        <f>VLOOKUP(S15,STN_TABLE,2,FALSE)</f>
        <v>1.45</v>
      </c>
      <c r="U15" s="83">
        <v>1</v>
      </c>
      <c r="V15" s="83">
        <f>T15*U15</f>
        <v>1.45</v>
      </c>
      <c r="W15" s="83">
        <f>S15</f>
        <v>3</v>
      </c>
      <c r="X15" s="83">
        <f>V15*W15</f>
        <v>4.3499999999999996</v>
      </c>
      <c r="Y15" s="84" t="str">
        <f>CONCATENATE("a'(",S15,")=")</f>
        <v>a'(3)=</v>
      </c>
      <c r="Z15" s="84" t="e">
        <f>2*Z13/3*V16</f>
        <v>#N/A</v>
      </c>
      <c r="AA15" s="84" t="str">
        <f>CONCATENATE("A(",S13,")=")</f>
        <v>A(-)=</v>
      </c>
      <c r="AB15" s="84" t="e">
        <f>IF(S13=RisePerWLS,0,VLOOKUP(S13,STN_TABLE,3,FALSE))</f>
        <v>#N/A</v>
      </c>
      <c r="AC15" t="str">
        <f>CONCATENATE("A(",S15,")=")</f>
        <v>A(3)=</v>
      </c>
      <c r="AD15" t="e">
        <f>Z15+AB15</f>
        <v>#N/A</v>
      </c>
      <c r="AE15" s="80"/>
      <c r="AI15" s="88">
        <f>AF11</f>
        <v>4</v>
      </c>
      <c r="AJ15" s="82">
        <f>VLOOKUP(AI15,STN_TABLE,2,FALSE)</f>
        <v>1.04</v>
      </c>
      <c r="AK15" s="82">
        <v>2</v>
      </c>
      <c r="AL15" s="83">
        <f>AJ15*AK15</f>
        <v>2.08</v>
      </c>
      <c r="AM15" s="84" t="str">
        <f>CONCATENATE("a'(",AI15,")=")</f>
        <v>a'(4)=</v>
      </c>
      <c r="AN15" s="84">
        <f>2*AN13/2*AJ16</f>
        <v>4.4820000000000002</v>
      </c>
      <c r="AO15" s="84" t="str">
        <f>CONCATENATE("A(",AI14,")=")</f>
        <v>A(3)=</v>
      </c>
      <c r="AP15" s="84">
        <f>IF(AI14=RisePerWLS,0,VLOOKUP(AI14,STN_TABLE,3,FALSE))</f>
        <v>7.1440000000000001</v>
      </c>
      <c r="AQ15" t="str">
        <f>CONCATENATE("A(",AI15,")=")</f>
        <v>A(4)=</v>
      </c>
      <c r="AR15">
        <f>AN15+AP15</f>
        <v>11.626000000000001</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2</v>
      </c>
      <c r="I16" s="82" t="str">
        <f>IF(H16-H15=H15-H14,H16,"#NA")</f>
        <v>#NA</v>
      </c>
      <c r="J16" s="83" t="e">
        <f>VLOOKUP(I16,STN_TABLE,2,FALSE)</f>
        <v>#N/A</v>
      </c>
      <c r="K16" s="83">
        <v>-1</v>
      </c>
      <c r="L16" s="83" t="e">
        <f>J16*K16</f>
        <v>#N/A</v>
      </c>
      <c r="M16" s="83">
        <v>-1</v>
      </c>
      <c r="N16" s="83" t="e">
        <f>J16*M16</f>
        <v>#N/A</v>
      </c>
      <c r="O16" t="str">
        <f>CONCATENATE("M(",I15,")=")</f>
        <v>M(1.5)=</v>
      </c>
      <c r="P16" t="e">
        <f>(2*(P14^2)/24*N17)+P15*I14*WLS</f>
        <v>#VALUE!</v>
      </c>
      <c r="Q16" s="66" t="str">
        <f t="shared" si="7"/>
        <v>3rd_UWL</v>
      </c>
      <c r="R16" s="67">
        <f t="shared" si="7"/>
        <v>3</v>
      </c>
      <c r="V16" s="89" t="e">
        <f>SUM(V13:V15)</f>
        <v>#N/A</v>
      </c>
      <c r="X16" s="89" t="e">
        <f>SUM(X13:X15)</f>
        <v>#VALUE!</v>
      </c>
      <c r="Y16" s="84" t="str">
        <f>CONCATENATE("m'(",S15,")=")</f>
        <v>m'(3)=</v>
      </c>
      <c r="Z16" s="84" t="e">
        <f>2*(Z13*WLS)/3*X16</f>
        <v>#N/A</v>
      </c>
      <c r="AA16" s="84" t="str">
        <f>CONCATENATE("M(",S13,")=")</f>
        <v>M(-)=</v>
      </c>
      <c r="AB16" s="84" t="e">
        <f>IF(S13=RisePerWLS,0,VLOOKUP(S13,STN_TABLE,4,FALSE))</f>
        <v>#N/A</v>
      </c>
      <c r="AC16" t="str">
        <f>CONCATENATE("M(",S15,")=")</f>
        <v>M(3)=</v>
      </c>
      <c r="AD16" t="e">
        <f>Z16+AB16</f>
        <v>#N/A</v>
      </c>
      <c r="AE16" s="80"/>
      <c r="AJ16" s="89">
        <f>SUM(AJ14:AJ15)</f>
        <v>2.4900000000000002</v>
      </c>
      <c r="AL16" s="89">
        <f>SUM(AL14:AL15)</f>
        <v>3.5300000000000002</v>
      </c>
      <c r="AM16" s="84" t="str">
        <f>CONCATENATE("m'(",AI15,")=")</f>
        <v>m'(4)=</v>
      </c>
      <c r="AN16" s="84">
        <f>(2*(AN13^2)/6*AL16)+(AN15*AI14*WLS)</f>
        <v>28.015200000000004</v>
      </c>
      <c r="AO16" s="84" t="str">
        <f>CONCATENATE("M(",AI14,")=")</f>
        <v>M(3)=</v>
      </c>
      <c r="AP16" s="84">
        <f>IF(AI14=RisePerWLS,0,VLOOKUP(AI14,STN_TABLE,4,FALSE))</f>
        <v>28.960266666666669</v>
      </c>
      <c r="AQ16" t="str">
        <f>CONCATENATE("M(",AI15,")=")</f>
        <v>M(4)=</v>
      </c>
      <c r="AR16">
        <f>AN16+AP16</f>
        <v>56.975466666666676</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A(1.5)=</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M(1.5)=</v>
      </c>
      <c r="N19" t="e">
        <f>IF(OR(P15&lt;=0,P16&lt;=0),N23,P16)</f>
        <v>#VALUE!</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f>IF(OR(R24-R23=R23-R22,R25-R23=R23-R22),R22,IF(OR(R24-R23=R23-R21,R25-R23=R23-R21),R21,"-"))</f>
        <v>2</v>
      </c>
      <c r="T20" s="69">
        <f>IFERROR(VLOOKUP(S20,STN_TABLE,2,FALSE),IF(R20=RisePerWLS,0,"-"))</f>
        <v>1.1499999999999999</v>
      </c>
      <c r="U20" s="69">
        <v>5</v>
      </c>
      <c r="V20" s="69">
        <f>T20*U20</f>
        <v>5.75</v>
      </c>
      <c r="W20" s="69">
        <v>3</v>
      </c>
      <c r="X20" s="69">
        <f>T20*W20</f>
        <v>3.4499999999999997</v>
      </c>
      <c r="Y20" s="6" t="s">
        <v>93</v>
      </c>
      <c r="Z20" s="70">
        <f>IF(AND(S22-S21=S21-S20,NOT(AND(S20=0,S21=0)),NOT(AND(S21=0,S22=0))),WLS*(S22-S21),"#NA")</f>
        <v>1.8</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1.1111111111111112</v>
      </c>
      <c r="J21" s="68">
        <v>0</v>
      </c>
      <c r="K21" s="68">
        <v>1</v>
      </c>
      <c r="L21" s="69">
        <f>J21*K21</f>
        <v>0</v>
      </c>
      <c r="M21" t="s">
        <v>93</v>
      </c>
      <c r="N21">
        <f>(I22-I21)*WLS</f>
        <v>0.7</v>
      </c>
      <c r="Q21" s="66" t="str">
        <f t="shared" ref="Q21:R25" si="8">G5</f>
        <v>1st_UWL</v>
      </c>
      <c r="R21" s="67">
        <f t="shared" si="8"/>
        <v>1.5</v>
      </c>
      <c r="S21" s="76">
        <f>R23</f>
        <v>3</v>
      </c>
      <c r="T21" s="77">
        <f>VLOOKUP(S21,STN_TABLE,2,FALSE)</f>
        <v>1.45</v>
      </c>
      <c r="U21" s="77">
        <v>8</v>
      </c>
      <c r="V21" s="77">
        <f>T21*U21</f>
        <v>11.6</v>
      </c>
      <c r="W21" s="77">
        <v>10</v>
      </c>
      <c r="X21" s="77">
        <f>T21*W21</f>
        <v>14.5</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1.5</v>
      </c>
      <c r="J22" s="82">
        <f>VLOOKUP(I22,STN_TABLE,2,FALSE)</f>
        <v>0.76</v>
      </c>
      <c r="K22" s="82">
        <v>2</v>
      </c>
      <c r="L22" s="83">
        <f>J22*K22</f>
        <v>1.52</v>
      </c>
      <c r="M22" t="str">
        <f>CONCATENATE("A(",I22,")=")</f>
        <v>A(1.5)=</v>
      </c>
      <c r="N22">
        <f>2*N21/2*J23</f>
        <v>0.53199999999999992</v>
      </c>
      <c r="Q22" s="66" t="str">
        <f t="shared" si="8"/>
        <v>2nd_UWL</v>
      </c>
      <c r="R22" s="67">
        <f t="shared" si="8"/>
        <v>2</v>
      </c>
      <c r="S22" s="82">
        <f>IF(S20-S21=S21-R24,R24,IF(S20-S21=S21-R25,R25,"-"))</f>
        <v>4</v>
      </c>
      <c r="T22" s="83">
        <f>VLOOKUP(S22,STN_TABLE,2,FALSE)</f>
        <v>1.04</v>
      </c>
      <c r="U22" s="83">
        <v>-1</v>
      </c>
      <c r="V22" s="83">
        <f>T22*U22</f>
        <v>-1.04</v>
      </c>
      <c r="W22" s="83">
        <v>-1</v>
      </c>
      <c r="X22" s="83">
        <f>T22*W22</f>
        <v>-1.04</v>
      </c>
      <c r="Y22" s="84" t="str">
        <f>CONCATENATE("a'(",S21,")=")</f>
        <v>a'(3)=</v>
      </c>
      <c r="Z22" s="84">
        <f>2*Z20/12*V23</f>
        <v>4.8930000000000007</v>
      </c>
      <c r="AA22" s="84" t="str">
        <f>CONCATENATE("A(",S20,")=")</f>
        <v>A(2)=</v>
      </c>
      <c r="AB22" s="84">
        <f>IF(S20=RisePerWLS,0,VLOOKUP(S20,STN_TABLE,3,FALSE))</f>
        <v>2.2509999999999999</v>
      </c>
      <c r="AC22" t="str">
        <f>CONCATENATE("A(",S21,")=")</f>
        <v>A(3)=</v>
      </c>
      <c r="AD22">
        <f>Z22+AB22</f>
        <v>7.1440000000000001</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0.76</v>
      </c>
      <c r="L23" s="89">
        <f>SUM(L21:L22)</f>
        <v>1.52</v>
      </c>
      <c r="M23" t="str">
        <f>CONCATENATE("M(",I22,")=")</f>
        <v>M(1.5)=</v>
      </c>
      <c r="N23">
        <f>(2*(N21^2)/6*L23)+N22*I21*WLS</f>
        <v>1.3122666666666665</v>
      </c>
      <c r="Q23" s="66" t="str">
        <f t="shared" si="8"/>
        <v>3rd_UWL</v>
      </c>
      <c r="R23" s="67">
        <f t="shared" si="8"/>
        <v>3</v>
      </c>
      <c r="V23" s="89">
        <f>SUM(V20:V22)</f>
        <v>16.310000000000002</v>
      </c>
      <c r="X23" s="89">
        <f>SUM(X20:X22)</f>
        <v>16.91</v>
      </c>
      <c r="Y23" s="84" t="str">
        <f>CONCATENATE("m'(",S21,")=")</f>
        <v>m'(3)=</v>
      </c>
      <c r="Z23" s="84">
        <f>(2*(Z20^2)/24*X23)+(Z22*S20*WLS)</f>
        <v>22.180500000000002</v>
      </c>
      <c r="AA23" s="84" t="str">
        <f>CONCATENATE("M(",S20,")=")</f>
        <v>M(2)=</v>
      </c>
      <c r="AB23" s="84">
        <f>IF(S20=RisePerWLS,0,VLOOKUP(S20,STN_TABLE,4,FALSE))</f>
        <v>6.7797666666666672</v>
      </c>
      <c r="AC23" t="str">
        <f>CONCATENATE("M(",S21,")=")</f>
        <v>M(3)=</v>
      </c>
      <c r="AD23">
        <f>Z23+AB23</f>
        <v>28.960266666666669</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4</v>
      </c>
      <c r="U24" t="s">
        <v>103</v>
      </c>
      <c r="W24" t="str">
        <f>CONCATENATE("A(",S21,")=")</f>
        <v>A(3)=</v>
      </c>
      <c r="X24">
        <f>IF(OR(AD22&lt;=0,AD23&lt;=0),AD27,AD22)</f>
        <v>7.1440000000000001</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f t="shared" si="8"/>
        <v>5</v>
      </c>
      <c r="W25" t="str">
        <f>CONCATENATE("M(",S21,")=")</f>
        <v>M(3)=</v>
      </c>
      <c r="X25">
        <f>IF(OR(AD22&lt;=0,AD23&lt;=0),AD28,AD23)</f>
        <v>28.960266666666669</v>
      </c>
      <c r="Y25" s="6" t="s">
        <v>93</v>
      </c>
      <c r="Z25" s="70">
        <f>WLS*(U27-U26)</f>
        <v>1.8</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1.1111111111111112</v>
      </c>
      <c r="I26" s="68">
        <f>H26</f>
        <v>1.1111111111111112</v>
      </c>
      <c r="J26" s="69">
        <v>0</v>
      </c>
      <c r="K26" s="69">
        <v>1</v>
      </c>
      <c r="L26" s="69">
        <f>J26*K26</f>
        <v>0</v>
      </c>
      <c r="M26" s="69">
        <f>I26</f>
        <v>1.1111111111111112</v>
      </c>
      <c r="N26" s="69">
        <f>L26*M26</f>
        <v>0</v>
      </c>
      <c r="O26" t="s">
        <v>93</v>
      </c>
      <c r="P26" t="e">
        <f>IF(OR(J26=0,J27=0,J28=0),"#NA",IF(I28-I27=I27-I26,WLS*(I27-I26),"#NA"))</f>
        <v>#N/A</v>
      </c>
      <c r="Q26" s="66"/>
      <c r="R26" s="67"/>
      <c r="U26" s="79">
        <f>R22</f>
        <v>2</v>
      </c>
      <c r="V26" s="68">
        <f>VLOOKUP(U26,STN_TABLE,2,FALSE)</f>
        <v>1.1499999999999999</v>
      </c>
      <c r="W26" s="68">
        <v>1</v>
      </c>
      <c r="X26" s="69">
        <f>V26*W26</f>
        <v>1.1499999999999999</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1.5</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3</v>
      </c>
      <c r="V27" s="82">
        <f>VLOOKUP(U27,STN_TABLE,2,FALSE)</f>
        <v>1.45</v>
      </c>
      <c r="W27" s="82">
        <v>2</v>
      </c>
      <c r="X27" s="83">
        <f>V27*W27</f>
        <v>2.9</v>
      </c>
      <c r="Y27" s="84" t="str">
        <f>CONCATENATE("a'(",U27,")=")</f>
        <v>a'(3)=</v>
      </c>
      <c r="Z27" s="84">
        <f>2*Z25/2*V28</f>
        <v>4.68</v>
      </c>
      <c r="AA27" s="84" t="str">
        <f>CONCATENATE("A(",U26,")=")</f>
        <v>A(2)=</v>
      </c>
      <c r="AB27" s="84">
        <f>IF(U26=RisePerWLS,0,VLOOKUP(U26,STN_TABLE,3,FALSE))</f>
        <v>2.2509999999999999</v>
      </c>
      <c r="AC27" t="str">
        <f>CONCATENATE("A(",U27,")=")</f>
        <v>A(3)=</v>
      </c>
      <c r="AD27">
        <f>Z27+AB27</f>
        <v>6.9309999999999992</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2</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2.5999999999999996</v>
      </c>
      <c r="X28" s="89">
        <f>SUM(X26:X27)</f>
        <v>4.05</v>
      </c>
      <c r="Y28" s="84" t="str">
        <f>CONCATENATE("m'(",U27,")=")</f>
        <v>m'(3)=</v>
      </c>
      <c r="Z28" s="84">
        <f>(2*(Z25^2)/6*X28)+(Z27*U26*WLS)</f>
        <v>21.221999999999998</v>
      </c>
      <c r="AA28" s="84" t="str">
        <f>CONCATENATE("M(",U26,")=")</f>
        <v>M(2)=</v>
      </c>
      <c r="AB28" s="84">
        <f>IF(U26=RisePerWLS,0,VLOOKUP(U26,STN_TABLE,4,FALSE))</f>
        <v>6.7797666666666672</v>
      </c>
      <c r="AC28" t="str">
        <f>CONCATENATE("M(",U27,")=")</f>
        <v>M(3)=</v>
      </c>
      <c r="AD28">
        <f>Z28+AB28</f>
        <v>28.001766666666665</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0</v>
      </c>
      <c r="S33" s="77">
        <v>8</v>
      </c>
      <c r="T33" s="76">
        <f>R33*S33</f>
        <v>0</v>
      </c>
      <c r="U33" s="80">
        <v>10</v>
      </c>
      <c r="V33" s="76">
        <f>R33*U33</f>
        <v>0</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0</v>
      </c>
      <c r="S34" s="83">
        <v>-1</v>
      </c>
      <c r="T34" s="82">
        <f>R34*S34</f>
        <v>0</v>
      </c>
      <c r="U34" s="88">
        <v>-1</v>
      </c>
      <c r="V34" s="82">
        <f>R34*U34</f>
        <v>0</v>
      </c>
      <c r="W34" s="84" t="str">
        <f>CONCATENATE("a'(",Q33,")=")</f>
        <v>a'(0.5)=</v>
      </c>
      <c r="X34" s="84">
        <f>2*X32/12*T35</f>
        <v>0</v>
      </c>
      <c r="Y34" s="84" t="str">
        <f>CONCATENATE("A(",Q32,")=")</f>
        <v>A(0)=</v>
      </c>
      <c r="Z34" s="84">
        <f>VLOOKUP(Q32,STN_TABLE,3,FALSE)</f>
        <v>0</v>
      </c>
      <c r="AA34" t="str">
        <f>CONCATENATE("A(",Q33,")=")</f>
        <v>A(0.5)=</v>
      </c>
      <c r="AB34">
        <f>X34+Z34</f>
        <v>0</v>
      </c>
      <c r="AC34" s="99">
        <f>AC33+1</f>
        <v>2</v>
      </c>
      <c r="AD34" s="100">
        <f>VLOOKUP(AC34,STN_TABLE_2,2,FALSE)</f>
        <v>0.5</v>
      </c>
      <c r="AE34" s="82">
        <f>VLOOKUP(AD34,STN_TABLE,2,FALSE)</f>
        <v>0</v>
      </c>
      <c r="AF34" s="82">
        <v>2</v>
      </c>
      <c r="AG34" s="83">
        <f>AE34*AF34</f>
        <v>0</v>
      </c>
      <c r="AH34" s="84" t="str">
        <f>CONCATENATE("a'(",AD34,")=")</f>
        <v>a'(0.5)=</v>
      </c>
      <c r="AI34" s="84">
        <f>2*AI32/2*AE35</f>
        <v>0</v>
      </c>
      <c r="AJ34" s="84" t="str">
        <f>CONCATENATE("A(",AD33,")=")</f>
        <v>A(0)=</v>
      </c>
      <c r="AK34" s="84">
        <f>VLOOKUP(AD33,STN_TABLE,3,FALSE)</f>
        <v>0</v>
      </c>
      <c r="AL34" t="str">
        <f>CONCATENATE("A(",AD34,")=")</f>
        <v>A(0.5)=</v>
      </c>
      <c r="AM34">
        <f>AI34+AK34</f>
        <v>0</v>
      </c>
      <c r="AO34" s="68" t="str">
        <f>AA34</f>
        <v>A(0.5)=</v>
      </c>
      <c r="AP34" s="79" t="e">
        <f>VLOOKUP(AO34,Rise_Results,2,FALSE)</f>
        <v>#N/A</v>
      </c>
      <c r="AQ34" s="76" t="s">
        <v>117</v>
      </c>
      <c r="AR34" s="76" t="e">
        <f>IF(OR(AB34&lt;=0,AB35&lt;=0),1/0,AB34)</f>
        <v>#DIV/0!</v>
      </c>
      <c r="AS34" s="76">
        <f>AM34</f>
        <v>0</v>
      </c>
      <c r="AT34" s="80">
        <f>IFERROR(AP34,IFERROR(AR34,AS34))</f>
        <v>0</v>
      </c>
    </row>
    <row r="35" spans="1:47" x14ac:dyDescent="0.25">
      <c r="A35" s="101"/>
      <c r="T35" s="89">
        <f>SUM(T32:T34)</f>
        <v>0</v>
      </c>
      <c r="V35" s="82">
        <f>SUM(V32:V34)</f>
        <v>0</v>
      </c>
      <c r="W35" s="84" t="str">
        <f>CONCATENATE("m'(",Q33,")=")</f>
        <v>m'(0.5)=</v>
      </c>
      <c r="X35" s="84">
        <f>(2*(X32^2)/24*V35)</f>
        <v>0</v>
      </c>
      <c r="Y35" s="84" t="str">
        <f>CONCATENATE("M(",Q32,")=")</f>
        <v>M(0)=</v>
      </c>
      <c r="Z35" s="84">
        <f>VLOOKUP(Q32,STN_TABLE,4,FALSE)</f>
        <v>0</v>
      </c>
      <c r="AA35" t="str">
        <f>CONCATENATE("M(",Q33,")=")</f>
        <v>M(0.5)=</v>
      </c>
      <c r="AB35">
        <f>X35+Z35</f>
        <v>0</v>
      </c>
      <c r="AE35" s="89">
        <f>SUM(AE33:AE34)</f>
        <v>0</v>
      </c>
      <c r="AG35" s="89">
        <f>SUM(AG33:AG34)</f>
        <v>0</v>
      </c>
      <c r="AH35" s="84" t="str">
        <f>CONCATENATE("m'(",AD34,")=")</f>
        <v>m'(0.5)=</v>
      </c>
      <c r="AI35" s="84">
        <f>(2*(AI32^2)/6*AG35)+(AI34*AD33*WLS)</f>
        <v>0</v>
      </c>
      <c r="AJ35" s="84" t="str">
        <f>CONCATENATE("M(",AD33,")=")</f>
        <v>M(0)=</v>
      </c>
      <c r="AK35" s="84">
        <f>VLOOKUP(AD33,STN_TABLE,4,FALSE)</f>
        <v>0</v>
      </c>
      <c r="AL35" t="str">
        <f>CONCATENATE("M(",AD34,")=")</f>
        <v>M(0.5)=</v>
      </c>
      <c r="AM35">
        <f>AI35+AK35</f>
        <v>0</v>
      </c>
      <c r="AO35" s="82" t="str">
        <f>AA35</f>
        <v>M(0.5)=</v>
      </c>
      <c r="AP35" s="88" t="e">
        <f>VLOOKUP(AO35,Rise_Results,2,FALSE)</f>
        <v>#N/A</v>
      </c>
      <c r="AQ35" s="82" t="s">
        <v>117</v>
      </c>
      <c r="AR35" s="82" t="e">
        <f>IF(OR(AB34&lt;=0,AB35&lt;=0),1/0,AB35)</f>
        <v>#DIV/0!</v>
      </c>
      <c r="AS35" s="82">
        <f>AM35</f>
        <v>0</v>
      </c>
      <c r="AT35" s="80">
        <f>IFERROR(AP35,IFERROR(AR35,AS35))</f>
        <v>0</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0</v>
      </c>
      <c r="S37" s="69">
        <v>5</v>
      </c>
      <c r="T37" s="68">
        <f>R37*S37</f>
        <v>0</v>
      </c>
      <c r="U37" s="79">
        <v>3</v>
      </c>
      <c r="V37" s="68">
        <f>R37*U37</f>
        <v>0</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0</v>
      </c>
      <c r="E38" s="81">
        <v>4</v>
      </c>
      <c r="F38" s="76">
        <f>D38*E38</f>
        <v>0</v>
      </c>
      <c r="G38" s="77">
        <f>C38</f>
        <v>0.5</v>
      </c>
      <c r="H38" s="77">
        <f>F38*G38</f>
        <v>0</v>
      </c>
      <c r="I38" s="513" t="s">
        <v>97</v>
      </c>
      <c r="J38" s="513"/>
      <c r="K38" s="78" t="s">
        <v>98</v>
      </c>
      <c r="L38" s="78"/>
      <c r="M38" s="7" t="s">
        <v>99</v>
      </c>
      <c r="N38" s="7"/>
      <c r="O38" s="99">
        <f>O37+1</f>
        <v>3</v>
      </c>
      <c r="P38" s="99">
        <f t="shared" si="10"/>
        <v>1</v>
      </c>
      <c r="Q38" s="76">
        <f>P38</f>
        <v>1</v>
      </c>
      <c r="R38" s="77">
        <f>VLOOKUP(Q38,STN_TABLE,2,FALSE)</f>
        <v>0</v>
      </c>
      <c r="S38" s="77">
        <v>8</v>
      </c>
      <c r="T38" s="76">
        <f>R38*S38</f>
        <v>0</v>
      </c>
      <c r="U38" s="80">
        <v>10</v>
      </c>
      <c r="V38" s="76">
        <f>R38*U38</f>
        <v>0</v>
      </c>
      <c r="W38" s="513" t="s">
        <v>97</v>
      </c>
      <c r="X38" s="513"/>
      <c r="Y38" s="513" t="s">
        <v>98</v>
      </c>
      <c r="Z38" s="513"/>
      <c r="AA38" s="511" t="s">
        <v>99</v>
      </c>
      <c r="AB38" s="511"/>
      <c r="AC38" s="99">
        <f>AC33+1</f>
        <v>2</v>
      </c>
      <c r="AD38" s="95">
        <f>VLOOKUP(AC38,STN_TABLE_2,2,FALSE)</f>
        <v>0.5</v>
      </c>
      <c r="AE38" s="68">
        <f>VLOOKUP(AD38,STN_TABLE,2,FALSE)</f>
        <v>0</v>
      </c>
      <c r="AF38" s="68">
        <v>1</v>
      </c>
      <c r="AG38" s="69">
        <f>AE38*AF38</f>
        <v>0</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0</v>
      </c>
      <c r="E39" s="92">
        <v>1</v>
      </c>
      <c r="F39" s="82">
        <f>D39*E39</f>
        <v>0</v>
      </c>
      <c r="G39" s="83">
        <f>C39</f>
        <v>1</v>
      </c>
      <c r="H39" s="83">
        <f>F39*G39</f>
        <v>0</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0.76</v>
      </c>
      <c r="S39" s="83">
        <v>-1</v>
      </c>
      <c r="T39" s="82">
        <f>R39*S39</f>
        <v>-0.76</v>
      </c>
      <c r="U39" s="88">
        <v>-1</v>
      </c>
      <c r="V39" s="82">
        <f>R39*U39</f>
        <v>-0.76</v>
      </c>
      <c r="W39" s="84" t="str">
        <f>CONCATENATE("a'(",Q38,")=")</f>
        <v>a'(1)=</v>
      </c>
      <c r="X39" s="84">
        <f>2*X37/12*T40</f>
        <v>-0.11399999999999999</v>
      </c>
      <c r="Y39" s="84" t="str">
        <f>CONCATENATE("A(",Q37,")=")</f>
        <v>A(0.5)=</v>
      </c>
      <c r="Z39" s="84">
        <f>VLOOKUP(Q37,STN_TABLE,3,FALSE)</f>
        <v>0</v>
      </c>
      <c r="AA39" t="str">
        <f>CONCATENATE("A(",Q38,")=")</f>
        <v>A(1)=</v>
      </c>
      <c r="AB39">
        <f>X39+Z39</f>
        <v>-0.11399999999999999</v>
      </c>
      <c r="AC39" s="99">
        <f>AC38+1</f>
        <v>3</v>
      </c>
      <c r="AD39" s="100">
        <f>VLOOKUP(AC39,STN_TABLE_2,2,FALSE)</f>
        <v>1</v>
      </c>
      <c r="AE39" s="82">
        <f>VLOOKUP(AD39,STN_TABLE,2,FALSE)</f>
        <v>0</v>
      </c>
      <c r="AF39" s="82">
        <v>2</v>
      </c>
      <c r="AG39" s="83">
        <f>AE39*AF39</f>
        <v>0</v>
      </c>
      <c r="AH39" s="84" t="str">
        <f>CONCATENATE("a'(",AD39,")=")</f>
        <v>a'(1)=</v>
      </c>
      <c r="AI39" s="84">
        <f>2*AI37/2*AE40</f>
        <v>0</v>
      </c>
      <c r="AJ39" s="84" t="str">
        <f>CONCATENATE("A(",AD38,")=")</f>
        <v>A(0.5)=</v>
      </c>
      <c r="AK39" s="84">
        <f>VLOOKUP(AD38,STN_TABLE,3,FALSE)</f>
        <v>0</v>
      </c>
      <c r="AL39" t="str">
        <f>CONCATENATE("A(",AD39,")=")</f>
        <v>A(1)=</v>
      </c>
      <c r="AM39">
        <f>AI39+AK39</f>
        <v>0</v>
      </c>
      <c r="AO39" s="68" t="str">
        <f>AA39</f>
        <v>A(1)=</v>
      </c>
      <c r="AP39" s="68" t="e">
        <f>VLOOKUP(AO39,Rise_Results,2,FALSE)</f>
        <v>#N/A</v>
      </c>
      <c r="AQ39" s="76" t="e">
        <f>N39</f>
        <v>#VALUE!</v>
      </c>
      <c r="AR39" s="76" t="e">
        <f>IF(OR(AB39&lt;=0,AB40&lt;=0),1/0,AB39)</f>
        <v>#DIV/0!</v>
      </c>
      <c r="AS39" s="76">
        <f>AM39</f>
        <v>0</v>
      </c>
      <c r="AT39">
        <f>IFERROR(AP39,IFERROR(AQ39,IFERROR(AR39,AS39)))</f>
        <v>0</v>
      </c>
    </row>
    <row r="40" spans="1:47" x14ac:dyDescent="0.25">
      <c r="A40">
        <v>4</v>
      </c>
      <c r="F40" s="82">
        <f>SUM(F37:F39)</f>
        <v>0</v>
      </c>
      <c r="H40" s="82">
        <f>SUM(H37:H39)</f>
        <v>0</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-0.76</v>
      </c>
      <c r="V40" s="82">
        <f>SUM(V37:V39)</f>
        <v>-0.76</v>
      </c>
      <c r="W40" s="84" t="str">
        <f>CONCATENATE("m'(",Q38,")=")</f>
        <v>m'(1)=</v>
      </c>
      <c r="X40" s="84">
        <f>(2*(X37^2)/24*V40)+(X39*Q37*WLS)</f>
        <v>-0.15390000000000001</v>
      </c>
      <c r="Y40" s="84" t="str">
        <f>CONCATENATE("M(",Q37,")=")</f>
        <v>M(0.5)=</v>
      </c>
      <c r="Z40" s="84">
        <f>VLOOKUP(Q37,STN_TABLE,4,FALSE)</f>
        <v>0</v>
      </c>
      <c r="AA40" t="str">
        <f>CONCATENATE("M(",Q38,")=")</f>
        <v>M(1)=</v>
      </c>
      <c r="AB40">
        <f>X40+Z40</f>
        <v>-0.15390000000000001</v>
      </c>
      <c r="AE40" s="89">
        <f>SUM(AE38:AE39)</f>
        <v>0</v>
      </c>
      <c r="AG40" s="89">
        <f>SUM(AG38:AG39)</f>
        <v>0</v>
      </c>
      <c r="AH40" s="84" t="str">
        <f>CONCATENATE("m'(",AD39,")=")</f>
        <v>m'(1)=</v>
      </c>
      <c r="AI40" s="84">
        <f>(2*(AI37^2)/6*AG40)+(AI39*AD38*WLS)</f>
        <v>0</v>
      </c>
      <c r="AJ40" s="84" t="str">
        <f>CONCATENATE("M(",AD38,")=")</f>
        <v>M(0.5)=</v>
      </c>
      <c r="AK40" s="84">
        <f>VLOOKUP(AD38,STN_TABLE,4,FALSE)</f>
        <v>0</v>
      </c>
      <c r="AL40" t="str">
        <f>CONCATENATE("M(",AD39,")=")</f>
        <v>M(1)=</v>
      </c>
      <c r="AM40">
        <f>AI40+AK40</f>
        <v>0</v>
      </c>
      <c r="AO40" s="82" t="str">
        <f>AA40</f>
        <v>M(1)=</v>
      </c>
      <c r="AP40" s="82" t="e">
        <f>VLOOKUP(AO40,Rise_Results,2,FALSE)</f>
        <v>#N/A</v>
      </c>
      <c r="AQ40" s="82" t="e">
        <f>N40</f>
        <v>#VALUE!</v>
      </c>
      <c r="AR40" s="82" t="e">
        <f>IF(OR(AB39&lt;=0,AB40&lt;=0),1/0,AB40)</f>
        <v>#DIV/0!</v>
      </c>
      <c r="AS40" s="82">
        <f>AM40</f>
        <v>0</v>
      </c>
      <c r="AT40">
        <f>IFERROR(AP40,IFERROR(AQ40,IFERROR(AR40,AS40)))</f>
        <v>0</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0</v>
      </c>
      <c r="E42" s="102">
        <v>1</v>
      </c>
      <c r="F42" s="68">
        <f>D42*E42</f>
        <v>0</v>
      </c>
      <c r="G42" s="69">
        <f>C42</f>
        <v>0.5</v>
      </c>
      <c r="H42" s="69">
        <f>F42*G42</f>
        <v>0</v>
      </c>
      <c r="I42" s="6" t="s">
        <v>93</v>
      </c>
      <c r="J42" s="70" t="str">
        <f>IF(OR(D42=0,D43=0,D44=0),"#NA",IF(AND(C44-C43=C43-C42,C43&lt;&gt;C44,C42&lt;&gt;C43,C42&lt;&gt;C44,D44&lt;&gt;0,OR(D42&lt;&gt;0,D43&lt;&gt;0)),WLS*(C44-C43),"#NA"))</f>
        <v>#NA</v>
      </c>
      <c r="O42" s="99">
        <f>O41+1</f>
        <v>3</v>
      </c>
      <c r="P42" s="99">
        <f t="shared" si="10"/>
        <v>1</v>
      </c>
      <c r="Q42" s="68">
        <f>IF(OR(P44-P43=P43-P42,P45-P43=P43-P42),P42,IF(OR(P44-P43=P43-P41,P45-P43=P43-P41),P41,"-"))</f>
        <v>1</v>
      </c>
      <c r="R42" s="69">
        <f>VLOOKUP(Q42,STN_TABLE,2,FALSE)</f>
        <v>0</v>
      </c>
      <c r="S42" s="69">
        <v>5</v>
      </c>
      <c r="T42" s="68">
        <f>R42*S42</f>
        <v>0</v>
      </c>
      <c r="U42" s="79">
        <v>3</v>
      </c>
      <c r="V42" s="68">
        <f>R42*U42</f>
        <v>0</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0</v>
      </c>
      <c r="E43" s="81">
        <v>4</v>
      </c>
      <c r="F43" s="76">
        <f>D43*E43</f>
        <v>0</v>
      </c>
      <c r="G43" s="77">
        <f>C43</f>
        <v>1</v>
      </c>
      <c r="H43" s="77">
        <f>F43*G43</f>
        <v>0</v>
      </c>
      <c r="I43" s="513" t="s">
        <v>97</v>
      </c>
      <c r="J43" s="513"/>
      <c r="K43" s="78" t="s">
        <v>98</v>
      </c>
      <c r="L43" s="78"/>
      <c r="M43" s="7" t="s">
        <v>99</v>
      </c>
      <c r="N43" s="7"/>
      <c r="O43" s="99">
        <f>O42+1</f>
        <v>4</v>
      </c>
      <c r="P43" s="99">
        <f t="shared" si="10"/>
        <v>1.5</v>
      </c>
      <c r="Q43" s="76">
        <f>P43</f>
        <v>1.5</v>
      </c>
      <c r="R43" s="77">
        <f>VLOOKUP(Q43,STN_TABLE,2,FALSE)</f>
        <v>0.76</v>
      </c>
      <c r="S43" s="77">
        <v>8</v>
      </c>
      <c r="T43" s="76">
        <f>R43*S43</f>
        <v>6.08</v>
      </c>
      <c r="U43" s="80">
        <v>10</v>
      </c>
      <c r="V43" s="76">
        <f>R43*U43</f>
        <v>7.6</v>
      </c>
      <c r="W43" s="513" t="s">
        <v>97</v>
      </c>
      <c r="X43" s="513"/>
      <c r="Y43" s="513" t="s">
        <v>98</v>
      </c>
      <c r="Z43" s="513"/>
      <c r="AA43" s="511" t="s">
        <v>99</v>
      </c>
      <c r="AB43" s="511"/>
      <c r="AC43" s="99">
        <f>AC38+1</f>
        <v>3</v>
      </c>
      <c r="AD43" s="95">
        <f>VLOOKUP(AC43,STN_TABLE_2,2,FALSE)</f>
        <v>1</v>
      </c>
      <c r="AE43" s="68">
        <f>VLOOKUP(AD43,STN_TABLE,2,FALSE)</f>
        <v>0</v>
      </c>
      <c r="AF43" s="68">
        <v>1</v>
      </c>
      <c r="AG43" s="69">
        <f>AE43*AF43</f>
        <v>0</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0.76</v>
      </c>
      <c r="E44" s="92">
        <v>1</v>
      </c>
      <c r="F44" s="82">
        <f>D44*E44</f>
        <v>0.76</v>
      </c>
      <c r="G44" s="83">
        <f>C44</f>
        <v>1.5</v>
      </c>
      <c r="H44" s="83">
        <f>F44*G44</f>
        <v>1.1400000000000001</v>
      </c>
      <c r="I44" s="84" t="str">
        <f>CONCATENATE("a'(",C44,")=")</f>
        <v>a'(1.5)=</v>
      </c>
      <c r="J44" s="84" t="e">
        <f>2*J42/3*F45</f>
        <v>#VALUE!</v>
      </c>
      <c r="K44" s="84" t="str">
        <f>CONCATENATE("A(",C42,")=")</f>
        <v>A(0.5)=</v>
      </c>
      <c r="L44" s="84">
        <f>VLOOKUP(C42,STN_TABLE,3,FALSE)</f>
        <v>0</v>
      </c>
      <c r="M44" t="str">
        <f>CONCATENATE("A(",C44,")=")</f>
        <v>A(1.5)=</v>
      </c>
      <c r="N44" t="e">
        <f>J44+L44</f>
        <v>#VALUE!</v>
      </c>
      <c r="O44" s="99">
        <f>O43+1</f>
        <v>5</v>
      </c>
      <c r="P44" s="99">
        <f t="shared" si="10"/>
        <v>2</v>
      </c>
      <c r="Q44" s="82">
        <f>IF(P44-P43=P43-P42,P44,IF(P45-P43=P43-P42,P45,IF(P44-P43=P43-P41,P44,IF(P45-P43=P43-P41,P45,"-"))))</f>
        <v>2</v>
      </c>
      <c r="R44" s="83">
        <f>VLOOKUP(Q44,STN_TABLE,2,FALSE)</f>
        <v>1.1499999999999999</v>
      </c>
      <c r="S44" s="83">
        <v>-1</v>
      </c>
      <c r="T44" s="82">
        <f>R44*S44</f>
        <v>-1.1499999999999999</v>
      </c>
      <c r="U44" s="88">
        <v>-1</v>
      </c>
      <c r="V44" s="82">
        <f>R44*U44</f>
        <v>-1.1499999999999999</v>
      </c>
      <c r="W44" s="84" t="str">
        <f>CONCATENATE("a'(",Q43,")=")</f>
        <v>a'(1.5)=</v>
      </c>
      <c r="X44" s="84">
        <f>2*X42/12*T45</f>
        <v>0.73949999999999994</v>
      </c>
      <c r="Y44" s="84" t="str">
        <f>CONCATENATE("A(",Q42,")=")</f>
        <v>A(1)=</v>
      </c>
      <c r="Z44" s="84">
        <f>VLOOKUP(Q42,STN_TABLE,3,FALSE)</f>
        <v>0</v>
      </c>
      <c r="AA44" t="str">
        <f>CONCATENATE("A(",Q43,")=")</f>
        <v>A(1.5)=</v>
      </c>
      <c r="AB44">
        <f>X44+Z44</f>
        <v>0.73949999999999994</v>
      </c>
      <c r="AC44" s="99">
        <f>AC43+1</f>
        <v>4</v>
      </c>
      <c r="AD44" s="100">
        <f>VLOOKUP(AC44,STN_TABLE_2,2,FALSE)</f>
        <v>1.5</v>
      </c>
      <c r="AE44" s="82">
        <f>VLOOKUP(AD44,STN_TABLE,2,FALSE)</f>
        <v>0.76</v>
      </c>
      <c r="AF44" s="82">
        <v>2</v>
      </c>
      <c r="AG44" s="83">
        <f>AE44*AF44</f>
        <v>1.52</v>
      </c>
      <c r="AH44" s="84" t="str">
        <f>CONCATENATE("a'(",AD44,")=")</f>
        <v>a'(1.5)=</v>
      </c>
      <c r="AI44" s="84">
        <f>2*AI42/2*AE45</f>
        <v>0.68400000000000005</v>
      </c>
      <c r="AJ44" s="84" t="str">
        <f>CONCATENATE("A(",AD43,")=")</f>
        <v>A(1)=</v>
      </c>
      <c r="AK44" s="84">
        <f>VLOOKUP(AD43,STN_TABLE,3,FALSE)</f>
        <v>0</v>
      </c>
      <c r="AL44" t="str">
        <f>CONCATENATE("A(",AD44,")=")</f>
        <v>A(1.5)=</v>
      </c>
      <c r="AM44">
        <f>AI44+AK44</f>
        <v>0.68400000000000005</v>
      </c>
      <c r="AO44" s="68" t="str">
        <f>AA44</f>
        <v>A(1.5)=</v>
      </c>
      <c r="AP44" s="68">
        <f>VLOOKUP(AO44,Rise_Results,2,FALSE)</f>
        <v>0.53199999999999992</v>
      </c>
      <c r="AQ44" s="76" t="e">
        <f>N44</f>
        <v>#VALUE!</v>
      </c>
      <c r="AR44" s="76">
        <f>IF(OR(AB44&lt;=0,AB45&lt;=0),1/0,AB44)</f>
        <v>0.73949999999999994</v>
      </c>
      <c r="AS44" s="76">
        <f>AM44</f>
        <v>0.68400000000000005</v>
      </c>
      <c r="AT44">
        <f>IFERROR(AP44,IFERROR(AQ44,IFERROR(AR44,AS44)))</f>
        <v>0.53199999999999992</v>
      </c>
      <c r="AU44" s="81"/>
    </row>
    <row r="45" spans="1:47" x14ac:dyDescent="0.25">
      <c r="A45" s="94">
        <f>A44+1</f>
        <v>4</v>
      </c>
      <c r="B45" s="94">
        <f t="shared" si="11"/>
        <v>1.5</v>
      </c>
      <c r="F45" s="82">
        <f>SUM(F42:F44)</f>
        <v>0.76</v>
      </c>
      <c r="H45" s="82">
        <f>SUM(H42:H44)</f>
        <v>1.1400000000000001</v>
      </c>
      <c r="I45" s="84" t="str">
        <f>CONCATENATE("m'(",C44,")=")</f>
        <v>m'(1.5)=</v>
      </c>
      <c r="J45" s="84" t="e">
        <f>2*(J42*(WLS))/3*H45</f>
        <v>#VALUE!</v>
      </c>
      <c r="K45" s="84" t="str">
        <f>CONCATENATE("M(",C42,")=")</f>
        <v>M(0.5)=</v>
      </c>
      <c r="L45" s="84">
        <f>VLOOKUP(C42,STN_TABLE,4,FALSE)</f>
        <v>0</v>
      </c>
      <c r="M45" t="str">
        <f>CONCATENATE("M(",C44,")=")</f>
        <v>M(1.5)=</v>
      </c>
      <c r="N45" t="e">
        <f>J45+L45</f>
        <v>#VALUE!</v>
      </c>
      <c r="O45" s="99">
        <f>O44+1</f>
        <v>6</v>
      </c>
      <c r="P45" s="99">
        <f t="shared" si="10"/>
        <v>3</v>
      </c>
      <c r="T45" s="89">
        <f>SUM(T42:T44)</f>
        <v>4.93</v>
      </c>
      <c r="V45" s="82">
        <f>SUM(V42:V44)</f>
        <v>6.4499999999999993</v>
      </c>
      <c r="W45" s="84" t="str">
        <f>CONCATENATE("m'(",Q43,")=")</f>
        <v>m'(1.5)=</v>
      </c>
      <c r="X45" s="84">
        <f>(2*(X42^2)/24*V45)+(X44*Q42*WLS)</f>
        <v>1.7664749999999998</v>
      </c>
      <c r="Y45" s="84" t="str">
        <f>CONCATENATE("M(",Q42,")=")</f>
        <v>M(1)=</v>
      </c>
      <c r="Z45" s="84">
        <f>VLOOKUP(Q42,STN_TABLE,4,FALSE)</f>
        <v>0</v>
      </c>
      <c r="AA45" t="str">
        <f>CONCATENATE("M(",Q43,")=")</f>
        <v>M(1.5)=</v>
      </c>
      <c r="AB45">
        <f>X45+Z45</f>
        <v>1.7664749999999998</v>
      </c>
      <c r="AE45" s="89">
        <f>SUM(AE43:AE44)</f>
        <v>0.76</v>
      </c>
      <c r="AG45" s="89">
        <f>SUM(AG43:AG44)</f>
        <v>1.52</v>
      </c>
      <c r="AH45" s="84" t="str">
        <f>CONCATENATE("m'(",AD44,")=")</f>
        <v>m'(1.5)=</v>
      </c>
      <c r="AI45" s="84">
        <f>(2*(AI42^2)/6*AG45)+(AI44*AD43*WLS)</f>
        <v>1.6416000000000002</v>
      </c>
      <c r="AJ45" s="84" t="str">
        <f>CONCATENATE("M(",AD43,")=")</f>
        <v>M(1)=</v>
      </c>
      <c r="AK45" s="84">
        <f>VLOOKUP(AD43,STN_TABLE,4,FALSE)</f>
        <v>0</v>
      </c>
      <c r="AL45" t="str">
        <f>CONCATENATE("M(",AD44,")=")</f>
        <v>M(1.5)=</v>
      </c>
      <c r="AM45">
        <f>AI45+AK45</f>
        <v>1.6416000000000002</v>
      </c>
      <c r="AO45" s="82" t="str">
        <f>AA45</f>
        <v>M(1.5)=</v>
      </c>
      <c r="AP45" s="82">
        <f>VLOOKUP(AO45,Rise_Results,2,FALSE)</f>
        <v>1.3122666666666665</v>
      </c>
      <c r="AQ45" s="82" t="e">
        <f>N45</f>
        <v>#VALUE!</v>
      </c>
      <c r="AR45" s="82">
        <f>IF(OR(AB44&lt;=0,AB45&lt;=0),1/0,AB45)</f>
        <v>1.7664749999999998</v>
      </c>
      <c r="AS45" s="82">
        <f>AM45</f>
        <v>1.6416000000000002</v>
      </c>
      <c r="AT45">
        <f>IFERROR(AP45,IFERROR(AQ45,IFERROR(AR45,AS45)))</f>
        <v>1.3122666666666665</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0</v>
      </c>
      <c r="E47" s="102">
        <v>1</v>
      </c>
      <c r="F47" s="68">
        <f>D47*E47</f>
        <v>0</v>
      </c>
      <c r="G47" s="69">
        <f>C47</f>
        <v>1</v>
      </c>
      <c r="H47" s="69">
        <f>F47*G47</f>
        <v>0</v>
      </c>
      <c r="I47" s="6" t="s">
        <v>93</v>
      </c>
      <c r="J47" s="70" t="str">
        <f>IF(OR(D47=0,D48=0,D49=0),"#NA",IF(AND(C49-C48=C48-C47,C48&lt;&gt;C49,C47&lt;&gt;C48,C47&lt;&gt;C49,D49&lt;&gt;0,OR(D47&lt;&gt;0,D48&lt;&gt;0)),WLS*(C49-C48),"#NA"))</f>
        <v>#NA</v>
      </c>
      <c r="O47" s="99">
        <f>O46+1</f>
        <v>4</v>
      </c>
      <c r="P47" s="99">
        <f t="shared" si="10"/>
        <v>1.5</v>
      </c>
      <c r="Q47" s="68">
        <f>IF(OR(P49-P48=P48-P47,P50-P48=P48-P47),P47,IF(OR(P49-P48=P48-P46,P50-P48=P48-P46),P46,"-"))</f>
        <v>1</v>
      </c>
      <c r="R47" s="69">
        <f>VLOOKUP(Q47,STN_TABLE,2,FALSE)</f>
        <v>0</v>
      </c>
      <c r="S47" s="69">
        <v>5</v>
      </c>
      <c r="T47" s="68">
        <f>R47*S47</f>
        <v>0</v>
      </c>
      <c r="U47" s="79">
        <v>3</v>
      </c>
      <c r="V47" s="68">
        <f>R47*U47</f>
        <v>0</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0.76</v>
      </c>
      <c r="E48" s="81">
        <v>4</v>
      </c>
      <c r="F48" s="76">
        <f>D48*E48</f>
        <v>3.04</v>
      </c>
      <c r="G48" s="77">
        <f>C48</f>
        <v>1.5</v>
      </c>
      <c r="H48" s="77">
        <f>F48*G48</f>
        <v>4.5600000000000005</v>
      </c>
      <c r="I48" s="513" t="s">
        <v>97</v>
      </c>
      <c r="J48" s="513"/>
      <c r="K48" s="78" t="s">
        <v>98</v>
      </c>
      <c r="L48" s="78"/>
      <c r="M48" s="7" t="s">
        <v>99</v>
      </c>
      <c r="N48" s="7"/>
      <c r="O48" s="99">
        <f>O47+1</f>
        <v>5</v>
      </c>
      <c r="P48" s="99">
        <f t="shared" si="10"/>
        <v>2</v>
      </c>
      <c r="Q48" s="76">
        <f>P48</f>
        <v>2</v>
      </c>
      <c r="R48" s="77">
        <f>VLOOKUP(Q48,STN_TABLE,2,FALSE)</f>
        <v>1.1499999999999999</v>
      </c>
      <c r="S48" s="77">
        <v>8</v>
      </c>
      <c r="T48" s="76">
        <f>R48*S48</f>
        <v>9.1999999999999993</v>
      </c>
      <c r="U48" s="80">
        <v>10</v>
      </c>
      <c r="V48" s="76">
        <f>R48*U48</f>
        <v>11.5</v>
      </c>
      <c r="W48" s="513" t="s">
        <v>97</v>
      </c>
      <c r="X48" s="513"/>
      <c r="Y48" s="513" t="s">
        <v>98</v>
      </c>
      <c r="Z48" s="513"/>
      <c r="AA48" s="511" t="s">
        <v>99</v>
      </c>
      <c r="AB48" s="511"/>
      <c r="AC48" s="99">
        <f>AC43+1</f>
        <v>4</v>
      </c>
      <c r="AD48" s="95">
        <f>VLOOKUP(AC48,STN_TABLE_2,2,FALSE)</f>
        <v>1.5</v>
      </c>
      <c r="AE48" s="68">
        <f>VLOOKUP(AD48,STN_TABLE,2,FALSE)</f>
        <v>0.76</v>
      </c>
      <c r="AF48" s="68">
        <v>1</v>
      </c>
      <c r="AG48" s="69">
        <f>AE48*AF48</f>
        <v>0.76</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1.1499999999999999</v>
      </c>
      <c r="E49" s="92">
        <v>1</v>
      </c>
      <c r="F49" s="82">
        <f>D49*E49</f>
        <v>1.1499999999999999</v>
      </c>
      <c r="G49" s="83">
        <f>C49</f>
        <v>2</v>
      </c>
      <c r="H49" s="83">
        <f>F49*G49</f>
        <v>2.2999999999999998</v>
      </c>
      <c r="I49" s="84" t="str">
        <f>CONCATENATE("a'(",C49,")=")</f>
        <v>a'(2)=</v>
      </c>
      <c r="J49" s="84" t="e">
        <f>2*J47/3*F50</f>
        <v>#VALUE!</v>
      </c>
      <c r="K49" s="84" t="str">
        <f>CONCATENATE("A(",C47,")=")</f>
        <v>A(1)=</v>
      </c>
      <c r="L49" s="84">
        <f>VLOOKUP(C47,STN_TABLE,3,FALSE)</f>
        <v>0</v>
      </c>
      <c r="M49" t="str">
        <f>CONCATENATE("A(",C49,")=")</f>
        <v>A(2)=</v>
      </c>
      <c r="N49" t="e">
        <f>J49+L49</f>
        <v>#VALUE!</v>
      </c>
      <c r="O49" s="99">
        <f>O48+1</f>
        <v>6</v>
      </c>
      <c r="P49" s="99">
        <f t="shared" si="10"/>
        <v>3</v>
      </c>
      <c r="Q49" s="82">
        <f>IF(P49-P48=P48-P47,P49,IF(P50-P48=P48-P47,P50,IF(P49-P48=P48-P46,P49,IF(P50-P48=P48-P46,P50,"-"))))</f>
        <v>3</v>
      </c>
      <c r="R49" s="83">
        <f>VLOOKUP(Q49,STN_TABLE,2,FALSE)</f>
        <v>1.45</v>
      </c>
      <c r="S49" s="83">
        <v>-1</v>
      </c>
      <c r="T49" s="82">
        <f>R49*S49</f>
        <v>-1.45</v>
      </c>
      <c r="U49" s="88">
        <v>-1</v>
      </c>
      <c r="V49" s="82">
        <f>R49*U49</f>
        <v>-1.45</v>
      </c>
      <c r="W49" s="84" t="str">
        <f>CONCATENATE("a'(",Q48,")=")</f>
        <v>a'(2)=</v>
      </c>
      <c r="X49" s="84">
        <f>2*X47/12*T50</f>
        <v>2.3249999999999997</v>
      </c>
      <c r="Y49" s="84" t="str">
        <f>CONCATENATE("A(",Q47,")=")</f>
        <v>A(1)=</v>
      </c>
      <c r="Z49" s="84">
        <f>VLOOKUP(Q47,STN_TABLE,3,FALSE)</f>
        <v>0</v>
      </c>
      <c r="AA49" t="str">
        <f>CONCATENATE("A(",Q48,")=")</f>
        <v>A(2)=</v>
      </c>
      <c r="AB49">
        <f>X49+Z49</f>
        <v>2.3249999999999997</v>
      </c>
      <c r="AC49" s="99">
        <f>AC48+1</f>
        <v>5</v>
      </c>
      <c r="AD49" s="100">
        <f>VLOOKUP(AC49,STN_TABLE_2,2,FALSE)</f>
        <v>2</v>
      </c>
      <c r="AE49" s="82">
        <f>VLOOKUP(AD49,STN_TABLE,2,FALSE)</f>
        <v>1.1499999999999999</v>
      </c>
      <c r="AF49" s="82">
        <v>2</v>
      </c>
      <c r="AG49" s="83">
        <f>AE49*AF49</f>
        <v>2.2999999999999998</v>
      </c>
      <c r="AH49" s="84" t="str">
        <f>CONCATENATE("a'(",AD49,")=")</f>
        <v>a'(2)=</v>
      </c>
      <c r="AI49" s="84">
        <f>2*AI47/2*AE50</f>
        <v>1.7189999999999999</v>
      </c>
      <c r="AJ49" s="84" t="str">
        <f>CONCATENATE("A(",AD48,")=")</f>
        <v>A(1.5)=</v>
      </c>
      <c r="AK49" s="84">
        <f>VLOOKUP(AD48,STN_TABLE,3,FALSE)</f>
        <v>0.53199999999999992</v>
      </c>
      <c r="AL49" t="str">
        <f>CONCATENATE("A(",AD49,")=")</f>
        <v>A(2)=</v>
      </c>
      <c r="AM49">
        <f>AI49+AK49</f>
        <v>2.2509999999999999</v>
      </c>
      <c r="AO49" s="68" t="str">
        <f>AA49</f>
        <v>A(2)=</v>
      </c>
      <c r="AP49" s="68">
        <f>VLOOKUP(AO49,Rise_Results,2,FALSE)</f>
        <v>2.2509999999999999</v>
      </c>
      <c r="AQ49" s="76" t="e">
        <f>N49</f>
        <v>#VALUE!</v>
      </c>
      <c r="AR49" s="76">
        <f>IF(OR(AB49&lt;=0,AB50&lt;=0),1/0,AB49)</f>
        <v>2.3249999999999997</v>
      </c>
      <c r="AS49" s="76">
        <f>AM49</f>
        <v>2.2509999999999999</v>
      </c>
      <c r="AT49">
        <f>IFERROR(AP49,IFERROR(AQ49,IFERROR(AR49,AS49)))</f>
        <v>2.2509999999999999</v>
      </c>
      <c r="AU49" s="81"/>
    </row>
    <row r="50" spans="1:47" x14ac:dyDescent="0.25">
      <c r="A50" s="84">
        <f>A49+1</f>
        <v>5</v>
      </c>
      <c r="B50" s="84">
        <f t="shared" si="11"/>
        <v>2</v>
      </c>
      <c r="F50" s="82">
        <f>SUM(F47:F49)</f>
        <v>4.1899999999999995</v>
      </c>
      <c r="H50" s="82">
        <f>SUM(H47:H49)</f>
        <v>6.86</v>
      </c>
      <c r="I50" s="84" t="str">
        <f>CONCATENATE("m'(",C49,")=")</f>
        <v>m'(2)=</v>
      </c>
      <c r="J50" s="84" t="e">
        <f>2*(J47*(WLS))/3*H50</f>
        <v>#VALUE!</v>
      </c>
      <c r="K50" s="84" t="str">
        <f>CONCATENATE("M(",C47,")=")</f>
        <v>M(1)=</v>
      </c>
      <c r="L50" s="84">
        <f>VLOOKUP(C47,STN_TABLE,4,FALSE)</f>
        <v>0</v>
      </c>
      <c r="M50" t="str">
        <f>CONCATENATE("M(",C49,")=")</f>
        <v>M(2)=</v>
      </c>
      <c r="N50" t="e">
        <f>J50+L50</f>
        <v>#VALUE!</v>
      </c>
      <c r="O50" s="99">
        <f>O49+1</f>
        <v>7</v>
      </c>
      <c r="P50" s="99">
        <f t="shared" si="10"/>
        <v>4</v>
      </c>
      <c r="T50" s="89">
        <f>SUM(T47:T49)</f>
        <v>7.7499999999999991</v>
      </c>
      <c r="V50" s="82">
        <f>SUM(V47:V49)</f>
        <v>10.050000000000001</v>
      </c>
      <c r="W50" s="84" t="str">
        <f>CONCATENATE("m'(",Q48,")=")</f>
        <v>m'(2)=</v>
      </c>
      <c r="X50" s="84">
        <f>(2*(X47^2)/24*V50)+(X49*Q47*WLS)</f>
        <v>6.8985000000000003</v>
      </c>
      <c r="Y50" s="84" t="str">
        <f>CONCATENATE("M(",Q47,")=")</f>
        <v>M(1)=</v>
      </c>
      <c r="Z50" s="84">
        <f>VLOOKUP(Q47,STN_TABLE,4,FALSE)</f>
        <v>0</v>
      </c>
      <c r="AA50" t="str">
        <f>CONCATENATE("M(",Q48,")=")</f>
        <v>M(2)=</v>
      </c>
      <c r="AB50">
        <f>X50+Z50</f>
        <v>6.8985000000000003</v>
      </c>
      <c r="AE50" s="89">
        <f>SUM(AE48:AE49)</f>
        <v>1.91</v>
      </c>
      <c r="AG50" s="89">
        <f>SUM(AG48:AG49)</f>
        <v>3.0599999999999996</v>
      </c>
      <c r="AH50" s="84" t="str">
        <f>CONCATENATE("m'(",AD49,")=")</f>
        <v>m'(2)=</v>
      </c>
      <c r="AI50" s="84">
        <f>(2*(AI47^2)/6*AG50)+(AI49*AD48*WLS)</f>
        <v>5.4675000000000002</v>
      </c>
      <c r="AJ50" s="84" t="str">
        <f>CONCATENATE("M(",AD48,")=")</f>
        <v>M(1.5)=</v>
      </c>
      <c r="AK50" s="84">
        <f>VLOOKUP(AD48,STN_TABLE,4,FALSE)</f>
        <v>1.3122666666666665</v>
      </c>
      <c r="AL50" t="str">
        <f>CONCATENATE("M(",AD49,")=")</f>
        <v>M(2)=</v>
      </c>
      <c r="AM50">
        <f>AI50+AK50</f>
        <v>6.7797666666666672</v>
      </c>
      <c r="AO50" s="82" t="str">
        <f>AA50</f>
        <v>M(2)=</v>
      </c>
      <c r="AP50" s="82">
        <f>VLOOKUP(AO50,Rise_Results,2,FALSE)</f>
        <v>6.7797666666666672</v>
      </c>
      <c r="AQ50" s="82" t="e">
        <f>N50</f>
        <v>#VALUE!</v>
      </c>
      <c r="AR50" s="82">
        <f>IF(OR(AB49&lt;=0,AB50&lt;=0),1/0,AB50)</f>
        <v>6.8985000000000003</v>
      </c>
      <c r="AS50" s="82">
        <f>AM50</f>
        <v>6.7797666666666672</v>
      </c>
      <c r="AT50">
        <f>IFERROR(AP50,IFERROR(AQ50,IFERROR(AR50,AS50)))</f>
        <v>6.7797666666666672</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0</v>
      </c>
      <c r="E52" s="102">
        <v>1</v>
      </c>
      <c r="F52" s="68">
        <f>D52*E52</f>
        <v>0</v>
      </c>
      <c r="G52" s="69">
        <f>C52</f>
        <v>1</v>
      </c>
      <c r="H52" s="69">
        <f>F52*G52</f>
        <v>0</v>
      </c>
      <c r="I52" s="6" t="s">
        <v>93</v>
      </c>
      <c r="J52" s="70" t="str">
        <f>IF(OR(D52=0,D53=0,D54=0),"#NA",IF(AND(C54-C53=C53-C52,C53&lt;&gt;C54,C52&lt;&gt;C53,C52&lt;&gt;C54,D54&lt;&gt;0,OR(D52&lt;&gt;0,D53&lt;&gt;0)),WLS*(C54-C53),"#NA"))</f>
        <v>#NA</v>
      </c>
      <c r="O52" s="99">
        <f>O51+1</f>
        <v>5</v>
      </c>
      <c r="P52" s="99">
        <f t="shared" si="10"/>
        <v>2</v>
      </c>
      <c r="Q52" s="68">
        <f>IF(OR(P54-P53=P53-P52,P55-P53=P53-P52),P52,IF(OR(P54-P53=P53-P51,P55-P53=P53-P51),P51,"-"))</f>
        <v>2</v>
      </c>
      <c r="R52" s="69">
        <f>VLOOKUP(Q52,STN_TABLE,2,FALSE)</f>
        <v>1.1499999999999999</v>
      </c>
      <c r="S52" s="69">
        <v>5</v>
      </c>
      <c r="T52" s="68">
        <f>R52*S52</f>
        <v>5.75</v>
      </c>
      <c r="U52" s="79">
        <v>3</v>
      </c>
      <c r="V52" s="68">
        <f>R52*U52</f>
        <v>3.4499999999999997</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1.1499999999999999</v>
      </c>
      <c r="E53" s="81">
        <v>4</v>
      </c>
      <c r="F53" s="76">
        <f>D53*E53</f>
        <v>4.5999999999999996</v>
      </c>
      <c r="G53" s="77">
        <f>C53</f>
        <v>2</v>
      </c>
      <c r="H53" s="77">
        <f>F53*G53</f>
        <v>9.1999999999999993</v>
      </c>
      <c r="I53" s="512" t="s">
        <v>97</v>
      </c>
      <c r="J53" s="513"/>
      <c r="K53" s="78" t="s">
        <v>98</v>
      </c>
      <c r="L53" s="78"/>
      <c r="M53" s="7" t="s">
        <v>99</v>
      </c>
      <c r="N53" s="7"/>
      <c r="O53" s="99">
        <f>O52+1</f>
        <v>6</v>
      </c>
      <c r="P53" s="99">
        <f t="shared" si="10"/>
        <v>3</v>
      </c>
      <c r="Q53" s="76">
        <f>P53</f>
        <v>3</v>
      </c>
      <c r="R53" s="77">
        <f>VLOOKUP(Q53,STN_TABLE,2,FALSE)</f>
        <v>1.45</v>
      </c>
      <c r="S53" s="77">
        <v>8</v>
      </c>
      <c r="T53" s="76">
        <f>R53*S53</f>
        <v>11.6</v>
      </c>
      <c r="U53" s="80">
        <v>10</v>
      </c>
      <c r="V53" s="76">
        <f>R53*U53</f>
        <v>14.5</v>
      </c>
      <c r="W53" s="513" t="s">
        <v>97</v>
      </c>
      <c r="X53" s="513"/>
      <c r="Y53" s="513" t="s">
        <v>98</v>
      </c>
      <c r="Z53" s="513"/>
      <c r="AA53" s="511" t="s">
        <v>99</v>
      </c>
      <c r="AB53" s="511"/>
      <c r="AC53" s="99">
        <f>AC48+1</f>
        <v>5</v>
      </c>
      <c r="AD53" s="95">
        <f>VLOOKUP(AC53,STN_TABLE_2,2,FALSE)</f>
        <v>2</v>
      </c>
      <c r="AE53" s="68">
        <f>VLOOKUP(AD53,STN_TABLE,2,FALSE)</f>
        <v>1.1499999999999999</v>
      </c>
      <c r="AF53" s="68">
        <v>1</v>
      </c>
      <c r="AG53" s="69">
        <f>AE53*AF53</f>
        <v>1.1499999999999999</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1.45</v>
      </c>
      <c r="E54" s="92">
        <v>1</v>
      </c>
      <c r="F54" s="82">
        <f>D54*E54</f>
        <v>1.45</v>
      </c>
      <c r="G54" s="83">
        <f>C54</f>
        <v>3</v>
      </c>
      <c r="H54" s="83">
        <f>F54*G54</f>
        <v>4.3499999999999996</v>
      </c>
      <c r="I54" s="84" t="str">
        <f>CONCATENATE("a'(",C54,")=")</f>
        <v>a'(3)=</v>
      </c>
      <c r="J54" s="84" t="e">
        <f>2*J52/3*F55</f>
        <v>#VALUE!</v>
      </c>
      <c r="K54" s="84" t="str">
        <f>CONCATENATE("A(",C52,")=")</f>
        <v>A(1)=</v>
      </c>
      <c r="L54" s="84">
        <f>VLOOKUP(C52,STN_TABLE,3,FALSE)</f>
        <v>0</v>
      </c>
      <c r="M54" t="str">
        <f>CONCATENATE("A(",C54,")=")</f>
        <v>A(3)=</v>
      </c>
      <c r="N54" t="e">
        <f>J54+L54</f>
        <v>#VALUE!</v>
      </c>
      <c r="O54" s="99">
        <f>O53+1</f>
        <v>7</v>
      </c>
      <c r="P54" s="99">
        <f t="shared" si="10"/>
        <v>4</v>
      </c>
      <c r="Q54" s="82">
        <f>IF(P54-P53=P53-P52,P54,IF(P55-P53=P53-P52,P55,IF(P54-P53=P53-P51,P54,IF(P55-P53=P53-P51,P55,"-"))))</f>
        <v>4</v>
      </c>
      <c r="R54" s="83">
        <f>VLOOKUP(Q54,STN_TABLE,2,FALSE)</f>
        <v>1.04</v>
      </c>
      <c r="S54" s="83">
        <v>-1</v>
      </c>
      <c r="T54" s="82">
        <f>R54*S54</f>
        <v>-1.04</v>
      </c>
      <c r="U54" s="88">
        <v>-1</v>
      </c>
      <c r="V54" s="82">
        <f>R54*U54</f>
        <v>-1.04</v>
      </c>
      <c r="W54" s="84" t="str">
        <f>CONCATENATE("a'(",Q53,")=")</f>
        <v>a'(3)=</v>
      </c>
      <c r="X54" s="84">
        <f>2*X52/12*T55</f>
        <v>4.8930000000000007</v>
      </c>
      <c r="Y54" s="84" t="str">
        <f>CONCATENATE("A(",Q52,")=")</f>
        <v>A(2)=</v>
      </c>
      <c r="Z54" s="84">
        <f>VLOOKUP(Q52,STN_TABLE,3,FALSE)</f>
        <v>2.2509999999999999</v>
      </c>
      <c r="AA54" t="str">
        <f>CONCATENATE("A(",Q53,")=")</f>
        <v>A(3)=</v>
      </c>
      <c r="AB54">
        <f>X54+Z54</f>
        <v>7.1440000000000001</v>
      </c>
      <c r="AC54" s="99">
        <f>AC53+1</f>
        <v>6</v>
      </c>
      <c r="AD54" s="100">
        <f>VLOOKUP(AC54,STN_TABLE_2,2,FALSE)</f>
        <v>3</v>
      </c>
      <c r="AE54" s="82">
        <f>VLOOKUP(AD54,STN_TABLE,2,FALSE)</f>
        <v>1.45</v>
      </c>
      <c r="AF54" s="82">
        <v>2</v>
      </c>
      <c r="AG54" s="83">
        <f>AE54*AF54</f>
        <v>2.9</v>
      </c>
      <c r="AH54" s="84" t="str">
        <f>CONCATENATE("a'(",AD54,")=")</f>
        <v>a'(3)=</v>
      </c>
      <c r="AI54" s="84">
        <f>2*AI52/2*AE55</f>
        <v>4.68</v>
      </c>
      <c r="AJ54" s="84" t="str">
        <f>CONCATENATE("A(",AD53,")=")</f>
        <v>A(2)=</v>
      </c>
      <c r="AK54" s="84">
        <f>VLOOKUP(AD53,STN_TABLE,3,FALSE)</f>
        <v>2.2509999999999999</v>
      </c>
      <c r="AL54" t="str">
        <f>CONCATENATE("A(",AD54,")=")</f>
        <v>A(3)=</v>
      </c>
      <c r="AM54">
        <f>AI54+AK54</f>
        <v>6.9309999999999992</v>
      </c>
      <c r="AO54" s="68" t="str">
        <f>AA54</f>
        <v>A(3)=</v>
      </c>
      <c r="AP54" s="68">
        <f>VLOOKUP(AO54,Rise_Results,2,FALSE)</f>
        <v>7.1440000000000001</v>
      </c>
      <c r="AQ54" s="76" t="e">
        <f>N54</f>
        <v>#VALUE!</v>
      </c>
      <c r="AR54" s="76">
        <f>IF(OR(AB54&lt;=0,AB55&lt;=0),1/0,AB54)</f>
        <v>7.1440000000000001</v>
      </c>
      <c r="AS54" s="76">
        <f>AM54</f>
        <v>6.9309999999999992</v>
      </c>
      <c r="AT54">
        <f>IFERROR(AP54,IFERROR(AQ54,IFERROR(AR54,AS54)))</f>
        <v>7.1440000000000001</v>
      </c>
      <c r="AU54" s="81"/>
    </row>
    <row r="55" spans="1:47" x14ac:dyDescent="0.25">
      <c r="A55" s="84">
        <f>A54+1</f>
        <v>6</v>
      </c>
      <c r="B55" s="84">
        <f t="shared" si="11"/>
        <v>3</v>
      </c>
      <c r="F55" s="82">
        <f>SUM(F52:F54)</f>
        <v>6.05</v>
      </c>
      <c r="H55" s="82">
        <f>SUM(H52:H54)</f>
        <v>13.549999999999999</v>
      </c>
      <c r="I55" s="84" t="str">
        <f>CONCATENATE("m'(",C54,")=")</f>
        <v>m'(3)=</v>
      </c>
      <c r="J55" s="84" t="e">
        <f>2*(J52*(WLS))/3*H55</f>
        <v>#VALUE!</v>
      </c>
      <c r="K55" s="84" t="str">
        <f>CONCATENATE("M(",C52,")=")</f>
        <v>M(1)=</v>
      </c>
      <c r="L55" s="84">
        <f>VLOOKUP(C52,STN_TABLE,4,FALSE)</f>
        <v>0</v>
      </c>
      <c r="M55" t="str">
        <f>CONCATENATE("M(",C54,")=")</f>
        <v>M(3)=</v>
      </c>
      <c r="N55" t="e">
        <f>J55+L55</f>
        <v>#VALUE!</v>
      </c>
      <c r="O55" s="99">
        <f>O54+1</f>
        <v>8</v>
      </c>
      <c r="P55" s="99">
        <f t="shared" si="10"/>
        <v>5</v>
      </c>
      <c r="T55" s="89">
        <f>SUM(T52:T54)</f>
        <v>16.310000000000002</v>
      </c>
      <c r="V55" s="82">
        <f>SUM(V52:V54)</f>
        <v>16.91</v>
      </c>
      <c r="W55" s="84" t="str">
        <f>CONCATENATE("m'(",Q53,")=")</f>
        <v>m'(3)=</v>
      </c>
      <c r="X55" s="84">
        <f>(2*(X52^2)/24*V55)+(X54*Q52*WLS)</f>
        <v>22.180500000000002</v>
      </c>
      <c r="Y55" s="84" t="str">
        <f>CONCATENATE("M(",Q52,")=")</f>
        <v>M(2)=</v>
      </c>
      <c r="Z55" s="84">
        <f>VLOOKUP(Q52,STN_TABLE,4,FALSE)</f>
        <v>6.7797666666666672</v>
      </c>
      <c r="AA55" t="str">
        <f>CONCATENATE("M(",Q53,")=")</f>
        <v>M(3)=</v>
      </c>
      <c r="AB55">
        <f>X55+Z55</f>
        <v>28.960266666666669</v>
      </c>
      <c r="AE55" s="89">
        <f>SUM(AE53:AE54)</f>
        <v>2.5999999999999996</v>
      </c>
      <c r="AG55" s="89">
        <f>SUM(AG53:AG54)</f>
        <v>4.05</v>
      </c>
      <c r="AH55" s="84" t="str">
        <f>CONCATENATE("m'(",AD54,")=")</f>
        <v>m'(3)=</v>
      </c>
      <c r="AI55" s="84">
        <f>(2*(AI52^2)/6*AG55)+(AI54*AD53*WLS)</f>
        <v>21.221999999999998</v>
      </c>
      <c r="AJ55" s="84" t="str">
        <f>CONCATENATE("M(",AD53,")=")</f>
        <v>M(2)=</v>
      </c>
      <c r="AK55" s="84">
        <f>VLOOKUP(AD53,STN_TABLE,4,FALSE)</f>
        <v>6.7797666666666672</v>
      </c>
      <c r="AL55" t="str">
        <f>CONCATENATE("M(",AD54,")=")</f>
        <v>M(3)=</v>
      </c>
      <c r="AM55">
        <f>AI55+AK55</f>
        <v>28.001766666666665</v>
      </c>
      <c r="AO55" s="82" t="str">
        <f>AA55</f>
        <v>M(3)=</v>
      </c>
      <c r="AP55" s="82">
        <f>VLOOKUP(AO55,Rise_Results,2,FALSE)</f>
        <v>28.960266666666669</v>
      </c>
      <c r="AQ55" s="82" t="e">
        <f>N55</f>
        <v>#VALUE!</v>
      </c>
      <c r="AR55" s="82">
        <f>IF(OR(AB54&lt;=0,AB55&lt;=0),1/0,AB55)</f>
        <v>28.960266666666669</v>
      </c>
      <c r="AS55" s="82">
        <f>AM55</f>
        <v>28.001766666666665</v>
      </c>
      <c r="AT55">
        <f>IFERROR(AP55,IFERROR(AQ55,IFERROR(AR55,AS55)))</f>
        <v>28.960266666666669</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1.1499999999999999</v>
      </c>
      <c r="E57" s="102">
        <v>1</v>
      </c>
      <c r="F57" s="68">
        <f>D57*E57</f>
        <v>1.1499999999999999</v>
      </c>
      <c r="G57" s="69">
        <f>C57</f>
        <v>2</v>
      </c>
      <c r="H57" s="69">
        <f>F57*G57</f>
        <v>2.2999999999999998</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1.45</v>
      </c>
      <c r="S57" s="69">
        <v>5</v>
      </c>
      <c r="T57" s="68">
        <f>R57*S57</f>
        <v>7.25</v>
      </c>
      <c r="U57" s="79">
        <v>3</v>
      </c>
      <c r="V57" s="68">
        <f>R57*U57</f>
        <v>4.3499999999999996</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1.45</v>
      </c>
      <c r="E58" s="81">
        <v>4</v>
      </c>
      <c r="F58" s="76">
        <f>D58*E58</f>
        <v>5.8</v>
      </c>
      <c r="G58" s="77">
        <f>C58</f>
        <v>3</v>
      </c>
      <c r="H58" s="77">
        <f>F58*G58</f>
        <v>17.399999999999999</v>
      </c>
      <c r="I58" s="512" t="s">
        <v>97</v>
      </c>
      <c r="J58" s="513"/>
      <c r="K58" s="78" t="s">
        <v>98</v>
      </c>
      <c r="L58" s="78"/>
      <c r="M58" s="7" t="s">
        <v>99</v>
      </c>
      <c r="N58" s="7"/>
      <c r="O58" s="99">
        <f>O57+1</f>
        <v>7</v>
      </c>
      <c r="P58" s="99">
        <f t="shared" si="10"/>
        <v>4</v>
      </c>
      <c r="Q58" s="76">
        <f>P58</f>
        <v>4</v>
      </c>
      <c r="R58" s="77">
        <f>VLOOKUP(Q58,STN_TABLE,2,FALSE)</f>
        <v>1.04</v>
      </c>
      <c r="S58" s="77">
        <v>8</v>
      </c>
      <c r="T58" s="76">
        <f>R58*S58</f>
        <v>8.32</v>
      </c>
      <c r="U58" s="80">
        <v>10</v>
      </c>
      <c r="V58" s="76">
        <f>R58*U58</f>
        <v>10.4</v>
      </c>
      <c r="W58" s="78" t="s">
        <v>97</v>
      </c>
      <c r="X58" s="78"/>
      <c r="Y58" s="78" t="s">
        <v>98</v>
      </c>
      <c r="Z58" s="78"/>
      <c r="AA58" s="7" t="s">
        <v>99</v>
      </c>
      <c r="AB58" s="7"/>
      <c r="AC58" s="99">
        <f>AC53+1</f>
        <v>6</v>
      </c>
      <c r="AD58" s="95">
        <f>VLOOKUP(AC58,STN_TABLE_2,2,FALSE)</f>
        <v>3</v>
      </c>
      <c r="AE58" s="68">
        <f>VLOOKUP(AD58,STN_TABLE,2,FALSE)</f>
        <v>1.45</v>
      </c>
      <c r="AF58" s="68">
        <v>1</v>
      </c>
      <c r="AG58" s="69">
        <f>AE58*AF58</f>
        <v>1.45</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1.04</v>
      </c>
      <c r="E59" s="92">
        <v>1</v>
      </c>
      <c r="F59" s="82">
        <f>D59*E59</f>
        <v>1.04</v>
      </c>
      <c r="G59" s="83">
        <f>C59</f>
        <v>4</v>
      </c>
      <c r="H59" s="83">
        <f>F59*G59</f>
        <v>4.16</v>
      </c>
      <c r="I59" s="84" t="str">
        <f>CONCATENATE("a'(",C59,")=")</f>
        <v>a'(4)=</v>
      </c>
      <c r="J59" s="84">
        <f>2*J57/3*F60</f>
        <v>9.5879999999999992</v>
      </c>
      <c r="K59" s="84" t="str">
        <f>CONCATENATE("A(",C57,")=")</f>
        <v>A(2)=</v>
      </c>
      <c r="L59" s="84">
        <f>VLOOKUP(C57,STN_TABLE,3,FALSE)</f>
        <v>2.2509999999999999</v>
      </c>
      <c r="M59" t="str">
        <f>CONCATENATE("A(",C59,")=")</f>
        <v>A(4)=</v>
      </c>
      <c r="N59">
        <f>J59+L59</f>
        <v>11.838999999999999</v>
      </c>
      <c r="O59" s="99">
        <f>O58+1</f>
        <v>8</v>
      </c>
      <c r="P59" s="99">
        <f t="shared" si="10"/>
        <v>5</v>
      </c>
      <c r="Q59" s="82">
        <f>IF(P59-P58=P58-P57,P59,IF(P60-P58=P58-P57,P60,IF(P59-P58=P58-P56,P59,IF(P60-P58=P58-P56,P60,"-"))))</f>
        <v>5</v>
      </c>
      <c r="R59" s="83">
        <f>VLOOKUP(Q59,STN_TABLE,2,FALSE)</f>
        <v>0</v>
      </c>
      <c r="S59" s="83">
        <v>-1</v>
      </c>
      <c r="T59" s="82">
        <f>R59*S59</f>
        <v>0</v>
      </c>
      <c r="U59" s="88">
        <v>-1</v>
      </c>
      <c r="V59" s="82">
        <f>R59*U59</f>
        <v>0</v>
      </c>
      <c r="W59" s="84" t="str">
        <f>CONCATENATE("a'(",Q58,")=")</f>
        <v>a'(4)=</v>
      </c>
      <c r="X59" s="84">
        <f>2*X57/12*T60</f>
        <v>4.6710000000000003</v>
      </c>
      <c r="Y59" s="84" t="str">
        <f>CONCATENATE("A(",Q57,")=")</f>
        <v>A(3)=</v>
      </c>
      <c r="Z59" s="84">
        <f>VLOOKUP(Q57,STN_TABLE,3,FALSE)</f>
        <v>7.1440000000000001</v>
      </c>
      <c r="AA59" t="str">
        <f>CONCATENATE("A(",Q58,")=")</f>
        <v>A(4)=</v>
      </c>
      <c r="AB59">
        <f>X59+Z59</f>
        <v>11.815000000000001</v>
      </c>
      <c r="AC59" s="99">
        <f>AC58+1</f>
        <v>7</v>
      </c>
      <c r="AD59" s="100">
        <f>VLOOKUP(AC59,STN_TABLE_2,2,FALSE)</f>
        <v>4</v>
      </c>
      <c r="AE59" s="82">
        <f>VLOOKUP(AD59,STN_TABLE,2,FALSE)</f>
        <v>1.04</v>
      </c>
      <c r="AF59" s="82">
        <v>2</v>
      </c>
      <c r="AG59" s="83">
        <f>AE59*AF59</f>
        <v>2.08</v>
      </c>
      <c r="AH59" s="84" t="str">
        <f>CONCATENATE("a'(",AD59,")=")</f>
        <v>a'(4)=</v>
      </c>
      <c r="AI59" s="84">
        <f>2*AI57/2*AE60</f>
        <v>4.4820000000000002</v>
      </c>
      <c r="AJ59" s="84" t="str">
        <f>CONCATENATE("A(",AD58,")=")</f>
        <v>A(3)=</v>
      </c>
      <c r="AK59" s="84">
        <f>VLOOKUP(AD58,STN_TABLE,3,FALSE)</f>
        <v>7.1440000000000001</v>
      </c>
      <c r="AL59" t="str">
        <f>CONCATENATE("A(",AD59,")=")</f>
        <v>A(4)=</v>
      </c>
      <c r="AM59">
        <f>AI59+AK59</f>
        <v>11.626000000000001</v>
      </c>
      <c r="AO59" s="68" t="str">
        <f>AA59</f>
        <v>A(4)=</v>
      </c>
      <c r="AP59" s="68">
        <f>VLOOKUP(AO59,Rise_Results,2,FALSE)</f>
        <v>11.838999999999999</v>
      </c>
      <c r="AQ59" s="76">
        <f>N59</f>
        <v>11.838999999999999</v>
      </c>
      <c r="AR59" s="76">
        <f>IF(OR(AB59&lt;=0,AB60&lt;=0),1/0,AB59)</f>
        <v>11.815000000000001</v>
      </c>
      <c r="AS59" s="76">
        <f>AM59</f>
        <v>11.626000000000001</v>
      </c>
      <c r="AT59">
        <f>IFERROR(AP59,IFERROR(AQ59,IFERROR(AR59,AS59)))</f>
        <v>11.838999999999999</v>
      </c>
      <c r="AU59" s="81"/>
    </row>
    <row r="60" spans="1:47" x14ac:dyDescent="0.25">
      <c r="A60" s="84">
        <f>A59+1</f>
        <v>7</v>
      </c>
      <c r="B60" s="84">
        <f t="shared" si="11"/>
        <v>4</v>
      </c>
      <c r="F60" s="82">
        <f>SUM(F57:F59)</f>
        <v>7.9899999999999993</v>
      </c>
      <c r="H60" s="82">
        <f>SUM(H57:H59)</f>
        <v>23.86</v>
      </c>
      <c r="I60" s="84" t="str">
        <f>CONCATENATE("m'(",C59,")=")</f>
        <v>m'(4)=</v>
      </c>
      <c r="J60" s="84">
        <f>2*(J57*(WLS))/3*H60</f>
        <v>51.537600000000005</v>
      </c>
      <c r="K60" s="84" t="str">
        <f>CONCATENATE("M(",C57,")=")</f>
        <v>M(2)=</v>
      </c>
      <c r="L60" s="84">
        <f>VLOOKUP(C57,STN_TABLE,4,FALSE)</f>
        <v>6.7797666666666672</v>
      </c>
      <c r="M60" t="str">
        <f>CONCATENATE("M(",C59,")=")</f>
        <v>M(4)=</v>
      </c>
      <c r="N60">
        <f>J60+L60</f>
        <v>58.317366666666672</v>
      </c>
      <c r="O60" s="99">
        <f>O59+1</f>
        <v>9</v>
      </c>
      <c r="P60" s="99">
        <f t="shared" si="10"/>
        <v>5.6111111111111107</v>
      </c>
      <c r="T60" s="89">
        <f>SUM(T57:T59)</f>
        <v>15.57</v>
      </c>
      <c r="V60" s="82">
        <f>SUM(V57:V59)</f>
        <v>14.75</v>
      </c>
      <c r="W60" s="84" t="str">
        <f>CONCATENATE("m'(",Q58,")=")</f>
        <v>m'(4)=</v>
      </c>
      <c r="X60" s="84">
        <f>(2*(X57^2)/24*V60)+(X59*Q57*WLS)</f>
        <v>29.205900000000007</v>
      </c>
      <c r="Y60" s="84" t="str">
        <f>CONCATENATE("M(",Q57,")=")</f>
        <v>M(3)=</v>
      </c>
      <c r="Z60" s="84">
        <f>VLOOKUP(Q57,STN_TABLE,4,FALSE)</f>
        <v>28.960266666666669</v>
      </c>
      <c r="AA60" t="str">
        <f>CONCATENATE("M(",Q58,")=")</f>
        <v>M(4)=</v>
      </c>
      <c r="AB60">
        <f>X60+Z60</f>
        <v>58.166166666666676</v>
      </c>
      <c r="AE60" s="89">
        <f>SUM(AE58:AE59)</f>
        <v>2.4900000000000002</v>
      </c>
      <c r="AG60" s="89">
        <f>SUM(AG58:AG59)</f>
        <v>3.5300000000000002</v>
      </c>
      <c r="AH60" s="84" t="str">
        <f>CONCATENATE("m'(",AD59,")=")</f>
        <v>m'(4)=</v>
      </c>
      <c r="AI60" s="84">
        <f>(2*(AI57^2)/6*AG60)+(AI59*AD58*WLS)</f>
        <v>28.015200000000004</v>
      </c>
      <c r="AJ60" s="84" t="str">
        <f>CONCATENATE("M(",AD58,")=")</f>
        <v>M(3)=</v>
      </c>
      <c r="AK60" s="84">
        <f>VLOOKUP(AD57,STN_TABLE,4,FALSE)</f>
        <v>0</v>
      </c>
      <c r="AL60" t="str">
        <f>CONCATENATE("M(",AD59,")=")</f>
        <v>M(4)=</v>
      </c>
      <c r="AM60">
        <f>AI60+AK60</f>
        <v>28.015200000000004</v>
      </c>
      <c r="AO60" s="82" t="str">
        <f>AA60</f>
        <v>M(4)=</v>
      </c>
      <c r="AP60" s="82">
        <f>VLOOKUP(AO60,Rise_Results,2,FALSE)</f>
        <v>58.317366666666672</v>
      </c>
      <c r="AQ60" s="82">
        <f>N60</f>
        <v>58.317366666666672</v>
      </c>
      <c r="AR60" s="82">
        <f>IF(OR(AB59&lt;=0,AB60&lt;=0),1/0,AB60)</f>
        <v>58.166166666666676</v>
      </c>
      <c r="AS60" s="82">
        <f>AM60</f>
        <v>28.015200000000004</v>
      </c>
      <c r="AT60">
        <f>IFERROR(AP60,IFERROR(AQ60,IFERROR(AR60,AS60)))</f>
        <v>58.317366666666672</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1.45</v>
      </c>
      <c r="E62" s="102">
        <v>1</v>
      </c>
      <c r="F62" s="68">
        <f>D62*E62</f>
        <v>1.45</v>
      </c>
      <c r="G62" s="69">
        <f>C62</f>
        <v>3</v>
      </c>
      <c r="H62" s="69">
        <f>F62*G62</f>
        <v>4.3499999999999996</v>
      </c>
      <c r="I62" s="6" t="s">
        <v>93</v>
      </c>
      <c r="J62" s="70" t="str">
        <f>IF(OR(D62=0,D63=0,D64=0),"#NA",IF(AND(C64-C63=C63-C62,C63&lt;&gt;C64,C62&lt;&gt;C63,C62&lt;&gt;C64,D64&lt;&gt;0,OR(D62&lt;&gt;0,D63&lt;&gt;0)),WLS*(C64-C63),"#NA"))</f>
        <v>#NA</v>
      </c>
      <c r="O62" s="99">
        <f>O61+1</f>
        <v>7</v>
      </c>
      <c r="P62" s="99">
        <f t="shared" si="10"/>
        <v>4</v>
      </c>
      <c r="Q62" s="68">
        <f>IF(OR(P64-P63=P63-P62,P65-P63=P63-P62),P62,IF(OR(P64-P63=P63-P61,P65-P63=P63-P61),P61,"-"))</f>
        <v>4</v>
      </c>
      <c r="R62" s="69">
        <f>VLOOKUP(Q62,STN_TABLE,2,FALSE)</f>
        <v>1.04</v>
      </c>
      <c r="S62" s="69">
        <v>5</v>
      </c>
      <c r="T62" s="68">
        <f>R62*S62</f>
        <v>5.2</v>
      </c>
      <c r="U62" s="79">
        <v>3</v>
      </c>
      <c r="V62" s="68">
        <f>R62*U62</f>
        <v>3.12</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1.04</v>
      </c>
      <c r="E63" s="81">
        <v>4</v>
      </c>
      <c r="F63" s="76">
        <f>D63*E63</f>
        <v>4.16</v>
      </c>
      <c r="G63" s="77">
        <f>C63</f>
        <v>4</v>
      </c>
      <c r="H63" s="77">
        <f>F63*G63</f>
        <v>16.64</v>
      </c>
      <c r="I63" s="512" t="s">
        <v>97</v>
      </c>
      <c r="J63" s="513"/>
      <c r="K63" s="78" t="s">
        <v>98</v>
      </c>
      <c r="L63" s="78"/>
      <c r="M63" s="7" t="s">
        <v>99</v>
      </c>
      <c r="N63" s="7"/>
      <c r="O63" s="99">
        <f>O62+1</f>
        <v>8</v>
      </c>
      <c r="P63" s="99">
        <f t="shared" si="10"/>
        <v>5</v>
      </c>
      <c r="Q63" s="76">
        <f>P63</f>
        <v>5</v>
      </c>
      <c r="R63" s="77">
        <f>VLOOKUP(Q63,STN_TABLE,2,FALSE)</f>
        <v>0</v>
      </c>
      <c r="S63" s="77">
        <v>8</v>
      </c>
      <c r="T63" s="76">
        <f>R63*S63</f>
        <v>0</v>
      </c>
      <c r="U63" s="80">
        <v>10</v>
      </c>
      <c r="V63" s="76">
        <f>R63*U63</f>
        <v>0</v>
      </c>
      <c r="W63" s="513" t="s">
        <v>97</v>
      </c>
      <c r="X63" s="513"/>
      <c r="Y63" s="513" t="s">
        <v>98</v>
      </c>
      <c r="Z63" s="513"/>
      <c r="AA63" s="511" t="s">
        <v>99</v>
      </c>
      <c r="AB63" s="511"/>
      <c r="AC63" s="99">
        <f>AC58+1</f>
        <v>7</v>
      </c>
      <c r="AD63" s="95">
        <f>VLOOKUP(AC63,STN_TABLE_2,2,FALSE)</f>
        <v>4</v>
      </c>
      <c r="AE63" s="68">
        <f>VLOOKUP(AD63,STN_TABLE,2,FALSE)</f>
        <v>1.04</v>
      </c>
      <c r="AF63" s="68">
        <v>1</v>
      </c>
      <c r="AG63" s="69">
        <f>AE63*AF63</f>
        <v>1.04</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0</v>
      </c>
      <c r="E64" s="92">
        <v>1</v>
      </c>
      <c r="F64" s="82">
        <f>D64*E64</f>
        <v>0</v>
      </c>
      <c r="G64" s="83">
        <f>C64</f>
        <v>5</v>
      </c>
      <c r="H64" s="83">
        <f>F64*G64</f>
        <v>0</v>
      </c>
      <c r="I64" s="84" t="str">
        <f>CONCATENATE("a'(",C64,")=")</f>
        <v>a'(5)=</v>
      </c>
      <c r="J64" s="84" t="e">
        <f>2*J62/3*F65</f>
        <v>#VALUE!</v>
      </c>
      <c r="K64" s="84" t="str">
        <f>CONCATENATE("A(",C62,")=")</f>
        <v>A(3)=</v>
      </c>
      <c r="L64" s="84">
        <f>VLOOKUP(C62,STN_TABLE,3,FALSE)</f>
        <v>7.1440000000000001</v>
      </c>
      <c r="M64" t="str">
        <f>CONCATENATE("A(",C64,")=")</f>
        <v>A(5)=</v>
      </c>
      <c r="N64" t="e">
        <f>J64+L64</f>
        <v>#VALUE!</v>
      </c>
      <c r="O64" s="99">
        <f>O63+1</f>
        <v>9</v>
      </c>
      <c r="P64" s="99">
        <f t="shared" si="10"/>
        <v>5.6111111111111107</v>
      </c>
      <c r="Q64" s="82">
        <f>IF(P64-P63=P63-P62,P64,IF(P65-P63=P63-P62,P65,IF(P64-P63=P63-P61,P64,IF(P65-P63=P63-P61,P65,"-"))))</f>
        <v>6</v>
      </c>
      <c r="R64" s="83">
        <f>VLOOKUP(Q64,STN_TABLE,2,FALSE)</f>
        <v>0.25</v>
      </c>
      <c r="S64" s="83">
        <v>-1</v>
      </c>
      <c r="T64" s="82">
        <f>R64*S64</f>
        <v>-0.25</v>
      </c>
      <c r="U64" s="88">
        <v>-1</v>
      </c>
      <c r="V64" s="82">
        <f>R64*U64</f>
        <v>-0.25</v>
      </c>
      <c r="W64" s="84" t="str">
        <f>CONCATENATE("a'(",Q63,")=")</f>
        <v>a'(5)=</v>
      </c>
      <c r="X64" s="84">
        <f>2*X62/12*T65</f>
        <v>1.4850000000000001</v>
      </c>
      <c r="Y64" s="84" t="str">
        <f>CONCATENATE("A(",Q62,")=")</f>
        <v>A(4)=</v>
      </c>
      <c r="Z64" s="84">
        <f>VLOOKUP(Q62,STN_TABLE,3,FALSE)</f>
        <v>11.838999999999999</v>
      </c>
      <c r="AA64" t="str">
        <f>CONCATENATE("A(",Q63,")=")</f>
        <v>A(5)=</v>
      </c>
      <c r="AB64">
        <f>X64+Z64</f>
        <v>13.323999999999998</v>
      </c>
      <c r="AC64" s="99">
        <f>AC63+1</f>
        <v>8</v>
      </c>
      <c r="AD64" s="100">
        <f>VLOOKUP(AC64,STN_TABLE_2,2,FALSE)</f>
        <v>5</v>
      </c>
      <c r="AE64" s="82">
        <f>VLOOKUP(AD64,STN_TABLE,2,FALSE)</f>
        <v>0</v>
      </c>
      <c r="AF64" s="82">
        <v>2</v>
      </c>
      <c r="AG64" s="83">
        <f>AE64*AF64</f>
        <v>0</v>
      </c>
      <c r="AH64" s="84" t="str">
        <f>CONCATENATE("a'(",AD64,")=")</f>
        <v>a'(5)=</v>
      </c>
      <c r="AI64" s="84">
        <f>2*AI62/2*AE65</f>
        <v>1.8720000000000001</v>
      </c>
      <c r="AJ64" s="84" t="str">
        <f>CONCATENATE("A(",AD63,")=")</f>
        <v>A(4)=</v>
      </c>
      <c r="AK64" s="84">
        <f>VLOOKUP(AD63,STN_TABLE,3,FALSE)</f>
        <v>11.838999999999999</v>
      </c>
      <c r="AL64" t="str">
        <f>CONCATENATE("A(",AD64,")=")</f>
        <v>A(5)=</v>
      </c>
      <c r="AM64">
        <f>AI64+AK64</f>
        <v>13.710999999999999</v>
      </c>
      <c r="AO64" s="68" t="str">
        <f>AA64</f>
        <v>A(5)=</v>
      </c>
      <c r="AP64" s="68" t="e">
        <f>VLOOKUP(AO64,Rise_Results,2,FALSE)</f>
        <v>#N/A</v>
      </c>
      <c r="AQ64" s="76" t="e">
        <f>N64</f>
        <v>#VALUE!</v>
      </c>
      <c r="AR64" s="76">
        <f>IF(OR(AB64&lt;=0,AB65&lt;=0),1/0,AB64)</f>
        <v>13.323999999999998</v>
      </c>
      <c r="AS64" s="76">
        <f>AM64</f>
        <v>13.710999999999999</v>
      </c>
      <c r="AT64">
        <f>IFERROR(AP64,IFERROR(AQ64,IFERROR(AR64,AS64)))</f>
        <v>13.323999999999998</v>
      </c>
      <c r="AU64" s="81"/>
    </row>
    <row r="65" spans="1:47" x14ac:dyDescent="0.25">
      <c r="A65" s="84">
        <f>A64+1</f>
        <v>8</v>
      </c>
      <c r="B65" s="84">
        <f t="shared" si="11"/>
        <v>5</v>
      </c>
      <c r="F65" s="82">
        <f>SUM(F62:F64)</f>
        <v>5.61</v>
      </c>
      <c r="H65" s="82">
        <f>SUM(H62:H64)</f>
        <v>20.990000000000002</v>
      </c>
      <c r="I65" s="84" t="str">
        <f>CONCATENATE("m'(",C64,")=")</f>
        <v>m'(5)=</v>
      </c>
      <c r="J65" s="84" t="e">
        <f>2*(J62*(WLS))/3*H65</f>
        <v>#VALUE!</v>
      </c>
      <c r="K65" s="84" t="str">
        <f>CONCATENATE("M(",C62,")=")</f>
        <v>M(3)=</v>
      </c>
      <c r="L65" s="84">
        <f>VLOOKUP(C62,STN_TABLE,4,FALSE)</f>
        <v>28.960266666666669</v>
      </c>
      <c r="M65" t="str">
        <f>CONCATENATE("M(",C64,")=")</f>
        <v>M(5)=</v>
      </c>
      <c r="N65" t="e">
        <f>J65+L65</f>
        <v>#VALUE!</v>
      </c>
      <c r="O65" s="99">
        <f>O64+1</f>
        <v>10</v>
      </c>
      <c r="P65" s="99">
        <f t="shared" si="10"/>
        <v>6</v>
      </c>
      <c r="T65" s="89">
        <f>SUM(T62:T64)</f>
        <v>4.95</v>
      </c>
      <c r="V65" s="82">
        <f>SUM(V62:V64)</f>
        <v>2.87</v>
      </c>
      <c r="W65" s="84" t="str">
        <f>CONCATENATE("m'(",Q63,")=")</f>
        <v>m'(5)=</v>
      </c>
      <c r="X65" s="84">
        <f>(2*(X62^2)/24*V65)+(X64*Q62*WLS)</f>
        <v>11.466900000000001</v>
      </c>
      <c r="Y65" s="84" t="str">
        <f>CONCATENATE("M(",Q62,")=")</f>
        <v>M(4)=</v>
      </c>
      <c r="Z65" s="84">
        <f>VLOOKUP(Q62,STN_TABLE,4,FALSE)</f>
        <v>58.317366666666672</v>
      </c>
      <c r="AA65" t="str">
        <f>CONCATENATE("M(",Q63,")=")</f>
        <v>M(5)=</v>
      </c>
      <c r="AB65">
        <f>X65+Z65</f>
        <v>69.784266666666667</v>
      </c>
      <c r="AE65" s="89">
        <f>SUM(AE63:AE64)</f>
        <v>1.04</v>
      </c>
      <c r="AG65" s="89">
        <f>SUM(AG63:AG64)</f>
        <v>1.04</v>
      </c>
      <c r="AH65" s="84" t="str">
        <f>CONCATENATE("m'(",AD64,")=")</f>
        <v>m'(5)=</v>
      </c>
      <c r="AI65" s="84">
        <f>(2*(AI62^2)/6*AG65)+(AI64*AD63*WLS)</f>
        <v>14.601600000000001</v>
      </c>
      <c r="AJ65" s="84" t="str">
        <f>CONCATENATE("M(",AD63,")=")</f>
        <v>M(4)=</v>
      </c>
      <c r="AK65" s="84">
        <f>VLOOKUP(AD63,STN_TABLE,4,FALSE)</f>
        <v>58.317366666666672</v>
      </c>
      <c r="AL65" t="str">
        <f>CONCATENATE("M(",AD64,")=")</f>
        <v>M(5)=</v>
      </c>
      <c r="AM65">
        <f>AI65+AK65</f>
        <v>72.918966666666677</v>
      </c>
      <c r="AO65" s="82" t="str">
        <f>AA65</f>
        <v>M(5)=</v>
      </c>
      <c r="AP65" s="82" t="e">
        <f>VLOOKUP(AO65,Rise_Results,2,FALSE)</f>
        <v>#N/A</v>
      </c>
      <c r="AQ65" s="82" t="e">
        <f>N65</f>
        <v>#VALUE!</v>
      </c>
      <c r="AR65" s="82">
        <f>IF(OR(AB64&lt;=0,AB65&lt;=0),1/0,AB65)</f>
        <v>69.784266666666667</v>
      </c>
      <c r="AS65" s="82">
        <f>AM65</f>
        <v>72.918966666666677</v>
      </c>
      <c r="AT65">
        <f>IFERROR(AP65,IFERROR(AQ65,IFERROR(AR65,AS65)))</f>
        <v>69.784266666666667</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0</v>
      </c>
      <c r="S68" s="77">
        <v>8</v>
      </c>
      <c r="T68" s="76">
        <f>R68*S68</f>
        <v>0</v>
      </c>
      <c r="U68" s="80">
        <v>10</v>
      </c>
      <c r="V68" s="76">
        <f>R68*U68</f>
        <v>0</v>
      </c>
      <c r="W68" s="513" t="s">
        <v>97</v>
      </c>
      <c r="X68" s="513"/>
      <c r="Y68" s="513" t="s">
        <v>98</v>
      </c>
      <c r="Z68" s="513"/>
      <c r="AA68" s="511" t="s">
        <v>99</v>
      </c>
      <c r="AB68" s="511"/>
      <c r="AC68" s="99">
        <f>AC63+1</f>
        <v>8</v>
      </c>
      <c r="AD68" s="95">
        <f>VLOOKUP(AC68,STN_TABLE_2,2,FALSE)</f>
        <v>5</v>
      </c>
      <c r="AE68" s="68">
        <f>VLOOKUP(AD68,STN_TABLE,2,FALSE)</f>
        <v>0</v>
      </c>
      <c r="AF68" s="68">
        <v>1</v>
      </c>
      <c r="AG68" s="69">
        <f>AE68*AF68</f>
        <v>0</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0</v>
      </c>
      <c r="E69" s="92">
        <v>1</v>
      </c>
      <c r="F69" s="82">
        <f>D69*E69</f>
        <v>0</v>
      </c>
      <c r="G69" s="83">
        <f>C69</f>
        <v>5.6111111111111107</v>
      </c>
      <c r="H69" s="83">
        <f>F69*G69</f>
        <v>0</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0</v>
      </c>
      <c r="AF69" s="82">
        <v>2</v>
      </c>
      <c r="AG69" s="83">
        <f>AE69*AF69</f>
        <v>0</v>
      </c>
      <c r="AH69" s="84" t="str">
        <f>CONCATENATE("a'(",AD69,")=")</f>
        <v>a'(5.61111111111111)=</v>
      </c>
      <c r="AI69" s="84">
        <f>2*AI67/2*AE70</f>
        <v>0</v>
      </c>
      <c r="AJ69" s="84" t="str">
        <f>CONCATENATE("A(",AD68,")=")</f>
        <v>A(5)=</v>
      </c>
      <c r="AK69" s="84">
        <f>VLOOKUP(AD68,STN_TABLE,3,FALSE)</f>
        <v>13.323999999999998</v>
      </c>
      <c r="AL69" t="str">
        <f>CONCATENATE("A(",AD69,")=")</f>
        <v>A(5.61111111111111)=</v>
      </c>
      <c r="AM69">
        <f>AI69+AK69</f>
        <v>13.323999999999998</v>
      </c>
      <c r="AO69" s="68" t="str">
        <f>AA69</f>
        <v>A(5.61111111111111)=</v>
      </c>
      <c r="AP69" s="68" t="e">
        <f>VLOOKUP(AO69,Rise_Results,2,FALSE)</f>
        <v>#N/A</v>
      </c>
      <c r="AQ69" s="76" t="e">
        <f>N69</f>
        <v>#N/A</v>
      </c>
      <c r="AR69" s="76" t="e">
        <f>IF(OR(AB69&lt;=0,AB70&lt;=0),1/0,AB69)</f>
        <v>#VALUE!</v>
      </c>
      <c r="AS69" s="76">
        <f>AM69</f>
        <v>13.323999999999998</v>
      </c>
      <c r="AT69">
        <f>IFERROR(AP69,IFERROR(AQ69,IFERROR(AR69,AS69)))</f>
        <v>13.323999999999998</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0</v>
      </c>
      <c r="AG70" s="89">
        <f>SUM(AG68:AG69)</f>
        <v>0</v>
      </c>
      <c r="AH70" s="84" t="str">
        <f>CONCATENATE("m'(",AD69,")=")</f>
        <v>m'(5.61111111111111)=</v>
      </c>
      <c r="AI70" s="84">
        <f>(2*(AI67^2)/6*AG70)+(AI69*AD68*WLS)</f>
        <v>0</v>
      </c>
      <c r="AJ70" s="84" t="str">
        <f>CONCATENATE("M(",AD68,")=")</f>
        <v>M(5)=</v>
      </c>
      <c r="AK70" s="84">
        <f>VLOOKUP(AD68,STN_TABLE,4,FALSE)</f>
        <v>69.784266666666667</v>
      </c>
      <c r="AL70" t="str">
        <f>CONCATENATE("M(",AD69,")=")</f>
        <v>M(5.61111111111111)=</v>
      </c>
      <c r="AM70">
        <f>AI70+AK70</f>
        <v>69.784266666666667</v>
      </c>
      <c r="AO70" s="82" t="str">
        <f>AA70</f>
        <v>M(5.61111111111111)=</v>
      </c>
      <c r="AP70" s="82" t="e">
        <f>VLOOKUP(AO70,Rise_Results,2,FALSE)</f>
        <v>#N/A</v>
      </c>
      <c r="AQ70" s="82" t="e">
        <f>N70</f>
        <v>#N/A</v>
      </c>
      <c r="AR70" s="82" t="e">
        <f>IF(OR(AB69&lt;=0,AB70&lt;=0),1/0,AB70)</f>
        <v>#VALUE!</v>
      </c>
      <c r="AS70" s="82">
        <f>AM70</f>
        <v>69.784266666666667</v>
      </c>
      <c r="AT70">
        <f>IFERROR(AP70,IFERROR(AQ70,IFERROR(AR70,AS70)))</f>
        <v>69.784266666666667</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1.04</v>
      </c>
      <c r="E72" s="102">
        <v>1</v>
      </c>
      <c r="F72" s="68">
        <f>D72*E72</f>
        <v>1.04</v>
      </c>
      <c r="G72" s="69">
        <f>C72</f>
        <v>4</v>
      </c>
      <c r="H72" s="69">
        <f>F72*G72</f>
        <v>4.16</v>
      </c>
      <c r="I72" s="6" t="s">
        <v>93</v>
      </c>
      <c r="J72" s="70" t="str">
        <f>IF(OR(D72=0,D73=0,D74=0),"#NA",IF(AND(C74-C73=C73-C72,C73&lt;&gt;C74,C72&lt;&gt;C73,C72&lt;&gt;C74,D74&lt;&gt;0,OR(D72&lt;&gt;0,D73&lt;&gt;0)),WLS*(C74-C73),"#NA"))</f>
        <v>#NA</v>
      </c>
      <c r="O72" s="99">
        <f>O71+1</f>
        <v>9</v>
      </c>
      <c r="P72" s="99">
        <f t="shared" si="23"/>
        <v>5.6111111111111107</v>
      </c>
      <c r="Q72" s="68">
        <f>IF(OR(P74-P73=P73-P72,P75-P73=P73-P72),P72,IF(OR(P74-P73=P73-P71,P75-P73=P73-P71),P71,"-"))</f>
        <v>5</v>
      </c>
      <c r="R72" s="69">
        <f>VLOOKUP(Q72,STN_TABLE,2,FALSE)</f>
        <v>0</v>
      </c>
      <c r="S72" s="69">
        <v>5</v>
      </c>
      <c r="T72" s="68">
        <f>R72*S72</f>
        <v>0</v>
      </c>
      <c r="U72" s="79">
        <v>3</v>
      </c>
      <c r="V72" s="68">
        <f>R72*U72</f>
        <v>0</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0</v>
      </c>
      <c r="E73" s="81">
        <v>4</v>
      </c>
      <c r="F73" s="76">
        <f>D73*E73</f>
        <v>0</v>
      </c>
      <c r="G73" s="77">
        <f>C73</f>
        <v>5</v>
      </c>
      <c r="H73" s="77">
        <f>F73*G73</f>
        <v>0</v>
      </c>
      <c r="I73" s="512" t="s">
        <v>97</v>
      </c>
      <c r="J73" s="513"/>
      <c r="K73" s="78" t="s">
        <v>98</v>
      </c>
      <c r="L73" s="78"/>
      <c r="M73" s="7" t="s">
        <v>99</v>
      </c>
      <c r="N73" s="7"/>
      <c r="O73" s="99">
        <f>O72+1</f>
        <v>10</v>
      </c>
      <c r="P73" s="99">
        <f t="shared" si="23"/>
        <v>6</v>
      </c>
      <c r="Q73" s="76">
        <f>P73</f>
        <v>6</v>
      </c>
      <c r="R73" s="77">
        <f>VLOOKUP(Q73,STN_TABLE,2,FALSE)</f>
        <v>0.25</v>
      </c>
      <c r="S73" s="77">
        <v>8</v>
      </c>
      <c r="T73" s="76">
        <f>R73*S73</f>
        <v>2</v>
      </c>
      <c r="U73" s="80">
        <v>10</v>
      </c>
      <c r="V73" s="76">
        <f>R73*U73</f>
        <v>2.5</v>
      </c>
      <c r="W73" s="513" t="s">
        <v>97</v>
      </c>
      <c r="X73" s="513"/>
      <c r="Y73" s="513" t="s">
        <v>98</v>
      </c>
      <c r="Z73" s="513"/>
      <c r="AA73" s="511" t="s">
        <v>99</v>
      </c>
      <c r="AB73" s="511"/>
      <c r="AC73" s="99">
        <f>AC68+1</f>
        <v>9</v>
      </c>
      <c r="AD73" s="95">
        <f>VLOOKUP(AC73,STN_TABLE_2,2,FALSE)</f>
        <v>5.6111111111111107</v>
      </c>
      <c r="AE73" s="68">
        <f>VLOOKUP(AD73,STN_TABLE,2,FALSE)</f>
        <v>0</v>
      </c>
      <c r="AF73" s="68">
        <v>1</v>
      </c>
      <c r="AG73" s="69">
        <f>AE73*AF73</f>
        <v>0</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0.25</v>
      </c>
      <c r="E74" s="92">
        <v>1</v>
      </c>
      <c r="F74" s="82">
        <f>D74*E74</f>
        <v>0.25</v>
      </c>
      <c r="G74" s="83">
        <f>C74</f>
        <v>6</v>
      </c>
      <c r="H74" s="83">
        <f>F74*G74</f>
        <v>1.5</v>
      </c>
      <c r="I74" s="84" t="str">
        <f>CONCATENATE("a'(",C74,")=")</f>
        <v>a'(6)=</v>
      </c>
      <c r="J74" s="84" t="e">
        <f>2*J72/3*F75</f>
        <v>#VALUE!</v>
      </c>
      <c r="K74" s="84" t="str">
        <f>CONCATENATE("A(",C72,")=")</f>
        <v>A(4)=</v>
      </c>
      <c r="L74" s="84">
        <f>VLOOKUP(C72,STN_TABLE,3,FALSE)</f>
        <v>11.838999999999999</v>
      </c>
      <c r="M74" t="str">
        <f>CONCATENATE("A(",C74,")=")</f>
        <v>A(6)=</v>
      </c>
      <c r="N74" t="e">
        <f>J74+L74</f>
        <v>#VALUE!</v>
      </c>
      <c r="O74" s="99">
        <f>O73+1</f>
        <v>11</v>
      </c>
      <c r="P74" s="99">
        <f t="shared" si="23"/>
        <v>7</v>
      </c>
      <c r="Q74" s="82">
        <f>IF(P74-P73=P73-P72,P74,IF(P75-P73=P73-P72,P75,IF(P74-P73=P73-P71,P74,IF(P75-P73=P73-P71,P75,"-"))))</f>
        <v>7</v>
      </c>
      <c r="R74" s="83">
        <f>VLOOKUP(Q74,STN_TABLE,2,FALSE)</f>
        <v>0.85</v>
      </c>
      <c r="S74" s="83">
        <v>-1</v>
      </c>
      <c r="T74" s="82">
        <f>R74*S74</f>
        <v>-0.85</v>
      </c>
      <c r="U74" s="88">
        <v>-1</v>
      </c>
      <c r="V74" s="82">
        <f>R74*U74</f>
        <v>-0.85</v>
      </c>
      <c r="W74" s="84" t="str">
        <f>CONCATENATE("a'(",Q73,")=")</f>
        <v>a'(6)=</v>
      </c>
      <c r="X74" s="84">
        <f>2*X72/12*T75</f>
        <v>0.34499999999999997</v>
      </c>
      <c r="Y74" s="84" t="str">
        <f>CONCATENATE("A(",Q72,")=")</f>
        <v>A(5)=</v>
      </c>
      <c r="Z74" s="84">
        <f>VLOOKUP(Q72,STN_TABLE,3,FALSE)</f>
        <v>13.323999999999998</v>
      </c>
      <c r="AA74" t="str">
        <f>CONCATENATE("A(",Q73,")=")</f>
        <v>A(6)=</v>
      </c>
      <c r="AB74">
        <f>X74+Z74</f>
        <v>13.668999999999999</v>
      </c>
      <c r="AC74" s="99">
        <f>AC73+1</f>
        <v>10</v>
      </c>
      <c r="AD74" s="100">
        <f>VLOOKUP(AC74,STN_TABLE_2,2,FALSE)</f>
        <v>6</v>
      </c>
      <c r="AE74" s="82">
        <f>VLOOKUP(AD74,STN_TABLE,2,FALSE)</f>
        <v>0.25</v>
      </c>
      <c r="AF74" s="82">
        <v>2</v>
      </c>
      <c r="AG74" s="83">
        <f>AE74*AF74</f>
        <v>0.5</v>
      </c>
      <c r="AH74" s="84" t="str">
        <f>CONCATENATE("a'(",AD74,")=")</f>
        <v>a'(6)=</v>
      </c>
      <c r="AI74" s="84">
        <f>2*AI72/2*AE75</f>
        <v>0.17500000000000018</v>
      </c>
      <c r="AJ74" s="84" t="str">
        <f>CONCATENATE("A(",AD73,")=")</f>
        <v>A(5.61111111111111)=</v>
      </c>
      <c r="AK74" s="84">
        <f>VLOOKUP(AD73,STN_TABLE,3,FALSE)</f>
        <v>13.323999999999998</v>
      </c>
      <c r="AL74" t="str">
        <f>CONCATENATE("A(",AD74,")=")</f>
        <v>A(6)=</v>
      </c>
      <c r="AM74">
        <f>AI74+AK74</f>
        <v>13.498999999999999</v>
      </c>
      <c r="AO74" s="68" t="str">
        <f>AA74</f>
        <v>A(6)=</v>
      </c>
      <c r="AP74" s="68" t="e">
        <f>VLOOKUP(AO74,Rise_Results,2,FALSE)</f>
        <v>#N/A</v>
      </c>
      <c r="AQ74" s="76" t="e">
        <f>N74</f>
        <v>#VALUE!</v>
      </c>
      <c r="AR74" s="76">
        <f>IF(OR(AB74&lt;=0,AB75&lt;=0),1/0,AB74)</f>
        <v>13.668999999999999</v>
      </c>
      <c r="AS74" s="76">
        <f>AM74</f>
        <v>13.498999999999999</v>
      </c>
      <c r="AT74">
        <f>IFERROR(AP74,IFERROR(AQ74,IFERROR(AR74,AS74)))</f>
        <v>13.668999999999999</v>
      </c>
      <c r="AU74" s="81"/>
    </row>
    <row r="75" spans="1:47" x14ac:dyDescent="0.25">
      <c r="A75" s="84">
        <f>A74+1</f>
        <v>10</v>
      </c>
      <c r="B75" s="84">
        <f t="shared" si="27"/>
        <v>6</v>
      </c>
      <c r="F75" s="82">
        <f>SUM(F72:F74)</f>
        <v>1.29</v>
      </c>
      <c r="H75" s="82">
        <f>SUM(H72:H74)</f>
        <v>5.66</v>
      </c>
      <c r="I75" s="84" t="str">
        <f>CONCATENATE("m'(",C74,")=")</f>
        <v>m'(6)=</v>
      </c>
      <c r="J75" s="84" t="e">
        <f>2*(J72*(WLS))/3*H75</f>
        <v>#VALUE!</v>
      </c>
      <c r="K75" s="84" t="str">
        <f>CONCATENATE("M(",C72,")=")</f>
        <v>M(4)=</v>
      </c>
      <c r="L75" s="84">
        <f>VLOOKUP(C72,STN_TABLE,4,FALSE)</f>
        <v>58.317366666666672</v>
      </c>
      <c r="M75" t="str">
        <f>CONCATENATE("M(",C74,")=")</f>
        <v>M(6)=</v>
      </c>
      <c r="N75" t="e">
        <f>J75+L75</f>
        <v>#VALUE!</v>
      </c>
      <c r="O75" s="99">
        <f>O74+1</f>
        <v>12</v>
      </c>
      <c r="P75" s="99">
        <f t="shared" si="23"/>
        <v>7.8833333333333329</v>
      </c>
      <c r="T75" s="89">
        <f>SUM(T72:T74)</f>
        <v>1.1499999999999999</v>
      </c>
      <c r="V75" s="82">
        <f>SUM(V72:V74)</f>
        <v>1.65</v>
      </c>
      <c r="W75" s="84" t="str">
        <f>CONCATENATE("m'(",Q73,")=")</f>
        <v>m'(6)=</v>
      </c>
      <c r="X75" s="84">
        <f>(2*(X72^2)/24*V75)+(X74*Q72*WLS)</f>
        <v>3.5505</v>
      </c>
      <c r="Y75" s="84" t="str">
        <f>CONCATENATE("M(",Q72,")=")</f>
        <v>M(5)=</v>
      </c>
      <c r="Z75" s="84">
        <f>VLOOKUP(Q72,STN_TABLE,4,FALSE)</f>
        <v>69.784266666666667</v>
      </c>
      <c r="AA75" t="str">
        <f>CONCATENATE("M(",Q73,")=")</f>
        <v>M(6)=</v>
      </c>
      <c r="AB75">
        <f>X75+Z75</f>
        <v>73.334766666666667</v>
      </c>
      <c r="AE75" s="89">
        <f>SUM(AE73:AE74)</f>
        <v>0.25</v>
      </c>
      <c r="AG75" s="89">
        <f>SUM(AG73:AG74)</f>
        <v>0.5</v>
      </c>
      <c r="AH75" s="84" t="str">
        <f>CONCATENATE("m'(",AD74,")=")</f>
        <v>m'(6)=</v>
      </c>
      <c r="AI75" s="84">
        <f>(2*(AI72^2)/6*AG75)+(AI74*AD73*WLS)</f>
        <v>1.8491666666666686</v>
      </c>
      <c r="AJ75" s="84" t="str">
        <f>CONCATENATE("M(",AD73,")=")</f>
        <v>M(5.61111111111111)=</v>
      </c>
      <c r="AK75" s="84">
        <f>VLOOKUP(AD73,STN_TABLE,4,FALSE)</f>
        <v>69.784266666666667</v>
      </c>
      <c r="AL75" t="str">
        <f>CONCATENATE("M(",AD74,")=")</f>
        <v>M(6)=</v>
      </c>
      <c r="AM75">
        <f>AI75+AK75</f>
        <v>71.633433333333329</v>
      </c>
      <c r="AO75" s="82" t="str">
        <f>AA75</f>
        <v>M(6)=</v>
      </c>
      <c r="AP75" s="82" t="e">
        <f>VLOOKUP(AO75,Rise_Results,2,FALSE)</f>
        <v>#N/A</v>
      </c>
      <c r="AQ75" s="82" t="e">
        <f>N75</f>
        <v>#VALUE!</v>
      </c>
      <c r="AR75" s="82">
        <f>IF(OR(AB74&lt;=0,AB75&lt;=0),1/0,AB75)</f>
        <v>73.334766666666667</v>
      </c>
      <c r="AS75" s="82">
        <f>AM75</f>
        <v>71.633433333333329</v>
      </c>
      <c r="AT75">
        <f>IFERROR(AP75,IFERROR(AQ75,IFERROR(AR75,AS75)))</f>
        <v>73.334766666666667</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0</v>
      </c>
      <c r="E77" s="102">
        <v>1</v>
      </c>
      <c r="F77" s="68">
        <f>D77*E77</f>
        <v>0</v>
      </c>
      <c r="G77" s="69">
        <f>C77</f>
        <v>5</v>
      </c>
      <c r="H77" s="69">
        <f>F77*G77</f>
        <v>0</v>
      </c>
      <c r="I77" s="6" t="s">
        <v>93</v>
      </c>
      <c r="J77" s="70" t="str">
        <f>IF(OR(D77=0,D78=0,D79=0),"#NA",IF(AND(C79-C78=C78-C77,C78&lt;&gt;C79,C77&lt;&gt;C78,C77&lt;&gt;C79,D79&lt;&gt;0,OR(D77&lt;&gt;0,D78&lt;&gt;0)),WLS*(C79-C78),"#NA"))</f>
        <v>#NA</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0.25</v>
      </c>
      <c r="E78" s="81">
        <v>4</v>
      </c>
      <c r="F78" s="76">
        <f>D78*E78</f>
        <v>1</v>
      </c>
      <c r="G78" s="77">
        <f>C78</f>
        <v>6</v>
      </c>
      <c r="H78" s="77">
        <f>F78*G78</f>
        <v>6</v>
      </c>
      <c r="I78" s="512" t="s">
        <v>97</v>
      </c>
      <c r="J78" s="513"/>
      <c r="K78" s="78" t="s">
        <v>98</v>
      </c>
      <c r="L78" s="78"/>
      <c r="M78" s="7" t="s">
        <v>99</v>
      </c>
      <c r="N78" s="7"/>
      <c r="O78" s="99">
        <f>O77+1</f>
        <v>11</v>
      </c>
      <c r="P78" s="99">
        <f t="shared" si="23"/>
        <v>7</v>
      </c>
      <c r="Q78" s="76">
        <f>P78</f>
        <v>7</v>
      </c>
      <c r="R78" s="77">
        <f>VLOOKUP(Q78,STN_TABLE,2,FALSE)</f>
        <v>0.85</v>
      </c>
      <c r="S78" s="77">
        <v>8</v>
      </c>
      <c r="T78" s="76">
        <f>R78*S78</f>
        <v>6.8</v>
      </c>
      <c r="U78" s="80">
        <v>10</v>
      </c>
      <c r="V78" s="76">
        <f>R78*U78</f>
        <v>8.5</v>
      </c>
      <c r="W78" s="513" t="s">
        <v>97</v>
      </c>
      <c r="X78" s="513"/>
      <c r="Y78" s="513" t="s">
        <v>98</v>
      </c>
      <c r="Z78" s="513"/>
      <c r="AA78" s="511" t="s">
        <v>99</v>
      </c>
      <c r="AB78" s="511"/>
      <c r="AC78" s="99">
        <f>AC73+1</f>
        <v>10</v>
      </c>
      <c r="AD78" s="95">
        <f>VLOOKUP(AC78,STN_TABLE_2,2,FALSE)</f>
        <v>6</v>
      </c>
      <c r="AE78" s="68">
        <f>VLOOKUP(AD78,STN_TABLE,2,FALSE)</f>
        <v>0.25</v>
      </c>
      <c r="AF78" s="68">
        <v>1</v>
      </c>
      <c r="AG78" s="69">
        <f>AE78*AF78</f>
        <v>0.25</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0.85</v>
      </c>
      <c r="E79" s="92">
        <v>1</v>
      </c>
      <c r="F79" s="82">
        <f>D79*E79</f>
        <v>0.85</v>
      </c>
      <c r="G79" s="83">
        <f>C79</f>
        <v>7</v>
      </c>
      <c r="H79" s="83">
        <f>F79*G79</f>
        <v>5.95</v>
      </c>
      <c r="I79" s="84" t="str">
        <f>CONCATENATE("a'(",C79,")=")</f>
        <v>a'(7)=</v>
      </c>
      <c r="J79" s="84" t="e">
        <f>2*J77/3*F80</f>
        <v>#VALUE!</v>
      </c>
      <c r="K79" s="84" t="str">
        <f>CONCATENATE("A(",C77,")=")</f>
        <v>A(5)=</v>
      </c>
      <c r="L79" s="84">
        <f>VLOOKUP(C77,STN_TABLE,3,FALSE)</f>
        <v>13.323999999999998</v>
      </c>
      <c r="M79" t="str">
        <f>CONCATENATE("A(",C79,")=")</f>
        <v>A(7)=</v>
      </c>
      <c r="N79" t="e">
        <f>J79+L79</f>
        <v>#VALUE!</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0.85</v>
      </c>
      <c r="AF79" s="82">
        <v>2</v>
      </c>
      <c r="AG79" s="83">
        <f>AE79*AF79</f>
        <v>1.7</v>
      </c>
      <c r="AH79" s="84" t="str">
        <f>CONCATENATE("a'(",AD79,")=")</f>
        <v>a'(7)=</v>
      </c>
      <c r="AI79" s="84">
        <f>2*AI77/2*AE80</f>
        <v>1.9800000000000002</v>
      </c>
      <c r="AJ79" s="84" t="str">
        <f>CONCATENATE("A(",AD78,")=")</f>
        <v>A(6)=</v>
      </c>
      <c r="AK79" s="84">
        <f>VLOOKUP(AD78,STN_TABLE,3,FALSE)</f>
        <v>13.668999999999999</v>
      </c>
      <c r="AL79" t="str">
        <f>CONCATENATE("A(",AD79,")=")</f>
        <v>A(7)=</v>
      </c>
      <c r="AM79">
        <f>AI79+AK79</f>
        <v>15.648999999999999</v>
      </c>
      <c r="AO79" s="68" t="str">
        <f>AA79</f>
        <v>A(7)=</v>
      </c>
      <c r="AP79" s="68" t="e">
        <f>VLOOKUP(AO79,Rise_Results,2,FALSE)</f>
        <v>#N/A</v>
      </c>
      <c r="AQ79" s="76" t="e">
        <f>N79</f>
        <v>#VALUE!</v>
      </c>
      <c r="AR79" s="76" t="e">
        <f>IF(OR(AB79&lt;=0,AB80&lt;=0),1/0,AB79)</f>
        <v>#VALUE!</v>
      </c>
      <c r="AS79" s="76">
        <f>AM79</f>
        <v>15.648999999999999</v>
      </c>
      <c r="AT79">
        <f>IFERROR(AP79,IFERROR(AQ79,IFERROR(AR79,AS79)))</f>
        <v>15.648999999999999</v>
      </c>
      <c r="AU79" s="81"/>
    </row>
    <row r="80" spans="1:47" x14ac:dyDescent="0.25">
      <c r="A80" s="84">
        <f>A79+1</f>
        <v>11</v>
      </c>
      <c r="B80" s="84">
        <f t="shared" si="27"/>
        <v>7</v>
      </c>
      <c r="F80" s="82">
        <f>SUM(F77:F79)</f>
        <v>1.85</v>
      </c>
      <c r="H80" s="82">
        <f>SUM(H77:H79)</f>
        <v>11.95</v>
      </c>
      <c r="I80" s="84" t="str">
        <f>CONCATENATE("m'(",C79,")=")</f>
        <v>m'(7)=</v>
      </c>
      <c r="J80" s="84" t="e">
        <f>2*(J77*(WLS))/3*H80</f>
        <v>#VALUE!</v>
      </c>
      <c r="K80" s="84" t="str">
        <f>CONCATENATE("M(",C77,")=")</f>
        <v>M(5)=</v>
      </c>
      <c r="L80" s="84">
        <f>VLOOKUP(C77,STN_TABLE,4,FALSE)</f>
        <v>69.784266666666667</v>
      </c>
      <c r="M80" t="str">
        <f>CONCATENATE("M(",C79,")=")</f>
        <v>M(7)=</v>
      </c>
      <c r="N80" t="e">
        <f>J80+L80</f>
        <v>#VALUE!</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1.1000000000000001</v>
      </c>
      <c r="AG80" s="89">
        <f>SUM(AG78:AG79)</f>
        <v>1.95</v>
      </c>
      <c r="AH80" s="84" t="str">
        <f>CONCATENATE("m'(",AD79,")=")</f>
        <v>m'(7)=</v>
      </c>
      <c r="AI80" s="84">
        <f>(2*(AI77^2)/6*AG80)+(AI79*AD78*WLS)</f>
        <v>23.490000000000002</v>
      </c>
      <c r="AJ80" s="84" t="str">
        <f>CONCATENATE("M(",AD78,")=")</f>
        <v>M(6)=</v>
      </c>
      <c r="AK80" s="84">
        <f>VLOOKUP(AD78,STN_TABLE,4,FALSE)</f>
        <v>73.334766666666667</v>
      </c>
      <c r="AL80" t="str">
        <f>CONCATENATE("M(",AD79,")=")</f>
        <v>M(7)=</v>
      </c>
      <c r="AM80">
        <f>AI80+AK80</f>
        <v>96.824766666666676</v>
      </c>
      <c r="AO80" s="82" t="str">
        <f>AA80</f>
        <v>M(7)=</v>
      </c>
      <c r="AP80" s="82" t="e">
        <f>VLOOKUP(AO80,Rise_Results,2,FALSE)</f>
        <v>#N/A</v>
      </c>
      <c r="AQ80" s="82" t="e">
        <f>N80</f>
        <v>#VALUE!</v>
      </c>
      <c r="AR80" s="82" t="e">
        <f>IF(OR(AB79&lt;=0,AB80&lt;=0),1/0,AB80)</f>
        <v>#VALUE!</v>
      </c>
      <c r="AS80" s="82">
        <f>AM80</f>
        <v>96.824766666666676</v>
      </c>
      <c r="AT80">
        <f>IFERROR(AP80,IFERROR(AQ80,IFERROR(AR80,AS80)))</f>
        <v>96.824766666666676</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1.78</v>
      </c>
      <c r="S83" s="77">
        <v>8</v>
      </c>
      <c r="T83" s="76">
        <f>R83*S83</f>
        <v>14.24</v>
      </c>
      <c r="U83" s="80">
        <v>10</v>
      </c>
      <c r="V83" s="76">
        <f>R83*U83</f>
        <v>17.8</v>
      </c>
      <c r="W83" s="513" t="s">
        <v>97</v>
      </c>
      <c r="X83" s="513"/>
      <c r="Y83" s="513" t="s">
        <v>98</v>
      </c>
      <c r="Z83" s="513"/>
      <c r="AA83" s="511" t="s">
        <v>99</v>
      </c>
      <c r="AB83" s="511"/>
      <c r="AC83" s="99">
        <f>AC78+1</f>
        <v>11</v>
      </c>
      <c r="AD83" s="95">
        <f>VLOOKUP(AC83,STN_TABLE_2,2,FALSE)</f>
        <v>7</v>
      </c>
      <c r="AE83" s="68">
        <f>VLOOKUP(AD83,STN_TABLE,2,FALSE)</f>
        <v>0.85</v>
      </c>
      <c r="AF83" s="68">
        <v>1</v>
      </c>
      <c r="AG83" s="69">
        <f>AE83*AF83</f>
        <v>0.85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1.78</v>
      </c>
      <c r="E84" s="92">
        <v>1</v>
      </c>
      <c r="F84" s="82">
        <f>D84*E84</f>
        <v>1.78</v>
      </c>
      <c r="G84" s="83">
        <f>C84</f>
        <v>7.8833333333333329</v>
      </c>
      <c r="H84" s="83">
        <f>F84*G84</f>
        <v>14.032333333333332</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1.78</v>
      </c>
      <c r="AF84" s="82">
        <v>2</v>
      </c>
      <c r="AG84" s="83">
        <f>AE84*AF84</f>
        <v>3.56</v>
      </c>
      <c r="AH84" s="84" t="str">
        <f>CONCATENATE("a'(",AD84,")=")</f>
        <v>a'(7.88333333333333)=</v>
      </c>
      <c r="AI84" s="84">
        <f>2*AI82/2*AE85</f>
        <v>4.1816999999999975</v>
      </c>
      <c r="AJ84" s="84" t="str">
        <f>CONCATENATE("A(",AD83,")=")</f>
        <v>A(7)=</v>
      </c>
      <c r="AK84" s="84">
        <f>VLOOKUP(AD83,STN_TABLE,3,FALSE)</f>
        <v>15.648999999999999</v>
      </c>
      <c r="AL84" t="str">
        <f>CONCATENATE("A(",AD84,")=")</f>
        <v>A(7.88333333333333)=</v>
      </c>
      <c r="AM84">
        <f>AI84+AK84</f>
        <v>19.830699999999997</v>
      </c>
      <c r="AO84" s="68" t="str">
        <f>AA84</f>
        <v>A(7.88333333333333)=</v>
      </c>
      <c r="AP84" s="68" t="e">
        <f>VLOOKUP(AO84,Rise_Results,2,FALSE)</f>
        <v>#N/A</v>
      </c>
      <c r="AQ84" s="76" t="e">
        <f>N84</f>
        <v>#N/A</v>
      </c>
      <c r="AR84" s="76" t="e">
        <f>IF(OR(AB84&lt;=0,AB85&lt;=0),1/0,AB84)</f>
        <v>#VALUE!</v>
      </c>
      <c r="AS84" s="76">
        <f>AM84</f>
        <v>19.830699999999997</v>
      </c>
      <c r="AT84">
        <f>IFERROR(AP84,IFERROR(AQ84,IFERROR(AR84,AS84)))</f>
        <v>19.830699999999997</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2.63</v>
      </c>
      <c r="AG85" s="89">
        <f>SUM(AG83:AG84)</f>
        <v>4.41</v>
      </c>
      <c r="AH85" s="84" t="str">
        <f>CONCATENATE("m'(",AD84,")=")</f>
        <v>m'(7.88333333333333)=</v>
      </c>
      <c r="AI85" s="84">
        <f>(2*(AI82^2)/6*AG85)+(AI84*AD83*WLS)</f>
        <v>56.40572699999997</v>
      </c>
      <c r="AJ85" s="84" t="str">
        <f>CONCATENATE("M(",AD83,")=")</f>
        <v>M(7)=</v>
      </c>
      <c r="AK85" s="84">
        <f>VLOOKUP(AD83,STN_TABLE,4,FALSE)</f>
        <v>96.824766666666676</v>
      </c>
      <c r="AL85" t="str">
        <f>CONCATENATE("M(",AD84,")=")</f>
        <v>M(7.88333333333333)=</v>
      </c>
      <c r="AM85">
        <f>AI85+AK85</f>
        <v>153.23049366666663</v>
      </c>
      <c r="AO85" s="82" t="str">
        <f>AA85</f>
        <v>M(7.88333333333333)=</v>
      </c>
      <c r="AP85" s="82" t="e">
        <f>VLOOKUP(AO85,Rise_Results,2,FALSE)</f>
        <v>#N/A</v>
      </c>
      <c r="AQ85" s="82" t="e">
        <f>N85</f>
        <v>#N/A</v>
      </c>
      <c r="AR85" s="82" t="e">
        <f>IF(OR(AB84&lt;=0,AB85&lt;=0),1/0,AB85)</f>
        <v>#VALUE!</v>
      </c>
      <c r="AS85" s="82">
        <f>AM85</f>
        <v>153.23049366666663</v>
      </c>
      <c r="AT85">
        <f>IFERROR(AP85,IFERROR(AQ85,IFERROR(AR85,AS85)))</f>
        <v>153.23049366666663</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1.78</v>
      </c>
      <c r="AF88" s="68">
        <v>1</v>
      </c>
      <c r="AG88" s="69">
        <f>AE88*AF88</f>
        <v>1.78</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19.830699999999997</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1.78</v>
      </c>
      <c r="AG90" s="89" t="e">
        <f>SUM(AG88:AG89)</f>
        <v>#VALUE!</v>
      </c>
      <c r="AH90" s="84" t="str">
        <f>CONCATENATE("m'(",AD89,")=")</f>
        <v>m'(  )=</v>
      </c>
      <c r="AI90" s="84" t="e">
        <f>(2*(AI87^2)/6*AG90)+(AI89*AD88*WLS)</f>
        <v>#VALUE!</v>
      </c>
      <c r="AJ90" s="84" t="str">
        <f>CONCATENATE("M(",AD88,")=")</f>
        <v>M(7.88333333333333)=</v>
      </c>
      <c r="AK90" s="84">
        <f>VLOOKUP(AD88,STN_TABLE,4,FALSE)</f>
        <v>153.23049366666663</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password="CB5D" sheet="1" objects="1" scenarios="1"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19.5</v>
      </c>
      <c r="E1" s="511" t="s">
        <v>91</v>
      </c>
      <c r="F1" s="511"/>
      <c r="G1">
        <f>VLOOKUP(Station_No,RISE_CALC,2,FALSE)</f>
        <v>1</v>
      </c>
      <c r="L1" s="511" t="s">
        <v>92</v>
      </c>
      <c r="M1" s="511"/>
      <c r="N1">
        <v>24</v>
      </c>
    </row>
    <row r="2" spans="1:46" x14ac:dyDescent="0.25">
      <c r="Q2" s="66" t="str">
        <f t="shared" ref="Q2:R6" si="0">G4</f>
        <v>Rise</v>
      </c>
      <c r="R2" s="67">
        <f t="shared" si="0"/>
        <v>0.55555555555555558</v>
      </c>
      <c r="S2" s="68">
        <f>IF(OR(R5-R4=R4-R3,R6-R4=R4-R3),R3,IF(OR(R5-R4=R4-R2,R6-R4=R4-R2),R2,"-"))</f>
        <v>1</v>
      </c>
      <c r="T2" s="69">
        <f>IFERROR(VLOOKUP(S2,STN_TABLE,2,FALSE),IF(R2=RisePerWLS,0,"-"))</f>
        <v>0.86</v>
      </c>
      <c r="U2" s="69">
        <v>5</v>
      </c>
      <c r="V2" s="69">
        <f>T2*U2</f>
        <v>4.3</v>
      </c>
      <c r="W2" s="69">
        <v>3</v>
      </c>
      <c r="X2" s="69">
        <f>T2*W2</f>
        <v>2.58</v>
      </c>
      <c r="Y2" s="6" t="s">
        <v>93</v>
      </c>
      <c r="Z2" s="70">
        <f>IF(AND(S4-S3=S3-S2,NOT(AND(S2=0,S3=0)),NOT(AND(S3=0,S4=0))),WLS*(S4-S3),"#NA")</f>
        <v>0.9</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1</v>
      </c>
      <c r="S3" s="76">
        <f>R4</f>
        <v>1.5</v>
      </c>
      <c r="T3" s="77">
        <f>VLOOKUP(S3,STN_TABLE,2,FALSE)</f>
        <v>1.29</v>
      </c>
      <c r="U3" s="77">
        <v>8</v>
      </c>
      <c r="V3" s="77">
        <f>T3*U3</f>
        <v>10.32</v>
      </c>
      <c r="W3" s="77">
        <v>10</v>
      </c>
      <c r="X3" s="77">
        <f>T3*W3</f>
        <v>12.9</v>
      </c>
      <c r="Y3" s="78" t="s">
        <v>97</v>
      </c>
      <c r="Z3" s="78"/>
      <c r="AA3" s="78" t="s">
        <v>98</v>
      </c>
      <c r="AB3" s="78"/>
      <c r="AC3" s="7" t="s">
        <v>99</v>
      </c>
      <c r="AD3" s="7"/>
      <c r="AE3" s="66" t="str">
        <f t="shared" ref="AE3:AF7" si="1">G4</f>
        <v>Rise</v>
      </c>
      <c r="AF3" s="67">
        <f t="shared" si="1"/>
        <v>0.55555555555555558</v>
      </c>
      <c r="AG3" s="79">
        <f>IF(AF7-AF6=AF6-AF5,AF5,IF(OR(AF7-AF6=AF6-AF4,AF7-AF5=AF5-AF4),AF4,IF(OR(AF7-AF6=AF6-AF3,AF7-AF5=AF5-AF3,AF7-AF4=AF4-AF3),AF3,"#NA")))</f>
        <v>1</v>
      </c>
      <c r="AH3" s="69">
        <f>IFERROR(VLOOKUP(AG3,STN_TABLE,2,FALSE),IF(AF3=RisePerWLS,0,"-"))</f>
        <v>0.86</v>
      </c>
      <c r="AI3" s="69">
        <v>1</v>
      </c>
      <c r="AJ3" s="69">
        <f>AH3*AI3</f>
        <v>0.86</v>
      </c>
      <c r="AK3" s="69">
        <f>AG3</f>
        <v>1</v>
      </c>
      <c r="AL3" s="69">
        <f>AJ3*AK3</f>
        <v>0.86</v>
      </c>
      <c r="AM3" s="6" t="s">
        <v>93</v>
      </c>
      <c r="AN3" s="70">
        <f>IF(AND(AH3=0,AH4=0,AH5=0),WLS*(AG5-AG4),IF(AND(AG5-AG4=AG4-AG3,AG4&lt;&gt;AG5,AG3&lt;&gt;AG4,AG3&lt;&gt;AG5,AH5&lt;&gt;0,OR(AH3&lt;&gt;0,AH4&lt;&gt;0)),WLS*(AG5-AG4),"#NA"))</f>
        <v>1.8</v>
      </c>
    </row>
    <row r="4" spans="1:46" x14ac:dyDescent="0.25">
      <c r="A4">
        <v>1</v>
      </c>
      <c r="B4" s="80">
        <f t="shared" ref="B4:B28" si="2">VLOOKUP(Stn_WL,OFFSET_A,A4+1,FALSE)</f>
        <v>0</v>
      </c>
      <c r="C4" s="81">
        <f t="shared" ref="C4:C28" si="3">VLOOKUP(Station_No,OFFSET_A,A4+1,FALSE)</f>
        <v>0</v>
      </c>
      <c r="D4" s="81">
        <v>0</v>
      </c>
      <c r="E4" s="77">
        <v>0</v>
      </c>
      <c r="G4" t="s">
        <v>100</v>
      </c>
      <c r="H4">
        <f>Rise/WLS</f>
        <v>0.55555555555555558</v>
      </c>
      <c r="K4" t="str">
        <f>CONCATENATE("A(",H5,")=")</f>
        <v>A(1)=</v>
      </c>
      <c r="L4">
        <f>IFERROR(N18,N22)</f>
        <v>0.68799999999999994</v>
      </c>
      <c r="Q4" s="66" t="str">
        <f t="shared" si="0"/>
        <v>2nd_UWL</v>
      </c>
      <c r="R4" s="67">
        <f t="shared" si="0"/>
        <v>1.5</v>
      </c>
      <c r="S4" s="82">
        <f>IF((S2-S3)=S3-R5,R5,IF(S2-S3=S3-R6,R6,"-"))</f>
        <v>2</v>
      </c>
      <c r="T4" s="83">
        <f>VLOOKUP(S4,STN_TABLE,2,FALSE)</f>
        <v>1.6</v>
      </c>
      <c r="U4" s="83">
        <v>-1</v>
      </c>
      <c r="V4" s="83">
        <f>T4*U4</f>
        <v>-1.6</v>
      </c>
      <c r="W4" s="83">
        <v>-1</v>
      </c>
      <c r="X4" s="83">
        <f>T4*W4</f>
        <v>-1.6</v>
      </c>
      <c r="Y4" s="84" t="str">
        <f>CONCATENATE("a'(",S3,")=")</f>
        <v>a'(1.5)=</v>
      </c>
      <c r="Z4" s="85">
        <f>2*Z2/12*V5</f>
        <v>1.9530000000000001</v>
      </c>
      <c r="AA4" s="84" t="str">
        <f>CONCATENATE("A(",S2,")=")</f>
        <v>A(1)=</v>
      </c>
      <c r="AB4" s="84">
        <f>IF(S2=RisePerWLS,0,VLOOKUP(S2,STN_TABLE,3,FALSE))</f>
        <v>0.68799999999999994</v>
      </c>
      <c r="AC4" t="str">
        <f>CONCATENATE("A(",S3,")=")</f>
        <v>A(1.5)=</v>
      </c>
      <c r="AD4">
        <f>Z4+AB4</f>
        <v>2.641</v>
      </c>
      <c r="AE4" s="66" t="str">
        <f t="shared" si="1"/>
        <v>1st_UWL</v>
      </c>
      <c r="AF4" s="67">
        <f t="shared" si="1"/>
        <v>1</v>
      </c>
      <c r="AG4" s="80">
        <f>IF(OR(AF7-AF6=AF6-AF5,AF7-AF6=AF6-AF4,AF7-AF6=AF6-AF3),AF6,IF(OR(AF7-AF5=AF5-AF4,AF7-AF5=AF5-AF3),AF5,IF(AF7-AF4=AF4-AF3,AF4,"#NA")))</f>
        <v>2</v>
      </c>
      <c r="AH4" s="77">
        <f>VLOOKUP(AG4,STN_TABLE,2,FALSE)</f>
        <v>1.6</v>
      </c>
      <c r="AI4" s="77">
        <v>4</v>
      </c>
      <c r="AJ4" s="77">
        <f>AH4*AI4</f>
        <v>6.4</v>
      </c>
      <c r="AK4" s="77">
        <f>AG4</f>
        <v>2</v>
      </c>
      <c r="AL4" s="77">
        <f>AJ4*AK4</f>
        <v>12.8</v>
      </c>
      <c r="AM4" s="78" t="s">
        <v>97</v>
      </c>
      <c r="AN4" s="78"/>
      <c r="AO4" s="78" t="s">
        <v>98</v>
      </c>
      <c r="AP4" s="78"/>
      <c r="AQ4" s="7" t="s">
        <v>99</v>
      </c>
      <c r="AR4" s="7"/>
      <c r="AS4" s="7"/>
      <c r="AT4" s="7"/>
    </row>
    <row r="5" spans="1:46" x14ac:dyDescent="0.25">
      <c r="A5">
        <v>2</v>
      </c>
      <c r="B5" s="80">
        <f t="shared" si="2"/>
        <v>0.5</v>
      </c>
      <c r="C5" s="81">
        <f t="shared" si="3"/>
        <v>0</v>
      </c>
      <c r="D5" s="81">
        <f t="shared" ref="D5:D28" si="4">IFERROR(VLOOKUP(CONCATENATE("A(",B5,")="),RESULT_TABLE,6,FALSE)," ")</f>
        <v>0</v>
      </c>
      <c r="E5" s="77">
        <f t="shared" ref="E5:E28" si="5">IFERROR(VLOOKUP(CONCATENATE("M(",B5,")="),RESULT_TABLE,6,FALSE)," ")</f>
        <v>0</v>
      </c>
      <c r="G5" t="s">
        <v>101</v>
      </c>
      <c r="H5">
        <f>VLOOKUP(Station_No,RISE_CALC,4,FALSE)</f>
        <v>1</v>
      </c>
      <c r="K5" t="str">
        <f>CONCATENATE("M(",H5,")=")</f>
        <v>M(1)=</v>
      </c>
      <c r="L5">
        <f>IFERROR(N19,N23)</f>
        <v>1.0549333333333333</v>
      </c>
      <c r="Q5" s="66" t="str">
        <f t="shared" si="0"/>
        <v>3rd_UWL</v>
      </c>
      <c r="R5" s="67">
        <f t="shared" si="0"/>
        <v>2</v>
      </c>
      <c r="V5" s="86">
        <f>SUM(V2:V4)</f>
        <v>13.020000000000001</v>
      </c>
      <c r="X5" s="87">
        <f>SUM(X2:X4)</f>
        <v>13.88</v>
      </c>
      <c r="Y5" s="84" t="str">
        <f>CONCATENATE("m'(",S3,")=")</f>
        <v>m'(1.5)=</v>
      </c>
      <c r="Z5" s="85">
        <f>(2*(Z2^2)/24*X5)+(Z4*S2*WLS)</f>
        <v>4.4523000000000001</v>
      </c>
      <c r="AA5" s="84" t="str">
        <f>CONCATENATE("M(",S2,")=")</f>
        <v>M(1)=</v>
      </c>
      <c r="AB5" s="84">
        <f>IF(S2=RisePerWLS,0,VLOOKUP(S2,STN_TABLE,4,FALSE))</f>
        <v>1.0549333333333333</v>
      </c>
      <c r="AC5" t="str">
        <f>CONCATENATE("M(",S3,")=")</f>
        <v>M(1.5)=</v>
      </c>
      <c r="AD5">
        <f>Z5+AB5</f>
        <v>5.5072333333333336</v>
      </c>
      <c r="AE5" s="66" t="str">
        <f t="shared" si="1"/>
        <v>2nd_UWL</v>
      </c>
      <c r="AF5" s="67">
        <f t="shared" si="1"/>
        <v>1.5</v>
      </c>
      <c r="AG5" s="88">
        <f>AF7</f>
        <v>3</v>
      </c>
      <c r="AH5" s="83">
        <f>VLOOKUP(AG5,STN_TABLE,2,FALSE)</f>
        <v>1.77</v>
      </c>
      <c r="AI5" s="83">
        <v>1</v>
      </c>
      <c r="AJ5" s="83">
        <f>AH5*AI5</f>
        <v>1.77</v>
      </c>
      <c r="AK5" s="83">
        <f>AG5</f>
        <v>3</v>
      </c>
      <c r="AL5" s="83">
        <f>AJ5*AK5</f>
        <v>5.3100000000000005</v>
      </c>
      <c r="AM5" s="84" t="str">
        <f>CONCATENATE("a'(",AG5,")=")</f>
        <v>a'(3)=</v>
      </c>
      <c r="AN5" s="84">
        <f>2*AN3/3*AJ6</f>
        <v>10.836</v>
      </c>
      <c r="AO5" s="84" t="str">
        <f>CONCATENATE("A(",AG3,")=")</f>
        <v>A(1)=</v>
      </c>
      <c r="AP5" s="84">
        <f>IF(AG3=RisePerWLS,0,VLOOKUP(AG3,STN_TABLE,3,FALSE))</f>
        <v>0.68799999999999994</v>
      </c>
      <c r="AQ5" t="str">
        <f>CONCATENATE("A(",AG5,")=")</f>
        <v>A(3)=</v>
      </c>
      <c r="AR5">
        <f>AN5+AP5</f>
        <v>11.524000000000001</v>
      </c>
    </row>
    <row r="6" spans="1:46" x14ac:dyDescent="0.25">
      <c r="A6">
        <v>3</v>
      </c>
      <c r="B6" s="80">
        <f t="shared" si="2"/>
        <v>1</v>
      </c>
      <c r="C6" s="81">
        <f t="shared" si="3"/>
        <v>0.86</v>
      </c>
      <c r="D6" s="81">
        <f t="shared" si="4"/>
        <v>0.68799999999999994</v>
      </c>
      <c r="E6" s="77">
        <f t="shared" si="5"/>
        <v>1.0549333333333333</v>
      </c>
      <c r="G6" t="s">
        <v>102</v>
      </c>
      <c r="H6">
        <f>VLOOKUP(Station_No,RISE_CALC,5,FALSE)</f>
        <v>1.5</v>
      </c>
      <c r="K6" t="str">
        <f>CONCATENATE("A(",H6,")=")</f>
        <v>A(1.5)=</v>
      </c>
      <c r="L6">
        <f>IFERROR(P27,IFERROR(X6,AD9))</f>
        <v>2.641</v>
      </c>
      <c r="Q6" s="66" t="str">
        <f t="shared" si="0"/>
        <v>4th_UWL</v>
      </c>
      <c r="R6" s="67">
        <f t="shared" si="0"/>
        <v>3</v>
      </c>
      <c r="U6" t="s">
        <v>103</v>
      </c>
      <c r="W6" t="str">
        <f>CONCATENATE("A(",S3,")=")</f>
        <v>A(1.5)=</v>
      </c>
      <c r="X6">
        <f>IF(OR(AD4&lt;=0,AD5&lt;=0),AD9,AD4)</f>
        <v>2.641</v>
      </c>
      <c r="AE6" s="66" t="str">
        <f t="shared" si="1"/>
        <v>3rd_UWL</v>
      </c>
      <c r="AF6" s="67">
        <f t="shared" si="1"/>
        <v>2</v>
      </c>
      <c r="AJ6" s="89">
        <f>SUM(AJ3:AJ5)</f>
        <v>9.0300000000000011</v>
      </c>
      <c r="AL6" s="89">
        <f>SUM(AL3:AL5)</f>
        <v>18.97</v>
      </c>
      <c r="AM6" s="84" t="str">
        <f>CONCATENATE("m'(",AG5,")=")</f>
        <v>m'(3)=</v>
      </c>
      <c r="AN6" s="84">
        <f>2*(AN3*WLS)/3*AL6</f>
        <v>40.975200000000001</v>
      </c>
      <c r="AO6" s="84" t="str">
        <f>CONCATENATE("M(",AG3,")=")</f>
        <v>M(1)=</v>
      </c>
      <c r="AP6" s="84">
        <f>IF(AG3=RisePerWLS,0,VLOOKUP(AG3,STN_TABLE,4,FALSE))</f>
        <v>1.0549333333333333</v>
      </c>
      <c r="AQ6" t="str">
        <f>CONCATENATE("M(",AG5,")=")</f>
        <v>M(3)=</v>
      </c>
      <c r="AR6">
        <f>AN6+AP6</f>
        <v>42.030133333333332</v>
      </c>
    </row>
    <row r="7" spans="1:46" x14ac:dyDescent="0.25">
      <c r="A7">
        <v>4</v>
      </c>
      <c r="B7" s="80">
        <f t="shared" si="2"/>
        <v>1.5</v>
      </c>
      <c r="C7" s="81">
        <f t="shared" si="3"/>
        <v>1.29</v>
      </c>
      <c r="D7" s="81">
        <f t="shared" si="4"/>
        <v>2.641</v>
      </c>
      <c r="E7" s="77">
        <f t="shared" si="5"/>
        <v>5.5072333333333336</v>
      </c>
      <c r="G7" t="s">
        <v>104</v>
      </c>
      <c r="H7">
        <f>VLOOKUP(Station_No,RISE_CALC,6,FALSE)</f>
        <v>2</v>
      </c>
      <c r="K7" t="str">
        <f>CONCATENATE("M(",H6,")=")</f>
        <v>M(1.5)=</v>
      </c>
      <c r="L7">
        <f>IFERROR(P28,IFERROR(X7,AD10))</f>
        <v>5.5072333333333336</v>
      </c>
      <c r="Q7" s="66"/>
      <c r="R7" s="67"/>
      <c r="W7" t="str">
        <f>CONCATENATE("M(",S3,")=")</f>
        <v>M(1.5)=</v>
      </c>
      <c r="X7">
        <f>IF(OR(AD4&lt;=0,AD5&lt;=0),AD10,AD5)</f>
        <v>5.5072333333333336</v>
      </c>
      <c r="Y7" s="6" t="s">
        <v>93</v>
      </c>
      <c r="Z7" s="70">
        <f>WLS*(U9-U8)</f>
        <v>0.9</v>
      </c>
      <c r="AE7" s="66" t="str">
        <f t="shared" si="1"/>
        <v>4th_UWL</v>
      </c>
      <c r="AF7" s="67">
        <f t="shared" si="1"/>
        <v>3</v>
      </c>
      <c r="AH7" s="81"/>
    </row>
    <row r="8" spans="1:46" x14ac:dyDescent="0.25">
      <c r="A8">
        <v>5</v>
      </c>
      <c r="B8" s="80">
        <f t="shared" si="2"/>
        <v>2</v>
      </c>
      <c r="C8" s="81">
        <f t="shared" si="3"/>
        <v>1.6</v>
      </c>
      <c r="D8" s="81">
        <f t="shared" si="4"/>
        <v>5.26</v>
      </c>
      <c r="E8" s="77">
        <f t="shared" si="5"/>
        <v>13.798933333333334</v>
      </c>
      <c r="G8" t="s">
        <v>105</v>
      </c>
      <c r="H8">
        <f>VLOOKUP(Station_No,RISE_CALC,7,FALSE)</f>
        <v>3</v>
      </c>
      <c r="K8" t="str">
        <f>CONCATENATE("A(",H7,")=")</f>
        <v>A(2)=</v>
      </c>
      <c r="L8">
        <f>IFERROR(AD15,IFERROR(X24,AD27))</f>
        <v>5.26</v>
      </c>
      <c r="Q8" s="80"/>
      <c r="R8" s="81"/>
      <c r="U8" s="79">
        <f>R3</f>
        <v>1</v>
      </c>
      <c r="V8" s="68">
        <f>VLOOKUP(U8,STN_TABLE,2,FALSE)</f>
        <v>0.86</v>
      </c>
      <c r="W8" s="68">
        <v>1</v>
      </c>
      <c r="X8" s="69">
        <f>V8*W8</f>
        <v>0.86</v>
      </c>
      <c r="Y8" s="78" t="s">
        <v>97</v>
      </c>
      <c r="Z8" s="78"/>
      <c r="AA8" s="78" t="s">
        <v>98</v>
      </c>
      <c r="AB8" s="78"/>
      <c r="AC8" s="7" t="s">
        <v>99</v>
      </c>
      <c r="AD8" s="7"/>
      <c r="AE8" s="66"/>
      <c r="AF8" s="67"/>
      <c r="AG8" s="68">
        <f>IF(OR(AF12-AF11=AF11-AF10,AF13-AF11=AF11-AF10),AF10,IF(OR(AF12-AF11=AF11-AF9,AF13-AF11=AF11-AF9),AF9,"-"))</f>
        <v>2</v>
      </c>
      <c r="AH8" s="69">
        <f>IFERROR(VLOOKUP(AG8,STN_TABLE,2,FALSE),IF(AF8=RisePerWLS,0,"-"))</f>
        <v>1.6</v>
      </c>
      <c r="AI8" s="69">
        <v>5</v>
      </c>
      <c r="AJ8" s="69">
        <f>AH8*AI8</f>
        <v>8</v>
      </c>
      <c r="AK8" s="69">
        <v>3</v>
      </c>
      <c r="AL8" s="69">
        <f>AH8*AK8</f>
        <v>4.8000000000000007</v>
      </c>
      <c r="AM8" s="6" t="s">
        <v>93</v>
      </c>
      <c r="AN8" s="70">
        <f>IF(AND(AG10-AG9=AG9-AG8,NOT(AND(AG8=0,AG9=0)),NOT(AND(AG9=0,AG10=0))),WLS*(AG10-AG9),"#NA")</f>
        <v>1.8</v>
      </c>
    </row>
    <row r="9" spans="1:46" x14ac:dyDescent="0.25">
      <c r="A9">
        <v>6</v>
      </c>
      <c r="B9" s="80">
        <f t="shared" si="2"/>
        <v>3</v>
      </c>
      <c r="C9" s="81">
        <f t="shared" si="3"/>
        <v>1.77</v>
      </c>
      <c r="D9" s="81">
        <f t="shared" si="4"/>
        <v>11.524000000000001</v>
      </c>
      <c r="E9" s="77">
        <f t="shared" si="5"/>
        <v>42.030133333333332</v>
      </c>
      <c r="G9" t="s">
        <v>106</v>
      </c>
      <c r="H9">
        <f>VLOOKUP(Station_No,RISE_CALC,8,FALSE)</f>
        <v>4</v>
      </c>
      <c r="K9" t="str">
        <f>CONCATENATE("M(",H7,")=")</f>
        <v>M(2)=</v>
      </c>
      <c r="L9">
        <f>IFERROR(AD16,IFERROR(X25,AD28))</f>
        <v>13.798933333333334</v>
      </c>
      <c r="Q9" s="80"/>
      <c r="R9" s="81"/>
      <c r="U9" s="88">
        <f>R4</f>
        <v>1.5</v>
      </c>
      <c r="V9" s="82">
        <f>VLOOKUP(U9,STN_TABLE,2,FALSE)</f>
        <v>1.29</v>
      </c>
      <c r="W9" s="82">
        <v>2</v>
      </c>
      <c r="X9" s="83">
        <f>V9*W9</f>
        <v>2.58</v>
      </c>
      <c r="Y9" s="84" t="str">
        <f>CONCATENATE("a'(",U9,")=")</f>
        <v>a'(1.5)=</v>
      </c>
      <c r="Z9" s="84">
        <f>2*Z7/2*V10</f>
        <v>1.9350000000000001</v>
      </c>
      <c r="AA9" s="84" t="str">
        <f>CONCATENATE("A(",U8,")=")</f>
        <v>A(1)=</v>
      </c>
      <c r="AB9" s="84">
        <f>IF(U8=RisePerWLS,0,VLOOKUP(U8,STN_TABLE,3,FALSE))</f>
        <v>0.68799999999999994</v>
      </c>
      <c r="AC9" t="str">
        <f>CONCATENATE("A(",U9,")=")</f>
        <v>A(1.5)=</v>
      </c>
      <c r="AD9">
        <f>Z9+AB9</f>
        <v>2.6230000000000002</v>
      </c>
      <c r="AE9" s="66" t="str">
        <f t="shared" ref="AE9:AF13" si="6">G6</f>
        <v>2nd_UWL</v>
      </c>
      <c r="AF9" s="67">
        <f t="shared" si="6"/>
        <v>1.5</v>
      </c>
      <c r="AG9" s="76">
        <f>AF11</f>
        <v>3</v>
      </c>
      <c r="AH9" s="77">
        <f>VLOOKUP(AG9,STN_TABLE,2,FALSE)</f>
        <v>1.77</v>
      </c>
      <c r="AI9" s="77">
        <v>8</v>
      </c>
      <c r="AJ9" s="77">
        <f>AH9*AI9</f>
        <v>14.16</v>
      </c>
      <c r="AK9" s="77">
        <v>10</v>
      </c>
      <c r="AL9" s="77">
        <f>AH9*AK9</f>
        <v>17.7</v>
      </c>
      <c r="AM9" s="78" t="s">
        <v>97</v>
      </c>
      <c r="AN9" s="78"/>
      <c r="AO9" s="78" t="s">
        <v>98</v>
      </c>
      <c r="AP9" s="78"/>
      <c r="AQ9" s="7" t="s">
        <v>99</v>
      </c>
      <c r="AR9" s="7"/>
      <c r="AS9" s="7"/>
      <c r="AT9" s="7"/>
    </row>
    <row r="10" spans="1:46" x14ac:dyDescent="0.25">
      <c r="A10">
        <v>7</v>
      </c>
      <c r="B10" s="80">
        <f t="shared" si="2"/>
        <v>4</v>
      </c>
      <c r="C10" s="81">
        <f t="shared" si="3"/>
        <v>1.31</v>
      </c>
      <c r="D10" s="81">
        <f t="shared" si="4"/>
        <v>17.247999999999998</v>
      </c>
      <c r="E10" s="77">
        <f t="shared" si="5"/>
        <v>77.90773333333334</v>
      </c>
      <c r="G10" t="s">
        <v>107</v>
      </c>
      <c r="H10">
        <f>VLOOKUP(Station_No,RISE_CALC,9,FALSE)</f>
        <v>5</v>
      </c>
      <c r="K10" t="str">
        <f>CONCATENATE("A(",H8,")=")</f>
        <v>A(3)=</v>
      </c>
      <c r="L10">
        <f>IFERROR(AR5,IFERROR(AL12,AR15))</f>
        <v>11.524000000000001</v>
      </c>
      <c r="Q10" s="80"/>
      <c r="R10" s="81"/>
      <c r="V10" s="89">
        <f>SUM(V8:V9)</f>
        <v>2.15</v>
      </c>
      <c r="X10" s="89">
        <f>SUM(X8:X9)</f>
        <v>3.44</v>
      </c>
      <c r="Y10" s="84" t="str">
        <f>CONCATENATE("m'(",U9,")=")</f>
        <v>m'(1.5)=</v>
      </c>
      <c r="Z10" s="84">
        <f>(2*(Z7^2)/6*X10)+(Z9*U8*WLS)</f>
        <v>4.4118000000000004</v>
      </c>
      <c r="AA10" s="84" t="str">
        <f>CONCATENATE("M(",U8,")=")</f>
        <v>M(1)=</v>
      </c>
      <c r="AB10" s="84">
        <f>IF(U8=RisePerWLS,0,VLOOKUP(U8,STN_TABLE,4,FALSE))</f>
        <v>1.0549333333333333</v>
      </c>
      <c r="AC10" t="str">
        <f>CONCATENATE("M(",U9,")=")</f>
        <v>M(1.5)=</v>
      </c>
      <c r="AD10">
        <f>Z10+AB10</f>
        <v>5.4667333333333339</v>
      </c>
      <c r="AE10" s="66" t="str">
        <f t="shared" si="6"/>
        <v>3rd_UWL</v>
      </c>
      <c r="AF10" s="67">
        <f t="shared" si="6"/>
        <v>2</v>
      </c>
      <c r="AG10" s="82">
        <f>IF(AG8-AG9=AG9-AF12,AF12,IF(AG8-AG9=AG9-AF13,AF13,"-"))</f>
        <v>4</v>
      </c>
      <c r="AH10" s="83">
        <f>VLOOKUP(AG10,STN_TABLE,2,FALSE)</f>
        <v>1.31</v>
      </c>
      <c r="AI10" s="83">
        <v>-1</v>
      </c>
      <c r="AJ10" s="83">
        <f>AH10*AI10</f>
        <v>-1.31</v>
      </c>
      <c r="AK10" s="83">
        <v>-1</v>
      </c>
      <c r="AL10" s="83">
        <f>AH10*AK10</f>
        <v>-1.31</v>
      </c>
      <c r="AM10" s="84" t="str">
        <f>CONCATENATE("a'(",AG9,")=")</f>
        <v>a'(3)=</v>
      </c>
      <c r="AN10" s="84">
        <f>2*AN8/12*AJ11</f>
        <v>6.2549999999999999</v>
      </c>
      <c r="AO10" s="84" t="str">
        <f>CONCATENATE("A(",AG8,")=")</f>
        <v>A(2)=</v>
      </c>
      <c r="AP10" s="84">
        <f>VLOOKUP(AG8,STN_TABLE,3,FALSE)</f>
        <v>5.26</v>
      </c>
      <c r="AQ10" t="str">
        <f>CONCATENATE("A(",AG9,")=")</f>
        <v>A(3)=</v>
      </c>
      <c r="AR10">
        <f>AN10+AP10</f>
        <v>11.515000000000001</v>
      </c>
    </row>
    <row r="11" spans="1:46" x14ac:dyDescent="0.25">
      <c r="A11">
        <v>8</v>
      </c>
      <c r="B11" s="80">
        <f t="shared" si="2"/>
        <v>5</v>
      </c>
      <c r="C11" s="81">
        <f t="shared" si="3"/>
        <v>1</v>
      </c>
      <c r="D11" s="81">
        <f t="shared" si="4"/>
        <v>21.136000000000003</v>
      </c>
      <c r="E11" s="77">
        <f t="shared" si="5"/>
        <v>109.57333333333335</v>
      </c>
      <c r="G11" t="s">
        <v>108</v>
      </c>
      <c r="H11">
        <f>VLOOKUP(Station_No,RISE_CALC,10,FALSE)</f>
        <v>5.6111111111111107</v>
      </c>
      <c r="K11" t="str">
        <f>CONCATENATE("M(",H8,")=")</f>
        <v>M(3)=</v>
      </c>
      <c r="L11">
        <f>IFERROR(AR6,IFERROR(AL13,AR16))</f>
        <v>42.030133333333332</v>
      </c>
      <c r="Q11" s="80"/>
      <c r="R11" s="81"/>
      <c r="AE11" s="66" t="str">
        <f t="shared" si="6"/>
        <v>4th_UWL</v>
      </c>
      <c r="AF11" s="67">
        <f t="shared" si="6"/>
        <v>3</v>
      </c>
      <c r="AJ11" s="89">
        <f>SUM(AJ8:AJ10)</f>
        <v>20.85</v>
      </c>
      <c r="AL11" s="89">
        <f>SUM(AL8:AL10)</f>
        <v>21.19</v>
      </c>
      <c r="AM11" s="84" t="str">
        <f>CONCATENATE("m'(",AG9,")=")</f>
        <v>m'(3)=</v>
      </c>
      <c r="AN11" s="84">
        <f>(2*(AN8^2)/24*AL11)+(AN10*AG8*WLS)</f>
        <v>28.2393</v>
      </c>
      <c r="AO11" s="84" t="str">
        <f>CONCATENATE("M(",AG8,")=")</f>
        <v>M(2)=</v>
      </c>
      <c r="AP11" s="84">
        <f>VLOOKUP(AG8,STN_TABLE,4,FALSE)</f>
        <v>13.798933333333334</v>
      </c>
      <c r="AQ11" t="str">
        <f>CONCATENATE("M(",AG9,")=")</f>
        <v>M(3)=</v>
      </c>
      <c r="AR11">
        <f>AN11+AP11</f>
        <v>42.038233333333338</v>
      </c>
    </row>
    <row r="12" spans="1:46" x14ac:dyDescent="0.25">
      <c r="A12">
        <v>9</v>
      </c>
      <c r="B12" s="80">
        <f t="shared" si="2"/>
        <v>5.6111111111111107</v>
      </c>
      <c r="C12" s="81">
        <f t="shared" si="3"/>
        <v>1.44</v>
      </c>
      <c r="D12" s="81">
        <f t="shared" si="4"/>
        <v>23.82</v>
      </c>
      <c r="E12" s="77">
        <f t="shared" si="5"/>
        <v>135.29426666666666</v>
      </c>
      <c r="Q12" s="90" t="s">
        <v>109</v>
      </c>
      <c r="R12" s="81"/>
      <c r="AE12" s="66" t="str">
        <f t="shared" si="6"/>
        <v>5th_UWL</v>
      </c>
      <c r="AF12" s="67">
        <f t="shared" si="6"/>
        <v>4</v>
      </c>
      <c r="AI12" t="s">
        <v>103</v>
      </c>
      <c r="AK12" t="str">
        <f>CONCATENATE("A(",AG9,")=")</f>
        <v>A(3)=</v>
      </c>
      <c r="AL12">
        <f>IF(OR(AR10&lt;=0,AR11&lt;=0),AR15,AR10)</f>
        <v>11.515000000000001</v>
      </c>
    </row>
    <row r="13" spans="1:46" x14ac:dyDescent="0.25">
      <c r="A13">
        <v>10</v>
      </c>
      <c r="B13" s="80">
        <f t="shared" si="2"/>
        <v>6</v>
      </c>
      <c r="C13" s="81">
        <f t="shared" si="3"/>
        <v>1.74</v>
      </c>
      <c r="D13" s="81">
        <f t="shared" si="4"/>
        <v>25.707999999999998</v>
      </c>
      <c r="E13" s="77">
        <f t="shared" si="5"/>
        <v>154.97653333333335</v>
      </c>
      <c r="G13" s="71" t="s">
        <v>110</v>
      </c>
      <c r="Q13" s="66" t="str">
        <f t="shared" ref="Q13:R16" si="7">G4</f>
        <v>Rise</v>
      </c>
      <c r="R13" s="67">
        <f t="shared" si="7"/>
        <v>0.55555555555555558</v>
      </c>
      <c r="S13" s="68">
        <f>IF(R16-R15=R15-R14,R14,IF(R16-R14=R14-R13,R13,"-"))</f>
        <v>1</v>
      </c>
      <c r="T13" s="69">
        <f>IFERROR(VLOOKUP(S13,STN_TABLE,2,FALSE),IF(R13=RisePerWLS,0,"-"))</f>
        <v>0.86</v>
      </c>
      <c r="U13" s="69">
        <v>1</v>
      </c>
      <c r="V13" s="69">
        <f>T13*U13</f>
        <v>0.86</v>
      </c>
      <c r="W13" s="69">
        <f>S13</f>
        <v>1</v>
      </c>
      <c r="X13" s="69">
        <f>V13*W13</f>
        <v>0.86</v>
      </c>
      <c r="Y13" s="6" t="s">
        <v>93</v>
      </c>
      <c r="Z13" s="70">
        <f>IF(AND(T13=0,T14=0,T15=0),WLS*(S15-S14),IF(AND(S15-S14=S14-S13,S14&lt;&gt;S15,S13&lt;&gt;S14,S13&lt;&gt;S15,T15&lt;&gt;0,OR(T13&lt;&gt;0,T14&lt;&gt;0)),WLS*(S15-S14),"#NA"))</f>
        <v>0.9</v>
      </c>
      <c r="AE13" s="66" t="str">
        <f t="shared" si="6"/>
        <v>6th_UWL</v>
      </c>
      <c r="AF13" s="67">
        <f t="shared" si="6"/>
        <v>5</v>
      </c>
      <c r="AK13" t="str">
        <f>CONCATENATE("M(",AG9,")=")</f>
        <v>M(3)=</v>
      </c>
      <c r="AL13">
        <f>IF(OR(AR10&lt;=0,AR11&lt;=0),AR16,AR11)</f>
        <v>42.038233333333338</v>
      </c>
      <c r="AM13" s="6" t="s">
        <v>93</v>
      </c>
      <c r="AN13" s="70">
        <f>WLS*(AI15-AI14)</f>
        <v>1.8</v>
      </c>
    </row>
    <row r="14" spans="1:46" x14ac:dyDescent="0.25">
      <c r="A14">
        <v>11</v>
      </c>
      <c r="B14" s="80">
        <f t="shared" si="2"/>
        <v>7</v>
      </c>
      <c r="C14" s="81">
        <f t="shared" si="3"/>
        <v>2.79</v>
      </c>
      <c r="D14" s="81">
        <f t="shared" si="4"/>
        <v>34.036000000000001</v>
      </c>
      <c r="E14" s="77">
        <f t="shared" si="5"/>
        <v>252.75973333333334</v>
      </c>
      <c r="G14" s="91" t="str">
        <f>G4</f>
        <v>Rise</v>
      </c>
      <c r="H14" s="91">
        <f>RisePerWLS</f>
        <v>0.55555555555555558</v>
      </c>
      <c r="I14" s="68">
        <f>H14</f>
        <v>0.55555555555555558</v>
      </c>
      <c r="J14" s="69">
        <v>0</v>
      </c>
      <c r="K14" s="69">
        <v>5</v>
      </c>
      <c r="L14" s="69">
        <f>J14*K14</f>
        <v>0</v>
      </c>
      <c r="M14" s="69">
        <v>3</v>
      </c>
      <c r="N14" s="69">
        <f>J14*M14</f>
        <v>0</v>
      </c>
      <c r="O14" t="s">
        <v>93</v>
      </c>
      <c r="P14" t="e">
        <f>IF(AND(NOT(AND(J14=0,J15=0)),I14&lt;&gt;I15,I15&lt;&gt;I16,I16-I15=I15-I14),(I16-I15)*WLS,"#NA")</f>
        <v>#VALUE!</v>
      </c>
      <c r="Q14" s="66" t="str">
        <f t="shared" si="7"/>
        <v>1st_UWL</v>
      </c>
      <c r="R14" s="67">
        <f t="shared" si="7"/>
        <v>1</v>
      </c>
      <c r="S14" s="76">
        <f>IF(R16-R15=R15-R14,R15,IF(R16-R14=R14-R13,R14,"-"))</f>
        <v>1.5</v>
      </c>
      <c r="T14" s="77">
        <f>VLOOKUP(S14,STN_TABLE,2,FALSE)</f>
        <v>1.29</v>
      </c>
      <c r="U14" s="77">
        <v>4</v>
      </c>
      <c r="V14" s="77">
        <f>T14*U14</f>
        <v>5.16</v>
      </c>
      <c r="W14" s="77">
        <f>S14</f>
        <v>1.5</v>
      </c>
      <c r="X14" s="77">
        <f>V14*W14</f>
        <v>7.74</v>
      </c>
      <c r="Y14" s="78" t="s">
        <v>97</v>
      </c>
      <c r="Z14" s="78"/>
      <c r="AA14" s="78" t="s">
        <v>98</v>
      </c>
      <c r="AB14" s="78"/>
      <c r="AC14" s="7" t="s">
        <v>99</v>
      </c>
      <c r="AD14" s="7"/>
      <c r="AE14" s="66"/>
      <c r="AF14" s="67"/>
      <c r="AI14" s="79">
        <f>AF10</f>
        <v>2</v>
      </c>
      <c r="AJ14" s="68">
        <f>VLOOKUP(AI14,STN_TABLE,2,FALSE)</f>
        <v>1.6</v>
      </c>
      <c r="AK14" s="68">
        <v>1</v>
      </c>
      <c r="AL14" s="69">
        <f>AJ14*AK14</f>
        <v>1.6</v>
      </c>
      <c r="AM14" s="78" t="s">
        <v>97</v>
      </c>
      <c r="AN14" s="78"/>
      <c r="AO14" s="78" t="s">
        <v>98</v>
      </c>
      <c r="AP14" s="78"/>
      <c r="AQ14" s="7" t="s">
        <v>99</v>
      </c>
      <c r="AR14" s="7"/>
      <c r="AS14" s="7"/>
      <c r="AT14" s="7"/>
    </row>
    <row r="15" spans="1:46" x14ac:dyDescent="0.25">
      <c r="A15">
        <v>12</v>
      </c>
      <c r="B15" s="80">
        <f t="shared" si="2"/>
        <v>7.8833333333333329</v>
      </c>
      <c r="C15" s="81">
        <f t="shared" si="3"/>
        <v>4.0999999999999996</v>
      </c>
      <c r="D15" s="81">
        <f t="shared" si="4"/>
        <v>44.991099999999996</v>
      </c>
      <c r="E15" s="77">
        <f t="shared" si="5"/>
        <v>400.05526633333329</v>
      </c>
      <c r="G15" s="91" t="str">
        <f>G5</f>
        <v>1st_UWL</v>
      </c>
      <c r="H15" s="91">
        <f>H5</f>
        <v>1</v>
      </c>
      <c r="I15" s="76">
        <f>H15</f>
        <v>1</v>
      </c>
      <c r="J15" s="77">
        <f>VLOOKUP(I15,STN_TABLE,2,FALSE)</f>
        <v>0.86</v>
      </c>
      <c r="K15" s="77">
        <v>8</v>
      </c>
      <c r="L15" s="77">
        <f>J15*K15</f>
        <v>6.88</v>
      </c>
      <c r="M15" s="77">
        <v>10</v>
      </c>
      <c r="N15" s="77">
        <f>J15*M15</f>
        <v>8.6</v>
      </c>
      <c r="O15" t="str">
        <f>CONCATENATE("A(",I15,")=")</f>
        <v>A(1)=</v>
      </c>
      <c r="P15" t="e">
        <f>2*P14/12*L17</f>
        <v>#VALUE!</v>
      </c>
      <c r="Q15" s="66" t="str">
        <f t="shared" si="7"/>
        <v>2nd_UWL</v>
      </c>
      <c r="R15" s="67">
        <f t="shared" si="7"/>
        <v>1.5</v>
      </c>
      <c r="S15" s="82">
        <f>R16</f>
        <v>2</v>
      </c>
      <c r="T15" s="83">
        <f>VLOOKUP(S15,STN_TABLE,2,FALSE)</f>
        <v>1.6</v>
      </c>
      <c r="U15" s="83">
        <v>1</v>
      </c>
      <c r="V15" s="83">
        <f>T15*U15</f>
        <v>1.6</v>
      </c>
      <c r="W15" s="83">
        <f>S15</f>
        <v>2</v>
      </c>
      <c r="X15" s="83">
        <f>V15*W15</f>
        <v>3.2</v>
      </c>
      <c r="Y15" s="84" t="str">
        <f>CONCATENATE("a'(",S15,")=")</f>
        <v>a'(2)=</v>
      </c>
      <c r="Z15" s="84">
        <f>2*Z13/3*V16</f>
        <v>4.5720000000000001</v>
      </c>
      <c r="AA15" s="84" t="str">
        <f>CONCATENATE("A(",S13,")=")</f>
        <v>A(1)=</v>
      </c>
      <c r="AB15" s="84">
        <f>IF(S13=RisePerWLS,0,VLOOKUP(S13,STN_TABLE,3,FALSE))</f>
        <v>0.68799999999999994</v>
      </c>
      <c r="AC15" t="str">
        <f>CONCATENATE("A(",S15,")=")</f>
        <v>A(2)=</v>
      </c>
      <c r="AD15">
        <f>Z15+AB15</f>
        <v>5.26</v>
      </c>
      <c r="AE15" s="80"/>
      <c r="AI15" s="88">
        <f>AF11</f>
        <v>3</v>
      </c>
      <c r="AJ15" s="82">
        <f>VLOOKUP(AI15,STN_TABLE,2,FALSE)</f>
        <v>1.77</v>
      </c>
      <c r="AK15" s="82">
        <v>2</v>
      </c>
      <c r="AL15" s="83">
        <f>AJ15*AK15</f>
        <v>3.54</v>
      </c>
      <c r="AM15" s="84" t="str">
        <f>CONCATENATE("a'(",AI15,")=")</f>
        <v>a'(3)=</v>
      </c>
      <c r="AN15" s="84">
        <f>2*AN13/2*AJ16</f>
        <v>6.0660000000000007</v>
      </c>
      <c r="AO15" s="84" t="str">
        <f>CONCATENATE("A(",AI14,")=")</f>
        <v>A(2)=</v>
      </c>
      <c r="AP15" s="84">
        <f>IF(AI14=RisePerWLS,0,VLOOKUP(AI14,STN_TABLE,3,FALSE))</f>
        <v>5.26</v>
      </c>
      <c r="AQ15" t="str">
        <f>CONCATENATE("A(",AI15,")=")</f>
        <v>A(3)=</v>
      </c>
      <c r="AR15">
        <f>AN15+AP15</f>
        <v>11.326000000000001</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1.5</v>
      </c>
      <c r="I16" s="82" t="str">
        <f>IF(H16-H15=H15-H14,H16,"#NA")</f>
        <v>#NA</v>
      </c>
      <c r="J16" s="83" t="e">
        <f>VLOOKUP(I16,STN_TABLE,2,FALSE)</f>
        <v>#N/A</v>
      </c>
      <c r="K16" s="83">
        <v>-1</v>
      </c>
      <c r="L16" s="83" t="e">
        <f>J16*K16</f>
        <v>#N/A</v>
      </c>
      <c r="M16" s="83">
        <v>-1</v>
      </c>
      <c r="N16" s="83" t="e">
        <f>J16*M16</f>
        <v>#N/A</v>
      </c>
      <c r="O16" t="str">
        <f>CONCATENATE("M(",I15,")=")</f>
        <v>M(1)=</v>
      </c>
      <c r="P16" t="e">
        <f>(2*(P14^2)/24*N17)+P15*I14*WLS</f>
        <v>#VALUE!</v>
      </c>
      <c r="Q16" s="66" t="str">
        <f t="shared" si="7"/>
        <v>3rd_UWL</v>
      </c>
      <c r="R16" s="67">
        <f t="shared" si="7"/>
        <v>2</v>
      </c>
      <c r="V16" s="89">
        <f>SUM(V13:V15)</f>
        <v>7.620000000000001</v>
      </c>
      <c r="X16" s="89">
        <f>SUM(X13:X15)</f>
        <v>11.8</v>
      </c>
      <c r="Y16" s="84" t="str">
        <f>CONCATENATE("m'(",S15,")=")</f>
        <v>m'(2)=</v>
      </c>
      <c r="Z16" s="84">
        <f>2*(Z13*WLS)/3*X16</f>
        <v>12.744000000000002</v>
      </c>
      <c r="AA16" s="84" t="str">
        <f>CONCATENATE("M(",S13,")=")</f>
        <v>M(1)=</v>
      </c>
      <c r="AB16" s="84">
        <f>IF(S13=RisePerWLS,0,VLOOKUP(S13,STN_TABLE,4,FALSE))</f>
        <v>1.0549333333333333</v>
      </c>
      <c r="AC16" t="str">
        <f>CONCATENATE("M(",S15,")=")</f>
        <v>M(2)=</v>
      </c>
      <c r="AD16">
        <f>Z16+AB16</f>
        <v>13.798933333333334</v>
      </c>
      <c r="AE16" s="80"/>
      <c r="AJ16" s="89">
        <f>SUM(AJ14:AJ15)</f>
        <v>3.37</v>
      </c>
      <c r="AL16" s="89">
        <f>SUM(AL14:AL15)</f>
        <v>5.1400000000000006</v>
      </c>
      <c r="AM16" s="84" t="str">
        <f>CONCATENATE("m'(",AI15,")=")</f>
        <v>m'(3)=</v>
      </c>
      <c r="AN16" s="84">
        <f>(2*(AN13^2)/6*AL16)+(AN15*AI14*WLS)</f>
        <v>27.388800000000003</v>
      </c>
      <c r="AO16" s="84" t="str">
        <f>CONCATENATE("M(",AI14,")=")</f>
        <v>M(2)=</v>
      </c>
      <c r="AP16" s="84">
        <f>IF(AI14=RisePerWLS,0,VLOOKUP(AI14,STN_TABLE,4,FALSE))</f>
        <v>13.798933333333334</v>
      </c>
      <c r="AQ16" t="str">
        <f>CONCATENATE("M(",AI15,")=")</f>
        <v>M(3)=</v>
      </c>
      <c r="AR16">
        <f>AN16+AP16</f>
        <v>41.187733333333341</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A(1)=</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M(1)=</v>
      </c>
      <c r="N19" t="e">
        <f>IF(OR(P15&lt;=0,P16&lt;=0),N23,P16)</f>
        <v>#VALUE!</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f>IF(OR(R24-R23=R23-R22,R25-R23=R23-R22),R22,IF(OR(R24-R23=R23-R21,R25-R23=R23-R21),R21,"-"))</f>
        <v>1</v>
      </c>
      <c r="T20" s="69">
        <f>IFERROR(VLOOKUP(S20,STN_TABLE,2,FALSE),IF(R20=RisePerWLS,0,"-"))</f>
        <v>0.86</v>
      </c>
      <c r="U20" s="69">
        <v>5</v>
      </c>
      <c r="V20" s="69">
        <f>T20*U20</f>
        <v>4.3</v>
      </c>
      <c r="W20" s="69">
        <v>3</v>
      </c>
      <c r="X20" s="69">
        <f>T20*W20</f>
        <v>2.58</v>
      </c>
      <c r="Y20" s="6" t="s">
        <v>93</v>
      </c>
      <c r="Z20" s="70">
        <f>IF(AND(S22-S21=S21-S20,NOT(AND(S20=0,S21=0)),NOT(AND(S21=0,S22=0))),WLS*(S22-S21),"#NA")</f>
        <v>1.8</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0.55555555555555558</v>
      </c>
      <c r="J21" s="68">
        <v>0</v>
      </c>
      <c r="K21" s="68">
        <v>1</v>
      </c>
      <c r="L21" s="69">
        <f>J21*K21</f>
        <v>0</v>
      </c>
      <c r="M21" t="s">
        <v>93</v>
      </c>
      <c r="N21">
        <f>(I22-I21)*WLS</f>
        <v>0.79999999999999993</v>
      </c>
      <c r="Q21" s="66" t="str">
        <f t="shared" ref="Q21:R25" si="8">G5</f>
        <v>1st_UWL</v>
      </c>
      <c r="R21" s="67">
        <f t="shared" si="8"/>
        <v>1</v>
      </c>
      <c r="S21" s="76">
        <f>R23</f>
        <v>2</v>
      </c>
      <c r="T21" s="77">
        <f>VLOOKUP(S21,STN_TABLE,2,FALSE)</f>
        <v>1.6</v>
      </c>
      <c r="U21" s="77">
        <v>8</v>
      </c>
      <c r="V21" s="77">
        <f>T21*U21</f>
        <v>12.8</v>
      </c>
      <c r="W21" s="77">
        <v>10</v>
      </c>
      <c r="X21" s="77">
        <f>T21*W21</f>
        <v>16</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1</v>
      </c>
      <c r="J22" s="82">
        <f>VLOOKUP(I22,STN_TABLE,2,FALSE)</f>
        <v>0.86</v>
      </c>
      <c r="K22" s="82">
        <v>2</v>
      </c>
      <c r="L22" s="83">
        <f>J22*K22</f>
        <v>1.72</v>
      </c>
      <c r="M22" t="str">
        <f>CONCATENATE("A(",I22,")=")</f>
        <v>A(1)=</v>
      </c>
      <c r="N22">
        <f>2*N21/2*J23</f>
        <v>0.68799999999999994</v>
      </c>
      <c r="Q22" s="66" t="str">
        <f t="shared" si="8"/>
        <v>2nd_UWL</v>
      </c>
      <c r="R22" s="67">
        <f t="shared" si="8"/>
        <v>1.5</v>
      </c>
      <c r="S22" s="82">
        <f>IF(S20-S21=S21-R24,R24,IF(S20-S21=S21-R25,R25,"-"))</f>
        <v>3</v>
      </c>
      <c r="T22" s="83">
        <f>VLOOKUP(S22,STN_TABLE,2,FALSE)</f>
        <v>1.77</v>
      </c>
      <c r="U22" s="83">
        <v>-1</v>
      </c>
      <c r="V22" s="83">
        <f>T22*U22</f>
        <v>-1.77</v>
      </c>
      <c r="W22" s="83">
        <v>-1</v>
      </c>
      <c r="X22" s="83">
        <f>T22*W22</f>
        <v>-1.77</v>
      </c>
      <c r="Y22" s="84" t="str">
        <f>CONCATENATE("a'(",S21,")=")</f>
        <v>a'(2)=</v>
      </c>
      <c r="Z22" s="84">
        <f>2*Z20/12*V23</f>
        <v>4.5990000000000002</v>
      </c>
      <c r="AA22" s="84" t="str">
        <f>CONCATENATE("A(",S20,")=")</f>
        <v>A(1)=</v>
      </c>
      <c r="AB22" s="84">
        <f>IF(S20=RisePerWLS,0,VLOOKUP(S20,STN_TABLE,3,FALSE))</f>
        <v>0.68799999999999994</v>
      </c>
      <c r="AC22" t="str">
        <f>CONCATENATE("A(",S21,")=")</f>
        <v>A(2)=</v>
      </c>
      <c r="AD22">
        <f>Z22+AB22</f>
        <v>5.2869999999999999</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0.86</v>
      </c>
      <c r="L23" s="89">
        <f>SUM(L21:L22)</f>
        <v>1.72</v>
      </c>
      <c r="M23" t="str">
        <f>CONCATENATE("M(",I22,")=")</f>
        <v>M(1)=</v>
      </c>
      <c r="N23">
        <f>(2*(N21^2)/6*L23)+N22*I21*WLS</f>
        <v>1.0549333333333333</v>
      </c>
      <c r="Q23" s="66" t="str">
        <f t="shared" si="8"/>
        <v>3rd_UWL</v>
      </c>
      <c r="R23" s="67">
        <f t="shared" si="8"/>
        <v>2</v>
      </c>
      <c r="V23" s="89">
        <f>SUM(V20:V22)</f>
        <v>15.330000000000002</v>
      </c>
      <c r="X23" s="89">
        <f>SUM(X20:X22)</f>
        <v>16.809999999999999</v>
      </c>
      <c r="Y23" s="84" t="str">
        <f>CONCATENATE("m'(",S21,")=")</f>
        <v>m'(2)=</v>
      </c>
      <c r="Z23" s="84">
        <f>(2*(Z20^2)/24*X23)+(Z22*S20*WLS)</f>
        <v>12.8169</v>
      </c>
      <c r="AA23" s="84" t="str">
        <f>CONCATENATE("M(",S20,")=")</f>
        <v>M(1)=</v>
      </c>
      <c r="AB23" s="84">
        <f>IF(S20=RisePerWLS,0,VLOOKUP(S20,STN_TABLE,4,FALSE))</f>
        <v>1.0549333333333333</v>
      </c>
      <c r="AC23" t="str">
        <f>CONCATENATE("M(",S21,")=")</f>
        <v>M(2)=</v>
      </c>
      <c r="AD23">
        <f>Z23+AB23</f>
        <v>13.871833333333333</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3</v>
      </c>
      <c r="U24" t="s">
        <v>103</v>
      </c>
      <c r="W24" t="str">
        <f>CONCATENATE("A(",S21,")=")</f>
        <v>A(2)=</v>
      </c>
      <c r="X24">
        <f>IF(OR(AD22&lt;=0,AD23&lt;=0),AD27,AD22)</f>
        <v>5.2869999999999999</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f t="shared" si="8"/>
        <v>4</v>
      </c>
      <c r="W25" t="str">
        <f>CONCATENATE("M(",S21,")=")</f>
        <v>M(2)=</v>
      </c>
      <c r="X25">
        <f>IF(OR(AD22&lt;=0,AD23&lt;=0),AD28,AD23)</f>
        <v>13.871833333333333</v>
      </c>
      <c r="Y25" s="6" t="s">
        <v>93</v>
      </c>
      <c r="Z25" s="70">
        <f>WLS*(U27-U26)</f>
        <v>0.9</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0.55555555555555558</v>
      </c>
      <c r="I26" s="68">
        <f>H26</f>
        <v>0.55555555555555558</v>
      </c>
      <c r="J26" s="69">
        <v>0</v>
      </c>
      <c r="K26" s="69">
        <v>1</v>
      </c>
      <c r="L26" s="69">
        <f>J26*K26</f>
        <v>0</v>
      </c>
      <c r="M26" s="69">
        <f>I26</f>
        <v>0.55555555555555558</v>
      </c>
      <c r="N26" s="69">
        <f>L26*M26</f>
        <v>0</v>
      </c>
      <c r="O26" t="s">
        <v>93</v>
      </c>
      <c r="P26" t="e">
        <f>IF(OR(J26=0,J27=0,J28=0),"#NA",IF(I28-I27=I27-I26,WLS*(I27-I26),"#NA"))</f>
        <v>#N/A</v>
      </c>
      <c r="Q26" s="66"/>
      <c r="R26" s="67"/>
      <c r="U26" s="79">
        <f>R22</f>
        <v>1.5</v>
      </c>
      <c r="V26" s="68">
        <f>VLOOKUP(U26,STN_TABLE,2,FALSE)</f>
        <v>1.29</v>
      </c>
      <c r="W26" s="68">
        <v>1</v>
      </c>
      <c r="X26" s="69">
        <f>V26*W26</f>
        <v>1.29</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1</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2</v>
      </c>
      <c r="V27" s="82">
        <f>VLOOKUP(U27,STN_TABLE,2,FALSE)</f>
        <v>1.6</v>
      </c>
      <c r="W27" s="82">
        <v>2</v>
      </c>
      <c r="X27" s="83">
        <f>V27*W27</f>
        <v>3.2</v>
      </c>
      <c r="Y27" s="84" t="str">
        <f>CONCATENATE("a'(",U27,")=")</f>
        <v>a'(2)=</v>
      </c>
      <c r="Z27" s="84">
        <f>2*Z25/2*V28</f>
        <v>2.601</v>
      </c>
      <c r="AA27" s="84" t="str">
        <f>CONCATENATE("A(",U26,")=")</f>
        <v>A(1.5)=</v>
      </c>
      <c r="AB27" s="84">
        <f>IF(U26=RisePerWLS,0,VLOOKUP(U26,STN_TABLE,3,FALSE))</f>
        <v>2.641</v>
      </c>
      <c r="AC27" t="str">
        <f>CONCATENATE("A(",U27,")=")</f>
        <v>A(2)=</v>
      </c>
      <c r="AD27">
        <f>Z27+AB27</f>
        <v>5.242</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1.5</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2.89</v>
      </c>
      <c r="X28" s="89">
        <f>SUM(X26:X27)</f>
        <v>4.49</v>
      </c>
      <c r="Y28" s="84" t="str">
        <f>CONCATENATE("m'(",U27,")=")</f>
        <v>m'(2)=</v>
      </c>
      <c r="Z28" s="84">
        <f>(2*(Z25^2)/6*X28)+(Z27*U26*WLS)</f>
        <v>8.2350000000000012</v>
      </c>
      <c r="AA28" s="84" t="str">
        <f>CONCATENATE("M(",U26,")=")</f>
        <v>M(1.5)=</v>
      </c>
      <c r="AB28" s="84">
        <f>IF(U26=RisePerWLS,0,VLOOKUP(U26,STN_TABLE,4,FALSE))</f>
        <v>5.5072333333333336</v>
      </c>
      <c r="AC28" t="str">
        <f>CONCATENATE("M(",U27,")=")</f>
        <v>M(2)=</v>
      </c>
      <c r="AD28">
        <f>Z28+AB28</f>
        <v>13.742233333333335</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0</v>
      </c>
      <c r="S33" s="77">
        <v>8</v>
      </c>
      <c r="T33" s="76">
        <f>R33*S33</f>
        <v>0</v>
      </c>
      <c r="U33" s="80">
        <v>10</v>
      </c>
      <c r="V33" s="76">
        <f>R33*U33</f>
        <v>0</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0.86</v>
      </c>
      <c r="S34" s="83">
        <v>-1</v>
      </c>
      <c r="T34" s="82">
        <f>R34*S34</f>
        <v>-0.86</v>
      </c>
      <c r="U34" s="88">
        <v>-1</v>
      </c>
      <c r="V34" s="82">
        <f>R34*U34</f>
        <v>-0.86</v>
      </c>
      <c r="W34" s="84" t="str">
        <f>CONCATENATE("a'(",Q33,")=")</f>
        <v>a'(0.5)=</v>
      </c>
      <c r="X34" s="84">
        <f>2*X32/12*T35</f>
        <v>-0.129</v>
      </c>
      <c r="Y34" s="84" t="str">
        <f>CONCATENATE("A(",Q32,")=")</f>
        <v>A(0)=</v>
      </c>
      <c r="Z34" s="84">
        <f>VLOOKUP(Q32,STN_TABLE,3,FALSE)</f>
        <v>0</v>
      </c>
      <c r="AA34" t="str">
        <f>CONCATENATE("A(",Q33,")=")</f>
        <v>A(0.5)=</v>
      </c>
      <c r="AB34">
        <f>X34+Z34</f>
        <v>-0.129</v>
      </c>
      <c r="AC34" s="99">
        <f>AC33+1</f>
        <v>2</v>
      </c>
      <c r="AD34" s="100">
        <f>VLOOKUP(AC34,STN_TABLE_2,2,FALSE)</f>
        <v>0.5</v>
      </c>
      <c r="AE34" s="82">
        <f>VLOOKUP(AD34,STN_TABLE,2,FALSE)</f>
        <v>0</v>
      </c>
      <c r="AF34" s="82">
        <v>2</v>
      </c>
      <c r="AG34" s="83">
        <f>AE34*AF34</f>
        <v>0</v>
      </c>
      <c r="AH34" s="84" t="str">
        <f>CONCATENATE("a'(",AD34,")=")</f>
        <v>a'(0.5)=</v>
      </c>
      <c r="AI34" s="84">
        <f>2*AI32/2*AE35</f>
        <v>0</v>
      </c>
      <c r="AJ34" s="84" t="str">
        <f>CONCATENATE("A(",AD33,")=")</f>
        <v>A(0)=</v>
      </c>
      <c r="AK34" s="84">
        <f>VLOOKUP(AD33,STN_TABLE,3,FALSE)</f>
        <v>0</v>
      </c>
      <c r="AL34" t="str">
        <f>CONCATENATE("A(",AD34,")=")</f>
        <v>A(0.5)=</v>
      </c>
      <c r="AM34">
        <f>AI34+AK34</f>
        <v>0</v>
      </c>
      <c r="AO34" s="68" t="str">
        <f>AA34</f>
        <v>A(0.5)=</v>
      </c>
      <c r="AP34" s="79" t="e">
        <f>VLOOKUP(AO34,Rise_Results,2,FALSE)</f>
        <v>#N/A</v>
      </c>
      <c r="AQ34" s="76" t="s">
        <v>117</v>
      </c>
      <c r="AR34" s="76" t="e">
        <f>IF(OR(AB34&lt;=0,AB35&lt;=0),1/0,AB34)</f>
        <v>#DIV/0!</v>
      </c>
      <c r="AS34" s="76">
        <f>AM34</f>
        <v>0</v>
      </c>
      <c r="AT34" s="80">
        <f>IFERROR(AP34,IFERROR(AR34,AS34))</f>
        <v>0</v>
      </c>
    </row>
    <row r="35" spans="1:47" x14ac:dyDescent="0.25">
      <c r="A35" s="101"/>
      <c r="T35" s="89">
        <f>SUM(T32:T34)</f>
        <v>-0.86</v>
      </c>
      <c r="V35" s="82">
        <f>SUM(V32:V34)</f>
        <v>-0.86</v>
      </c>
      <c r="W35" s="84" t="str">
        <f>CONCATENATE("m'(",Q33,")=")</f>
        <v>m'(0.5)=</v>
      </c>
      <c r="X35" s="84">
        <f>(2*(X32^2)/24*V35)</f>
        <v>-5.8050000000000004E-2</v>
      </c>
      <c r="Y35" s="84" t="str">
        <f>CONCATENATE("M(",Q32,")=")</f>
        <v>M(0)=</v>
      </c>
      <c r="Z35" s="84">
        <f>VLOOKUP(Q32,STN_TABLE,4,FALSE)</f>
        <v>0</v>
      </c>
      <c r="AA35" t="str">
        <f>CONCATENATE("M(",Q33,")=")</f>
        <v>M(0.5)=</v>
      </c>
      <c r="AB35">
        <f>X35+Z35</f>
        <v>-5.8050000000000004E-2</v>
      </c>
      <c r="AE35" s="89">
        <f>SUM(AE33:AE34)</f>
        <v>0</v>
      </c>
      <c r="AG35" s="89">
        <f>SUM(AG33:AG34)</f>
        <v>0</v>
      </c>
      <c r="AH35" s="84" t="str">
        <f>CONCATENATE("m'(",AD34,")=")</f>
        <v>m'(0.5)=</v>
      </c>
      <c r="AI35" s="84">
        <f>(2*(AI32^2)/6*AG35)+(AI34*AD33*WLS)</f>
        <v>0</v>
      </c>
      <c r="AJ35" s="84" t="str">
        <f>CONCATENATE("M(",AD33,")=")</f>
        <v>M(0)=</v>
      </c>
      <c r="AK35" s="84">
        <f>VLOOKUP(AD33,STN_TABLE,4,FALSE)</f>
        <v>0</v>
      </c>
      <c r="AL35" t="str">
        <f>CONCATENATE("M(",AD34,")=")</f>
        <v>M(0.5)=</v>
      </c>
      <c r="AM35">
        <f>AI35+AK35</f>
        <v>0</v>
      </c>
      <c r="AO35" s="82" t="str">
        <f>AA35</f>
        <v>M(0.5)=</v>
      </c>
      <c r="AP35" s="88" t="e">
        <f>VLOOKUP(AO35,Rise_Results,2,FALSE)</f>
        <v>#N/A</v>
      </c>
      <c r="AQ35" s="82" t="s">
        <v>117</v>
      </c>
      <c r="AR35" s="82" t="e">
        <f>IF(OR(AB34&lt;=0,AB35&lt;=0),1/0,AB35)</f>
        <v>#DIV/0!</v>
      </c>
      <c r="AS35" s="82">
        <f>AM35</f>
        <v>0</v>
      </c>
      <c r="AT35" s="80">
        <f>IFERROR(AP35,IFERROR(AR35,AS35))</f>
        <v>0</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0</v>
      </c>
      <c r="S37" s="69">
        <v>5</v>
      </c>
      <c r="T37" s="68">
        <f>R37*S37</f>
        <v>0</v>
      </c>
      <c r="U37" s="79">
        <v>3</v>
      </c>
      <c r="V37" s="68">
        <f>R37*U37</f>
        <v>0</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0</v>
      </c>
      <c r="E38" s="81">
        <v>4</v>
      </c>
      <c r="F38" s="76">
        <f>D38*E38</f>
        <v>0</v>
      </c>
      <c r="G38" s="77">
        <f>C38</f>
        <v>0.5</v>
      </c>
      <c r="H38" s="77">
        <f>F38*G38</f>
        <v>0</v>
      </c>
      <c r="I38" s="513" t="s">
        <v>97</v>
      </c>
      <c r="J38" s="513"/>
      <c r="K38" s="78" t="s">
        <v>98</v>
      </c>
      <c r="L38" s="78"/>
      <c r="M38" s="7" t="s">
        <v>99</v>
      </c>
      <c r="N38" s="7"/>
      <c r="O38" s="99">
        <f>O37+1</f>
        <v>3</v>
      </c>
      <c r="P38" s="99">
        <f t="shared" si="10"/>
        <v>1</v>
      </c>
      <c r="Q38" s="76">
        <f>P38</f>
        <v>1</v>
      </c>
      <c r="R38" s="77">
        <f>VLOOKUP(Q38,STN_TABLE,2,FALSE)</f>
        <v>0.86</v>
      </c>
      <c r="S38" s="77">
        <v>8</v>
      </c>
      <c r="T38" s="76">
        <f>R38*S38</f>
        <v>6.88</v>
      </c>
      <c r="U38" s="80">
        <v>10</v>
      </c>
      <c r="V38" s="76">
        <f>R38*U38</f>
        <v>8.6</v>
      </c>
      <c r="W38" s="513" t="s">
        <v>97</v>
      </c>
      <c r="X38" s="513"/>
      <c r="Y38" s="513" t="s">
        <v>98</v>
      </c>
      <c r="Z38" s="513"/>
      <c r="AA38" s="511" t="s">
        <v>99</v>
      </c>
      <c r="AB38" s="511"/>
      <c r="AC38" s="99">
        <f>AC33+1</f>
        <v>2</v>
      </c>
      <c r="AD38" s="95">
        <f>VLOOKUP(AC38,STN_TABLE_2,2,FALSE)</f>
        <v>0.5</v>
      </c>
      <c r="AE38" s="68">
        <f>VLOOKUP(AD38,STN_TABLE,2,FALSE)</f>
        <v>0</v>
      </c>
      <c r="AF38" s="68">
        <v>1</v>
      </c>
      <c r="AG38" s="69">
        <f>AE38*AF38</f>
        <v>0</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0.86</v>
      </c>
      <c r="E39" s="92">
        <v>1</v>
      </c>
      <c r="F39" s="82">
        <f>D39*E39</f>
        <v>0.86</v>
      </c>
      <c r="G39" s="83">
        <f>C39</f>
        <v>1</v>
      </c>
      <c r="H39" s="83">
        <f>F39*G39</f>
        <v>0.86</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1.29</v>
      </c>
      <c r="S39" s="83">
        <v>-1</v>
      </c>
      <c r="T39" s="82">
        <f>R39*S39</f>
        <v>-1.29</v>
      </c>
      <c r="U39" s="88">
        <v>-1</v>
      </c>
      <c r="V39" s="82">
        <f>R39*U39</f>
        <v>-1.29</v>
      </c>
      <c r="W39" s="84" t="str">
        <f>CONCATENATE("a'(",Q38,")=")</f>
        <v>a'(1)=</v>
      </c>
      <c r="X39" s="84">
        <f>2*X37/12*T40</f>
        <v>0.83849999999999991</v>
      </c>
      <c r="Y39" s="84" t="str">
        <f>CONCATENATE("A(",Q37,")=")</f>
        <v>A(0.5)=</v>
      </c>
      <c r="Z39" s="84">
        <f>VLOOKUP(Q37,STN_TABLE,3,FALSE)</f>
        <v>0</v>
      </c>
      <c r="AA39" t="str">
        <f>CONCATENATE("A(",Q38,")=")</f>
        <v>A(1)=</v>
      </c>
      <c r="AB39">
        <f>X39+Z39</f>
        <v>0.83849999999999991</v>
      </c>
      <c r="AC39" s="99">
        <f>AC38+1</f>
        <v>3</v>
      </c>
      <c r="AD39" s="100">
        <f>VLOOKUP(AC39,STN_TABLE_2,2,FALSE)</f>
        <v>1</v>
      </c>
      <c r="AE39" s="82">
        <f>VLOOKUP(AD39,STN_TABLE,2,FALSE)</f>
        <v>0.86</v>
      </c>
      <c r="AF39" s="82">
        <v>2</v>
      </c>
      <c r="AG39" s="83">
        <f>AE39*AF39</f>
        <v>1.72</v>
      </c>
      <c r="AH39" s="84" t="str">
        <f>CONCATENATE("a'(",AD39,")=")</f>
        <v>a'(1)=</v>
      </c>
      <c r="AI39" s="84">
        <f>2*AI37/2*AE40</f>
        <v>0.77400000000000002</v>
      </c>
      <c r="AJ39" s="84" t="str">
        <f>CONCATENATE("A(",AD38,")=")</f>
        <v>A(0.5)=</v>
      </c>
      <c r="AK39" s="84">
        <f>VLOOKUP(AD38,STN_TABLE,3,FALSE)</f>
        <v>0</v>
      </c>
      <c r="AL39" t="str">
        <f>CONCATENATE("A(",AD39,")=")</f>
        <v>A(1)=</v>
      </c>
      <c r="AM39">
        <f>AI39+AK39</f>
        <v>0.77400000000000002</v>
      </c>
      <c r="AO39" s="68" t="str">
        <f>AA39</f>
        <v>A(1)=</v>
      </c>
      <c r="AP39" s="68">
        <f>VLOOKUP(AO39,Rise_Results,2,FALSE)</f>
        <v>0.68799999999999994</v>
      </c>
      <c r="AQ39" s="76" t="e">
        <f>N39</f>
        <v>#VALUE!</v>
      </c>
      <c r="AR39" s="76">
        <f>IF(OR(AB39&lt;=0,AB40&lt;=0),1/0,AB39)</f>
        <v>0.83849999999999991</v>
      </c>
      <c r="AS39" s="76">
        <f>AM39</f>
        <v>0.77400000000000002</v>
      </c>
      <c r="AT39">
        <f>IFERROR(AP39,IFERROR(AQ39,IFERROR(AR39,AS39)))</f>
        <v>0.68799999999999994</v>
      </c>
    </row>
    <row r="40" spans="1:47" x14ac:dyDescent="0.25">
      <c r="A40">
        <v>4</v>
      </c>
      <c r="F40" s="82">
        <f>SUM(F37:F39)</f>
        <v>0.86</v>
      </c>
      <c r="H40" s="82">
        <f>SUM(H37:H39)</f>
        <v>0.86</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5.59</v>
      </c>
      <c r="V40" s="82">
        <f>SUM(V37:V39)</f>
        <v>7.31</v>
      </c>
      <c r="W40" s="84" t="str">
        <f>CONCATENATE("m'(",Q38,")=")</f>
        <v>m'(1)=</v>
      </c>
      <c r="X40" s="84">
        <f>(2*(X37^2)/24*V40)+(X39*Q37*WLS)</f>
        <v>1.248075</v>
      </c>
      <c r="Y40" s="84" t="str">
        <f>CONCATENATE("M(",Q37,")=")</f>
        <v>M(0.5)=</v>
      </c>
      <c r="Z40" s="84">
        <f>VLOOKUP(Q37,STN_TABLE,4,FALSE)</f>
        <v>0</v>
      </c>
      <c r="AA40" t="str">
        <f>CONCATENATE("M(",Q38,")=")</f>
        <v>M(1)=</v>
      </c>
      <c r="AB40">
        <f>X40+Z40</f>
        <v>1.248075</v>
      </c>
      <c r="AE40" s="89">
        <f>SUM(AE38:AE39)</f>
        <v>0.86</v>
      </c>
      <c r="AG40" s="89">
        <f>SUM(AG38:AG39)</f>
        <v>1.72</v>
      </c>
      <c r="AH40" s="84" t="str">
        <f>CONCATENATE("m'(",AD39,")=")</f>
        <v>m'(1)=</v>
      </c>
      <c r="AI40" s="84">
        <f>(2*(AI37^2)/6*AG40)+(AI39*AD38*WLS)</f>
        <v>1.161</v>
      </c>
      <c r="AJ40" s="84" t="str">
        <f>CONCATENATE("M(",AD38,")=")</f>
        <v>M(0.5)=</v>
      </c>
      <c r="AK40" s="84">
        <f>VLOOKUP(AD38,STN_TABLE,4,FALSE)</f>
        <v>0</v>
      </c>
      <c r="AL40" t="str">
        <f>CONCATENATE("M(",AD39,")=")</f>
        <v>M(1)=</v>
      </c>
      <c r="AM40">
        <f>AI40+AK40</f>
        <v>1.161</v>
      </c>
      <c r="AO40" s="82" t="str">
        <f>AA40</f>
        <v>M(1)=</v>
      </c>
      <c r="AP40" s="82">
        <f>VLOOKUP(AO40,Rise_Results,2,FALSE)</f>
        <v>1.0549333333333333</v>
      </c>
      <c r="AQ40" s="82" t="e">
        <f>N40</f>
        <v>#VALUE!</v>
      </c>
      <c r="AR40" s="82">
        <f>IF(OR(AB39&lt;=0,AB40&lt;=0),1/0,AB40)</f>
        <v>1.248075</v>
      </c>
      <c r="AS40" s="82">
        <f>AM40</f>
        <v>1.161</v>
      </c>
      <c r="AT40">
        <f>IFERROR(AP40,IFERROR(AQ40,IFERROR(AR40,AS40)))</f>
        <v>1.0549333333333333</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0</v>
      </c>
      <c r="E42" s="102">
        <v>1</v>
      </c>
      <c r="F42" s="68">
        <f>D42*E42</f>
        <v>0</v>
      </c>
      <c r="G42" s="69">
        <f>C42</f>
        <v>0.5</v>
      </c>
      <c r="H42" s="69">
        <f>F42*G42</f>
        <v>0</v>
      </c>
      <c r="I42" s="6" t="s">
        <v>93</v>
      </c>
      <c r="J42" s="70" t="str">
        <f>IF(OR(D42=0,D43=0,D44=0),"#NA",IF(AND(C44-C43=C43-C42,C43&lt;&gt;C44,C42&lt;&gt;C43,C42&lt;&gt;C44,D44&lt;&gt;0,OR(D42&lt;&gt;0,D43&lt;&gt;0)),WLS*(C44-C43),"#NA"))</f>
        <v>#NA</v>
      </c>
      <c r="O42" s="99">
        <f>O41+1</f>
        <v>3</v>
      </c>
      <c r="P42" s="99">
        <f t="shared" si="10"/>
        <v>1</v>
      </c>
      <c r="Q42" s="68">
        <f>IF(OR(P44-P43=P43-P42,P45-P43=P43-P42),P42,IF(OR(P44-P43=P43-P41,P45-P43=P43-P41),P41,"-"))</f>
        <v>1</v>
      </c>
      <c r="R42" s="69">
        <f>VLOOKUP(Q42,STN_TABLE,2,FALSE)</f>
        <v>0.86</v>
      </c>
      <c r="S42" s="69">
        <v>5</v>
      </c>
      <c r="T42" s="68">
        <f>R42*S42</f>
        <v>4.3</v>
      </c>
      <c r="U42" s="79">
        <v>3</v>
      </c>
      <c r="V42" s="68">
        <f>R42*U42</f>
        <v>2.58</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0.86</v>
      </c>
      <c r="E43" s="81">
        <v>4</v>
      </c>
      <c r="F43" s="76">
        <f>D43*E43</f>
        <v>3.44</v>
      </c>
      <c r="G43" s="77">
        <f>C43</f>
        <v>1</v>
      </c>
      <c r="H43" s="77">
        <f>F43*G43</f>
        <v>3.44</v>
      </c>
      <c r="I43" s="513" t="s">
        <v>97</v>
      </c>
      <c r="J43" s="513"/>
      <c r="K43" s="78" t="s">
        <v>98</v>
      </c>
      <c r="L43" s="78"/>
      <c r="M43" s="7" t="s">
        <v>99</v>
      </c>
      <c r="N43" s="7"/>
      <c r="O43" s="99">
        <f>O42+1</f>
        <v>4</v>
      </c>
      <c r="P43" s="99">
        <f t="shared" si="10"/>
        <v>1.5</v>
      </c>
      <c r="Q43" s="76">
        <f>P43</f>
        <v>1.5</v>
      </c>
      <c r="R43" s="77">
        <f>VLOOKUP(Q43,STN_TABLE,2,FALSE)</f>
        <v>1.29</v>
      </c>
      <c r="S43" s="77">
        <v>8</v>
      </c>
      <c r="T43" s="76">
        <f>R43*S43</f>
        <v>10.32</v>
      </c>
      <c r="U43" s="80">
        <v>10</v>
      </c>
      <c r="V43" s="76">
        <f>R43*U43</f>
        <v>12.9</v>
      </c>
      <c r="W43" s="513" t="s">
        <v>97</v>
      </c>
      <c r="X43" s="513"/>
      <c r="Y43" s="513" t="s">
        <v>98</v>
      </c>
      <c r="Z43" s="513"/>
      <c r="AA43" s="511" t="s">
        <v>99</v>
      </c>
      <c r="AB43" s="511"/>
      <c r="AC43" s="99">
        <f>AC38+1</f>
        <v>3</v>
      </c>
      <c r="AD43" s="95">
        <f>VLOOKUP(AC43,STN_TABLE_2,2,FALSE)</f>
        <v>1</v>
      </c>
      <c r="AE43" s="68">
        <f>VLOOKUP(AD43,STN_TABLE,2,FALSE)</f>
        <v>0.86</v>
      </c>
      <c r="AF43" s="68">
        <v>1</v>
      </c>
      <c r="AG43" s="69">
        <f>AE43*AF43</f>
        <v>0.86</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1.29</v>
      </c>
      <c r="E44" s="92">
        <v>1</v>
      </c>
      <c r="F44" s="82">
        <f>D44*E44</f>
        <v>1.29</v>
      </c>
      <c r="G44" s="83">
        <f>C44</f>
        <v>1.5</v>
      </c>
      <c r="H44" s="83">
        <f>F44*G44</f>
        <v>1.9350000000000001</v>
      </c>
      <c r="I44" s="84" t="str">
        <f>CONCATENATE("a'(",C44,")=")</f>
        <v>a'(1.5)=</v>
      </c>
      <c r="J44" s="84" t="e">
        <f>2*J42/3*F45</f>
        <v>#VALUE!</v>
      </c>
      <c r="K44" s="84" t="str">
        <f>CONCATENATE("A(",C42,")=")</f>
        <v>A(0.5)=</v>
      </c>
      <c r="L44" s="84">
        <f>VLOOKUP(C42,STN_TABLE,3,FALSE)</f>
        <v>0</v>
      </c>
      <c r="M44" t="str">
        <f>CONCATENATE("A(",C44,")=")</f>
        <v>A(1.5)=</v>
      </c>
      <c r="N44" t="e">
        <f>J44+L44</f>
        <v>#VALUE!</v>
      </c>
      <c r="O44" s="99">
        <f>O43+1</f>
        <v>5</v>
      </c>
      <c r="P44" s="99">
        <f t="shared" si="10"/>
        <v>2</v>
      </c>
      <c r="Q44" s="82">
        <f>IF(P44-P43=P43-P42,P44,IF(P45-P43=P43-P42,P45,IF(P44-P43=P43-P41,P44,IF(P45-P43=P43-P41,P45,"-"))))</f>
        <v>2</v>
      </c>
      <c r="R44" s="83">
        <f>VLOOKUP(Q44,STN_TABLE,2,FALSE)</f>
        <v>1.6</v>
      </c>
      <c r="S44" s="83">
        <v>-1</v>
      </c>
      <c r="T44" s="82">
        <f>R44*S44</f>
        <v>-1.6</v>
      </c>
      <c r="U44" s="88">
        <v>-1</v>
      </c>
      <c r="V44" s="82">
        <f>R44*U44</f>
        <v>-1.6</v>
      </c>
      <c r="W44" s="84" t="str">
        <f>CONCATENATE("a'(",Q43,")=")</f>
        <v>a'(1.5)=</v>
      </c>
      <c r="X44" s="84">
        <f>2*X42/12*T45</f>
        <v>1.9530000000000001</v>
      </c>
      <c r="Y44" s="84" t="str">
        <f>CONCATENATE("A(",Q42,")=")</f>
        <v>A(1)=</v>
      </c>
      <c r="Z44" s="84">
        <f>VLOOKUP(Q42,STN_TABLE,3,FALSE)</f>
        <v>0.68799999999999994</v>
      </c>
      <c r="AA44" t="str">
        <f>CONCATENATE("A(",Q43,")=")</f>
        <v>A(1.5)=</v>
      </c>
      <c r="AB44">
        <f>X44+Z44</f>
        <v>2.641</v>
      </c>
      <c r="AC44" s="99">
        <f>AC43+1</f>
        <v>4</v>
      </c>
      <c r="AD44" s="100">
        <f>VLOOKUP(AC44,STN_TABLE_2,2,FALSE)</f>
        <v>1.5</v>
      </c>
      <c r="AE44" s="82">
        <f>VLOOKUP(AD44,STN_TABLE,2,FALSE)</f>
        <v>1.29</v>
      </c>
      <c r="AF44" s="82">
        <v>2</v>
      </c>
      <c r="AG44" s="83">
        <f>AE44*AF44</f>
        <v>2.58</v>
      </c>
      <c r="AH44" s="84" t="str">
        <f>CONCATENATE("a'(",AD44,")=")</f>
        <v>a'(1.5)=</v>
      </c>
      <c r="AI44" s="84">
        <f>2*AI42/2*AE45</f>
        <v>1.9350000000000001</v>
      </c>
      <c r="AJ44" s="84" t="str">
        <f>CONCATENATE("A(",AD43,")=")</f>
        <v>A(1)=</v>
      </c>
      <c r="AK44" s="84">
        <f>VLOOKUP(AD43,STN_TABLE,3,FALSE)</f>
        <v>0.68799999999999994</v>
      </c>
      <c r="AL44" t="str">
        <f>CONCATENATE("A(",AD44,")=")</f>
        <v>A(1.5)=</v>
      </c>
      <c r="AM44">
        <f>AI44+AK44</f>
        <v>2.6230000000000002</v>
      </c>
      <c r="AO44" s="68" t="str">
        <f>AA44</f>
        <v>A(1.5)=</v>
      </c>
      <c r="AP44" s="68">
        <f>VLOOKUP(AO44,Rise_Results,2,FALSE)</f>
        <v>2.641</v>
      </c>
      <c r="AQ44" s="76" t="e">
        <f>N44</f>
        <v>#VALUE!</v>
      </c>
      <c r="AR44" s="76">
        <f>IF(OR(AB44&lt;=0,AB45&lt;=0),1/0,AB44)</f>
        <v>2.641</v>
      </c>
      <c r="AS44" s="76">
        <f>AM44</f>
        <v>2.6230000000000002</v>
      </c>
      <c r="AT44">
        <f>IFERROR(AP44,IFERROR(AQ44,IFERROR(AR44,AS44)))</f>
        <v>2.641</v>
      </c>
      <c r="AU44" s="81"/>
    </row>
    <row r="45" spans="1:47" x14ac:dyDescent="0.25">
      <c r="A45" s="94">
        <f>A44+1</f>
        <v>4</v>
      </c>
      <c r="B45" s="94">
        <f t="shared" si="11"/>
        <v>1.5</v>
      </c>
      <c r="F45" s="82">
        <f>SUM(F42:F44)</f>
        <v>4.7300000000000004</v>
      </c>
      <c r="H45" s="82">
        <f>SUM(H42:H44)</f>
        <v>5.375</v>
      </c>
      <c r="I45" s="84" t="str">
        <f>CONCATENATE("m'(",C44,")=")</f>
        <v>m'(1.5)=</v>
      </c>
      <c r="J45" s="84" t="e">
        <f>2*(J42*(WLS))/3*H45</f>
        <v>#VALUE!</v>
      </c>
      <c r="K45" s="84" t="str">
        <f>CONCATENATE("M(",C42,")=")</f>
        <v>M(0.5)=</v>
      </c>
      <c r="L45" s="84">
        <f>VLOOKUP(C42,STN_TABLE,4,FALSE)</f>
        <v>0</v>
      </c>
      <c r="M45" t="str">
        <f>CONCATENATE("M(",C44,")=")</f>
        <v>M(1.5)=</v>
      </c>
      <c r="N45" t="e">
        <f>J45+L45</f>
        <v>#VALUE!</v>
      </c>
      <c r="O45" s="99">
        <f>O44+1</f>
        <v>6</v>
      </c>
      <c r="P45" s="99">
        <f t="shared" si="10"/>
        <v>3</v>
      </c>
      <c r="T45" s="89">
        <f>SUM(T42:T44)</f>
        <v>13.020000000000001</v>
      </c>
      <c r="V45" s="82">
        <f>SUM(V42:V44)</f>
        <v>13.88</v>
      </c>
      <c r="W45" s="84" t="str">
        <f>CONCATENATE("m'(",Q43,")=")</f>
        <v>m'(1.5)=</v>
      </c>
      <c r="X45" s="84">
        <f>(2*(X42^2)/24*V45)+(X44*Q42*WLS)</f>
        <v>4.4523000000000001</v>
      </c>
      <c r="Y45" s="84" t="str">
        <f>CONCATENATE("M(",Q42,")=")</f>
        <v>M(1)=</v>
      </c>
      <c r="Z45" s="84">
        <f>VLOOKUP(Q42,STN_TABLE,4,FALSE)</f>
        <v>1.0549333333333333</v>
      </c>
      <c r="AA45" t="str">
        <f>CONCATENATE("M(",Q43,")=")</f>
        <v>M(1.5)=</v>
      </c>
      <c r="AB45">
        <f>X45+Z45</f>
        <v>5.5072333333333336</v>
      </c>
      <c r="AE45" s="89">
        <f>SUM(AE43:AE44)</f>
        <v>2.15</v>
      </c>
      <c r="AG45" s="89">
        <f>SUM(AG43:AG44)</f>
        <v>3.44</v>
      </c>
      <c r="AH45" s="84" t="str">
        <f>CONCATENATE("m'(",AD44,")=")</f>
        <v>m'(1.5)=</v>
      </c>
      <c r="AI45" s="84">
        <f>(2*(AI42^2)/6*AG45)+(AI44*AD43*WLS)</f>
        <v>4.4118000000000004</v>
      </c>
      <c r="AJ45" s="84" t="str">
        <f>CONCATENATE("M(",AD43,")=")</f>
        <v>M(1)=</v>
      </c>
      <c r="AK45" s="84">
        <f>VLOOKUP(AD43,STN_TABLE,4,FALSE)</f>
        <v>1.0549333333333333</v>
      </c>
      <c r="AL45" t="str">
        <f>CONCATENATE("M(",AD44,")=")</f>
        <v>M(1.5)=</v>
      </c>
      <c r="AM45">
        <f>AI45+AK45</f>
        <v>5.4667333333333339</v>
      </c>
      <c r="AO45" s="82" t="str">
        <f>AA45</f>
        <v>M(1.5)=</v>
      </c>
      <c r="AP45" s="82">
        <f>VLOOKUP(AO45,Rise_Results,2,FALSE)</f>
        <v>5.5072333333333336</v>
      </c>
      <c r="AQ45" s="82" t="e">
        <f>N45</f>
        <v>#VALUE!</v>
      </c>
      <c r="AR45" s="82">
        <f>IF(OR(AB44&lt;=0,AB45&lt;=0),1/0,AB45)</f>
        <v>5.5072333333333336</v>
      </c>
      <c r="AS45" s="82">
        <f>AM45</f>
        <v>5.4667333333333339</v>
      </c>
      <c r="AT45">
        <f>IFERROR(AP45,IFERROR(AQ45,IFERROR(AR45,AS45)))</f>
        <v>5.5072333333333336</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0.86</v>
      </c>
      <c r="E47" s="102">
        <v>1</v>
      </c>
      <c r="F47" s="68">
        <f>D47*E47</f>
        <v>0.86</v>
      </c>
      <c r="G47" s="69">
        <f>C47</f>
        <v>1</v>
      </c>
      <c r="H47" s="69">
        <f>F47*G47</f>
        <v>0.86</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0.86</v>
      </c>
      <c r="S47" s="69">
        <v>5</v>
      </c>
      <c r="T47" s="68">
        <f>R47*S47</f>
        <v>4.3</v>
      </c>
      <c r="U47" s="79">
        <v>3</v>
      </c>
      <c r="V47" s="68">
        <f>R47*U47</f>
        <v>2.58</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1.29</v>
      </c>
      <c r="E48" s="81">
        <v>4</v>
      </c>
      <c r="F48" s="76">
        <f>D48*E48</f>
        <v>5.16</v>
      </c>
      <c r="G48" s="77">
        <f>C48</f>
        <v>1.5</v>
      </c>
      <c r="H48" s="77">
        <f>F48*G48</f>
        <v>7.74</v>
      </c>
      <c r="I48" s="513" t="s">
        <v>97</v>
      </c>
      <c r="J48" s="513"/>
      <c r="K48" s="78" t="s">
        <v>98</v>
      </c>
      <c r="L48" s="78"/>
      <c r="M48" s="7" t="s">
        <v>99</v>
      </c>
      <c r="N48" s="7"/>
      <c r="O48" s="99">
        <f>O47+1</f>
        <v>5</v>
      </c>
      <c r="P48" s="99">
        <f t="shared" si="10"/>
        <v>2</v>
      </c>
      <c r="Q48" s="76">
        <f>P48</f>
        <v>2</v>
      </c>
      <c r="R48" s="77">
        <f>VLOOKUP(Q48,STN_TABLE,2,FALSE)</f>
        <v>1.6</v>
      </c>
      <c r="S48" s="77">
        <v>8</v>
      </c>
      <c r="T48" s="76">
        <f>R48*S48</f>
        <v>12.8</v>
      </c>
      <c r="U48" s="80">
        <v>10</v>
      </c>
      <c r="V48" s="76">
        <f>R48*U48</f>
        <v>16</v>
      </c>
      <c r="W48" s="513" t="s">
        <v>97</v>
      </c>
      <c r="X48" s="513"/>
      <c r="Y48" s="513" t="s">
        <v>98</v>
      </c>
      <c r="Z48" s="513"/>
      <c r="AA48" s="511" t="s">
        <v>99</v>
      </c>
      <c r="AB48" s="511"/>
      <c r="AC48" s="99">
        <f>AC43+1</f>
        <v>4</v>
      </c>
      <c r="AD48" s="95">
        <f>VLOOKUP(AC48,STN_TABLE_2,2,FALSE)</f>
        <v>1.5</v>
      </c>
      <c r="AE48" s="68">
        <f>VLOOKUP(AD48,STN_TABLE,2,FALSE)</f>
        <v>1.29</v>
      </c>
      <c r="AF48" s="68">
        <v>1</v>
      </c>
      <c r="AG48" s="69">
        <f>AE48*AF48</f>
        <v>1.29</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1.6</v>
      </c>
      <c r="E49" s="92">
        <v>1</v>
      </c>
      <c r="F49" s="82">
        <f>D49*E49</f>
        <v>1.6</v>
      </c>
      <c r="G49" s="83">
        <f>C49</f>
        <v>2</v>
      </c>
      <c r="H49" s="83">
        <f>F49*G49</f>
        <v>3.2</v>
      </c>
      <c r="I49" s="84" t="str">
        <f>CONCATENATE("a'(",C49,")=")</f>
        <v>a'(2)=</v>
      </c>
      <c r="J49" s="84">
        <f>2*J47/3*F50</f>
        <v>4.5720000000000001</v>
      </c>
      <c r="K49" s="84" t="str">
        <f>CONCATENATE("A(",C47,")=")</f>
        <v>A(1)=</v>
      </c>
      <c r="L49" s="84">
        <f>VLOOKUP(C47,STN_TABLE,3,FALSE)</f>
        <v>0.68799999999999994</v>
      </c>
      <c r="M49" t="str">
        <f>CONCATENATE("A(",C49,")=")</f>
        <v>A(2)=</v>
      </c>
      <c r="N49">
        <f>J49+L49</f>
        <v>5.26</v>
      </c>
      <c r="O49" s="99">
        <f>O48+1</f>
        <v>6</v>
      </c>
      <c r="P49" s="99">
        <f t="shared" si="10"/>
        <v>3</v>
      </c>
      <c r="Q49" s="82">
        <f>IF(P49-P48=P48-P47,P49,IF(P50-P48=P48-P47,P50,IF(P49-P48=P48-P46,P49,IF(P50-P48=P48-P46,P50,"-"))))</f>
        <v>3</v>
      </c>
      <c r="R49" s="83">
        <f>VLOOKUP(Q49,STN_TABLE,2,FALSE)</f>
        <v>1.77</v>
      </c>
      <c r="S49" s="83">
        <v>-1</v>
      </c>
      <c r="T49" s="82">
        <f>R49*S49</f>
        <v>-1.77</v>
      </c>
      <c r="U49" s="88">
        <v>-1</v>
      </c>
      <c r="V49" s="82">
        <f>R49*U49</f>
        <v>-1.77</v>
      </c>
      <c r="W49" s="84" t="str">
        <f>CONCATENATE("a'(",Q48,")=")</f>
        <v>a'(2)=</v>
      </c>
      <c r="X49" s="84">
        <f>2*X47/12*T50</f>
        <v>4.5990000000000002</v>
      </c>
      <c r="Y49" s="84" t="str">
        <f>CONCATENATE("A(",Q47,")=")</f>
        <v>A(1)=</v>
      </c>
      <c r="Z49" s="84">
        <f>VLOOKUP(Q47,STN_TABLE,3,FALSE)</f>
        <v>0.68799999999999994</v>
      </c>
      <c r="AA49" t="str">
        <f>CONCATENATE("A(",Q48,")=")</f>
        <v>A(2)=</v>
      </c>
      <c r="AB49">
        <f>X49+Z49</f>
        <v>5.2869999999999999</v>
      </c>
      <c r="AC49" s="99">
        <f>AC48+1</f>
        <v>5</v>
      </c>
      <c r="AD49" s="100">
        <f>VLOOKUP(AC49,STN_TABLE_2,2,FALSE)</f>
        <v>2</v>
      </c>
      <c r="AE49" s="82">
        <f>VLOOKUP(AD49,STN_TABLE,2,FALSE)</f>
        <v>1.6</v>
      </c>
      <c r="AF49" s="82">
        <v>2</v>
      </c>
      <c r="AG49" s="83">
        <f>AE49*AF49</f>
        <v>3.2</v>
      </c>
      <c r="AH49" s="84" t="str">
        <f>CONCATENATE("a'(",AD49,")=")</f>
        <v>a'(2)=</v>
      </c>
      <c r="AI49" s="84">
        <f>2*AI47/2*AE50</f>
        <v>2.601</v>
      </c>
      <c r="AJ49" s="84" t="str">
        <f>CONCATENATE("A(",AD48,")=")</f>
        <v>A(1.5)=</v>
      </c>
      <c r="AK49" s="84">
        <f>VLOOKUP(AD48,STN_TABLE,3,FALSE)</f>
        <v>2.641</v>
      </c>
      <c r="AL49" t="str">
        <f>CONCATENATE("A(",AD49,")=")</f>
        <v>A(2)=</v>
      </c>
      <c r="AM49">
        <f>AI49+AK49</f>
        <v>5.242</v>
      </c>
      <c r="AO49" s="68" t="str">
        <f>AA49</f>
        <v>A(2)=</v>
      </c>
      <c r="AP49" s="68">
        <f>VLOOKUP(AO49,Rise_Results,2,FALSE)</f>
        <v>5.26</v>
      </c>
      <c r="AQ49" s="76">
        <f>N49</f>
        <v>5.26</v>
      </c>
      <c r="AR49" s="76">
        <f>IF(OR(AB49&lt;=0,AB50&lt;=0),1/0,AB49)</f>
        <v>5.2869999999999999</v>
      </c>
      <c r="AS49" s="76">
        <f>AM49</f>
        <v>5.242</v>
      </c>
      <c r="AT49">
        <f>IFERROR(AP49,IFERROR(AQ49,IFERROR(AR49,AS49)))</f>
        <v>5.26</v>
      </c>
      <c r="AU49" s="81"/>
    </row>
    <row r="50" spans="1:47" x14ac:dyDescent="0.25">
      <c r="A50" s="84">
        <f>A49+1</f>
        <v>5</v>
      </c>
      <c r="B50" s="84">
        <f t="shared" si="11"/>
        <v>2</v>
      </c>
      <c r="F50" s="82">
        <f>SUM(F47:F49)</f>
        <v>7.620000000000001</v>
      </c>
      <c r="H50" s="82">
        <f>SUM(H47:H49)</f>
        <v>11.8</v>
      </c>
      <c r="I50" s="84" t="str">
        <f>CONCATENATE("m'(",C49,")=")</f>
        <v>m'(2)=</v>
      </c>
      <c r="J50" s="84">
        <f>2*(J47*(WLS))/3*H50</f>
        <v>12.744000000000002</v>
      </c>
      <c r="K50" s="84" t="str">
        <f>CONCATENATE("M(",C47,")=")</f>
        <v>M(1)=</v>
      </c>
      <c r="L50" s="84">
        <f>VLOOKUP(C47,STN_TABLE,4,FALSE)</f>
        <v>1.0549333333333333</v>
      </c>
      <c r="M50" t="str">
        <f>CONCATENATE("M(",C49,")=")</f>
        <v>M(2)=</v>
      </c>
      <c r="N50">
        <f>J50+L50</f>
        <v>13.798933333333334</v>
      </c>
      <c r="O50" s="99">
        <f>O49+1</f>
        <v>7</v>
      </c>
      <c r="P50" s="99">
        <f t="shared" si="10"/>
        <v>4</v>
      </c>
      <c r="T50" s="89">
        <f>SUM(T47:T49)</f>
        <v>15.330000000000002</v>
      </c>
      <c r="V50" s="82">
        <f>SUM(V47:V49)</f>
        <v>16.809999999999999</v>
      </c>
      <c r="W50" s="84" t="str">
        <f>CONCATENATE("m'(",Q48,")=")</f>
        <v>m'(2)=</v>
      </c>
      <c r="X50" s="84">
        <f>(2*(X47^2)/24*V50)+(X49*Q47*WLS)</f>
        <v>12.8169</v>
      </c>
      <c r="Y50" s="84" t="str">
        <f>CONCATENATE("M(",Q47,")=")</f>
        <v>M(1)=</v>
      </c>
      <c r="Z50" s="84">
        <f>VLOOKUP(Q47,STN_TABLE,4,FALSE)</f>
        <v>1.0549333333333333</v>
      </c>
      <c r="AA50" t="str">
        <f>CONCATENATE("M(",Q48,")=")</f>
        <v>M(2)=</v>
      </c>
      <c r="AB50">
        <f>X50+Z50</f>
        <v>13.871833333333333</v>
      </c>
      <c r="AE50" s="89">
        <f>SUM(AE48:AE49)</f>
        <v>2.89</v>
      </c>
      <c r="AG50" s="89">
        <f>SUM(AG48:AG49)</f>
        <v>4.49</v>
      </c>
      <c r="AH50" s="84" t="str">
        <f>CONCATENATE("m'(",AD49,")=")</f>
        <v>m'(2)=</v>
      </c>
      <c r="AI50" s="84">
        <f>(2*(AI47^2)/6*AG50)+(AI49*AD48*WLS)</f>
        <v>8.2350000000000012</v>
      </c>
      <c r="AJ50" s="84" t="str">
        <f>CONCATENATE("M(",AD48,")=")</f>
        <v>M(1.5)=</v>
      </c>
      <c r="AK50" s="84">
        <f>VLOOKUP(AD48,STN_TABLE,4,FALSE)</f>
        <v>5.5072333333333336</v>
      </c>
      <c r="AL50" t="str">
        <f>CONCATENATE("M(",AD49,")=")</f>
        <v>M(2)=</v>
      </c>
      <c r="AM50">
        <f>AI50+AK50</f>
        <v>13.742233333333335</v>
      </c>
      <c r="AO50" s="82" t="str">
        <f>AA50</f>
        <v>M(2)=</v>
      </c>
      <c r="AP50" s="82">
        <f>VLOOKUP(AO50,Rise_Results,2,FALSE)</f>
        <v>13.798933333333334</v>
      </c>
      <c r="AQ50" s="82">
        <f>N50</f>
        <v>13.798933333333334</v>
      </c>
      <c r="AR50" s="82">
        <f>IF(OR(AB49&lt;=0,AB50&lt;=0),1/0,AB50)</f>
        <v>13.871833333333333</v>
      </c>
      <c r="AS50" s="82">
        <f>AM50</f>
        <v>13.742233333333335</v>
      </c>
      <c r="AT50">
        <f>IFERROR(AP50,IFERROR(AQ50,IFERROR(AR50,AS50)))</f>
        <v>13.798933333333334</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0.86</v>
      </c>
      <c r="E52" s="102">
        <v>1</v>
      </c>
      <c r="F52" s="68">
        <f>D52*E52</f>
        <v>0.86</v>
      </c>
      <c r="G52" s="69">
        <f>C52</f>
        <v>1</v>
      </c>
      <c r="H52" s="69">
        <f>F52*G52</f>
        <v>0.86</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1.6</v>
      </c>
      <c r="S52" s="69">
        <v>5</v>
      </c>
      <c r="T52" s="68">
        <f>R52*S52</f>
        <v>8</v>
      </c>
      <c r="U52" s="79">
        <v>3</v>
      </c>
      <c r="V52" s="68">
        <f>R52*U52</f>
        <v>4.8000000000000007</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1.6</v>
      </c>
      <c r="E53" s="81">
        <v>4</v>
      </c>
      <c r="F53" s="76">
        <f>D53*E53</f>
        <v>6.4</v>
      </c>
      <c r="G53" s="77">
        <f>C53</f>
        <v>2</v>
      </c>
      <c r="H53" s="77">
        <f>F53*G53</f>
        <v>12.8</v>
      </c>
      <c r="I53" s="512" t="s">
        <v>97</v>
      </c>
      <c r="J53" s="513"/>
      <c r="K53" s="78" t="s">
        <v>98</v>
      </c>
      <c r="L53" s="78"/>
      <c r="M53" s="7" t="s">
        <v>99</v>
      </c>
      <c r="N53" s="7"/>
      <c r="O53" s="99">
        <f>O52+1</f>
        <v>6</v>
      </c>
      <c r="P53" s="99">
        <f t="shared" si="10"/>
        <v>3</v>
      </c>
      <c r="Q53" s="76">
        <f>P53</f>
        <v>3</v>
      </c>
      <c r="R53" s="77">
        <f>VLOOKUP(Q53,STN_TABLE,2,FALSE)</f>
        <v>1.77</v>
      </c>
      <c r="S53" s="77">
        <v>8</v>
      </c>
      <c r="T53" s="76">
        <f>R53*S53</f>
        <v>14.16</v>
      </c>
      <c r="U53" s="80">
        <v>10</v>
      </c>
      <c r="V53" s="76">
        <f>R53*U53</f>
        <v>17.7</v>
      </c>
      <c r="W53" s="513" t="s">
        <v>97</v>
      </c>
      <c r="X53" s="513"/>
      <c r="Y53" s="513" t="s">
        <v>98</v>
      </c>
      <c r="Z53" s="513"/>
      <c r="AA53" s="511" t="s">
        <v>99</v>
      </c>
      <c r="AB53" s="511"/>
      <c r="AC53" s="99">
        <f>AC48+1</f>
        <v>5</v>
      </c>
      <c r="AD53" s="95">
        <f>VLOOKUP(AC53,STN_TABLE_2,2,FALSE)</f>
        <v>2</v>
      </c>
      <c r="AE53" s="68">
        <f>VLOOKUP(AD53,STN_TABLE,2,FALSE)</f>
        <v>1.6</v>
      </c>
      <c r="AF53" s="68">
        <v>1</v>
      </c>
      <c r="AG53" s="69">
        <f>AE53*AF53</f>
        <v>1.6</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1.77</v>
      </c>
      <c r="E54" s="92">
        <v>1</v>
      </c>
      <c r="F54" s="82">
        <f>D54*E54</f>
        <v>1.77</v>
      </c>
      <c r="G54" s="83">
        <f>C54</f>
        <v>3</v>
      </c>
      <c r="H54" s="83">
        <f>F54*G54</f>
        <v>5.3100000000000005</v>
      </c>
      <c r="I54" s="84" t="str">
        <f>CONCATENATE("a'(",C54,")=")</f>
        <v>a'(3)=</v>
      </c>
      <c r="J54" s="84">
        <f>2*J52/3*F55</f>
        <v>10.836</v>
      </c>
      <c r="K54" s="84" t="str">
        <f>CONCATENATE("A(",C52,")=")</f>
        <v>A(1)=</v>
      </c>
      <c r="L54" s="84">
        <f>VLOOKUP(C52,STN_TABLE,3,FALSE)</f>
        <v>0.68799999999999994</v>
      </c>
      <c r="M54" t="str">
        <f>CONCATENATE("A(",C54,")=")</f>
        <v>A(3)=</v>
      </c>
      <c r="N54">
        <f>J54+L54</f>
        <v>11.524000000000001</v>
      </c>
      <c r="O54" s="99">
        <f>O53+1</f>
        <v>7</v>
      </c>
      <c r="P54" s="99">
        <f t="shared" si="10"/>
        <v>4</v>
      </c>
      <c r="Q54" s="82">
        <f>IF(P54-P53=P53-P52,P54,IF(P55-P53=P53-P52,P55,IF(P54-P53=P53-P51,P54,IF(P55-P53=P53-P51,P55,"-"))))</f>
        <v>4</v>
      </c>
      <c r="R54" s="83">
        <f>VLOOKUP(Q54,STN_TABLE,2,FALSE)</f>
        <v>1.31</v>
      </c>
      <c r="S54" s="83">
        <v>-1</v>
      </c>
      <c r="T54" s="82">
        <f>R54*S54</f>
        <v>-1.31</v>
      </c>
      <c r="U54" s="88">
        <v>-1</v>
      </c>
      <c r="V54" s="82">
        <f>R54*U54</f>
        <v>-1.31</v>
      </c>
      <c r="W54" s="84" t="str">
        <f>CONCATENATE("a'(",Q53,")=")</f>
        <v>a'(3)=</v>
      </c>
      <c r="X54" s="84">
        <f>2*X52/12*T55</f>
        <v>6.2549999999999999</v>
      </c>
      <c r="Y54" s="84" t="str">
        <f>CONCATENATE("A(",Q52,")=")</f>
        <v>A(2)=</v>
      </c>
      <c r="Z54" s="84">
        <f>VLOOKUP(Q52,STN_TABLE,3,FALSE)</f>
        <v>5.26</v>
      </c>
      <c r="AA54" t="str">
        <f>CONCATENATE("A(",Q53,")=")</f>
        <v>A(3)=</v>
      </c>
      <c r="AB54">
        <f>X54+Z54</f>
        <v>11.515000000000001</v>
      </c>
      <c r="AC54" s="99">
        <f>AC53+1</f>
        <v>6</v>
      </c>
      <c r="AD54" s="100">
        <f>VLOOKUP(AC54,STN_TABLE_2,2,FALSE)</f>
        <v>3</v>
      </c>
      <c r="AE54" s="82">
        <f>VLOOKUP(AD54,STN_TABLE,2,FALSE)</f>
        <v>1.77</v>
      </c>
      <c r="AF54" s="82">
        <v>2</v>
      </c>
      <c r="AG54" s="83">
        <f>AE54*AF54</f>
        <v>3.54</v>
      </c>
      <c r="AH54" s="84" t="str">
        <f>CONCATENATE("a'(",AD54,")=")</f>
        <v>a'(3)=</v>
      </c>
      <c r="AI54" s="84">
        <f>2*AI52/2*AE55</f>
        <v>6.0660000000000007</v>
      </c>
      <c r="AJ54" s="84" t="str">
        <f>CONCATENATE("A(",AD53,")=")</f>
        <v>A(2)=</v>
      </c>
      <c r="AK54" s="84">
        <f>VLOOKUP(AD53,STN_TABLE,3,FALSE)</f>
        <v>5.26</v>
      </c>
      <c r="AL54" t="str">
        <f>CONCATENATE("A(",AD54,")=")</f>
        <v>A(3)=</v>
      </c>
      <c r="AM54">
        <f>AI54+AK54</f>
        <v>11.326000000000001</v>
      </c>
      <c r="AO54" s="68" t="str">
        <f>AA54</f>
        <v>A(3)=</v>
      </c>
      <c r="AP54" s="68">
        <f>VLOOKUP(AO54,Rise_Results,2,FALSE)</f>
        <v>11.524000000000001</v>
      </c>
      <c r="AQ54" s="76">
        <f>N54</f>
        <v>11.524000000000001</v>
      </c>
      <c r="AR54" s="76">
        <f>IF(OR(AB54&lt;=0,AB55&lt;=0),1/0,AB54)</f>
        <v>11.515000000000001</v>
      </c>
      <c r="AS54" s="76">
        <f>AM54</f>
        <v>11.326000000000001</v>
      </c>
      <c r="AT54">
        <f>IFERROR(AP54,IFERROR(AQ54,IFERROR(AR54,AS54)))</f>
        <v>11.524000000000001</v>
      </c>
      <c r="AU54" s="81"/>
    </row>
    <row r="55" spans="1:47" x14ac:dyDescent="0.25">
      <c r="A55" s="84">
        <f>A54+1</f>
        <v>6</v>
      </c>
      <c r="B55" s="84">
        <f t="shared" si="11"/>
        <v>3</v>
      </c>
      <c r="F55" s="82">
        <f>SUM(F52:F54)</f>
        <v>9.0300000000000011</v>
      </c>
      <c r="H55" s="82">
        <f>SUM(H52:H54)</f>
        <v>18.97</v>
      </c>
      <c r="I55" s="84" t="str">
        <f>CONCATENATE("m'(",C54,")=")</f>
        <v>m'(3)=</v>
      </c>
      <c r="J55" s="84">
        <f>2*(J52*(WLS))/3*H55</f>
        <v>40.975200000000001</v>
      </c>
      <c r="K55" s="84" t="str">
        <f>CONCATENATE("M(",C52,")=")</f>
        <v>M(1)=</v>
      </c>
      <c r="L55" s="84">
        <f>VLOOKUP(C52,STN_TABLE,4,FALSE)</f>
        <v>1.0549333333333333</v>
      </c>
      <c r="M55" t="str">
        <f>CONCATENATE("M(",C54,")=")</f>
        <v>M(3)=</v>
      </c>
      <c r="N55">
        <f>J55+L55</f>
        <v>42.030133333333332</v>
      </c>
      <c r="O55" s="99">
        <f>O54+1</f>
        <v>8</v>
      </c>
      <c r="P55" s="99">
        <f t="shared" si="10"/>
        <v>5</v>
      </c>
      <c r="T55" s="89">
        <f>SUM(T52:T54)</f>
        <v>20.85</v>
      </c>
      <c r="V55" s="82">
        <f>SUM(V52:V54)</f>
        <v>21.19</v>
      </c>
      <c r="W55" s="84" t="str">
        <f>CONCATENATE("m'(",Q53,")=")</f>
        <v>m'(3)=</v>
      </c>
      <c r="X55" s="84">
        <f>(2*(X52^2)/24*V55)+(X54*Q52*WLS)</f>
        <v>28.2393</v>
      </c>
      <c r="Y55" s="84" t="str">
        <f>CONCATENATE("M(",Q52,")=")</f>
        <v>M(2)=</v>
      </c>
      <c r="Z55" s="84">
        <f>VLOOKUP(Q52,STN_TABLE,4,FALSE)</f>
        <v>13.798933333333334</v>
      </c>
      <c r="AA55" t="str">
        <f>CONCATENATE("M(",Q53,")=")</f>
        <v>M(3)=</v>
      </c>
      <c r="AB55">
        <f>X55+Z55</f>
        <v>42.038233333333338</v>
      </c>
      <c r="AE55" s="89">
        <f>SUM(AE53:AE54)</f>
        <v>3.37</v>
      </c>
      <c r="AG55" s="89">
        <f>SUM(AG53:AG54)</f>
        <v>5.1400000000000006</v>
      </c>
      <c r="AH55" s="84" t="str">
        <f>CONCATENATE("m'(",AD54,")=")</f>
        <v>m'(3)=</v>
      </c>
      <c r="AI55" s="84">
        <f>(2*(AI52^2)/6*AG55)+(AI54*AD53*WLS)</f>
        <v>27.388800000000003</v>
      </c>
      <c r="AJ55" s="84" t="str">
        <f>CONCATENATE("M(",AD53,")=")</f>
        <v>M(2)=</v>
      </c>
      <c r="AK55" s="84">
        <f>VLOOKUP(AD53,STN_TABLE,4,FALSE)</f>
        <v>13.798933333333334</v>
      </c>
      <c r="AL55" t="str">
        <f>CONCATENATE("M(",AD54,")=")</f>
        <v>M(3)=</v>
      </c>
      <c r="AM55">
        <f>AI55+AK55</f>
        <v>41.187733333333341</v>
      </c>
      <c r="AO55" s="82" t="str">
        <f>AA55</f>
        <v>M(3)=</v>
      </c>
      <c r="AP55" s="82">
        <f>VLOOKUP(AO55,Rise_Results,2,FALSE)</f>
        <v>42.030133333333332</v>
      </c>
      <c r="AQ55" s="82">
        <f>N55</f>
        <v>42.030133333333332</v>
      </c>
      <c r="AR55" s="82">
        <f>IF(OR(AB54&lt;=0,AB55&lt;=0),1/0,AB55)</f>
        <v>42.038233333333338</v>
      </c>
      <c r="AS55" s="82">
        <f>AM55</f>
        <v>41.187733333333341</v>
      </c>
      <c r="AT55">
        <f>IFERROR(AP55,IFERROR(AQ55,IFERROR(AR55,AS55)))</f>
        <v>42.030133333333332</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1.6</v>
      </c>
      <c r="E57" s="102">
        <v>1</v>
      </c>
      <c r="F57" s="68">
        <f>D57*E57</f>
        <v>1.6</v>
      </c>
      <c r="G57" s="69">
        <f>C57</f>
        <v>2</v>
      </c>
      <c r="H57" s="69">
        <f>F57*G57</f>
        <v>3.2</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1.77</v>
      </c>
      <c r="S57" s="69">
        <v>5</v>
      </c>
      <c r="T57" s="68">
        <f>R57*S57</f>
        <v>8.85</v>
      </c>
      <c r="U57" s="79">
        <v>3</v>
      </c>
      <c r="V57" s="68">
        <f>R57*U57</f>
        <v>5.3100000000000005</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1.77</v>
      </c>
      <c r="E58" s="81">
        <v>4</v>
      </c>
      <c r="F58" s="76">
        <f>D58*E58</f>
        <v>7.08</v>
      </c>
      <c r="G58" s="77">
        <f>C58</f>
        <v>3</v>
      </c>
      <c r="H58" s="77">
        <f>F58*G58</f>
        <v>21.240000000000002</v>
      </c>
      <c r="I58" s="512" t="s">
        <v>97</v>
      </c>
      <c r="J58" s="513"/>
      <c r="K58" s="78" t="s">
        <v>98</v>
      </c>
      <c r="L58" s="78"/>
      <c r="M58" s="7" t="s">
        <v>99</v>
      </c>
      <c r="N58" s="7"/>
      <c r="O58" s="99">
        <f>O57+1</f>
        <v>7</v>
      </c>
      <c r="P58" s="99">
        <f t="shared" si="10"/>
        <v>4</v>
      </c>
      <c r="Q58" s="76">
        <f>P58</f>
        <v>4</v>
      </c>
      <c r="R58" s="77">
        <f>VLOOKUP(Q58,STN_TABLE,2,FALSE)</f>
        <v>1.31</v>
      </c>
      <c r="S58" s="77">
        <v>8</v>
      </c>
      <c r="T58" s="76">
        <f>R58*S58</f>
        <v>10.48</v>
      </c>
      <c r="U58" s="80">
        <v>10</v>
      </c>
      <c r="V58" s="76">
        <f>R58*U58</f>
        <v>13.100000000000001</v>
      </c>
      <c r="W58" s="78" t="s">
        <v>97</v>
      </c>
      <c r="X58" s="78"/>
      <c r="Y58" s="78" t="s">
        <v>98</v>
      </c>
      <c r="Z58" s="78"/>
      <c r="AA58" s="7" t="s">
        <v>99</v>
      </c>
      <c r="AB58" s="7"/>
      <c r="AC58" s="99">
        <f>AC53+1</f>
        <v>6</v>
      </c>
      <c r="AD58" s="95">
        <f>VLOOKUP(AC58,STN_TABLE_2,2,FALSE)</f>
        <v>3</v>
      </c>
      <c r="AE58" s="68">
        <f>VLOOKUP(AD58,STN_TABLE,2,FALSE)</f>
        <v>1.77</v>
      </c>
      <c r="AF58" s="68">
        <v>1</v>
      </c>
      <c r="AG58" s="69">
        <f>AE58*AF58</f>
        <v>1.77</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1.31</v>
      </c>
      <c r="E59" s="92">
        <v>1</v>
      </c>
      <c r="F59" s="82">
        <f>D59*E59</f>
        <v>1.31</v>
      </c>
      <c r="G59" s="83">
        <f>C59</f>
        <v>4</v>
      </c>
      <c r="H59" s="83">
        <f>F59*G59</f>
        <v>5.24</v>
      </c>
      <c r="I59" s="84" t="str">
        <f>CONCATENATE("a'(",C59,")=")</f>
        <v>a'(4)=</v>
      </c>
      <c r="J59" s="84">
        <f>2*J57/3*F60</f>
        <v>11.988</v>
      </c>
      <c r="K59" s="84" t="str">
        <f>CONCATENATE("A(",C57,")=")</f>
        <v>A(2)=</v>
      </c>
      <c r="L59" s="84">
        <f>VLOOKUP(C57,STN_TABLE,3,FALSE)</f>
        <v>5.26</v>
      </c>
      <c r="M59" t="str">
        <f>CONCATENATE("A(",C59,")=")</f>
        <v>A(4)=</v>
      </c>
      <c r="N59">
        <f>J59+L59</f>
        <v>17.247999999999998</v>
      </c>
      <c r="O59" s="99">
        <f>O58+1</f>
        <v>8</v>
      </c>
      <c r="P59" s="99">
        <f t="shared" si="10"/>
        <v>5</v>
      </c>
      <c r="Q59" s="82">
        <f>IF(P59-P58=P58-P57,P59,IF(P60-P58=P58-P57,P60,IF(P59-P58=P58-P56,P59,IF(P60-P58=P58-P56,P60,"-"))))</f>
        <v>5</v>
      </c>
      <c r="R59" s="83">
        <f>VLOOKUP(Q59,STN_TABLE,2,FALSE)</f>
        <v>1</v>
      </c>
      <c r="S59" s="83">
        <v>-1</v>
      </c>
      <c r="T59" s="82">
        <f>R59*S59</f>
        <v>-1</v>
      </c>
      <c r="U59" s="88">
        <v>-1</v>
      </c>
      <c r="V59" s="82">
        <f>R59*U59</f>
        <v>-1</v>
      </c>
      <c r="W59" s="84" t="str">
        <f>CONCATENATE("a'(",Q58,")=")</f>
        <v>a'(4)=</v>
      </c>
      <c r="X59" s="84">
        <f>2*X57/12*T60</f>
        <v>5.4989999999999997</v>
      </c>
      <c r="Y59" s="84" t="str">
        <f>CONCATENATE("A(",Q57,")=")</f>
        <v>A(3)=</v>
      </c>
      <c r="Z59" s="84">
        <f>VLOOKUP(Q57,STN_TABLE,3,FALSE)</f>
        <v>11.524000000000001</v>
      </c>
      <c r="AA59" t="str">
        <f>CONCATENATE("A(",Q58,")=")</f>
        <v>A(4)=</v>
      </c>
      <c r="AB59">
        <f>X59+Z59</f>
        <v>17.023</v>
      </c>
      <c r="AC59" s="99">
        <f>AC58+1</f>
        <v>7</v>
      </c>
      <c r="AD59" s="100">
        <f>VLOOKUP(AC59,STN_TABLE_2,2,FALSE)</f>
        <v>4</v>
      </c>
      <c r="AE59" s="82">
        <f>VLOOKUP(AD59,STN_TABLE,2,FALSE)</f>
        <v>1.31</v>
      </c>
      <c r="AF59" s="82">
        <v>2</v>
      </c>
      <c r="AG59" s="83">
        <f>AE59*AF59</f>
        <v>2.62</v>
      </c>
      <c r="AH59" s="84" t="str">
        <f>CONCATENATE("a'(",AD59,")=")</f>
        <v>a'(4)=</v>
      </c>
      <c r="AI59" s="84">
        <f>2*AI57/2*AE60</f>
        <v>5.5440000000000005</v>
      </c>
      <c r="AJ59" s="84" t="str">
        <f>CONCATENATE("A(",AD58,")=")</f>
        <v>A(3)=</v>
      </c>
      <c r="AK59" s="84">
        <f>VLOOKUP(AD58,STN_TABLE,3,FALSE)</f>
        <v>11.524000000000001</v>
      </c>
      <c r="AL59" t="str">
        <f>CONCATENATE("A(",AD59,")=")</f>
        <v>A(4)=</v>
      </c>
      <c r="AM59">
        <f>AI59+AK59</f>
        <v>17.068000000000001</v>
      </c>
      <c r="AO59" s="68" t="str">
        <f>AA59</f>
        <v>A(4)=</v>
      </c>
      <c r="AP59" s="68" t="e">
        <f>VLOOKUP(AO59,Rise_Results,2,FALSE)</f>
        <v>#N/A</v>
      </c>
      <c r="AQ59" s="76">
        <f>N59</f>
        <v>17.247999999999998</v>
      </c>
      <c r="AR59" s="76">
        <f>IF(OR(AB59&lt;=0,AB60&lt;=0),1/0,AB59)</f>
        <v>17.023</v>
      </c>
      <c r="AS59" s="76">
        <f>AM59</f>
        <v>17.068000000000001</v>
      </c>
      <c r="AT59">
        <f>IFERROR(AP59,IFERROR(AQ59,IFERROR(AR59,AS59)))</f>
        <v>17.247999999999998</v>
      </c>
      <c r="AU59" s="81"/>
    </row>
    <row r="60" spans="1:47" x14ac:dyDescent="0.25">
      <c r="A60" s="84">
        <f>A59+1</f>
        <v>7</v>
      </c>
      <c r="B60" s="84">
        <f t="shared" si="11"/>
        <v>4</v>
      </c>
      <c r="F60" s="82">
        <f>SUM(F57:F59)</f>
        <v>9.99</v>
      </c>
      <c r="H60" s="82">
        <f>SUM(H57:H59)</f>
        <v>29.68</v>
      </c>
      <c r="I60" s="84" t="str">
        <f>CONCATENATE("m'(",C59,")=")</f>
        <v>m'(4)=</v>
      </c>
      <c r="J60" s="84">
        <f>2*(J57*(WLS))/3*H60</f>
        <v>64.108800000000002</v>
      </c>
      <c r="K60" s="84" t="str">
        <f>CONCATENATE("M(",C57,")=")</f>
        <v>M(2)=</v>
      </c>
      <c r="L60" s="84">
        <f>VLOOKUP(C57,STN_TABLE,4,FALSE)</f>
        <v>13.798933333333334</v>
      </c>
      <c r="M60" t="str">
        <f>CONCATENATE("M(",C59,")=")</f>
        <v>M(4)=</v>
      </c>
      <c r="N60">
        <f>J60+L60</f>
        <v>77.90773333333334</v>
      </c>
      <c r="O60" s="99">
        <f>O59+1</f>
        <v>9</v>
      </c>
      <c r="P60" s="99">
        <f t="shared" si="10"/>
        <v>5.6111111111111107</v>
      </c>
      <c r="T60" s="89">
        <f>SUM(T57:T59)</f>
        <v>18.329999999999998</v>
      </c>
      <c r="V60" s="82">
        <f>SUM(V57:V59)</f>
        <v>17.410000000000004</v>
      </c>
      <c r="W60" s="84" t="str">
        <f>CONCATENATE("m'(",Q58,")=")</f>
        <v>m'(4)=</v>
      </c>
      <c r="X60" s="84">
        <f>(2*(X57^2)/24*V60)+(X59*Q57*WLS)</f>
        <v>34.395300000000006</v>
      </c>
      <c r="Y60" s="84" t="str">
        <f>CONCATENATE("M(",Q57,")=")</f>
        <v>M(3)=</v>
      </c>
      <c r="Z60" s="84">
        <f>VLOOKUP(Q57,STN_TABLE,4,FALSE)</f>
        <v>42.030133333333332</v>
      </c>
      <c r="AA60" t="str">
        <f>CONCATENATE("M(",Q58,")=")</f>
        <v>M(4)=</v>
      </c>
      <c r="AB60">
        <f>X60+Z60</f>
        <v>76.425433333333331</v>
      </c>
      <c r="AE60" s="89">
        <f>SUM(AE58:AE59)</f>
        <v>3.08</v>
      </c>
      <c r="AG60" s="89">
        <f>SUM(AG58:AG59)</f>
        <v>4.3900000000000006</v>
      </c>
      <c r="AH60" s="84" t="str">
        <f>CONCATENATE("m'(",AD59,")=")</f>
        <v>m'(4)=</v>
      </c>
      <c r="AI60" s="84">
        <f>(2*(AI57^2)/6*AG60)+(AI59*AD58*WLS)</f>
        <v>34.678800000000003</v>
      </c>
      <c r="AJ60" s="84" t="str">
        <f>CONCATENATE("M(",AD58,")=")</f>
        <v>M(3)=</v>
      </c>
      <c r="AK60" s="84">
        <f>VLOOKUP(AD57,STN_TABLE,4,FALSE)</f>
        <v>0</v>
      </c>
      <c r="AL60" t="str">
        <f>CONCATENATE("M(",AD59,")=")</f>
        <v>M(4)=</v>
      </c>
      <c r="AM60">
        <f>AI60+AK60</f>
        <v>34.678800000000003</v>
      </c>
      <c r="AO60" s="82" t="str">
        <f>AA60</f>
        <v>M(4)=</v>
      </c>
      <c r="AP60" s="82" t="e">
        <f>VLOOKUP(AO60,Rise_Results,2,FALSE)</f>
        <v>#N/A</v>
      </c>
      <c r="AQ60" s="82">
        <f>N60</f>
        <v>77.90773333333334</v>
      </c>
      <c r="AR60" s="82">
        <f>IF(OR(AB59&lt;=0,AB60&lt;=0),1/0,AB60)</f>
        <v>76.425433333333331</v>
      </c>
      <c r="AS60" s="82">
        <f>AM60</f>
        <v>34.678800000000003</v>
      </c>
      <c r="AT60">
        <f>IFERROR(AP60,IFERROR(AQ60,IFERROR(AR60,AS60)))</f>
        <v>77.90773333333334</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1.77</v>
      </c>
      <c r="E62" s="102">
        <v>1</v>
      </c>
      <c r="F62" s="68">
        <f>D62*E62</f>
        <v>1.77</v>
      </c>
      <c r="G62" s="69">
        <f>C62</f>
        <v>3</v>
      </c>
      <c r="H62" s="69">
        <f>F62*G62</f>
        <v>5.3100000000000005</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1.31</v>
      </c>
      <c r="S62" s="69">
        <v>5</v>
      </c>
      <c r="T62" s="68">
        <f>R62*S62</f>
        <v>6.5500000000000007</v>
      </c>
      <c r="U62" s="79">
        <v>3</v>
      </c>
      <c r="V62" s="68">
        <f>R62*U62</f>
        <v>3.93</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1.31</v>
      </c>
      <c r="E63" s="81">
        <v>4</v>
      </c>
      <c r="F63" s="76">
        <f>D63*E63</f>
        <v>5.24</v>
      </c>
      <c r="G63" s="77">
        <f>C63</f>
        <v>4</v>
      </c>
      <c r="H63" s="77">
        <f>F63*G63</f>
        <v>20.96</v>
      </c>
      <c r="I63" s="512" t="s">
        <v>97</v>
      </c>
      <c r="J63" s="513"/>
      <c r="K63" s="78" t="s">
        <v>98</v>
      </c>
      <c r="L63" s="78"/>
      <c r="M63" s="7" t="s">
        <v>99</v>
      </c>
      <c r="N63" s="7"/>
      <c r="O63" s="99">
        <f>O62+1</f>
        <v>8</v>
      </c>
      <c r="P63" s="99">
        <f t="shared" si="10"/>
        <v>5</v>
      </c>
      <c r="Q63" s="76">
        <f>P63</f>
        <v>5</v>
      </c>
      <c r="R63" s="77">
        <f>VLOOKUP(Q63,STN_TABLE,2,FALSE)</f>
        <v>1</v>
      </c>
      <c r="S63" s="77">
        <v>8</v>
      </c>
      <c r="T63" s="76">
        <f>R63*S63</f>
        <v>8</v>
      </c>
      <c r="U63" s="80">
        <v>10</v>
      </c>
      <c r="V63" s="76">
        <f>R63*U63</f>
        <v>10</v>
      </c>
      <c r="W63" s="513" t="s">
        <v>97</v>
      </c>
      <c r="X63" s="513"/>
      <c r="Y63" s="513" t="s">
        <v>98</v>
      </c>
      <c r="Z63" s="513"/>
      <c r="AA63" s="511" t="s">
        <v>99</v>
      </c>
      <c r="AB63" s="511"/>
      <c r="AC63" s="99">
        <f>AC58+1</f>
        <v>7</v>
      </c>
      <c r="AD63" s="95">
        <f>VLOOKUP(AC63,STN_TABLE_2,2,FALSE)</f>
        <v>4</v>
      </c>
      <c r="AE63" s="68">
        <f>VLOOKUP(AD63,STN_TABLE,2,FALSE)</f>
        <v>1.31</v>
      </c>
      <c r="AF63" s="68">
        <v>1</v>
      </c>
      <c r="AG63" s="69">
        <f>AE63*AF63</f>
        <v>1.31</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v>
      </c>
      <c r="E64" s="92">
        <v>1</v>
      </c>
      <c r="F64" s="82">
        <f>D64*E64</f>
        <v>1</v>
      </c>
      <c r="G64" s="83">
        <f>C64</f>
        <v>5</v>
      </c>
      <c r="H64" s="83">
        <f>F64*G64</f>
        <v>5</v>
      </c>
      <c r="I64" s="84" t="str">
        <f>CONCATENATE("a'(",C64,")=")</f>
        <v>a'(5)=</v>
      </c>
      <c r="J64" s="84">
        <f>2*J62/3*F65</f>
        <v>9.6120000000000001</v>
      </c>
      <c r="K64" s="84" t="str">
        <f>CONCATENATE("A(",C62,")=")</f>
        <v>A(3)=</v>
      </c>
      <c r="L64" s="84">
        <f>VLOOKUP(C62,STN_TABLE,3,FALSE)</f>
        <v>11.524000000000001</v>
      </c>
      <c r="M64" t="str">
        <f>CONCATENATE("A(",C64,")=")</f>
        <v>A(5)=</v>
      </c>
      <c r="N64">
        <f>J64+L64</f>
        <v>21.136000000000003</v>
      </c>
      <c r="O64" s="99">
        <f>O63+1</f>
        <v>9</v>
      </c>
      <c r="P64" s="99">
        <f t="shared" si="10"/>
        <v>5.6111111111111107</v>
      </c>
      <c r="Q64" s="82">
        <f>IF(P64-P63=P63-P62,P64,IF(P65-P63=P63-P62,P65,IF(P64-P63=P63-P61,P64,IF(P65-P63=P63-P61,P65,"-"))))</f>
        <v>6</v>
      </c>
      <c r="R64" s="83">
        <f>VLOOKUP(Q64,STN_TABLE,2,FALSE)</f>
        <v>1.74</v>
      </c>
      <c r="S64" s="83">
        <v>-1</v>
      </c>
      <c r="T64" s="82">
        <f>R64*S64</f>
        <v>-1.74</v>
      </c>
      <c r="U64" s="88">
        <v>-1</v>
      </c>
      <c r="V64" s="82">
        <f>R64*U64</f>
        <v>-1.74</v>
      </c>
      <c r="W64" s="84" t="str">
        <f>CONCATENATE("a'(",Q63,")=")</f>
        <v>a'(5)=</v>
      </c>
      <c r="X64" s="84">
        <f>2*X62/12*T65</f>
        <v>3.843</v>
      </c>
      <c r="Y64" s="84" t="str">
        <f>CONCATENATE("A(",Q62,")=")</f>
        <v>A(4)=</v>
      </c>
      <c r="Z64" s="84">
        <f>VLOOKUP(Q62,STN_TABLE,3,FALSE)</f>
        <v>17.247999999999998</v>
      </c>
      <c r="AA64" t="str">
        <f>CONCATENATE("A(",Q63,")=")</f>
        <v>A(5)=</v>
      </c>
      <c r="AB64">
        <f>X64+Z64</f>
        <v>21.090999999999998</v>
      </c>
      <c r="AC64" s="99">
        <f>AC63+1</f>
        <v>8</v>
      </c>
      <c r="AD64" s="100">
        <f>VLOOKUP(AC64,STN_TABLE_2,2,FALSE)</f>
        <v>5</v>
      </c>
      <c r="AE64" s="82">
        <f>VLOOKUP(AD64,STN_TABLE,2,FALSE)</f>
        <v>1</v>
      </c>
      <c r="AF64" s="82">
        <v>2</v>
      </c>
      <c r="AG64" s="83">
        <f>AE64*AF64</f>
        <v>2</v>
      </c>
      <c r="AH64" s="84" t="str">
        <f>CONCATENATE("a'(",AD64,")=")</f>
        <v>a'(5)=</v>
      </c>
      <c r="AI64" s="84">
        <f>2*AI62/2*AE65</f>
        <v>4.1580000000000004</v>
      </c>
      <c r="AJ64" s="84" t="str">
        <f>CONCATENATE("A(",AD63,")=")</f>
        <v>A(4)=</v>
      </c>
      <c r="AK64" s="84">
        <f>VLOOKUP(AD63,STN_TABLE,3,FALSE)</f>
        <v>17.247999999999998</v>
      </c>
      <c r="AL64" t="str">
        <f>CONCATENATE("A(",AD64,")=")</f>
        <v>A(5)=</v>
      </c>
      <c r="AM64">
        <f>AI64+AK64</f>
        <v>21.405999999999999</v>
      </c>
      <c r="AO64" s="68" t="str">
        <f>AA64</f>
        <v>A(5)=</v>
      </c>
      <c r="AP64" s="68" t="e">
        <f>VLOOKUP(AO64,Rise_Results,2,FALSE)</f>
        <v>#N/A</v>
      </c>
      <c r="AQ64" s="76">
        <f>N64</f>
        <v>21.136000000000003</v>
      </c>
      <c r="AR64" s="76">
        <f>IF(OR(AB64&lt;=0,AB65&lt;=0),1/0,AB64)</f>
        <v>21.090999999999998</v>
      </c>
      <c r="AS64" s="76">
        <f>AM64</f>
        <v>21.405999999999999</v>
      </c>
      <c r="AT64">
        <f>IFERROR(AP64,IFERROR(AQ64,IFERROR(AR64,AS64)))</f>
        <v>21.136000000000003</v>
      </c>
      <c r="AU64" s="81"/>
    </row>
    <row r="65" spans="1:47" x14ac:dyDescent="0.25">
      <c r="A65" s="84">
        <f>A64+1</f>
        <v>8</v>
      </c>
      <c r="B65" s="84">
        <f t="shared" si="11"/>
        <v>5</v>
      </c>
      <c r="F65" s="82">
        <f>SUM(F62:F64)</f>
        <v>8.01</v>
      </c>
      <c r="H65" s="82">
        <f>SUM(H62:H64)</f>
        <v>31.270000000000003</v>
      </c>
      <c r="I65" s="84" t="str">
        <f>CONCATENATE("m'(",C64,")=")</f>
        <v>m'(5)=</v>
      </c>
      <c r="J65" s="84">
        <f>2*(J62*(WLS))/3*H65</f>
        <v>67.543200000000013</v>
      </c>
      <c r="K65" s="84" t="str">
        <f>CONCATENATE("M(",C62,")=")</f>
        <v>M(3)=</v>
      </c>
      <c r="L65" s="84">
        <f>VLOOKUP(C62,STN_TABLE,4,FALSE)</f>
        <v>42.030133333333332</v>
      </c>
      <c r="M65" t="str">
        <f>CONCATENATE("M(",C64,")=")</f>
        <v>M(5)=</v>
      </c>
      <c r="N65">
        <f>J65+L65</f>
        <v>109.57333333333335</v>
      </c>
      <c r="O65" s="99">
        <f>O64+1</f>
        <v>10</v>
      </c>
      <c r="P65" s="99">
        <f t="shared" si="10"/>
        <v>6</v>
      </c>
      <c r="T65" s="89">
        <f>SUM(T62:T64)</f>
        <v>12.81</v>
      </c>
      <c r="V65" s="82">
        <f>SUM(V62:V64)</f>
        <v>12.19</v>
      </c>
      <c r="W65" s="84" t="str">
        <f>CONCATENATE("m'(",Q63,")=")</f>
        <v>m'(5)=</v>
      </c>
      <c r="X65" s="84">
        <f>(2*(X62^2)/24*V65)+(X64*Q62*WLS)</f>
        <v>30.960899999999999</v>
      </c>
      <c r="Y65" s="84" t="str">
        <f>CONCATENATE("M(",Q62,")=")</f>
        <v>M(4)=</v>
      </c>
      <c r="Z65" s="84">
        <f>VLOOKUP(Q62,STN_TABLE,4,FALSE)</f>
        <v>77.90773333333334</v>
      </c>
      <c r="AA65" t="str">
        <f>CONCATENATE("M(",Q63,")=")</f>
        <v>M(5)=</v>
      </c>
      <c r="AB65">
        <f>X65+Z65</f>
        <v>108.86863333333334</v>
      </c>
      <c r="AE65" s="89">
        <f>SUM(AE63:AE64)</f>
        <v>2.31</v>
      </c>
      <c r="AG65" s="89">
        <f>SUM(AG63:AG64)</f>
        <v>3.31</v>
      </c>
      <c r="AH65" s="84" t="str">
        <f>CONCATENATE("m'(",AD64,")=")</f>
        <v>m'(5)=</v>
      </c>
      <c r="AI65" s="84">
        <f>(2*(AI62^2)/6*AG65)+(AI64*AD63*WLS)</f>
        <v>33.512400000000007</v>
      </c>
      <c r="AJ65" s="84" t="str">
        <f>CONCATENATE("M(",AD63,")=")</f>
        <v>M(4)=</v>
      </c>
      <c r="AK65" s="84">
        <f>VLOOKUP(AD63,STN_TABLE,4,FALSE)</f>
        <v>77.90773333333334</v>
      </c>
      <c r="AL65" t="str">
        <f>CONCATENATE("M(",AD64,")=")</f>
        <v>M(5)=</v>
      </c>
      <c r="AM65">
        <f>AI65+AK65</f>
        <v>111.42013333333335</v>
      </c>
      <c r="AO65" s="82" t="str">
        <f>AA65</f>
        <v>M(5)=</v>
      </c>
      <c r="AP65" s="82" t="e">
        <f>VLOOKUP(AO65,Rise_Results,2,FALSE)</f>
        <v>#N/A</v>
      </c>
      <c r="AQ65" s="82">
        <f>N65</f>
        <v>109.57333333333335</v>
      </c>
      <c r="AR65" s="82">
        <f>IF(OR(AB64&lt;=0,AB65&lt;=0),1/0,AB65)</f>
        <v>108.86863333333334</v>
      </c>
      <c r="AS65" s="82">
        <f>AM65</f>
        <v>111.42013333333335</v>
      </c>
      <c r="AT65">
        <f>IFERROR(AP65,IFERROR(AQ65,IFERROR(AR65,AS65)))</f>
        <v>109.57333333333335</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1.44</v>
      </c>
      <c r="S68" s="77">
        <v>8</v>
      </c>
      <c r="T68" s="76">
        <f>R68*S68</f>
        <v>11.52</v>
      </c>
      <c r="U68" s="80">
        <v>10</v>
      </c>
      <c r="V68" s="76">
        <f>R68*U68</f>
        <v>14.399999999999999</v>
      </c>
      <c r="W68" s="513" t="s">
        <v>97</v>
      </c>
      <c r="X68" s="513"/>
      <c r="Y68" s="513" t="s">
        <v>98</v>
      </c>
      <c r="Z68" s="513"/>
      <c r="AA68" s="511" t="s">
        <v>99</v>
      </c>
      <c r="AB68" s="511"/>
      <c r="AC68" s="99">
        <f>AC63+1</f>
        <v>8</v>
      </c>
      <c r="AD68" s="95">
        <f>VLOOKUP(AC68,STN_TABLE_2,2,FALSE)</f>
        <v>5</v>
      </c>
      <c r="AE68" s="68">
        <f>VLOOKUP(AD68,STN_TABLE,2,FALSE)</f>
        <v>1</v>
      </c>
      <c r="AF68" s="68">
        <v>1</v>
      </c>
      <c r="AG68" s="69">
        <f>AE68*AF68</f>
        <v>1</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1.44</v>
      </c>
      <c r="E69" s="92">
        <v>1</v>
      </c>
      <c r="F69" s="82">
        <f>D69*E69</f>
        <v>1.44</v>
      </c>
      <c r="G69" s="83">
        <f>C69</f>
        <v>5.6111111111111107</v>
      </c>
      <c r="H69" s="83">
        <f>F69*G69</f>
        <v>8.0799999999999983</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1.44</v>
      </c>
      <c r="AF69" s="82">
        <v>2</v>
      </c>
      <c r="AG69" s="83">
        <f>AE69*AF69</f>
        <v>2.88</v>
      </c>
      <c r="AH69" s="84" t="str">
        <f>CONCATENATE("a'(",AD69,")=")</f>
        <v>a'(5.61111111111111)=</v>
      </c>
      <c r="AI69" s="84">
        <f>2*AI67/2*AE70</f>
        <v>2.6839999999999984</v>
      </c>
      <c r="AJ69" s="84" t="str">
        <f>CONCATENATE("A(",AD68,")=")</f>
        <v>A(5)=</v>
      </c>
      <c r="AK69" s="84">
        <f>VLOOKUP(AD68,STN_TABLE,3,FALSE)</f>
        <v>21.136000000000003</v>
      </c>
      <c r="AL69" t="str">
        <f>CONCATENATE("A(",AD69,")=")</f>
        <v>A(5.61111111111111)=</v>
      </c>
      <c r="AM69">
        <f>AI69+AK69</f>
        <v>23.82</v>
      </c>
      <c r="AO69" s="68" t="str">
        <f>AA69</f>
        <v>A(5.61111111111111)=</v>
      </c>
      <c r="AP69" s="68" t="e">
        <f>VLOOKUP(AO69,Rise_Results,2,FALSE)</f>
        <v>#N/A</v>
      </c>
      <c r="AQ69" s="76" t="e">
        <f>N69</f>
        <v>#N/A</v>
      </c>
      <c r="AR69" s="76" t="e">
        <f>IF(OR(AB69&lt;=0,AB70&lt;=0),1/0,AB69)</f>
        <v>#VALUE!</v>
      </c>
      <c r="AS69" s="76">
        <f>AM69</f>
        <v>23.82</v>
      </c>
      <c r="AT69">
        <f>IFERROR(AP69,IFERROR(AQ69,IFERROR(AR69,AS69)))</f>
        <v>23.82</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2.44</v>
      </c>
      <c r="AG70" s="89">
        <f>SUM(AG68:AG69)</f>
        <v>3.88</v>
      </c>
      <c r="AH70" s="84" t="str">
        <f>CONCATENATE("m'(",AD69,")=")</f>
        <v>m'(5.61111111111111)=</v>
      </c>
      <c r="AI70" s="84">
        <f>(2*(AI67^2)/6*AG70)+(AI69*AD68*WLS)</f>
        <v>25.720933333333317</v>
      </c>
      <c r="AJ70" s="84" t="str">
        <f>CONCATENATE("M(",AD68,")=")</f>
        <v>M(5)=</v>
      </c>
      <c r="AK70" s="84">
        <f>VLOOKUP(AD68,STN_TABLE,4,FALSE)</f>
        <v>109.57333333333335</v>
      </c>
      <c r="AL70" t="str">
        <f>CONCATENATE("M(",AD69,")=")</f>
        <v>M(5.61111111111111)=</v>
      </c>
      <c r="AM70">
        <f>AI70+AK70</f>
        <v>135.29426666666666</v>
      </c>
      <c r="AO70" s="82" t="str">
        <f>AA70</f>
        <v>M(5.61111111111111)=</v>
      </c>
      <c r="AP70" s="82" t="e">
        <f>VLOOKUP(AO70,Rise_Results,2,FALSE)</f>
        <v>#N/A</v>
      </c>
      <c r="AQ70" s="82" t="e">
        <f>N70</f>
        <v>#N/A</v>
      </c>
      <c r="AR70" s="82" t="e">
        <f>IF(OR(AB69&lt;=0,AB70&lt;=0),1/0,AB70)</f>
        <v>#VALUE!</v>
      </c>
      <c r="AS70" s="82">
        <f>AM70</f>
        <v>135.29426666666666</v>
      </c>
      <c r="AT70">
        <f>IFERROR(AP70,IFERROR(AQ70,IFERROR(AR70,AS70)))</f>
        <v>135.29426666666666</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1.31</v>
      </c>
      <c r="E72" s="102">
        <v>1</v>
      </c>
      <c r="F72" s="68">
        <f>D72*E72</f>
        <v>1.31</v>
      </c>
      <c r="G72" s="69">
        <f>C72</f>
        <v>4</v>
      </c>
      <c r="H72" s="69">
        <f>F72*G72</f>
        <v>5.24</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v>
      </c>
      <c r="S72" s="69">
        <v>5</v>
      </c>
      <c r="T72" s="68">
        <f>R72*S72</f>
        <v>5</v>
      </c>
      <c r="U72" s="79">
        <v>3</v>
      </c>
      <c r="V72" s="68">
        <f>R72*U72</f>
        <v>3</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v>
      </c>
      <c r="E73" s="81">
        <v>4</v>
      </c>
      <c r="F73" s="76">
        <f>D73*E73</f>
        <v>4</v>
      </c>
      <c r="G73" s="77">
        <f>C73</f>
        <v>5</v>
      </c>
      <c r="H73" s="77">
        <f>F73*G73</f>
        <v>20</v>
      </c>
      <c r="I73" s="512" t="s">
        <v>97</v>
      </c>
      <c r="J73" s="513"/>
      <c r="K73" s="78" t="s">
        <v>98</v>
      </c>
      <c r="L73" s="78"/>
      <c r="M73" s="7" t="s">
        <v>99</v>
      </c>
      <c r="N73" s="7"/>
      <c r="O73" s="99">
        <f>O72+1</f>
        <v>10</v>
      </c>
      <c r="P73" s="99">
        <f t="shared" si="23"/>
        <v>6</v>
      </c>
      <c r="Q73" s="76">
        <f>P73</f>
        <v>6</v>
      </c>
      <c r="R73" s="77">
        <f>VLOOKUP(Q73,STN_TABLE,2,FALSE)</f>
        <v>1.74</v>
      </c>
      <c r="S73" s="77">
        <v>8</v>
      </c>
      <c r="T73" s="76">
        <f>R73*S73</f>
        <v>13.92</v>
      </c>
      <c r="U73" s="80">
        <v>10</v>
      </c>
      <c r="V73" s="76">
        <f>R73*U73</f>
        <v>17.399999999999999</v>
      </c>
      <c r="W73" s="513" t="s">
        <v>97</v>
      </c>
      <c r="X73" s="513"/>
      <c r="Y73" s="513" t="s">
        <v>98</v>
      </c>
      <c r="Z73" s="513"/>
      <c r="AA73" s="511" t="s">
        <v>99</v>
      </c>
      <c r="AB73" s="511"/>
      <c r="AC73" s="99">
        <f>AC68+1</f>
        <v>9</v>
      </c>
      <c r="AD73" s="95">
        <f>VLOOKUP(AC73,STN_TABLE_2,2,FALSE)</f>
        <v>5.6111111111111107</v>
      </c>
      <c r="AE73" s="68">
        <f>VLOOKUP(AD73,STN_TABLE,2,FALSE)</f>
        <v>1.44</v>
      </c>
      <c r="AF73" s="68">
        <v>1</v>
      </c>
      <c r="AG73" s="69">
        <f>AE73*AF73</f>
        <v>1.44</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1.74</v>
      </c>
      <c r="E74" s="92">
        <v>1</v>
      </c>
      <c r="F74" s="82">
        <f>D74*E74</f>
        <v>1.74</v>
      </c>
      <c r="G74" s="83">
        <f>C74</f>
        <v>6</v>
      </c>
      <c r="H74" s="83">
        <f>F74*G74</f>
        <v>10.44</v>
      </c>
      <c r="I74" s="84" t="str">
        <f>CONCATENATE("a'(",C74,")=")</f>
        <v>a'(6)=</v>
      </c>
      <c r="J74" s="84">
        <f>2*J72/3*F75</f>
        <v>8.4600000000000009</v>
      </c>
      <c r="K74" s="84" t="str">
        <f>CONCATENATE("A(",C72,")=")</f>
        <v>A(4)=</v>
      </c>
      <c r="L74" s="84">
        <f>VLOOKUP(C72,STN_TABLE,3,FALSE)</f>
        <v>17.247999999999998</v>
      </c>
      <c r="M74" t="str">
        <f>CONCATENATE("A(",C74,")=")</f>
        <v>A(6)=</v>
      </c>
      <c r="N74">
        <f>J74+L74</f>
        <v>25.707999999999998</v>
      </c>
      <c r="O74" s="99">
        <f>O73+1</f>
        <v>11</v>
      </c>
      <c r="P74" s="99">
        <f t="shared" si="23"/>
        <v>7</v>
      </c>
      <c r="Q74" s="82">
        <f>IF(P74-P73=P73-P72,P74,IF(P75-P73=P73-P72,P75,IF(P74-P73=P73-P71,P74,IF(P75-P73=P73-P71,P75,"-"))))</f>
        <v>7</v>
      </c>
      <c r="R74" s="83">
        <f>VLOOKUP(Q74,STN_TABLE,2,FALSE)</f>
        <v>2.79</v>
      </c>
      <c r="S74" s="83">
        <v>-1</v>
      </c>
      <c r="T74" s="82">
        <f>R74*S74</f>
        <v>-2.79</v>
      </c>
      <c r="U74" s="88">
        <v>-1</v>
      </c>
      <c r="V74" s="82">
        <f>R74*U74</f>
        <v>-2.79</v>
      </c>
      <c r="W74" s="84" t="str">
        <f>CONCATENATE("a'(",Q73,")=")</f>
        <v>a'(6)=</v>
      </c>
      <c r="X74" s="84">
        <f>2*X72/12*T75</f>
        <v>4.8390000000000004</v>
      </c>
      <c r="Y74" s="84" t="str">
        <f>CONCATENATE("A(",Q72,")=")</f>
        <v>A(5)=</v>
      </c>
      <c r="Z74" s="84">
        <f>VLOOKUP(Q72,STN_TABLE,3,FALSE)</f>
        <v>21.136000000000003</v>
      </c>
      <c r="AA74" t="str">
        <f>CONCATENATE("A(",Q73,")=")</f>
        <v>A(6)=</v>
      </c>
      <c r="AB74">
        <f>X74+Z74</f>
        <v>25.975000000000001</v>
      </c>
      <c r="AC74" s="99">
        <f>AC73+1</f>
        <v>10</v>
      </c>
      <c r="AD74" s="100">
        <f>VLOOKUP(AC74,STN_TABLE_2,2,FALSE)</f>
        <v>6</v>
      </c>
      <c r="AE74" s="82">
        <f>VLOOKUP(AD74,STN_TABLE,2,FALSE)</f>
        <v>1.74</v>
      </c>
      <c r="AF74" s="82">
        <v>2</v>
      </c>
      <c r="AG74" s="83">
        <f>AE74*AF74</f>
        <v>3.48</v>
      </c>
      <c r="AH74" s="84" t="str">
        <f>CONCATENATE("a'(",AD74,")=")</f>
        <v>a'(6)=</v>
      </c>
      <c r="AI74" s="84">
        <f>2*AI72/2*AE75</f>
        <v>2.2260000000000022</v>
      </c>
      <c r="AJ74" s="84" t="str">
        <f>CONCATENATE("A(",AD73,")=")</f>
        <v>A(5.61111111111111)=</v>
      </c>
      <c r="AK74" s="84">
        <f>VLOOKUP(AD73,STN_TABLE,3,FALSE)</f>
        <v>23.82</v>
      </c>
      <c r="AL74" t="str">
        <f>CONCATENATE("A(",AD74,")=")</f>
        <v>A(6)=</v>
      </c>
      <c r="AM74">
        <f>AI74+AK74</f>
        <v>26.046000000000003</v>
      </c>
      <c r="AO74" s="68" t="str">
        <f>AA74</f>
        <v>A(6)=</v>
      </c>
      <c r="AP74" s="68" t="e">
        <f>VLOOKUP(AO74,Rise_Results,2,FALSE)</f>
        <v>#N/A</v>
      </c>
      <c r="AQ74" s="76">
        <f>N74</f>
        <v>25.707999999999998</v>
      </c>
      <c r="AR74" s="76">
        <f>IF(OR(AB74&lt;=0,AB75&lt;=0),1/0,AB74)</f>
        <v>25.975000000000001</v>
      </c>
      <c r="AS74" s="76">
        <f>AM74</f>
        <v>26.046000000000003</v>
      </c>
      <c r="AT74">
        <f>IFERROR(AP74,IFERROR(AQ74,IFERROR(AR74,AS74)))</f>
        <v>25.707999999999998</v>
      </c>
      <c r="AU74" s="81"/>
    </row>
    <row r="75" spans="1:47" x14ac:dyDescent="0.25">
      <c r="A75" s="84">
        <f>A74+1</f>
        <v>10</v>
      </c>
      <c r="B75" s="84">
        <f t="shared" si="27"/>
        <v>6</v>
      </c>
      <c r="F75" s="82">
        <f>SUM(F72:F74)</f>
        <v>7.0500000000000007</v>
      </c>
      <c r="H75" s="82">
        <f>SUM(H72:H74)</f>
        <v>35.68</v>
      </c>
      <c r="I75" s="84" t="str">
        <f>CONCATENATE("m'(",C74,")=")</f>
        <v>m'(6)=</v>
      </c>
      <c r="J75" s="84">
        <f>2*(J72*(WLS))/3*H75</f>
        <v>77.06880000000001</v>
      </c>
      <c r="K75" s="84" t="str">
        <f>CONCATENATE("M(",C72,")=")</f>
        <v>M(4)=</v>
      </c>
      <c r="L75" s="84">
        <f>VLOOKUP(C72,STN_TABLE,4,FALSE)</f>
        <v>77.90773333333334</v>
      </c>
      <c r="M75" t="str">
        <f>CONCATENATE("M(",C74,")=")</f>
        <v>M(6)=</v>
      </c>
      <c r="N75">
        <f>J75+L75</f>
        <v>154.97653333333335</v>
      </c>
      <c r="O75" s="99">
        <f>O74+1</f>
        <v>12</v>
      </c>
      <c r="P75" s="99">
        <f t="shared" si="23"/>
        <v>7.8833333333333329</v>
      </c>
      <c r="T75" s="89">
        <f>SUM(T72:T74)</f>
        <v>16.130000000000003</v>
      </c>
      <c r="V75" s="82">
        <f>SUM(V72:V74)</f>
        <v>17.61</v>
      </c>
      <c r="W75" s="84" t="str">
        <f>CONCATENATE("m'(",Q73,")=")</f>
        <v>m'(6)=</v>
      </c>
      <c r="X75" s="84">
        <f>(2*(X72^2)/24*V75)+(X74*Q72*WLS)</f>
        <v>48.305700000000002</v>
      </c>
      <c r="Y75" s="84" t="str">
        <f>CONCATENATE("M(",Q72,")=")</f>
        <v>M(5)=</v>
      </c>
      <c r="Z75" s="84">
        <f>VLOOKUP(Q72,STN_TABLE,4,FALSE)</f>
        <v>109.57333333333335</v>
      </c>
      <c r="AA75" t="str">
        <f>CONCATENATE("M(",Q73,")=")</f>
        <v>M(6)=</v>
      </c>
      <c r="AB75">
        <f>X75+Z75</f>
        <v>157.87903333333335</v>
      </c>
      <c r="AE75" s="89">
        <f>SUM(AE73:AE74)</f>
        <v>3.1799999999999997</v>
      </c>
      <c r="AG75" s="89">
        <f>SUM(AG73:AG74)</f>
        <v>4.92</v>
      </c>
      <c r="AH75" s="84" t="str">
        <f>CONCATENATE("m'(",AD74,")=")</f>
        <v>m'(6)=</v>
      </c>
      <c r="AI75" s="84">
        <f>(2*(AI72^2)/6*AG75)+(AI74*AD73*WLS)</f>
        <v>23.286200000000022</v>
      </c>
      <c r="AJ75" s="84" t="str">
        <f>CONCATENATE("M(",AD73,")=")</f>
        <v>M(5.61111111111111)=</v>
      </c>
      <c r="AK75" s="84">
        <f>VLOOKUP(AD73,STN_TABLE,4,FALSE)</f>
        <v>135.29426666666666</v>
      </c>
      <c r="AL75" t="str">
        <f>CONCATENATE("M(",AD74,")=")</f>
        <v>M(6)=</v>
      </c>
      <c r="AM75">
        <f>AI75+AK75</f>
        <v>158.58046666666667</v>
      </c>
      <c r="AO75" s="82" t="str">
        <f>AA75</f>
        <v>M(6)=</v>
      </c>
      <c r="AP75" s="82" t="e">
        <f>VLOOKUP(AO75,Rise_Results,2,FALSE)</f>
        <v>#N/A</v>
      </c>
      <c r="AQ75" s="82">
        <f>N75</f>
        <v>154.97653333333335</v>
      </c>
      <c r="AR75" s="82">
        <f>IF(OR(AB74&lt;=0,AB75&lt;=0),1/0,AB75)</f>
        <v>157.87903333333335</v>
      </c>
      <c r="AS75" s="82">
        <f>AM75</f>
        <v>158.58046666666667</v>
      </c>
      <c r="AT75">
        <f>IFERROR(AP75,IFERROR(AQ75,IFERROR(AR75,AS75)))</f>
        <v>154.97653333333335</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v>
      </c>
      <c r="E77" s="102">
        <v>1</v>
      </c>
      <c r="F77" s="68">
        <f>D77*E77</f>
        <v>1</v>
      </c>
      <c r="G77" s="69">
        <f>C77</f>
        <v>5</v>
      </c>
      <c r="H77" s="69">
        <f>F77*G77</f>
        <v>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1.74</v>
      </c>
      <c r="E78" s="81">
        <v>4</v>
      </c>
      <c r="F78" s="76">
        <f>D78*E78</f>
        <v>6.96</v>
      </c>
      <c r="G78" s="77">
        <f>C78</f>
        <v>6</v>
      </c>
      <c r="H78" s="77">
        <f>F78*G78</f>
        <v>41.76</v>
      </c>
      <c r="I78" s="512" t="s">
        <v>97</v>
      </c>
      <c r="J78" s="513"/>
      <c r="K78" s="78" t="s">
        <v>98</v>
      </c>
      <c r="L78" s="78"/>
      <c r="M78" s="7" t="s">
        <v>99</v>
      </c>
      <c r="N78" s="7"/>
      <c r="O78" s="99">
        <f>O77+1</f>
        <v>11</v>
      </c>
      <c r="P78" s="99">
        <f t="shared" si="23"/>
        <v>7</v>
      </c>
      <c r="Q78" s="76">
        <f>P78</f>
        <v>7</v>
      </c>
      <c r="R78" s="77">
        <f>VLOOKUP(Q78,STN_TABLE,2,FALSE)</f>
        <v>2.79</v>
      </c>
      <c r="S78" s="77">
        <v>8</v>
      </c>
      <c r="T78" s="76">
        <f>R78*S78</f>
        <v>22.32</v>
      </c>
      <c r="U78" s="80">
        <v>10</v>
      </c>
      <c r="V78" s="76">
        <f>R78*U78</f>
        <v>27.9</v>
      </c>
      <c r="W78" s="513" t="s">
        <v>97</v>
      </c>
      <c r="X78" s="513"/>
      <c r="Y78" s="513" t="s">
        <v>98</v>
      </c>
      <c r="Z78" s="513"/>
      <c r="AA78" s="511" t="s">
        <v>99</v>
      </c>
      <c r="AB78" s="511"/>
      <c r="AC78" s="99">
        <f>AC73+1</f>
        <v>10</v>
      </c>
      <c r="AD78" s="95">
        <f>VLOOKUP(AC78,STN_TABLE_2,2,FALSE)</f>
        <v>6</v>
      </c>
      <c r="AE78" s="68">
        <f>VLOOKUP(AD78,STN_TABLE,2,FALSE)</f>
        <v>1.74</v>
      </c>
      <c r="AF78" s="68">
        <v>1</v>
      </c>
      <c r="AG78" s="69">
        <f>AE78*AF78</f>
        <v>1.74</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2.79</v>
      </c>
      <c r="E79" s="92">
        <v>1</v>
      </c>
      <c r="F79" s="82">
        <f>D79*E79</f>
        <v>2.79</v>
      </c>
      <c r="G79" s="83">
        <f>C79</f>
        <v>7</v>
      </c>
      <c r="H79" s="83">
        <f>F79*G79</f>
        <v>19.53</v>
      </c>
      <c r="I79" s="84" t="str">
        <f>CONCATENATE("a'(",C79,")=")</f>
        <v>a'(7)=</v>
      </c>
      <c r="J79" s="84">
        <f>2*J77/3*F80</f>
        <v>12.9</v>
      </c>
      <c r="K79" s="84" t="str">
        <f>CONCATENATE("A(",C77,")=")</f>
        <v>A(5)=</v>
      </c>
      <c r="L79" s="84">
        <f>VLOOKUP(C77,STN_TABLE,3,FALSE)</f>
        <v>21.136000000000003</v>
      </c>
      <c r="M79" t="str">
        <f>CONCATENATE("A(",C79,")=")</f>
        <v>A(7)=</v>
      </c>
      <c r="N79">
        <f>J79+L79</f>
        <v>34.036000000000001</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2.79</v>
      </c>
      <c r="AF79" s="82">
        <v>2</v>
      </c>
      <c r="AG79" s="83">
        <f>AE79*AF79</f>
        <v>5.58</v>
      </c>
      <c r="AH79" s="84" t="str">
        <f>CONCATENATE("a'(",AD79,")=")</f>
        <v>a'(7)=</v>
      </c>
      <c r="AI79" s="84">
        <f>2*AI77/2*AE80</f>
        <v>8.1539999999999999</v>
      </c>
      <c r="AJ79" s="84" t="str">
        <f>CONCATENATE("A(",AD78,")=")</f>
        <v>A(6)=</v>
      </c>
      <c r="AK79" s="84">
        <f>VLOOKUP(AD78,STN_TABLE,3,FALSE)</f>
        <v>25.707999999999998</v>
      </c>
      <c r="AL79" t="str">
        <f>CONCATENATE("A(",AD79,")=")</f>
        <v>A(7)=</v>
      </c>
      <c r="AM79">
        <f>AI79+AK79</f>
        <v>33.861999999999995</v>
      </c>
      <c r="AO79" s="68" t="str">
        <f>AA79</f>
        <v>A(7)=</v>
      </c>
      <c r="AP79" s="68" t="e">
        <f>VLOOKUP(AO79,Rise_Results,2,FALSE)</f>
        <v>#N/A</v>
      </c>
      <c r="AQ79" s="76">
        <f>N79</f>
        <v>34.036000000000001</v>
      </c>
      <c r="AR79" s="76" t="e">
        <f>IF(OR(AB79&lt;=0,AB80&lt;=0),1/0,AB79)</f>
        <v>#VALUE!</v>
      </c>
      <c r="AS79" s="76">
        <f>AM79</f>
        <v>33.861999999999995</v>
      </c>
      <c r="AT79">
        <f>IFERROR(AP79,IFERROR(AQ79,IFERROR(AR79,AS79)))</f>
        <v>34.036000000000001</v>
      </c>
      <c r="AU79" s="81"/>
    </row>
    <row r="80" spans="1:47" x14ac:dyDescent="0.25">
      <c r="A80" s="84">
        <f>A79+1</f>
        <v>11</v>
      </c>
      <c r="B80" s="84">
        <f t="shared" si="27"/>
        <v>7</v>
      </c>
      <c r="F80" s="82">
        <f>SUM(F77:F79)</f>
        <v>10.75</v>
      </c>
      <c r="H80" s="82">
        <f>SUM(H77:H79)</f>
        <v>66.289999999999992</v>
      </c>
      <c r="I80" s="84" t="str">
        <f>CONCATENATE("m'(",C79,")=")</f>
        <v>m'(7)=</v>
      </c>
      <c r="J80" s="84">
        <f>2*(J77*(WLS))/3*H80</f>
        <v>143.18639999999999</v>
      </c>
      <c r="K80" s="84" t="str">
        <f>CONCATENATE("M(",C77,")=")</f>
        <v>M(5)=</v>
      </c>
      <c r="L80" s="84">
        <f>VLOOKUP(C77,STN_TABLE,4,FALSE)</f>
        <v>109.57333333333335</v>
      </c>
      <c r="M80" t="str">
        <f>CONCATENATE("M(",C79,")=")</f>
        <v>M(7)=</v>
      </c>
      <c r="N80">
        <f>J80+L80</f>
        <v>252.75973333333334</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4.53</v>
      </c>
      <c r="AG80" s="89">
        <f>SUM(AG78:AG79)</f>
        <v>7.32</v>
      </c>
      <c r="AH80" s="84" t="str">
        <f>CONCATENATE("m'(",AD79,")=")</f>
        <v>m'(7)=</v>
      </c>
      <c r="AI80" s="84">
        <f>(2*(AI77^2)/6*AG80)+(AI79*AD78*WLS)</f>
        <v>95.968800000000002</v>
      </c>
      <c r="AJ80" s="84" t="str">
        <f>CONCATENATE("M(",AD78,")=")</f>
        <v>M(6)=</v>
      </c>
      <c r="AK80" s="84">
        <f>VLOOKUP(AD78,STN_TABLE,4,FALSE)</f>
        <v>154.97653333333335</v>
      </c>
      <c r="AL80" t="str">
        <f>CONCATENATE("M(",AD79,")=")</f>
        <v>M(7)=</v>
      </c>
      <c r="AM80">
        <f>AI80+AK80</f>
        <v>250.94533333333334</v>
      </c>
      <c r="AO80" s="82" t="str">
        <f>AA80</f>
        <v>M(7)=</v>
      </c>
      <c r="AP80" s="82" t="e">
        <f>VLOOKUP(AO80,Rise_Results,2,FALSE)</f>
        <v>#N/A</v>
      </c>
      <c r="AQ80" s="82">
        <f>N80</f>
        <v>252.75973333333334</v>
      </c>
      <c r="AR80" s="82" t="e">
        <f>IF(OR(AB79&lt;=0,AB80&lt;=0),1/0,AB80)</f>
        <v>#VALUE!</v>
      </c>
      <c r="AS80" s="82">
        <f>AM80</f>
        <v>250.94533333333334</v>
      </c>
      <c r="AT80">
        <f>IFERROR(AP80,IFERROR(AQ80,IFERROR(AR80,AS80)))</f>
        <v>252.75973333333334</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4.0999999999999996</v>
      </c>
      <c r="S83" s="77">
        <v>8</v>
      </c>
      <c r="T83" s="76">
        <f>R83*S83</f>
        <v>32.799999999999997</v>
      </c>
      <c r="U83" s="80">
        <v>10</v>
      </c>
      <c r="V83" s="76">
        <f>R83*U83</f>
        <v>41</v>
      </c>
      <c r="W83" s="513" t="s">
        <v>97</v>
      </c>
      <c r="X83" s="513"/>
      <c r="Y83" s="513" t="s">
        <v>98</v>
      </c>
      <c r="Z83" s="513"/>
      <c r="AA83" s="511" t="s">
        <v>99</v>
      </c>
      <c r="AB83" s="511"/>
      <c r="AC83" s="99">
        <f>AC78+1</f>
        <v>11</v>
      </c>
      <c r="AD83" s="95">
        <f>VLOOKUP(AC83,STN_TABLE_2,2,FALSE)</f>
        <v>7</v>
      </c>
      <c r="AE83" s="68">
        <f>VLOOKUP(AD83,STN_TABLE,2,FALSE)</f>
        <v>2.79</v>
      </c>
      <c r="AF83" s="68">
        <v>1</v>
      </c>
      <c r="AG83" s="69">
        <f>AE83*AF83</f>
        <v>2.79</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4.0999999999999996</v>
      </c>
      <c r="E84" s="92">
        <v>1</v>
      </c>
      <c r="F84" s="82">
        <f>D84*E84</f>
        <v>4.0999999999999996</v>
      </c>
      <c r="G84" s="83">
        <f>C84</f>
        <v>7.8833333333333329</v>
      </c>
      <c r="H84" s="83">
        <f>F84*G84</f>
        <v>32.321666666666665</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4.0999999999999996</v>
      </c>
      <c r="AF84" s="82">
        <v>2</v>
      </c>
      <c r="AG84" s="83">
        <f>AE84*AF84</f>
        <v>8.1999999999999993</v>
      </c>
      <c r="AH84" s="84" t="str">
        <f>CONCATENATE("a'(",AD84,")=")</f>
        <v>a'(7.88333333333333)=</v>
      </c>
      <c r="AI84" s="84">
        <f>2*AI82/2*AE85</f>
        <v>10.955099999999995</v>
      </c>
      <c r="AJ84" s="84" t="str">
        <f>CONCATENATE("A(",AD83,")=")</f>
        <v>A(7)=</v>
      </c>
      <c r="AK84" s="84">
        <f>VLOOKUP(AD83,STN_TABLE,3,FALSE)</f>
        <v>34.036000000000001</v>
      </c>
      <c r="AL84" t="str">
        <f>CONCATENATE("A(",AD84,")=")</f>
        <v>A(7.88333333333333)=</v>
      </c>
      <c r="AM84">
        <f>AI84+AK84</f>
        <v>44.991099999999996</v>
      </c>
      <c r="AO84" s="68" t="str">
        <f>AA84</f>
        <v>A(7.88333333333333)=</v>
      </c>
      <c r="AP84" s="68" t="e">
        <f>VLOOKUP(AO84,Rise_Results,2,FALSE)</f>
        <v>#N/A</v>
      </c>
      <c r="AQ84" s="76" t="e">
        <f>N84</f>
        <v>#N/A</v>
      </c>
      <c r="AR84" s="76" t="e">
        <f>IF(OR(AB84&lt;=0,AB85&lt;=0),1/0,AB84)</f>
        <v>#VALUE!</v>
      </c>
      <c r="AS84" s="76">
        <f>AM84</f>
        <v>44.991099999999996</v>
      </c>
      <c r="AT84">
        <f>IFERROR(AP84,IFERROR(AQ84,IFERROR(AR84,AS84)))</f>
        <v>44.991099999999996</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6.89</v>
      </c>
      <c r="AG85" s="89">
        <f>SUM(AG83:AG84)</f>
        <v>10.989999999999998</v>
      </c>
      <c r="AH85" s="84" t="str">
        <f>CONCATENATE("m'(",AD84,")=")</f>
        <v>m'(7.88333333333333)=</v>
      </c>
      <c r="AI85" s="84">
        <f>(2*(AI82^2)/6*AG85)+(AI84*AD83*WLS)</f>
        <v>147.29553299999995</v>
      </c>
      <c r="AJ85" s="84" t="str">
        <f>CONCATENATE("M(",AD83,")=")</f>
        <v>M(7)=</v>
      </c>
      <c r="AK85" s="84">
        <f>VLOOKUP(AD83,STN_TABLE,4,FALSE)</f>
        <v>252.75973333333334</v>
      </c>
      <c r="AL85" t="str">
        <f>CONCATENATE("M(",AD84,")=")</f>
        <v>M(7.88333333333333)=</v>
      </c>
      <c r="AM85">
        <f>AI85+AK85</f>
        <v>400.05526633333329</v>
      </c>
      <c r="AO85" s="82" t="str">
        <f>AA85</f>
        <v>M(7.88333333333333)=</v>
      </c>
      <c r="AP85" s="82" t="e">
        <f>VLOOKUP(AO85,Rise_Results,2,FALSE)</f>
        <v>#N/A</v>
      </c>
      <c r="AQ85" s="82" t="e">
        <f>N85</f>
        <v>#N/A</v>
      </c>
      <c r="AR85" s="82" t="e">
        <f>IF(OR(AB84&lt;=0,AB85&lt;=0),1/0,AB85)</f>
        <v>#VALUE!</v>
      </c>
      <c r="AS85" s="82">
        <f>AM85</f>
        <v>400.05526633333329</v>
      </c>
      <c r="AT85">
        <f>IFERROR(AP85,IFERROR(AQ85,IFERROR(AR85,AS85)))</f>
        <v>400.05526633333329</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4.0999999999999996</v>
      </c>
      <c r="AF88" s="68">
        <v>1</v>
      </c>
      <c r="AG88" s="69">
        <f>AE88*AF88</f>
        <v>4.0999999999999996</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44.991099999999996</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4.0999999999999996</v>
      </c>
      <c r="AG90" s="89" t="e">
        <f>SUM(AG88:AG89)</f>
        <v>#VALUE!</v>
      </c>
      <c r="AH90" s="84" t="str">
        <f>CONCATENATE("m'(",AD89,")=")</f>
        <v>m'(  )=</v>
      </c>
      <c r="AI90" s="84" t="e">
        <f>(2*(AI87^2)/6*AG90)+(AI89*AD88*WLS)</f>
        <v>#VALUE!</v>
      </c>
      <c r="AJ90" s="84" t="str">
        <f>CONCATENATE("M(",AD88,")=")</f>
        <v>M(7.88333333333333)=</v>
      </c>
      <c r="AK90" s="84">
        <f>VLOOKUP(AD88,STN_TABLE,4,FALSE)</f>
        <v>400.05526633333329</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19</v>
      </c>
      <c r="E1" s="511" t="s">
        <v>91</v>
      </c>
      <c r="F1" s="511"/>
      <c r="G1">
        <f>VLOOKUP(Station_No,RISE_CALC,2,FALSE)</f>
        <v>0.66</v>
      </c>
      <c r="L1" s="511" t="s">
        <v>92</v>
      </c>
      <c r="M1" s="511"/>
      <c r="N1">
        <v>23</v>
      </c>
    </row>
    <row r="2" spans="1:46" x14ac:dyDescent="0.25">
      <c r="Q2" s="66" t="str">
        <f t="shared" ref="Q2:R6" si="0">G4</f>
        <v>Rise</v>
      </c>
      <c r="R2" s="67">
        <f t="shared" si="0"/>
        <v>0.3666666666666667</v>
      </c>
      <c r="S2" s="68">
        <f>IF(OR(R5-R4=R4-R3,R6-R4=R4-R3),R3,IF(OR(R5-R4=R4-R2,R6-R4=R4-R2),R2,"-"))</f>
        <v>0.5</v>
      </c>
      <c r="T2" s="69">
        <f>IFERROR(VLOOKUP(S2,STN_TABLE,2,FALSE),IF(R2=RisePerWLS,0,"-"))</f>
        <v>0.64</v>
      </c>
      <c r="U2" s="69">
        <v>5</v>
      </c>
      <c r="V2" s="69">
        <f>T2*U2</f>
        <v>3.2</v>
      </c>
      <c r="W2" s="69">
        <v>3</v>
      </c>
      <c r="X2" s="69">
        <f>T2*W2</f>
        <v>1.92</v>
      </c>
      <c r="Y2" s="6" t="s">
        <v>93</v>
      </c>
      <c r="Z2" s="70">
        <f>IF(AND(S4-S3=S3-S2,NOT(AND(S2=0,S3=0)),NOT(AND(S3=0,S4=0))),WLS*(S4-S3),"#NA")</f>
        <v>0.9</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0.5</v>
      </c>
      <c r="S3" s="76">
        <f>R4</f>
        <v>1</v>
      </c>
      <c r="T3" s="77">
        <f>VLOOKUP(S3,STN_TABLE,2,FALSE)</f>
        <v>1.27</v>
      </c>
      <c r="U3" s="77">
        <v>8</v>
      </c>
      <c r="V3" s="77">
        <f>T3*U3</f>
        <v>10.16</v>
      </c>
      <c r="W3" s="77">
        <v>10</v>
      </c>
      <c r="X3" s="77">
        <f>T3*W3</f>
        <v>12.7</v>
      </c>
      <c r="Y3" s="78" t="s">
        <v>97</v>
      </c>
      <c r="Z3" s="78"/>
      <c r="AA3" s="78" t="s">
        <v>98</v>
      </c>
      <c r="AB3" s="78"/>
      <c r="AC3" s="7" t="s">
        <v>99</v>
      </c>
      <c r="AD3" s="7"/>
      <c r="AE3" s="66" t="str">
        <f t="shared" ref="AE3:AF7" si="1">G4</f>
        <v>Rise</v>
      </c>
      <c r="AF3" s="67">
        <f t="shared" si="1"/>
        <v>0.3666666666666667</v>
      </c>
      <c r="AG3" s="79">
        <f>IF(AF7-AF6=AF6-AF5,AF5,IF(OR(AF7-AF6=AF6-AF4,AF7-AF5=AF5-AF4),AF4,IF(OR(AF7-AF6=AF6-AF3,AF7-AF5=AF5-AF3,AF7-AF4=AF4-AF3),AF3,"#NA")))</f>
        <v>1</v>
      </c>
      <c r="AH3" s="69">
        <f>IFERROR(VLOOKUP(AG3,STN_TABLE,2,FALSE),IF(AF3=RisePerWLS,0,"-"))</f>
        <v>1.27</v>
      </c>
      <c r="AI3" s="69">
        <v>1</v>
      </c>
      <c r="AJ3" s="69">
        <f>AH3*AI3</f>
        <v>1.27</v>
      </c>
      <c r="AK3" s="69">
        <f>AG3</f>
        <v>1</v>
      </c>
      <c r="AL3" s="69">
        <f>AJ3*AK3</f>
        <v>1.27</v>
      </c>
      <c r="AM3" s="6" t="s">
        <v>93</v>
      </c>
      <c r="AN3" s="70">
        <f>IF(AND(AH3=0,AH4=0,AH5=0),WLS*(AG5-AG4),IF(AND(AG5-AG4=AG4-AG3,AG4&lt;&gt;AG5,AG3&lt;&gt;AG4,AG3&lt;&gt;AG5,AH5&lt;&gt;0,OR(AH3&lt;&gt;0,AH4&lt;&gt;0)),WLS*(AG5-AG4),"#NA"))</f>
        <v>0.9</v>
      </c>
    </row>
    <row r="4" spans="1:46" x14ac:dyDescent="0.25">
      <c r="A4">
        <v>1</v>
      </c>
      <c r="B4" s="80">
        <f t="shared" ref="B4:B28" si="2">VLOOKUP(Stn_WL,OFFSET_A,A4+1,FALSE)</f>
        <v>0</v>
      </c>
      <c r="C4" s="81">
        <f t="shared" ref="C4:C28" si="3">VLOOKUP(Station_No,OFFSET_A,A4+1,FALSE)</f>
        <v>0</v>
      </c>
      <c r="D4" s="81">
        <v>0</v>
      </c>
      <c r="E4" s="77">
        <v>0</v>
      </c>
      <c r="G4" t="s">
        <v>100</v>
      </c>
      <c r="H4">
        <f>Rise/WLS</f>
        <v>0.3666666666666667</v>
      </c>
      <c r="K4" t="str">
        <f>CONCATENATE("A(",H5,")=")</f>
        <v>A(0.5)=</v>
      </c>
      <c r="L4">
        <f>IFERROR(N18,N22)</f>
        <v>0.15359999999999999</v>
      </c>
      <c r="Q4" s="66" t="str">
        <f t="shared" si="0"/>
        <v>2nd_UWL</v>
      </c>
      <c r="R4" s="67">
        <f t="shared" si="0"/>
        <v>1</v>
      </c>
      <c r="S4" s="82">
        <f>IF((S2-S3)=S3-R5,R5,IF(S2-S3=S3-R6,R6,"-"))</f>
        <v>1.5</v>
      </c>
      <c r="T4" s="83">
        <f>VLOOKUP(S4,STN_TABLE,2,FALSE)</f>
        <v>1.68</v>
      </c>
      <c r="U4" s="83">
        <v>-1</v>
      </c>
      <c r="V4" s="83">
        <f>T4*U4</f>
        <v>-1.68</v>
      </c>
      <c r="W4" s="83">
        <v>-1</v>
      </c>
      <c r="X4" s="83">
        <f>T4*W4</f>
        <v>-1.68</v>
      </c>
      <c r="Y4" s="84" t="str">
        <f>CONCATENATE("a'(",S3,")=")</f>
        <v>a'(1)=</v>
      </c>
      <c r="Z4" s="85">
        <f>2*Z2/12*V5</f>
        <v>1.752</v>
      </c>
      <c r="AA4" s="84" t="str">
        <f>CONCATENATE("A(",S2,")=")</f>
        <v>A(0.5)=</v>
      </c>
      <c r="AB4" s="84">
        <f>IF(S2=RisePerWLS,0,VLOOKUP(S2,STN_TABLE,3,FALSE))</f>
        <v>0.15359999999999999</v>
      </c>
      <c r="AC4" t="str">
        <f>CONCATENATE("A(",S3,")=")</f>
        <v>A(1)=</v>
      </c>
      <c r="AD4">
        <f>Z4+AB4</f>
        <v>1.9056</v>
      </c>
      <c r="AE4" s="66" t="str">
        <f t="shared" si="1"/>
        <v>1st_UWL</v>
      </c>
      <c r="AF4" s="67">
        <f t="shared" si="1"/>
        <v>0.5</v>
      </c>
      <c r="AG4" s="80">
        <f>IF(OR(AF7-AF6=AF6-AF5,AF7-AF6=AF6-AF4,AF7-AF6=AF6-AF3),AF6,IF(OR(AF7-AF5=AF5-AF4,AF7-AF5=AF5-AF3),AF5,IF(AF7-AF4=AF4-AF3,AF4,"#NA")))</f>
        <v>1.5</v>
      </c>
      <c r="AH4" s="77">
        <f>VLOOKUP(AG4,STN_TABLE,2,FALSE)</f>
        <v>1.68</v>
      </c>
      <c r="AI4" s="77">
        <v>4</v>
      </c>
      <c r="AJ4" s="77">
        <f>AH4*AI4</f>
        <v>6.72</v>
      </c>
      <c r="AK4" s="77">
        <f>AG4</f>
        <v>1.5</v>
      </c>
      <c r="AL4" s="77">
        <f>AJ4*AK4</f>
        <v>10.08</v>
      </c>
      <c r="AM4" s="78" t="s">
        <v>97</v>
      </c>
      <c r="AN4" s="78"/>
      <c r="AO4" s="78" t="s">
        <v>98</v>
      </c>
      <c r="AP4" s="78"/>
      <c r="AQ4" s="7" t="s">
        <v>99</v>
      </c>
      <c r="AR4" s="7"/>
      <c r="AS4" s="7"/>
      <c r="AT4" s="7"/>
    </row>
    <row r="5" spans="1:46" x14ac:dyDescent="0.25">
      <c r="A5">
        <v>2</v>
      </c>
      <c r="B5" s="80">
        <f t="shared" si="2"/>
        <v>0.5</v>
      </c>
      <c r="C5" s="81">
        <f t="shared" si="3"/>
        <v>0.64</v>
      </c>
      <c r="D5" s="81">
        <f t="shared" ref="D5:D28" si="4">IFERROR(VLOOKUP(CONCATENATE("A(",B5,")="),RESULT_TABLE,6,FALSE)," ")</f>
        <v>0.15359999999999999</v>
      </c>
      <c r="E5" s="77">
        <f t="shared" ref="E5:E28" si="5">IFERROR(VLOOKUP(CONCATENATE("M(",B5,")="),RESULT_TABLE,6,FALSE)," ")</f>
        <v>0.12595200000000001</v>
      </c>
      <c r="G5" t="s">
        <v>101</v>
      </c>
      <c r="H5">
        <f>VLOOKUP(Station_No,RISE_CALC,4,FALSE)</f>
        <v>0.5</v>
      </c>
      <c r="K5" t="str">
        <f>CONCATENATE("M(",H5,")=")</f>
        <v>M(0.5)=</v>
      </c>
      <c r="L5">
        <f>IFERROR(N19,N23)</f>
        <v>0.12595200000000001</v>
      </c>
      <c r="Q5" s="66" t="str">
        <f t="shared" si="0"/>
        <v>3rd_UWL</v>
      </c>
      <c r="R5" s="67">
        <f t="shared" si="0"/>
        <v>1.5</v>
      </c>
      <c r="V5" s="86">
        <f>SUM(V2:V4)</f>
        <v>11.68</v>
      </c>
      <c r="X5" s="87">
        <f>SUM(X2:X4)</f>
        <v>12.94</v>
      </c>
      <c r="Y5" s="84" t="str">
        <f>CONCATENATE("m'(",S3,")=")</f>
        <v>m'(1)=</v>
      </c>
      <c r="Z5" s="85">
        <f>(2*(Z2^2)/24*X5)+(Z4*S2*WLS)</f>
        <v>2.45025</v>
      </c>
      <c r="AA5" s="84" t="str">
        <f>CONCATENATE("M(",S2,")=")</f>
        <v>M(0.5)=</v>
      </c>
      <c r="AB5" s="84">
        <f>IF(S2=RisePerWLS,0,VLOOKUP(S2,STN_TABLE,4,FALSE))</f>
        <v>0.12595200000000001</v>
      </c>
      <c r="AC5" t="str">
        <f>CONCATENATE("M(",S3,")=")</f>
        <v>M(1)=</v>
      </c>
      <c r="AD5">
        <f>Z5+AB5</f>
        <v>2.5762019999999999</v>
      </c>
      <c r="AE5" s="66" t="str">
        <f t="shared" si="1"/>
        <v>2nd_UWL</v>
      </c>
      <c r="AF5" s="67">
        <f t="shared" si="1"/>
        <v>1</v>
      </c>
      <c r="AG5" s="88">
        <f>AF7</f>
        <v>2</v>
      </c>
      <c r="AH5" s="83">
        <f>VLOOKUP(AG5,STN_TABLE,2,FALSE)</f>
        <v>1.96</v>
      </c>
      <c r="AI5" s="83">
        <v>1</v>
      </c>
      <c r="AJ5" s="83">
        <f>AH5*AI5</f>
        <v>1.96</v>
      </c>
      <c r="AK5" s="83">
        <f>AG5</f>
        <v>2</v>
      </c>
      <c r="AL5" s="83">
        <f>AJ5*AK5</f>
        <v>3.92</v>
      </c>
      <c r="AM5" s="84" t="str">
        <f>CONCATENATE("a'(",AG5,")=")</f>
        <v>a'(2)=</v>
      </c>
      <c r="AN5" s="84">
        <f>2*AN3/3*AJ6</f>
        <v>5.97</v>
      </c>
      <c r="AO5" s="84" t="str">
        <f>CONCATENATE("A(",AG3,")=")</f>
        <v>A(1)=</v>
      </c>
      <c r="AP5" s="84">
        <f>IF(AG3=RisePerWLS,0,VLOOKUP(AG3,STN_TABLE,3,FALSE))</f>
        <v>1.9056</v>
      </c>
      <c r="AQ5" t="str">
        <f>CONCATENATE("A(",AG5,")=")</f>
        <v>A(2)=</v>
      </c>
      <c r="AR5">
        <f>AN5+AP5</f>
        <v>7.8755999999999995</v>
      </c>
    </row>
    <row r="6" spans="1:46" x14ac:dyDescent="0.25">
      <c r="A6">
        <v>3</v>
      </c>
      <c r="B6" s="80">
        <f t="shared" si="2"/>
        <v>1</v>
      </c>
      <c r="C6" s="81">
        <f t="shared" si="3"/>
        <v>1.27</v>
      </c>
      <c r="D6" s="81">
        <f t="shared" si="4"/>
        <v>1.9056</v>
      </c>
      <c r="E6" s="77">
        <f t="shared" si="5"/>
        <v>2.5762019999999999</v>
      </c>
      <c r="G6" t="s">
        <v>102</v>
      </c>
      <c r="H6">
        <f>VLOOKUP(Station_No,RISE_CALC,5,FALSE)</f>
        <v>1</v>
      </c>
      <c r="K6" t="str">
        <f>CONCATENATE("A(",H6,")=")</f>
        <v>A(1)=</v>
      </c>
      <c r="L6">
        <f>IFERROR(P27,IFERROR(X6,AD9))</f>
        <v>1.9056</v>
      </c>
      <c r="Q6" s="66" t="str">
        <f t="shared" si="0"/>
        <v>4th_UWL</v>
      </c>
      <c r="R6" s="67">
        <f t="shared" si="0"/>
        <v>2</v>
      </c>
      <c r="U6" t="s">
        <v>103</v>
      </c>
      <c r="W6" t="str">
        <f>CONCATENATE("A(",S3,")=")</f>
        <v>A(1)=</v>
      </c>
      <c r="X6">
        <f>IF(OR(AD4&lt;=0,AD5&lt;=0),AD9,AD4)</f>
        <v>1.9056</v>
      </c>
      <c r="AE6" s="66" t="str">
        <f t="shared" si="1"/>
        <v>3rd_UWL</v>
      </c>
      <c r="AF6" s="67">
        <f t="shared" si="1"/>
        <v>1.5</v>
      </c>
      <c r="AJ6" s="89">
        <f>SUM(AJ3:AJ5)</f>
        <v>9.9499999999999993</v>
      </c>
      <c r="AL6" s="89">
        <f>SUM(AL3:AL5)</f>
        <v>15.27</v>
      </c>
      <c r="AM6" s="84" t="str">
        <f>CONCATENATE("m'(",AG5,")=")</f>
        <v>m'(2)=</v>
      </c>
      <c r="AN6" s="84">
        <f>2*(AN3*WLS)/3*AL6</f>
        <v>16.491600000000002</v>
      </c>
      <c r="AO6" s="84" t="str">
        <f>CONCATENATE("M(",AG3,")=")</f>
        <v>M(1)=</v>
      </c>
      <c r="AP6" s="84">
        <f>IF(AG3=RisePerWLS,0,VLOOKUP(AG3,STN_TABLE,4,FALSE))</f>
        <v>2.5762019999999999</v>
      </c>
      <c r="AQ6" t="str">
        <f>CONCATENATE("M(",AG5,")=")</f>
        <v>M(2)=</v>
      </c>
      <c r="AR6">
        <f>AN6+AP6</f>
        <v>19.067802</v>
      </c>
    </row>
    <row r="7" spans="1:46" x14ac:dyDescent="0.25">
      <c r="A7">
        <v>4</v>
      </c>
      <c r="B7" s="80">
        <f t="shared" si="2"/>
        <v>1.5</v>
      </c>
      <c r="C7" s="81">
        <f t="shared" si="3"/>
        <v>1.68</v>
      </c>
      <c r="D7" s="81">
        <f t="shared" si="4"/>
        <v>4.5935999999999995</v>
      </c>
      <c r="E7" s="77">
        <f t="shared" si="5"/>
        <v>8.679552000000001</v>
      </c>
      <c r="G7" t="s">
        <v>104</v>
      </c>
      <c r="H7">
        <f>VLOOKUP(Station_No,RISE_CALC,6,FALSE)</f>
        <v>1.5</v>
      </c>
      <c r="K7" t="str">
        <f>CONCATENATE("M(",H6,")=")</f>
        <v>M(1)=</v>
      </c>
      <c r="L7">
        <f>IFERROR(P28,IFERROR(X7,AD10))</f>
        <v>2.5762019999999999</v>
      </c>
      <c r="Q7" s="66"/>
      <c r="R7" s="67"/>
      <c r="W7" t="str">
        <f>CONCATENATE("M(",S3,")=")</f>
        <v>M(1)=</v>
      </c>
      <c r="X7">
        <f>IF(OR(AD4&lt;=0,AD5&lt;=0),AD10,AD5)</f>
        <v>2.5762019999999999</v>
      </c>
      <c r="Y7" s="6" t="s">
        <v>93</v>
      </c>
      <c r="Z7" s="70">
        <f>WLS*(U9-U8)</f>
        <v>0.9</v>
      </c>
      <c r="AE7" s="66" t="str">
        <f t="shared" si="1"/>
        <v>4th_UWL</v>
      </c>
      <c r="AF7" s="67">
        <f t="shared" si="1"/>
        <v>2</v>
      </c>
      <c r="AH7" s="81"/>
    </row>
    <row r="8" spans="1:46" x14ac:dyDescent="0.25">
      <c r="A8">
        <v>5</v>
      </c>
      <c r="B8" s="80">
        <f t="shared" si="2"/>
        <v>2</v>
      </c>
      <c r="C8" s="81">
        <f t="shared" si="3"/>
        <v>1.96</v>
      </c>
      <c r="D8" s="81">
        <f t="shared" si="4"/>
        <v>7.8755999999999995</v>
      </c>
      <c r="E8" s="77">
        <f t="shared" si="5"/>
        <v>19.067802</v>
      </c>
      <c r="G8" t="s">
        <v>105</v>
      </c>
      <c r="H8">
        <f>VLOOKUP(Station_No,RISE_CALC,7,FALSE)</f>
        <v>2</v>
      </c>
      <c r="K8" t="str">
        <f>CONCATENATE("A(",H7,")=")</f>
        <v>A(1.5)=</v>
      </c>
      <c r="L8">
        <f>IFERROR(AD15,IFERROR(X24,AD27))</f>
        <v>4.5935999999999995</v>
      </c>
      <c r="Q8" s="80"/>
      <c r="R8" s="81"/>
      <c r="U8" s="79">
        <f>R3</f>
        <v>0.5</v>
      </c>
      <c r="V8" s="68">
        <f>VLOOKUP(U8,STN_TABLE,2,FALSE)</f>
        <v>0.64</v>
      </c>
      <c r="W8" s="68">
        <v>1</v>
      </c>
      <c r="X8" s="69">
        <f>V8*W8</f>
        <v>0.64</v>
      </c>
      <c r="Y8" s="78" t="s">
        <v>97</v>
      </c>
      <c r="Z8" s="78"/>
      <c r="AA8" s="78" t="s">
        <v>98</v>
      </c>
      <c r="AB8" s="78"/>
      <c r="AC8" s="7" t="s">
        <v>99</v>
      </c>
      <c r="AD8" s="7"/>
      <c r="AE8" s="66"/>
      <c r="AF8" s="67"/>
      <c r="AG8" s="68">
        <f>IF(OR(AF12-AF11=AF11-AF10,AF13-AF11=AF11-AF10),AF10,IF(OR(AF12-AF11=AF11-AF9,AF13-AF11=AF11-AF9),AF9,"-"))</f>
        <v>1</v>
      </c>
      <c r="AH8" s="69">
        <f>IFERROR(VLOOKUP(AG8,STN_TABLE,2,FALSE),IF(AF8=RisePerWLS,0,"-"))</f>
        <v>1.27</v>
      </c>
      <c r="AI8" s="69">
        <v>5</v>
      </c>
      <c r="AJ8" s="69">
        <f>AH8*AI8</f>
        <v>6.35</v>
      </c>
      <c r="AK8" s="69">
        <v>3</v>
      </c>
      <c r="AL8" s="69">
        <f>AH8*AK8</f>
        <v>3.81</v>
      </c>
      <c r="AM8" s="6" t="s">
        <v>93</v>
      </c>
      <c r="AN8" s="70">
        <f>IF(AND(AG10-AG9=AG9-AG8,NOT(AND(AG8=0,AG9=0)),NOT(AND(AG9=0,AG10=0))),WLS*(AG10-AG9),"#NA")</f>
        <v>1.8</v>
      </c>
    </row>
    <row r="9" spans="1:46" x14ac:dyDescent="0.25">
      <c r="A9">
        <v>6</v>
      </c>
      <c r="B9" s="80">
        <f t="shared" si="2"/>
        <v>3</v>
      </c>
      <c r="C9" s="81">
        <f t="shared" si="3"/>
        <v>2.1</v>
      </c>
      <c r="D9" s="81">
        <f t="shared" si="4"/>
        <v>15.357599999999998</v>
      </c>
      <c r="E9" s="77">
        <f t="shared" si="5"/>
        <v>52.796202000000008</v>
      </c>
      <c r="G9" t="s">
        <v>106</v>
      </c>
      <c r="H9">
        <f>VLOOKUP(Station_No,RISE_CALC,8,FALSE)</f>
        <v>3</v>
      </c>
      <c r="K9" t="str">
        <f>CONCATENATE("M(",H7,")=")</f>
        <v>M(1.5)=</v>
      </c>
      <c r="L9">
        <f>IFERROR(AD16,IFERROR(X25,AD28))</f>
        <v>8.679552000000001</v>
      </c>
      <c r="Q9" s="80"/>
      <c r="R9" s="81"/>
      <c r="U9" s="88">
        <f>R4</f>
        <v>1</v>
      </c>
      <c r="V9" s="82">
        <f>VLOOKUP(U9,STN_TABLE,2,FALSE)</f>
        <v>1.27</v>
      </c>
      <c r="W9" s="82">
        <v>2</v>
      </c>
      <c r="X9" s="83">
        <f>V9*W9</f>
        <v>2.54</v>
      </c>
      <c r="Y9" s="84" t="str">
        <f>CONCATENATE("a'(",U9,")=")</f>
        <v>a'(1)=</v>
      </c>
      <c r="Z9" s="84">
        <f>2*Z7/2*V10</f>
        <v>1.7190000000000001</v>
      </c>
      <c r="AA9" s="84" t="str">
        <f>CONCATENATE("A(",U8,")=")</f>
        <v>A(0.5)=</v>
      </c>
      <c r="AB9" s="84">
        <f>IF(U8=RisePerWLS,0,VLOOKUP(U8,STN_TABLE,3,FALSE))</f>
        <v>0.15359999999999999</v>
      </c>
      <c r="AC9" t="str">
        <f>CONCATENATE("A(",U9,")=")</f>
        <v>A(1)=</v>
      </c>
      <c r="AD9">
        <f>Z9+AB9</f>
        <v>1.8726</v>
      </c>
      <c r="AE9" s="66" t="str">
        <f t="shared" ref="AE9:AF13" si="6">G6</f>
        <v>2nd_UWL</v>
      </c>
      <c r="AF9" s="67">
        <f t="shared" si="6"/>
        <v>1</v>
      </c>
      <c r="AG9" s="76">
        <f>AF11</f>
        <v>2</v>
      </c>
      <c r="AH9" s="77">
        <f>VLOOKUP(AG9,STN_TABLE,2,FALSE)</f>
        <v>1.96</v>
      </c>
      <c r="AI9" s="77">
        <v>8</v>
      </c>
      <c r="AJ9" s="77">
        <f>AH9*AI9</f>
        <v>15.68</v>
      </c>
      <c r="AK9" s="77">
        <v>10</v>
      </c>
      <c r="AL9" s="77">
        <f>AH9*AK9</f>
        <v>19.600000000000001</v>
      </c>
      <c r="AM9" s="78" t="s">
        <v>97</v>
      </c>
      <c r="AN9" s="78"/>
      <c r="AO9" s="78" t="s">
        <v>98</v>
      </c>
      <c r="AP9" s="78"/>
      <c r="AQ9" s="7" t="s">
        <v>99</v>
      </c>
      <c r="AR9" s="7"/>
      <c r="AS9" s="7"/>
      <c r="AT9" s="7"/>
    </row>
    <row r="10" spans="1:46" x14ac:dyDescent="0.25">
      <c r="A10">
        <v>7</v>
      </c>
      <c r="B10" s="80">
        <f t="shared" si="2"/>
        <v>4</v>
      </c>
      <c r="C10" s="81">
        <f t="shared" si="3"/>
        <v>1.8</v>
      </c>
      <c r="D10" s="81">
        <f t="shared" si="4"/>
        <v>22.467599999999997</v>
      </c>
      <c r="E10" s="77">
        <f t="shared" si="5"/>
        <v>97.519002000000015</v>
      </c>
      <c r="G10" t="s">
        <v>107</v>
      </c>
      <c r="H10">
        <f>VLOOKUP(Station_No,RISE_CALC,9,FALSE)</f>
        <v>4</v>
      </c>
      <c r="K10" t="str">
        <f>CONCATENATE("A(",H8,")=")</f>
        <v>A(2)=</v>
      </c>
      <c r="L10">
        <f>IFERROR(AR5,IFERROR(AL12,AR15))</f>
        <v>7.8755999999999995</v>
      </c>
      <c r="Q10" s="80"/>
      <c r="R10" s="81"/>
      <c r="V10" s="89">
        <f>SUM(V8:V9)</f>
        <v>1.9100000000000001</v>
      </c>
      <c r="X10" s="89">
        <f>SUM(X8:X9)</f>
        <v>3.18</v>
      </c>
      <c r="Y10" s="84" t="str">
        <f>CONCATENATE("m'(",U9,")=")</f>
        <v>m'(1)=</v>
      </c>
      <c r="Z10" s="84">
        <f>(2*(Z7^2)/6*X10)+(Z9*U8*WLS)</f>
        <v>2.4057000000000004</v>
      </c>
      <c r="AA10" s="84" t="str">
        <f>CONCATENATE("M(",U8,")=")</f>
        <v>M(0.5)=</v>
      </c>
      <c r="AB10" s="84">
        <f>IF(U8=RisePerWLS,0,VLOOKUP(U8,STN_TABLE,4,FALSE))</f>
        <v>0.12595200000000001</v>
      </c>
      <c r="AC10" t="str">
        <f>CONCATENATE("M(",U9,")=")</f>
        <v>M(1)=</v>
      </c>
      <c r="AD10">
        <f>Z10+AB10</f>
        <v>2.5316520000000002</v>
      </c>
      <c r="AE10" s="66" t="str">
        <f t="shared" si="6"/>
        <v>3rd_UWL</v>
      </c>
      <c r="AF10" s="67">
        <f t="shared" si="6"/>
        <v>1.5</v>
      </c>
      <c r="AG10" s="82">
        <f>IF(AG8-AG9=AG9-AF12,AF12,IF(AG8-AG9=AG9-AF13,AF13,"-"))</f>
        <v>3</v>
      </c>
      <c r="AH10" s="83">
        <f>VLOOKUP(AG10,STN_TABLE,2,FALSE)</f>
        <v>2.1</v>
      </c>
      <c r="AI10" s="83">
        <v>-1</v>
      </c>
      <c r="AJ10" s="83">
        <f>AH10*AI10</f>
        <v>-2.1</v>
      </c>
      <c r="AK10" s="83">
        <v>-1</v>
      </c>
      <c r="AL10" s="83">
        <f>AH10*AK10</f>
        <v>-2.1</v>
      </c>
      <c r="AM10" s="84" t="str">
        <f>CONCATENATE("a'(",AG9,")=")</f>
        <v>a'(2)=</v>
      </c>
      <c r="AN10" s="84">
        <f>2*AN8/12*AJ11</f>
        <v>5.9790000000000001</v>
      </c>
      <c r="AO10" s="84" t="str">
        <f>CONCATENATE("A(",AG8,")=")</f>
        <v>A(1)=</v>
      </c>
      <c r="AP10" s="84">
        <f>VLOOKUP(AG8,STN_TABLE,3,FALSE)</f>
        <v>1.9056</v>
      </c>
      <c r="AQ10" t="str">
        <f>CONCATENATE("A(",AG9,")=")</f>
        <v>A(2)=</v>
      </c>
      <c r="AR10">
        <f>AN10+AP10</f>
        <v>7.8845999999999998</v>
      </c>
    </row>
    <row r="11" spans="1:46" x14ac:dyDescent="0.25">
      <c r="A11">
        <v>8</v>
      </c>
      <c r="B11" s="80">
        <f t="shared" si="2"/>
        <v>5</v>
      </c>
      <c r="C11" s="81">
        <f t="shared" si="3"/>
        <v>2</v>
      </c>
      <c r="D11" s="81">
        <f t="shared" si="4"/>
        <v>28.9176</v>
      </c>
      <c r="E11" s="77">
        <f t="shared" si="5"/>
        <v>150.21220200000002</v>
      </c>
      <c r="G11" t="s">
        <v>108</v>
      </c>
      <c r="H11">
        <f>VLOOKUP(Station_No,RISE_CALC,10,FALSE)</f>
        <v>5</v>
      </c>
      <c r="K11" t="str">
        <f>CONCATENATE("M(",H8,")=")</f>
        <v>M(2)=</v>
      </c>
      <c r="L11">
        <f>IFERROR(AR6,IFERROR(AL13,AR16))</f>
        <v>19.067802</v>
      </c>
      <c r="Q11" s="80"/>
      <c r="R11" s="81"/>
      <c r="AE11" s="66" t="str">
        <f t="shared" si="6"/>
        <v>4th_UWL</v>
      </c>
      <c r="AF11" s="67">
        <f t="shared" si="6"/>
        <v>2</v>
      </c>
      <c r="AJ11" s="89">
        <f>SUM(AJ8:AJ10)</f>
        <v>19.93</v>
      </c>
      <c r="AL11" s="89">
        <f>SUM(AL8:AL10)</f>
        <v>21.31</v>
      </c>
      <c r="AM11" s="84" t="str">
        <f>CONCATENATE("m'(",AG9,")=")</f>
        <v>m'(2)=</v>
      </c>
      <c r="AN11" s="84">
        <f>(2*(AN8^2)/24*AL11)+(AN10*AG8*WLS)</f>
        <v>16.515900000000002</v>
      </c>
      <c r="AO11" s="84" t="str">
        <f>CONCATENATE("M(",AG8,")=")</f>
        <v>M(1)=</v>
      </c>
      <c r="AP11" s="84">
        <f>VLOOKUP(AG8,STN_TABLE,4,FALSE)</f>
        <v>2.5762019999999999</v>
      </c>
      <c r="AQ11" t="str">
        <f>CONCATENATE("M(",AG9,")=")</f>
        <v>M(2)=</v>
      </c>
      <c r="AR11">
        <f>AN11+AP11</f>
        <v>19.092102000000001</v>
      </c>
    </row>
    <row r="12" spans="1:46" x14ac:dyDescent="0.25">
      <c r="A12">
        <v>9</v>
      </c>
      <c r="B12" s="80">
        <f t="shared" si="2"/>
        <v>5.6111111111111107</v>
      </c>
      <c r="C12" s="81">
        <f t="shared" si="3"/>
        <v>2.61</v>
      </c>
      <c r="D12" s="81">
        <f t="shared" si="4"/>
        <v>33.988599999999998</v>
      </c>
      <c r="E12" s="77">
        <f t="shared" si="5"/>
        <v>198.76326866666665</v>
      </c>
      <c r="Q12" s="90" t="s">
        <v>109</v>
      </c>
      <c r="R12" s="81"/>
      <c r="AE12" s="66" t="str">
        <f t="shared" si="6"/>
        <v>5th_UWL</v>
      </c>
      <c r="AF12" s="67">
        <f t="shared" si="6"/>
        <v>3</v>
      </c>
      <c r="AI12" t="s">
        <v>103</v>
      </c>
      <c r="AK12" t="str">
        <f>CONCATENATE("A(",AG9,")=")</f>
        <v>A(2)=</v>
      </c>
      <c r="AL12">
        <f>IF(OR(AR10&lt;=0,AR11&lt;=0),AR15,AR10)</f>
        <v>7.8845999999999998</v>
      </c>
    </row>
    <row r="13" spans="1:46" x14ac:dyDescent="0.25">
      <c r="A13">
        <v>10</v>
      </c>
      <c r="B13" s="80">
        <f t="shared" si="2"/>
        <v>6</v>
      </c>
      <c r="C13" s="81">
        <f t="shared" si="3"/>
        <v>3.1</v>
      </c>
      <c r="D13" s="81">
        <f t="shared" si="4"/>
        <v>37.947599999999994</v>
      </c>
      <c r="E13" s="77">
        <f t="shared" si="5"/>
        <v>239.64700200000004</v>
      </c>
      <c r="G13" s="71" t="s">
        <v>110</v>
      </c>
      <c r="Q13" s="66" t="str">
        <f t="shared" ref="Q13:R16" si="7">G4</f>
        <v>Rise</v>
      </c>
      <c r="R13" s="67">
        <f t="shared" si="7"/>
        <v>0.3666666666666667</v>
      </c>
      <c r="S13" s="68">
        <f>IF(R16-R15=R15-R14,R14,IF(R16-R14=R14-R13,R13,"-"))</f>
        <v>0.5</v>
      </c>
      <c r="T13" s="69">
        <f>IFERROR(VLOOKUP(S13,STN_TABLE,2,FALSE),IF(R13=RisePerWLS,0,"-"))</f>
        <v>0.64</v>
      </c>
      <c r="U13" s="69">
        <v>1</v>
      </c>
      <c r="V13" s="69">
        <f>T13*U13</f>
        <v>0.64</v>
      </c>
      <c r="W13" s="69">
        <f>S13</f>
        <v>0.5</v>
      </c>
      <c r="X13" s="69">
        <f>V13*W13</f>
        <v>0.32</v>
      </c>
      <c r="Y13" s="6" t="s">
        <v>93</v>
      </c>
      <c r="Z13" s="70">
        <f>IF(AND(T13=0,T14=0,T15=0),WLS*(S15-S14),IF(AND(S15-S14=S14-S13,S14&lt;&gt;S15,S13&lt;&gt;S14,S13&lt;&gt;S15,T15&lt;&gt;0,OR(T13&lt;&gt;0,T14&lt;&gt;0)),WLS*(S15-S14),"#NA"))</f>
        <v>0.9</v>
      </c>
      <c r="AE13" s="66" t="str">
        <f t="shared" si="6"/>
        <v>6th_UWL</v>
      </c>
      <c r="AF13" s="67">
        <f t="shared" si="6"/>
        <v>4</v>
      </c>
      <c r="AK13" t="str">
        <f>CONCATENATE("M(",AG9,")=")</f>
        <v>M(2)=</v>
      </c>
      <c r="AL13">
        <f>IF(OR(AR10&lt;=0,AR11&lt;=0),AR16,AR11)</f>
        <v>19.092102000000001</v>
      </c>
      <c r="AM13" s="6" t="s">
        <v>93</v>
      </c>
      <c r="AN13" s="70">
        <f>WLS*(AI15-AI14)</f>
        <v>0.9</v>
      </c>
    </row>
    <row r="14" spans="1:46" x14ac:dyDescent="0.25">
      <c r="A14">
        <v>11</v>
      </c>
      <c r="B14" s="80">
        <f t="shared" si="2"/>
        <v>7</v>
      </c>
      <c r="C14" s="81">
        <f t="shared" si="3"/>
        <v>4.42</v>
      </c>
      <c r="D14" s="81">
        <f t="shared" si="4"/>
        <v>51.501599999999996</v>
      </c>
      <c r="E14" s="77">
        <f t="shared" si="5"/>
        <v>399.34660200000008</v>
      </c>
      <c r="G14" s="91" t="str">
        <f>G4</f>
        <v>Rise</v>
      </c>
      <c r="H14" s="91">
        <f>RisePerWLS</f>
        <v>0.3666666666666667</v>
      </c>
      <c r="I14" s="68">
        <f>H14</f>
        <v>0.3666666666666667</v>
      </c>
      <c r="J14" s="69">
        <v>0</v>
      </c>
      <c r="K14" s="69">
        <v>5</v>
      </c>
      <c r="L14" s="69">
        <f>J14*K14</f>
        <v>0</v>
      </c>
      <c r="M14" s="69">
        <v>3</v>
      </c>
      <c r="N14" s="69">
        <f>J14*M14</f>
        <v>0</v>
      </c>
      <c r="O14" t="s">
        <v>93</v>
      </c>
      <c r="P14" t="e">
        <f>IF(AND(NOT(AND(J14=0,J15=0)),I14&lt;&gt;I15,I15&lt;&gt;I16,I16-I15=I15-I14),(I16-I15)*WLS,"#NA")</f>
        <v>#VALUE!</v>
      </c>
      <c r="Q14" s="66" t="str">
        <f t="shared" si="7"/>
        <v>1st_UWL</v>
      </c>
      <c r="R14" s="67">
        <f t="shared" si="7"/>
        <v>0.5</v>
      </c>
      <c r="S14" s="76">
        <f>IF(R16-R15=R15-R14,R15,IF(R16-R14=R14-R13,R14,"-"))</f>
        <v>1</v>
      </c>
      <c r="T14" s="77">
        <f>VLOOKUP(S14,STN_TABLE,2,FALSE)</f>
        <v>1.27</v>
      </c>
      <c r="U14" s="77">
        <v>4</v>
      </c>
      <c r="V14" s="77">
        <f>T14*U14</f>
        <v>5.08</v>
      </c>
      <c r="W14" s="77">
        <f>S14</f>
        <v>1</v>
      </c>
      <c r="X14" s="77">
        <f>V14*W14</f>
        <v>5.08</v>
      </c>
      <c r="Y14" s="78" t="s">
        <v>97</v>
      </c>
      <c r="Z14" s="78"/>
      <c r="AA14" s="78" t="s">
        <v>98</v>
      </c>
      <c r="AB14" s="78"/>
      <c r="AC14" s="7" t="s">
        <v>99</v>
      </c>
      <c r="AD14" s="7"/>
      <c r="AE14" s="66"/>
      <c r="AF14" s="67"/>
      <c r="AI14" s="79">
        <f>AF10</f>
        <v>1.5</v>
      </c>
      <c r="AJ14" s="68">
        <f>VLOOKUP(AI14,STN_TABLE,2,FALSE)</f>
        <v>1.68</v>
      </c>
      <c r="AK14" s="68">
        <v>1</v>
      </c>
      <c r="AL14" s="69">
        <f>AJ14*AK14</f>
        <v>1.68</v>
      </c>
      <c r="AM14" s="78" t="s">
        <v>97</v>
      </c>
      <c r="AN14" s="78"/>
      <c r="AO14" s="78" t="s">
        <v>98</v>
      </c>
      <c r="AP14" s="78"/>
      <c r="AQ14" s="7" t="s">
        <v>99</v>
      </c>
      <c r="AR14" s="7"/>
      <c r="AS14" s="7"/>
      <c r="AT14" s="7"/>
    </row>
    <row r="15" spans="1:46" x14ac:dyDescent="0.25">
      <c r="A15">
        <v>12</v>
      </c>
      <c r="B15" s="80">
        <f t="shared" si="2"/>
        <v>7.8833333333333329</v>
      </c>
      <c r="C15" s="81">
        <f t="shared" si="3"/>
        <v>5.76</v>
      </c>
      <c r="D15" s="81">
        <f t="shared" si="4"/>
        <v>67.687799999999982</v>
      </c>
      <c r="E15" s="77">
        <f t="shared" si="5"/>
        <v>616.72536000000002</v>
      </c>
      <c r="G15" s="91" t="str">
        <f>G5</f>
        <v>1st_UWL</v>
      </c>
      <c r="H15" s="91">
        <f>H5</f>
        <v>0.5</v>
      </c>
      <c r="I15" s="76">
        <f>H15</f>
        <v>0.5</v>
      </c>
      <c r="J15" s="77">
        <f>VLOOKUP(I15,STN_TABLE,2,FALSE)</f>
        <v>0.64</v>
      </c>
      <c r="K15" s="77">
        <v>8</v>
      </c>
      <c r="L15" s="77">
        <f>J15*K15</f>
        <v>5.12</v>
      </c>
      <c r="M15" s="77">
        <v>10</v>
      </c>
      <c r="N15" s="77">
        <f>J15*M15</f>
        <v>6.4</v>
      </c>
      <c r="O15" t="str">
        <f>CONCATENATE("A(",I15,")=")</f>
        <v>A(0.5)=</v>
      </c>
      <c r="P15" t="e">
        <f>2*P14/12*L17</f>
        <v>#VALUE!</v>
      </c>
      <c r="Q15" s="66" t="str">
        <f t="shared" si="7"/>
        <v>2nd_UWL</v>
      </c>
      <c r="R15" s="67">
        <f t="shared" si="7"/>
        <v>1</v>
      </c>
      <c r="S15" s="82">
        <f>R16</f>
        <v>1.5</v>
      </c>
      <c r="T15" s="83">
        <f>VLOOKUP(S15,STN_TABLE,2,FALSE)</f>
        <v>1.68</v>
      </c>
      <c r="U15" s="83">
        <v>1</v>
      </c>
      <c r="V15" s="83">
        <f>T15*U15</f>
        <v>1.68</v>
      </c>
      <c r="W15" s="83">
        <f>S15</f>
        <v>1.5</v>
      </c>
      <c r="X15" s="83">
        <f>V15*W15</f>
        <v>2.52</v>
      </c>
      <c r="Y15" s="84" t="str">
        <f>CONCATENATE("a'(",S15,")=")</f>
        <v>a'(1.5)=</v>
      </c>
      <c r="Z15" s="84">
        <f>2*Z13/3*V16</f>
        <v>4.4399999999999995</v>
      </c>
      <c r="AA15" s="84" t="str">
        <f>CONCATENATE("A(",S13,")=")</f>
        <v>A(0.5)=</v>
      </c>
      <c r="AB15" s="84">
        <f>IF(S13=RisePerWLS,0,VLOOKUP(S13,STN_TABLE,3,FALSE))</f>
        <v>0.15359999999999999</v>
      </c>
      <c r="AC15" t="str">
        <f>CONCATENATE("A(",S15,")=")</f>
        <v>A(1.5)=</v>
      </c>
      <c r="AD15">
        <f>Z15+AB15</f>
        <v>4.5935999999999995</v>
      </c>
      <c r="AE15" s="80"/>
      <c r="AI15" s="88">
        <f>AF11</f>
        <v>2</v>
      </c>
      <c r="AJ15" s="82">
        <f>VLOOKUP(AI15,STN_TABLE,2,FALSE)</f>
        <v>1.96</v>
      </c>
      <c r="AK15" s="82">
        <v>2</v>
      </c>
      <c r="AL15" s="83">
        <f>AJ15*AK15</f>
        <v>3.92</v>
      </c>
      <c r="AM15" s="84" t="str">
        <f>CONCATENATE("a'(",AI15,")=")</f>
        <v>a'(2)=</v>
      </c>
      <c r="AN15" s="84">
        <f>2*AN13/2*AJ16</f>
        <v>3.2759999999999998</v>
      </c>
      <c r="AO15" s="84" t="str">
        <f>CONCATENATE("A(",AI14,")=")</f>
        <v>A(1.5)=</v>
      </c>
      <c r="AP15" s="84">
        <f>IF(AI14=RisePerWLS,0,VLOOKUP(AI14,STN_TABLE,3,FALSE))</f>
        <v>4.5935999999999995</v>
      </c>
      <c r="AQ15" t="str">
        <f>CONCATENATE("A(",AI15,")=")</f>
        <v>A(2)=</v>
      </c>
      <c r="AR15">
        <f>AN15+AP15</f>
        <v>7.8695999999999993</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1</v>
      </c>
      <c r="I16" s="82" t="str">
        <f>IF(H16-H15=H15-H14,H16,"#NA")</f>
        <v>#NA</v>
      </c>
      <c r="J16" s="83" t="e">
        <f>VLOOKUP(I16,STN_TABLE,2,FALSE)</f>
        <v>#N/A</v>
      </c>
      <c r="K16" s="83">
        <v>-1</v>
      </c>
      <c r="L16" s="83" t="e">
        <f>J16*K16</f>
        <v>#N/A</v>
      </c>
      <c r="M16" s="83">
        <v>-1</v>
      </c>
      <c r="N16" s="83" t="e">
        <f>J16*M16</f>
        <v>#N/A</v>
      </c>
      <c r="O16" t="str">
        <f>CONCATENATE("M(",I15,")=")</f>
        <v>M(0.5)=</v>
      </c>
      <c r="P16" t="e">
        <f>(2*(P14^2)/24*N17)+P15*I14*WLS</f>
        <v>#VALUE!</v>
      </c>
      <c r="Q16" s="66" t="str">
        <f t="shared" si="7"/>
        <v>3rd_UWL</v>
      </c>
      <c r="R16" s="67">
        <f t="shared" si="7"/>
        <v>1.5</v>
      </c>
      <c r="V16" s="89">
        <f>SUM(V13:V15)</f>
        <v>7.3999999999999995</v>
      </c>
      <c r="X16" s="89">
        <f>SUM(X13:X15)</f>
        <v>7.92</v>
      </c>
      <c r="Y16" s="84" t="str">
        <f>CONCATENATE("m'(",S15,")=")</f>
        <v>m'(1.5)=</v>
      </c>
      <c r="Z16" s="84">
        <f>2*(Z13*WLS)/3*X16</f>
        <v>8.5536000000000012</v>
      </c>
      <c r="AA16" s="84" t="str">
        <f>CONCATENATE("M(",S13,")=")</f>
        <v>M(0.5)=</v>
      </c>
      <c r="AB16" s="84">
        <f>IF(S13=RisePerWLS,0,VLOOKUP(S13,STN_TABLE,4,FALSE))</f>
        <v>0.12595200000000001</v>
      </c>
      <c r="AC16" t="str">
        <f>CONCATENATE("M(",S15,")=")</f>
        <v>M(1.5)=</v>
      </c>
      <c r="AD16">
        <f>Z16+AB16</f>
        <v>8.679552000000001</v>
      </c>
      <c r="AE16" s="80"/>
      <c r="AJ16" s="89">
        <f>SUM(AJ14:AJ15)</f>
        <v>3.6399999999999997</v>
      </c>
      <c r="AL16" s="89">
        <f>SUM(AL14:AL15)</f>
        <v>5.6</v>
      </c>
      <c r="AM16" s="84" t="str">
        <f>CONCATENATE("m'(",AI15,")=")</f>
        <v>m'(2)=</v>
      </c>
      <c r="AN16" s="84">
        <f>(2*(AN13^2)/6*AL16)+(AN15*AI14*WLS)</f>
        <v>10.357200000000001</v>
      </c>
      <c r="AO16" s="84" t="str">
        <f>CONCATENATE("M(",AI14,")=")</f>
        <v>M(1.5)=</v>
      </c>
      <c r="AP16" s="84">
        <f>IF(AI14=RisePerWLS,0,VLOOKUP(AI14,STN_TABLE,4,FALSE))</f>
        <v>8.679552000000001</v>
      </c>
      <c r="AQ16" t="str">
        <f>CONCATENATE("M(",AI15,")=")</f>
        <v>M(2)=</v>
      </c>
      <c r="AR16">
        <f>AN16+AP16</f>
        <v>19.036752</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A(0.5)=</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M(0.5)=</v>
      </c>
      <c r="N19" t="e">
        <f>IF(OR(P15&lt;=0,P16&lt;=0),N23,P16)</f>
        <v>#VALUE!</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f>IF(OR(R24-R23=R23-R22,R25-R23=R23-R22),R22,IF(OR(R24-R23=R23-R21,R25-R23=R23-R21),R21,"-"))</f>
        <v>1</v>
      </c>
      <c r="T20" s="69">
        <f>IFERROR(VLOOKUP(S20,STN_TABLE,2,FALSE),IF(R20=RisePerWLS,0,"-"))</f>
        <v>1.27</v>
      </c>
      <c r="U20" s="69">
        <v>5</v>
      </c>
      <c r="V20" s="69">
        <f>T20*U20</f>
        <v>6.35</v>
      </c>
      <c r="W20" s="69">
        <v>3</v>
      </c>
      <c r="X20" s="69">
        <f>T20*W20</f>
        <v>3.81</v>
      </c>
      <c r="Y20" s="6" t="s">
        <v>93</v>
      </c>
      <c r="Z20" s="70">
        <f>IF(AND(S22-S21=S21-S20,NOT(AND(S20=0,S21=0)),NOT(AND(S21=0,S22=0))),WLS*(S22-S21),"#NA")</f>
        <v>0.9</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0.3666666666666667</v>
      </c>
      <c r="J21" s="68">
        <v>0</v>
      </c>
      <c r="K21" s="68">
        <v>1</v>
      </c>
      <c r="L21" s="69">
        <f>J21*K21</f>
        <v>0</v>
      </c>
      <c r="M21" t="s">
        <v>93</v>
      </c>
      <c r="N21">
        <f>(I22-I21)*WLS</f>
        <v>0.23999999999999996</v>
      </c>
      <c r="Q21" s="66" t="str">
        <f t="shared" ref="Q21:R25" si="8">G5</f>
        <v>1st_UWL</v>
      </c>
      <c r="R21" s="67">
        <f t="shared" si="8"/>
        <v>0.5</v>
      </c>
      <c r="S21" s="76">
        <f>R23</f>
        <v>1.5</v>
      </c>
      <c r="T21" s="77">
        <f>VLOOKUP(S21,STN_TABLE,2,FALSE)</f>
        <v>1.68</v>
      </c>
      <c r="U21" s="77">
        <v>8</v>
      </c>
      <c r="V21" s="77">
        <f>T21*U21</f>
        <v>13.44</v>
      </c>
      <c r="W21" s="77">
        <v>10</v>
      </c>
      <c r="X21" s="77">
        <f>T21*W21</f>
        <v>16.8</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0.5</v>
      </c>
      <c r="J22" s="82">
        <f>VLOOKUP(I22,STN_TABLE,2,FALSE)</f>
        <v>0.64</v>
      </c>
      <c r="K22" s="82">
        <v>2</v>
      </c>
      <c r="L22" s="83">
        <f>J22*K22</f>
        <v>1.28</v>
      </c>
      <c r="M22" t="str">
        <f>CONCATENATE("A(",I22,")=")</f>
        <v>A(0.5)=</v>
      </c>
      <c r="N22">
        <f>2*N21/2*J23</f>
        <v>0.15359999999999999</v>
      </c>
      <c r="Q22" s="66" t="str">
        <f t="shared" si="8"/>
        <v>2nd_UWL</v>
      </c>
      <c r="R22" s="67">
        <f t="shared" si="8"/>
        <v>1</v>
      </c>
      <c r="S22" s="82">
        <f>IF(S20-S21=S21-R24,R24,IF(S20-S21=S21-R25,R25,"-"))</f>
        <v>2</v>
      </c>
      <c r="T22" s="83">
        <f>VLOOKUP(S22,STN_TABLE,2,FALSE)</f>
        <v>1.96</v>
      </c>
      <c r="U22" s="83">
        <v>-1</v>
      </c>
      <c r="V22" s="83">
        <f>T22*U22</f>
        <v>-1.96</v>
      </c>
      <c r="W22" s="83">
        <v>-1</v>
      </c>
      <c r="X22" s="83">
        <f>T22*W22</f>
        <v>-1.96</v>
      </c>
      <c r="Y22" s="84" t="str">
        <f>CONCATENATE("a'(",S21,")=")</f>
        <v>a'(1.5)=</v>
      </c>
      <c r="Z22" s="84">
        <f>2*Z20/12*V23</f>
        <v>2.6744999999999997</v>
      </c>
      <c r="AA22" s="84" t="str">
        <f>CONCATENATE("A(",S20,")=")</f>
        <v>A(1)=</v>
      </c>
      <c r="AB22" s="84">
        <f>IF(S20=RisePerWLS,0,VLOOKUP(S20,STN_TABLE,3,FALSE))</f>
        <v>1.9056</v>
      </c>
      <c r="AC22" t="str">
        <f>CONCATENATE("A(",S21,")=")</f>
        <v>A(1.5)=</v>
      </c>
      <c r="AD22">
        <f>Z22+AB22</f>
        <v>4.5800999999999998</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0.64</v>
      </c>
      <c r="L23" s="89">
        <f>SUM(L21:L22)</f>
        <v>1.28</v>
      </c>
      <c r="M23" t="str">
        <f>CONCATENATE("M(",I22,")=")</f>
        <v>M(0.5)=</v>
      </c>
      <c r="N23">
        <f>(2*(N21^2)/6*L23)+N22*I21*WLS</f>
        <v>0.12595200000000001</v>
      </c>
      <c r="Q23" s="66" t="str">
        <f t="shared" si="8"/>
        <v>3rd_UWL</v>
      </c>
      <c r="R23" s="67">
        <f t="shared" si="8"/>
        <v>1.5</v>
      </c>
      <c r="V23" s="89">
        <f>SUM(V20:V22)</f>
        <v>17.829999999999998</v>
      </c>
      <c r="X23" s="89">
        <f>SUM(X20:X22)</f>
        <v>18.649999999999999</v>
      </c>
      <c r="Y23" s="84" t="str">
        <f>CONCATENATE("m'(",S21,")=")</f>
        <v>m'(1.5)=</v>
      </c>
      <c r="Z23" s="84">
        <f>(2*(Z20^2)/24*X23)+(Z22*S20*WLS)</f>
        <v>6.0729749999999996</v>
      </c>
      <c r="AA23" s="84" t="str">
        <f>CONCATENATE("M(",S20,")=")</f>
        <v>M(1)=</v>
      </c>
      <c r="AB23" s="84">
        <f>IF(S20=RisePerWLS,0,VLOOKUP(S20,STN_TABLE,4,FALSE))</f>
        <v>2.5762019999999999</v>
      </c>
      <c r="AC23" t="str">
        <f>CONCATENATE("M(",S21,")=")</f>
        <v>M(1.5)=</v>
      </c>
      <c r="AD23">
        <f>Z23+AB23</f>
        <v>8.6491769999999999</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2</v>
      </c>
      <c r="U24" t="s">
        <v>103</v>
      </c>
      <c r="W24" t="str">
        <f>CONCATENATE("A(",S21,")=")</f>
        <v>A(1.5)=</v>
      </c>
      <c r="X24">
        <f>IF(OR(AD22&lt;=0,AD23&lt;=0),AD27,AD22)</f>
        <v>4.5800999999999998</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f t="shared" si="8"/>
        <v>3</v>
      </c>
      <c r="W25" t="str">
        <f>CONCATENATE("M(",S21,")=")</f>
        <v>M(1.5)=</v>
      </c>
      <c r="X25">
        <f>IF(OR(AD22&lt;=0,AD23&lt;=0),AD28,AD23)</f>
        <v>8.6491769999999999</v>
      </c>
      <c r="Y25" s="6" t="s">
        <v>93</v>
      </c>
      <c r="Z25" s="70">
        <f>WLS*(U27-U26)</f>
        <v>0.9</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0.3666666666666667</v>
      </c>
      <c r="I26" s="68">
        <f>H26</f>
        <v>0.3666666666666667</v>
      </c>
      <c r="J26" s="69">
        <v>0</v>
      </c>
      <c r="K26" s="69">
        <v>1</v>
      </c>
      <c r="L26" s="69">
        <f>J26*K26</f>
        <v>0</v>
      </c>
      <c r="M26" s="69">
        <f>I26</f>
        <v>0.3666666666666667</v>
      </c>
      <c r="N26" s="69">
        <f>L26*M26</f>
        <v>0</v>
      </c>
      <c r="O26" t="s">
        <v>93</v>
      </c>
      <c r="P26" t="e">
        <f>IF(OR(J26=0,J27=0,J28=0),"#NA",IF(I28-I27=I27-I26,WLS*(I27-I26),"#NA"))</f>
        <v>#N/A</v>
      </c>
      <c r="Q26" s="66"/>
      <c r="R26" s="67"/>
      <c r="U26" s="79">
        <f>R22</f>
        <v>1</v>
      </c>
      <c r="V26" s="68">
        <f>VLOOKUP(U26,STN_TABLE,2,FALSE)</f>
        <v>1.27</v>
      </c>
      <c r="W26" s="68">
        <v>1</v>
      </c>
      <c r="X26" s="69">
        <f>V26*W26</f>
        <v>1.27</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0.5</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1.5</v>
      </c>
      <c r="V27" s="82">
        <f>VLOOKUP(U27,STN_TABLE,2,FALSE)</f>
        <v>1.68</v>
      </c>
      <c r="W27" s="82">
        <v>2</v>
      </c>
      <c r="X27" s="83">
        <f>V27*W27</f>
        <v>3.36</v>
      </c>
      <c r="Y27" s="84" t="str">
        <f>CONCATENATE("a'(",U27,")=")</f>
        <v>a'(1.5)=</v>
      </c>
      <c r="Z27" s="84">
        <f>2*Z25/2*V28</f>
        <v>2.6550000000000002</v>
      </c>
      <c r="AA27" s="84" t="str">
        <f>CONCATENATE("A(",U26,")=")</f>
        <v>A(1)=</v>
      </c>
      <c r="AB27" s="84">
        <f>IF(U26=RisePerWLS,0,VLOOKUP(U26,STN_TABLE,3,FALSE))</f>
        <v>1.9056</v>
      </c>
      <c r="AC27" t="str">
        <f>CONCATENATE("A(",U27,")=")</f>
        <v>A(1.5)=</v>
      </c>
      <c r="AD27">
        <f>Z27+AB27</f>
        <v>4.5606</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1</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2.95</v>
      </c>
      <c r="X28" s="89">
        <f>SUM(X26:X27)</f>
        <v>4.63</v>
      </c>
      <c r="Y28" s="84" t="str">
        <f>CONCATENATE("m'(",U27,")=")</f>
        <v>m'(1.5)=</v>
      </c>
      <c r="Z28" s="84">
        <f>(2*(Z25^2)/6*X28)+(Z27*U26*WLS)</f>
        <v>6.0291000000000006</v>
      </c>
      <c r="AA28" s="84" t="str">
        <f>CONCATENATE("M(",U26,")=")</f>
        <v>M(1)=</v>
      </c>
      <c r="AB28" s="84">
        <f>IF(U26=RisePerWLS,0,VLOOKUP(U26,STN_TABLE,4,FALSE))</f>
        <v>2.5762019999999999</v>
      </c>
      <c r="AC28" t="str">
        <f>CONCATENATE("M(",U27,")=")</f>
        <v>M(1.5)=</v>
      </c>
      <c r="AD28">
        <f>Z28+AB28</f>
        <v>8.605302</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0.64</v>
      </c>
      <c r="S33" s="77">
        <v>8</v>
      </c>
      <c r="T33" s="76">
        <f>R33*S33</f>
        <v>5.12</v>
      </c>
      <c r="U33" s="80">
        <v>10</v>
      </c>
      <c r="V33" s="76">
        <f>R33*U33</f>
        <v>6.4</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1.27</v>
      </c>
      <c r="S34" s="83">
        <v>-1</v>
      </c>
      <c r="T34" s="82">
        <f>R34*S34</f>
        <v>-1.27</v>
      </c>
      <c r="U34" s="88">
        <v>-1</v>
      </c>
      <c r="V34" s="82">
        <f>R34*U34</f>
        <v>-1.27</v>
      </c>
      <c r="W34" s="84" t="str">
        <f>CONCATENATE("a'(",Q33,")=")</f>
        <v>a'(0.5)=</v>
      </c>
      <c r="X34" s="84">
        <f>2*X32/12*T35</f>
        <v>0.57750000000000001</v>
      </c>
      <c r="Y34" s="84" t="str">
        <f>CONCATENATE("A(",Q32,")=")</f>
        <v>A(0)=</v>
      </c>
      <c r="Z34" s="84">
        <f>VLOOKUP(Q32,STN_TABLE,3,FALSE)</f>
        <v>0</v>
      </c>
      <c r="AA34" t="str">
        <f>CONCATENATE("A(",Q33,")=")</f>
        <v>A(0.5)=</v>
      </c>
      <c r="AB34">
        <f>X34+Z34</f>
        <v>0.57750000000000001</v>
      </c>
      <c r="AC34" s="99">
        <f>AC33+1</f>
        <v>2</v>
      </c>
      <c r="AD34" s="100">
        <f>VLOOKUP(AC34,STN_TABLE_2,2,FALSE)</f>
        <v>0.5</v>
      </c>
      <c r="AE34" s="82">
        <f>VLOOKUP(AD34,STN_TABLE,2,FALSE)</f>
        <v>0.64</v>
      </c>
      <c r="AF34" s="82">
        <v>2</v>
      </c>
      <c r="AG34" s="83">
        <f>AE34*AF34</f>
        <v>1.28</v>
      </c>
      <c r="AH34" s="84" t="str">
        <f>CONCATENATE("a'(",AD34,")=")</f>
        <v>a'(0.5)=</v>
      </c>
      <c r="AI34" s="84">
        <f>2*AI32/2*AE35</f>
        <v>0.57600000000000007</v>
      </c>
      <c r="AJ34" s="84" t="str">
        <f>CONCATENATE("A(",AD33,")=")</f>
        <v>A(0)=</v>
      </c>
      <c r="AK34" s="84">
        <f>VLOOKUP(AD33,STN_TABLE,3,FALSE)</f>
        <v>0</v>
      </c>
      <c r="AL34" t="str">
        <f>CONCATENATE("A(",AD34,")=")</f>
        <v>A(0.5)=</v>
      </c>
      <c r="AM34">
        <f>AI34+AK34</f>
        <v>0.57600000000000007</v>
      </c>
      <c r="AO34" s="68" t="str">
        <f>AA34</f>
        <v>A(0.5)=</v>
      </c>
      <c r="AP34" s="79">
        <f>VLOOKUP(AO34,Rise_Results,2,FALSE)</f>
        <v>0.15359999999999999</v>
      </c>
      <c r="AQ34" s="76" t="s">
        <v>117</v>
      </c>
      <c r="AR34" s="76">
        <f>IF(OR(AB34&lt;=0,AB35&lt;=0),1/0,AB34)</f>
        <v>0.57750000000000001</v>
      </c>
      <c r="AS34" s="76">
        <f>AM34</f>
        <v>0.57600000000000007</v>
      </c>
      <c r="AT34" s="80">
        <f>IFERROR(AP34,IFERROR(AR34,AS34))</f>
        <v>0.15359999999999999</v>
      </c>
    </row>
    <row r="35" spans="1:47" x14ac:dyDescent="0.25">
      <c r="A35" s="101"/>
      <c r="T35" s="89">
        <f>SUM(T32:T34)</f>
        <v>3.85</v>
      </c>
      <c r="V35" s="82">
        <f>SUM(V32:V34)</f>
        <v>5.1300000000000008</v>
      </c>
      <c r="W35" s="84" t="str">
        <f>CONCATENATE("m'(",Q33,")=")</f>
        <v>m'(0.5)=</v>
      </c>
      <c r="X35" s="84">
        <f>(2*(X32^2)/24*V35)</f>
        <v>0.34627500000000005</v>
      </c>
      <c r="Y35" s="84" t="str">
        <f>CONCATENATE("M(",Q32,")=")</f>
        <v>M(0)=</v>
      </c>
      <c r="Z35" s="84">
        <f>VLOOKUP(Q32,STN_TABLE,4,FALSE)</f>
        <v>0</v>
      </c>
      <c r="AA35" t="str">
        <f>CONCATENATE("M(",Q33,")=")</f>
        <v>M(0.5)=</v>
      </c>
      <c r="AB35">
        <f>X35+Z35</f>
        <v>0.34627500000000005</v>
      </c>
      <c r="AE35" s="89">
        <f>SUM(AE33:AE34)</f>
        <v>0.64</v>
      </c>
      <c r="AG35" s="89">
        <f>SUM(AG33:AG34)</f>
        <v>1.28</v>
      </c>
      <c r="AH35" s="84" t="str">
        <f>CONCATENATE("m'(",AD34,")=")</f>
        <v>m'(0.5)=</v>
      </c>
      <c r="AI35" s="84">
        <f>(2*(AI32^2)/6*AG35)+(AI34*AD33*WLS)</f>
        <v>0.34560000000000002</v>
      </c>
      <c r="AJ35" s="84" t="str">
        <f>CONCATENATE("M(",AD33,")=")</f>
        <v>M(0)=</v>
      </c>
      <c r="AK35" s="84">
        <f>VLOOKUP(AD33,STN_TABLE,4,FALSE)</f>
        <v>0</v>
      </c>
      <c r="AL35" t="str">
        <f>CONCATENATE("M(",AD34,")=")</f>
        <v>M(0.5)=</v>
      </c>
      <c r="AM35">
        <f>AI35+AK35</f>
        <v>0.34560000000000002</v>
      </c>
      <c r="AO35" s="82" t="str">
        <f>AA35</f>
        <v>M(0.5)=</v>
      </c>
      <c r="AP35" s="88">
        <f>VLOOKUP(AO35,Rise_Results,2,FALSE)</f>
        <v>0.12595200000000001</v>
      </c>
      <c r="AQ35" s="82" t="s">
        <v>117</v>
      </c>
      <c r="AR35" s="82">
        <f>IF(OR(AB34&lt;=0,AB35&lt;=0),1/0,AB35)</f>
        <v>0.34627500000000005</v>
      </c>
      <c r="AS35" s="82">
        <f>AM35</f>
        <v>0.34560000000000002</v>
      </c>
      <c r="AT35" s="80">
        <f>IFERROR(AP35,IFERROR(AR35,AS35))</f>
        <v>0.12595200000000001</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0.64</v>
      </c>
      <c r="S37" s="69">
        <v>5</v>
      </c>
      <c r="T37" s="68">
        <f>R37*S37</f>
        <v>3.2</v>
      </c>
      <c r="U37" s="79">
        <v>3</v>
      </c>
      <c r="V37" s="68">
        <f>R37*U37</f>
        <v>1.92</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0.64</v>
      </c>
      <c r="E38" s="81">
        <v>4</v>
      </c>
      <c r="F38" s="76">
        <f>D38*E38</f>
        <v>2.56</v>
      </c>
      <c r="G38" s="77">
        <f>C38</f>
        <v>0.5</v>
      </c>
      <c r="H38" s="77">
        <f>F38*G38</f>
        <v>1.28</v>
      </c>
      <c r="I38" s="513" t="s">
        <v>97</v>
      </c>
      <c r="J38" s="513"/>
      <c r="K38" s="78" t="s">
        <v>98</v>
      </c>
      <c r="L38" s="78"/>
      <c r="M38" s="7" t="s">
        <v>99</v>
      </c>
      <c r="N38" s="7"/>
      <c r="O38" s="99">
        <f>O37+1</f>
        <v>3</v>
      </c>
      <c r="P38" s="99">
        <f t="shared" si="10"/>
        <v>1</v>
      </c>
      <c r="Q38" s="76">
        <f>P38</f>
        <v>1</v>
      </c>
      <c r="R38" s="77">
        <f>VLOOKUP(Q38,STN_TABLE,2,FALSE)</f>
        <v>1.27</v>
      </c>
      <c r="S38" s="77">
        <v>8</v>
      </c>
      <c r="T38" s="76">
        <f>R38*S38</f>
        <v>10.16</v>
      </c>
      <c r="U38" s="80">
        <v>10</v>
      </c>
      <c r="V38" s="76">
        <f>R38*U38</f>
        <v>12.7</v>
      </c>
      <c r="W38" s="513" t="s">
        <v>97</v>
      </c>
      <c r="X38" s="513"/>
      <c r="Y38" s="513" t="s">
        <v>98</v>
      </c>
      <c r="Z38" s="513"/>
      <c r="AA38" s="511" t="s">
        <v>99</v>
      </c>
      <c r="AB38" s="511"/>
      <c r="AC38" s="99">
        <f>AC33+1</f>
        <v>2</v>
      </c>
      <c r="AD38" s="95">
        <f>VLOOKUP(AC38,STN_TABLE_2,2,FALSE)</f>
        <v>0.5</v>
      </c>
      <c r="AE38" s="68">
        <f>VLOOKUP(AD38,STN_TABLE,2,FALSE)</f>
        <v>0.64</v>
      </c>
      <c r="AF38" s="68">
        <v>1</v>
      </c>
      <c r="AG38" s="69">
        <f>AE38*AF38</f>
        <v>0.64</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1.27</v>
      </c>
      <c r="E39" s="92">
        <v>1</v>
      </c>
      <c r="F39" s="82">
        <f>D39*E39</f>
        <v>1.27</v>
      </c>
      <c r="G39" s="83">
        <f>C39</f>
        <v>1</v>
      </c>
      <c r="H39" s="83">
        <f>F39*G39</f>
        <v>1.27</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1.68</v>
      </c>
      <c r="S39" s="83">
        <v>-1</v>
      </c>
      <c r="T39" s="82">
        <f>R39*S39</f>
        <v>-1.68</v>
      </c>
      <c r="U39" s="88">
        <v>-1</v>
      </c>
      <c r="V39" s="82">
        <f>R39*U39</f>
        <v>-1.68</v>
      </c>
      <c r="W39" s="84" t="str">
        <f>CONCATENATE("a'(",Q38,")=")</f>
        <v>a'(1)=</v>
      </c>
      <c r="X39" s="84">
        <f>2*X37/12*T40</f>
        <v>1.752</v>
      </c>
      <c r="Y39" s="84" t="str">
        <f>CONCATENATE("A(",Q37,")=")</f>
        <v>A(0.5)=</v>
      </c>
      <c r="Z39" s="84">
        <f>VLOOKUP(Q37,STN_TABLE,3,FALSE)</f>
        <v>0.15359999999999999</v>
      </c>
      <c r="AA39" t="str">
        <f>CONCATENATE("A(",Q38,")=")</f>
        <v>A(1)=</v>
      </c>
      <c r="AB39">
        <f>X39+Z39</f>
        <v>1.9056</v>
      </c>
      <c r="AC39" s="99">
        <f>AC38+1</f>
        <v>3</v>
      </c>
      <c r="AD39" s="100">
        <f>VLOOKUP(AC39,STN_TABLE_2,2,FALSE)</f>
        <v>1</v>
      </c>
      <c r="AE39" s="82">
        <f>VLOOKUP(AD39,STN_TABLE,2,FALSE)</f>
        <v>1.27</v>
      </c>
      <c r="AF39" s="82">
        <v>2</v>
      </c>
      <c r="AG39" s="83">
        <f>AE39*AF39</f>
        <v>2.54</v>
      </c>
      <c r="AH39" s="84" t="str">
        <f>CONCATENATE("a'(",AD39,")=")</f>
        <v>a'(1)=</v>
      </c>
      <c r="AI39" s="84">
        <f>2*AI37/2*AE40</f>
        <v>1.7190000000000001</v>
      </c>
      <c r="AJ39" s="84" t="str">
        <f>CONCATENATE("A(",AD38,")=")</f>
        <v>A(0.5)=</v>
      </c>
      <c r="AK39" s="84">
        <f>VLOOKUP(AD38,STN_TABLE,3,FALSE)</f>
        <v>0.15359999999999999</v>
      </c>
      <c r="AL39" t="str">
        <f>CONCATENATE("A(",AD39,")=")</f>
        <v>A(1)=</v>
      </c>
      <c r="AM39">
        <f>AI39+AK39</f>
        <v>1.8726</v>
      </c>
      <c r="AO39" s="68" t="str">
        <f>AA39</f>
        <v>A(1)=</v>
      </c>
      <c r="AP39" s="68">
        <f>VLOOKUP(AO39,Rise_Results,2,FALSE)</f>
        <v>1.9056</v>
      </c>
      <c r="AQ39" s="76" t="e">
        <f>N39</f>
        <v>#VALUE!</v>
      </c>
      <c r="AR39" s="76">
        <f>IF(OR(AB39&lt;=0,AB40&lt;=0),1/0,AB39)</f>
        <v>1.9056</v>
      </c>
      <c r="AS39" s="76">
        <f>AM39</f>
        <v>1.8726</v>
      </c>
      <c r="AT39">
        <f>IFERROR(AP39,IFERROR(AQ39,IFERROR(AR39,AS39)))</f>
        <v>1.9056</v>
      </c>
    </row>
    <row r="40" spans="1:47" x14ac:dyDescent="0.25">
      <c r="A40">
        <v>4</v>
      </c>
      <c r="F40" s="82">
        <f>SUM(F37:F39)</f>
        <v>3.83</v>
      </c>
      <c r="H40" s="82">
        <f>SUM(H37:H39)</f>
        <v>2.5499999999999998</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11.68</v>
      </c>
      <c r="V40" s="82">
        <f>SUM(V37:V39)</f>
        <v>12.94</v>
      </c>
      <c r="W40" s="84" t="str">
        <f>CONCATENATE("m'(",Q38,")=")</f>
        <v>m'(1)=</v>
      </c>
      <c r="X40" s="84">
        <f>(2*(X37^2)/24*V40)+(X39*Q37*WLS)</f>
        <v>2.45025</v>
      </c>
      <c r="Y40" s="84" t="str">
        <f>CONCATENATE("M(",Q37,")=")</f>
        <v>M(0.5)=</v>
      </c>
      <c r="Z40" s="84">
        <f>VLOOKUP(Q37,STN_TABLE,4,FALSE)</f>
        <v>0.12595200000000001</v>
      </c>
      <c r="AA40" t="str">
        <f>CONCATENATE("M(",Q38,")=")</f>
        <v>M(1)=</v>
      </c>
      <c r="AB40">
        <f>X40+Z40</f>
        <v>2.5762019999999999</v>
      </c>
      <c r="AE40" s="89">
        <f>SUM(AE38:AE39)</f>
        <v>1.9100000000000001</v>
      </c>
      <c r="AG40" s="89">
        <f>SUM(AG38:AG39)</f>
        <v>3.18</v>
      </c>
      <c r="AH40" s="84" t="str">
        <f>CONCATENATE("m'(",AD39,")=")</f>
        <v>m'(1)=</v>
      </c>
      <c r="AI40" s="84">
        <f>(2*(AI37^2)/6*AG40)+(AI39*AD38*WLS)</f>
        <v>2.4057000000000004</v>
      </c>
      <c r="AJ40" s="84" t="str">
        <f>CONCATENATE("M(",AD38,")=")</f>
        <v>M(0.5)=</v>
      </c>
      <c r="AK40" s="84">
        <f>VLOOKUP(AD38,STN_TABLE,4,FALSE)</f>
        <v>0.12595200000000001</v>
      </c>
      <c r="AL40" t="str">
        <f>CONCATENATE("M(",AD39,")=")</f>
        <v>M(1)=</v>
      </c>
      <c r="AM40">
        <f>AI40+AK40</f>
        <v>2.5316520000000002</v>
      </c>
      <c r="AO40" s="82" t="str">
        <f>AA40</f>
        <v>M(1)=</v>
      </c>
      <c r="AP40" s="82">
        <f>VLOOKUP(AO40,Rise_Results,2,FALSE)</f>
        <v>2.5762019999999999</v>
      </c>
      <c r="AQ40" s="82" t="e">
        <f>N40</f>
        <v>#VALUE!</v>
      </c>
      <c r="AR40" s="82">
        <f>IF(OR(AB39&lt;=0,AB40&lt;=0),1/0,AB40)</f>
        <v>2.5762019999999999</v>
      </c>
      <c r="AS40" s="82">
        <f>AM40</f>
        <v>2.5316520000000002</v>
      </c>
      <c r="AT40">
        <f>IFERROR(AP40,IFERROR(AQ40,IFERROR(AR40,AS40)))</f>
        <v>2.5762019999999999</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0.64</v>
      </c>
      <c r="E42" s="102">
        <v>1</v>
      </c>
      <c r="F42" s="68">
        <f>D42*E42</f>
        <v>0.64</v>
      </c>
      <c r="G42" s="69">
        <f>C42</f>
        <v>0.5</v>
      </c>
      <c r="H42" s="69">
        <f>F42*G42</f>
        <v>0.32</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1.27</v>
      </c>
      <c r="S42" s="69">
        <v>5</v>
      </c>
      <c r="T42" s="68">
        <f>R42*S42</f>
        <v>6.35</v>
      </c>
      <c r="U42" s="79">
        <v>3</v>
      </c>
      <c r="V42" s="68">
        <f>R42*U42</f>
        <v>3.81</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1.27</v>
      </c>
      <c r="E43" s="81">
        <v>4</v>
      </c>
      <c r="F43" s="76">
        <f>D43*E43</f>
        <v>5.08</v>
      </c>
      <c r="G43" s="77">
        <f>C43</f>
        <v>1</v>
      </c>
      <c r="H43" s="77">
        <f>F43*G43</f>
        <v>5.08</v>
      </c>
      <c r="I43" s="513" t="s">
        <v>97</v>
      </c>
      <c r="J43" s="513"/>
      <c r="K43" s="78" t="s">
        <v>98</v>
      </c>
      <c r="L43" s="78"/>
      <c r="M43" s="7" t="s">
        <v>99</v>
      </c>
      <c r="N43" s="7"/>
      <c r="O43" s="99">
        <f>O42+1</f>
        <v>4</v>
      </c>
      <c r="P43" s="99">
        <f t="shared" si="10"/>
        <v>1.5</v>
      </c>
      <c r="Q43" s="76">
        <f>P43</f>
        <v>1.5</v>
      </c>
      <c r="R43" s="77">
        <f>VLOOKUP(Q43,STN_TABLE,2,FALSE)</f>
        <v>1.68</v>
      </c>
      <c r="S43" s="77">
        <v>8</v>
      </c>
      <c r="T43" s="76">
        <f>R43*S43</f>
        <v>13.44</v>
      </c>
      <c r="U43" s="80">
        <v>10</v>
      </c>
      <c r="V43" s="76">
        <f>R43*U43</f>
        <v>16.8</v>
      </c>
      <c r="W43" s="513" t="s">
        <v>97</v>
      </c>
      <c r="X43" s="513"/>
      <c r="Y43" s="513" t="s">
        <v>98</v>
      </c>
      <c r="Z43" s="513"/>
      <c r="AA43" s="511" t="s">
        <v>99</v>
      </c>
      <c r="AB43" s="511"/>
      <c r="AC43" s="99">
        <f>AC38+1</f>
        <v>3</v>
      </c>
      <c r="AD43" s="95">
        <f>VLOOKUP(AC43,STN_TABLE_2,2,FALSE)</f>
        <v>1</v>
      </c>
      <c r="AE43" s="68">
        <f>VLOOKUP(AD43,STN_TABLE,2,FALSE)</f>
        <v>1.27</v>
      </c>
      <c r="AF43" s="68">
        <v>1</v>
      </c>
      <c r="AG43" s="69">
        <f>AE43*AF43</f>
        <v>1.27</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1.68</v>
      </c>
      <c r="E44" s="92">
        <v>1</v>
      </c>
      <c r="F44" s="82">
        <f>D44*E44</f>
        <v>1.68</v>
      </c>
      <c r="G44" s="83">
        <f>C44</f>
        <v>1.5</v>
      </c>
      <c r="H44" s="83">
        <f>F44*G44</f>
        <v>2.52</v>
      </c>
      <c r="I44" s="84" t="str">
        <f>CONCATENATE("a'(",C44,")=")</f>
        <v>a'(1.5)=</v>
      </c>
      <c r="J44" s="84">
        <f>2*J42/3*F45</f>
        <v>4.4399999999999995</v>
      </c>
      <c r="K44" s="84" t="str">
        <f>CONCATENATE("A(",C42,")=")</f>
        <v>A(0.5)=</v>
      </c>
      <c r="L44" s="84">
        <f>VLOOKUP(C42,STN_TABLE,3,FALSE)</f>
        <v>0.15359999999999999</v>
      </c>
      <c r="M44" t="str">
        <f>CONCATENATE("A(",C44,")=")</f>
        <v>A(1.5)=</v>
      </c>
      <c r="N44">
        <f>J44+L44</f>
        <v>4.5935999999999995</v>
      </c>
      <c r="O44" s="99">
        <f>O43+1</f>
        <v>5</v>
      </c>
      <c r="P44" s="99">
        <f t="shared" si="10"/>
        <v>2</v>
      </c>
      <c r="Q44" s="82">
        <f>IF(P44-P43=P43-P42,P44,IF(P45-P43=P43-P42,P45,IF(P44-P43=P43-P41,P44,IF(P45-P43=P43-P41,P45,"-"))))</f>
        <v>2</v>
      </c>
      <c r="R44" s="83">
        <f>VLOOKUP(Q44,STN_TABLE,2,FALSE)</f>
        <v>1.96</v>
      </c>
      <c r="S44" s="83">
        <v>-1</v>
      </c>
      <c r="T44" s="82">
        <f>R44*S44</f>
        <v>-1.96</v>
      </c>
      <c r="U44" s="88">
        <v>-1</v>
      </c>
      <c r="V44" s="82">
        <f>R44*U44</f>
        <v>-1.96</v>
      </c>
      <c r="W44" s="84" t="str">
        <f>CONCATENATE("a'(",Q43,")=")</f>
        <v>a'(1.5)=</v>
      </c>
      <c r="X44" s="84">
        <f>2*X42/12*T45</f>
        <v>2.6744999999999997</v>
      </c>
      <c r="Y44" s="84" t="str">
        <f>CONCATENATE("A(",Q42,")=")</f>
        <v>A(1)=</v>
      </c>
      <c r="Z44" s="84">
        <f>VLOOKUP(Q42,STN_TABLE,3,FALSE)</f>
        <v>1.9056</v>
      </c>
      <c r="AA44" t="str">
        <f>CONCATENATE("A(",Q43,")=")</f>
        <v>A(1.5)=</v>
      </c>
      <c r="AB44">
        <f>X44+Z44</f>
        <v>4.5800999999999998</v>
      </c>
      <c r="AC44" s="99">
        <f>AC43+1</f>
        <v>4</v>
      </c>
      <c r="AD44" s="100">
        <f>VLOOKUP(AC44,STN_TABLE_2,2,FALSE)</f>
        <v>1.5</v>
      </c>
      <c r="AE44" s="82">
        <f>VLOOKUP(AD44,STN_TABLE,2,FALSE)</f>
        <v>1.68</v>
      </c>
      <c r="AF44" s="82">
        <v>2</v>
      </c>
      <c r="AG44" s="83">
        <f>AE44*AF44</f>
        <v>3.36</v>
      </c>
      <c r="AH44" s="84" t="str">
        <f>CONCATENATE("a'(",AD44,")=")</f>
        <v>a'(1.5)=</v>
      </c>
      <c r="AI44" s="84">
        <f>2*AI42/2*AE45</f>
        <v>2.6550000000000002</v>
      </c>
      <c r="AJ44" s="84" t="str">
        <f>CONCATENATE("A(",AD43,")=")</f>
        <v>A(1)=</v>
      </c>
      <c r="AK44" s="84">
        <f>VLOOKUP(AD43,STN_TABLE,3,FALSE)</f>
        <v>1.9056</v>
      </c>
      <c r="AL44" t="str">
        <f>CONCATENATE("A(",AD44,")=")</f>
        <v>A(1.5)=</v>
      </c>
      <c r="AM44">
        <f>AI44+AK44</f>
        <v>4.5606</v>
      </c>
      <c r="AO44" s="68" t="str">
        <f>AA44</f>
        <v>A(1.5)=</v>
      </c>
      <c r="AP44" s="68">
        <f>VLOOKUP(AO44,Rise_Results,2,FALSE)</f>
        <v>4.5935999999999995</v>
      </c>
      <c r="AQ44" s="76">
        <f>N44</f>
        <v>4.5935999999999995</v>
      </c>
      <c r="AR44" s="76">
        <f>IF(OR(AB44&lt;=0,AB45&lt;=0),1/0,AB44)</f>
        <v>4.5800999999999998</v>
      </c>
      <c r="AS44" s="76">
        <f>AM44</f>
        <v>4.5606</v>
      </c>
      <c r="AT44">
        <f>IFERROR(AP44,IFERROR(AQ44,IFERROR(AR44,AS44)))</f>
        <v>4.5935999999999995</v>
      </c>
      <c r="AU44" s="81"/>
    </row>
    <row r="45" spans="1:47" x14ac:dyDescent="0.25">
      <c r="A45" s="94">
        <f>A44+1</f>
        <v>4</v>
      </c>
      <c r="B45" s="94">
        <f t="shared" si="11"/>
        <v>1.5</v>
      </c>
      <c r="F45" s="82">
        <f>SUM(F42:F44)</f>
        <v>7.3999999999999995</v>
      </c>
      <c r="H45" s="82">
        <f>SUM(H42:H44)</f>
        <v>7.92</v>
      </c>
      <c r="I45" s="84" t="str">
        <f>CONCATENATE("m'(",C44,")=")</f>
        <v>m'(1.5)=</v>
      </c>
      <c r="J45" s="84">
        <f>2*(J42*(WLS))/3*H45</f>
        <v>8.5536000000000012</v>
      </c>
      <c r="K45" s="84" t="str">
        <f>CONCATENATE("M(",C42,")=")</f>
        <v>M(0.5)=</v>
      </c>
      <c r="L45" s="84">
        <f>VLOOKUP(C42,STN_TABLE,4,FALSE)</f>
        <v>0.12595200000000001</v>
      </c>
      <c r="M45" t="str">
        <f>CONCATENATE("M(",C44,")=")</f>
        <v>M(1.5)=</v>
      </c>
      <c r="N45">
        <f>J45+L45</f>
        <v>8.679552000000001</v>
      </c>
      <c r="O45" s="99">
        <f>O44+1</f>
        <v>6</v>
      </c>
      <c r="P45" s="99">
        <f t="shared" si="10"/>
        <v>3</v>
      </c>
      <c r="T45" s="89">
        <f>SUM(T42:T44)</f>
        <v>17.829999999999998</v>
      </c>
      <c r="V45" s="82">
        <f>SUM(V42:V44)</f>
        <v>18.649999999999999</v>
      </c>
      <c r="W45" s="84" t="str">
        <f>CONCATENATE("m'(",Q43,")=")</f>
        <v>m'(1.5)=</v>
      </c>
      <c r="X45" s="84">
        <f>(2*(X42^2)/24*V45)+(X44*Q42*WLS)</f>
        <v>6.0729749999999996</v>
      </c>
      <c r="Y45" s="84" t="str">
        <f>CONCATENATE("M(",Q42,")=")</f>
        <v>M(1)=</v>
      </c>
      <c r="Z45" s="84">
        <f>VLOOKUP(Q42,STN_TABLE,4,FALSE)</f>
        <v>2.5762019999999999</v>
      </c>
      <c r="AA45" t="str">
        <f>CONCATENATE("M(",Q43,")=")</f>
        <v>M(1.5)=</v>
      </c>
      <c r="AB45">
        <f>X45+Z45</f>
        <v>8.6491769999999999</v>
      </c>
      <c r="AE45" s="89">
        <f>SUM(AE43:AE44)</f>
        <v>2.95</v>
      </c>
      <c r="AG45" s="89">
        <f>SUM(AG43:AG44)</f>
        <v>4.63</v>
      </c>
      <c r="AH45" s="84" t="str">
        <f>CONCATENATE("m'(",AD44,")=")</f>
        <v>m'(1.5)=</v>
      </c>
      <c r="AI45" s="84">
        <f>(2*(AI42^2)/6*AG45)+(AI44*AD43*WLS)</f>
        <v>6.0291000000000006</v>
      </c>
      <c r="AJ45" s="84" t="str">
        <f>CONCATENATE("M(",AD43,")=")</f>
        <v>M(1)=</v>
      </c>
      <c r="AK45" s="84">
        <f>VLOOKUP(AD43,STN_TABLE,4,FALSE)</f>
        <v>2.5762019999999999</v>
      </c>
      <c r="AL45" t="str">
        <f>CONCATENATE("M(",AD44,")=")</f>
        <v>M(1.5)=</v>
      </c>
      <c r="AM45">
        <f>AI45+AK45</f>
        <v>8.605302</v>
      </c>
      <c r="AO45" s="82" t="str">
        <f>AA45</f>
        <v>M(1.5)=</v>
      </c>
      <c r="AP45" s="82">
        <f>VLOOKUP(AO45,Rise_Results,2,FALSE)</f>
        <v>8.679552000000001</v>
      </c>
      <c r="AQ45" s="82">
        <f>N45</f>
        <v>8.679552000000001</v>
      </c>
      <c r="AR45" s="82">
        <f>IF(OR(AB44&lt;=0,AB45&lt;=0),1/0,AB45)</f>
        <v>8.6491769999999999</v>
      </c>
      <c r="AS45" s="82">
        <f>AM45</f>
        <v>8.605302</v>
      </c>
      <c r="AT45">
        <f>IFERROR(AP45,IFERROR(AQ45,IFERROR(AR45,AS45)))</f>
        <v>8.679552000000001</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1.27</v>
      </c>
      <c r="E47" s="102">
        <v>1</v>
      </c>
      <c r="F47" s="68">
        <f>D47*E47</f>
        <v>1.27</v>
      </c>
      <c r="G47" s="69">
        <f>C47</f>
        <v>1</v>
      </c>
      <c r="H47" s="69">
        <f>F47*G47</f>
        <v>1.27</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1.27</v>
      </c>
      <c r="S47" s="69">
        <v>5</v>
      </c>
      <c r="T47" s="68">
        <f>R47*S47</f>
        <v>6.35</v>
      </c>
      <c r="U47" s="79">
        <v>3</v>
      </c>
      <c r="V47" s="68">
        <f>R47*U47</f>
        <v>3.81</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1.68</v>
      </c>
      <c r="E48" s="81">
        <v>4</v>
      </c>
      <c r="F48" s="76">
        <f>D48*E48</f>
        <v>6.72</v>
      </c>
      <c r="G48" s="77">
        <f>C48</f>
        <v>1.5</v>
      </c>
      <c r="H48" s="77">
        <f>F48*G48</f>
        <v>10.08</v>
      </c>
      <c r="I48" s="513" t="s">
        <v>97</v>
      </c>
      <c r="J48" s="513"/>
      <c r="K48" s="78" t="s">
        <v>98</v>
      </c>
      <c r="L48" s="78"/>
      <c r="M48" s="7" t="s">
        <v>99</v>
      </c>
      <c r="N48" s="7"/>
      <c r="O48" s="99">
        <f>O47+1</f>
        <v>5</v>
      </c>
      <c r="P48" s="99">
        <f t="shared" si="10"/>
        <v>2</v>
      </c>
      <c r="Q48" s="76">
        <f>P48</f>
        <v>2</v>
      </c>
      <c r="R48" s="77">
        <f>VLOOKUP(Q48,STN_TABLE,2,FALSE)</f>
        <v>1.96</v>
      </c>
      <c r="S48" s="77">
        <v>8</v>
      </c>
      <c r="T48" s="76">
        <f>R48*S48</f>
        <v>15.68</v>
      </c>
      <c r="U48" s="80">
        <v>10</v>
      </c>
      <c r="V48" s="76">
        <f>R48*U48</f>
        <v>19.600000000000001</v>
      </c>
      <c r="W48" s="513" t="s">
        <v>97</v>
      </c>
      <c r="X48" s="513"/>
      <c r="Y48" s="513" t="s">
        <v>98</v>
      </c>
      <c r="Z48" s="513"/>
      <c r="AA48" s="511" t="s">
        <v>99</v>
      </c>
      <c r="AB48" s="511"/>
      <c r="AC48" s="99">
        <f>AC43+1</f>
        <v>4</v>
      </c>
      <c r="AD48" s="95">
        <f>VLOOKUP(AC48,STN_TABLE_2,2,FALSE)</f>
        <v>1.5</v>
      </c>
      <c r="AE48" s="68">
        <f>VLOOKUP(AD48,STN_TABLE,2,FALSE)</f>
        <v>1.68</v>
      </c>
      <c r="AF48" s="68">
        <v>1</v>
      </c>
      <c r="AG48" s="69">
        <f>AE48*AF48</f>
        <v>1.68</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1.96</v>
      </c>
      <c r="E49" s="92">
        <v>1</v>
      </c>
      <c r="F49" s="82">
        <f>D49*E49</f>
        <v>1.96</v>
      </c>
      <c r="G49" s="83">
        <f>C49</f>
        <v>2</v>
      </c>
      <c r="H49" s="83">
        <f>F49*G49</f>
        <v>3.92</v>
      </c>
      <c r="I49" s="84" t="str">
        <f>CONCATENATE("a'(",C49,")=")</f>
        <v>a'(2)=</v>
      </c>
      <c r="J49" s="84">
        <f>2*J47/3*F50</f>
        <v>5.97</v>
      </c>
      <c r="K49" s="84" t="str">
        <f>CONCATENATE("A(",C47,")=")</f>
        <v>A(1)=</v>
      </c>
      <c r="L49" s="84">
        <f>VLOOKUP(C47,STN_TABLE,3,FALSE)</f>
        <v>1.9056</v>
      </c>
      <c r="M49" t="str">
        <f>CONCATENATE("A(",C49,")=")</f>
        <v>A(2)=</v>
      </c>
      <c r="N49">
        <f>J49+L49</f>
        <v>7.8755999999999995</v>
      </c>
      <c r="O49" s="99">
        <f>O48+1</f>
        <v>6</v>
      </c>
      <c r="P49" s="99">
        <f t="shared" si="10"/>
        <v>3</v>
      </c>
      <c r="Q49" s="82">
        <f>IF(P49-P48=P48-P47,P49,IF(P50-P48=P48-P47,P50,IF(P49-P48=P48-P46,P49,IF(P50-P48=P48-P46,P50,"-"))))</f>
        <v>3</v>
      </c>
      <c r="R49" s="83">
        <f>VLOOKUP(Q49,STN_TABLE,2,FALSE)</f>
        <v>2.1</v>
      </c>
      <c r="S49" s="83">
        <v>-1</v>
      </c>
      <c r="T49" s="82">
        <f>R49*S49</f>
        <v>-2.1</v>
      </c>
      <c r="U49" s="88">
        <v>-1</v>
      </c>
      <c r="V49" s="82">
        <f>R49*U49</f>
        <v>-2.1</v>
      </c>
      <c r="W49" s="84" t="str">
        <f>CONCATENATE("a'(",Q48,")=")</f>
        <v>a'(2)=</v>
      </c>
      <c r="X49" s="84">
        <f>2*X47/12*T50</f>
        <v>5.9790000000000001</v>
      </c>
      <c r="Y49" s="84" t="str">
        <f>CONCATENATE("A(",Q47,")=")</f>
        <v>A(1)=</v>
      </c>
      <c r="Z49" s="84">
        <f>VLOOKUP(Q47,STN_TABLE,3,FALSE)</f>
        <v>1.9056</v>
      </c>
      <c r="AA49" t="str">
        <f>CONCATENATE("A(",Q48,")=")</f>
        <v>A(2)=</v>
      </c>
      <c r="AB49">
        <f>X49+Z49</f>
        <v>7.8845999999999998</v>
      </c>
      <c r="AC49" s="99">
        <f>AC48+1</f>
        <v>5</v>
      </c>
      <c r="AD49" s="100">
        <f>VLOOKUP(AC49,STN_TABLE_2,2,FALSE)</f>
        <v>2</v>
      </c>
      <c r="AE49" s="82">
        <f>VLOOKUP(AD49,STN_TABLE,2,FALSE)</f>
        <v>1.96</v>
      </c>
      <c r="AF49" s="82">
        <v>2</v>
      </c>
      <c r="AG49" s="83">
        <f>AE49*AF49</f>
        <v>3.92</v>
      </c>
      <c r="AH49" s="84" t="str">
        <f>CONCATENATE("a'(",AD49,")=")</f>
        <v>a'(2)=</v>
      </c>
      <c r="AI49" s="84">
        <f>2*AI47/2*AE50</f>
        <v>3.2759999999999998</v>
      </c>
      <c r="AJ49" s="84" t="str">
        <f>CONCATENATE("A(",AD48,")=")</f>
        <v>A(1.5)=</v>
      </c>
      <c r="AK49" s="84">
        <f>VLOOKUP(AD48,STN_TABLE,3,FALSE)</f>
        <v>4.5935999999999995</v>
      </c>
      <c r="AL49" t="str">
        <f>CONCATENATE("A(",AD49,")=")</f>
        <v>A(2)=</v>
      </c>
      <c r="AM49">
        <f>AI49+AK49</f>
        <v>7.8695999999999993</v>
      </c>
      <c r="AO49" s="68" t="str">
        <f>AA49</f>
        <v>A(2)=</v>
      </c>
      <c r="AP49" s="68">
        <f>VLOOKUP(AO49,Rise_Results,2,FALSE)</f>
        <v>7.8755999999999995</v>
      </c>
      <c r="AQ49" s="76">
        <f>N49</f>
        <v>7.8755999999999995</v>
      </c>
      <c r="AR49" s="76">
        <f>IF(OR(AB49&lt;=0,AB50&lt;=0),1/0,AB49)</f>
        <v>7.8845999999999998</v>
      </c>
      <c r="AS49" s="76">
        <f>AM49</f>
        <v>7.8695999999999993</v>
      </c>
      <c r="AT49">
        <f>IFERROR(AP49,IFERROR(AQ49,IFERROR(AR49,AS49)))</f>
        <v>7.8755999999999995</v>
      </c>
      <c r="AU49" s="81"/>
    </row>
    <row r="50" spans="1:47" x14ac:dyDescent="0.25">
      <c r="A50" s="84">
        <f>A49+1</f>
        <v>5</v>
      </c>
      <c r="B50" s="84">
        <f t="shared" si="11"/>
        <v>2</v>
      </c>
      <c r="F50" s="82">
        <f>SUM(F47:F49)</f>
        <v>9.9499999999999993</v>
      </c>
      <c r="H50" s="82">
        <f>SUM(H47:H49)</f>
        <v>15.27</v>
      </c>
      <c r="I50" s="84" t="str">
        <f>CONCATENATE("m'(",C49,")=")</f>
        <v>m'(2)=</v>
      </c>
      <c r="J50" s="84">
        <f>2*(J47*(WLS))/3*H50</f>
        <v>16.491600000000002</v>
      </c>
      <c r="K50" s="84" t="str">
        <f>CONCATENATE("M(",C47,")=")</f>
        <v>M(1)=</v>
      </c>
      <c r="L50" s="84">
        <f>VLOOKUP(C47,STN_TABLE,4,FALSE)</f>
        <v>2.5762019999999999</v>
      </c>
      <c r="M50" t="str">
        <f>CONCATENATE("M(",C49,")=")</f>
        <v>M(2)=</v>
      </c>
      <c r="N50">
        <f>J50+L50</f>
        <v>19.067802</v>
      </c>
      <c r="O50" s="99">
        <f>O49+1</f>
        <v>7</v>
      </c>
      <c r="P50" s="99">
        <f t="shared" si="10"/>
        <v>4</v>
      </c>
      <c r="T50" s="89">
        <f>SUM(T47:T49)</f>
        <v>19.93</v>
      </c>
      <c r="V50" s="82">
        <f>SUM(V47:V49)</f>
        <v>21.31</v>
      </c>
      <c r="W50" s="84" t="str">
        <f>CONCATENATE("m'(",Q48,")=")</f>
        <v>m'(2)=</v>
      </c>
      <c r="X50" s="84">
        <f>(2*(X47^2)/24*V50)+(X49*Q47*WLS)</f>
        <v>16.515900000000002</v>
      </c>
      <c r="Y50" s="84" t="str">
        <f>CONCATENATE("M(",Q47,")=")</f>
        <v>M(1)=</v>
      </c>
      <c r="Z50" s="84">
        <f>VLOOKUP(Q47,STN_TABLE,4,FALSE)</f>
        <v>2.5762019999999999</v>
      </c>
      <c r="AA50" t="str">
        <f>CONCATENATE("M(",Q48,")=")</f>
        <v>M(2)=</v>
      </c>
      <c r="AB50">
        <f>X50+Z50</f>
        <v>19.092102000000001</v>
      </c>
      <c r="AE50" s="89">
        <f>SUM(AE48:AE49)</f>
        <v>3.6399999999999997</v>
      </c>
      <c r="AG50" s="89">
        <f>SUM(AG48:AG49)</f>
        <v>5.6</v>
      </c>
      <c r="AH50" s="84" t="str">
        <f>CONCATENATE("m'(",AD49,")=")</f>
        <v>m'(2)=</v>
      </c>
      <c r="AI50" s="84">
        <f>(2*(AI47^2)/6*AG50)+(AI49*AD48*WLS)</f>
        <v>10.357200000000001</v>
      </c>
      <c r="AJ50" s="84" t="str">
        <f>CONCATENATE("M(",AD48,")=")</f>
        <v>M(1.5)=</v>
      </c>
      <c r="AK50" s="84">
        <f>VLOOKUP(AD48,STN_TABLE,4,FALSE)</f>
        <v>8.679552000000001</v>
      </c>
      <c r="AL50" t="str">
        <f>CONCATENATE("M(",AD49,")=")</f>
        <v>M(2)=</v>
      </c>
      <c r="AM50">
        <f>AI50+AK50</f>
        <v>19.036752</v>
      </c>
      <c r="AO50" s="82" t="str">
        <f>AA50</f>
        <v>M(2)=</v>
      </c>
      <c r="AP50" s="82">
        <f>VLOOKUP(AO50,Rise_Results,2,FALSE)</f>
        <v>19.067802</v>
      </c>
      <c r="AQ50" s="82">
        <f>N50</f>
        <v>19.067802</v>
      </c>
      <c r="AR50" s="82">
        <f>IF(OR(AB49&lt;=0,AB50&lt;=0),1/0,AB50)</f>
        <v>19.092102000000001</v>
      </c>
      <c r="AS50" s="82">
        <f>AM50</f>
        <v>19.036752</v>
      </c>
      <c r="AT50">
        <f>IFERROR(AP50,IFERROR(AQ50,IFERROR(AR50,AS50)))</f>
        <v>19.067802</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1.27</v>
      </c>
      <c r="E52" s="102">
        <v>1</v>
      </c>
      <c r="F52" s="68">
        <f>D52*E52</f>
        <v>1.27</v>
      </c>
      <c r="G52" s="69">
        <f>C52</f>
        <v>1</v>
      </c>
      <c r="H52" s="69">
        <f>F52*G52</f>
        <v>1.27</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1.96</v>
      </c>
      <c r="S52" s="69">
        <v>5</v>
      </c>
      <c r="T52" s="68">
        <f>R52*S52</f>
        <v>9.8000000000000007</v>
      </c>
      <c r="U52" s="79">
        <v>3</v>
      </c>
      <c r="V52" s="68">
        <f>R52*U52</f>
        <v>5.88</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1.96</v>
      </c>
      <c r="E53" s="81">
        <v>4</v>
      </c>
      <c r="F53" s="76">
        <f>D53*E53</f>
        <v>7.84</v>
      </c>
      <c r="G53" s="77">
        <f>C53</f>
        <v>2</v>
      </c>
      <c r="H53" s="77">
        <f>F53*G53</f>
        <v>15.68</v>
      </c>
      <c r="I53" s="512" t="s">
        <v>97</v>
      </c>
      <c r="J53" s="513"/>
      <c r="K53" s="78" t="s">
        <v>98</v>
      </c>
      <c r="L53" s="78"/>
      <c r="M53" s="7" t="s">
        <v>99</v>
      </c>
      <c r="N53" s="7"/>
      <c r="O53" s="99">
        <f>O52+1</f>
        <v>6</v>
      </c>
      <c r="P53" s="99">
        <f t="shared" si="10"/>
        <v>3</v>
      </c>
      <c r="Q53" s="76">
        <f>P53</f>
        <v>3</v>
      </c>
      <c r="R53" s="77">
        <f>VLOOKUP(Q53,STN_TABLE,2,FALSE)</f>
        <v>2.1</v>
      </c>
      <c r="S53" s="77">
        <v>8</v>
      </c>
      <c r="T53" s="76">
        <f>R53*S53</f>
        <v>16.8</v>
      </c>
      <c r="U53" s="80">
        <v>10</v>
      </c>
      <c r="V53" s="76">
        <f>R53*U53</f>
        <v>21</v>
      </c>
      <c r="W53" s="513" t="s">
        <v>97</v>
      </c>
      <c r="X53" s="513"/>
      <c r="Y53" s="513" t="s">
        <v>98</v>
      </c>
      <c r="Z53" s="513"/>
      <c r="AA53" s="511" t="s">
        <v>99</v>
      </c>
      <c r="AB53" s="511"/>
      <c r="AC53" s="99">
        <f>AC48+1</f>
        <v>5</v>
      </c>
      <c r="AD53" s="95">
        <f>VLOOKUP(AC53,STN_TABLE_2,2,FALSE)</f>
        <v>2</v>
      </c>
      <c r="AE53" s="68">
        <f>VLOOKUP(AD53,STN_TABLE,2,FALSE)</f>
        <v>1.96</v>
      </c>
      <c r="AF53" s="68">
        <v>1</v>
      </c>
      <c r="AG53" s="69">
        <f>AE53*AF53</f>
        <v>1.96</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2.1</v>
      </c>
      <c r="E54" s="92">
        <v>1</v>
      </c>
      <c r="F54" s="82">
        <f>D54*E54</f>
        <v>2.1</v>
      </c>
      <c r="G54" s="83">
        <f>C54</f>
        <v>3</v>
      </c>
      <c r="H54" s="83">
        <f>F54*G54</f>
        <v>6.3000000000000007</v>
      </c>
      <c r="I54" s="84" t="str">
        <f>CONCATENATE("a'(",C54,")=")</f>
        <v>a'(3)=</v>
      </c>
      <c r="J54" s="84">
        <f>2*J52/3*F55</f>
        <v>13.451999999999998</v>
      </c>
      <c r="K54" s="84" t="str">
        <f>CONCATENATE("A(",C52,")=")</f>
        <v>A(1)=</v>
      </c>
      <c r="L54" s="84">
        <f>VLOOKUP(C52,STN_TABLE,3,FALSE)</f>
        <v>1.9056</v>
      </c>
      <c r="M54" t="str">
        <f>CONCATENATE("A(",C54,")=")</f>
        <v>A(3)=</v>
      </c>
      <c r="N54">
        <f>J54+L54</f>
        <v>15.357599999999998</v>
      </c>
      <c r="O54" s="99">
        <f>O53+1</f>
        <v>7</v>
      </c>
      <c r="P54" s="99">
        <f t="shared" si="10"/>
        <v>4</v>
      </c>
      <c r="Q54" s="82">
        <f>IF(P54-P53=P53-P52,P54,IF(P55-P53=P53-P52,P55,IF(P54-P53=P53-P51,P54,IF(P55-P53=P53-P51,P55,"-"))))</f>
        <v>4</v>
      </c>
      <c r="R54" s="83">
        <f>VLOOKUP(Q54,STN_TABLE,2,FALSE)</f>
        <v>1.8</v>
      </c>
      <c r="S54" s="83">
        <v>-1</v>
      </c>
      <c r="T54" s="82">
        <f>R54*S54</f>
        <v>-1.8</v>
      </c>
      <c r="U54" s="88">
        <v>-1</v>
      </c>
      <c r="V54" s="82">
        <f>R54*U54</f>
        <v>-1.8</v>
      </c>
      <c r="W54" s="84" t="str">
        <f>CONCATENATE("a'(",Q53,")=")</f>
        <v>a'(3)=</v>
      </c>
      <c r="X54" s="84">
        <f>2*X52/12*T55</f>
        <v>7.4399999999999995</v>
      </c>
      <c r="Y54" s="84" t="str">
        <f>CONCATENATE("A(",Q52,")=")</f>
        <v>A(2)=</v>
      </c>
      <c r="Z54" s="84">
        <f>VLOOKUP(Q52,STN_TABLE,3,FALSE)</f>
        <v>7.8755999999999995</v>
      </c>
      <c r="AA54" t="str">
        <f>CONCATENATE("A(",Q53,")=")</f>
        <v>A(3)=</v>
      </c>
      <c r="AB54">
        <f>X54+Z54</f>
        <v>15.3156</v>
      </c>
      <c r="AC54" s="99">
        <f>AC53+1</f>
        <v>6</v>
      </c>
      <c r="AD54" s="100">
        <f>VLOOKUP(AC54,STN_TABLE_2,2,FALSE)</f>
        <v>3</v>
      </c>
      <c r="AE54" s="82">
        <f>VLOOKUP(AD54,STN_TABLE,2,FALSE)</f>
        <v>2.1</v>
      </c>
      <c r="AF54" s="82">
        <v>2</v>
      </c>
      <c r="AG54" s="83">
        <f>AE54*AF54</f>
        <v>4.2</v>
      </c>
      <c r="AH54" s="84" t="str">
        <f>CONCATENATE("a'(",AD54,")=")</f>
        <v>a'(3)=</v>
      </c>
      <c r="AI54" s="84">
        <f>2*AI52/2*AE55</f>
        <v>7.3080000000000007</v>
      </c>
      <c r="AJ54" s="84" t="str">
        <f>CONCATENATE("A(",AD53,")=")</f>
        <v>A(2)=</v>
      </c>
      <c r="AK54" s="84">
        <f>VLOOKUP(AD53,STN_TABLE,3,FALSE)</f>
        <v>7.8755999999999995</v>
      </c>
      <c r="AL54" t="str">
        <f>CONCATENATE("A(",AD54,")=")</f>
        <v>A(3)=</v>
      </c>
      <c r="AM54">
        <f>AI54+AK54</f>
        <v>15.1836</v>
      </c>
      <c r="AO54" s="68" t="str">
        <f>AA54</f>
        <v>A(3)=</v>
      </c>
      <c r="AP54" s="68" t="e">
        <f>VLOOKUP(AO54,Rise_Results,2,FALSE)</f>
        <v>#N/A</v>
      </c>
      <c r="AQ54" s="76">
        <f>N54</f>
        <v>15.357599999999998</v>
      </c>
      <c r="AR54" s="76">
        <f>IF(OR(AB54&lt;=0,AB55&lt;=0),1/0,AB54)</f>
        <v>15.3156</v>
      </c>
      <c r="AS54" s="76">
        <f>AM54</f>
        <v>15.1836</v>
      </c>
      <c r="AT54">
        <f>IFERROR(AP54,IFERROR(AQ54,IFERROR(AR54,AS54)))</f>
        <v>15.357599999999998</v>
      </c>
      <c r="AU54" s="81"/>
    </row>
    <row r="55" spans="1:47" x14ac:dyDescent="0.25">
      <c r="A55" s="84">
        <f>A54+1</f>
        <v>6</v>
      </c>
      <c r="B55" s="84">
        <f t="shared" si="11"/>
        <v>3</v>
      </c>
      <c r="F55" s="82">
        <f>SUM(F52:F54)</f>
        <v>11.209999999999999</v>
      </c>
      <c r="H55" s="82">
        <f>SUM(H52:H54)</f>
        <v>23.25</v>
      </c>
      <c r="I55" s="84" t="str">
        <f>CONCATENATE("m'(",C54,")=")</f>
        <v>m'(3)=</v>
      </c>
      <c r="J55" s="84">
        <f>2*(J52*(WLS))/3*H55</f>
        <v>50.220000000000006</v>
      </c>
      <c r="K55" s="84" t="str">
        <f>CONCATENATE("M(",C52,")=")</f>
        <v>M(1)=</v>
      </c>
      <c r="L55" s="84">
        <f>VLOOKUP(C52,STN_TABLE,4,FALSE)</f>
        <v>2.5762019999999999</v>
      </c>
      <c r="M55" t="str">
        <f>CONCATENATE("M(",C54,")=")</f>
        <v>M(3)=</v>
      </c>
      <c r="N55">
        <f>J55+L55</f>
        <v>52.796202000000008</v>
      </c>
      <c r="O55" s="99">
        <f>O54+1</f>
        <v>8</v>
      </c>
      <c r="P55" s="99">
        <f t="shared" si="10"/>
        <v>5</v>
      </c>
      <c r="T55" s="89">
        <f>SUM(T52:T54)</f>
        <v>24.8</v>
      </c>
      <c r="V55" s="82">
        <f>SUM(V52:V54)</f>
        <v>25.08</v>
      </c>
      <c r="W55" s="84" t="str">
        <f>CONCATENATE("m'(",Q53,")=")</f>
        <v>m'(3)=</v>
      </c>
      <c r="X55" s="84">
        <f>(2*(X52^2)/24*V55)+(X54*Q52*WLS)</f>
        <v>33.555599999999998</v>
      </c>
      <c r="Y55" s="84" t="str">
        <f>CONCATENATE("M(",Q52,")=")</f>
        <v>M(2)=</v>
      </c>
      <c r="Z55" s="84">
        <f>VLOOKUP(Q52,STN_TABLE,4,FALSE)</f>
        <v>19.067802</v>
      </c>
      <c r="AA55" t="str">
        <f>CONCATENATE("M(",Q53,")=")</f>
        <v>M(3)=</v>
      </c>
      <c r="AB55">
        <f>X55+Z55</f>
        <v>52.623401999999999</v>
      </c>
      <c r="AE55" s="89">
        <f>SUM(AE53:AE54)</f>
        <v>4.0600000000000005</v>
      </c>
      <c r="AG55" s="89">
        <f>SUM(AG53:AG54)</f>
        <v>6.16</v>
      </c>
      <c r="AH55" s="84" t="str">
        <f>CONCATENATE("m'(",AD54,")=")</f>
        <v>m'(3)=</v>
      </c>
      <c r="AI55" s="84">
        <f>(2*(AI52^2)/6*AG55)+(AI54*AD53*WLS)</f>
        <v>32.961600000000004</v>
      </c>
      <c r="AJ55" s="84" t="str">
        <f>CONCATENATE("M(",AD53,")=")</f>
        <v>M(2)=</v>
      </c>
      <c r="AK55" s="84">
        <f>VLOOKUP(AD53,STN_TABLE,4,FALSE)</f>
        <v>19.067802</v>
      </c>
      <c r="AL55" t="str">
        <f>CONCATENATE("M(",AD54,")=")</f>
        <v>M(3)=</v>
      </c>
      <c r="AM55">
        <f>AI55+AK55</f>
        <v>52.029402000000005</v>
      </c>
      <c r="AO55" s="82" t="str">
        <f>AA55</f>
        <v>M(3)=</v>
      </c>
      <c r="AP55" s="82" t="e">
        <f>VLOOKUP(AO55,Rise_Results,2,FALSE)</f>
        <v>#N/A</v>
      </c>
      <c r="AQ55" s="82">
        <f>N55</f>
        <v>52.796202000000008</v>
      </c>
      <c r="AR55" s="82">
        <f>IF(OR(AB54&lt;=0,AB55&lt;=0),1/0,AB55)</f>
        <v>52.623401999999999</v>
      </c>
      <c r="AS55" s="82">
        <f>AM55</f>
        <v>52.029402000000005</v>
      </c>
      <c r="AT55">
        <f>IFERROR(AP55,IFERROR(AQ55,IFERROR(AR55,AS55)))</f>
        <v>52.796202000000008</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1.96</v>
      </c>
      <c r="E57" s="102">
        <v>1</v>
      </c>
      <c r="F57" s="68">
        <f>D57*E57</f>
        <v>1.96</v>
      </c>
      <c r="G57" s="69">
        <f>C57</f>
        <v>2</v>
      </c>
      <c r="H57" s="69">
        <f>F57*G57</f>
        <v>3.92</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2.1</v>
      </c>
      <c r="S57" s="69">
        <v>5</v>
      </c>
      <c r="T57" s="68">
        <f>R57*S57</f>
        <v>10.5</v>
      </c>
      <c r="U57" s="79">
        <v>3</v>
      </c>
      <c r="V57" s="68">
        <f>R57*U57</f>
        <v>6.3000000000000007</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2.1</v>
      </c>
      <c r="E58" s="81">
        <v>4</v>
      </c>
      <c r="F58" s="76">
        <f>D58*E58</f>
        <v>8.4</v>
      </c>
      <c r="G58" s="77">
        <f>C58</f>
        <v>3</v>
      </c>
      <c r="H58" s="77">
        <f>F58*G58</f>
        <v>25.200000000000003</v>
      </c>
      <c r="I58" s="512" t="s">
        <v>97</v>
      </c>
      <c r="J58" s="513"/>
      <c r="K58" s="78" t="s">
        <v>98</v>
      </c>
      <c r="L58" s="78"/>
      <c r="M58" s="7" t="s">
        <v>99</v>
      </c>
      <c r="N58" s="7"/>
      <c r="O58" s="99">
        <f>O57+1</f>
        <v>7</v>
      </c>
      <c r="P58" s="99">
        <f t="shared" si="10"/>
        <v>4</v>
      </c>
      <c r="Q58" s="76">
        <f>P58</f>
        <v>4</v>
      </c>
      <c r="R58" s="77">
        <f>VLOOKUP(Q58,STN_TABLE,2,FALSE)</f>
        <v>1.8</v>
      </c>
      <c r="S58" s="77">
        <v>8</v>
      </c>
      <c r="T58" s="76">
        <f>R58*S58</f>
        <v>14.4</v>
      </c>
      <c r="U58" s="80">
        <v>10</v>
      </c>
      <c r="V58" s="76">
        <f>R58*U58</f>
        <v>18</v>
      </c>
      <c r="W58" s="78" t="s">
        <v>97</v>
      </c>
      <c r="X58" s="78"/>
      <c r="Y58" s="78" t="s">
        <v>98</v>
      </c>
      <c r="Z58" s="78"/>
      <c r="AA58" s="7" t="s">
        <v>99</v>
      </c>
      <c r="AB58" s="7"/>
      <c r="AC58" s="99">
        <f>AC53+1</f>
        <v>6</v>
      </c>
      <c r="AD58" s="95">
        <f>VLOOKUP(AC58,STN_TABLE_2,2,FALSE)</f>
        <v>3</v>
      </c>
      <c r="AE58" s="68">
        <f>VLOOKUP(AD58,STN_TABLE,2,FALSE)</f>
        <v>2.1</v>
      </c>
      <c r="AF58" s="68">
        <v>1</v>
      </c>
      <c r="AG58" s="69">
        <f>AE58*AF58</f>
        <v>2.1</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1.8</v>
      </c>
      <c r="E59" s="92">
        <v>1</v>
      </c>
      <c r="F59" s="82">
        <f>D59*E59</f>
        <v>1.8</v>
      </c>
      <c r="G59" s="83">
        <f>C59</f>
        <v>4</v>
      </c>
      <c r="H59" s="83">
        <f>F59*G59</f>
        <v>7.2</v>
      </c>
      <c r="I59" s="84" t="str">
        <f>CONCATENATE("a'(",C59,")=")</f>
        <v>a'(4)=</v>
      </c>
      <c r="J59" s="84">
        <f>2*J57/3*F60</f>
        <v>14.591999999999999</v>
      </c>
      <c r="K59" s="84" t="str">
        <f>CONCATENATE("A(",C57,")=")</f>
        <v>A(2)=</v>
      </c>
      <c r="L59" s="84">
        <f>VLOOKUP(C57,STN_TABLE,3,FALSE)</f>
        <v>7.8755999999999995</v>
      </c>
      <c r="M59" t="str">
        <f>CONCATENATE("A(",C59,")=")</f>
        <v>A(4)=</v>
      </c>
      <c r="N59">
        <f>J59+L59</f>
        <v>22.467599999999997</v>
      </c>
      <c r="O59" s="99">
        <f>O58+1</f>
        <v>8</v>
      </c>
      <c r="P59" s="99">
        <f t="shared" si="10"/>
        <v>5</v>
      </c>
      <c r="Q59" s="82">
        <f>IF(P59-P58=P58-P57,P59,IF(P60-P58=P58-P57,P60,IF(P59-P58=P58-P56,P59,IF(P60-P58=P58-P56,P60,"-"))))</f>
        <v>5</v>
      </c>
      <c r="R59" s="83">
        <f>VLOOKUP(Q59,STN_TABLE,2,FALSE)</f>
        <v>2</v>
      </c>
      <c r="S59" s="83">
        <v>-1</v>
      </c>
      <c r="T59" s="82">
        <f>R59*S59</f>
        <v>-2</v>
      </c>
      <c r="U59" s="88">
        <v>-1</v>
      </c>
      <c r="V59" s="82">
        <f>R59*U59</f>
        <v>-2</v>
      </c>
      <c r="W59" s="84" t="str">
        <f>CONCATENATE("a'(",Q58,")=")</f>
        <v>a'(4)=</v>
      </c>
      <c r="X59" s="84">
        <f>2*X57/12*T60</f>
        <v>6.8699999999999992</v>
      </c>
      <c r="Y59" s="84" t="str">
        <f>CONCATENATE("A(",Q57,")=")</f>
        <v>A(3)=</v>
      </c>
      <c r="Z59" s="84">
        <f>VLOOKUP(Q57,STN_TABLE,3,FALSE)</f>
        <v>15.357599999999998</v>
      </c>
      <c r="AA59" t="str">
        <f>CONCATENATE("A(",Q58,")=")</f>
        <v>A(4)=</v>
      </c>
      <c r="AB59">
        <f>X59+Z59</f>
        <v>22.227599999999995</v>
      </c>
      <c r="AC59" s="99">
        <f>AC58+1</f>
        <v>7</v>
      </c>
      <c r="AD59" s="100">
        <f>VLOOKUP(AC59,STN_TABLE_2,2,FALSE)</f>
        <v>4</v>
      </c>
      <c r="AE59" s="82">
        <f>VLOOKUP(AD59,STN_TABLE,2,FALSE)</f>
        <v>1.8</v>
      </c>
      <c r="AF59" s="82">
        <v>2</v>
      </c>
      <c r="AG59" s="83">
        <f>AE59*AF59</f>
        <v>3.6</v>
      </c>
      <c r="AH59" s="84" t="str">
        <f>CONCATENATE("a'(",AD59,")=")</f>
        <v>a'(4)=</v>
      </c>
      <c r="AI59" s="84">
        <f>2*AI57/2*AE60</f>
        <v>7.0200000000000005</v>
      </c>
      <c r="AJ59" s="84" t="str">
        <f>CONCATENATE("A(",AD58,")=")</f>
        <v>A(3)=</v>
      </c>
      <c r="AK59" s="84">
        <f>VLOOKUP(AD58,STN_TABLE,3,FALSE)</f>
        <v>15.357599999999998</v>
      </c>
      <c r="AL59" t="str">
        <f>CONCATENATE("A(",AD59,")=")</f>
        <v>A(4)=</v>
      </c>
      <c r="AM59">
        <f>AI59+AK59</f>
        <v>22.377599999999997</v>
      </c>
      <c r="AO59" s="68" t="str">
        <f>AA59</f>
        <v>A(4)=</v>
      </c>
      <c r="AP59" s="68" t="e">
        <f>VLOOKUP(AO59,Rise_Results,2,FALSE)</f>
        <v>#N/A</v>
      </c>
      <c r="AQ59" s="76">
        <f>N59</f>
        <v>22.467599999999997</v>
      </c>
      <c r="AR59" s="76">
        <f>IF(OR(AB59&lt;=0,AB60&lt;=0),1/0,AB59)</f>
        <v>22.227599999999995</v>
      </c>
      <c r="AS59" s="76">
        <f>AM59</f>
        <v>22.377599999999997</v>
      </c>
      <c r="AT59">
        <f>IFERROR(AP59,IFERROR(AQ59,IFERROR(AR59,AS59)))</f>
        <v>22.467599999999997</v>
      </c>
      <c r="AU59" s="81"/>
    </row>
    <row r="60" spans="1:47" x14ac:dyDescent="0.25">
      <c r="A60" s="84">
        <f>A59+1</f>
        <v>7</v>
      </c>
      <c r="B60" s="84">
        <f t="shared" si="11"/>
        <v>4</v>
      </c>
      <c r="F60" s="82">
        <f>SUM(F57:F59)</f>
        <v>12.16</v>
      </c>
      <c r="H60" s="82">
        <f>SUM(H57:H59)</f>
        <v>36.320000000000007</v>
      </c>
      <c r="I60" s="84" t="str">
        <f>CONCATENATE("m'(",C59,")=")</f>
        <v>m'(4)=</v>
      </c>
      <c r="J60" s="84">
        <f>2*(J57*(WLS))/3*H60</f>
        <v>78.451200000000014</v>
      </c>
      <c r="K60" s="84" t="str">
        <f>CONCATENATE("M(",C57,")=")</f>
        <v>M(2)=</v>
      </c>
      <c r="L60" s="84">
        <f>VLOOKUP(C57,STN_TABLE,4,FALSE)</f>
        <v>19.067802</v>
      </c>
      <c r="M60" t="str">
        <f>CONCATENATE("M(",C59,")=")</f>
        <v>M(4)=</v>
      </c>
      <c r="N60">
        <f>J60+L60</f>
        <v>97.519002000000015</v>
      </c>
      <c r="O60" s="99">
        <f>O59+1</f>
        <v>9</v>
      </c>
      <c r="P60" s="99">
        <f t="shared" si="10"/>
        <v>5.6111111111111107</v>
      </c>
      <c r="T60" s="89">
        <f>SUM(T57:T59)</f>
        <v>22.9</v>
      </c>
      <c r="V60" s="82">
        <f>SUM(V57:V59)</f>
        <v>22.3</v>
      </c>
      <c r="W60" s="84" t="str">
        <f>CONCATENATE("m'(",Q58,")=")</f>
        <v>m'(4)=</v>
      </c>
      <c r="X60" s="84">
        <f>(2*(X57^2)/24*V60)+(X59*Q57*WLS)</f>
        <v>43.119</v>
      </c>
      <c r="Y60" s="84" t="str">
        <f>CONCATENATE("M(",Q57,")=")</f>
        <v>M(3)=</v>
      </c>
      <c r="Z60" s="84">
        <f>VLOOKUP(Q57,STN_TABLE,4,FALSE)</f>
        <v>52.796202000000008</v>
      </c>
      <c r="AA60" t="str">
        <f>CONCATENATE("M(",Q58,")=")</f>
        <v>M(4)=</v>
      </c>
      <c r="AB60">
        <f>X60+Z60</f>
        <v>95.915202000000008</v>
      </c>
      <c r="AE60" s="89">
        <f>SUM(AE58:AE59)</f>
        <v>3.9000000000000004</v>
      </c>
      <c r="AG60" s="89">
        <f>SUM(AG58:AG59)</f>
        <v>5.7</v>
      </c>
      <c r="AH60" s="84" t="str">
        <f>CONCATENATE("m'(",AD59,")=")</f>
        <v>m'(4)=</v>
      </c>
      <c r="AI60" s="84">
        <f>(2*(AI57^2)/6*AG60)+(AI59*AD58*WLS)</f>
        <v>44.064000000000007</v>
      </c>
      <c r="AJ60" s="84" t="str">
        <f>CONCATENATE("M(",AD58,")=")</f>
        <v>M(3)=</v>
      </c>
      <c r="AK60" s="84">
        <f>VLOOKUP(AD57,STN_TABLE,4,FALSE)</f>
        <v>0</v>
      </c>
      <c r="AL60" t="str">
        <f>CONCATENATE("M(",AD59,")=")</f>
        <v>M(4)=</v>
      </c>
      <c r="AM60">
        <f>AI60+AK60</f>
        <v>44.064000000000007</v>
      </c>
      <c r="AO60" s="82" t="str">
        <f>AA60</f>
        <v>M(4)=</v>
      </c>
      <c r="AP60" s="82" t="e">
        <f>VLOOKUP(AO60,Rise_Results,2,FALSE)</f>
        <v>#N/A</v>
      </c>
      <c r="AQ60" s="82">
        <f>N60</f>
        <v>97.519002000000015</v>
      </c>
      <c r="AR60" s="82">
        <f>IF(OR(AB59&lt;=0,AB60&lt;=0),1/0,AB60)</f>
        <v>95.915202000000008</v>
      </c>
      <c r="AS60" s="82">
        <f>AM60</f>
        <v>44.064000000000007</v>
      </c>
      <c r="AT60">
        <f>IFERROR(AP60,IFERROR(AQ60,IFERROR(AR60,AS60)))</f>
        <v>97.519002000000015</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2.1</v>
      </c>
      <c r="E62" s="102">
        <v>1</v>
      </c>
      <c r="F62" s="68">
        <f>D62*E62</f>
        <v>2.1</v>
      </c>
      <c r="G62" s="69">
        <f>C62</f>
        <v>3</v>
      </c>
      <c r="H62" s="69">
        <f>F62*G62</f>
        <v>6.3000000000000007</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1.8</v>
      </c>
      <c r="S62" s="69">
        <v>5</v>
      </c>
      <c r="T62" s="68">
        <f>R62*S62</f>
        <v>9</v>
      </c>
      <c r="U62" s="79">
        <v>3</v>
      </c>
      <c r="V62" s="68">
        <f>R62*U62</f>
        <v>5.4</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1.8</v>
      </c>
      <c r="E63" s="81">
        <v>4</v>
      </c>
      <c r="F63" s="76">
        <f>D63*E63</f>
        <v>7.2</v>
      </c>
      <c r="G63" s="77">
        <f>C63</f>
        <v>4</v>
      </c>
      <c r="H63" s="77">
        <f>F63*G63</f>
        <v>28.8</v>
      </c>
      <c r="I63" s="512" t="s">
        <v>97</v>
      </c>
      <c r="J63" s="513"/>
      <c r="K63" s="78" t="s">
        <v>98</v>
      </c>
      <c r="L63" s="78"/>
      <c r="M63" s="7" t="s">
        <v>99</v>
      </c>
      <c r="N63" s="7"/>
      <c r="O63" s="99">
        <f>O62+1</f>
        <v>8</v>
      </c>
      <c r="P63" s="99">
        <f t="shared" si="10"/>
        <v>5</v>
      </c>
      <c r="Q63" s="76">
        <f>P63</f>
        <v>5</v>
      </c>
      <c r="R63" s="77">
        <f>VLOOKUP(Q63,STN_TABLE,2,FALSE)</f>
        <v>2</v>
      </c>
      <c r="S63" s="77">
        <v>8</v>
      </c>
      <c r="T63" s="76">
        <f>R63*S63</f>
        <v>16</v>
      </c>
      <c r="U63" s="80">
        <v>10</v>
      </c>
      <c r="V63" s="76">
        <f>R63*U63</f>
        <v>20</v>
      </c>
      <c r="W63" s="513" t="s">
        <v>97</v>
      </c>
      <c r="X63" s="513"/>
      <c r="Y63" s="513" t="s">
        <v>98</v>
      </c>
      <c r="Z63" s="513"/>
      <c r="AA63" s="511" t="s">
        <v>99</v>
      </c>
      <c r="AB63" s="511"/>
      <c r="AC63" s="99">
        <f>AC58+1</f>
        <v>7</v>
      </c>
      <c r="AD63" s="95">
        <f>VLOOKUP(AC63,STN_TABLE_2,2,FALSE)</f>
        <v>4</v>
      </c>
      <c r="AE63" s="68">
        <f>VLOOKUP(AD63,STN_TABLE,2,FALSE)</f>
        <v>1.8</v>
      </c>
      <c r="AF63" s="68">
        <v>1</v>
      </c>
      <c r="AG63" s="69">
        <f>AE63*AF63</f>
        <v>1.8</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2</v>
      </c>
      <c r="E64" s="92">
        <v>1</v>
      </c>
      <c r="F64" s="82">
        <f>D64*E64</f>
        <v>2</v>
      </c>
      <c r="G64" s="83">
        <f>C64</f>
        <v>5</v>
      </c>
      <c r="H64" s="83">
        <f>F64*G64</f>
        <v>10</v>
      </c>
      <c r="I64" s="84" t="str">
        <f>CONCATENATE("a'(",C64,")=")</f>
        <v>a'(5)=</v>
      </c>
      <c r="J64" s="84">
        <f>2*J62/3*F65</f>
        <v>13.56</v>
      </c>
      <c r="K64" s="84" t="str">
        <f>CONCATENATE("A(",C62,")=")</f>
        <v>A(3)=</v>
      </c>
      <c r="L64" s="84">
        <f>VLOOKUP(C62,STN_TABLE,3,FALSE)</f>
        <v>15.357599999999998</v>
      </c>
      <c r="M64" t="str">
        <f>CONCATENATE("A(",C64,")=")</f>
        <v>A(5)=</v>
      </c>
      <c r="N64">
        <f>J64+L64</f>
        <v>28.9176</v>
      </c>
      <c r="O64" s="99">
        <f>O63+1</f>
        <v>9</v>
      </c>
      <c r="P64" s="99">
        <f t="shared" si="10"/>
        <v>5.6111111111111107</v>
      </c>
      <c r="Q64" s="82">
        <f>IF(P64-P63=P63-P62,P64,IF(P65-P63=P63-P62,P65,IF(P64-P63=P63-P61,P64,IF(P65-P63=P63-P61,P65,"-"))))</f>
        <v>6</v>
      </c>
      <c r="R64" s="83">
        <f>VLOOKUP(Q64,STN_TABLE,2,FALSE)</f>
        <v>3.1</v>
      </c>
      <c r="S64" s="83">
        <v>-1</v>
      </c>
      <c r="T64" s="82">
        <f>R64*S64</f>
        <v>-3.1</v>
      </c>
      <c r="U64" s="88">
        <v>-1</v>
      </c>
      <c r="V64" s="82">
        <f>R64*U64</f>
        <v>-3.1</v>
      </c>
      <c r="W64" s="84" t="str">
        <f>CONCATENATE("a'(",Q63,")=")</f>
        <v>a'(5)=</v>
      </c>
      <c r="X64" s="84">
        <f>2*X62/12*T65</f>
        <v>6.5699999999999994</v>
      </c>
      <c r="Y64" s="84" t="str">
        <f>CONCATENATE("A(",Q62,")=")</f>
        <v>A(4)=</v>
      </c>
      <c r="Z64" s="84">
        <f>VLOOKUP(Q62,STN_TABLE,3,FALSE)</f>
        <v>22.467599999999997</v>
      </c>
      <c r="AA64" t="str">
        <f>CONCATENATE("A(",Q63,")=")</f>
        <v>A(5)=</v>
      </c>
      <c r="AB64">
        <f>X64+Z64</f>
        <v>29.037599999999998</v>
      </c>
      <c r="AC64" s="99">
        <f>AC63+1</f>
        <v>8</v>
      </c>
      <c r="AD64" s="100">
        <f>VLOOKUP(AC64,STN_TABLE_2,2,FALSE)</f>
        <v>5</v>
      </c>
      <c r="AE64" s="82">
        <f>VLOOKUP(AD64,STN_TABLE,2,FALSE)</f>
        <v>2</v>
      </c>
      <c r="AF64" s="82">
        <v>2</v>
      </c>
      <c r="AG64" s="83">
        <f>AE64*AF64</f>
        <v>4</v>
      </c>
      <c r="AH64" s="84" t="str">
        <f>CONCATENATE("a'(",AD64,")=")</f>
        <v>a'(5)=</v>
      </c>
      <c r="AI64" s="84">
        <f>2*AI62/2*AE65</f>
        <v>6.84</v>
      </c>
      <c r="AJ64" s="84" t="str">
        <f>CONCATENATE("A(",AD63,")=")</f>
        <v>A(4)=</v>
      </c>
      <c r="AK64" s="84">
        <f>VLOOKUP(AD63,STN_TABLE,3,FALSE)</f>
        <v>22.467599999999997</v>
      </c>
      <c r="AL64" t="str">
        <f>CONCATENATE("A(",AD64,")=")</f>
        <v>A(5)=</v>
      </c>
      <c r="AM64">
        <f>AI64+AK64</f>
        <v>29.307599999999997</v>
      </c>
      <c r="AO64" s="68" t="str">
        <f>AA64</f>
        <v>A(5)=</v>
      </c>
      <c r="AP64" s="68" t="e">
        <f>VLOOKUP(AO64,Rise_Results,2,FALSE)</f>
        <v>#N/A</v>
      </c>
      <c r="AQ64" s="76">
        <f>N64</f>
        <v>28.9176</v>
      </c>
      <c r="AR64" s="76">
        <f>IF(OR(AB64&lt;=0,AB65&lt;=0),1/0,AB64)</f>
        <v>29.037599999999998</v>
      </c>
      <c r="AS64" s="76">
        <f>AM64</f>
        <v>29.307599999999997</v>
      </c>
      <c r="AT64">
        <f>IFERROR(AP64,IFERROR(AQ64,IFERROR(AR64,AS64)))</f>
        <v>28.9176</v>
      </c>
      <c r="AU64" s="81"/>
    </row>
    <row r="65" spans="1:47" x14ac:dyDescent="0.25">
      <c r="A65" s="84">
        <f>A64+1</f>
        <v>8</v>
      </c>
      <c r="B65" s="84">
        <f t="shared" si="11"/>
        <v>5</v>
      </c>
      <c r="F65" s="82">
        <f>SUM(F62:F64)</f>
        <v>11.3</v>
      </c>
      <c r="H65" s="82">
        <f>SUM(H62:H64)</f>
        <v>45.1</v>
      </c>
      <c r="I65" s="84" t="str">
        <f>CONCATENATE("m'(",C64,")=")</f>
        <v>m'(5)=</v>
      </c>
      <c r="J65" s="84">
        <f>2*(J62*(WLS))/3*H65</f>
        <v>97.416000000000011</v>
      </c>
      <c r="K65" s="84" t="str">
        <f>CONCATENATE("M(",C62,")=")</f>
        <v>M(3)=</v>
      </c>
      <c r="L65" s="84">
        <f>VLOOKUP(C62,STN_TABLE,4,FALSE)</f>
        <v>52.796202000000008</v>
      </c>
      <c r="M65" t="str">
        <f>CONCATENATE("M(",C64,")=")</f>
        <v>M(5)=</v>
      </c>
      <c r="N65">
        <f>J65+L65</f>
        <v>150.21220200000002</v>
      </c>
      <c r="O65" s="99">
        <f>O64+1</f>
        <v>10</v>
      </c>
      <c r="P65" s="99">
        <f t="shared" si="10"/>
        <v>6</v>
      </c>
      <c r="T65" s="89">
        <f>SUM(T62:T64)</f>
        <v>21.9</v>
      </c>
      <c r="V65" s="82">
        <f>SUM(V62:V64)</f>
        <v>22.299999999999997</v>
      </c>
      <c r="W65" s="84" t="str">
        <f>CONCATENATE("m'(",Q63,")=")</f>
        <v>m'(5)=</v>
      </c>
      <c r="X65" s="84">
        <f>(2*(X62^2)/24*V65)+(X64*Q62*WLS)</f>
        <v>53.324999999999996</v>
      </c>
      <c r="Y65" s="84" t="str">
        <f>CONCATENATE("M(",Q62,")=")</f>
        <v>M(4)=</v>
      </c>
      <c r="Z65" s="84">
        <f>VLOOKUP(Q62,STN_TABLE,4,FALSE)</f>
        <v>97.519002000000015</v>
      </c>
      <c r="AA65" t="str">
        <f>CONCATENATE("M(",Q63,")=")</f>
        <v>M(5)=</v>
      </c>
      <c r="AB65">
        <f>X65+Z65</f>
        <v>150.84400200000002</v>
      </c>
      <c r="AE65" s="89">
        <f>SUM(AE63:AE64)</f>
        <v>3.8</v>
      </c>
      <c r="AG65" s="89">
        <f>SUM(AG63:AG64)</f>
        <v>5.8</v>
      </c>
      <c r="AH65" s="84" t="str">
        <f>CONCATENATE("m'(",AD64,")=")</f>
        <v>m'(5)=</v>
      </c>
      <c r="AI65" s="84">
        <f>(2*(AI62^2)/6*AG65)+(AI64*AD63*WLS)</f>
        <v>55.512</v>
      </c>
      <c r="AJ65" s="84" t="str">
        <f>CONCATENATE("M(",AD63,")=")</f>
        <v>M(4)=</v>
      </c>
      <c r="AK65" s="84">
        <f>VLOOKUP(AD63,STN_TABLE,4,FALSE)</f>
        <v>97.519002000000015</v>
      </c>
      <c r="AL65" t="str">
        <f>CONCATENATE("M(",AD64,")=")</f>
        <v>M(5)=</v>
      </c>
      <c r="AM65">
        <f>AI65+AK65</f>
        <v>153.031002</v>
      </c>
      <c r="AO65" s="82" t="str">
        <f>AA65</f>
        <v>M(5)=</v>
      </c>
      <c r="AP65" s="82" t="e">
        <f>VLOOKUP(AO65,Rise_Results,2,FALSE)</f>
        <v>#N/A</v>
      </c>
      <c r="AQ65" s="82">
        <f>N65</f>
        <v>150.21220200000002</v>
      </c>
      <c r="AR65" s="82">
        <f>IF(OR(AB64&lt;=0,AB65&lt;=0),1/0,AB65)</f>
        <v>150.84400200000002</v>
      </c>
      <c r="AS65" s="82">
        <f>AM65</f>
        <v>153.031002</v>
      </c>
      <c r="AT65">
        <f>IFERROR(AP65,IFERROR(AQ65,IFERROR(AR65,AS65)))</f>
        <v>150.21220200000002</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2.61</v>
      </c>
      <c r="S68" s="77">
        <v>8</v>
      </c>
      <c r="T68" s="76">
        <f>R68*S68</f>
        <v>20.88</v>
      </c>
      <c r="U68" s="80">
        <v>10</v>
      </c>
      <c r="V68" s="76">
        <f>R68*U68</f>
        <v>26.099999999999998</v>
      </c>
      <c r="W68" s="513" t="s">
        <v>97</v>
      </c>
      <c r="X68" s="513"/>
      <c r="Y68" s="513" t="s">
        <v>98</v>
      </c>
      <c r="Z68" s="513"/>
      <c r="AA68" s="511" t="s">
        <v>99</v>
      </c>
      <c r="AB68" s="511"/>
      <c r="AC68" s="99">
        <f>AC63+1</f>
        <v>8</v>
      </c>
      <c r="AD68" s="95">
        <f>VLOOKUP(AC68,STN_TABLE_2,2,FALSE)</f>
        <v>5</v>
      </c>
      <c r="AE68" s="68">
        <f>VLOOKUP(AD68,STN_TABLE,2,FALSE)</f>
        <v>2</v>
      </c>
      <c r="AF68" s="68">
        <v>1</v>
      </c>
      <c r="AG68" s="69">
        <f>AE68*AF68</f>
        <v>2</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2.61</v>
      </c>
      <c r="E69" s="92">
        <v>1</v>
      </c>
      <c r="F69" s="82">
        <f>D69*E69</f>
        <v>2.61</v>
      </c>
      <c r="G69" s="83">
        <f>C69</f>
        <v>5.6111111111111107</v>
      </c>
      <c r="H69" s="83">
        <f>F69*G69</f>
        <v>14.644999999999998</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2.61</v>
      </c>
      <c r="AF69" s="82">
        <v>2</v>
      </c>
      <c r="AG69" s="83">
        <f>AE69*AF69</f>
        <v>5.22</v>
      </c>
      <c r="AH69" s="84" t="str">
        <f>CONCATENATE("a'(",AD69,")=")</f>
        <v>a'(5.61111111111111)=</v>
      </c>
      <c r="AI69" s="84">
        <f>2*AI67/2*AE70</f>
        <v>5.0709999999999971</v>
      </c>
      <c r="AJ69" s="84" t="str">
        <f>CONCATENATE("A(",AD68,")=")</f>
        <v>A(5)=</v>
      </c>
      <c r="AK69" s="84">
        <f>VLOOKUP(AD68,STN_TABLE,3,FALSE)</f>
        <v>28.9176</v>
      </c>
      <c r="AL69" t="str">
        <f>CONCATENATE("A(",AD69,")=")</f>
        <v>A(5.61111111111111)=</v>
      </c>
      <c r="AM69">
        <f>AI69+AK69</f>
        <v>33.988599999999998</v>
      </c>
      <c r="AO69" s="68" t="str">
        <f>AA69</f>
        <v>A(5.61111111111111)=</v>
      </c>
      <c r="AP69" s="68" t="e">
        <f>VLOOKUP(AO69,Rise_Results,2,FALSE)</f>
        <v>#N/A</v>
      </c>
      <c r="AQ69" s="76" t="e">
        <f>N69</f>
        <v>#N/A</v>
      </c>
      <c r="AR69" s="76" t="e">
        <f>IF(OR(AB69&lt;=0,AB70&lt;=0),1/0,AB69)</f>
        <v>#VALUE!</v>
      </c>
      <c r="AS69" s="76">
        <f>AM69</f>
        <v>33.988599999999998</v>
      </c>
      <c r="AT69">
        <f>IFERROR(AP69,IFERROR(AQ69,IFERROR(AR69,AS69)))</f>
        <v>33.988599999999998</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4.6099999999999994</v>
      </c>
      <c r="AG70" s="89">
        <f>SUM(AG68:AG69)</f>
        <v>7.22</v>
      </c>
      <c r="AH70" s="84" t="str">
        <f>CONCATENATE("m'(",AD69,")=")</f>
        <v>m'(5.61111111111111)=</v>
      </c>
      <c r="AI70" s="84">
        <f>(2*(AI67^2)/6*AG70)+(AI69*AD68*WLS)</f>
        <v>48.551066666666635</v>
      </c>
      <c r="AJ70" s="84" t="str">
        <f>CONCATENATE("M(",AD68,")=")</f>
        <v>M(5)=</v>
      </c>
      <c r="AK70" s="84">
        <f>VLOOKUP(AD68,STN_TABLE,4,FALSE)</f>
        <v>150.21220200000002</v>
      </c>
      <c r="AL70" t="str">
        <f>CONCATENATE("M(",AD69,")=")</f>
        <v>M(5.61111111111111)=</v>
      </c>
      <c r="AM70">
        <f>AI70+AK70</f>
        <v>198.76326866666665</v>
      </c>
      <c r="AO70" s="82" t="str">
        <f>AA70</f>
        <v>M(5.61111111111111)=</v>
      </c>
      <c r="AP70" s="82" t="e">
        <f>VLOOKUP(AO70,Rise_Results,2,FALSE)</f>
        <v>#N/A</v>
      </c>
      <c r="AQ70" s="82" t="e">
        <f>N70</f>
        <v>#N/A</v>
      </c>
      <c r="AR70" s="82" t="e">
        <f>IF(OR(AB69&lt;=0,AB70&lt;=0),1/0,AB70)</f>
        <v>#VALUE!</v>
      </c>
      <c r="AS70" s="82">
        <f>AM70</f>
        <v>198.76326866666665</v>
      </c>
      <c r="AT70">
        <f>IFERROR(AP70,IFERROR(AQ70,IFERROR(AR70,AS70)))</f>
        <v>198.76326866666665</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1.8</v>
      </c>
      <c r="E72" s="102">
        <v>1</v>
      </c>
      <c r="F72" s="68">
        <f>D72*E72</f>
        <v>1.8</v>
      </c>
      <c r="G72" s="69">
        <f>C72</f>
        <v>4</v>
      </c>
      <c r="H72" s="69">
        <f>F72*G72</f>
        <v>7.2</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2</v>
      </c>
      <c r="S72" s="69">
        <v>5</v>
      </c>
      <c r="T72" s="68">
        <f>R72*S72</f>
        <v>10</v>
      </c>
      <c r="U72" s="79">
        <v>3</v>
      </c>
      <c r="V72" s="68">
        <f>R72*U72</f>
        <v>6</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2</v>
      </c>
      <c r="E73" s="81">
        <v>4</v>
      </c>
      <c r="F73" s="76">
        <f>D73*E73</f>
        <v>8</v>
      </c>
      <c r="G73" s="77">
        <f>C73</f>
        <v>5</v>
      </c>
      <c r="H73" s="77">
        <f>F73*G73</f>
        <v>40</v>
      </c>
      <c r="I73" s="512" t="s">
        <v>97</v>
      </c>
      <c r="J73" s="513"/>
      <c r="K73" s="78" t="s">
        <v>98</v>
      </c>
      <c r="L73" s="78"/>
      <c r="M73" s="7" t="s">
        <v>99</v>
      </c>
      <c r="N73" s="7"/>
      <c r="O73" s="99">
        <f>O72+1</f>
        <v>10</v>
      </c>
      <c r="P73" s="99">
        <f t="shared" si="23"/>
        <v>6</v>
      </c>
      <c r="Q73" s="76">
        <f>P73</f>
        <v>6</v>
      </c>
      <c r="R73" s="77">
        <f>VLOOKUP(Q73,STN_TABLE,2,FALSE)</f>
        <v>3.1</v>
      </c>
      <c r="S73" s="77">
        <v>8</v>
      </c>
      <c r="T73" s="76">
        <f>R73*S73</f>
        <v>24.8</v>
      </c>
      <c r="U73" s="80">
        <v>10</v>
      </c>
      <c r="V73" s="76">
        <f>R73*U73</f>
        <v>31</v>
      </c>
      <c r="W73" s="513" t="s">
        <v>97</v>
      </c>
      <c r="X73" s="513"/>
      <c r="Y73" s="513" t="s">
        <v>98</v>
      </c>
      <c r="Z73" s="513"/>
      <c r="AA73" s="511" t="s">
        <v>99</v>
      </c>
      <c r="AB73" s="511"/>
      <c r="AC73" s="99">
        <f>AC68+1</f>
        <v>9</v>
      </c>
      <c r="AD73" s="95">
        <f>VLOOKUP(AC73,STN_TABLE_2,2,FALSE)</f>
        <v>5.6111111111111107</v>
      </c>
      <c r="AE73" s="68">
        <f>VLOOKUP(AD73,STN_TABLE,2,FALSE)</f>
        <v>2.61</v>
      </c>
      <c r="AF73" s="68">
        <v>1</v>
      </c>
      <c r="AG73" s="69">
        <f>AE73*AF73</f>
        <v>2.61</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3.1</v>
      </c>
      <c r="E74" s="92">
        <v>1</v>
      </c>
      <c r="F74" s="82">
        <f>D74*E74</f>
        <v>3.1</v>
      </c>
      <c r="G74" s="83">
        <f>C74</f>
        <v>6</v>
      </c>
      <c r="H74" s="83">
        <f>F74*G74</f>
        <v>18.600000000000001</v>
      </c>
      <c r="I74" s="84" t="str">
        <f>CONCATENATE("a'(",C74,")=")</f>
        <v>a'(6)=</v>
      </c>
      <c r="J74" s="84">
        <f>2*J72/3*F75</f>
        <v>15.48</v>
      </c>
      <c r="K74" s="84" t="str">
        <f>CONCATENATE("A(",C72,")=")</f>
        <v>A(4)=</v>
      </c>
      <c r="L74" s="84">
        <f>VLOOKUP(C72,STN_TABLE,3,FALSE)</f>
        <v>22.467599999999997</v>
      </c>
      <c r="M74" t="str">
        <f>CONCATENATE("A(",C74,")=")</f>
        <v>A(6)=</v>
      </c>
      <c r="N74">
        <f>J74+L74</f>
        <v>37.947599999999994</v>
      </c>
      <c r="O74" s="99">
        <f>O73+1</f>
        <v>11</v>
      </c>
      <c r="P74" s="99">
        <f t="shared" si="23"/>
        <v>7</v>
      </c>
      <c r="Q74" s="82">
        <f>IF(P74-P73=P73-P72,P74,IF(P75-P73=P73-P72,P75,IF(P74-P73=P73-P71,P74,IF(P75-P73=P73-P71,P75,"-"))))</f>
        <v>7</v>
      </c>
      <c r="R74" s="83">
        <f>VLOOKUP(Q74,STN_TABLE,2,FALSE)</f>
        <v>4.42</v>
      </c>
      <c r="S74" s="83">
        <v>-1</v>
      </c>
      <c r="T74" s="82">
        <f>R74*S74</f>
        <v>-4.42</v>
      </c>
      <c r="U74" s="88">
        <v>-1</v>
      </c>
      <c r="V74" s="82">
        <f>R74*U74</f>
        <v>-4.42</v>
      </c>
      <c r="W74" s="84" t="str">
        <f>CONCATENATE("a'(",Q73,")=")</f>
        <v>a'(6)=</v>
      </c>
      <c r="X74" s="84">
        <f>2*X72/12*T75</f>
        <v>9.113999999999999</v>
      </c>
      <c r="Y74" s="84" t="str">
        <f>CONCATENATE("A(",Q72,")=")</f>
        <v>A(5)=</v>
      </c>
      <c r="Z74" s="84">
        <f>VLOOKUP(Q72,STN_TABLE,3,FALSE)</f>
        <v>28.9176</v>
      </c>
      <c r="AA74" t="str">
        <f>CONCATENATE("A(",Q73,")=")</f>
        <v>A(6)=</v>
      </c>
      <c r="AB74">
        <f>X74+Z74</f>
        <v>38.031599999999997</v>
      </c>
      <c r="AC74" s="99">
        <f>AC73+1</f>
        <v>10</v>
      </c>
      <c r="AD74" s="100">
        <f>VLOOKUP(AC74,STN_TABLE_2,2,FALSE)</f>
        <v>6</v>
      </c>
      <c r="AE74" s="82">
        <f>VLOOKUP(AD74,STN_TABLE,2,FALSE)</f>
        <v>3.1</v>
      </c>
      <c r="AF74" s="82">
        <v>2</v>
      </c>
      <c r="AG74" s="83">
        <f>AE74*AF74</f>
        <v>6.2</v>
      </c>
      <c r="AH74" s="84" t="str">
        <f>CONCATENATE("a'(",AD74,")=")</f>
        <v>a'(6)=</v>
      </c>
      <c r="AI74" s="84">
        <f>2*AI72/2*AE75</f>
        <v>3.9970000000000043</v>
      </c>
      <c r="AJ74" s="84" t="str">
        <f>CONCATENATE("A(",AD73,")=")</f>
        <v>A(5.61111111111111)=</v>
      </c>
      <c r="AK74" s="84">
        <f>VLOOKUP(AD73,STN_TABLE,3,FALSE)</f>
        <v>33.988599999999998</v>
      </c>
      <c r="AL74" t="str">
        <f>CONCATENATE("A(",AD74,")=")</f>
        <v>A(6)=</v>
      </c>
      <c r="AM74">
        <f>AI74+AK74</f>
        <v>37.985600000000005</v>
      </c>
      <c r="AO74" s="68" t="str">
        <f>AA74</f>
        <v>A(6)=</v>
      </c>
      <c r="AP74" s="68" t="e">
        <f>VLOOKUP(AO74,Rise_Results,2,FALSE)</f>
        <v>#N/A</v>
      </c>
      <c r="AQ74" s="76">
        <f>N74</f>
        <v>37.947599999999994</v>
      </c>
      <c r="AR74" s="76">
        <f>IF(OR(AB74&lt;=0,AB75&lt;=0),1/0,AB74)</f>
        <v>38.031599999999997</v>
      </c>
      <c r="AS74" s="76">
        <f>AM74</f>
        <v>37.985600000000005</v>
      </c>
      <c r="AT74">
        <f>IFERROR(AP74,IFERROR(AQ74,IFERROR(AR74,AS74)))</f>
        <v>37.947599999999994</v>
      </c>
      <c r="AU74" s="81"/>
    </row>
    <row r="75" spans="1:47" x14ac:dyDescent="0.25">
      <c r="A75" s="84">
        <f>A74+1</f>
        <v>10</v>
      </c>
      <c r="B75" s="84">
        <f t="shared" si="27"/>
        <v>6</v>
      </c>
      <c r="F75" s="82">
        <f>SUM(F72:F74)</f>
        <v>12.9</v>
      </c>
      <c r="H75" s="82">
        <f>SUM(H72:H74)</f>
        <v>65.800000000000011</v>
      </c>
      <c r="I75" s="84" t="str">
        <f>CONCATENATE("m'(",C74,")=")</f>
        <v>m'(6)=</v>
      </c>
      <c r="J75" s="84">
        <f>2*(J72*(WLS))/3*H75</f>
        <v>142.12800000000004</v>
      </c>
      <c r="K75" s="84" t="str">
        <f>CONCATENATE("M(",C72,")=")</f>
        <v>M(4)=</v>
      </c>
      <c r="L75" s="84">
        <f>VLOOKUP(C72,STN_TABLE,4,FALSE)</f>
        <v>97.519002000000015</v>
      </c>
      <c r="M75" t="str">
        <f>CONCATENATE("M(",C74,")=")</f>
        <v>M(6)=</v>
      </c>
      <c r="N75">
        <f>J75+L75</f>
        <v>239.64700200000004</v>
      </c>
      <c r="O75" s="99">
        <f>O74+1</f>
        <v>12</v>
      </c>
      <c r="P75" s="99">
        <f t="shared" si="23"/>
        <v>7.8833333333333329</v>
      </c>
      <c r="T75" s="89">
        <f>SUM(T72:T74)</f>
        <v>30.379999999999995</v>
      </c>
      <c r="V75" s="82">
        <f>SUM(V72:V74)</f>
        <v>32.58</v>
      </c>
      <c r="W75" s="84" t="str">
        <f>CONCATENATE("m'(",Q73,")=")</f>
        <v>m'(6)=</v>
      </c>
      <c r="X75" s="84">
        <f>(2*(X72^2)/24*V75)+(X74*Q72*WLS)</f>
        <v>90.822599999999994</v>
      </c>
      <c r="Y75" s="84" t="str">
        <f>CONCATENATE("M(",Q72,")=")</f>
        <v>M(5)=</v>
      </c>
      <c r="Z75" s="84">
        <f>VLOOKUP(Q72,STN_TABLE,4,FALSE)</f>
        <v>150.21220200000002</v>
      </c>
      <c r="AA75" t="str">
        <f>CONCATENATE("M(",Q73,")=")</f>
        <v>M(6)=</v>
      </c>
      <c r="AB75">
        <f>X75+Z75</f>
        <v>241.03480200000001</v>
      </c>
      <c r="AE75" s="89">
        <f>SUM(AE73:AE74)</f>
        <v>5.71</v>
      </c>
      <c r="AG75" s="89">
        <f>SUM(AG73:AG74)</f>
        <v>8.81</v>
      </c>
      <c r="AH75" s="84" t="str">
        <f>CONCATENATE("m'(",AD74,")=")</f>
        <v>m'(6)=</v>
      </c>
      <c r="AI75" s="84">
        <f>(2*(AI72^2)/6*AG75)+(AI74*AD73*WLS)</f>
        <v>41.808666666666717</v>
      </c>
      <c r="AJ75" s="84" t="str">
        <f>CONCATENATE("M(",AD73,")=")</f>
        <v>M(5.61111111111111)=</v>
      </c>
      <c r="AK75" s="84">
        <f>VLOOKUP(AD73,STN_TABLE,4,FALSE)</f>
        <v>198.76326866666665</v>
      </c>
      <c r="AL75" t="str">
        <f>CONCATENATE("M(",AD74,")=")</f>
        <v>M(6)=</v>
      </c>
      <c r="AM75">
        <f>AI75+AK75</f>
        <v>240.57193533333336</v>
      </c>
      <c r="AO75" s="82" t="str">
        <f>AA75</f>
        <v>M(6)=</v>
      </c>
      <c r="AP75" s="82" t="e">
        <f>VLOOKUP(AO75,Rise_Results,2,FALSE)</f>
        <v>#N/A</v>
      </c>
      <c r="AQ75" s="82">
        <f>N75</f>
        <v>239.64700200000004</v>
      </c>
      <c r="AR75" s="82">
        <f>IF(OR(AB74&lt;=0,AB75&lt;=0),1/0,AB75)</f>
        <v>241.03480200000001</v>
      </c>
      <c r="AS75" s="82">
        <f>AM75</f>
        <v>240.57193533333336</v>
      </c>
      <c r="AT75">
        <f>IFERROR(AP75,IFERROR(AQ75,IFERROR(AR75,AS75)))</f>
        <v>239.64700200000004</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2</v>
      </c>
      <c r="E77" s="102">
        <v>1</v>
      </c>
      <c r="F77" s="68">
        <f>D77*E77</f>
        <v>2</v>
      </c>
      <c r="G77" s="69">
        <f>C77</f>
        <v>5</v>
      </c>
      <c r="H77" s="69">
        <f>F77*G77</f>
        <v>10</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3.1</v>
      </c>
      <c r="E78" s="81">
        <v>4</v>
      </c>
      <c r="F78" s="76">
        <f>D78*E78</f>
        <v>12.4</v>
      </c>
      <c r="G78" s="77">
        <f>C78</f>
        <v>6</v>
      </c>
      <c r="H78" s="77">
        <f>F78*G78</f>
        <v>74.400000000000006</v>
      </c>
      <c r="I78" s="512" t="s">
        <v>97</v>
      </c>
      <c r="J78" s="513"/>
      <c r="K78" s="78" t="s">
        <v>98</v>
      </c>
      <c r="L78" s="78"/>
      <c r="M78" s="7" t="s">
        <v>99</v>
      </c>
      <c r="N78" s="7"/>
      <c r="O78" s="99">
        <f>O77+1</f>
        <v>11</v>
      </c>
      <c r="P78" s="99">
        <f t="shared" si="23"/>
        <v>7</v>
      </c>
      <c r="Q78" s="76">
        <f>P78</f>
        <v>7</v>
      </c>
      <c r="R78" s="77">
        <f>VLOOKUP(Q78,STN_TABLE,2,FALSE)</f>
        <v>4.42</v>
      </c>
      <c r="S78" s="77">
        <v>8</v>
      </c>
      <c r="T78" s="76">
        <f>R78*S78</f>
        <v>35.36</v>
      </c>
      <c r="U78" s="80">
        <v>10</v>
      </c>
      <c r="V78" s="76">
        <f>R78*U78</f>
        <v>44.2</v>
      </c>
      <c r="W78" s="513" t="s">
        <v>97</v>
      </c>
      <c r="X78" s="513"/>
      <c r="Y78" s="513" t="s">
        <v>98</v>
      </c>
      <c r="Z78" s="513"/>
      <c r="AA78" s="511" t="s">
        <v>99</v>
      </c>
      <c r="AB78" s="511"/>
      <c r="AC78" s="99">
        <f>AC73+1</f>
        <v>10</v>
      </c>
      <c r="AD78" s="95">
        <f>VLOOKUP(AC78,STN_TABLE_2,2,FALSE)</f>
        <v>6</v>
      </c>
      <c r="AE78" s="68">
        <f>VLOOKUP(AD78,STN_TABLE,2,FALSE)</f>
        <v>3.1</v>
      </c>
      <c r="AF78" s="68">
        <v>1</v>
      </c>
      <c r="AG78" s="69">
        <f>AE78*AF78</f>
        <v>3.1</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4.42</v>
      </c>
      <c r="E79" s="92">
        <v>1</v>
      </c>
      <c r="F79" s="82">
        <f>D79*E79</f>
        <v>4.42</v>
      </c>
      <c r="G79" s="83">
        <f>C79</f>
        <v>7</v>
      </c>
      <c r="H79" s="83">
        <f>F79*G79</f>
        <v>30.939999999999998</v>
      </c>
      <c r="I79" s="84" t="str">
        <f>CONCATENATE("a'(",C79,")=")</f>
        <v>a'(7)=</v>
      </c>
      <c r="J79" s="84">
        <f>2*J77/3*F80</f>
        <v>22.584</v>
      </c>
      <c r="K79" s="84" t="str">
        <f>CONCATENATE("A(",C77,")=")</f>
        <v>A(5)=</v>
      </c>
      <c r="L79" s="84">
        <f>VLOOKUP(C77,STN_TABLE,3,FALSE)</f>
        <v>28.9176</v>
      </c>
      <c r="M79" t="str">
        <f>CONCATENATE("A(",C79,")=")</f>
        <v>A(7)=</v>
      </c>
      <c r="N79">
        <f>J79+L79</f>
        <v>51.501599999999996</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4.42</v>
      </c>
      <c r="AF79" s="82">
        <v>2</v>
      </c>
      <c r="AG79" s="83">
        <f>AE79*AF79</f>
        <v>8.84</v>
      </c>
      <c r="AH79" s="84" t="str">
        <f>CONCATENATE("a'(",AD79,")=")</f>
        <v>a'(7)=</v>
      </c>
      <c r="AI79" s="84">
        <f>2*AI77/2*AE80</f>
        <v>13.536</v>
      </c>
      <c r="AJ79" s="84" t="str">
        <f>CONCATENATE("A(",AD78,")=")</f>
        <v>A(6)=</v>
      </c>
      <c r="AK79" s="84">
        <f>VLOOKUP(AD78,STN_TABLE,3,FALSE)</f>
        <v>37.947599999999994</v>
      </c>
      <c r="AL79" t="str">
        <f>CONCATENATE("A(",AD79,")=")</f>
        <v>A(7)=</v>
      </c>
      <c r="AM79">
        <f>AI79+AK79</f>
        <v>51.483599999999996</v>
      </c>
      <c r="AO79" s="68" t="str">
        <f>AA79</f>
        <v>A(7)=</v>
      </c>
      <c r="AP79" s="68" t="e">
        <f>VLOOKUP(AO79,Rise_Results,2,FALSE)</f>
        <v>#N/A</v>
      </c>
      <c r="AQ79" s="76">
        <f>N79</f>
        <v>51.501599999999996</v>
      </c>
      <c r="AR79" s="76" t="e">
        <f>IF(OR(AB79&lt;=0,AB80&lt;=0),1/0,AB79)</f>
        <v>#VALUE!</v>
      </c>
      <c r="AS79" s="76">
        <f>AM79</f>
        <v>51.483599999999996</v>
      </c>
      <c r="AT79">
        <f>IFERROR(AP79,IFERROR(AQ79,IFERROR(AR79,AS79)))</f>
        <v>51.501599999999996</v>
      </c>
      <c r="AU79" s="81"/>
    </row>
    <row r="80" spans="1:47" x14ac:dyDescent="0.25">
      <c r="A80" s="84">
        <f>A79+1</f>
        <v>11</v>
      </c>
      <c r="B80" s="84">
        <f t="shared" si="27"/>
        <v>7</v>
      </c>
      <c r="F80" s="82">
        <f>SUM(F77:F79)</f>
        <v>18.82</v>
      </c>
      <c r="H80" s="82">
        <f>SUM(H77:H79)</f>
        <v>115.34</v>
      </c>
      <c r="I80" s="84" t="str">
        <f>CONCATENATE("m'(",C79,")=")</f>
        <v>m'(7)=</v>
      </c>
      <c r="J80" s="84">
        <f>2*(J77*(WLS))/3*H80</f>
        <v>249.13440000000003</v>
      </c>
      <c r="K80" s="84" t="str">
        <f>CONCATENATE("M(",C77,")=")</f>
        <v>M(5)=</v>
      </c>
      <c r="L80" s="84">
        <f>VLOOKUP(C77,STN_TABLE,4,FALSE)</f>
        <v>150.21220200000002</v>
      </c>
      <c r="M80" t="str">
        <f>CONCATENATE("M(",C79,")=")</f>
        <v>M(7)=</v>
      </c>
      <c r="N80">
        <f>J80+L80</f>
        <v>399.34660200000008</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7.52</v>
      </c>
      <c r="AG80" s="89">
        <f>SUM(AG78:AG79)</f>
        <v>11.94</v>
      </c>
      <c r="AH80" s="84" t="str">
        <f>CONCATENATE("m'(",AD79,")=")</f>
        <v>m'(7)=</v>
      </c>
      <c r="AI80" s="84">
        <f>(2*(AI77^2)/6*AG80)+(AI79*AD78*WLS)</f>
        <v>159.08399999999997</v>
      </c>
      <c r="AJ80" s="84" t="str">
        <f>CONCATENATE("M(",AD78,")=")</f>
        <v>M(6)=</v>
      </c>
      <c r="AK80" s="84">
        <f>VLOOKUP(AD78,STN_TABLE,4,FALSE)</f>
        <v>239.64700200000004</v>
      </c>
      <c r="AL80" t="str">
        <f>CONCATENATE("M(",AD79,")=")</f>
        <v>M(7)=</v>
      </c>
      <c r="AM80">
        <f>AI80+AK80</f>
        <v>398.73100199999999</v>
      </c>
      <c r="AO80" s="82" t="str">
        <f>AA80</f>
        <v>M(7)=</v>
      </c>
      <c r="AP80" s="82" t="e">
        <f>VLOOKUP(AO80,Rise_Results,2,FALSE)</f>
        <v>#N/A</v>
      </c>
      <c r="AQ80" s="82">
        <f>N80</f>
        <v>399.34660200000008</v>
      </c>
      <c r="AR80" s="82" t="e">
        <f>IF(OR(AB79&lt;=0,AB80&lt;=0),1/0,AB80)</f>
        <v>#VALUE!</v>
      </c>
      <c r="AS80" s="82">
        <f>AM80</f>
        <v>398.73100199999999</v>
      </c>
      <c r="AT80">
        <f>IFERROR(AP80,IFERROR(AQ80,IFERROR(AR80,AS80)))</f>
        <v>399.34660200000008</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5.76</v>
      </c>
      <c r="S83" s="77">
        <v>8</v>
      </c>
      <c r="T83" s="76">
        <f>R83*S83</f>
        <v>46.08</v>
      </c>
      <c r="U83" s="80">
        <v>10</v>
      </c>
      <c r="V83" s="76">
        <f>R83*U83</f>
        <v>57.599999999999994</v>
      </c>
      <c r="W83" s="513" t="s">
        <v>97</v>
      </c>
      <c r="X83" s="513"/>
      <c r="Y83" s="513" t="s">
        <v>98</v>
      </c>
      <c r="Z83" s="513"/>
      <c r="AA83" s="511" t="s">
        <v>99</v>
      </c>
      <c r="AB83" s="511"/>
      <c r="AC83" s="99">
        <f>AC78+1</f>
        <v>11</v>
      </c>
      <c r="AD83" s="95">
        <f>VLOOKUP(AC83,STN_TABLE_2,2,FALSE)</f>
        <v>7</v>
      </c>
      <c r="AE83" s="68">
        <f>VLOOKUP(AD83,STN_TABLE,2,FALSE)</f>
        <v>4.42</v>
      </c>
      <c r="AF83" s="68">
        <v>1</v>
      </c>
      <c r="AG83" s="69">
        <f>AE83*AF83</f>
        <v>4.42</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5.76</v>
      </c>
      <c r="E84" s="92">
        <v>1</v>
      </c>
      <c r="F84" s="82">
        <f>D84*E84</f>
        <v>5.76</v>
      </c>
      <c r="G84" s="83">
        <f>C84</f>
        <v>7.8833333333333329</v>
      </c>
      <c r="H84" s="83">
        <f>F84*G84</f>
        <v>45.407999999999994</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5.76</v>
      </c>
      <c r="AF84" s="82">
        <v>2</v>
      </c>
      <c r="AG84" s="83">
        <f>AE84*AF84</f>
        <v>11.52</v>
      </c>
      <c r="AH84" s="84" t="str">
        <f>CONCATENATE("a'(",AD84,")=")</f>
        <v>a'(7.88333333333333)=</v>
      </c>
      <c r="AI84" s="84">
        <f>2*AI82/2*AE85</f>
        <v>16.186199999999992</v>
      </c>
      <c r="AJ84" s="84" t="str">
        <f>CONCATENATE("A(",AD83,")=")</f>
        <v>A(7)=</v>
      </c>
      <c r="AK84" s="84">
        <f>VLOOKUP(AD83,STN_TABLE,3,FALSE)</f>
        <v>51.501599999999996</v>
      </c>
      <c r="AL84" t="str">
        <f>CONCATENATE("A(",AD84,")=")</f>
        <v>A(7.88333333333333)=</v>
      </c>
      <c r="AM84">
        <f>AI84+AK84</f>
        <v>67.687799999999982</v>
      </c>
      <c r="AO84" s="68" t="str">
        <f>AA84</f>
        <v>A(7.88333333333333)=</v>
      </c>
      <c r="AP84" s="68" t="e">
        <f>VLOOKUP(AO84,Rise_Results,2,FALSE)</f>
        <v>#N/A</v>
      </c>
      <c r="AQ84" s="76" t="e">
        <f>N84</f>
        <v>#N/A</v>
      </c>
      <c r="AR84" s="76" t="e">
        <f>IF(OR(AB84&lt;=0,AB85&lt;=0),1/0,AB84)</f>
        <v>#VALUE!</v>
      </c>
      <c r="AS84" s="76">
        <f>AM84</f>
        <v>67.687799999999982</v>
      </c>
      <c r="AT84">
        <f>IFERROR(AP84,IFERROR(AQ84,IFERROR(AR84,AS84)))</f>
        <v>67.687799999999982</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10.18</v>
      </c>
      <c r="AG85" s="89">
        <f>SUM(AG83:AG84)</f>
        <v>15.94</v>
      </c>
      <c r="AH85" s="84" t="str">
        <f>CONCATENATE("m'(",AD84,")=")</f>
        <v>m'(7.88333333333333)=</v>
      </c>
      <c r="AI85" s="84">
        <f>(2*(AI82^2)/6*AG85)+(AI84*AD83*WLS)</f>
        <v>217.37875799999992</v>
      </c>
      <c r="AJ85" s="84" t="str">
        <f>CONCATENATE("M(",AD83,")=")</f>
        <v>M(7)=</v>
      </c>
      <c r="AK85" s="84">
        <f>VLOOKUP(AD83,STN_TABLE,4,FALSE)</f>
        <v>399.34660200000008</v>
      </c>
      <c r="AL85" t="str">
        <f>CONCATENATE("M(",AD84,")=")</f>
        <v>M(7.88333333333333)=</v>
      </c>
      <c r="AM85">
        <f>AI85+AK85</f>
        <v>616.72536000000002</v>
      </c>
      <c r="AO85" s="82" t="str">
        <f>AA85</f>
        <v>M(7.88333333333333)=</v>
      </c>
      <c r="AP85" s="82" t="e">
        <f>VLOOKUP(AO85,Rise_Results,2,FALSE)</f>
        <v>#N/A</v>
      </c>
      <c r="AQ85" s="82" t="e">
        <f>N85</f>
        <v>#N/A</v>
      </c>
      <c r="AR85" s="82" t="e">
        <f>IF(OR(AB84&lt;=0,AB85&lt;=0),1/0,AB85)</f>
        <v>#VALUE!</v>
      </c>
      <c r="AS85" s="82">
        <f>AM85</f>
        <v>616.72536000000002</v>
      </c>
      <c r="AT85">
        <f>IFERROR(AP85,IFERROR(AQ85,IFERROR(AR85,AS85)))</f>
        <v>616.72536000000002</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5.76</v>
      </c>
      <c r="AF88" s="68">
        <v>1</v>
      </c>
      <c r="AG88" s="69">
        <f>AE88*AF88</f>
        <v>5.76</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67.687799999999982</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5.76</v>
      </c>
      <c r="AG90" s="89" t="e">
        <f>SUM(AG88:AG89)</f>
        <v>#VALUE!</v>
      </c>
      <c r="AH90" s="84" t="str">
        <f>CONCATENATE("m'(",AD89,")=")</f>
        <v>m'(  )=</v>
      </c>
      <c r="AI90" s="84" t="e">
        <f>(2*(AI87^2)/6*AG90)+(AI89*AD88*WLS)</f>
        <v>#VALUE!</v>
      </c>
      <c r="AJ90" s="84" t="str">
        <f>CONCATENATE("M(",AD88,")=")</f>
        <v>M(7.88333333333333)=</v>
      </c>
      <c r="AK90" s="84">
        <f>VLOOKUP(AD88,STN_TABLE,4,FALSE)</f>
        <v>616.72536000000002</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18.5</v>
      </c>
      <c r="E1" s="511" t="s">
        <v>91</v>
      </c>
      <c r="F1" s="511"/>
      <c r="G1">
        <f>VLOOKUP(Station_No,RISE_CALC,2,FALSE)</f>
        <v>0.32</v>
      </c>
      <c r="L1" s="511" t="s">
        <v>92</v>
      </c>
      <c r="M1" s="511"/>
      <c r="N1">
        <v>22</v>
      </c>
    </row>
    <row r="2" spans="1:46" x14ac:dyDescent="0.25">
      <c r="Q2" s="66" t="str">
        <f t="shared" ref="Q2:R6" si="0">G4</f>
        <v>Rise</v>
      </c>
      <c r="R2" s="67">
        <f t="shared" si="0"/>
        <v>0.17777777777777778</v>
      </c>
      <c r="S2" s="68">
        <f>IF(OR(R5-R4=R4-R3,R6-R4=R4-R3),R3,IF(OR(R5-R4=R4-R2,R6-R4=R4-R2),R2,"-"))</f>
        <v>0.5</v>
      </c>
      <c r="T2" s="69">
        <f>IFERROR(VLOOKUP(S2,STN_TABLE,2,FALSE),IF(R2=RisePerWLS,0,"-"))</f>
        <v>1.04</v>
      </c>
      <c r="U2" s="69">
        <v>5</v>
      </c>
      <c r="V2" s="69">
        <f>T2*U2</f>
        <v>5.2</v>
      </c>
      <c r="W2" s="69">
        <v>3</v>
      </c>
      <c r="X2" s="69">
        <f>T2*W2</f>
        <v>3.12</v>
      </c>
      <c r="Y2" s="6" t="s">
        <v>93</v>
      </c>
      <c r="Z2" s="70">
        <f>IF(AND(S4-S3=S3-S2,NOT(AND(S2=0,S3=0)),NOT(AND(S3=0,S4=0))),WLS*(S4-S3),"#NA")</f>
        <v>0.9</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0.5</v>
      </c>
      <c r="S3" s="76">
        <f>R4</f>
        <v>1</v>
      </c>
      <c r="T3" s="77">
        <f>VLOOKUP(S3,STN_TABLE,2,FALSE)</f>
        <v>1.7</v>
      </c>
      <c r="U3" s="77">
        <v>8</v>
      </c>
      <c r="V3" s="77">
        <f>T3*U3</f>
        <v>13.6</v>
      </c>
      <c r="W3" s="77">
        <v>10</v>
      </c>
      <c r="X3" s="77">
        <f>T3*W3</f>
        <v>17</v>
      </c>
      <c r="Y3" s="78" t="s">
        <v>97</v>
      </c>
      <c r="Z3" s="78"/>
      <c r="AA3" s="78" t="s">
        <v>98</v>
      </c>
      <c r="AB3" s="78"/>
      <c r="AC3" s="7" t="s">
        <v>99</v>
      </c>
      <c r="AD3" s="7"/>
      <c r="AE3" s="66" t="str">
        <f t="shared" ref="AE3:AF7" si="1">G4</f>
        <v>Rise</v>
      </c>
      <c r="AF3" s="67">
        <f t="shared" si="1"/>
        <v>0.17777777777777778</v>
      </c>
      <c r="AG3" s="79">
        <f>IF(AF7-AF6=AF6-AF5,AF5,IF(OR(AF7-AF6=AF6-AF4,AF7-AF5=AF5-AF4),AF4,IF(OR(AF7-AF6=AF6-AF3,AF7-AF5=AF5-AF3,AF7-AF4=AF4-AF3),AF3,"#NA")))</f>
        <v>1</v>
      </c>
      <c r="AH3" s="69">
        <f>IFERROR(VLOOKUP(AG3,STN_TABLE,2,FALSE),IF(AF3=RisePerWLS,0,"-"))</f>
        <v>1.7</v>
      </c>
      <c r="AI3" s="69">
        <v>1</v>
      </c>
      <c r="AJ3" s="69">
        <f>AH3*AI3</f>
        <v>1.7</v>
      </c>
      <c r="AK3" s="69">
        <f>AG3</f>
        <v>1</v>
      </c>
      <c r="AL3" s="69">
        <f>AJ3*AK3</f>
        <v>1.7</v>
      </c>
      <c r="AM3" s="6" t="s">
        <v>93</v>
      </c>
      <c r="AN3" s="70">
        <f>IF(AND(AH3=0,AH4=0,AH5=0),WLS*(AG5-AG4),IF(AND(AG5-AG4=AG4-AG3,AG4&lt;&gt;AG5,AG3&lt;&gt;AG4,AG3&lt;&gt;AG5,AH5&lt;&gt;0,OR(AH3&lt;&gt;0,AH4&lt;&gt;0)),WLS*(AG5-AG4),"#NA"))</f>
        <v>0.9</v>
      </c>
    </row>
    <row r="4" spans="1:46" x14ac:dyDescent="0.25">
      <c r="A4">
        <v>1</v>
      </c>
      <c r="B4" s="80">
        <f t="shared" ref="B4:B28" si="2">VLOOKUP(Stn_WL,OFFSET_A,A4+1,FALSE)</f>
        <v>0</v>
      </c>
      <c r="C4" s="81">
        <f t="shared" ref="C4:C28" si="3">VLOOKUP(Station_No,OFFSET_A,A4+1,FALSE)</f>
        <v>0</v>
      </c>
      <c r="D4" s="81">
        <v>0</v>
      </c>
      <c r="E4" s="77">
        <v>0</v>
      </c>
      <c r="G4" t="s">
        <v>100</v>
      </c>
      <c r="H4">
        <f>Rise/WLS</f>
        <v>0.17777777777777778</v>
      </c>
      <c r="K4" t="str">
        <f>CONCATENATE("A(",H5,")=")</f>
        <v>A(0.5)=</v>
      </c>
      <c r="L4">
        <f>IFERROR(N18,N22)</f>
        <v>0.60319999999999996</v>
      </c>
      <c r="Q4" s="66" t="str">
        <f t="shared" si="0"/>
        <v>2nd_UWL</v>
      </c>
      <c r="R4" s="67">
        <f t="shared" si="0"/>
        <v>1</v>
      </c>
      <c r="S4" s="82">
        <f>IF((S2-S3)=S3-R5,R5,IF(S2-S3=S3-R6,R6,"-"))</f>
        <v>1.5</v>
      </c>
      <c r="T4" s="83">
        <f>VLOOKUP(S4,STN_TABLE,2,FALSE)</f>
        <v>2.14</v>
      </c>
      <c r="U4" s="83">
        <v>-1</v>
      </c>
      <c r="V4" s="83">
        <f>T4*U4</f>
        <v>-2.14</v>
      </c>
      <c r="W4" s="83">
        <v>-1</v>
      </c>
      <c r="X4" s="83">
        <f>T4*W4</f>
        <v>-2.14</v>
      </c>
      <c r="Y4" s="84" t="str">
        <f>CONCATENATE("a'(",S3,")=")</f>
        <v>a'(1)=</v>
      </c>
      <c r="Z4" s="85">
        <f>2*Z2/12*V5</f>
        <v>2.4990000000000001</v>
      </c>
      <c r="AA4" s="84" t="str">
        <f>CONCATENATE("A(",S2,")=")</f>
        <v>A(0.5)=</v>
      </c>
      <c r="AB4" s="84">
        <f>IF(S2=RisePerWLS,0,VLOOKUP(S2,STN_TABLE,3,FALSE))</f>
        <v>0.60319999999999996</v>
      </c>
      <c r="AC4" t="str">
        <f>CONCATENATE("A(",S3,")=")</f>
        <v>A(1)=</v>
      </c>
      <c r="AD4">
        <f>Z4+AB4</f>
        <v>3.1021999999999998</v>
      </c>
      <c r="AE4" s="66" t="str">
        <f t="shared" si="1"/>
        <v>1st_UWL</v>
      </c>
      <c r="AF4" s="67">
        <f t="shared" si="1"/>
        <v>0.5</v>
      </c>
      <c r="AG4" s="80">
        <f>IF(OR(AF7-AF6=AF6-AF5,AF7-AF6=AF6-AF4,AF7-AF6=AF6-AF3),AF6,IF(OR(AF7-AF5=AF5-AF4,AF7-AF5=AF5-AF3),AF5,IF(AF7-AF4=AF4-AF3,AF4,"#NA")))</f>
        <v>1.5</v>
      </c>
      <c r="AH4" s="77">
        <f>VLOOKUP(AG4,STN_TABLE,2,FALSE)</f>
        <v>2.14</v>
      </c>
      <c r="AI4" s="77">
        <v>4</v>
      </c>
      <c r="AJ4" s="77">
        <f>AH4*AI4</f>
        <v>8.56</v>
      </c>
      <c r="AK4" s="77">
        <f>AG4</f>
        <v>1.5</v>
      </c>
      <c r="AL4" s="77">
        <f>AJ4*AK4</f>
        <v>12.84</v>
      </c>
      <c r="AM4" s="78" t="s">
        <v>97</v>
      </c>
      <c r="AN4" s="78"/>
      <c r="AO4" s="78" t="s">
        <v>98</v>
      </c>
      <c r="AP4" s="78"/>
      <c r="AQ4" s="7" t="s">
        <v>99</v>
      </c>
      <c r="AR4" s="7"/>
      <c r="AS4" s="7"/>
      <c r="AT4" s="7"/>
    </row>
    <row r="5" spans="1:46" x14ac:dyDescent="0.25">
      <c r="A5">
        <v>2</v>
      </c>
      <c r="B5" s="80">
        <f t="shared" si="2"/>
        <v>0.5</v>
      </c>
      <c r="C5" s="81">
        <f t="shared" si="3"/>
        <v>1.04</v>
      </c>
      <c r="D5" s="81">
        <f t="shared" ref="D5:D28" si="4">IFERROR(VLOOKUP(CONCATENATE("A(",B5,")="),RESULT_TABLE,6,FALSE)," ")</f>
        <v>0.60319999999999996</v>
      </c>
      <c r="E5" s="77">
        <f t="shared" ref="E5:E28" si="5">IFERROR(VLOOKUP(CONCATENATE("M(",B5,")="),RESULT_TABLE,6,FALSE)," ")</f>
        <v>0.42626133333333333</v>
      </c>
      <c r="G5" t="s">
        <v>101</v>
      </c>
      <c r="H5">
        <f>VLOOKUP(Station_No,RISE_CALC,4,FALSE)</f>
        <v>0.5</v>
      </c>
      <c r="K5" t="str">
        <f>CONCATENATE("M(",H5,")=")</f>
        <v>M(0.5)=</v>
      </c>
      <c r="L5">
        <f>IFERROR(N19,N23)</f>
        <v>0.42626133333333333</v>
      </c>
      <c r="Q5" s="66" t="str">
        <f t="shared" si="0"/>
        <v>3rd_UWL</v>
      </c>
      <c r="R5" s="67">
        <f t="shared" si="0"/>
        <v>1.5</v>
      </c>
      <c r="V5" s="86">
        <f>SUM(V2:V4)</f>
        <v>16.66</v>
      </c>
      <c r="X5" s="87">
        <f>SUM(X2:X4)</f>
        <v>17.98</v>
      </c>
      <c r="Y5" s="84" t="str">
        <f>CONCATENATE("m'(",S3,")=")</f>
        <v>m'(1)=</v>
      </c>
      <c r="Z5" s="85">
        <f>(2*(Z2^2)/24*X5)+(Z4*S2*WLS)</f>
        <v>3.4627500000000007</v>
      </c>
      <c r="AA5" s="84" t="str">
        <f>CONCATENATE("M(",S2,")=")</f>
        <v>M(0.5)=</v>
      </c>
      <c r="AB5" s="84">
        <f>IF(S2=RisePerWLS,0,VLOOKUP(S2,STN_TABLE,4,FALSE))</f>
        <v>0.42626133333333333</v>
      </c>
      <c r="AC5" t="str">
        <f>CONCATENATE("M(",S3,")=")</f>
        <v>M(1)=</v>
      </c>
      <c r="AD5">
        <f>Z5+AB5</f>
        <v>3.8890113333333338</v>
      </c>
      <c r="AE5" s="66" t="str">
        <f t="shared" si="1"/>
        <v>2nd_UWL</v>
      </c>
      <c r="AF5" s="67">
        <f t="shared" si="1"/>
        <v>1</v>
      </c>
      <c r="AG5" s="88">
        <f>AF7</f>
        <v>2</v>
      </c>
      <c r="AH5" s="83">
        <f>VLOOKUP(AG5,STN_TABLE,2,FALSE)</f>
        <v>2.4</v>
      </c>
      <c r="AI5" s="83">
        <v>1</v>
      </c>
      <c r="AJ5" s="83">
        <f>AH5*AI5</f>
        <v>2.4</v>
      </c>
      <c r="AK5" s="83">
        <f>AG5</f>
        <v>2</v>
      </c>
      <c r="AL5" s="83">
        <f>AJ5*AK5</f>
        <v>4.8</v>
      </c>
      <c r="AM5" s="84" t="str">
        <f>CONCATENATE("a'(",AG5,")=")</f>
        <v>a'(2)=</v>
      </c>
      <c r="AN5" s="84">
        <f>2*AN3/3*AJ6</f>
        <v>7.5960000000000001</v>
      </c>
      <c r="AO5" s="84" t="str">
        <f>CONCATENATE("A(",AG3,")=")</f>
        <v>A(1)=</v>
      </c>
      <c r="AP5" s="84">
        <f>IF(AG3=RisePerWLS,0,VLOOKUP(AG3,STN_TABLE,3,FALSE))</f>
        <v>3.1021999999999998</v>
      </c>
      <c r="AQ5" t="str">
        <f>CONCATENATE("A(",AG5,")=")</f>
        <v>A(2)=</v>
      </c>
      <c r="AR5">
        <f>AN5+AP5</f>
        <v>10.6982</v>
      </c>
    </row>
    <row r="6" spans="1:46" x14ac:dyDescent="0.25">
      <c r="A6">
        <v>3</v>
      </c>
      <c r="B6" s="80">
        <f t="shared" si="2"/>
        <v>1</v>
      </c>
      <c r="C6" s="81">
        <f t="shared" si="3"/>
        <v>1.7</v>
      </c>
      <c r="D6" s="81">
        <f t="shared" si="4"/>
        <v>3.1021999999999998</v>
      </c>
      <c r="E6" s="77">
        <f t="shared" si="5"/>
        <v>3.8890113333333338</v>
      </c>
      <c r="G6" t="s">
        <v>102</v>
      </c>
      <c r="H6">
        <f>VLOOKUP(Station_No,RISE_CALC,5,FALSE)</f>
        <v>1</v>
      </c>
      <c r="K6" t="str">
        <f>CONCATENATE("A(",H6,")=")</f>
        <v>A(1)=</v>
      </c>
      <c r="L6">
        <f>IFERROR(P27,IFERROR(X6,AD9))</f>
        <v>3.1021999999999998</v>
      </c>
      <c r="Q6" s="66" t="str">
        <f t="shared" si="0"/>
        <v>4th_UWL</v>
      </c>
      <c r="R6" s="67">
        <f t="shared" si="0"/>
        <v>2</v>
      </c>
      <c r="U6" t="s">
        <v>103</v>
      </c>
      <c r="W6" t="str">
        <f>CONCATENATE("A(",S3,")=")</f>
        <v>A(1)=</v>
      </c>
      <c r="X6">
        <f>IF(OR(AD4&lt;=0,AD5&lt;=0),AD9,AD4)</f>
        <v>3.1021999999999998</v>
      </c>
      <c r="AE6" s="66" t="str">
        <f t="shared" si="1"/>
        <v>3rd_UWL</v>
      </c>
      <c r="AF6" s="67">
        <f t="shared" si="1"/>
        <v>1.5</v>
      </c>
      <c r="AJ6" s="89">
        <f>SUM(AJ3:AJ5)</f>
        <v>12.66</v>
      </c>
      <c r="AL6" s="89">
        <f>SUM(AL3:AL5)</f>
        <v>19.34</v>
      </c>
      <c r="AM6" s="84" t="str">
        <f>CONCATENATE("m'(",AG5,")=")</f>
        <v>m'(2)=</v>
      </c>
      <c r="AN6" s="84">
        <f>2*(AN3*WLS)/3*AL6</f>
        <v>20.8872</v>
      </c>
      <c r="AO6" s="84" t="str">
        <f>CONCATENATE("M(",AG3,")=")</f>
        <v>M(1)=</v>
      </c>
      <c r="AP6" s="84">
        <f>IF(AG3=RisePerWLS,0,VLOOKUP(AG3,STN_TABLE,4,FALSE))</f>
        <v>3.8890113333333338</v>
      </c>
      <c r="AQ6" t="str">
        <f>CONCATENATE("M(",AG5,")=")</f>
        <v>M(2)=</v>
      </c>
      <c r="AR6">
        <f>AN6+AP6</f>
        <v>24.776211333333332</v>
      </c>
    </row>
    <row r="7" spans="1:46" x14ac:dyDescent="0.25">
      <c r="A7">
        <v>4</v>
      </c>
      <c r="B7" s="80">
        <f t="shared" si="2"/>
        <v>1.5</v>
      </c>
      <c r="C7" s="81">
        <f t="shared" si="3"/>
        <v>2.14</v>
      </c>
      <c r="D7" s="81">
        <f t="shared" si="4"/>
        <v>6.5912000000000006</v>
      </c>
      <c r="E7" s="77">
        <f t="shared" si="5"/>
        <v>11.798661333333335</v>
      </c>
      <c r="G7" t="s">
        <v>104</v>
      </c>
      <c r="H7">
        <f>VLOOKUP(Station_No,RISE_CALC,6,FALSE)</f>
        <v>1.5</v>
      </c>
      <c r="K7" t="str">
        <f>CONCATENATE("M(",H6,")=")</f>
        <v>M(1)=</v>
      </c>
      <c r="L7">
        <f>IFERROR(P28,IFERROR(X7,AD10))</f>
        <v>3.8890113333333338</v>
      </c>
      <c r="Q7" s="66"/>
      <c r="R7" s="67"/>
      <c r="W7" t="str">
        <f>CONCATENATE("M(",S3,")=")</f>
        <v>M(1)=</v>
      </c>
      <c r="X7">
        <f>IF(OR(AD4&lt;=0,AD5&lt;=0),AD10,AD5)</f>
        <v>3.8890113333333338</v>
      </c>
      <c r="Y7" s="6" t="s">
        <v>93</v>
      </c>
      <c r="Z7" s="70">
        <f>WLS*(U9-U8)</f>
        <v>0.9</v>
      </c>
      <c r="AE7" s="66" t="str">
        <f t="shared" si="1"/>
        <v>4th_UWL</v>
      </c>
      <c r="AF7" s="67">
        <f t="shared" si="1"/>
        <v>2</v>
      </c>
      <c r="AH7" s="81"/>
    </row>
    <row r="8" spans="1:46" x14ac:dyDescent="0.25">
      <c r="A8">
        <v>5</v>
      </c>
      <c r="B8" s="80">
        <f t="shared" si="2"/>
        <v>2</v>
      </c>
      <c r="C8" s="81">
        <f t="shared" si="3"/>
        <v>2.4</v>
      </c>
      <c r="D8" s="81">
        <f t="shared" si="4"/>
        <v>10.6982</v>
      </c>
      <c r="E8" s="77">
        <f t="shared" si="5"/>
        <v>24.776211333333332</v>
      </c>
      <c r="G8" t="s">
        <v>105</v>
      </c>
      <c r="H8">
        <f>VLOOKUP(Station_No,RISE_CALC,7,FALSE)</f>
        <v>2</v>
      </c>
      <c r="K8" t="str">
        <f>CONCATENATE("A(",H7,")=")</f>
        <v>A(1.5)=</v>
      </c>
      <c r="L8">
        <f>IFERROR(AD15,IFERROR(X24,AD27))</f>
        <v>6.5912000000000006</v>
      </c>
      <c r="Q8" s="80"/>
      <c r="R8" s="81"/>
      <c r="U8" s="79">
        <f>R3</f>
        <v>0.5</v>
      </c>
      <c r="V8" s="68">
        <f>VLOOKUP(U8,STN_TABLE,2,FALSE)</f>
        <v>1.04</v>
      </c>
      <c r="W8" s="68">
        <v>1</v>
      </c>
      <c r="X8" s="69">
        <f>V8*W8</f>
        <v>1.04</v>
      </c>
      <c r="Y8" s="78" t="s">
        <v>97</v>
      </c>
      <c r="Z8" s="78"/>
      <c r="AA8" s="78" t="s">
        <v>98</v>
      </c>
      <c r="AB8" s="78"/>
      <c r="AC8" s="7" t="s">
        <v>99</v>
      </c>
      <c r="AD8" s="7"/>
      <c r="AE8" s="66"/>
      <c r="AF8" s="67"/>
      <c r="AG8" s="68">
        <f>IF(OR(AF12-AF11=AF11-AF10,AF13-AF11=AF11-AF10),AF10,IF(OR(AF12-AF11=AF11-AF9,AF13-AF11=AF11-AF9),AF9,"-"))</f>
        <v>1</v>
      </c>
      <c r="AH8" s="69">
        <f>IFERROR(VLOOKUP(AG8,STN_TABLE,2,FALSE),IF(AF8=RisePerWLS,0,"-"))</f>
        <v>1.7</v>
      </c>
      <c r="AI8" s="69">
        <v>5</v>
      </c>
      <c r="AJ8" s="69">
        <f>AH8*AI8</f>
        <v>8.5</v>
      </c>
      <c r="AK8" s="69">
        <v>3</v>
      </c>
      <c r="AL8" s="69">
        <f>AH8*AK8</f>
        <v>5.0999999999999996</v>
      </c>
      <c r="AM8" s="6" t="s">
        <v>93</v>
      </c>
      <c r="AN8" s="70">
        <f>IF(AND(AG10-AG9=AG9-AG8,NOT(AND(AG8=0,AG9=0)),NOT(AND(AG9=0,AG10=0))),WLS*(AG10-AG9),"#NA")</f>
        <v>1.8</v>
      </c>
    </row>
    <row r="9" spans="1:46" x14ac:dyDescent="0.25">
      <c r="A9">
        <v>6</v>
      </c>
      <c r="B9" s="80">
        <f t="shared" si="2"/>
        <v>3</v>
      </c>
      <c r="C9" s="81">
        <f t="shared" si="3"/>
        <v>2.57</v>
      </c>
      <c r="D9" s="81">
        <f t="shared" si="4"/>
        <v>19.746199999999998</v>
      </c>
      <c r="E9" s="77">
        <f t="shared" si="5"/>
        <v>65.686611333333332</v>
      </c>
      <c r="G9" t="s">
        <v>106</v>
      </c>
      <c r="H9">
        <f>VLOOKUP(Station_No,RISE_CALC,8,FALSE)</f>
        <v>3</v>
      </c>
      <c r="K9" t="str">
        <f>CONCATENATE("M(",H7,")=")</f>
        <v>M(1.5)=</v>
      </c>
      <c r="L9">
        <f>IFERROR(AD16,IFERROR(X25,AD28))</f>
        <v>11.798661333333335</v>
      </c>
      <c r="Q9" s="80"/>
      <c r="R9" s="81"/>
      <c r="U9" s="88">
        <f>R4</f>
        <v>1</v>
      </c>
      <c r="V9" s="82">
        <f>VLOOKUP(U9,STN_TABLE,2,FALSE)</f>
        <v>1.7</v>
      </c>
      <c r="W9" s="82">
        <v>2</v>
      </c>
      <c r="X9" s="83">
        <f>V9*W9</f>
        <v>3.4</v>
      </c>
      <c r="Y9" s="84" t="str">
        <f>CONCATENATE("a'(",U9,")=")</f>
        <v>a'(1)=</v>
      </c>
      <c r="Z9" s="84">
        <f>2*Z7/2*V10</f>
        <v>2.4660000000000002</v>
      </c>
      <c r="AA9" s="84" t="str">
        <f>CONCATENATE("A(",U8,")=")</f>
        <v>A(0.5)=</v>
      </c>
      <c r="AB9" s="84">
        <f>IF(U8=RisePerWLS,0,VLOOKUP(U8,STN_TABLE,3,FALSE))</f>
        <v>0.60319999999999996</v>
      </c>
      <c r="AC9" t="str">
        <f>CONCATENATE("A(",U9,")=")</f>
        <v>A(1)=</v>
      </c>
      <c r="AD9">
        <f>Z9+AB9</f>
        <v>3.0692000000000004</v>
      </c>
      <c r="AE9" s="66" t="str">
        <f t="shared" ref="AE9:AF13" si="6">G6</f>
        <v>2nd_UWL</v>
      </c>
      <c r="AF9" s="67">
        <f t="shared" si="6"/>
        <v>1</v>
      </c>
      <c r="AG9" s="76">
        <f>AF11</f>
        <v>2</v>
      </c>
      <c r="AH9" s="77">
        <f>VLOOKUP(AG9,STN_TABLE,2,FALSE)</f>
        <v>2.4</v>
      </c>
      <c r="AI9" s="77">
        <v>8</v>
      </c>
      <c r="AJ9" s="77">
        <f>AH9*AI9</f>
        <v>19.2</v>
      </c>
      <c r="AK9" s="77">
        <v>10</v>
      </c>
      <c r="AL9" s="77">
        <f>AH9*AK9</f>
        <v>24</v>
      </c>
      <c r="AM9" s="78" t="s">
        <v>97</v>
      </c>
      <c r="AN9" s="78"/>
      <c r="AO9" s="78" t="s">
        <v>98</v>
      </c>
      <c r="AP9" s="78"/>
      <c r="AQ9" s="7" t="s">
        <v>99</v>
      </c>
      <c r="AR9" s="7"/>
      <c r="AS9" s="7"/>
      <c r="AT9" s="7"/>
    </row>
    <row r="10" spans="1:46" x14ac:dyDescent="0.25">
      <c r="A10">
        <v>7</v>
      </c>
      <c r="B10" s="80">
        <f t="shared" si="2"/>
        <v>4</v>
      </c>
      <c r="C10" s="81">
        <f t="shared" si="3"/>
        <v>2.5499999999999998</v>
      </c>
      <c r="D10" s="81">
        <f t="shared" si="4"/>
        <v>28.9742</v>
      </c>
      <c r="E10" s="77">
        <f t="shared" si="5"/>
        <v>123.79061133333332</v>
      </c>
      <c r="G10" t="s">
        <v>107</v>
      </c>
      <c r="H10">
        <f>VLOOKUP(Station_No,RISE_CALC,9,FALSE)</f>
        <v>4</v>
      </c>
      <c r="K10" t="str">
        <f>CONCATENATE("A(",H8,")=")</f>
        <v>A(2)=</v>
      </c>
      <c r="L10">
        <f>IFERROR(AR5,IFERROR(AL12,AR15))</f>
        <v>10.6982</v>
      </c>
      <c r="Q10" s="80"/>
      <c r="R10" s="81"/>
      <c r="V10" s="89">
        <f>SUM(V8:V9)</f>
        <v>2.74</v>
      </c>
      <c r="X10" s="89">
        <f>SUM(X8:X9)</f>
        <v>4.4399999999999995</v>
      </c>
      <c r="Y10" s="84" t="str">
        <f>CONCATENATE("m'(",U9,")=")</f>
        <v>m'(1)=</v>
      </c>
      <c r="Z10" s="84">
        <f>(2*(Z7^2)/6*X10)+(Z9*U8*WLS)</f>
        <v>3.4182000000000001</v>
      </c>
      <c r="AA10" s="84" t="str">
        <f>CONCATENATE("M(",U8,")=")</f>
        <v>M(0.5)=</v>
      </c>
      <c r="AB10" s="84">
        <f>IF(U8=RisePerWLS,0,VLOOKUP(U8,STN_TABLE,4,FALSE))</f>
        <v>0.42626133333333333</v>
      </c>
      <c r="AC10" t="str">
        <f>CONCATENATE("M(",U9,")=")</f>
        <v>M(1)=</v>
      </c>
      <c r="AD10">
        <f>Z10+AB10</f>
        <v>3.8444613333333333</v>
      </c>
      <c r="AE10" s="66" t="str">
        <f t="shared" si="6"/>
        <v>3rd_UWL</v>
      </c>
      <c r="AF10" s="67">
        <f t="shared" si="6"/>
        <v>1.5</v>
      </c>
      <c r="AG10" s="82">
        <f>IF(AG8-AG9=AG9-AF12,AF12,IF(AG8-AG9=AG9-AF13,AF13,"-"))</f>
        <v>3</v>
      </c>
      <c r="AH10" s="83">
        <f>VLOOKUP(AG10,STN_TABLE,2,FALSE)</f>
        <v>2.57</v>
      </c>
      <c r="AI10" s="83">
        <v>-1</v>
      </c>
      <c r="AJ10" s="83">
        <f>AH10*AI10</f>
        <v>-2.57</v>
      </c>
      <c r="AK10" s="83">
        <v>-1</v>
      </c>
      <c r="AL10" s="83">
        <f>AH10*AK10</f>
        <v>-2.57</v>
      </c>
      <c r="AM10" s="84" t="str">
        <f>CONCATENATE("a'(",AG9,")=")</f>
        <v>a'(2)=</v>
      </c>
      <c r="AN10" s="84">
        <f>2*AN8/12*AJ11</f>
        <v>7.5389999999999997</v>
      </c>
      <c r="AO10" s="84" t="str">
        <f>CONCATENATE("A(",AG8,")=")</f>
        <v>A(1)=</v>
      </c>
      <c r="AP10" s="84">
        <f>VLOOKUP(AG8,STN_TABLE,3,FALSE)</f>
        <v>3.1021999999999998</v>
      </c>
      <c r="AQ10" t="str">
        <f>CONCATENATE("A(",AG9,")=")</f>
        <v>A(2)=</v>
      </c>
      <c r="AR10">
        <f>AN10+AP10</f>
        <v>10.6412</v>
      </c>
    </row>
    <row r="11" spans="1:46" x14ac:dyDescent="0.25">
      <c r="A11">
        <v>8</v>
      </c>
      <c r="B11" s="80">
        <f t="shared" si="2"/>
        <v>5</v>
      </c>
      <c r="C11" s="81">
        <f t="shared" si="3"/>
        <v>3.12</v>
      </c>
      <c r="D11" s="81">
        <f t="shared" si="4"/>
        <v>38.8142</v>
      </c>
      <c r="E11" s="77">
        <f t="shared" si="5"/>
        <v>204.16421133333333</v>
      </c>
      <c r="G11" t="s">
        <v>108</v>
      </c>
      <c r="H11">
        <f>VLOOKUP(Station_No,RISE_CALC,10,FALSE)</f>
        <v>5</v>
      </c>
      <c r="K11" t="str">
        <f>CONCATENATE("M(",H8,")=")</f>
        <v>M(2)=</v>
      </c>
      <c r="L11">
        <f>IFERROR(AR6,IFERROR(AL13,AR16))</f>
        <v>24.776211333333332</v>
      </c>
      <c r="Q11" s="80"/>
      <c r="R11" s="81"/>
      <c r="AE11" s="66" t="str">
        <f t="shared" si="6"/>
        <v>4th_UWL</v>
      </c>
      <c r="AF11" s="67">
        <f t="shared" si="6"/>
        <v>2</v>
      </c>
      <c r="AJ11" s="89">
        <f>SUM(AJ8:AJ10)</f>
        <v>25.13</v>
      </c>
      <c r="AL11" s="89">
        <f>SUM(AL8:AL10)</f>
        <v>26.53</v>
      </c>
      <c r="AM11" s="84" t="str">
        <f>CONCATENATE("m'(",AG9,")=")</f>
        <v>m'(2)=</v>
      </c>
      <c r="AN11" s="84">
        <f>(2*(AN8^2)/24*AL11)+(AN10*AG8*WLS)</f>
        <v>20.7333</v>
      </c>
      <c r="AO11" s="84" t="str">
        <f>CONCATENATE("M(",AG8,")=")</f>
        <v>M(1)=</v>
      </c>
      <c r="AP11" s="84">
        <f>VLOOKUP(AG8,STN_TABLE,4,FALSE)</f>
        <v>3.8890113333333338</v>
      </c>
      <c r="AQ11" t="str">
        <f>CONCATENATE("M(",AG9,")=")</f>
        <v>M(2)=</v>
      </c>
      <c r="AR11">
        <f>AN11+AP11</f>
        <v>24.622311333333332</v>
      </c>
    </row>
    <row r="12" spans="1:46" x14ac:dyDescent="0.25">
      <c r="A12">
        <v>9</v>
      </c>
      <c r="B12" s="80">
        <f t="shared" si="2"/>
        <v>5.6111111111111107</v>
      </c>
      <c r="C12" s="81">
        <f t="shared" si="3"/>
        <v>3.79</v>
      </c>
      <c r="D12" s="81">
        <f t="shared" si="4"/>
        <v>46.415199999999999</v>
      </c>
      <c r="E12" s="77">
        <f t="shared" si="5"/>
        <v>276.88887799999998</v>
      </c>
      <c r="Q12" s="90" t="s">
        <v>109</v>
      </c>
      <c r="R12" s="81"/>
      <c r="AE12" s="66" t="str">
        <f t="shared" si="6"/>
        <v>5th_UWL</v>
      </c>
      <c r="AF12" s="67">
        <f t="shared" si="6"/>
        <v>3</v>
      </c>
      <c r="AI12" t="s">
        <v>103</v>
      </c>
      <c r="AK12" t="str">
        <f>CONCATENATE("A(",AG9,")=")</f>
        <v>A(2)=</v>
      </c>
      <c r="AL12">
        <f>IF(OR(AR10&lt;=0,AR11&lt;=0),AR15,AR10)</f>
        <v>10.6412</v>
      </c>
    </row>
    <row r="13" spans="1:46" x14ac:dyDescent="0.25">
      <c r="A13">
        <v>10</v>
      </c>
      <c r="B13" s="80">
        <f t="shared" si="2"/>
        <v>6</v>
      </c>
      <c r="C13" s="81">
        <f t="shared" si="3"/>
        <v>4.3</v>
      </c>
      <c r="D13" s="81">
        <f t="shared" si="4"/>
        <v>52.170200000000001</v>
      </c>
      <c r="E13" s="77">
        <f t="shared" si="5"/>
        <v>336.33461133333333</v>
      </c>
      <c r="G13" s="71" t="s">
        <v>110</v>
      </c>
      <c r="Q13" s="66" t="str">
        <f t="shared" ref="Q13:R16" si="7">G4</f>
        <v>Rise</v>
      </c>
      <c r="R13" s="67">
        <f t="shared" si="7"/>
        <v>0.17777777777777778</v>
      </c>
      <c r="S13" s="68">
        <f>IF(R16-R15=R15-R14,R14,IF(R16-R14=R14-R13,R13,"-"))</f>
        <v>0.5</v>
      </c>
      <c r="T13" s="69">
        <f>IFERROR(VLOOKUP(S13,STN_TABLE,2,FALSE),IF(R13=RisePerWLS,0,"-"))</f>
        <v>1.04</v>
      </c>
      <c r="U13" s="69">
        <v>1</v>
      </c>
      <c r="V13" s="69">
        <f>T13*U13</f>
        <v>1.04</v>
      </c>
      <c r="W13" s="69">
        <f>S13</f>
        <v>0.5</v>
      </c>
      <c r="X13" s="69">
        <f>V13*W13</f>
        <v>0.52</v>
      </c>
      <c r="Y13" s="6" t="s">
        <v>93</v>
      </c>
      <c r="Z13" s="70">
        <f>IF(AND(T13=0,T14=0,T15=0),WLS*(S15-S14),IF(AND(S15-S14=S14-S13,S14&lt;&gt;S15,S13&lt;&gt;S14,S13&lt;&gt;S15,T15&lt;&gt;0,OR(T13&lt;&gt;0,T14&lt;&gt;0)),WLS*(S15-S14),"#NA"))</f>
        <v>0.9</v>
      </c>
      <c r="AE13" s="66" t="str">
        <f t="shared" si="6"/>
        <v>6th_UWL</v>
      </c>
      <c r="AF13" s="67">
        <f t="shared" si="6"/>
        <v>4</v>
      </c>
      <c r="AK13" t="str">
        <f>CONCATENATE("M(",AG9,")=")</f>
        <v>M(2)=</v>
      </c>
      <c r="AL13">
        <f>IF(OR(AR10&lt;=0,AR11&lt;=0),AR16,AR11)</f>
        <v>24.622311333333332</v>
      </c>
      <c r="AM13" s="6" t="s">
        <v>93</v>
      </c>
      <c r="AN13" s="70">
        <f>WLS*(AI15-AI14)</f>
        <v>0.9</v>
      </c>
    </row>
    <row r="14" spans="1:46" x14ac:dyDescent="0.25">
      <c r="A14">
        <v>11</v>
      </c>
      <c r="B14" s="80">
        <f t="shared" si="2"/>
        <v>7</v>
      </c>
      <c r="C14" s="81">
        <f t="shared" si="3"/>
        <v>5.71</v>
      </c>
      <c r="D14" s="81">
        <f t="shared" si="4"/>
        <v>70.050200000000004</v>
      </c>
      <c r="E14" s="77">
        <f t="shared" si="5"/>
        <v>547.10741133333329</v>
      </c>
      <c r="G14" s="91" t="str">
        <f>G4</f>
        <v>Rise</v>
      </c>
      <c r="H14" s="91">
        <f>RisePerWLS</f>
        <v>0.17777777777777778</v>
      </c>
      <c r="I14" s="68">
        <f>H14</f>
        <v>0.17777777777777778</v>
      </c>
      <c r="J14" s="69">
        <v>0</v>
      </c>
      <c r="K14" s="69">
        <v>5</v>
      </c>
      <c r="L14" s="69">
        <f>J14*K14</f>
        <v>0</v>
      </c>
      <c r="M14" s="69">
        <v>3</v>
      </c>
      <c r="N14" s="69">
        <f>J14*M14</f>
        <v>0</v>
      </c>
      <c r="O14" t="s">
        <v>93</v>
      </c>
      <c r="P14" t="e">
        <f>IF(AND(NOT(AND(J14=0,J15=0)),I14&lt;&gt;I15,I15&lt;&gt;I16,I16-I15=I15-I14),(I16-I15)*WLS,"#NA")</f>
        <v>#VALUE!</v>
      </c>
      <c r="Q14" s="66" t="str">
        <f t="shared" si="7"/>
        <v>1st_UWL</v>
      </c>
      <c r="R14" s="67">
        <f t="shared" si="7"/>
        <v>0.5</v>
      </c>
      <c r="S14" s="76">
        <f>IF(R16-R15=R15-R14,R15,IF(R16-R14=R14-R13,R14,"-"))</f>
        <v>1</v>
      </c>
      <c r="T14" s="77">
        <f>VLOOKUP(S14,STN_TABLE,2,FALSE)</f>
        <v>1.7</v>
      </c>
      <c r="U14" s="77">
        <v>4</v>
      </c>
      <c r="V14" s="77">
        <f>T14*U14</f>
        <v>6.8</v>
      </c>
      <c r="W14" s="77">
        <f>S14</f>
        <v>1</v>
      </c>
      <c r="X14" s="77">
        <f>V14*W14</f>
        <v>6.8</v>
      </c>
      <c r="Y14" s="78" t="s">
        <v>97</v>
      </c>
      <c r="Z14" s="78"/>
      <c r="AA14" s="78" t="s">
        <v>98</v>
      </c>
      <c r="AB14" s="78"/>
      <c r="AC14" s="7" t="s">
        <v>99</v>
      </c>
      <c r="AD14" s="7"/>
      <c r="AE14" s="66"/>
      <c r="AF14" s="67"/>
      <c r="AI14" s="79">
        <f>AF10</f>
        <v>1.5</v>
      </c>
      <c r="AJ14" s="68">
        <f>VLOOKUP(AI14,STN_TABLE,2,FALSE)</f>
        <v>2.14</v>
      </c>
      <c r="AK14" s="68">
        <v>1</v>
      </c>
      <c r="AL14" s="69">
        <f>AJ14*AK14</f>
        <v>2.14</v>
      </c>
      <c r="AM14" s="78" t="s">
        <v>97</v>
      </c>
      <c r="AN14" s="78"/>
      <c r="AO14" s="78" t="s">
        <v>98</v>
      </c>
      <c r="AP14" s="78"/>
      <c r="AQ14" s="7" t="s">
        <v>99</v>
      </c>
      <c r="AR14" s="7"/>
      <c r="AS14" s="7"/>
      <c r="AT14" s="7"/>
    </row>
    <row r="15" spans="1:46" x14ac:dyDescent="0.25">
      <c r="A15">
        <v>12</v>
      </c>
      <c r="B15" s="80">
        <f t="shared" si="2"/>
        <v>7.8833333333333329</v>
      </c>
      <c r="C15" s="81">
        <f t="shared" si="3"/>
        <v>8.1</v>
      </c>
      <c r="D15" s="81">
        <f t="shared" si="4"/>
        <v>92.008099999999985</v>
      </c>
      <c r="E15" s="77">
        <f t="shared" si="5"/>
        <v>842.24050833333308</v>
      </c>
      <c r="G15" s="91" t="str">
        <f>G5</f>
        <v>1st_UWL</v>
      </c>
      <c r="H15" s="91">
        <f>H5</f>
        <v>0.5</v>
      </c>
      <c r="I15" s="76">
        <f>H15</f>
        <v>0.5</v>
      </c>
      <c r="J15" s="77">
        <f>VLOOKUP(I15,STN_TABLE,2,FALSE)</f>
        <v>1.04</v>
      </c>
      <c r="K15" s="77">
        <v>8</v>
      </c>
      <c r="L15" s="77">
        <f>J15*K15</f>
        <v>8.32</v>
      </c>
      <c r="M15" s="77">
        <v>10</v>
      </c>
      <c r="N15" s="77">
        <f>J15*M15</f>
        <v>10.4</v>
      </c>
      <c r="O15" t="str">
        <f>CONCATENATE("A(",I15,")=")</f>
        <v>A(0.5)=</v>
      </c>
      <c r="P15" t="e">
        <f>2*P14/12*L17</f>
        <v>#VALUE!</v>
      </c>
      <c r="Q15" s="66" t="str">
        <f t="shared" si="7"/>
        <v>2nd_UWL</v>
      </c>
      <c r="R15" s="67">
        <f t="shared" si="7"/>
        <v>1</v>
      </c>
      <c r="S15" s="82">
        <f>R16</f>
        <v>1.5</v>
      </c>
      <c r="T15" s="83">
        <f>VLOOKUP(S15,STN_TABLE,2,FALSE)</f>
        <v>2.14</v>
      </c>
      <c r="U15" s="83">
        <v>1</v>
      </c>
      <c r="V15" s="83">
        <f>T15*U15</f>
        <v>2.14</v>
      </c>
      <c r="W15" s="83">
        <f>S15</f>
        <v>1.5</v>
      </c>
      <c r="X15" s="83">
        <f>V15*W15</f>
        <v>3.21</v>
      </c>
      <c r="Y15" s="84" t="str">
        <f>CONCATENATE("a'(",S15,")=")</f>
        <v>a'(1.5)=</v>
      </c>
      <c r="Z15" s="84">
        <f>2*Z13/3*V16</f>
        <v>5.9880000000000004</v>
      </c>
      <c r="AA15" s="84" t="str">
        <f>CONCATENATE("A(",S13,")=")</f>
        <v>A(0.5)=</v>
      </c>
      <c r="AB15" s="84">
        <f>IF(S13=RisePerWLS,0,VLOOKUP(S13,STN_TABLE,3,FALSE))</f>
        <v>0.60319999999999996</v>
      </c>
      <c r="AC15" t="str">
        <f>CONCATENATE("A(",S15,")=")</f>
        <v>A(1.5)=</v>
      </c>
      <c r="AD15">
        <f>Z15+AB15</f>
        <v>6.5912000000000006</v>
      </c>
      <c r="AE15" s="80"/>
      <c r="AI15" s="88">
        <f>AF11</f>
        <v>2</v>
      </c>
      <c r="AJ15" s="82">
        <f>VLOOKUP(AI15,STN_TABLE,2,FALSE)</f>
        <v>2.4</v>
      </c>
      <c r="AK15" s="82">
        <v>2</v>
      </c>
      <c r="AL15" s="83">
        <f>AJ15*AK15</f>
        <v>4.8</v>
      </c>
      <c r="AM15" s="84" t="str">
        <f>CONCATENATE("a'(",AI15,")=")</f>
        <v>a'(2)=</v>
      </c>
      <c r="AN15" s="84">
        <f>2*AN13/2*AJ16</f>
        <v>4.0860000000000003</v>
      </c>
      <c r="AO15" s="84" t="str">
        <f>CONCATENATE("A(",AI14,")=")</f>
        <v>A(1.5)=</v>
      </c>
      <c r="AP15" s="84">
        <f>IF(AI14=RisePerWLS,0,VLOOKUP(AI14,STN_TABLE,3,FALSE))</f>
        <v>6.5912000000000006</v>
      </c>
      <c r="AQ15" t="str">
        <f>CONCATENATE("A(",AI15,")=")</f>
        <v>A(2)=</v>
      </c>
      <c r="AR15">
        <f>AN15+AP15</f>
        <v>10.677200000000001</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1</v>
      </c>
      <c r="I16" s="82" t="str">
        <f>IF(H16-H15=H15-H14,H16,"#NA")</f>
        <v>#NA</v>
      </c>
      <c r="J16" s="83" t="e">
        <f>VLOOKUP(I16,STN_TABLE,2,FALSE)</f>
        <v>#N/A</v>
      </c>
      <c r="K16" s="83">
        <v>-1</v>
      </c>
      <c r="L16" s="83" t="e">
        <f>J16*K16</f>
        <v>#N/A</v>
      </c>
      <c r="M16" s="83">
        <v>-1</v>
      </c>
      <c r="N16" s="83" t="e">
        <f>J16*M16</f>
        <v>#N/A</v>
      </c>
      <c r="O16" t="str">
        <f>CONCATENATE("M(",I15,")=")</f>
        <v>M(0.5)=</v>
      </c>
      <c r="P16" t="e">
        <f>(2*(P14^2)/24*N17)+P15*I14*WLS</f>
        <v>#VALUE!</v>
      </c>
      <c r="Q16" s="66" t="str">
        <f t="shared" si="7"/>
        <v>3rd_UWL</v>
      </c>
      <c r="R16" s="67">
        <f t="shared" si="7"/>
        <v>1.5</v>
      </c>
      <c r="V16" s="89">
        <f>SUM(V13:V15)</f>
        <v>9.98</v>
      </c>
      <c r="X16" s="89">
        <f>SUM(X13:X15)</f>
        <v>10.530000000000001</v>
      </c>
      <c r="Y16" s="84" t="str">
        <f>CONCATENATE("m'(",S15,")=")</f>
        <v>m'(1.5)=</v>
      </c>
      <c r="Z16" s="84">
        <f>2*(Z13*WLS)/3*X16</f>
        <v>11.372400000000003</v>
      </c>
      <c r="AA16" s="84" t="str">
        <f>CONCATENATE("M(",S13,")=")</f>
        <v>M(0.5)=</v>
      </c>
      <c r="AB16" s="84">
        <f>IF(S13=RisePerWLS,0,VLOOKUP(S13,STN_TABLE,4,FALSE))</f>
        <v>0.42626133333333333</v>
      </c>
      <c r="AC16" t="str">
        <f>CONCATENATE("M(",S15,")=")</f>
        <v>M(1.5)=</v>
      </c>
      <c r="AD16">
        <f>Z16+AB16</f>
        <v>11.798661333333335</v>
      </c>
      <c r="AE16" s="80"/>
      <c r="AJ16" s="89">
        <f>SUM(AJ14:AJ15)</f>
        <v>4.54</v>
      </c>
      <c r="AL16" s="89">
        <f>SUM(AL14:AL15)</f>
        <v>6.9399999999999995</v>
      </c>
      <c r="AM16" s="84" t="str">
        <f>CONCATENATE("m'(",AI15,")=")</f>
        <v>m'(2)=</v>
      </c>
      <c r="AN16" s="84">
        <f>(2*(AN13^2)/6*AL16)+(AN15*AI14*WLS)</f>
        <v>12.906000000000001</v>
      </c>
      <c r="AO16" s="84" t="str">
        <f>CONCATENATE("M(",AI14,")=")</f>
        <v>M(1.5)=</v>
      </c>
      <c r="AP16" s="84">
        <f>IF(AI14=RisePerWLS,0,VLOOKUP(AI14,STN_TABLE,4,FALSE))</f>
        <v>11.798661333333335</v>
      </c>
      <c r="AQ16" t="str">
        <f>CONCATENATE("M(",AI15,")=")</f>
        <v>M(2)=</v>
      </c>
      <c r="AR16">
        <f>AN16+AP16</f>
        <v>24.704661333333334</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A(0.5)=</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M(0.5)=</v>
      </c>
      <c r="N19" t="e">
        <f>IF(OR(P15&lt;=0,P16&lt;=0),N23,P16)</f>
        <v>#VALUE!</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f>IF(OR(R24-R23=R23-R22,R25-R23=R23-R22),R22,IF(OR(R24-R23=R23-R21,R25-R23=R23-R21),R21,"-"))</f>
        <v>1</v>
      </c>
      <c r="T20" s="69">
        <f>IFERROR(VLOOKUP(S20,STN_TABLE,2,FALSE),IF(R20=RisePerWLS,0,"-"))</f>
        <v>1.7</v>
      </c>
      <c r="U20" s="69">
        <v>5</v>
      </c>
      <c r="V20" s="69">
        <f>T20*U20</f>
        <v>8.5</v>
      </c>
      <c r="W20" s="69">
        <v>3</v>
      </c>
      <c r="X20" s="69">
        <f>T20*W20</f>
        <v>5.0999999999999996</v>
      </c>
      <c r="Y20" s="6" t="s">
        <v>93</v>
      </c>
      <c r="Z20" s="70">
        <f>IF(AND(S22-S21=S21-S20,NOT(AND(S20=0,S21=0)),NOT(AND(S21=0,S22=0))),WLS*(S22-S21),"#NA")</f>
        <v>0.9</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0.17777777777777778</v>
      </c>
      <c r="J21" s="68">
        <v>0</v>
      </c>
      <c r="K21" s="68">
        <v>1</v>
      </c>
      <c r="L21" s="69">
        <f>J21*K21</f>
        <v>0</v>
      </c>
      <c r="M21" t="s">
        <v>93</v>
      </c>
      <c r="N21">
        <f>(I22-I21)*WLS</f>
        <v>0.57999999999999996</v>
      </c>
      <c r="Q21" s="66" t="str">
        <f t="shared" ref="Q21:R25" si="8">G5</f>
        <v>1st_UWL</v>
      </c>
      <c r="R21" s="67">
        <f t="shared" si="8"/>
        <v>0.5</v>
      </c>
      <c r="S21" s="76">
        <f>R23</f>
        <v>1.5</v>
      </c>
      <c r="T21" s="77">
        <f>VLOOKUP(S21,STN_TABLE,2,FALSE)</f>
        <v>2.14</v>
      </c>
      <c r="U21" s="77">
        <v>8</v>
      </c>
      <c r="V21" s="77">
        <f>T21*U21</f>
        <v>17.12</v>
      </c>
      <c r="W21" s="77">
        <v>10</v>
      </c>
      <c r="X21" s="77">
        <f>T21*W21</f>
        <v>21.400000000000002</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0.5</v>
      </c>
      <c r="J22" s="82">
        <f>VLOOKUP(I22,STN_TABLE,2,FALSE)</f>
        <v>1.04</v>
      </c>
      <c r="K22" s="82">
        <v>2</v>
      </c>
      <c r="L22" s="83">
        <f>J22*K22</f>
        <v>2.08</v>
      </c>
      <c r="M22" t="str">
        <f>CONCATENATE("A(",I22,")=")</f>
        <v>A(0.5)=</v>
      </c>
      <c r="N22">
        <f>2*N21/2*J23</f>
        <v>0.60319999999999996</v>
      </c>
      <c r="Q22" s="66" t="str">
        <f t="shared" si="8"/>
        <v>2nd_UWL</v>
      </c>
      <c r="R22" s="67">
        <f t="shared" si="8"/>
        <v>1</v>
      </c>
      <c r="S22" s="82">
        <f>IF(S20-S21=S21-R24,R24,IF(S20-S21=S21-R25,R25,"-"))</f>
        <v>2</v>
      </c>
      <c r="T22" s="83">
        <f>VLOOKUP(S22,STN_TABLE,2,FALSE)</f>
        <v>2.4</v>
      </c>
      <c r="U22" s="83">
        <v>-1</v>
      </c>
      <c r="V22" s="83">
        <f>T22*U22</f>
        <v>-2.4</v>
      </c>
      <c r="W22" s="83">
        <v>-1</v>
      </c>
      <c r="X22" s="83">
        <f>T22*W22</f>
        <v>-2.4</v>
      </c>
      <c r="Y22" s="84" t="str">
        <f>CONCATENATE("a'(",S21,")=")</f>
        <v>a'(1.5)=</v>
      </c>
      <c r="Z22" s="84">
        <f>2*Z20/12*V23</f>
        <v>3.4830000000000001</v>
      </c>
      <c r="AA22" s="84" t="str">
        <f>CONCATENATE("A(",S20,")=")</f>
        <v>A(1)=</v>
      </c>
      <c r="AB22" s="84">
        <f>IF(S20=RisePerWLS,0,VLOOKUP(S20,STN_TABLE,3,FALSE))</f>
        <v>3.1021999999999998</v>
      </c>
      <c r="AC22" t="str">
        <f>CONCATENATE("A(",S21,")=")</f>
        <v>A(1.5)=</v>
      </c>
      <c r="AD22">
        <f>Z22+AB22</f>
        <v>6.5852000000000004</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1.04</v>
      </c>
      <c r="L23" s="89">
        <f>SUM(L21:L22)</f>
        <v>2.08</v>
      </c>
      <c r="M23" t="str">
        <f>CONCATENATE("M(",I22,")=")</f>
        <v>M(0.5)=</v>
      </c>
      <c r="N23">
        <f>(2*(N21^2)/6*L23)+N22*I21*WLS</f>
        <v>0.42626133333333333</v>
      </c>
      <c r="Q23" s="66" t="str">
        <f t="shared" si="8"/>
        <v>3rd_UWL</v>
      </c>
      <c r="R23" s="67">
        <f t="shared" si="8"/>
        <v>1.5</v>
      </c>
      <c r="V23" s="89">
        <f>SUM(V20:V22)</f>
        <v>23.220000000000002</v>
      </c>
      <c r="X23" s="89">
        <f>SUM(X20:X22)</f>
        <v>24.1</v>
      </c>
      <c r="Y23" s="84" t="str">
        <f>CONCATENATE("m'(",S21,")=")</f>
        <v>m'(1.5)=</v>
      </c>
      <c r="Z23" s="84">
        <f>(2*(Z20^2)/24*X23)+(Z22*S20*WLS)</f>
        <v>7.8961500000000004</v>
      </c>
      <c r="AA23" s="84" t="str">
        <f>CONCATENATE("M(",S20,")=")</f>
        <v>M(1)=</v>
      </c>
      <c r="AB23" s="84">
        <f>IF(S20=RisePerWLS,0,VLOOKUP(S20,STN_TABLE,4,FALSE))</f>
        <v>3.8890113333333338</v>
      </c>
      <c r="AC23" t="str">
        <f>CONCATENATE("M(",S21,")=")</f>
        <v>M(1.5)=</v>
      </c>
      <c r="AD23">
        <f>Z23+AB23</f>
        <v>11.785161333333335</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2</v>
      </c>
      <c r="U24" t="s">
        <v>103</v>
      </c>
      <c r="W24" t="str">
        <f>CONCATENATE("A(",S21,")=")</f>
        <v>A(1.5)=</v>
      </c>
      <c r="X24">
        <f>IF(OR(AD22&lt;=0,AD23&lt;=0),AD27,AD22)</f>
        <v>6.5852000000000004</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f t="shared" si="8"/>
        <v>3</v>
      </c>
      <c r="W25" t="str">
        <f>CONCATENATE("M(",S21,")=")</f>
        <v>M(1.5)=</v>
      </c>
      <c r="X25">
        <f>IF(OR(AD22&lt;=0,AD23&lt;=0),AD28,AD23)</f>
        <v>11.785161333333335</v>
      </c>
      <c r="Y25" s="6" t="s">
        <v>93</v>
      </c>
      <c r="Z25" s="70">
        <f>WLS*(U27-U26)</f>
        <v>0.9</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0.17777777777777778</v>
      </c>
      <c r="I26" s="68">
        <f>H26</f>
        <v>0.17777777777777778</v>
      </c>
      <c r="J26" s="69">
        <v>0</v>
      </c>
      <c r="K26" s="69">
        <v>1</v>
      </c>
      <c r="L26" s="69">
        <f>J26*K26</f>
        <v>0</v>
      </c>
      <c r="M26" s="69">
        <f>I26</f>
        <v>0.17777777777777778</v>
      </c>
      <c r="N26" s="69">
        <f>L26*M26</f>
        <v>0</v>
      </c>
      <c r="O26" t="s">
        <v>93</v>
      </c>
      <c r="P26" t="e">
        <f>IF(OR(J26=0,J27=0,J28=0),"#NA",IF(I28-I27=I27-I26,WLS*(I27-I26),"#NA"))</f>
        <v>#N/A</v>
      </c>
      <c r="Q26" s="66"/>
      <c r="R26" s="67"/>
      <c r="U26" s="79">
        <f>R22</f>
        <v>1</v>
      </c>
      <c r="V26" s="68">
        <f>VLOOKUP(U26,STN_TABLE,2,FALSE)</f>
        <v>1.7</v>
      </c>
      <c r="W26" s="68">
        <v>1</v>
      </c>
      <c r="X26" s="69">
        <f>V26*W26</f>
        <v>1.7</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0.5</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1.5</v>
      </c>
      <c r="V27" s="82">
        <f>VLOOKUP(U27,STN_TABLE,2,FALSE)</f>
        <v>2.14</v>
      </c>
      <c r="W27" s="82">
        <v>2</v>
      </c>
      <c r="X27" s="83">
        <f>V27*W27</f>
        <v>4.28</v>
      </c>
      <c r="Y27" s="84" t="str">
        <f>CONCATENATE("a'(",U27,")=")</f>
        <v>a'(1.5)=</v>
      </c>
      <c r="Z27" s="84">
        <f>2*Z25/2*V28</f>
        <v>3.456</v>
      </c>
      <c r="AA27" s="84" t="str">
        <f>CONCATENATE("A(",U26,")=")</f>
        <v>A(1)=</v>
      </c>
      <c r="AB27" s="84">
        <f>IF(U26=RisePerWLS,0,VLOOKUP(U26,STN_TABLE,3,FALSE))</f>
        <v>3.1021999999999998</v>
      </c>
      <c r="AC27" t="str">
        <f>CONCATENATE("A(",U27,")=")</f>
        <v>A(1.5)=</v>
      </c>
      <c r="AD27">
        <f>Z27+AB27</f>
        <v>6.5581999999999994</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1</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3.84</v>
      </c>
      <c r="X28" s="89">
        <f>SUM(X26:X27)</f>
        <v>5.98</v>
      </c>
      <c r="Y28" s="84" t="str">
        <f>CONCATENATE("m'(",U27,")=")</f>
        <v>m'(1.5)=</v>
      </c>
      <c r="Z28" s="84">
        <f>(2*(Z25^2)/6*X28)+(Z27*U26*WLS)</f>
        <v>7.8353999999999999</v>
      </c>
      <c r="AA28" s="84" t="str">
        <f>CONCATENATE("M(",U26,")=")</f>
        <v>M(1)=</v>
      </c>
      <c r="AB28" s="84">
        <f>IF(U26=RisePerWLS,0,VLOOKUP(U26,STN_TABLE,4,FALSE))</f>
        <v>3.8890113333333338</v>
      </c>
      <c r="AC28" t="str">
        <f>CONCATENATE("M(",U27,")=")</f>
        <v>M(1.5)=</v>
      </c>
      <c r="AD28">
        <f>Z28+AB28</f>
        <v>11.724411333333334</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1.04</v>
      </c>
      <c r="S33" s="77">
        <v>8</v>
      </c>
      <c r="T33" s="76">
        <f>R33*S33</f>
        <v>8.32</v>
      </c>
      <c r="U33" s="80">
        <v>10</v>
      </c>
      <c r="V33" s="76">
        <f>R33*U33</f>
        <v>10.4</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1.7</v>
      </c>
      <c r="S34" s="83">
        <v>-1</v>
      </c>
      <c r="T34" s="82">
        <f>R34*S34</f>
        <v>-1.7</v>
      </c>
      <c r="U34" s="88">
        <v>-1</v>
      </c>
      <c r="V34" s="82">
        <f>R34*U34</f>
        <v>-1.7</v>
      </c>
      <c r="W34" s="84" t="str">
        <f>CONCATENATE("a'(",Q33,")=")</f>
        <v>a'(0.5)=</v>
      </c>
      <c r="X34" s="84">
        <f>2*X32/12*T35</f>
        <v>0.99299999999999999</v>
      </c>
      <c r="Y34" s="84" t="str">
        <f>CONCATENATE("A(",Q32,")=")</f>
        <v>A(0)=</v>
      </c>
      <c r="Z34" s="84">
        <f>VLOOKUP(Q32,STN_TABLE,3,FALSE)</f>
        <v>0</v>
      </c>
      <c r="AA34" t="str">
        <f>CONCATENATE("A(",Q33,")=")</f>
        <v>A(0.5)=</v>
      </c>
      <c r="AB34">
        <f>X34+Z34</f>
        <v>0.99299999999999999</v>
      </c>
      <c r="AC34" s="99">
        <f>AC33+1</f>
        <v>2</v>
      </c>
      <c r="AD34" s="100">
        <f>VLOOKUP(AC34,STN_TABLE_2,2,FALSE)</f>
        <v>0.5</v>
      </c>
      <c r="AE34" s="82">
        <f>VLOOKUP(AD34,STN_TABLE,2,FALSE)</f>
        <v>1.04</v>
      </c>
      <c r="AF34" s="82">
        <v>2</v>
      </c>
      <c r="AG34" s="83">
        <f>AE34*AF34</f>
        <v>2.08</v>
      </c>
      <c r="AH34" s="84" t="str">
        <f>CONCATENATE("a'(",AD34,")=")</f>
        <v>a'(0.5)=</v>
      </c>
      <c r="AI34" s="84">
        <f>2*AI32/2*AE35</f>
        <v>0.93600000000000005</v>
      </c>
      <c r="AJ34" s="84" t="str">
        <f>CONCATENATE("A(",AD33,")=")</f>
        <v>A(0)=</v>
      </c>
      <c r="AK34" s="84">
        <f>VLOOKUP(AD33,STN_TABLE,3,FALSE)</f>
        <v>0</v>
      </c>
      <c r="AL34" t="str">
        <f>CONCATENATE("A(",AD34,")=")</f>
        <v>A(0.5)=</v>
      </c>
      <c r="AM34">
        <f>AI34+AK34</f>
        <v>0.93600000000000005</v>
      </c>
      <c r="AO34" s="68" t="str">
        <f>AA34</f>
        <v>A(0.5)=</v>
      </c>
      <c r="AP34" s="79">
        <f>VLOOKUP(AO34,Rise_Results,2,FALSE)</f>
        <v>0.60319999999999996</v>
      </c>
      <c r="AQ34" s="76" t="s">
        <v>117</v>
      </c>
      <c r="AR34" s="76">
        <f>IF(OR(AB34&lt;=0,AB35&lt;=0),1/0,AB34)</f>
        <v>0.99299999999999999</v>
      </c>
      <c r="AS34" s="76">
        <f>AM34</f>
        <v>0.93600000000000005</v>
      </c>
      <c r="AT34" s="80">
        <f>IFERROR(AP34,IFERROR(AR34,AS34))</f>
        <v>0.60319999999999996</v>
      </c>
    </row>
    <row r="35" spans="1:47" x14ac:dyDescent="0.25">
      <c r="A35" s="101"/>
      <c r="T35" s="89">
        <f>SUM(T32:T34)</f>
        <v>6.62</v>
      </c>
      <c r="V35" s="82">
        <f>SUM(V32:V34)</f>
        <v>8.7000000000000011</v>
      </c>
      <c r="W35" s="84" t="str">
        <f>CONCATENATE("m'(",Q33,")=")</f>
        <v>m'(0.5)=</v>
      </c>
      <c r="X35" s="84">
        <f>(2*(X32^2)/24*V35)</f>
        <v>0.58725000000000016</v>
      </c>
      <c r="Y35" s="84" t="str">
        <f>CONCATENATE("M(",Q32,")=")</f>
        <v>M(0)=</v>
      </c>
      <c r="Z35" s="84">
        <f>VLOOKUP(Q32,STN_TABLE,4,FALSE)</f>
        <v>0</v>
      </c>
      <c r="AA35" t="str">
        <f>CONCATENATE("M(",Q33,")=")</f>
        <v>M(0.5)=</v>
      </c>
      <c r="AB35">
        <f>X35+Z35</f>
        <v>0.58725000000000016</v>
      </c>
      <c r="AE35" s="89">
        <f>SUM(AE33:AE34)</f>
        <v>1.04</v>
      </c>
      <c r="AG35" s="89">
        <f>SUM(AG33:AG34)</f>
        <v>2.08</v>
      </c>
      <c r="AH35" s="84" t="str">
        <f>CONCATENATE("m'(",AD34,")=")</f>
        <v>m'(0.5)=</v>
      </c>
      <c r="AI35" s="84">
        <f>(2*(AI32^2)/6*AG35)+(AI34*AD33*WLS)</f>
        <v>0.5616000000000001</v>
      </c>
      <c r="AJ35" s="84" t="str">
        <f>CONCATENATE("M(",AD33,")=")</f>
        <v>M(0)=</v>
      </c>
      <c r="AK35" s="84">
        <f>VLOOKUP(AD33,STN_TABLE,4,FALSE)</f>
        <v>0</v>
      </c>
      <c r="AL35" t="str">
        <f>CONCATENATE("M(",AD34,")=")</f>
        <v>M(0.5)=</v>
      </c>
      <c r="AM35">
        <f>AI35+AK35</f>
        <v>0.5616000000000001</v>
      </c>
      <c r="AO35" s="82" t="str">
        <f>AA35</f>
        <v>M(0.5)=</v>
      </c>
      <c r="AP35" s="88">
        <f>VLOOKUP(AO35,Rise_Results,2,FALSE)</f>
        <v>0.42626133333333333</v>
      </c>
      <c r="AQ35" s="82" t="s">
        <v>117</v>
      </c>
      <c r="AR35" s="82">
        <f>IF(OR(AB34&lt;=0,AB35&lt;=0),1/0,AB35)</f>
        <v>0.58725000000000016</v>
      </c>
      <c r="AS35" s="82">
        <f>AM35</f>
        <v>0.5616000000000001</v>
      </c>
      <c r="AT35" s="80">
        <f>IFERROR(AP35,IFERROR(AR35,AS35))</f>
        <v>0.42626133333333333</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1.04</v>
      </c>
      <c r="S37" s="69">
        <v>5</v>
      </c>
      <c r="T37" s="68">
        <f>R37*S37</f>
        <v>5.2</v>
      </c>
      <c r="U37" s="79">
        <v>3</v>
      </c>
      <c r="V37" s="68">
        <f>R37*U37</f>
        <v>3.12</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1.04</v>
      </c>
      <c r="E38" s="81">
        <v>4</v>
      </c>
      <c r="F38" s="76">
        <f>D38*E38</f>
        <v>4.16</v>
      </c>
      <c r="G38" s="77">
        <f>C38</f>
        <v>0.5</v>
      </c>
      <c r="H38" s="77">
        <f>F38*G38</f>
        <v>2.08</v>
      </c>
      <c r="I38" s="513" t="s">
        <v>97</v>
      </c>
      <c r="J38" s="513"/>
      <c r="K38" s="78" t="s">
        <v>98</v>
      </c>
      <c r="L38" s="78"/>
      <c r="M38" s="7" t="s">
        <v>99</v>
      </c>
      <c r="N38" s="7"/>
      <c r="O38" s="99">
        <f>O37+1</f>
        <v>3</v>
      </c>
      <c r="P38" s="99">
        <f t="shared" si="10"/>
        <v>1</v>
      </c>
      <c r="Q38" s="76">
        <f>P38</f>
        <v>1</v>
      </c>
      <c r="R38" s="77">
        <f>VLOOKUP(Q38,STN_TABLE,2,FALSE)</f>
        <v>1.7</v>
      </c>
      <c r="S38" s="77">
        <v>8</v>
      </c>
      <c r="T38" s="76">
        <f>R38*S38</f>
        <v>13.6</v>
      </c>
      <c r="U38" s="80">
        <v>10</v>
      </c>
      <c r="V38" s="76">
        <f>R38*U38</f>
        <v>17</v>
      </c>
      <c r="W38" s="513" t="s">
        <v>97</v>
      </c>
      <c r="X38" s="513"/>
      <c r="Y38" s="513" t="s">
        <v>98</v>
      </c>
      <c r="Z38" s="513"/>
      <c r="AA38" s="511" t="s">
        <v>99</v>
      </c>
      <c r="AB38" s="511"/>
      <c r="AC38" s="99">
        <f>AC33+1</f>
        <v>2</v>
      </c>
      <c r="AD38" s="95">
        <f>VLOOKUP(AC38,STN_TABLE_2,2,FALSE)</f>
        <v>0.5</v>
      </c>
      <c r="AE38" s="68">
        <f>VLOOKUP(AD38,STN_TABLE,2,FALSE)</f>
        <v>1.04</v>
      </c>
      <c r="AF38" s="68">
        <v>1</v>
      </c>
      <c r="AG38" s="69">
        <f>AE38*AF38</f>
        <v>1.04</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1.7</v>
      </c>
      <c r="E39" s="92">
        <v>1</v>
      </c>
      <c r="F39" s="82">
        <f>D39*E39</f>
        <v>1.7</v>
      </c>
      <c r="G39" s="83">
        <f>C39</f>
        <v>1</v>
      </c>
      <c r="H39" s="83">
        <f>F39*G39</f>
        <v>1.7</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2.14</v>
      </c>
      <c r="S39" s="83">
        <v>-1</v>
      </c>
      <c r="T39" s="82">
        <f>R39*S39</f>
        <v>-2.14</v>
      </c>
      <c r="U39" s="88">
        <v>-1</v>
      </c>
      <c r="V39" s="82">
        <f>R39*U39</f>
        <v>-2.14</v>
      </c>
      <c r="W39" s="84" t="str">
        <f>CONCATENATE("a'(",Q38,")=")</f>
        <v>a'(1)=</v>
      </c>
      <c r="X39" s="84">
        <f>2*X37/12*T40</f>
        <v>2.4990000000000001</v>
      </c>
      <c r="Y39" s="84" t="str">
        <f>CONCATENATE("A(",Q37,")=")</f>
        <v>A(0.5)=</v>
      </c>
      <c r="Z39" s="84">
        <f>VLOOKUP(Q37,STN_TABLE,3,FALSE)</f>
        <v>0.60319999999999996</v>
      </c>
      <c r="AA39" t="str">
        <f>CONCATENATE("A(",Q38,")=")</f>
        <v>A(1)=</v>
      </c>
      <c r="AB39">
        <f>X39+Z39</f>
        <v>3.1021999999999998</v>
      </c>
      <c r="AC39" s="99">
        <f>AC38+1</f>
        <v>3</v>
      </c>
      <c r="AD39" s="100">
        <f>VLOOKUP(AC39,STN_TABLE_2,2,FALSE)</f>
        <v>1</v>
      </c>
      <c r="AE39" s="82">
        <f>VLOOKUP(AD39,STN_TABLE,2,FALSE)</f>
        <v>1.7</v>
      </c>
      <c r="AF39" s="82">
        <v>2</v>
      </c>
      <c r="AG39" s="83">
        <f>AE39*AF39</f>
        <v>3.4</v>
      </c>
      <c r="AH39" s="84" t="str">
        <f>CONCATENATE("a'(",AD39,")=")</f>
        <v>a'(1)=</v>
      </c>
      <c r="AI39" s="84">
        <f>2*AI37/2*AE40</f>
        <v>2.4660000000000002</v>
      </c>
      <c r="AJ39" s="84" t="str">
        <f>CONCATENATE("A(",AD38,")=")</f>
        <v>A(0.5)=</v>
      </c>
      <c r="AK39" s="84">
        <f>VLOOKUP(AD38,STN_TABLE,3,FALSE)</f>
        <v>0.60319999999999996</v>
      </c>
      <c r="AL39" t="str">
        <f>CONCATENATE("A(",AD39,")=")</f>
        <v>A(1)=</v>
      </c>
      <c r="AM39">
        <f>AI39+AK39</f>
        <v>3.0692000000000004</v>
      </c>
      <c r="AO39" s="68" t="str">
        <f>AA39</f>
        <v>A(1)=</v>
      </c>
      <c r="AP39" s="68">
        <f>VLOOKUP(AO39,Rise_Results,2,FALSE)</f>
        <v>3.1021999999999998</v>
      </c>
      <c r="AQ39" s="76" t="e">
        <f>N39</f>
        <v>#VALUE!</v>
      </c>
      <c r="AR39" s="76">
        <f>IF(OR(AB39&lt;=0,AB40&lt;=0),1/0,AB39)</f>
        <v>3.1021999999999998</v>
      </c>
      <c r="AS39" s="76">
        <f>AM39</f>
        <v>3.0692000000000004</v>
      </c>
      <c r="AT39">
        <f>IFERROR(AP39,IFERROR(AQ39,IFERROR(AR39,AS39)))</f>
        <v>3.1021999999999998</v>
      </c>
    </row>
    <row r="40" spans="1:47" x14ac:dyDescent="0.25">
      <c r="A40">
        <v>4</v>
      </c>
      <c r="F40" s="82">
        <f>SUM(F37:F39)</f>
        <v>5.86</v>
      </c>
      <c r="H40" s="82">
        <f>SUM(H37:H39)</f>
        <v>3.7800000000000002</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16.66</v>
      </c>
      <c r="V40" s="82">
        <f>SUM(V37:V39)</f>
        <v>17.98</v>
      </c>
      <c r="W40" s="84" t="str">
        <f>CONCATENATE("m'(",Q38,")=")</f>
        <v>m'(1)=</v>
      </c>
      <c r="X40" s="84">
        <f>(2*(X37^2)/24*V40)+(X39*Q37*WLS)</f>
        <v>3.4627500000000007</v>
      </c>
      <c r="Y40" s="84" t="str">
        <f>CONCATENATE("M(",Q37,")=")</f>
        <v>M(0.5)=</v>
      </c>
      <c r="Z40" s="84">
        <f>VLOOKUP(Q37,STN_TABLE,4,FALSE)</f>
        <v>0.42626133333333333</v>
      </c>
      <c r="AA40" t="str">
        <f>CONCATENATE("M(",Q38,")=")</f>
        <v>M(1)=</v>
      </c>
      <c r="AB40">
        <f>X40+Z40</f>
        <v>3.8890113333333338</v>
      </c>
      <c r="AE40" s="89">
        <f>SUM(AE38:AE39)</f>
        <v>2.74</v>
      </c>
      <c r="AG40" s="89">
        <f>SUM(AG38:AG39)</f>
        <v>4.4399999999999995</v>
      </c>
      <c r="AH40" s="84" t="str">
        <f>CONCATENATE("m'(",AD39,")=")</f>
        <v>m'(1)=</v>
      </c>
      <c r="AI40" s="84">
        <f>(2*(AI37^2)/6*AG40)+(AI39*AD38*WLS)</f>
        <v>3.4182000000000001</v>
      </c>
      <c r="AJ40" s="84" t="str">
        <f>CONCATENATE("M(",AD38,")=")</f>
        <v>M(0.5)=</v>
      </c>
      <c r="AK40" s="84">
        <f>VLOOKUP(AD38,STN_TABLE,4,FALSE)</f>
        <v>0.42626133333333333</v>
      </c>
      <c r="AL40" t="str">
        <f>CONCATENATE("M(",AD39,")=")</f>
        <v>M(1)=</v>
      </c>
      <c r="AM40">
        <f>AI40+AK40</f>
        <v>3.8444613333333333</v>
      </c>
      <c r="AO40" s="82" t="str">
        <f>AA40</f>
        <v>M(1)=</v>
      </c>
      <c r="AP40" s="82">
        <f>VLOOKUP(AO40,Rise_Results,2,FALSE)</f>
        <v>3.8890113333333338</v>
      </c>
      <c r="AQ40" s="82" t="e">
        <f>N40</f>
        <v>#VALUE!</v>
      </c>
      <c r="AR40" s="82">
        <f>IF(OR(AB39&lt;=0,AB40&lt;=0),1/0,AB40)</f>
        <v>3.8890113333333338</v>
      </c>
      <c r="AS40" s="82">
        <f>AM40</f>
        <v>3.8444613333333333</v>
      </c>
      <c r="AT40">
        <f>IFERROR(AP40,IFERROR(AQ40,IFERROR(AR40,AS40)))</f>
        <v>3.8890113333333338</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1.04</v>
      </c>
      <c r="E42" s="102">
        <v>1</v>
      </c>
      <c r="F42" s="68">
        <f>D42*E42</f>
        <v>1.04</v>
      </c>
      <c r="G42" s="69">
        <f>C42</f>
        <v>0.5</v>
      </c>
      <c r="H42" s="69">
        <f>F42*G42</f>
        <v>0.52</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1.7</v>
      </c>
      <c r="S42" s="69">
        <v>5</v>
      </c>
      <c r="T42" s="68">
        <f>R42*S42</f>
        <v>8.5</v>
      </c>
      <c r="U42" s="79">
        <v>3</v>
      </c>
      <c r="V42" s="68">
        <f>R42*U42</f>
        <v>5.0999999999999996</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1.7</v>
      </c>
      <c r="E43" s="81">
        <v>4</v>
      </c>
      <c r="F43" s="76">
        <f>D43*E43</f>
        <v>6.8</v>
      </c>
      <c r="G43" s="77">
        <f>C43</f>
        <v>1</v>
      </c>
      <c r="H43" s="77">
        <f>F43*G43</f>
        <v>6.8</v>
      </c>
      <c r="I43" s="513" t="s">
        <v>97</v>
      </c>
      <c r="J43" s="513"/>
      <c r="K43" s="78" t="s">
        <v>98</v>
      </c>
      <c r="L43" s="78"/>
      <c r="M43" s="7" t="s">
        <v>99</v>
      </c>
      <c r="N43" s="7"/>
      <c r="O43" s="99">
        <f>O42+1</f>
        <v>4</v>
      </c>
      <c r="P43" s="99">
        <f t="shared" si="10"/>
        <v>1.5</v>
      </c>
      <c r="Q43" s="76">
        <f>P43</f>
        <v>1.5</v>
      </c>
      <c r="R43" s="77">
        <f>VLOOKUP(Q43,STN_TABLE,2,FALSE)</f>
        <v>2.14</v>
      </c>
      <c r="S43" s="77">
        <v>8</v>
      </c>
      <c r="T43" s="76">
        <f>R43*S43</f>
        <v>17.12</v>
      </c>
      <c r="U43" s="80">
        <v>10</v>
      </c>
      <c r="V43" s="76">
        <f>R43*U43</f>
        <v>21.400000000000002</v>
      </c>
      <c r="W43" s="513" t="s">
        <v>97</v>
      </c>
      <c r="X43" s="513"/>
      <c r="Y43" s="513" t="s">
        <v>98</v>
      </c>
      <c r="Z43" s="513"/>
      <c r="AA43" s="511" t="s">
        <v>99</v>
      </c>
      <c r="AB43" s="511"/>
      <c r="AC43" s="99">
        <f>AC38+1</f>
        <v>3</v>
      </c>
      <c r="AD43" s="95">
        <f>VLOOKUP(AC43,STN_TABLE_2,2,FALSE)</f>
        <v>1</v>
      </c>
      <c r="AE43" s="68">
        <f>VLOOKUP(AD43,STN_TABLE,2,FALSE)</f>
        <v>1.7</v>
      </c>
      <c r="AF43" s="68">
        <v>1</v>
      </c>
      <c r="AG43" s="69">
        <f>AE43*AF43</f>
        <v>1.7</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2.14</v>
      </c>
      <c r="E44" s="92">
        <v>1</v>
      </c>
      <c r="F44" s="82">
        <f>D44*E44</f>
        <v>2.14</v>
      </c>
      <c r="G44" s="83">
        <f>C44</f>
        <v>1.5</v>
      </c>
      <c r="H44" s="83">
        <f>F44*G44</f>
        <v>3.21</v>
      </c>
      <c r="I44" s="84" t="str">
        <f>CONCATENATE("a'(",C44,")=")</f>
        <v>a'(1.5)=</v>
      </c>
      <c r="J44" s="84">
        <f>2*J42/3*F45</f>
        <v>5.9880000000000004</v>
      </c>
      <c r="K44" s="84" t="str">
        <f>CONCATENATE("A(",C42,")=")</f>
        <v>A(0.5)=</v>
      </c>
      <c r="L44" s="84">
        <f>VLOOKUP(C42,STN_TABLE,3,FALSE)</f>
        <v>0.60319999999999996</v>
      </c>
      <c r="M44" t="str">
        <f>CONCATENATE("A(",C44,")=")</f>
        <v>A(1.5)=</v>
      </c>
      <c r="N44">
        <f>J44+L44</f>
        <v>6.5912000000000006</v>
      </c>
      <c r="O44" s="99">
        <f>O43+1</f>
        <v>5</v>
      </c>
      <c r="P44" s="99">
        <f t="shared" si="10"/>
        <v>2</v>
      </c>
      <c r="Q44" s="82">
        <f>IF(P44-P43=P43-P42,P44,IF(P45-P43=P43-P42,P45,IF(P44-P43=P43-P41,P44,IF(P45-P43=P43-P41,P45,"-"))))</f>
        <v>2</v>
      </c>
      <c r="R44" s="83">
        <f>VLOOKUP(Q44,STN_TABLE,2,FALSE)</f>
        <v>2.4</v>
      </c>
      <c r="S44" s="83">
        <v>-1</v>
      </c>
      <c r="T44" s="82">
        <f>R44*S44</f>
        <v>-2.4</v>
      </c>
      <c r="U44" s="88">
        <v>-1</v>
      </c>
      <c r="V44" s="82">
        <f>R44*U44</f>
        <v>-2.4</v>
      </c>
      <c r="W44" s="84" t="str">
        <f>CONCATENATE("a'(",Q43,")=")</f>
        <v>a'(1.5)=</v>
      </c>
      <c r="X44" s="84">
        <f>2*X42/12*T45</f>
        <v>3.4830000000000001</v>
      </c>
      <c r="Y44" s="84" t="str">
        <f>CONCATENATE("A(",Q42,")=")</f>
        <v>A(1)=</v>
      </c>
      <c r="Z44" s="84">
        <f>VLOOKUP(Q42,STN_TABLE,3,FALSE)</f>
        <v>3.1021999999999998</v>
      </c>
      <c r="AA44" t="str">
        <f>CONCATENATE("A(",Q43,")=")</f>
        <v>A(1.5)=</v>
      </c>
      <c r="AB44">
        <f>X44+Z44</f>
        <v>6.5852000000000004</v>
      </c>
      <c r="AC44" s="99">
        <f>AC43+1</f>
        <v>4</v>
      </c>
      <c r="AD44" s="100">
        <f>VLOOKUP(AC44,STN_TABLE_2,2,FALSE)</f>
        <v>1.5</v>
      </c>
      <c r="AE44" s="82">
        <f>VLOOKUP(AD44,STN_TABLE,2,FALSE)</f>
        <v>2.14</v>
      </c>
      <c r="AF44" s="82">
        <v>2</v>
      </c>
      <c r="AG44" s="83">
        <f>AE44*AF44</f>
        <v>4.28</v>
      </c>
      <c r="AH44" s="84" t="str">
        <f>CONCATENATE("a'(",AD44,")=")</f>
        <v>a'(1.5)=</v>
      </c>
      <c r="AI44" s="84">
        <f>2*AI42/2*AE45</f>
        <v>3.456</v>
      </c>
      <c r="AJ44" s="84" t="str">
        <f>CONCATENATE("A(",AD43,")=")</f>
        <v>A(1)=</v>
      </c>
      <c r="AK44" s="84">
        <f>VLOOKUP(AD43,STN_TABLE,3,FALSE)</f>
        <v>3.1021999999999998</v>
      </c>
      <c r="AL44" t="str">
        <f>CONCATENATE("A(",AD44,")=")</f>
        <v>A(1.5)=</v>
      </c>
      <c r="AM44">
        <f>AI44+AK44</f>
        <v>6.5581999999999994</v>
      </c>
      <c r="AO44" s="68" t="str">
        <f>AA44</f>
        <v>A(1.5)=</v>
      </c>
      <c r="AP44" s="68">
        <f>VLOOKUP(AO44,Rise_Results,2,FALSE)</f>
        <v>6.5912000000000006</v>
      </c>
      <c r="AQ44" s="76">
        <f>N44</f>
        <v>6.5912000000000006</v>
      </c>
      <c r="AR44" s="76">
        <f>IF(OR(AB44&lt;=0,AB45&lt;=0),1/0,AB44)</f>
        <v>6.5852000000000004</v>
      </c>
      <c r="AS44" s="76">
        <f>AM44</f>
        <v>6.5581999999999994</v>
      </c>
      <c r="AT44">
        <f>IFERROR(AP44,IFERROR(AQ44,IFERROR(AR44,AS44)))</f>
        <v>6.5912000000000006</v>
      </c>
      <c r="AU44" s="81"/>
    </row>
    <row r="45" spans="1:47" x14ac:dyDescent="0.25">
      <c r="A45" s="94">
        <f>A44+1</f>
        <v>4</v>
      </c>
      <c r="B45" s="94">
        <f t="shared" si="11"/>
        <v>1.5</v>
      </c>
      <c r="F45" s="82">
        <f>SUM(F42:F44)</f>
        <v>9.98</v>
      </c>
      <c r="H45" s="82">
        <f>SUM(H42:H44)</f>
        <v>10.530000000000001</v>
      </c>
      <c r="I45" s="84" t="str">
        <f>CONCATENATE("m'(",C44,")=")</f>
        <v>m'(1.5)=</v>
      </c>
      <c r="J45" s="84">
        <f>2*(J42*(WLS))/3*H45</f>
        <v>11.372400000000003</v>
      </c>
      <c r="K45" s="84" t="str">
        <f>CONCATENATE("M(",C42,")=")</f>
        <v>M(0.5)=</v>
      </c>
      <c r="L45" s="84">
        <f>VLOOKUP(C42,STN_TABLE,4,FALSE)</f>
        <v>0.42626133333333333</v>
      </c>
      <c r="M45" t="str">
        <f>CONCATENATE("M(",C44,")=")</f>
        <v>M(1.5)=</v>
      </c>
      <c r="N45">
        <f>J45+L45</f>
        <v>11.798661333333335</v>
      </c>
      <c r="O45" s="99">
        <f>O44+1</f>
        <v>6</v>
      </c>
      <c r="P45" s="99">
        <f t="shared" si="10"/>
        <v>3</v>
      </c>
      <c r="T45" s="89">
        <f>SUM(T42:T44)</f>
        <v>23.220000000000002</v>
      </c>
      <c r="V45" s="82">
        <f>SUM(V42:V44)</f>
        <v>24.1</v>
      </c>
      <c r="W45" s="84" t="str">
        <f>CONCATENATE("m'(",Q43,")=")</f>
        <v>m'(1.5)=</v>
      </c>
      <c r="X45" s="84">
        <f>(2*(X42^2)/24*V45)+(X44*Q42*WLS)</f>
        <v>7.8961500000000004</v>
      </c>
      <c r="Y45" s="84" t="str">
        <f>CONCATENATE("M(",Q42,")=")</f>
        <v>M(1)=</v>
      </c>
      <c r="Z45" s="84">
        <f>VLOOKUP(Q42,STN_TABLE,4,FALSE)</f>
        <v>3.8890113333333338</v>
      </c>
      <c r="AA45" t="str">
        <f>CONCATENATE("M(",Q43,")=")</f>
        <v>M(1.5)=</v>
      </c>
      <c r="AB45">
        <f>X45+Z45</f>
        <v>11.785161333333335</v>
      </c>
      <c r="AE45" s="89">
        <f>SUM(AE43:AE44)</f>
        <v>3.84</v>
      </c>
      <c r="AG45" s="89">
        <f>SUM(AG43:AG44)</f>
        <v>5.98</v>
      </c>
      <c r="AH45" s="84" t="str">
        <f>CONCATENATE("m'(",AD44,")=")</f>
        <v>m'(1.5)=</v>
      </c>
      <c r="AI45" s="84">
        <f>(2*(AI42^2)/6*AG45)+(AI44*AD43*WLS)</f>
        <v>7.8353999999999999</v>
      </c>
      <c r="AJ45" s="84" t="str">
        <f>CONCATENATE("M(",AD43,")=")</f>
        <v>M(1)=</v>
      </c>
      <c r="AK45" s="84">
        <f>VLOOKUP(AD43,STN_TABLE,4,FALSE)</f>
        <v>3.8890113333333338</v>
      </c>
      <c r="AL45" t="str">
        <f>CONCATENATE("M(",AD44,")=")</f>
        <v>M(1.5)=</v>
      </c>
      <c r="AM45">
        <f>AI45+AK45</f>
        <v>11.724411333333334</v>
      </c>
      <c r="AO45" s="82" t="str">
        <f>AA45</f>
        <v>M(1.5)=</v>
      </c>
      <c r="AP45" s="82">
        <f>VLOOKUP(AO45,Rise_Results,2,FALSE)</f>
        <v>11.798661333333335</v>
      </c>
      <c r="AQ45" s="82">
        <f>N45</f>
        <v>11.798661333333335</v>
      </c>
      <c r="AR45" s="82">
        <f>IF(OR(AB44&lt;=0,AB45&lt;=0),1/0,AB45)</f>
        <v>11.785161333333335</v>
      </c>
      <c r="AS45" s="82">
        <f>AM45</f>
        <v>11.724411333333334</v>
      </c>
      <c r="AT45">
        <f>IFERROR(AP45,IFERROR(AQ45,IFERROR(AR45,AS45)))</f>
        <v>11.798661333333335</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1.7</v>
      </c>
      <c r="E47" s="102">
        <v>1</v>
      </c>
      <c r="F47" s="68">
        <f>D47*E47</f>
        <v>1.7</v>
      </c>
      <c r="G47" s="69">
        <f>C47</f>
        <v>1</v>
      </c>
      <c r="H47" s="69">
        <f>F47*G47</f>
        <v>1.7</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1.7</v>
      </c>
      <c r="S47" s="69">
        <v>5</v>
      </c>
      <c r="T47" s="68">
        <f>R47*S47</f>
        <v>8.5</v>
      </c>
      <c r="U47" s="79">
        <v>3</v>
      </c>
      <c r="V47" s="68">
        <f>R47*U47</f>
        <v>5.0999999999999996</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2.14</v>
      </c>
      <c r="E48" s="81">
        <v>4</v>
      </c>
      <c r="F48" s="76">
        <f>D48*E48</f>
        <v>8.56</v>
      </c>
      <c r="G48" s="77">
        <f>C48</f>
        <v>1.5</v>
      </c>
      <c r="H48" s="77">
        <f>F48*G48</f>
        <v>12.84</v>
      </c>
      <c r="I48" s="513" t="s">
        <v>97</v>
      </c>
      <c r="J48" s="513"/>
      <c r="K48" s="78" t="s">
        <v>98</v>
      </c>
      <c r="L48" s="78"/>
      <c r="M48" s="7" t="s">
        <v>99</v>
      </c>
      <c r="N48" s="7"/>
      <c r="O48" s="99">
        <f>O47+1</f>
        <v>5</v>
      </c>
      <c r="P48" s="99">
        <f t="shared" si="10"/>
        <v>2</v>
      </c>
      <c r="Q48" s="76">
        <f>P48</f>
        <v>2</v>
      </c>
      <c r="R48" s="77">
        <f>VLOOKUP(Q48,STN_TABLE,2,FALSE)</f>
        <v>2.4</v>
      </c>
      <c r="S48" s="77">
        <v>8</v>
      </c>
      <c r="T48" s="76">
        <f>R48*S48</f>
        <v>19.2</v>
      </c>
      <c r="U48" s="80">
        <v>10</v>
      </c>
      <c r="V48" s="76">
        <f>R48*U48</f>
        <v>24</v>
      </c>
      <c r="W48" s="513" t="s">
        <v>97</v>
      </c>
      <c r="X48" s="513"/>
      <c r="Y48" s="513" t="s">
        <v>98</v>
      </c>
      <c r="Z48" s="513"/>
      <c r="AA48" s="511" t="s">
        <v>99</v>
      </c>
      <c r="AB48" s="511"/>
      <c r="AC48" s="99">
        <f>AC43+1</f>
        <v>4</v>
      </c>
      <c r="AD48" s="95">
        <f>VLOOKUP(AC48,STN_TABLE_2,2,FALSE)</f>
        <v>1.5</v>
      </c>
      <c r="AE48" s="68">
        <f>VLOOKUP(AD48,STN_TABLE,2,FALSE)</f>
        <v>2.14</v>
      </c>
      <c r="AF48" s="68">
        <v>1</v>
      </c>
      <c r="AG48" s="69">
        <f>AE48*AF48</f>
        <v>2.14</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2.4</v>
      </c>
      <c r="E49" s="92">
        <v>1</v>
      </c>
      <c r="F49" s="82">
        <f>D49*E49</f>
        <v>2.4</v>
      </c>
      <c r="G49" s="83">
        <f>C49</f>
        <v>2</v>
      </c>
      <c r="H49" s="83">
        <f>F49*G49</f>
        <v>4.8</v>
      </c>
      <c r="I49" s="84" t="str">
        <f>CONCATENATE("a'(",C49,")=")</f>
        <v>a'(2)=</v>
      </c>
      <c r="J49" s="84">
        <f>2*J47/3*F50</f>
        <v>7.5960000000000001</v>
      </c>
      <c r="K49" s="84" t="str">
        <f>CONCATENATE("A(",C47,")=")</f>
        <v>A(1)=</v>
      </c>
      <c r="L49" s="84">
        <f>VLOOKUP(C47,STN_TABLE,3,FALSE)</f>
        <v>3.1021999999999998</v>
      </c>
      <c r="M49" t="str">
        <f>CONCATENATE("A(",C49,")=")</f>
        <v>A(2)=</v>
      </c>
      <c r="N49">
        <f>J49+L49</f>
        <v>10.6982</v>
      </c>
      <c r="O49" s="99">
        <f>O48+1</f>
        <v>6</v>
      </c>
      <c r="P49" s="99">
        <f t="shared" si="10"/>
        <v>3</v>
      </c>
      <c r="Q49" s="82">
        <f>IF(P49-P48=P48-P47,P49,IF(P50-P48=P48-P47,P50,IF(P49-P48=P48-P46,P49,IF(P50-P48=P48-P46,P50,"-"))))</f>
        <v>3</v>
      </c>
      <c r="R49" s="83">
        <f>VLOOKUP(Q49,STN_TABLE,2,FALSE)</f>
        <v>2.57</v>
      </c>
      <c r="S49" s="83">
        <v>-1</v>
      </c>
      <c r="T49" s="82">
        <f>R49*S49</f>
        <v>-2.57</v>
      </c>
      <c r="U49" s="88">
        <v>-1</v>
      </c>
      <c r="V49" s="82">
        <f>R49*U49</f>
        <v>-2.57</v>
      </c>
      <c r="W49" s="84" t="str">
        <f>CONCATENATE("a'(",Q48,")=")</f>
        <v>a'(2)=</v>
      </c>
      <c r="X49" s="84">
        <f>2*X47/12*T50</f>
        <v>7.5389999999999997</v>
      </c>
      <c r="Y49" s="84" t="str">
        <f>CONCATENATE("A(",Q47,")=")</f>
        <v>A(1)=</v>
      </c>
      <c r="Z49" s="84">
        <f>VLOOKUP(Q47,STN_TABLE,3,FALSE)</f>
        <v>3.1021999999999998</v>
      </c>
      <c r="AA49" t="str">
        <f>CONCATENATE("A(",Q48,")=")</f>
        <v>A(2)=</v>
      </c>
      <c r="AB49">
        <f>X49+Z49</f>
        <v>10.6412</v>
      </c>
      <c r="AC49" s="99">
        <f>AC48+1</f>
        <v>5</v>
      </c>
      <c r="AD49" s="100">
        <f>VLOOKUP(AC49,STN_TABLE_2,2,FALSE)</f>
        <v>2</v>
      </c>
      <c r="AE49" s="82">
        <f>VLOOKUP(AD49,STN_TABLE,2,FALSE)</f>
        <v>2.4</v>
      </c>
      <c r="AF49" s="82">
        <v>2</v>
      </c>
      <c r="AG49" s="83">
        <f>AE49*AF49</f>
        <v>4.8</v>
      </c>
      <c r="AH49" s="84" t="str">
        <f>CONCATENATE("a'(",AD49,")=")</f>
        <v>a'(2)=</v>
      </c>
      <c r="AI49" s="84">
        <f>2*AI47/2*AE50</f>
        <v>4.0860000000000003</v>
      </c>
      <c r="AJ49" s="84" t="str">
        <f>CONCATENATE("A(",AD48,")=")</f>
        <v>A(1.5)=</v>
      </c>
      <c r="AK49" s="84">
        <f>VLOOKUP(AD48,STN_TABLE,3,FALSE)</f>
        <v>6.5912000000000006</v>
      </c>
      <c r="AL49" t="str">
        <f>CONCATENATE("A(",AD49,")=")</f>
        <v>A(2)=</v>
      </c>
      <c r="AM49">
        <f>AI49+AK49</f>
        <v>10.677200000000001</v>
      </c>
      <c r="AO49" s="68" t="str">
        <f>AA49</f>
        <v>A(2)=</v>
      </c>
      <c r="AP49" s="68">
        <f>VLOOKUP(AO49,Rise_Results,2,FALSE)</f>
        <v>10.6982</v>
      </c>
      <c r="AQ49" s="76">
        <f>N49</f>
        <v>10.6982</v>
      </c>
      <c r="AR49" s="76">
        <f>IF(OR(AB49&lt;=0,AB50&lt;=0),1/0,AB49)</f>
        <v>10.6412</v>
      </c>
      <c r="AS49" s="76">
        <f>AM49</f>
        <v>10.677200000000001</v>
      </c>
      <c r="AT49">
        <f>IFERROR(AP49,IFERROR(AQ49,IFERROR(AR49,AS49)))</f>
        <v>10.6982</v>
      </c>
      <c r="AU49" s="81"/>
    </row>
    <row r="50" spans="1:47" x14ac:dyDescent="0.25">
      <c r="A50" s="84">
        <f>A49+1</f>
        <v>5</v>
      </c>
      <c r="B50" s="84">
        <f t="shared" si="11"/>
        <v>2</v>
      </c>
      <c r="F50" s="82">
        <f>SUM(F47:F49)</f>
        <v>12.66</v>
      </c>
      <c r="H50" s="82">
        <f>SUM(H47:H49)</f>
        <v>19.34</v>
      </c>
      <c r="I50" s="84" t="str">
        <f>CONCATENATE("m'(",C49,")=")</f>
        <v>m'(2)=</v>
      </c>
      <c r="J50" s="84">
        <f>2*(J47*(WLS))/3*H50</f>
        <v>20.8872</v>
      </c>
      <c r="K50" s="84" t="str">
        <f>CONCATENATE("M(",C47,")=")</f>
        <v>M(1)=</v>
      </c>
      <c r="L50" s="84">
        <f>VLOOKUP(C47,STN_TABLE,4,FALSE)</f>
        <v>3.8890113333333338</v>
      </c>
      <c r="M50" t="str">
        <f>CONCATENATE("M(",C49,")=")</f>
        <v>M(2)=</v>
      </c>
      <c r="N50">
        <f>J50+L50</f>
        <v>24.776211333333332</v>
      </c>
      <c r="O50" s="99">
        <f>O49+1</f>
        <v>7</v>
      </c>
      <c r="P50" s="99">
        <f t="shared" si="10"/>
        <v>4</v>
      </c>
      <c r="T50" s="89">
        <f>SUM(T47:T49)</f>
        <v>25.13</v>
      </c>
      <c r="V50" s="82">
        <f>SUM(V47:V49)</f>
        <v>26.53</v>
      </c>
      <c r="W50" s="84" t="str">
        <f>CONCATENATE("m'(",Q48,")=")</f>
        <v>m'(2)=</v>
      </c>
      <c r="X50" s="84">
        <f>(2*(X47^2)/24*V50)+(X49*Q47*WLS)</f>
        <v>20.7333</v>
      </c>
      <c r="Y50" s="84" t="str">
        <f>CONCATENATE("M(",Q47,")=")</f>
        <v>M(1)=</v>
      </c>
      <c r="Z50" s="84">
        <f>VLOOKUP(Q47,STN_TABLE,4,FALSE)</f>
        <v>3.8890113333333338</v>
      </c>
      <c r="AA50" t="str">
        <f>CONCATENATE("M(",Q48,")=")</f>
        <v>M(2)=</v>
      </c>
      <c r="AB50">
        <f>X50+Z50</f>
        <v>24.622311333333332</v>
      </c>
      <c r="AE50" s="89">
        <f>SUM(AE48:AE49)</f>
        <v>4.54</v>
      </c>
      <c r="AG50" s="89">
        <f>SUM(AG48:AG49)</f>
        <v>6.9399999999999995</v>
      </c>
      <c r="AH50" s="84" t="str">
        <f>CONCATENATE("m'(",AD49,")=")</f>
        <v>m'(2)=</v>
      </c>
      <c r="AI50" s="84">
        <f>(2*(AI47^2)/6*AG50)+(AI49*AD48*WLS)</f>
        <v>12.906000000000001</v>
      </c>
      <c r="AJ50" s="84" t="str">
        <f>CONCATENATE("M(",AD48,")=")</f>
        <v>M(1.5)=</v>
      </c>
      <c r="AK50" s="84">
        <f>VLOOKUP(AD48,STN_TABLE,4,FALSE)</f>
        <v>11.798661333333335</v>
      </c>
      <c r="AL50" t="str">
        <f>CONCATENATE("M(",AD49,")=")</f>
        <v>M(2)=</v>
      </c>
      <c r="AM50">
        <f>AI50+AK50</f>
        <v>24.704661333333334</v>
      </c>
      <c r="AO50" s="82" t="str">
        <f>AA50</f>
        <v>M(2)=</v>
      </c>
      <c r="AP50" s="82">
        <f>VLOOKUP(AO50,Rise_Results,2,FALSE)</f>
        <v>24.776211333333332</v>
      </c>
      <c r="AQ50" s="82">
        <f>N50</f>
        <v>24.776211333333332</v>
      </c>
      <c r="AR50" s="82">
        <f>IF(OR(AB49&lt;=0,AB50&lt;=0),1/0,AB50)</f>
        <v>24.622311333333332</v>
      </c>
      <c r="AS50" s="82">
        <f>AM50</f>
        <v>24.704661333333334</v>
      </c>
      <c r="AT50">
        <f>IFERROR(AP50,IFERROR(AQ50,IFERROR(AR50,AS50)))</f>
        <v>24.776211333333332</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1.7</v>
      </c>
      <c r="E52" s="102">
        <v>1</v>
      </c>
      <c r="F52" s="68">
        <f>D52*E52</f>
        <v>1.7</v>
      </c>
      <c r="G52" s="69">
        <f>C52</f>
        <v>1</v>
      </c>
      <c r="H52" s="69">
        <f>F52*G52</f>
        <v>1.7</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2.4</v>
      </c>
      <c r="S52" s="69">
        <v>5</v>
      </c>
      <c r="T52" s="68">
        <f>R52*S52</f>
        <v>12</v>
      </c>
      <c r="U52" s="79">
        <v>3</v>
      </c>
      <c r="V52" s="68">
        <f>R52*U52</f>
        <v>7.1999999999999993</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2.4</v>
      </c>
      <c r="E53" s="81">
        <v>4</v>
      </c>
      <c r="F53" s="76">
        <f>D53*E53</f>
        <v>9.6</v>
      </c>
      <c r="G53" s="77">
        <f>C53</f>
        <v>2</v>
      </c>
      <c r="H53" s="77">
        <f>F53*G53</f>
        <v>19.2</v>
      </c>
      <c r="I53" s="512" t="s">
        <v>97</v>
      </c>
      <c r="J53" s="513"/>
      <c r="K53" s="78" t="s">
        <v>98</v>
      </c>
      <c r="L53" s="78"/>
      <c r="M53" s="7" t="s">
        <v>99</v>
      </c>
      <c r="N53" s="7"/>
      <c r="O53" s="99">
        <f>O52+1</f>
        <v>6</v>
      </c>
      <c r="P53" s="99">
        <f t="shared" si="10"/>
        <v>3</v>
      </c>
      <c r="Q53" s="76">
        <f>P53</f>
        <v>3</v>
      </c>
      <c r="R53" s="77">
        <f>VLOOKUP(Q53,STN_TABLE,2,FALSE)</f>
        <v>2.57</v>
      </c>
      <c r="S53" s="77">
        <v>8</v>
      </c>
      <c r="T53" s="76">
        <f>R53*S53</f>
        <v>20.56</v>
      </c>
      <c r="U53" s="80">
        <v>10</v>
      </c>
      <c r="V53" s="76">
        <f>R53*U53</f>
        <v>25.7</v>
      </c>
      <c r="W53" s="513" t="s">
        <v>97</v>
      </c>
      <c r="X53" s="513"/>
      <c r="Y53" s="513" t="s">
        <v>98</v>
      </c>
      <c r="Z53" s="513"/>
      <c r="AA53" s="511" t="s">
        <v>99</v>
      </c>
      <c r="AB53" s="511"/>
      <c r="AC53" s="99">
        <f>AC48+1</f>
        <v>5</v>
      </c>
      <c r="AD53" s="95">
        <f>VLOOKUP(AC53,STN_TABLE_2,2,FALSE)</f>
        <v>2</v>
      </c>
      <c r="AE53" s="68">
        <f>VLOOKUP(AD53,STN_TABLE,2,FALSE)</f>
        <v>2.4</v>
      </c>
      <c r="AF53" s="68">
        <v>1</v>
      </c>
      <c r="AG53" s="69">
        <f>AE53*AF53</f>
        <v>2.4</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2.57</v>
      </c>
      <c r="E54" s="92">
        <v>1</v>
      </c>
      <c r="F54" s="82">
        <f>D54*E54</f>
        <v>2.57</v>
      </c>
      <c r="G54" s="83">
        <f>C54</f>
        <v>3</v>
      </c>
      <c r="H54" s="83">
        <f>F54*G54</f>
        <v>7.7099999999999991</v>
      </c>
      <c r="I54" s="84" t="str">
        <f>CONCATENATE("a'(",C54,")=")</f>
        <v>a'(3)=</v>
      </c>
      <c r="J54" s="84">
        <f>2*J52/3*F55</f>
        <v>16.643999999999998</v>
      </c>
      <c r="K54" s="84" t="str">
        <f>CONCATENATE("A(",C52,")=")</f>
        <v>A(1)=</v>
      </c>
      <c r="L54" s="84">
        <f>VLOOKUP(C52,STN_TABLE,3,FALSE)</f>
        <v>3.1021999999999998</v>
      </c>
      <c r="M54" t="str">
        <f>CONCATENATE("A(",C54,")=")</f>
        <v>A(3)=</v>
      </c>
      <c r="N54">
        <f>J54+L54</f>
        <v>19.746199999999998</v>
      </c>
      <c r="O54" s="99">
        <f>O53+1</f>
        <v>7</v>
      </c>
      <c r="P54" s="99">
        <f t="shared" si="10"/>
        <v>4</v>
      </c>
      <c r="Q54" s="82">
        <f>IF(P54-P53=P53-P52,P54,IF(P55-P53=P53-P52,P55,IF(P54-P53=P53-P51,P54,IF(P55-P53=P53-P51,P55,"-"))))</f>
        <v>4</v>
      </c>
      <c r="R54" s="83">
        <f>VLOOKUP(Q54,STN_TABLE,2,FALSE)</f>
        <v>2.5499999999999998</v>
      </c>
      <c r="S54" s="83">
        <v>-1</v>
      </c>
      <c r="T54" s="82">
        <f>R54*S54</f>
        <v>-2.5499999999999998</v>
      </c>
      <c r="U54" s="88">
        <v>-1</v>
      </c>
      <c r="V54" s="82">
        <f>R54*U54</f>
        <v>-2.5499999999999998</v>
      </c>
      <c r="W54" s="84" t="str">
        <f>CONCATENATE("a'(",Q53,")=")</f>
        <v>a'(3)=</v>
      </c>
      <c r="X54" s="84">
        <f>2*X52/12*T55</f>
        <v>9.0030000000000001</v>
      </c>
      <c r="Y54" s="84" t="str">
        <f>CONCATENATE("A(",Q52,")=")</f>
        <v>A(2)=</v>
      </c>
      <c r="Z54" s="84">
        <f>VLOOKUP(Q52,STN_TABLE,3,FALSE)</f>
        <v>10.6982</v>
      </c>
      <c r="AA54" t="str">
        <f>CONCATENATE("A(",Q53,")=")</f>
        <v>A(3)=</v>
      </c>
      <c r="AB54">
        <f>X54+Z54</f>
        <v>19.7012</v>
      </c>
      <c r="AC54" s="99">
        <f>AC53+1</f>
        <v>6</v>
      </c>
      <c r="AD54" s="100">
        <f>VLOOKUP(AC54,STN_TABLE_2,2,FALSE)</f>
        <v>3</v>
      </c>
      <c r="AE54" s="82">
        <f>VLOOKUP(AD54,STN_TABLE,2,FALSE)</f>
        <v>2.57</v>
      </c>
      <c r="AF54" s="82">
        <v>2</v>
      </c>
      <c r="AG54" s="83">
        <f>AE54*AF54</f>
        <v>5.14</v>
      </c>
      <c r="AH54" s="84" t="str">
        <f>CONCATENATE("a'(",AD54,")=")</f>
        <v>a'(3)=</v>
      </c>
      <c r="AI54" s="84">
        <f>2*AI52/2*AE55</f>
        <v>8.9459999999999997</v>
      </c>
      <c r="AJ54" s="84" t="str">
        <f>CONCATENATE("A(",AD53,")=")</f>
        <v>A(2)=</v>
      </c>
      <c r="AK54" s="84">
        <f>VLOOKUP(AD53,STN_TABLE,3,FALSE)</f>
        <v>10.6982</v>
      </c>
      <c r="AL54" t="str">
        <f>CONCATENATE("A(",AD54,")=")</f>
        <v>A(3)=</v>
      </c>
      <c r="AM54">
        <f>AI54+AK54</f>
        <v>19.644199999999998</v>
      </c>
      <c r="AO54" s="68" t="str">
        <f>AA54</f>
        <v>A(3)=</v>
      </c>
      <c r="AP54" s="68" t="e">
        <f>VLOOKUP(AO54,Rise_Results,2,FALSE)</f>
        <v>#N/A</v>
      </c>
      <c r="AQ54" s="76">
        <f>N54</f>
        <v>19.746199999999998</v>
      </c>
      <c r="AR54" s="76">
        <f>IF(OR(AB54&lt;=0,AB55&lt;=0),1/0,AB54)</f>
        <v>19.7012</v>
      </c>
      <c r="AS54" s="76">
        <f>AM54</f>
        <v>19.644199999999998</v>
      </c>
      <c r="AT54">
        <f>IFERROR(AP54,IFERROR(AQ54,IFERROR(AR54,AS54)))</f>
        <v>19.746199999999998</v>
      </c>
      <c r="AU54" s="81"/>
    </row>
    <row r="55" spans="1:47" x14ac:dyDescent="0.25">
      <c r="A55" s="84">
        <f>A54+1</f>
        <v>6</v>
      </c>
      <c r="B55" s="84">
        <f t="shared" si="11"/>
        <v>3</v>
      </c>
      <c r="F55" s="82">
        <f>SUM(F52:F54)</f>
        <v>13.87</v>
      </c>
      <c r="H55" s="82">
        <f>SUM(H52:H54)</f>
        <v>28.61</v>
      </c>
      <c r="I55" s="84" t="str">
        <f>CONCATENATE("m'(",C54,")=")</f>
        <v>m'(3)=</v>
      </c>
      <c r="J55" s="84">
        <f>2*(J52*(WLS))/3*H55</f>
        <v>61.797600000000003</v>
      </c>
      <c r="K55" s="84" t="str">
        <f>CONCATENATE("M(",C52,")=")</f>
        <v>M(1)=</v>
      </c>
      <c r="L55" s="84">
        <f>VLOOKUP(C52,STN_TABLE,4,FALSE)</f>
        <v>3.8890113333333338</v>
      </c>
      <c r="M55" t="str">
        <f>CONCATENATE("M(",C54,")=")</f>
        <v>M(3)=</v>
      </c>
      <c r="N55">
        <f>J55+L55</f>
        <v>65.686611333333332</v>
      </c>
      <c r="O55" s="99">
        <f>O54+1</f>
        <v>8</v>
      </c>
      <c r="P55" s="99">
        <f t="shared" si="10"/>
        <v>5</v>
      </c>
      <c r="T55" s="89">
        <f>SUM(T52:T54)</f>
        <v>30.01</v>
      </c>
      <c r="V55" s="82">
        <f>SUM(V52:V54)</f>
        <v>30.349999999999998</v>
      </c>
      <c r="W55" s="84" t="str">
        <f>CONCATENATE("m'(",Q53,")=")</f>
        <v>m'(3)=</v>
      </c>
      <c r="X55" s="84">
        <f>(2*(X52^2)/24*V55)+(X54*Q52*WLS)</f>
        <v>40.6053</v>
      </c>
      <c r="Y55" s="84" t="str">
        <f>CONCATENATE("M(",Q52,")=")</f>
        <v>M(2)=</v>
      </c>
      <c r="Z55" s="84">
        <f>VLOOKUP(Q52,STN_TABLE,4,FALSE)</f>
        <v>24.776211333333332</v>
      </c>
      <c r="AA55" t="str">
        <f>CONCATENATE("M(",Q53,")=")</f>
        <v>M(3)=</v>
      </c>
      <c r="AB55">
        <f>X55+Z55</f>
        <v>65.381511333333336</v>
      </c>
      <c r="AE55" s="89">
        <f>SUM(AE53:AE54)</f>
        <v>4.97</v>
      </c>
      <c r="AG55" s="89">
        <f>SUM(AG53:AG54)</f>
        <v>7.5399999999999991</v>
      </c>
      <c r="AH55" s="84" t="str">
        <f>CONCATENATE("m'(",AD54,")=")</f>
        <v>m'(3)=</v>
      </c>
      <c r="AI55" s="84">
        <f>(2*(AI52^2)/6*AG55)+(AI54*AD53*WLS)</f>
        <v>40.348799999999997</v>
      </c>
      <c r="AJ55" s="84" t="str">
        <f>CONCATENATE("M(",AD53,")=")</f>
        <v>M(2)=</v>
      </c>
      <c r="AK55" s="84">
        <f>VLOOKUP(AD53,STN_TABLE,4,FALSE)</f>
        <v>24.776211333333332</v>
      </c>
      <c r="AL55" t="str">
        <f>CONCATENATE("M(",AD54,")=")</f>
        <v>M(3)=</v>
      </c>
      <c r="AM55">
        <f>AI55+AK55</f>
        <v>65.125011333333333</v>
      </c>
      <c r="AO55" s="82" t="str">
        <f>AA55</f>
        <v>M(3)=</v>
      </c>
      <c r="AP55" s="82" t="e">
        <f>VLOOKUP(AO55,Rise_Results,2,FALSE)</f>
        <v>#N/A</v>
      </c>
      <c r="AQ55" s="82">
        <f>N55</f>
        <v>65.686611333333332</v>
      </c>
      <c r="AR55" s="82">
        <f>IF(OR(AB54&lt;=0,AB55&lt;=0),1/0,AB55)</f>
        <v>65.381511333333336</v>
      </c>
      <c r="AS55" s="82">
        <f>AM55</f>
        <v>65.125011333333333</v>
      </c>
      <c r="AT55">
        <f>IFERROR(AP55,IFERROR(AQ55,IFERROR(AR55,AS55)))</f>
        <v>65.686611333333332</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2.4</v>
      </c>
      <c r="E57" s="102">
        <v>1</v>
      </c>
      <c r="F57" s="68">
        <f>D57*E57</f>
        <v>2.4</v>
      </c>
      <c r="G57" s="69">
        <f>C57</f>
        <v>2</v>
      </c>
      <c r="H57" s="69">
        <f>F57*G57</f>
        <v>4.8</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2.57</v>
      </c>
      <c r="S57" s="69">
        <v>5</v>
      </c>
      <c r="T57" s="68">
        <f>R57*S57</f>
        <v>12.85</v>
      </c>
      <c r="U57" s="79">
        <v>3</v>
      </c>
      <c r="V57" s="68">
        <f>R57*U57</f>
        <v>7.7099999999999991</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2.57</v>
      </c>
      <c r="E58" s="81">
        <v>4</v>
      </c>
      <c r="F58" s="76">
        <f>D58*E58</f>
        <v>10.28</v>
      </c>
      <c r="G58" s="77">
        <f>C58</f>
        <v>3</v>
      </c>
      <c r="H58" s="77">
        <f>F58*G58</f>
        <v>30.839999999999996</v>
      </c>
      <c r="I58" s="512" t="s">
        <v>97</v>
      </c>
      <c r="J58" s="513"/>
      <c r="K58" s="78" t="s">
        <v>98</v>
      </c>
      <c r="L58" s="78"/>
      <c r="M58" s="7" t="s">
        <v>99</v>
      </c>
      <c r="N58" s="7"/>
      <c r="O58" s="99">
        <f>O57+1</f>
        <v>7</v>
      </c>
      <c r="P58" s="99">
        <f t="shared" si="10"/>
        <v>4</v>
      </c>
      <c r="Q58" s="76">
        <f>P58</f>
        <v>4</v>
      </c>
      <c r="R58" s="77">
        <f>VLOOKUP(Q58,STN_TABLE,2,FALSE)</f>
        <v>2.5499999999999998</v>
      </c>
      <c r="S58" s="77">
        <v>8</v>
      </c>
      <c r="T58" s="76">
        <f>R58*S58</f>
        <v>20.399999999999999</v>
      </c>
      <c r="U58" s="80">
        <v>10</v>
      </c>
      <c r="V58" s="76">
        <f>R58*U58</f>
        <v>25.5</v>
      </c>
      <c r="W58" s="78" t="s">
        <v>97</v>
      </c>
      <c r="X58" s="78"/>
      <c r="Y58" s="78" t="s">
        <v>98</v>
      </c>
      <c r="Z58" s="78"/>
      <c r="AA58" s="7" t="s">
        <v>99</v>
      </c>
      <c r="AB58" s="7"/>
      <c r="AC58" s="99">
        <f>AC53+1</f>
        <v>6</v>
      </c>
      <c r="AD58" s="95">
        <f>VLOOKUP(AC58,STN_TABLE_2,2,FALSE)</f>
        <v>3</v>
      </c>
      <c r="AE58" s="68">
        <f>VLOOKUP(AD58,STN_TABLE,2,FALSE)</f>
        <v>2.57</v>
      </c>
      <c r="AF58" s="68">
        <v>1</v>
      </c>
      <c r="AG58" s="69">
        <f>AE58*AF58</f>
        <v>2.57</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2.5499999999999998</v>
      </c>
      <c r="E59" s="92">
        <v>1</v>
      </c>
      <c r="F59" s="82">
        <f>D59*E59</f>
        <v>2.5499999999999998</v>
      </c>
      <c r="G59" s="83">
        <f>C59</f>
        <v>4</v>
      </c>
      <c r="H59" s="83">
        <f>F59*G59</f>
        <v>10.199999999999999</v>
      </c>
      <c r="I59" s="84" t="str">
        <f>CONCATENATE("a'(",C59,")=")</f>
        <v>a'(4)=</v>
      </c>
      <c r="J59" s="84">
        <f>2*J57/3*F60</f>
        <v>18.276</v>
      </c>
      <c r="K59" s="84" t="str">
        <f>CONCATENATE("A(",C57,")=")</f>
        <v>A(2)=</v>
      </c>
      <c r="L59" s="84">
        <f>VLOOKUP(C57,STN_TABLE,3,FALSE)</f>
        <v>10.6982</v>
      </c>
      <c r="M59" t="str">
        <f>CONCATENATE("A(",C59,")=")</f>
        <v>A(4)=</v>
      </c>
      <c r="N59">
        <f>J59+L59</f>
        <v>28.9742</v>
      </c>
      <c r="O59" s="99">
        <f>O58+1</f>
        <v>8</v>
      </c>
      <c r="P59" s="99">
        <f t="shared" si="10"/>
        <v>5</v>
      </c>
      <c r="Q59" s="82">
        <f>IF(P59-P58=P58-P57,P59,IF(P60-P58=P58-P57,P60,IF(P59-P58=P58-P56,P59,IF(P60-P58=P58-P56,P60,"-"))))</f>
        <v>5</v>
      </c>
      <c r="R59" s="83">
        <f>VLOOKUP(Q59,STN_TABLE,2,FALSE)</f>
        <v>3.12</v>
      </c>
      <c r="S59" s="83">
        <v>-1</v>
      </c>
      <c r="T59" s="82">
        <f>R59*S59</f>
        <v>-3.12</v>
      </c>
      <c r="U59" s="88">
        <v>-1</v>
      </c>
      <c r="V59" s="82">
        <f>R59*U59</f>
        <v>-3.12</v>
      </c>
      <c r="W59" s="84" t="str">
        <f>CONCATENATE("a'(",Q58,")=")</f>
        <v>a'(4)=</v>
      </c>
      <c r="X59" s="84">
        <f>2*X57/12*T60</f>
        <v>9.0389999999999997</v>
      </c>
      <c r="Y59" s="84" t="str">
        <f>CONCATENATE("A(",Q57,")=")</f>
        <v>A(3)=</v>
      </c>
      <c r="Z59" s="84">
        <f>VLOOKUP(Q57,STN_TABLE,3,FALSE)</f>
        <v>19.746199999999998</v>
      </c>
      <c r="AA59" t="str">
        <f>CONCATENATE("A(",Q58,")=")</f>
        <v>A(4)=</v>
      </c>
      <c r="AB59">
        <f>X59+Z59</f>
        <v>28.785199999999996</v>
      </c>
      <c r="AC59" s="99">
        <f>AC58+1</f>
        <v>7</v>
      </c>
      <c r="AD59" s="100">
        <f>VLOOKUP(AC59,STN_TABLE_2,2,FALSE)</f>
        <v>4</v>
      </c>
      <c r="AE59" s="82">
        <f>VLOOKUP(AD59,STN_TABLE,2,FALSE)</f>
        <v>2.5499999999999998</v>
      </c>
      <c r="AF59" s="82">
        <v>2</v>
      </c>
      <c r="AG59" s="83">
        <f>AE59*AF59</f>
        <v>5.0999999999999996</v>
      </c>
      <c r="AH59" s="84" t="str">
        <f>CONCATENATE("a'(",AD59,")=")</f>
        <v>a'(4)=</v>
      </c>
      <c r="AI59" s="84">
        <f>2*AI57/2*AE60</f>
        <v>9.2159999999999993</v>
      </c>
      <c r="AJ59" s="84" t="str">
        <f>CONCATENATE("A(",AD58,")=")</f>
        <v>A(3)=</v>
      </c>
      <c r="AK59" s="84">
        <f>VLOOKUP(AD58,STN_TABLE,3,FALSE)</f>
        <v>19.746199999999998</v>
      </c>
      <c r="AL59" t="str">
        <f>CONCATENATE("A(",AD59,")=")</f>
        <v>A(4)=</v>
      </c>
      <c r="AM59">
        <f>AI59+AK59</f>
        <v>28.962199999999996</v>
      </c>
      <c r="AO59" s="68" t="str">
        <f>AA59</f>
        <v>A(4)=</v>
      </c>
      <c r="AP59" s="68" t="e">
        <f>VLOOKUP(AO59,Rise_Results,2,FALSE)</f>
        <v>#N/A</v>
      </c>
      <c r="AQ59" s="76">
        <f>N59</f>
        <v>28.9742</v>
      </c>
      <c r="AR59" s="76">
        <f>IF(OR(AB59&lt;=0,AB60&lt;=0),1/0,AB59)</f>
        <v>28.785199999999996</v>
      </c>
      <c r="AS59" s="76">
        <f>AM59</f>
        <v>28.962199999999996</v>
      </c>
      <c r="AT59">
        <f>IFERROR(AP59,IFERROR(AQ59,IFERROR(AR59,AS59)))</f>
        <v>28.9742</v>
      </c>
      <c r="AU59" s="81"/>
    </row>
    <row r="60" spans="1:47" x14ac:dyDescent="0.25">
      <c r="A60" s="84">
        <f>A59+1</f>
        <v>7</v>
      </c>
      <c r="B60" s="84">
        <f t="shared" si="11"/>
        <v>4</v>
      </c>
      <c r="F60" s="82">
        <f>SUM(F57:F59)</f>
        <v>15.23</v>
      </c>
      <c r="H60" s="82">
        <f>SUM(H57:H59)</f>
        <v>45.839999999999989</v>
      </c>
      <c r="I60" s="84" t="str">
        <f>CONCATENATE("m'(",C59,")=")</f>
        <v>m'(4)=</v>
      </c>
      <c r="J60" s="84">
        <f>2*(J57*(WLS))/3*H60</f>
        <v>99.014399999999981</v>
      </c>
      <c r="K60" s="84" t="str">
        <f>CONCATENATE("M(",C57,")=")</f>
        <v>M(2)=</v>
      </c>
      <c r="L60" s="84">
        <f>VLOOKUP(C57,STN_TABLE,4,FALSE)</f>
        <v>24.776211333333332</v>
      </c>
      <c r="M60" t="str">
        <f>CONCATENATE("M(",C59,")=")</f>
        <v>M(4)=</v>
      </c>
      <c r="N60">
        <f>J60+L60</f>
        <v>123.79061133333332</v>
      </c>
      <c r="O60" s="99">
        <f>O59+1</f>
        <v>9</v>
      </c>
      <c r="P60" s="99">
        <f t="shared" si="10"/>
        <v>5.6111111111111107</v>
      </c>
      <c r="T60" s="89">
        <f>SUM(T57:T59)</f>
        <v>30.13</v>
      </c>
      <c r="V60" s="82">
        <f>SUM(V57:V59)</f>
        <v>30.09</v>
      </c>
      <c r="W60" s="84" t="str">
        <f>CONCATENATE("m'(",Q58,")=")</f>
        <v>m'(4)=</v>
      </c>
      <c r="X60" s="84">
        <f>(2*(X57^2)/24*V60)+(X59*Q57*WLS)</f>
        <v>56.934899999999992</v>
      </c>
      <c r="Y60" s="84" t="str">
        <f>CONCATENATE("M(",Q57,")=")</f>
        <v>M(3)=</v>
      </c>
      <c r="Z60" s="84">
        <f>VLOOKUP(Q57,STN_TABLE,4,FALSE)</f>
        <v>65.686611333333332</v>
      </c>
      <c r="AA60" t="str">
        <f>CONCATENATE("M(",Q58,")=")</f>
        <v>M(4)=</v>
      </c>
      <c r="AB60">
        <f>X60+Z60</f>
        <v>122.62151133333333</v>
      </c>
      <c r="AE60" s="89">
        <f>SUM(AE58:AE59)</f>
        <v>5.1199999999999992</v>
      </c>
      <c r="AG60" s="89">
        <f>SUM(AG58:AG59)</f>
        <v>7.67</v>
      </c>
      <c r="AH60" s="84" t="str">
        <f>CONCATENATE("m'(",AD59,")=")</f>
        <v>m'(4)=</v>
      </c>
      <c r="AI60" s="84">
        <f>(2*(AI57^2)/6*AG60)+(AI59*AD58*WLS)</f>
        <v>58.05</v>
      </c>
      <c r="AJ60" s="84" t="str">
        <f>CONCATENATE("M(",AD58,")=")</f>
        <v>M(3)=</v>
      </c>
      <c r="AK60" s="84">
        <f>VLOOKUP(AD57,STN_TABLE,4,FALSE)</f>
        <v>0</v>
      </c>
      <c r="AL60" t="str">
        <f>CONCATENATE("M(",AD59,")=")</f>
        <v>M(4)=</v>
      </c>
      <c r="AM60">
        <f>AI60+AK60</f>
        <v>58.05</v>
      </c>
      <c r="AO60" s="82" t="str">
        <f>AA60</f>
        <v>M(4)=</v>
      </c>
      <c r="AP60" s="82" t="e">
        <f>VLOOKUP(AO60,Rise_Results,2,FALSE)</f>
        <v>#N/A</v>
      </c>
      <c r="AQ60" s="82">
        <f>N60</f>
        <v>123.79061133333332</v>
      </c>
      <c r="AR60" s="82">
        <f>IF(OR(AB59&lt;=0,AB60&lt;=0),1/0,AB60)</f>
        <v>122.62151133333333</v>
      </c>
      <c r="AS60" s="82">
        <f>AM60</f>
        <v>58.05</v>
      </c>
      <c r="AT60">
        <f>IFERROR(AP60,IFERROR(AQ60,IFERROR(AR60,AS60)))</f>
        <v>123.79061133333332</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2.57</v>
      </c>
      <c r="E62" s="102">
        <v>1</v>
      </c>
      <c r="F62" s="68">
        <f>D62*E62</f>
        <v>2.57</v>
      </c>
      <c r="G62" s="69">
        <f>C62</f>
        <v>3</v>
      </c>
      <c r="H62" s="69">
        <f>F62*G62</f>
        <v>7.7099999999999991</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2.5499999999999998</v>
      </c>
      <c r="S62" s="69">
        <v>5</v>
      </c>
      <c r="T62" s="68">
        <f>R62*S62</f>
        <v>12.75</v>
      </c>
      <c r="U62" s="79">
        <v>3</v>
      </c>
      <c r="V62" s="68">
        <f>R62*U62</f>
        <v>7.6499999999999995</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2.5499999999999998</v>
      </c>
      <c r="E63" s="81">
        <v>4</v>
      </c>
      <c r="F63" s="76">
        <f>D63*E63</f>
        <v>10.199999999999999</v>
      </c>
      <c r="G63" s="77">
        <f>C63</f>
        <v>4</v>
      </c>
      <c r="H63" s="77">
        <f>F63*G63</f>
        <v>40.799999999999997</v>
      </c>
      <c r="I63" s="512" t="s">
        <v>97</v>
      </c>
      <c r="J63" s="513"/>
      <c r="K63" s="78" t="s">
        <v>98</v>
      </c>
      <c r="L63" s="78"/>
      <c r="M63" s="7" t="s">
        <v>99</v>
      </c>
      <c r="N63" s="7"/>
      <c r="O63" s="99">
        <f>O62+1</f>
        <v>8</v>
      </c>
      <c r="P63" s="99">
        <f t="shared" si="10"/>
        <v>5</v>
      </c>
      <c r="Q63" s="76">
        <f>P63</f>
        <v>5</v>
      </c>
      <c r="R63" s="77">
        <f>VLOOKUP(Q63,STN_TABLE,2,FALSE)</f>
        <v>3.12</v>
      </c>
      <c r="S63" s="77">
        <v>8</v>
      </c>
      <c r="T63" s="76">
        <f>R63*S63</f>
        <v>24.96</v>
      </c>
      <c r="U63" s="80">
        <v>10</v>
      </c>
      <c r="V63" s="76">
        <f>R63*U63</f>
        <v>31.200000000000003</v>
      </c>
      <c r="W63" s="513" t="s">
        <v>97</v>
      </c>
      <c r="X63" s="513"/>
      <c r="Y63" s="513" t="s">
        <v>98</v>
      </c>
      <c r="Z63" s="513"/>
      <c r="AA63" s="511" t="s">
        <v>99</v>
      </c>
      <c r="AB63" s="511"/>
      <c r="AC63" s="99">
        <f>AC58+1</f>
        <v>7</v>
      </c>
      <c r="AD63" s="95">
        <f>VLOOKUP(AC63,STN_TABLE_2,2,FALSE)</f>
        <v>4</v>
      </c>
      <c r="AE63" s="68">
        <f>VLOOKUP(AD63,STN_TABLE,2,FALSE)</f>
        <v>2.5499999999999998</v>
      </c>
      <c r="AF63" s="68">
        <v>1</v>
      </c>
      <c r="AG63" s="69">
        <f>AE63*AF63</f>
        <v>2.5499999999999998</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3.12</v>
      </c>
      <c r="E64" s="92">
        <v>1</v>
      </c>
      <c r="F64" s="82">
        <f>D64*E64</f>
        <v>3.12</v>
      </c>
      <c r="G64" s="83">
        <f>C64</f>
        <v>5</v>
      </c>
      <c r="H64" s="83">
        <f>F64*G64</f>
        <v>15.600000000000001</v>
      </c>
      <c r="I64" s="84" t="str">
        <f>CONCATENATE("a'(",C64,")=")</f>
        <v>a'(5)=</v>
      </c>
      <c r="J64" s="84">
        <f>2*J62/3*F65</f>
        <v>19.068000000000001</v>
      </c>
      <c r="K64" s="84" t="str">
        <f>CONCATENATE("A(",C62,")=")</f>
        <v>A(3)=</v>
      </c>
      <c r="L64" s="84">
        <f>VLOOKUP(C62,STN_TABLE,3,FALSE)</f>
        <v>19.746199999999998</v>
      </c>
      <c r="M64" t="str">
        <f>CONCATENATE("A(",C64,")=")</f>
        <v>A(5)=</v>
      </c>
      <c r="N64">
        <f>J64+L64</f>
        <v>38.8142</v>
      </c>
      <c r="O64" s="99">
        <f>O63+1</f>
        <v>9</v>
      </c>
      <c r="P64" s="99">
        <f t="shared" si="10"/>
        <v>5.6111111111111107</v>
      </c>
      <c r="Q64" s="82">
        <f>IF(P64-P63=P63-P62,P64,IF(P65-P63=P63-P62,P65,IF(P64-P63=P63-P61,P64,IF(P65-P63=P63-P61,P65,"-"))))</f>
        <v>6</v>
      </c>
      <c r="R64" s="83">
        <f>VLOOKUP(Q64,STN_TABLE,2,FALSE)</f>
        <v>4.3</v>
      </c>
      <c r="S64" s="83">
        <v>-1</v>
      </c>
      <c r="T64" s="82">
        <f>R64*S64</f>
        <v>-4.3</v>
      </c>
      <c r="U64" s="88">
        <v>-1</v>
      </c>
      <c r="V64" s="82">
        <f>R64*U64</f>
        <v>-4.3</v>
      </c>
      <c r="W64" s="84" t="str">
        <f>CONCATENATE("a'(",Q63,")=")</f>
        <v>a'(5)=</v>
      </c>
      <c r="X64" s="84">
        <f>2*X62/12*T65</f>
        <v>10.023000000000001</v>
      </c>
      <c r="Y64" s="84" t="str">
        <f>CONCATENATE("A(",Q62,")=")</f>
        <v>A(4)=</v>
      </c>
      <c r="Z64" s="84">
        <f>VLOOKUP(Q62,STN_TABLE,3,FALSE)</f>
        <v>28.9742</v>
      </c>
      <c r="AA64" t="str">
        <f>CONCATENATE("A(",Q63,")=")</f>
        <v>A(5)=</v>
      </c>
      <c r="AB64">
        <f>X64+Z64</f>
        <v>38.997199999999999</v>
      </c>
      <c r="AC64" s="99">
        <f>AC63+1</f>
        <v>8</v>
      </c>
      <c r="AD64" s="100">
        <f>VLOOKUP(AC64,STN_TABLE_2,2,FALSE)</f>
        <v>5</v>
      </c>
      <c r="AE64" s="82">
        <f>VLOOKUP(AD64,STN_TABLE,2,FALSE)</f>
        <v>3.12</v>
      </c>
      <c r="AF64" s="82">
        <v>2</v>
      </c>
      <c r="AG64" s="83">
        <f>AE64*AF64</f>
        <v>6.24</v>
      </c>
      <c r="AH64" s="84" t="str">
        <f>CONCATENATE("a'(",AD64,")=")</f>
        <v>a'(5)=</v>
      </c>
      <c r="AI64" s="84">
        <f>2*AI62/2*AE65</f>
        <v>10.206</v>
      </c>
      <c r="AJ64" s="84" t="str">
        <f>CONCATENATE("A(",AD63,")=")</f>
        <v>A(4)=</v>
      </c>
      <c r="AK64" s="84">
        <f>VLOOKUP(AD63,STN_TABLE,3,FALSE)</f>
        <v>28.9742</v>
      </c>
      <c r="AL64" t="str">
        <f>CONCATENATE("A(",AD64,")=")</f>
        <v>A(5)=</v>
      </c>
      <c r="AM64">
        <f>AI64+AK64</f>
        <v>39.180199999999999</v>
      </c>
      <c r="AO64" s="68" t="str">
        <f>AA64</f>
        <v>A(5)=</v>
      </c>
      <c r="AP64" s="68" t="e">
        <f>VLOOKUP(AO64,Rise_Results,2,FALSE)</f>
        <v>#N/A</v>
      </c>
      <c r="AQ64" s="76">
        <f>N64</f>
        <v>38.8142</v>
      </c>
      <c r="AR64" s="76">
        <f>IF(OR(AB64&lt;=0,AB65&lt;=0),1/0,AB64)</f>
        <v>38.997199999999999</v>
      </c>
      <c r="AS64" s="76">
        <f>AM64</f>
        <v>39.180199999999999</v>
      </c>
      <c r="AT64">
        <f>IFERROR(AP64,IFERROR(AQ64,IFERROR(AR64,AS64)))</f>
        <v>38.8142</v>
      </c>
      <c r="AU64" s="81"/>
    </row>
    <row r="65" spans="1:47" x14ac:dyDescent="0.25">
      <c r="A65" s="84">
        <f>A64+1</f>
        <v>8</v>
      </c>
      <c r="B65" s="84">
        <f t="shared" si="11"/>
        <v>5</v>
      </c>
      <c r="F65" s="82">
        <f>SUM(F62:F64)</f>
        <v>15.89</v>
      </c>
      <c r="H65" s="82">
        <f>SUM(H62:H64)</f>
        <v>64.11</v>
      </c>
      <c r="I65" s="84" t="str">
        <f>CONCATENATE("m'(",C64,")=")</f>
        <v>m'(5)=</v>
      </c>
      <c r="J65" s="84">
        <f>2*(J62*(WLS))/3*H65</f>
        <v>138.4776</v>
      </c>
      <c r="K65" s="84" t="str">
        <f>CONCATENATE("M(",C62,")=")</f>
        <v>M(3)=</v>
      </c>
      <c r="L65" s="84">
        <f>VLOOKUP(C62,STN_TABLE,4,FALSE)</f>
        <v>65.686611333333332</v>
      </c>
      <c r="M65" t="str">
        <f>CONCATENATE("M(",C64,")=")</f>
        <v>M(5)=</v>
      </c>
      <c r="N65">
        <f>J65+L65</f>
        <v>204.16421133333333</v>
      </c>
      <c r="O65" s="99">
        <f>O64+1</f>
        <v>10</v>
      </c>
      <c r="P65" s="99">
        <f t="shared" si="10"/>
        <v>6</v>
      </c>
      <c r="T65" s="89">
        <f>SUM(T62:T64)</f>
        <v>33.410000000000004</v>
      </c>
      <c r="V65" s="82">
        <f>SUM(V62:V64)</f>
        <v>34.550000000000004</v>
      </c>
      <c r="W65" s="84" t="str">
        <f>CONCATENATE("m'(",Q63,")=")</f>
        <v>m'(5)=</v>
      </c>
      <c r="X65" s="84">
        <f>(2*(X62^2)/24*V65)+(X64*Q62*WLS)</f>
        <v>81.494100000000017</v>
      </c>
      <c r="Y65" s="84" t="str">
        <f>CONCATENATE("M(",Q62,")=")</f>
        <v>M(4)=</v>
      </c>
      <c r="Z65" s="84">
        <f>VLOOKUP(Q62,STN_TABLE,4,FALSE)</f>
        <v>123.79061133333332</v>
      </c>
      <c r="AA65" t="str">
        <f>CONCATENATE("M(",Q63,")=")</f>
        <v>M(5)=</v>
      </c>
      <c r="AB65">
        <f>X65+Z65</f>
        <v>205.28471133333335</v>
      </c>
      <c r="AE65" s="89">
        <f>SUM(AE63:AE64)</f>
        <v>5.67</v>
      </c>
      <c r="AG65" s="89">
        <f>SUM(AG63:AG64)</f>
        <v>8.7899999999999991</v>
      </c>
      <c r="AH65" s="84" t="str">
        <f>CONCATENATE("m'(",AD64,")=")</f>
        <v>m'(5)=</v>
      </c>
      <c r="AI65" s="84">
        <f>(2*(AI62^2)/6*AG65)+(AI64*AD63*WLS)</f>
        <v>82.976399999999998</v>
      </c>
      <c r="AJ65" s="84" t="str">
        <f>CONCATENATE("M(",AD63,")=")</f>
        <v>M(4)=</v>
      </c>
      <c r="AK65" s="84">
        <f>VLOOKUP(AD63,STN_TABLE,4,FALSE)</f>
        <v>123.79061133333332</v>
      </c>
      <c r="AL65" t="str">
        <f>CONCATENATE("M(",AD64,")=")</f>
        <v>M(5)=</v>
      </c>
      <c r="AM65">
        <f>AI65+AK65</f>
        <v>206.7670113333333</v>
      </c>
      <c r="AO65" s="82" t="str">
        <f>AA65</f>
        <v>M(5)=</v>
      </c>
      <c r="AP65" s="82" t="e">
        <f>VLOOKUP(AO65,Rise_Results,2,FALSE)</f>
        <v>#N/A</v>
      </c>
      <c r="AQ65" s="82">
        <f>N65</f>
        <v>204.16421133333333</v>
      </c>
      <c r="AR65" s="82">
        <f>IF(OR(AB64&lt;=0,AB65&lt;=0),1/0,AB65)</f>
        <v>205.28471133333335</v>
      </c>
      <c r="AS65" s="82">
        <f>AM65</f>
        <v>206.7670113333333</v>
      </c>
      <c r="AT65">
        <f>IFERROR(AP65,IFERROR(AQ65,IFERROR(AR65,AS65)))</f>
        <v>204.16421133333333</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3.79</v>
      </c>
      <c r="S68" s="77">
        <v>8</v>
      </c>
      <c r="T68" s="76">
        <f>R68*S68</f>
        <v>30.32</v>
      </c>
      <c r="U68" s="80">
        <v>10</v>
      </c>
      <c r="V68" s="76">
        <f>R68*U68</f>
        <v>37.9</v>
      </c>
      <c r="W68" s="513" t="s">
        <v>97</v>
      </c>
      <c r="X68" s="513"/>
      <c r="Y68" s="513" t="s">
        <v>98</v>
      </c>
      <c r="Z68" s="513"/>
      <c r="AA68" s="511" t="s">
        <v>99</v>
      </c>
      <c r="AB68" s="511"/>
      <c r="AC68" s="99">
        <f>AC63+1</f>
        <v>8</v>
      </c>
      <c r="AD68" s="95">
        <f>VLOOKUP(AC68,STN_TABLE_2,2,FALSE)</f>
        <v>5</v>
      </c>
      <c r="AE68" s="68">
        <f>VLOOKUP(AD68,STN_TABLE,2,FALSE)</f>
        <v>3.12</v>
      </c>
      <c r="AF68" s="68">
        <v>1</v>
      </c>
      <c r="AG68" s="69">
        <f>AE68*AF68</f>
        <v>3.12</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3.79</v>
      </c>
      <c r="E69" s="92">
        <v>1</v>
      </c>
      <c r="F69" s="82">
        <f>D69*E69</f>
        <v>3.79</v>
      </c>
      <c r="G69" s="83">
        <f>C69</f>
        <v>5.6111111111111107</v>
      </c>
      <c r="H69" s="83">
        <f>F69*G69</f>
        <v>21.266111111111108</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3.79</v>
      </c>
      <c r="AF69" s="82">
        <v>2</v>
      </c>
      <c r="AG69" s="83">
        <f>AE69*AF69</f>
        <v>7.58</v>
      </c>
      <c r="AH69" s="84" t="str">
        <f>CONCATENATE("a'(",AD69,")=")</f>
        <v>a'(5.61111111111111)=</v>
      </c>
      <c r="AI69" s="84">
        <f>2*AI67/2*AE70</f>
        <v>7.6009999999999964</v>
      </c>
      <c r="AJ69" s="84" t="str">
        <f>CONCATENATE("A(",AD68,")=")</f>
        <v>A(5)=</v>
      </c>
      <c r="AK69" s="84">
        <f>VLOOKUP(AD68,STN_TABLE,3,FALSE)</f>
        <v>38.8142</v>
      </c>
      <c r="AL69" t="str">
        <f>CONCATENATE("A(",AD69,")=")</f>
        <v>A(5.61111111111111)=</v>
      </c>
      <c r="AM69">
        <f>AI69+AK69</f>
        <v>46.415199999999999</v>
      </c>
      <c r="AO69" s="68" t="str">
        <f>AA69</f>
        <v>A(5.61111111111111)=</v>
      </c>
      <c r="AP69" s="68" t="e">
        <f>VLOOKUP(AO69,Rise_Results,2,FALSE)</f>
        <v>#N/A</v>
      </c>
      <c r="AQ69" s="76" t="e">
        <f>N69</f>
        <v>#N/A</v>
      </c>
      <c r="AR69" s="76" t="e">
        <f>IF(OR(AB69&lt;=0,AB70&lt;=0),1/0,AB69)</f>
        <v>#VALUE!</v>
      </c>
      <c r="AS69" s="76">
        <f>AM69</f>
        <v>46.415199999999999</v>
      </c>
      <c r="AT69">
        <f>IFERROR(AP69,IFERROR(AQ69,IFERROR(AR69,AS69)))</f>
        <v>46.415199999999999</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6.91</v>
      </c>
      <c r="AG70" s="89">
        <f>SUM(AG68:AG69)</f>
        <v>10.7</v>
      </c>
      <c r="AH70" s="84" t="str">
        <f>CONCATENATE("m'(",AD69,")=")</f>
        <v>m'(5.61111111111111)=</v>
      </c>
      <c r="AI70" s="84">
        <f>(2*(AI67^2)/6*AG70)+(AI69*AD68*WLS)</f>
        <v>72.724666666666621</v>
      </c>
      <c r="AJ70" s="84" t="str">
        <f>CONCATENATE("M(",AD68,")=")</f>
        <v>M(5)=</v>
      </c>
      <c r="AK70" s="84">
        <f>VLOOKUP(AD68,STN_TABLE,4,FALSE)</f>
        <v>204.16421133333333</v>
      </c>
      <c r="AL70" t="str">
        <f>CONCATENATE("M(",AD69,")=")</f>
        <v>M(5.61111111111111)=</v>
      </c>
      <c r="AM70">
        <f>AI70+AK70</f>
        <v>276.88887799999998</v>
      </c>
      <c r="AO70" s="82" t="str">
        <f>AA70</f>
        <v>M(5.61111111111111)=</v>
      </c>
      <c r="AP70" s="82" t="e">
        <f>VLOOKUP(AO70,Rise_Results,2,FALSE)</f>
        <v>#N/A</v>
      </c>
      <c r="AQ70" s="82" t="e">
        <f>N70</f>
        <v>#N/A</v>
      </c>
      <c r="AR70" s="82" t="e">
        <f>IF(OR(AB69&lt;=0,AB70&lt;=0),1/0,AB70)</f>
        <v>#VALUE!</v>
      </c>
      <c r="AS70" s="82">
        <f>AM70</f>
        <v>276.88887799999998</v>
      </c>
      <c r="AT70">
        <f>IFERROR(AP70,IFERROR(AQ70,IFERROR(AR70,AS70)))</f>
        <v>276.88887799999998</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2.5499999999999998</v>
      </c>
      <c r="E72" s="102">
        <v>1</v>
      </c>
      <c r="F72" s="68">
        <f>D72*E72</f>
        <v>2.5499999999999998</v>
      </c>
      <c r="G72" s="69">
        <f>C72</f>
        <v>4</v>
      </c>
      <c r="H72" s="69">
        <f>F72*G72</f>
        <v>10.199999999999999</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3.12</v>
      </c>
      <c r="S72" s="69">
        <v>5</v>
      </c>
      <c r="T72" s="68">
        <f>R72*S72</f>
        <v>15.600000000000001</v>
      </c>
      <c r="U72" s="79">
        <v>3</v>
      </c>
      <c r="V72" s="68">
        <f>R72*U72</f>
        <v>9.36</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3.12</v>
      </c>
      <c r="E73" s="81">
        <v>4</v>
      </c>
      <c r="F73" s="76">
        <f>D73*E73</f>
        <v>12.48</v>
      </c>
      <c r="G73" s="77">
        <f>C73</f>
        <v>5</v>
      </c>
      <c r="H73" s="77">
        <f>F73*G73</f>
        <v>62.400000000000006</v>
      </c>
      <c r="I73" s="512" t="s">
        <v>97</v>
      </c>
      <c r="J73" s="513"/>
      <c r="K73" s="78" t="s">
        <v>98</v>
      </c>
      <c r="L73" s="78"/>
      <c r="M73" s="7" t="s">
        <v>99</v>
      </c>
      <c r="N73" s="7"/>
      <c r="O73" s="99">
        <f>O72+1</f>
        <v>10</v>
      </c>
      <c r="P73" s="99">
        <f t="shared" si="23"/>
        <v>6</v>
      </c>
      <c r="Q73" s="76">
        <f>P73</f>
        <v>6</v>
      </c>
      <c r="R73" s="77">
        <f>VLOOKUP(Q73,STN_TABLE,2,FALSE)</f>
        <v>4.3</v>
      </c>
      <c r="S73" s="77">
        <v>8</v>
      </c>
      <c r="T73" s="76">
        <f>R73*S73</f>
        <v>34.4</v>
      </c>
      <c r="U73" s="80">
        <v>10</v>
      </c>
      <c r="V73" s="76">
        <f>R73*U73</f>
        <v>43</v>
      </c>
      <c r="W73" s="513" t="s">
        <v>97</v>
      </c>
      <c r="X73" s="513"/>
      <c r="Y73" s="513" t="s">
        <v>98</v>
      </c>
      <c r="Z73" s="513"/>
      <c r="AA73" s="511" t="s">
        <v>99</v>
      </c>
      <c r="AB73" s="511"/>
      <c r="AC73" s="99">
        <f>AC68+1</f>
        <v>9</v>
      </c>
      <c r="AD73" s="95">
        <f>VLOOKUP(AC73,STN_TABLE_2,2,FALSE)</f>
        <v>5.6111111111111107</v>
      </c>
      <c r="AE73" s="68">
        <f>VLOOKUP(AD73,STN_TABLE,2,FALSE)</f>
        <v>3.79</v>
      </c>
      <c r="AF73" s="68">
        <v>1</v>
      </c>
      <c r="AG73" s="69">
        <f>AE73*AF73</f>
        <v>3.79</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4.3</v>
      </c>
      <c r="E74" s="92">
        <v>1</v>
      </c>
      <c r="F74" s="82">
        <f>D74*E74</f>
        <v>4.3</v>
      </c>
      <c r="G74" s="83">
        <f>C74</f>
        <v>6</v>
      </c>
      <c r="H74" s="83">
        <f>F74*G74</f>
        <v>25.799999999999997</v>
      </c>
      <c r="I74" s="84" t="str">
        <f>CONCATENATE("a'(",C74,")=")</f>
        <v>a'(6)=</v>
      </c>
      <c r="J74" s="84">
        <f>2*J72/3*F75</f>
        <v>23.196000000000002</v>
      </c>
      <c r="K74" s="84" t="str">
        <f>CONCATENATE("A(",C72,")=")</f>
        <v>A(4)=</v>
      </c>
      <c r="L74" s="84">
        <f>VLOOKUP(C72,STN_TABLE,3,FALSE)</f>
        <v>28.9742</v>
      </c>
      <c r="M74" t="str">
        <f>CONCATENATE("A(",C74,")=")</f>
        <v>A(6)=</v>
      </c>
      <c r="N74">
        <f>J74+L74</f>
        <v>52.170200000000001</v>
      </c>
      <c r="O74" s="99">
        <f>O73+1</f>
        <v>11</v>
      </c>
      <c r="P74" s="99">
        <f t="shared" si="23"/>
        <v>7</v>
      </c>
      <c r="Q74" s="82">
        <f>IF(P74-P73=P73-P72,P74,IF(P75-P73=P73-P72,P75,IF(P74-P73=P73-P71,P74,IF(P75-P73=P73-P71,P75,"-"))))</f>
        <v>7</v>
      </c>
      <c r="R74" s="83">
        <f>VLOOKUP(Q74,STN_TABLE,2,FALSE)</f>
        <v>5.71</v>
      </c>
      <c r="S74" s="83">
        <v>-1</v>
      </c>
      <c r="T74" s="82">
        <f>R74*S74</f>
        <v>-5.71</v>
      </c>
      <c r="U74" s="88">
        <v>-1</v>
      </c>
      <c r="V74" s="82">
        <f>R74*U74</f>
        <v>-5.71</v>
      </c>
      <c r="W74" s="84" t="str">
        <f>CONCATENATE("a'(",Q73,")=")</f>
        <v>a'(6)=</v>
      </c>
      <c r="X74" s="84">
        <f>2*X72/12*T75</f>
        <v>13.286999999999999</v>
      </c>
      <c r="Y74" s="84" t="str">
        <f>CONCATENATE("A(",Q72,")=")</f>
        <v>A(5)=</v>
      </c>
      <c r="Z74" s="84">
        <f>VLOOKUP(Q72,STN_TABLE,3,FALSE)</f>
        <v>38.8142</v>
      </c>
      <c r="AA74" t="str">
        <f>CONCATENATE("A(",Q73,")=")</f>
        <v>A(6)=</v>
      </c>
      <c r="AB74">
        <f>X74+Z74</f>
        <v>52.101199999999999</v>
      </c>
      <c r="AC74" s="99">
        <f>AC73+1</f>
        <v>10</v>
      </c>
      <c r="AD74" s="100">
        <f>VLOOKUP(AC74,STN_TABLE_2,2,FALSE)</f>
        <v>6</v>
      </c>
      <c r="AE74" s="82">
        <f>VLOOKUP(AD74,STN_TABLE,2,FALSE)</f>
        <v>4.3</v>
      </c>
      <c r="AF74" s="82">
        <v>2</v>
      </c>
      <c r="AG74" s="83">
        <f>AE74*AF74</f>
        <v>8.6</v>
      </c>
      <c r="AH74" s="84" t="str">
        <f>CONCATENATE("a'(",AD74,")=")</f>
        <v>a'(6)=</v>
      </c>
      <c r="AI74" s="84">
        <f>2*AI72/2*AE75</f>
        <v>5.6630000000000056</v>
      </c>
      <c r="AJ74" s="84" t="str">
        <f>CONCATENATE("A(",AD73,")=")</f>
        <v>A(5.61111111111111)=</v>
      </c>
      <c r="AK74" s="84">
        <f>VLOOKUP(AD73,STN_TABLE,3,FALSE)</f>
        <v>46.415199999999999</v>
      </c>
      <c r="AL74" t="str">
        <f>CONCATENATE("A(",AD74,")=")</f>
        <v>A(6)=</v>
      </c>
      <c r="AM74">
        <f>AI74+AK74</f>
        <v>52.078200000000002</v>
      </c>
      <c r="AO74" s="68" t="str">
        <f>AA74</f>
        <v>A(6)=</v>
      </c>
      <c r="AP74" s="68" t="e">
        <f>VLOOKUP(AO74,Rise_Results,2,FALSE)</f>
        <v>#N/A</v>
      </c>
      <c r="AQ74" s="76">
        <f>N74</f>
        <v>52.170200000000001</v>
      </c>
      <c r="AR74" s="76">
        <f>IF(OR(AB74&lt;=0,AB75&lt;=0),1/0,AB74)</f>
        <v>52.101199999999999</v>
      </c>
      <c r="AS74" s="76">
        <f>AM74</f>
        <v>52.078200000000002</v>
      </c>
      <c r="AT74">
        <f>IFERROR(AP74,IFERROR(AQ74,IFERROR(AR74,AS74)))</f>
        <v>52.170200000000001</v>
      </c>
      <c r="AU74" s="81"/>
    </row>
    <row r="75" spans="1:47" x14ac:dyDescent="0.25">
      <c r="A75" s="84">
        <f>A74+1</f>
        <v>10</v>
      </c>
      <c r="B75" s="84">
        <f t="shared" si="27"/>
        <v>6</v>
      </c>
      <c r="F75" s="82">
        <f>SUM(F72:F74)</f>
        <v>19.330000000000002</v>
      </c>
      <c r="H75" s="82">
        <f>SUM(H72:H74)</f>
        <v>98.4</v>
      </c>
      <c r="I75" s="84" t="str">
        <f>CONCATENATE("m'(",C74,")=")</f>
        <v>m'(6)=</v>
      </c>
      <c r="J75" s="84">
        <f>2*(J72*(WLS))/3*H75</f>
        <v>212.54400000000004</v>
      </c>
      <c r="K75" s="84" t="str">
        <f>CONCATENATE("M(",C72,")=")</f>
        <v>M(4)=</v>
      </c>
      <c r="L75" s="84">
        <f>VLOOKUP(C72,STN_TABLE,4,FALSE)</f>
        <v>123.79061133333332</v>
      </c>
      <c r="M75" t="str">
        <f>CONCATENATE("M(",C74,")=")</f>
        <v>M(6)=</v>
      </c>
      <c r="N75">
        <f>J75+L75</f>
        <v>336.33461133333333</v>
      </c>
      <c r="O75" s="99">
        <f>O74+1</f>
        <v>12</v>
      </c>
      <c r="P75" s="99">
        <f t="shared" si="23"/>
        <v>7.8833333333333329</v>
      </c>
      <c r="T75" s="89">
        <f>SUM(T72:T74)</f>
        <v>44.29</v>
      </c>
      <c r="V75" s="82">
        <f>SUM(V72:V74)</f>
        <v>46.65</v>
      </c>
      <c r="W75" s="84" t="str">
        <f>CONCATENATE("m'(",Q73,")=")</f>
        <v>m'(6)=</v>
      </c>
      <c r="X75" s="84">
        <f>(2*(X72^2)/24*V75)+(X74*Q72*WLS)</f>
        <v>132.17850000000001</v>
      </c>
      <c r="Y75" s="84" t="str">
        <f>CONCATENATE("M(",Q72,")=")</f>
        <v>M(5)=</v>
      </c>
      <c r="Z75" s="84">
        <f>VLOOKUP(Q72,STN_TABLE,4,FALSE)</f>
        <v>204.16421133333333</v>
      </c>
      <c r="AA75" t="str">
        <f>CONCATENATE("M(",Q73,")=")</f>
        <v>M(6)=</v>
      </c>
      <c r="AB75">
        <f>X75+Z75</f>
        <v>336.34271133333334</v>
      </c>
      <c r="AE75" s="89">
        <f>SUM(AE73:AE74)</f>
        <v>8.09</v>
      </c>
      <c r="AG75" s="89">
        <f>SUM(AG73:AG74)</f>
        <v>12.39</v>
      </c>
      <c r="AH75" s="84" t="str">
        <f>CONCATENATE("m'(",AD74,")=")</f>
        <v>m'(6)=</v>
      </c>
      <c r="AI75" s="84">
        <f>(2*(AI72^2)/6*AG75)+(AI74*AD73*WLS)</f>
        <v>59.220000000000063</v>
      </c>
      <c r="AJ75" s="84" t="str">
        <f>CONCATENATE("M(",AD73,")=")</f>
        <v>M(5.61111111111111)=</v>
      </c>
      <c r="AK75" s="84">
        <f>VLOOKUP(AD73,STN_TABLE,4,FALSE)</f>
        <v>276.88887799999998</v>
      </c>
      <c r="AL75" t="str">
        <f>CONCATENATE("M(",AD74,")=")</f>
        <v>M(6)=</v>
      </c>
      <c r="AM75">
        <f>AI75+AK75</f>
        <v>336.10887800000006</v>
      </c>
      <c r="AO75" s="82" t="str">
        <f>AA75</f>
        <v>M(6)=</v>
      </c>
      <c r="AP75" s="82" t="e">
        <f>VLOOKUP(AO75,Rise_Results,2,FALSE)</f>
        <v>#N/A</v>
      </c>
      <c r="AQ75" s="82">
        <f>N75</f>
        <v>336.33461133333333</v>
      </c>
      <c r="AR75" s="82">
        <f>IF(OR(AB74&lt;=0,AB75&lt;=0),1/0,AB75)</f>
        <v>336.34271133333334</v>
      </c>
      <c r="AS75" s="82">
        <f>AM75</f>
        <v>336.10887800000006</v>
      </c>
      <c r="AT75">
        <f>IFERROR(AP75,IFERROR(AQ75,IFERROR(AR75,AS75)))</f>
        <v>336.33461133333333</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3.12</v>
      </c>
      <c r="E77" s="102">
        <v>1</v>
      </c>
      <c r="F77" s="68">
        <f>D77*E77</f>
        <v>3.12</v>
      </c>
      <c r="G77" s="69">
        <f>C77</f>
        <v>5</v>
      </c>
      <c r="H77" s="69">
        <f>F77*G77</f>
        <v>15.600000000000001</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4.3</v>
      </c>
      <c r="E78" s="81">
        <v>4</v>
      </c>
      <c r="F78" s="76">
        <f>D78*E78</f>
        <v>17.2</v>
      </c>
      <c r="G78" s="77">
        <f>C78</f>
        <v>6</v>
      </c>
      <c r="H78" s="77">
        <f>F78*G78</f>
        <v>103.19999999999999</v>
      </c>
      <c r="I78" s="512" t="s">
        <v>97</v>
      </c>
      <c r="J78" s="513"/>
      <c r="K78" s="78" t="s">
        <v>98</v>
      </c>
      <c r="L78" s="78"/>
      <c r="M78" s="7" t="s">
        <v>99</v>
      </c>
      <c r="N78" s="7"/>
      <c r="O78" s="99">
        <f>O77+1</f>
        <v>11</v>
      </c>
      <c r="P78" s="99">
        <f t="shared" si="23"/>
        <v>7</v>
      </c>
      <c r="Q78" s="76">
        <f>P78</f>
        <v>7</v>
      </c>
      <c r="R78" s="77">
        <f>VLOOKUP(Q78,STN_TABLE,2,FALSE)</f>
        <v>5.71</v>
      </c>
      <c r="S78" s="77">
        <v>8</v>
      </c>
      <c r="T78" s="76">
        <f>R78*S78</f>
        <v>45.68</v>
      </c>
      <c r="U78" s="80">
        <v>10</v>
      </c>
      <c r="V78" s="76">
        <f>R78*U78</f>
        <v>57.1</v>
      </c>
      <c r="W78" s="513" t="s">
        <v>97</v>
      </c>
      <c r="X78" s="513"/>
      <c r="Y78" s="513" t="s">
        <v>98</v>
      </c>
      <c r="Z78" s="513"/>
      <c r="AA78" s="511" t="s">
        <v>99</v>
      </c>
      <c r="AB78" s="511"/>
      <c r="AC78" s="99">
        <f>AC73+1</f>
        <v>10</v>
      </c>
      <c r="AD78" s="95">
        <f>VLOOKUP(AC78,STN_TABLE_2,2,FALSE)</f>
        <v>6</v>
      </c>
      <c r="AE78" s="68">
        <f>VLOOKUP(AD78,STN_TABLE,2,FALSE)</f>
        <v>4.3</v>
      </c>
      <c r="AF78" s="68">
        <v>1</v>
      </c>
      <c r="AG78" s="69">
        <f>AE78*AF78</f>
        <v>4.3</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5.71</v>
      </c>
      <c r="E79" s="92">
        <v>1</v>
      </c>
      <c r="F79" s="82">
        <f>D79*E79</f>
        <v>5.71</v>
      </c>
      <c r="G79" s="83">
        <f>C79</f>
        <v>7</v>
      </c>
      <c r="H79" s="83">
        <f>F79*G79</f>
        <v>39.97</v>
      </c>
      <c r="I79" s="84" t="str">
        <f>CONCATENATE("a'(",C79,")=")</f>
        <v>a'(7)=</v>
      </c>
      <c r="J79" s="84">
        <f>2*J77/3*F80</f>
        <v>31.236000000000001</v>
      </c>
      <c r="K79" s="84" t="str">
        <f>CONCATENATE("A(",C77,")=")</f>
        <v>A(5)=</v>
      </c>
      <c r="L79" s="84">
        <f>VLOOKUP(C77,STN_TABLE,3,FALSE)</f>
        <v>38.8142</v>
      </c>
      <c r="M79" t="str">
        <f>CONCATENATE("A(",C79,")=")</f>
        <v>A(7)=</v>
      </c>
      <c r="N79">
        <f>J79+L79</f>
        <v>70.050200000000004</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5.71</v>
      </c>
      <c r="AF79" s="82">
        <v>2</v>
      </c>
      <c r="AG79" s="83">
        <f>AE79*AF79</f>
        <v>11.42</v>
      </c>
      <c r="AH79" s="84" t="str">
        <f>CONCATENATE("a'(",AD79,")=")</f>
        <v>a'(7)=</v>
      </c>
      <c r="AI79" s="84">
        <f>2*AI77/2*AE80</f>
        <v>18.018000000000001</v>
      </c>
      <c r="AJ79" s="84" t="str">
        <f>CONCATENATE("A(",AD78,")=")</f>
        <v>A(6)=</v>
      </c>
      <c r="AK79" s="84">
        <f>VLOOKUP(AD78,STN_TABLE,3,FALSE)</f>
        <v>52.170200000000001</v>
      </c>
      <c r="AL79" t="str">
        <f>CONCATENATE("A(",AD79,")=")</f>
        <v>A(7)=</v>
      </c>
      <c r="AM79">
        <f>AI79+AK79</f>
        <v>70.188199999999995</v>
      </c>
      <c r="AO79" s="68" t="str">
        <f>AA79</f>
        <v>A(7)=</v>
      </c>
      <c r="AP79" s="68" t="e">
        <f>VLOOKUP(AO79,Rise_Results,2,FALSE)</f>
        <v>#N/A</v>
      </c>
      <c r="AQ79" s="76">
        <f>N79</f>
        <v>70.050200000000004</v>
      </c>
      <c r="AR79" s="76" t="e">
        <f>IF(OR(AB79&lt;=0,AB80&lt;=0),1/0,AB79)</f>
        <v>#VALUE!</v>
      </c>
      <c r="AS79" s="76">
        <f>AM79</f>
        <v>70.188199999999995</v>
      </c>
      <c r="AT79">
        <f>IFERROR(AP79,IFERROR(AQ79,IFERROR(AR79,AS79)))</f>
        <v>70.050200000000004</v>
      </c>
      <c r="AU79" s="81"/>
    </row>
    <row r="80" spans="1:47" x14ac:dyDescent="0.25">
      <c r="A80" s="84">
        <f>A79+1</f>
        <v>11</v>
      </c>
      <c r="B80" s="84">
        <f t="shared" si="27"/>
        <v>7</v>
      </c>
      <c r="F80" s="82">
        <f>SUM(F77:F79)</f>
        <v>26.03</v>
      </c>
      <c r="H80" s="82">
        <f>SUM(H77:H79)</f>
        <v>158.76999999999998</v>
      </c>
      <c r="I80" s="84" t="str">
        <f>CONCATENATE("m'(",C79,")=")</f>
        <v>m'(7)=</v>
      </c>
      <c r="J80" s="84">
        <f>2*(J77*(WLS))/3*H80</f>
        <v>342.94319999999999</v>
      </c>
      <c r="K80" s="84" t="str">
        <f>CONCATENATE("M(",C77,")=")</f>
        <v>M(5)=</v>
      </c>
      <c r="L80" s="84">
        <f>VLOOKUP(C77,STN_TABLE,4,FALSE)</f>
        <v>204.16421133333333</v>
      </c>
      <c r="M80" t="str">
        <f>CONCATENATE("M(",C79,")=")</f>
        <v>M(7)=</v>
      </c>
      <c r="N80">
        <f>J80+L80</f>
        <v>547.10741133333329</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10.01</v>
      </c>
      <c r="AG80" s="89">
        <f>SUM(AG78:AG79)</f>
        <v>15.719999999999999</v>
      </c>
      <c r="AH80" s="84" t="str">
        <f>CONCATENATE("m'(",AD79,")=")</f>
        <v>m'(7)=</v>
      </c>
      <c r="AI80" s="84">
        <f>(2*(AI77^2)/6*AG80)+(AI79*AD78*WLS)</f>
        <v>211.572</v>
      </c>
      <c r="AJ80" s="84" t="str">
        <f>CONCATENATE("M(",AD78,")=")</f>
        <v>M(6)=</v>
      </c>
      <c r="AK80" s="84">
        <f>VLOOKUP(AD78,STN_TABLE,4,FALSE)</f>
        <v>336.33461133333333</v>
      </c>
      <c r="AL80" t="str">
        <f>CONCATENATE("M(",AD79,")=")</f>
        <v>M(7)=</v>
      </c>
      <c r="AM80">
        <f>AI80+AK80</f>
        <v>547.90661133333333</v>
      </c>
      <c r="AO80" s="82" t="str">
        <f>AA80</f>
        <v>M(7)=</v>
      </c>
      <c r="AP80" s="82" t="e">
        <f>VLOOKUP(AO80,Rise_Results,2,FALSE)</f>
        <v>#N/A</v>
      </c>
      <c r="AQ80" s="82">
        <f>N80</f>
        <v>547.10741133333329</v>
      </c>
      <c r="AR80" s="82" t="e">
        <f>IF(OR(AB79&lt;=0,AB80&lt;=0),1/0,AB80)</f>
        <v>#VALUE!</v>
      </c>
      <c r="AS80" s="82">
        <f>AM80</f>
        <v>547.90661133333333</v>
      </c>
      <c r="AT80">
        <f>IFERROR(AP80,IFERROR(AQ80,IFERROR(AR80,AS80)))</f>
        <v>547.10741133333329</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8.1</v>
      </c>
      <c r="S83" s="77">
        <v>8</v>
      </c>
      <c r="T83" s="76">
        <f>R83*S83</f>
        <v>64.8</v>
      </c>
      <c r="U83" s="80">
        <v>10</v>
      </c>
      <c r="V83" s="76">
        <f>R83*U83</f>
        <v>81</v>
      </c>
      <c r="W83" s="513" t="s">
        <v>97</v>
      </c>
      <c r="X83" s="513"/>
      <c r="Y83" s="513" t="s">
        <v>98</v>
      </c>
      <c r="Z83" s="513"/>
      <c r="AA83" s="511" t="s">
        <v>99</v>
      </c>
      <c r="AB83" s="511"/>
      <c r="AC83" s="99">
        <f>AC78+1</f>
        <v>11</v>
      </c>
      <c r="AD83" s="95">
        <f>VLOOKUP(AC83,STN_TABLE_2,2,FALSE)</f>
        <v>7</v>
      </c>
      <c r="AE83" s="68">
        <f>VLOOKUP(AD83,STN_TABLE,2,FALSE)</f>
        <v>5.71</v>
      </c>
      <c r="AF83" s="68">
        <v>1</v>
      </c>
      <c r="AG83" s="69">
        <f>AE83*AF83</f>
        <v>5.71</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8.1</v>
      </c>
      <c r="E84" s="92">
        <v>1</v>
      </c>
      <c r="F84" s="82">
        <f>D84*E84</f>
        <v>8.1</v>
      </c>
      <c r="G84" s="83">
        <f>C84</f>
        <v>7.8833333333333329</v>
      </c>
      <c r="H84" s="83">
        <f>F84*G84</f>
        <v>63.854999999999997</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8.1</v>
      </c>
      <c r="AF84" s="82">
        <v>2</v>
      </c>
      <c r="AG84" s="83">
        <f>AE84*AF84</f>
        <v>16.2</v>
      </c>
      <c r="AH84" s="84" t="str">
        <f>CONCATENATE("a'(",AD84,")=")</f>
        <v>a'(7.88333333333333)=</v>
      </c>
      <c r="AI84" s="84">
        <f>2*AI82/2*AE85</f>
        <v>21.957899999999988</v>
      </c>
      <c r="AJ84" s="84" t="str">
        <f>CONCATENATE("A(",AD83,")=")</f>
        <v>A(7)=</v>
      </c>
      <c r="AK84" s="84">
        <f>VLOOKUP(AD83,STN_TABLE,3,FALSE)</f>
        <v>70.050200000000004</v>
      </c>
      <c r="AL84" t="str">
        <f>CONCATENATE("A(",AD84,")=")</f>
        <v>A(7.88333333333333)=</v>
      </c>
      <c r="AM84">
        <f>AI84+AK84</f>
        <v>92.008099999999985</v>
      </c>
      <c r="AO84" s="68" t="str">
        <f>AA84</f>
        <v>A(7.88333333333333)=</v>
      </c>
      <c r="AP84" s="68" t="e">
        <f>VLOOKUP(AO84,Rise_Results,2,FALSE)</f>
        <v>#N/A</v>
      </c>
      <c r="AQ84" s="76" t="e">
        <f>N84</f>
        <v>#N/A</v>
      </c>
      <c r="AR84" s="76" t="e">
        <f>IF(OR(AB84&lt;=0,AB85&lt;=0),1/0,AB84)</f>
        <v>#VALUE!</v>
      </c>
      <c r="AS84" s="76">
        <f>AM84</f>
        <v>92.008099999999985</v>
      </c>
      <c r="AT84">
        <f>IFERROR(AP84,IFERROR(AQ84,IFERROR(AR84,AS84)))</f>
        <v>92.008099999999985</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13.809999999999999</v>
      </c>
      <c r="AG85" s="89">
        <f>SUM(AG83:AG84)</f>
        <v>21.91</v>
      </c>
      <c r="AH85" s="84" t="str">
        <f>CONCATENATE("m'(",AD84,")=")</f>
        <v>m'(7.88333333333333)=</v>
      </c>
      <c r="AI85" s="84">
        <f>(2*(AI82^2)/6*AG85)+(AI84*AD83*WLS)</f>
        <v>295.13309699999985</v>
      </c>
      <c r="AJ85" s="84" t="str">
        <f>CONCATENATE("M(",AD83,")=")</f>
        <v>M(7)=</v>
      </c>
      <c r="AK85" s="84">
        <f>VLOOKUP(AD83,STN_TABLE,4,FALSE)</f>
        <v>547.10741133333329</v>
      </c>
      <c r="AL85" t="str">
        <f>CONCATENATE("M(",AD84,")=")</f>
        <v>M(7.88333333333333)=</v>
      </c>
      <c r="AM85">
        <f>AI85+AK85</f>
        <v>842.24050833333308</v>
      </c>
      <c r="AO85" s="82" t="str">
        <f>AA85</f>
        <v>M(7.88333333333333)=</v>
      </c>
      <c r="AP85" s="82" t="e">
        <f>VLOOKUP(AO85,Rise_Results,2,FALSE)</f>
        <v>#N/A</v>
      </c>
      <c r="AQ85" s="82" t="e">
        <f>N85</f>
        <v>#N/A</v>
      </c>
      <c r="AR85" s="82" t="e">
        <f>IF(OR(AB84&lt;=0,AB85&lt;=0),1/0,AB85)</f>
        <v>#VALUE!</v>
      </c>
      <c r="AS85" s="82">
        <f>AM85</f>
        <v>842.24050833333308</v>
      </c>
      <c r="AT85">
        <f>IFERROR(AP85,IFERROR(AQ85,IFERROR(AR85,AS85)))</f>
        <v>842.24050833333308</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8.1</v>
      </c>
      <c r="AF88" s="68">
        <v>1</v>
      </c>
      <c r="AG88" s="69">
        <f>AE88*AF88</f>
        <v>8.1</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92.008099999999985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8.1</v>
      </c>
      <c r="AG90" s="89" t="e">
        <f>SUM(AG88:AG89)</f>
        <v>#VALUE!</v>
      </c>
      <c r="AH90" s="84" t="str">
        <f>CONCATENATE("m'(",AD89,")=")</f>
        <v>m'(  )=</v>
      </c>
      <c r="AI90" s="84" t="e">
        <f>(2*(AI87^2)/6*AG90)+(AI89*AD88*WLS)</f>
        <v>#VALUE!</v>
      </c>
      <c r="AJ90" s="84" t="str">
        <f>CONCATENATE("M(",AD88,")=")</f>
        <v>M(7.88333333333333)=</v>
      </c>
      <c r="AK90" s="84">
        <f>VLOOKUP(AD88,STN_TABLE,4,FALSE)</f>
        <v>842.24050833333308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18</v>
      </c>
      <c r="E1" s="511" t="s">
        <v>91</v>
      </c>
      <c r="F1" s="511"/>
      <c r="G1" t="str">
        <f>VLOOKUP(Station_No,RISE_CALC,2,FALSE)</f>
        <v>-</v>
      </c>
      <c r="L1" s="511" t="s">
        <v>92</v>
      </c>
      <c r="M1" s="511"/>
      <c r="N1">
        <v>21</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0</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1.49</v>
      </c>
      <c r="D5" s="81">
        <f t="shared" ref="D5:D28" si="4">IFERROR(VLOOKUP(CONCATENATE("A(",B5,")="),RESULT_TABLE,6,FALSE)," ")</f>
        <v>1.4534999999999998</v>
      </c>
      <c r="E5" s="77">
        <f t="shared" ref="E5:E28" si="5">IFERROR(VLOOKUP(CONCATENATE("M(",B5,")="),RESULT_TABLE,6,FALSE)," ")</f>
        <v>0.85522500000000001</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2.23</v>
      </c>
      <c r="D6" s="81">
        <f t="shared" si="4"/>
        <v>4.8434999999999997</v>
      </c>
      <c r="E6" s="77">
        <f t="shared" si="5"/>
        <v>5.5316249999999991</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2.69</v>
      </c>
      <c r="D7" s="81">
        <f t="shared" si="4"/>
        <v>9.3134999999999994</v>
      </c>
      <c r="E7" s="77">
        <f t="shared" si="5"/>
        <v>15.651225</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2.97</v>
      </c>
      <c r="D8" s="81">
        <f t="shared" si="4"/>
        <v>14.419499999999999</v>
      </c>
      <c r="E8" s="77">
        <f t="shared" si="5"/>
        <v>31.786425000000001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3.25</v>
      </c>
      <c r="D9" s="81">
        <f t="shared" si="4"/>
        <v>25.675499999999996</v>
      </c>
      <c r="E9" s="77">
        <f t="shared" si="5"/>
        <v>82.730025000000012</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3.51</v>
      </c>
      <c r="D10" s="81">
        <f t="shared" si="4"/>
        <v>37.795500000000004</v>
      </c>
      <c r="E10" s="77">
        <f t="shared" si="5"/>
        <v>159.18322499999999</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4.28</v>
      </c>
      <c r="D11" s="81">
        <f t="shared" si="4"/>
        <v>51.5595</v>
      </c>
      <c r="E11" s="77">
        <f t="shared" si="5"/>
        <v>271.31962500000003</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4.97</v>
      </c>
      <c r="D12" s="81">
        <f t="shared" si="4"/>
        <v>61.734499999999997</v>
      </c>
      <c r="E12" s="77">
        <f t="shared" si="5"/>
        <v>368.63002499999999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5.47</v>
      </c>
      <c r="D13" s="81">
        <f t="shared" si="4"/>
        <v>69.115499999999997</v>
      </c>
      <c r="E13" s="77">
        <f t="shared" si="5"/>
        <v>445.29682500000001</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6.84</v>
      </c>
      <c r="D14" s="81">
        <f t="shared" si="4"/>
        <v>91.159500000000008</v>
      </c>
      <c r="E14" s="77">
        <f t="shared" si="5"/>
        <v>704.529225</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9.77</v>
      </c>
      <c r="D15" s="81">
        <f t="shared" si="4"/>
        <v>117.5694</v>
      </c>
      <c r="E15" s="77">
        <f t="shared" si="5"/>
        <v>1059.5243909999999</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1.49</v>
      </c>
      <c r="S33" s="77">
        <v>8</v>
      </c>
      <c r="T33" s="76">
        <f>R33*S33</f>
        <v>11.92</v>
      </c>
      <c r="U33" s="80">
        <v>10</v>
      </c>
      <c r="V33" s="76">
        <f>R33*U33</f>
        <v>14.9</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2.23</v>
      </c>
      <c r="S34" s="83">
        <v>-1</v>
      </c>
      <c r="T34" s="82">
        <f>R34*S34</f>
        <v>-2.23</v>
      </c>
      <c r="U34" s="88">
        <v>-1</v>
      </c>
      <c r="V34" s="82">
        <f>R34*U34</f>
        <v>-2.23</v>
      </c>
      <c r="W34" s="84" t="str">
        <f>CONCATENATE("a'(",Q33,")=")</f>
        <v>a'(0.5)=</v>
      </c>
      <c r="X34" s="84">
        <f>2*X32/12*T35</f>
        <v>1.4534999999999998</v>
      </c>
      <c r="Y34" s="84" t="str">
        <f>CONCATENATE("A(",Q32,")=")</f>
        <v>A(0)=</v>
      </c>
      <c r="Z34" s="84">
        <f>VLOOKUP(Q32,STN_TABLE,3,FALSE)</f>
        <v>0</v>
      </c>
      <c r="AA34" t="str">
        <f>CONCATENATE("A(",Q33,")=")</f>
        <v>A(0.5)=</v>
      </c>
      <c r="AB34">
        <f>X34+Z34</f>
        <v>1.4534999999999998</v>
      </c>
      <c r="AC34" s="99">
        <f>AC33+1</f>
        <v>2</v>
      </c>
      <c r="AD34" s="100">
        <f>VLOOKUP(AC34,STN_TABLE_2,2,FALSE)</f>
        <v>0.5</v>
      </c>
      <c r="AE34" s="82">
        <f>VLOOKUP(AD34,STN_TABLE,2,FALSE)</f>
        <v>1.49</v>
      </c>
      <c r="AF34" s="82">
        <v>2</v>
      </c>
      <c r="AG34" s="83">
        <f>AE34*AF34</f>
        <v>2.98</v>
      </c>
      <c r="AH34" s="84" t="str">
        <f>CONCATENATE("a'(",AD34,")=")</f>
        <v>a'(0.5)=</v>
      </c>
      <c r="AI34" s="84">
        <f>2*AI32/2*AE35</f>
        <v>1.341</v>
      </c>
      <c r="AJ34" s="84" t="str">
        <f>CONCATENATE("A(",AD33,")=")</f>
        <v>A(0)=</v>
      </c>
      <c r="AK34" s="84">
        <f>VLOOKUP(AD33,STN_TABLE,3,FALSE)</f>
        <v>0</v>
      </c>
      <c r="AL34" t="str">
        <f>CONCATENATE("A(",AD34,")=")</f>
        <v>A(0.5)=</v>
      </c>
      <c r="AM34">
        <f>AI34+AK34</f>
        <v>1.341</v>
      </c>
      <c r="AO34" s="68" t="str">
        <f>AA34</f>
        <v>A(0.5)=</v>
      </c>
      <c r="AP34" s="79" t="e">
        <f>VLOOKUP(AO34,Rise_Results,2,FALSE)</f>
        <v>#N/A</v>
      </c>
      <c r="AQ34" s="76" t="s">
        <v>117</v>
      </c>
      <c r="AR34" s="76">
        <f>IF(OR(AB34&lt;=0,AB35&lt;=0),1/0,AB34)</f>
        <v>1.4534999999999998</v>
      </c>
      <c r="AS34" s="76">
        <f>AM34</f>
        <v>1.341</v>
      </c>
      <c r="AT34" s="80">
        <f>IFERROR(AP34,IFERROR(AR34,AS34))</f>
        <v>1.4534999999999998</v>
      </c>
    </row>
    <row r="35" spans="1:47" x14ac:dyDescent="0.25">
      <c r="A35" s="101"/>
      <c r="T35" s="89">
        <f>SUM(T32:T34)</f>
        <v>9.69</v>
      </c>
      <c r="V35" s="82">
        <f>SUM(V32:V34)</f>
        <v>12.67</v>
      </c>
      <c r="W35" s="84" t="str">
        <f>CONCATENATE("m'(",Q33,")=")</f>
        <v>m'(0.5)=</v>
      </c>
      <c r="X35" s="84">
        <f>(2*(X32^2)/24*V35)</f>
        <v>0.85522500000000001</v>
      </c>
      <c r="Y35" s="84" t="str">
        <f>CONCATENATE("M(",Q32,")=")</f>
        <v>M(0)=</v>
      </c>
      <c r="Z35" s="84">
        <f>VLOOKUP(Q32,STN_TABLE,4,FALSE)</f>
        <v>0</v>
      </c>
      <c r="AA35" t="str">
        <f>CONCATENATE("M(",Q33,")=")</f>
        <v>M(0.5)=</v>
      </c>
      <c r="AB35">
        <f>X35+Z35</f>
        <v>0.85522500000000001</v>
      </c>
      <c r="AE35" s="89">
        <f>SUM(AE33:AE34)</f>
        <v>1.49</v>
      </c>
      <c r="AG35" s="89">
        <f>SUM(AG33:AG34)</f>
        <v>2.98</v>
      </c>
      <c r="AH35" s="84" t="str">
        <f>CONCATENATE("m'(",AD34,")=")</f>
        <v>m'(0.5)=</v>
      </c>
      <c r="AI35" s="84">
        <f>(2*(AI32^2)/6*AG35)+(AI34*AD33*WLS)</f>
        <v>0.80460000000000009</v>
      </c>
      <c r="AJ35" s="84" t="str">
        <f>CONCATENATE("M(",AD33,")=")</f>
        <v>M(0)=</v>
      </c>
      <c r="AK35" s="84">
        <f>VLOOKUP(AD33,STN_TABLE,4,FALSE)</f>
        <v>0</v>
      </c>
      <c r="AL35" t="str">
        <f>CONCATENATE("M(",AD34,")=")</f>
        <v>M(0.5)=</v>
      </c>
      <c r="AM35">
        <f>AI35+AK35</f>
        <v>0.80460000000000009</v>
      </c>
      <c r="AO35" s="82" t="str">
        <f>AA35</f>
        <v>M(0.5)=</v>
      </c>
      <c r="AP35" s="88" t="e">
        <f>VLOOKUP(AO35,Rise_Results,2,FALSE)</f>
        <v>#N/A</v>
      </c>
      <c r="AQ35" s="82" t="s">
        <v>117</v>
      </c>
      <c r="AR35" s="82">
        <f>IF(OR(AB34&lt;=0,AB35&lt;=0),1/0,AB35)</f>
        <v>0.85522500000000001</v>
      </c>
      <c r="AS35" s="82">
        <f>AM35</f>
        <v>0.80460000000000009</v>
      </c>
      <c r="AT35" s="80">
        <f>IFERROR(AP35,IFERROR(AR35,AS35))</f>
        <v>0.85522500000000001</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1.49</v>
      </c>
      <c r="S37" s="69">
        <v>5</v>
      </c>
      <c r="T37" s="68">
        <f>R37*S37</f>
        <v>7.45</v>
      </c>
      <c r="U37" s="79">
        <v>3</v>
      </c>
      <c r="V37" s="68">
        <f>R37*U37</f>
        <v>4.47</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1.49</v>
      </c>
      <c r="E38" s="81">
        <v>4</v>
      </c>
      <c r="F38" s="76">
        <f>D38*E38</f>
        <v>5.96</v>
      </c>
      <c r="G38" s="77">
        <f>C38</f>
        <v>0.5</v>
      </c>
      <c r="H38" s="77">
        <f>F38*G38</f>
        <v>2.98</v>
      </c>
      <c r="I38" s="513" t="s">
        <v>97</v>
      </c>
      <c r="J38" s="513"/>
      <c r="K38" s="78" t="s">
        <v>98</v>
      </c>
      <c r="L38" s="78"/>
      <c r="M38" s="7" t="s">
        <v>99</v>
      </c>
      <c r="N38" s="7"/>
      <c r="O38" s="99">
        <f>O37+1</f>
        <v>3</v>
      </c>
      <c r="P38" s="99">
        <f t="shared" si="10"/>
        <v>1</v>
      </c>
      <c r="Q38" s="76">
        <f>P38</f>
        <v>1</v>
      </c>
      <c r="R38" s="77">
        <f>VLOOKUP(Q38,STN_TABLE,2,FALSE)</f>
        <v>2.23</v>
      </c>
      <c r="S38" s="77">
        <v>8</v>
      </c>
      <c r="T38" s="76">
        <f>R38*S38</f>
        <v>17.84</v>
      </c>
      <c r="U38" s="80">
        <v>10</v>
      </c>
      <c r="V38" s="76">
        <f>R38*U38</f>
        <v>22.3</v>
      </c>
      <c r="W38" s="513" t="s">
        <v>97</v>
      </c>
      <c r="X38" s="513"/>
      <c r="Y38" s="513" t="s">
        <v>98</v>
      </c>
      <c r="Z38" s="513"/>
      <c r="AA38" s="511" t="s">
        <v>99</v>
      </c>
      <c r="AB38" s="511"/>
      <c r="AC38" s="99">
        <f>AC33+1</f>
        <v>2</v>
      </c>
      <c r="AD38" s="95">
        <f>VLOOKUP(AC38,STN_TABLE_2,2,FALSE)</f>
        <v>0.5</v>
      </c>
      <c r="AE38" s="68">
        <f>VLOOKUP(AD38,STN_TABLE,2,FALSE)</f>
        <v>1.49</v>
      </c>
      <c r="AF38" s="68">
        <v>1</v>
      </c>
      <c r="AG38" s="69">
        <f>AE38*AF38</f>
        <v>1.49</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2.23</v>
      </c>
      <c r="E39" s="92">
        <v>1</v>
      </c>
      <c r="F39" s="82">
        <f>D39*E39</f>
        <v>2.23</v>
      </c>
      <c r="G39" s="83">
        <f>C39</f>
        <v>1</v>
      </c>
      <c r="H39" s="83">
        <f>F39*G39</f>
        <v>2.23</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2.69</v>
      </c>
      <c r="S39" s="83">
        <v>-1</v>
      </c>
      <c r="T39" s="82">
        <f>R39*S39</f>
        <v>-2.69</v>
      </c>
      <c r="U39" s="88">
        <v>-1</v>
      </c>
      <c r="V39" s="82">
        <f>R39*U39</f>
        <v>-2.69</v>
      </c>
      <c r="W39" s="84" t="str">
        <f>CONCATENATE("a'(",Q38,")=")</f>
        <v>a'(1)=</v>
      </c>
      <c r="X39" s="84">
        <f>2*X37/12*T40</f>
        <v>3.3899999999999997</v>
      </c>
      <c r="Y39" s="84" t="str">
        <f>CONCATENATE("A(",Q37,")=")</f>
        <v>A(0.5)=</v>
      </c>
      <c r="Z39" s="84">
        <f>VLOOKUP(Q37,STN_TABLE,3,FALSE)</f>
        <v>1.4534999999999998</v>
      </c>
      <c r="AA39" t="str">
        <f>CONCATENATE("A(",Q38,")=")</f>
        <v>A(1)=</v>
      </c>
      <c r="AB39">
        <f>X39+Z39</f>
        <v>4.8434999999999997</v>
      </c>
      <c r="AC39" s="99">
        <f>AC38+1</f>
        <v>3</v>
      </c>
      <c r="AD39" s="100">
        <f>VLOOKUP(AC39,STN_TABLE_2,2,FALSE)</f>
        <v>1</v>
      </c>
      <c r="AE39" s="82">
        <f>VLOOKUP(AD39,STN_TABLE,2,FALSE)</f>
        <v>2.23</v>
      </c>
      <c r="AF39" s="82">
        <v>2</v>
      </c>
      <c r="AG39" s="83">
        <f>AE39*AF39</f>
        <v>4.46</v>
      </c>
      <c r="AH39" s="84" t="str">
        <f>CONCATENATE("a'(",AD39,")=")</f>
        <v>a'(1)=</v>
      </c>
      <c r="AI39" s="84">
        <f>2*AI37/2*AE40</f>
        <v>3.3479999999999999</v>
      </c>
      <c r="AJ39" s="84" t="str">
        <f>CONCATENATE("A(",AD38,")=")</f>
        <v>A(0.5)=</v>
      </c>
      <c r="AK39" s="84">
        <f>VLOOKUP(AD38,STN_TABLE,3,FALSE)</f>
        <v>1.4534999999999998</v>
      </c>
      <c r="AL39" t="str">
        <f>CONCATENATE("A(",AD39,")=")</f>
        <v>A(1)=</v>
      </c>
      <c r="AM39">
        <f>AI39+AK39</f>
        <v>4.8014999999999999</v>
      </c>
      <c r="AO39" s="68" t="str">
        <f>AA39</f>
        <v>A(1)=</v>
      </c>
      <c r="AP39" s="68" t="e">
        <f>VLOOKUP(AO39,Rise_Results,2,FALSE)</f>
        <v>#N/A</v>
      </c>
      <c r="AQ39" s="76" t="e">
        <f>N39</f>
        <v>#VALUE!</v>
      </c>
      <c r="AR39" s="76">
        <f>IF(OR(AB39&lt;=0,AB40&lt;=0),1/0,AB39)</f>
        <v>4.8434999999999997</v>
      </c>
      <c r="AS39" s="76">
        <f>AM39</f>
        <v>4.8014999999999999</v>
      </c>
      <c r="AT39">
        <f>IFERROR(AP39,IFERROR(AQ39,IFERROR(AR39,AS39)))</f>
        <v>4.8434999999999997</v>
      </c>
    </row>
    <row r="40" spans="1:47" x14ac:dyDescent="0.25">
      <c r="A40">
        <v>4</v>
      </c>
      <c r="F40" s="82">
        <f>SUM(F37:F39)</f>
        <v>8.19</v>
      </c>
      <c r="H40" s="82">
        <f>SUM(H37:H39)</f>
        <v>5.21</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22.599999999999998</v>
      </c>
      <c r="V40" s="82">
        <f>SUM(V37:V39)</f>
        <v>24.08</v>
      </c>
      <c r="W40" s="84" t="str">
        <f>CONCATENATE("m'(",Q38,")=")</f>
        <v>m'(1)=</v>
      </c>
      <c r="X40" s="84">
        <f>(2*(X37^2)/24*V40)+(X39*Q37*WLS)</f>
        <v>4.6763999999999992</v>
      </c>
      <c r="Y40" s="84" t="str">
        <f>CONCATENATE("M(",Q37,")=")</f>
        <v>M(0.5)=</v>
      </c>
      <c r="Z40" s="84">
        <f>VLOOKUP(Q37,STN_TABLE,4,FALSE)</f>
        <v>0.85522500000000001</v>
      </c>
      <c r="AA40" t="str">
        <f>CONCATENATE("M(",Q38,")=")</f>
        <v>M(1)=</v>
      </c>
      <c r="AB40">
        <f>X40+Z40</f>
        <v>5.5316249999999991</v>
      </c>
      <c r="AE40" s="89">
        <f>SUM(AE38:AE39)</f>
        <v>3.7199999999999998</v>
      </c>
      <c r="AG40" s="89">
        <f>SUM(AG38:AG39)</f>
        <v>5.95</v>
      </c>
      <c r="AH40" s="84" t="str">
        <f>CONCATENATE("m'(",AD39,")=")</f>
        <v>m'(1)=</v>
      </c>
      <c r="AI40" s="84">
        <f>(2*(AI37^2)/6*AG40)+(AI39*AD38*WLS)</f>
        <v>4.6196999999999999</v>
      </c>
      <c r="AJ40" s="84" t="str">
        <f>CONCATENATE("M(",AD38,")=")</f>
        <v>M(0.5)=</v>
      </c>
      <c r="AK40" s="84">
        <f>VLOOKUP(AD38,STN_TABLE,4,FALSE)</f>
        <v>0.85522500000000001</v>
      </c>
      <c r="AL40" t="str">
        <f>CONCATENATE("M(",AD39,")=")</f>
        <v>M(1)=</v>
      </c>
      <c r="AM40">
        <f>AI40+AK40</f>
        <v>5.4749249999999998</v>
      </c>
      <c r="AO40" s="82" t="str">
        <f>AA40</f>
        <v>M(1)=</v>
      </c>
      <c r="AP40" s="82" t="e">
        <f>VLOOKUP(AO40,Rise_Results,2,FALSE)</f>
        <v>#N/A</v>
      </c>
      <c r="AQ40" s="82" t="e">
        <f>N40</f>
        <v>#VALUE!</v>
      </c>
      <c r="AR40" s="82">
        <f>IF(OR(AB39&lt;=0,AB40&lt;=0),1/0,AB40)</f>
        <v>5.5316249999999991</v>
      </c>
      <c r="AS40" s="82">
        <f>AM40</f>
        <v>5.4749249999999998</v>
      </c>
      <c r="AT40">
        <f>IFERROR(AP40,IFERROR(AQ40,IFERROR(AR40,AS40)))</f>
        <v>5.5316249999999991</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1.49</v>
      </c>
      <c r="E42" s="102">
        <v>1</v>
      </c>
      <c r="F42" s="68">
        <f>D42*E42</f>
        <v>1.49</v>
      </c>
      <c r="G42" s="69">
        <f>C42</f>
        <v>0.5</v>
      </c>
      <c r="H42" s="69">
        <f>F42*G42</f>
        <v>0.745</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2.23</v>
      </c>
      <c r="S42" s="69">
        <v>5</v>
      </c>
      <c r="T42" s="68">
        <f>R42*S42</f>
        <v>11.15</v>
      </c>
      <c r="U42" s="79">
        <v>3</v>
      </c>
      <c r="V42" s="68">
        <f>R42*U42</f>
        <v>6.6899999999999995</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2.23</v>
      </c>
      <c r="E43" s="81">
        <v>4</v>
      </c>
      <c r="F43" s="76">
        <f>D43*E43</f>
        <v>8.92</v>
      </c>
      <c r="G43" s="77">
        <f>C43</f>
        <v>1</v>
      </c>
      <c r="H43" s="77">
        <f>F43*G43</f>
        <v>8.92</v>
      </c>
      <c r="I43" s="513" t="s">
        <v>97</v>
      </c>
      <c r="J43" s="513"/>
      <c r="K43" s="78" t="s">
        <v>98</v>
      </c>
      <c r="L43" s="78"/>
      <c r="M43" s="7" t="s">
        <v>99</v>
      </c>
      <c r="N43" s="7"/>
      <c r="O43" s="99">
        <f>O42+1</f>
        <v>4</v>
      </c>
      <c r="P43" s="99">
        <f t="shared" si="10"/>
        <v>1.5</v>
      </c>
      <c r="Q43" s="76">
        <f>P43</f>
        <v>1.5</v>
      </c>
      <c r="R43" s="77">
        <f>VLOOKUP(Q43,STN_TABLE,2,FALSE)</f>
        <v>2.69</v>
      </c>
      <c r="S43" s="77">
        <v>8</v>
      </c>
      <c r="T43" s="76">
        <f>R43*S43</f>
        <v>21.52</v>
      </c>
      <c r="U43" s="80">
        <v>10</v>
      </c>
      <c r="V43" s="76">
        <f>R43*U43</f>
        <v>26.9</v>
      </c>
      <c r="W43" s="513" t="s">
        <v>97</v>
      </c>
      <c r="X43" s="513"/>
      <c r="Y43" s="513" t="s">
        <v>98</v>
      </c>
      <c r="Z43" s="513"/>
      <c r="AA43" s="511" t="s">
        <v>99</v>
      </c>
      <c r="AB43" s="511"/>
      <c r="AC43" s="99">
        <f>AC38+1</f>
        <v>3</v>
      </c>
      <c r="AD43" s="95">
        <f>VLOOKUP(AC43,STN_TABLE_2,2,FALSE)</f>
        <v>1</v>
      </c>
      <c r="AE43" s="68">
        <f>VLOOKUP(AD43,STN_TABLE,2,FALSE)</f>
        <v>2.23</v>
      </c>
      <c r="AF43" s="68">
        <v>1</v>
      </c>
      <c r="AG43" s="69">
        <f>AE43*AF43</f>
        <v>2.23</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2.69</v>
      </c>
      <c r="E44" s="92">
        <v>1</v>
      </c>
      <c r="F44" s="82">
        <f>D44*E44</f>
        <v>2.69</v>
      </c>
      <c r="G44" s="83">
        <f>C44</f>
        <v>1.5</v>
      </c>
      <c r="H44" s="83">
        <f>F44*G44</f>
        <v>4.0350000000000001</v>
      </c>
      <c r="I44" s="84" t="str">
        <f>CONCATENATE("a'(",C44,")=")</f>
        <v>a'(1.5)=</v>
      </c>
      <c r="J44" s="84">
        <f>2*J42/3*F45</f>
        <v>7.8599999999999994</v>
      </c>
      <c r="K44" s="84" t="str">
        <f>CONCATENATE("A(",C42,")=")</f>
        <v>A(0.5)=</v>
      </c>
      <c r="L44" s="84">
        <f>VLOOKUP(C42,STN_TABLE,3,FALSE)</f>
        <v>1.4534999999999998</v>
      </c>
      <c r="M44" t="str">
        <f>CONCATENATE("A(",C44,")=")</f>
        <v>A(1.5)=</v>
      </c>
      <c r="N44">
        <f>J44+L44</f>
        <v>9.3134999999999994</v>
      </c>
      <c r="O44" s="99">
        <f>O43+1</f>
        <v>5</v>
      </c>
      <c r="P44" s="99">
        <f t="shared" si="10"/>
        <v>2</v>
      </c>
      <c r="Q44" s="82">
        <f>IF(P44-P43=P43-P42,P44,IF(P45-P43=P43-P42,P45,IF(P44-P43=P43-P41,P44,IF(P45-P43=P43-P41,P45,"-"))))</f>
        <v>2</v>
      </c>
      <c r="R44" s="83">
        <f>VLOOKUP(Q44,STN_TABLE,2,FALSE)</f>
        <v>2.97</v>
      </c>
      <c r="S44" s="83">
        <v>-1</v>
      </c>
      <c r="T44" s="82">
        <f>R44*S44</f>
        <v>-2.97</v>
      </c>
      <c r="U44" s="88">
        <v>-1</v>
      </c>
      <c r="V44" s="82">
        <f>R44*U44</f>
        <v>-2.97</v>
      </c>
      <c r="W44" s="84" t="str">
        <f>CONCATENATE("a'(",Q43,")=")</f>
        <v>a'(1.5)=</v>
      </c>
      <c r="X44" s="84">
        <f>2*X42/12*T45</f>
        <v>4.4550000000000001</v>
      </c>
      <c r="Y44" s="84" t="str">
        <f>CONCATENATE("A(",Q42,")=")</f>
        <v>A(1)=</v>
      </c>
      <c r="Z44" s="84">
        <f>VLOOKUP(Q42,STN_TABLE,3,FALSE)</f>
        <v>4.8434999999999997</v>
      </c>
      <c r="AA44" t="str">
        <f>CONCATENATE("A(",Q43,")=")</f>
        <v>A(1.5)=</v>
      </c>
      <c r="AB44">
        <f>X44+Z44</f>
        <v>9.2985000000000007</v>
      </c>
      <c r="AC44" s="99">
        <f>AC43+1</f>
        <v>4</v>
      </c>
      <c r="AD44" s="100">
        <f>VLOOKUP(AC44,STN_TABLE_2,2,FALSE)</f>
        <v>1.5</v>
      </c>
      <c r="AE44" s="82">
        <f>VLOOKUP(AD44,STN_TABLE,2,FALSE)</f>
        <v>2.69</v>
      </c>
      <c r="AF44" s="82">
        <v>2</v>
      </c>
      <c r="AG44" s="83">
        <f>AE44*AF44</f>
        <v>5.38</v>
      </c>
      <c r="AH44" s="84" t="str">
        <f>CONCATENATE("a'(",AD44,")=")</f>
        <v>a'(1.5)=</v>
      </c>
      <c r="AI44" s="84">
        <f>2*AI42/2*AE45</f>
        <v>4.4279999999999999</v>
      </c>
      <c r="AJ44" s="84" t="str">
        <f>CONCATENATE("A(",AD43,")=")</f>
        <v>A(1)=</v>
      </c>
      <c r="AK44" s="84">
        <f>VLOOKUP(AD43,STN_TABLE,3,FALSE)</f>
        <v>4.8434999999999997</v>
      </c>
      <c r="AL44" t="str">
        <f>CONCATENATE("A(",AD44,")=")</f>
        <v>A(1.5)=</v>
      </c>
      <c r="AM44">
        <f>AI44+AK44</f>
        <v>9.2714999999999996</v>
      </c>
      <c r="AO44" s="68" t="str">
        <f>AA44</f>
        <v>A(1.5)=</v>
      </c>
      <c r="AP44" s="68" t="e">
        <f>VLOOKUP(AO44,Rise_Results,2,FALSE)</f>
        <v>#N/A</v>
      </c>
      <c r="AQ44" s="76">
        <f>N44</f>
        <v>9.3134999999999994</v>
      </c>
      <c r="AR44" s="76">
        <f>IF(OR(AB44&lt;=0,AB45&lt;=0),1/0,AB44)</f>
        <v>9.2985000000000007</v>
      </c>
      <c r="AS44" s="76">
        <f>AM44</f>
        <v>9.2714999999999996</v>
      </c>
      <c r="AT44">
        <f>IFERROR(AP44,IFERROR(AQ44,IFERROR(AR44,AS44)))</f>
        <v>9.3134999999999994</v>
      </c>
      <c r="AU44" s="81"/>
    </row>
    <row r="45" spans="1:47" x14ac:dyDescent="0.25">
      <c r="A45" s="94">
        <f>A44+1</f>
        <v>4</v>
      </c>
      <c r="B45" s="94">
        <f t="shared" si="11"/>
        <v>1.5</v>
      </c>
      <c r="F45" s="82">
        <f>SUM(F42:F44)</f>
        <v>13.1</v>
      </c>
      <c r="H45" s="82">
        <f>SUM(H42:H44)</f>
        <v>13.7</v>
      </c>
      <c r="I45" s="84" t="str">
        <f>CONCATENATE("m'(",C44,")=")</f>
        <v>m'(1.5)=</v>
      </c>
      <c r="J45" s="84">
        <f>2*(J42*(WLS))/3*H45</f>
        <v>14.795999999999999</v>
      </c>
      <c r="K45" s="84" t="str">
        <f>CONCATENATE("M(",C42,")=")</f>
        <v>M(0.5)=</v>
      </c>
      <c r="L45" s="84">
        <f>VLOOKUP(C42,STN_TABLE,4,FALSE)</f>
        <v>0.85522500000000001</v>
      </c>
      <c r="M45" t="str">
        <f>CONCATENATE("M(",C44,")=")</f>
        <v>M(1.5)=</v>
      </c>
      <c r="N45">
        <f>J45+L45</f>
        <v>15.651225</v>
      </c>
      <c r="O45" s="99">
        <f>O44+1</f>
        <v>6</v>
      </c>
      <c r="P45" s="99">
        <f t="shared" si="10"/>
        <v>3</v>
      </c>
      <c r="T45" s="89">
        <f>SUM(T42:T44)</f>
        <v>29.700000000000003</v>
      </c>
      <c r="V45" s="82">
        <f>SUM(V42:V44)</f>
        <v>30.619999999999997</v>
      </c>
      <c r="W45" s="84" t="str">
        <f>CONCATENATE("m'(",Q43,")=")</f>
        <v>m'(1.5)=</v>
      </c>
      <c r="X45" s="84">
        <f>(2*(X42^2)/24*V45)+(X44*Q42*WLS)</f>
        <v>10.085850000000001</v>
      </c>
      <c r="Y45" s="84" t="str">
        <f>CONCATENATE("M(",Q42,")=")</f>
        <v>M(1)=</v>
      </c>
      <c r="Z45" s="84">
        <f>VLOOKUP(Q42,STN_TABLE,4,FALSE)</f>
        <v>5.5316249999999991</v>
      </c>
      <c r="AA45" t="str">
        <f>CONCATENATE("M(",Q43,")=")</f>
        <v>M(1.5)=</v>
      </c>
      <c r="AB45">
        <f>X45+Z45</f>
        <v>15.617474999999999</v>
      </c>
      <c r="AE45" s="89">
        <f>SUM(AE43:AE44)</f>
        <v>4.92</v>
      </c>
      <c r="AG45" s="89">
        <f>SUM(AG43:AG44)</f>
        <v>7.6099999999999994</v>
      </c>
      <c r="AH45" s="84" t="str">
        <f>CONCATENATE("m'(",AD44,")=")</f>
        <v>m'(1.5)=</v>
      </c>
      <c r="AI45" s="84">
        <f>(2*(AI42^2)/6*AG45)+(AI44*AD43*WLS)</f>
        <v>10.0251</v>
      </c>
      <c r="AJ45" s="84" t="str">
        <f>CONCATENATE("M(",AD43,")=")</f>
        <v>M(1)=</v>
      </c>
      <c r="AK45" s="84">
        <f>VLOOKUP(AD43,STN_TABLE,4,FALSE)</f>
        <v>5.5316249999999991</v>
      </c>
      <c r="AL45" t="str">
        <f>CONCATENATE("M(",AD44,")=")</f>
        <v>M(1.5)=</v>
      </c>
      <c r="AM45">
        <f>AI45+AK45</f>
        <v>15.556725</v>
      </c>
      <c r="AO45" s="82" t="str">
        <f>AA45</f>
        <v>M(1.5)=</v>
      </c>
      <c r="AP45" s="82" t="e">
        <f>VLOOKUP(AO45,Rise_Results,2,FALSE)</f>
        <v>#N/A</v>
      </c>
      <c r="AQ45" s="82">
        <f>N45</f>
        <v>15.651225</v>
      </c>
      <c r="AR45" s="82">
        <f>IF(OR(AB44&lt;=0,AB45&lt;=0),1/0,AB45)</f>
        <v>15.617474999999999</v>
      </c>
      <c r="AS45" s="82">
        <f>AM45</f>
        <v>15.556725</v>
      </c>
      <c r="AT45">
        <f>IFERROR(AP45,IFERROR(AQ45,IFERROR(AR45,AS45)))</f>
        <v>15.651225</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2.23</v>
      </c>
      <c r="E47" s="102">
        <v>1</v>
      </c>
      <c r="F47" s="68">
        <f>D47*E47</f>
        <v>2.23</v>
      </c>
      <c r="G47" s="69">
        <f>C47</f>
        <v>1</v>
      </c>
      <c r="H47" s="69">
        <f>F47*G47</f>
        <v>2.23</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2.23</v>
      </c>
      <c r="S47" s="69">
        <v>5</v>
      </c>
      <c r="T47" s="68">
        <f>R47*S47</f>
        <v>11.15</v>
      </c>
      <c r="U47" s="79">
        <v>3</v>
      </c>
      <c r="V47" s="68">
        <f>R47*U47</f>
        <v>6.6899999999999995</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2.69</v>
      </c>
      <c r="E48" s="81">
        <v>4</v>
      </c>
      <c r="F48" s="76">
        <f>D48*E48</f>
        <v>10.76</v>
      </c>
      <c r="G48" s="77">
        <f>C48</f>
        <v>1.5</v>
      </c>
      <c r="H48" s="77">
        <f>F48*G48</f>
        <v>16.14</v>
      </c>
      <c r="I48" s="513" t="s">
        <v>97</v>
      </c>
      <c r="J48" s="513"/>
      <c r="K48" s="78" t="s">
        <v>98</v>
      </c>
      <c r="L48" s="78"/>
      <c r="M48" s="7" t="s">
        <v>99</v>
      </c>
      <c r="N48" s="7"/>
      <c r="O48" s="99">
        <f>O47+1</f>
        <v>5</v>
      </c>
      <c r="P48" s="99">
        <f t="shared" si="10"/>
        <v>2</v>
      </c>
      <c r="Q48" s="76">
        <f>P48</f>
        <v>2</v>
      </c>
      <c r="R48" s="77">
        <f>VLOOKUP(Q48,STN_TABLE,2,FALSE)</f>
        <v>2.97</v>
      </c>
      <c r="S48" s="77">
        <v>8</v>
      </c>
      <c r="T48" s="76">
        <f>R48*S48</f>
        <v>23.76</v>
      </c>
      <c r="U48" s="80">
        <v>10</v>
      </c>
      <c r="V48" s="76">
        <f>R48*U48</f>
        <v>29.700000000000003</v>
      </c>
      <c r="W48" s="513" t="s">
        <v>97</v>
      </c>
      <c r="X48" s="513"/>
      <c r="Y48" s="513" t="s">
        <v>98</v>
      </c>
      <c r="Z48" s="513"/>
      <c r="AA48" s="511" t="s">
        <v>99</v>
      </c>
      <c r="AB48" s="511"/>
      <c r="AC48" s="99">
        <f>AC43+1</f>
        <v>4</v>
      </c>
      <c r="AD48" s="95">
        <f>VLOOKUP(AC48,STN_TABLE_2,2,FALSE)</f>
        <v>1.5</v>
      </c>
      <c r="AE48" s="68">
        <f>VLOOKUP(AD48,STN_TABLE,2,FALSE)</f>
        <v>2.69</v>
      </c>
      <c r="AF48" s="68">
        <v>1</v>
      </c>
      <c r="AG48" s="69">
        <f>AE48*AF48</f>
        <v>2.69</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2.97</v>
      </c>
      <c r="E49" s="92">
        <v>1</v>
      </c>
      <c r="F49" s="82">
        <f>D49*E49</f>
        <v>2.97</v>
      </c>
      <c r="G49" s="83">
        <f>C49</f>
        <v>2</v>
      </c>
      <c r="H49" s="83">
        <f>F49*G49</f>
        <v>5.94</v>
      </c>
      <c r="I49" s="84" t="str">
        <f>CONCATENATE("a'(",C49,")=")</f>
        <v>a'(2)=</v>
      </c>
      <c r="J49" s="84">
        <f>2*J47/3*F50</f>
        <v>9.5760000000000005</v>
      </c>
      <c r="K49" s="84" t="str">
        <f>CONCATENATE("A(",C47,")=")</f>
        <v>A(1)=</v>
      </c>
      <c r="L49" s="84">
        <f>VLOOKUP(C47,STN_TABLE,3,FALSE)</f>
        <v>4.8434999999999997</v>
      </c>
      <c r="M49" t="str">
        <f>CONCATENATE("A(",C49,")=")</f>
        <v>A(2)=</v>
      </c>
      <c r="N49">
        <f>J49+L49</f>
        <v>14.419499999999999</v>
      </c>
      <c r="O49" s="99">
        <f>O48+1</f>
        <v>6</v>
      </c>
      <c r="P49" s="99">
        <f t="shared" si="10"/>
        <v>3</v>
      </c>
      <c r="Q49" s="82">
        <f>IF(P49-P48=P48-P47,P49,IF(P50-P48=P48-P47,P50,IF(P49-P48=P48-P46,P49,IF(P50-P48=P48-P46,P50,"-"))))</f>
        <v>3</v>
      </c>
      <c r="R49" s="83">
        <f>VLOOKUP(Q49,STN_TABLE,2,FALSE)</f>
        <v>3.25</v>
      </c>
      <c r="S49" s="83">
        <v>-1</v>
      </c>
      <c r="T49" s="82">
        <f>R49*S49</f>
        <v>-3.25</v>
      </c>
      <c r="U49" s="88">
        <v>-1</v>
      </c>
      <c r="V49" s="82">
        <f>R49*U49</f>
        <v>-3.25</v>
      </c>
      <c r="W49" s="84" t="str">
        <f>CONCATENATE("a'(",Q48,")=")</f>
        <v>a'(2)=</v>
      </c>
      <c r="X49" s="84">
        <f>2*X47/12*T50</f>
        <v>9.4980000000000011</v>
      </c>
      <c r="Y49" s="84" t="str">
        <f>CONCATENATE("A(",Q47,")=")</f>
        <v>A(1)=</v>
      </c>
      <c r="Z49" s="84">
        <f>VLOOKUP(Q47,STN_TABLE,3,FALSE)</f>
        <v>4.8434999999999997</v>
      </c>
      <c r="AA49" t="str">
        <f>CONCATENATE("A(",Q48,")=")</f>
        <v>A(2)=</v>
      </c>
      <c r="AB49">
        <f>X49+Z49</f>
        <v>14.3415</v>
      </c>
      <c r="AC49" s="99">
        <f>AC48+1</f>
        <v>5</v>
      </c>
      <c r="AD49" s="100">
        <f>VLOOKUP(AC49,STN_TABLE_2,2,FALSE)</f>
        <v>2</v>
      </c>
      <c r="AE49" s="82">
        <f>VLOOKUP(AD49,STN_TABLE,2,FALSE)</f>
        <v>2.97</v>
      </c>
      <c r="AF49" s="82">
        <v>2</v>
      </c>
      <c r="AG49" s="83">
        <f>AE49*AF49</f>
        <v>5.94</v>
      </c>
      <c r="AH49" s="84" t="str">
        <f>CONCATENATE("a'(",AD49,")=")</f>
        <v>a'(2)=</v>
      </c>
      <c r="AI49" s="84">
        <f>2*AI47/2*AE50</f>
        <v>5.0940000000000003</v>
      </c>
      <c r="AJ49" s="84" t="str">
        <f>CONCATENATE("A(",AD48,")=")</f>
        <v>A(1.5)=</v>
      </c>
      <c r="AK49" s="84">
        <f>VLOOKUP(AD48,STN_TABLE,3,FALSE)</f>
        <v>9.3134999999999994</v>
      </c>
      <c r="AL49" t="str">
        <f>CONCATENATE("A(",AD49,")=")</f>
        <v>A(2)=</v>
      </c>
      <c r="AM49">
        <f>AI49+AK49</f>
        <v>14.407499999999999</v>
      </c>
      <c r="AO49" s="68" t="str">
        <f>AA49</f>
        <v>A(2)=</v>
      </c>
      <c r="AP49" s="68" t="e">
        <f>VLOOKUP(AO49,Rise_Results,2,FALSE)</f>
        <v>#N/A</v>
      </c>
      <c r="AQ49" s="76">
        <f>N49</f>
        <v>14.419499999999999</v>
      </c>
      <c r="AR49" s="76">
        <f>IF(OR(AB49&lt;=0,AB50&lt;=0),1/0,AB49)</f>
        <v>14.3415</v>
      </c>
      <c r="AS49" s="76">
        <f>AM49</f>
        <v>14.407499999999999</v>
      </c>
      <c r="AT49">
        <f>IFERROR(AP49,IFERROR(AQ49,IFERROR(AR49,AS49)))</f>
        <v>14.419499999999999</v>
      </c>
      <c r="AU49" s="81"/>
    </row>
    <row r="50" spans="1:47" x14ac:dyDescent="0.25">
      <c r="A50" s="84">
        <f>A49+1</f>
        <v>5</v>
      </c>
      <c r="B50" s="84">
        <f t="shared" si="11"/>
        <v>2</v>
      </c>
      <c r="F50" s="82">
        <f>SUM(F47:F49)</f>
        <v>15.96</v>
      </c>
      <c r="H50" s="82">
        <f>SUM(H47:H49)</f>
        <v>24.310000000000002</v>
      </c>
      <c r="I50" s="84" t="str">
        <f>CONCATENATE("m'(",C49,")=")</f>
        <v>m'(2)=</v>
      </c>
      <c r="J50" s="84">
        <f>2*(J47*(WLS))/3*H50</f>
        <v>26.254800000000003</v>
      </c>
      <c r="K50" s="84" t="str">
        <f>CONCATENATE("M(",C47,")=")</f>
        <v>M(1)=</v>
      </c>
      <c r="L50" s="84">
        <f>VLOOKUP(C47,STN_TABLE,4,FALSE)</f>
        <v>5.5316249999999991</v>
      </c>
      <c r="M50" t="str">
        <f>CONCATENATE("M(",C49,")=")</f>
        <v>M(2)=</v>
      </c>
      <c r="N50">
        <f>J50+L50</f>
        <v>31.786425000000001</v>
      </c>
      <c r="O50" s="99">
        <f>O49+1</f>
        <v>7</v>
      </c>
      <c r="P50" s="99">
        <f t="shared" si="10"/>
        <v>4</v>
      </c>
      <c r="T50" s="89">
        <f>SUM(T47:T49)</f>
        <v>31.660000000000004</v>
      </c>
      <c r="V50" s="82">
        <f>SUM(V47:V49)</f>
        <v>33.14</v>
      </c>
      <c r="W50" s="84" t="str">
        <f>CONCATENATE("m'(",Q48,")=")</f>
        <v>m'(2)=</v>
      </c>
      <c r="X50" s="84">
        <f>(2*(X47^2)/24*V50)+(X49*Q47*WLS)</f>
        <v>26.044200000000004</v>
      </c>
      <c r="Y50" s="84" t="str">
        <f>CONCATENATE("M(",Q47,")=")</f>
        <v>M(1)=</v>
      </c>
      <c r="Z50" s="84">
        <f>VLOOKUP(Q47,STN_TABLE,4,FALSE)</f>
        <v>5.5316249999999991</v>
      </c>
      <c r="AA50" t="str">
        <f>CONCATENATE("M(",Q48,")=")</f>
        <v>M(2)=</v>
      </c>
      <c r="AB50">
        <f>X50+Z50</f>
        <v>31.575825000000002</v>
      </c>
      <c r="AE50" s="89">
        <f>SUM(AE48:AE49)</f>
        <v>5.66</v>
      </c>
      <c r="AG50" s="89">
        <f>SUM(AG48:AG49)</f>
        <v>8.6300000000000008</v>
      </c>
      <c r="AH50" s="84" t="str">
        <f>CONCATENATE("m'(",AD49,")=")</f>
        <v>m'(2)=</v>
      </c>
      <c r="AI50" s="84">
        <f>(2*(AI47^2)/6*AG50)+(AI49*AD48*WLS)</f>
        <v>16.0839</v>
      </c>
      <c r="AJ50" s="84" t="str">
        <f>CONCATENATE("M(",AD48,")=")</f>
        <v>M(1.5)=</v>
      </c>
      <c r="AK50" s="84">
        <f>VLOOKUP(AD48,STN_TABLE,4,FALSE)</f>
        <v>15.651225</v>
      </c>
      <c r="AL50" t="str">
        <f>CONCATENATE("M(",AD49,")=")</f>
        <v>M(2)=</v>
      </c>
      <c r="AM50">
        <f>AI50+AK50</f>
        <v>31.735125</v>
      </c>
      <c r="AO50" s="82" t="str">
        <f>AA50</f>
        <v>M(2)=</v>
      </c>
      <c r="AP50" s="82" t="e">
        <f>VLOOKUP(AO50,Rise_Results,2,FALSE)</f>
        <v>#N/A</v>
      </c>
      <c r="AQ50" s="82">
        <f>N50</f>
        <v>31.786425000000001</v>
      </c>
      <c r="AR50" s="82">
        <f>IF(OR(AB49&lt;=0,AB50&lt;=0),1/0,AB50)</f>
        <v>31.575825000000002</v>
      </c>
      <c r="AS50" s="82">
        <f>AM50</f>
        <v>31.735125</v>
      </c>
      <c r="AT50">
        <f>IFERROR(AP50,IFERROR(AQ50,IFERROR(AR50,AS50)))</f>
        <v>31.786425000000001</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2.23</v>
      </c>
      <c r="E52" s="102">
        <v>1</v>
      </c>
      <c r="F52" s="68">
        <f>D52*E52</f>
        <v>2.23</v>
      </c>
      <c r="G52" s="69">
        <f>C52</f>
        <v>1</v>
      </c>
      <c r="H52" s="69">
        <f>F52*G52</f>
        <v>2.23</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2.97</v>
      </c>
      <c r="S52" s="69">
        <v>5</v>
      </c>
      <c r="T52" s="68">
        <f>R52*S52</f>
        <v>14.850000000000001</v>
      </c>
      <c r="U52" s="79">
        <v>3</v>
      </c>
      <c r="V52" s="68">
        <f>R52*U52</f>
        <v>8.91</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2.97</v>
      </c>
      <c r="E53" s="81">
        <v>4</v>
      </c>
      <c r="F53" s="76">
        <f>D53*E53</f>
        <v>11.88</v>
      </c>
      <c r="G53" s="77">
        <f>C53</f>
        <v>2</v>
      </c>
      <c r="H53" s="77">
        <f>F53*G53</f>
        <v>23.76</v>
      </c>
      <c r="I53" s="512" t="s">
        <v>97</v>
      </c>
      <c r="J53" s="513"/>
      <c r="K53" s="78" t="s">
        <v>98</v>
      </c>
      <c r="L53" s="78"/>
      <c r="M53" s="7" t="s">
        <v>99</v>
      </c>
      <c r="N53" s="7"/>
      <c r="O53" s="99">
        <f>O52+1</f>
        <v>6</v>
      </c>
      <c r="P53" s="99">
        <f t="shared" si="10"/>
        <v>3</v>
      </c>
      <c r="Q53" s="76">
        <f>P53</f>
        <v>3</v>
      </c>
      <c r="R53" s="77">
        <f>VLOOKUP(Q53,STN_TABLE,2,FALSE)</f>
        <v>3.25</v>
      </c>
      <c r="S53" s="77">
        <v>8</v>
      </c>
      <c r="T53" s="76">
        <f>R53*S53</f>
        <v>26</v>
      </c>
      <c r="U53" s="80">
        <v>10</v>
      </c>
      <c r="V53" s="76">
        <f>R53*U53</f>
        <v>32.5</v>
      </c>
      <c r="W53" s="513" t="s">
        <v>97</v>
      </c>
      <c r="X53" s="513"/>
      <c r="Y53" s="513" t="s">
        <v>98</v>
      </c>
      <c r="Z53" s="513"/>
      <c r="AA53" s="511" t="s">
        <v>99</v>
      </c>
      <c r="AB53" s="511"/>
      <c r="AC53" s="99">
        <f>AC48+1</f>
        <v>5</v>
      </c>
      <c r="AD53" s="95">
        <f>VLOOKUP(AC53,STN_TABLE_2,2,FALSE)</f>
        <v>2</v>
      </c>
      <c r="AE53" s="68">
        <f>VLOOKUP(AD53,STN_TABLE,2,FALSE)</f>
        <v>2.97</v>
      </c>
      <c r="AF53" s="68">
        <v>1</v>
      </c>
      <c r="AG53" s="69">
        <f>AE53*AF53</f>
        <v>2.97</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3.25</v>
      </c>
      <c r="E54" s="92">
        <v>1</v>
      </c>
      <c r="F54" s="82">
        <f>D54*E54</f>
        <v>3.25</v>
      </c>
      <c r="G54" s="83">
        <f>C54</f>
        <v>3</v>
      </c>
      <c r="H54" s="83">
        <f>F54*G54</f>
        <v>9.75</v>
      </c>
      <c r="I54" s="84" t="str">
        <f>CONCATENATE("a'(",C54,")=")</f>
        <v>a'(3)=</v>
      </c>
      <c r="J54" s="84">
        <f>2*J52/3*F55</f>
        <v>20.831999999999997</v>
      </c>
      <c r="K54" s="84" t="str">
        <f>CONCATENATE("A(",C52,")=")</f>
        <v>A(1)=</v>
      </c>
      <c r="L54" s="84">
        <f>VLOOKUP(C52,STN_TABLE,3,FALSE)</f>
        <v>4.8434999999999997</v>
      </c>
      <c r="M54" t="str">
        <f>CONCATENATE("A(",C54,")=")</f>
        <v>A(3)=</v>
      </c>
      <c r="N54">
        <f>J54+L54</f>
        <v>25.675499999999996</v>
      </c>
      <c r="O54" s="99">
        <f>O53+1</f>
        <v>7</v>
      </c>
      <c r="P54" s="99">
        <f t="shared" si="10"/>
        <v>4</v>
      </c>
      <c r="Q54" s="82">
        <f>IF(P54-P53=P53-P52,P54,IF(P55-P53=P53-P52,P55,IF(P54-P53=P53-P51,P54,IF(P55-P53=P53-P51,P55,"-"))))</f>
        <v>4</v>
      </c>
      <c r="R54" s="83">
        <f>VLOOKUP(Q54,STN_TABLE,2,FALSE)</f>
        <v>3.51</v>
      </c>
      <c r="S54" s="83">
        <v>-1</v>
      </c>
      <c r="T54" s="82">
        <f>R54*S54</f>
        <v>-3.51</v>
      </c>
      <c r="U54" s="88">
        <v>-1</v>
      </c>
      <c r="V54" s="82">
        <f>R54*U54</f>
        <v>-3.51</v>
      </c>
      <c r="W54" s="84" t="str">
        <f>CONCATENATE("a'(",Q53,")=")</f>
        <v>a'(3)=</v>
      </c>
      <c r="X54" s="84">
        <f>2*X52/12*T55</f>
        <v>11.202</v>
      </c>
      <c r="Y54" s="84" t="str">
        <f>CONCATENATE("A(",Q52,")=")</f>
        <v>A(2)=</v>
      </c>
      <c r="Z54" s="84">
        <f>VLOOKUP(Q52,STN_TABLE,3,FALSE)</f>
        <v>14.419499999999999</v>
      </c>
      <c r="AA54" t="str">
        <f>CONCATENATE("A(",Q53,")=")</f>
        <v>A(3)=</v>
      </c>
      <c r="AB54">
        <f>X54+Z54</f>
        <v>25.621499999999997</v>
      </c>
      <c r="AC54" s="99">
        <f>AC53+1</f>
        <v>6</v>
      </c>
      <c r="AD54" s="100">
        <f>VLOOKUP(AC54,STN_TABLE_2,2,FALSE)</f>
        <v>3</v>
      </c>
      <c r="AE54" s="82">
        <f>VLOOKUP(AD54,STN_TABLE,2,FALSE)</f>
        <v>3.25</v>
      </c>
      <c r="AF54" s="82">
        <v>2</v>
      </c>
      <c r="AG54" s="83">
        <f>AE54*AF54</f>
        <v>6.5</v>
      </c>
      <c r="AH54" s="84" t="str">
        <f>CONCATENATE("a'(",AD54,")=")</f>
        <v>a'(3)=</v>
      </c>
      <c r="AI54" s="84">
        <f>2*AI52/2*AE55</f>
        <v>11.196000000000002</v>
      </c>
      <c r="AJ54" s="84" t="str">
        <f>CONCATENATE("A(",AD53,")=")</f>
        <v>A(2)=</v>
      </c>
      <c r="AK54" s="84">
        <f>VLOOKUP(AD53,STN_TABLE,3,FALSE)</f>
        <v>14.419499999999999</v>
      </c>
      <c r="AL54" t="str">
        <f>CONCATENATE("A(",AD54,")=")</f>
        <v>A(3)=</v>
      </c>
      <c r="AM54">
        <f>AI54+AK54</f>
        <v>25.615500000000001</v>
      </c>
      <c r="AO54" s="68" t="str">
        <f>AA54</f>
        <v>A(3)=</v>
      </c>
      <c r="AP54" s="68" t="e">
        <f>VLOOKUP(AO54,Rise_Results,2,FALSE)</f>
        <v>#N/A</v>
      </c>
      <c r="AQ54" s="76">
        <f>N54</f>
        <v>25.675499999999996</v>
      </c>
      <c r="AR54" s="76">
        <f>IF(OR(AB54&lt;=0,AB55&lt;=0),1/0,AB54)</f>
        <v>25.621499999999997</v>
      </c>
      <c r="AS54" s="76">
        <f>AM54</f>
        <v>25.615500000000001</v>
      </c>
      <c r="AT54">
        <f>IFERROR(AP54,IFERROR(AQ54,IFERROR(AR54,AS54)))</f>
        <v>25.675499999999996</v>
      </c>
      <c r="AU54" s="81"/>
    </row>
    <row r="55" spans="1:47" x14ac:dyDescent="0.25">
      <c r="A55" s="84">
        <f>A54+1</f>
        <v>6</v>
      </c>
      <c r="B55" s="84">
        <f t="shared" si="11"/>
        <v>3</v>
      </c>
      <c r="F55" s="82">
        <f>SUM(F52:F54)</f>
        <v>17.36</v>
      </c>
      <c r="H55" s="82">
        <f>SUM(H52:H54)</f>
        <v>35.74</v>
      </c>
      <c r="I55" s="84" t="str">
        <f>CONCATENATE("m'(",C54,")=")</f>
        <v>m'(3)=</v>
      </c>
      <c r="J55" s="84">
        <f>2*(J52*(WLS))/3*H55</f>
        <v>77.198400000000007</v>
      </c>
      <c r="K55" s="84" t="str">
        <f>CONCATENATE("M(",C52,")=")</f>
        <v>M(1)=</v>
      </c>
      <c r="L55" s="84">
        <f>VLOOKUP(C52,STN_TABLE,4,FALSE)</f>
        <v>5.5316249999999991</v>
      </c>
      <c r="M55" t="str">
        <f>CONCATENATE("M(",C54,")=")</f>
        <v>M(3)=</v>
      </c>
      <c r="N55">
        <f>J55+L55</f>
        <v>82.730025000000012</v>
      </c>
      <c r="O55" s="99">
        <f>O54+1</f>
        <v>8</v>
      </c>
      <c r="P55" s="99">
        <f t="shared" si="10"/>
        <v>5</v>
      </c>
      <c r="T55" s="89">
        <f>SUM(T52:T54)</f>
        <v>37.340000000000003</v>
      </c>
      <c r="V55" s="82">
        <f>SUM(V52:V54)</f>
        <v>37.9</v>
      </c>
      <c r="W55" s="84" t="str">
        <f>CONCATENATE("m'(",Q53,")=")</f>
        <v>m'(3)=</v>
      </c>
      <c r="X55" s="84">
        <f>(2*(X52^2)/24*V55)+(X54*Q52*WLS)</f>
        <v>50.560199999999995</v>
      </c>
      <c r="Y55" s="84" t="str">
        <f>CONCATENATE("M(",Q52,")=")</f>
        <v>M(2)=</v>
      </c>
      <c r="Z55" s="84">
        <f>VLOOKUP(Q52,STN_TABLE,4,FALSE)</f>
        <v>31.786425000000001</v>
      </c>
      <c r="AA55" t="str">
        <f>CONCATENATE("M(",Q53,")=")</f>
        <v>M(3)=</v>
      </c>
      <c r="AB55">
        <f>X55+Z55</f>
        <v>82.346624999999989</v>
      </c>
      <c r="AE55" s="89">
        <f>SUM(AE53:AE54)</f>
        <v>6.2200000000000006</v>
      </c>
      <c r="AG55" s="89">
        <f>SUM(AG53:AG54)</f>
        <v>9.4700000000000006</v>
      </c>
      <c r="AH55" s="84" t="str">
        <f>CONCATENATE("m'(",AD54,")=")</f>
        <v>m'(3)=</v>
      </c>
      <c r="AI55" s="84">
        <f>(2*(AI52^2)/6*AG55)+(AI54*AD53*WLS)</f>
        <v>50.533200000000008</v>
      </c>
      <c r="AJ55" s="84" t="str">
        <f>CONCATENATE("M(",AD53,")=")</f>
        <v>M(2)=</v>
      </c>
      <c r="AK55" s="84">
        <f>VLOOKUP(AD53,STN_TABLE,4,FALSE)</f>
        <v>31.786425000000001</v>
      </c>
      <c r="AL55" t="str">
        <f>CONCATENATE("M(",AD54,")=")</f>
        <v>M(3)=</v>
      </c>
      <c r="AM55">
        <f>AI55+AK55</f>
        <v>82.319625000000002</v>
      </c>
      <c r="AO55" s="82" t="str">
        <f>AA55</f>
        <v>M(3)=</v>
      </c>
      <c r="AP55" s="82" t="e">
        <f>VLOOKUP(AO55,Rise_Results,2,FALSE)</f>
        <v>#N/A</v>
      </c>
      <c r="AQ55" s="82">
        <f>N55</f>
        <v>82.730025000000012</v>
      </c>
      <c r="AR55" s="82">
        <f>IF(OR(AB54&lt;=0,AB55&lt;=0),1/0,AB55)</f>
        <v>82.346624999999989</v>
      </c>
      <c r="AS55" s="82">
        <f>AM55</f>
        <v>82.319625000000002</v>
      </c>
      <c r="AT55">
        <f>IFERROR(AP55,IFERROR(AQ55,IFERROR(AR55,AS55)))</f>
        <v>82.730025000000012</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2.97</v>
      </c>
      <c r="E57" s="102">
        <v>1</v>
      </c>
      <c r="F57" s="68">
        <f>D57*E57</f>
        <v>2.97</v>
      </c>
      <c r="G57" s="69">
        <f>C57</f>
        <v>2</v>
      </c>
      <c r="H57" s="69">
        <f>F57*G57</f>
        <v>5.94</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3.25</v>
      </c>
      <c r="S57" s="69">
        <v>5</v>
      </c>
      <c r="T57" s="68">
        <f>R57*S57</f>
        <v>16.25</v>
      </c>
      <c r="U57" s="79">
        <v>3</v>
      </c>
      <c r="V57" s="68">
        <f>R57*U57</f>
        <v>9.75</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3.25</v>
      </c>
      <c r="E58" s="81">
        <v>4</v>
      </c>
      <c r="F58" s="76">
        <f>D58*E58</f>
        <v>13</v>
      </c>
      <c r="G58" s="77">
        <f>C58</f>
        <v>3</v>
      </c>
      <c r="H58" s="77">
        <f>F58*G58</f>
        <v>39</v>
      </c>
      <c r="I58" s="512" t="s">
        <v>97</v>
      </c>
      <c r="J58" s="513"/>
      <c r="K58" s="78" t="s">
        <v>98</v>
      </c>
      <c r="L58" s="78"/>
      <c r="M58" s="7" t="s">
        <v>99</v>
      </c>
      <c r="N58" s="7"/>
      <c r="O58" s="99">
        <f>O57+1</f>
        <v>7</v>
      </c>
      <c r="P58" s="99">
        <f t="shared" si="10"/>
        <v>4</v>
      </c>
      <c r="Q58" s="76">
        <f>P58</f>
        <v>4</v>
      </c>
      <c r="R58" s="77">
        <f>VLOOKUP(Q58,STN_TABLE,2,FALSE)</f>
        <v>3.51</v>
      </c>
      <c r="S58" s="77">
        <v>8</v>
      </c>
      <c r="T58" s="76">
        <f>R58*S58</f>
        <v>28.08</v>
      </c>
      <c r="U58" s="80">
        <v>10</v>
      </c>
      <c r="V58" s="76">
        <f>R58*U58</f>
        <v>35.099999999999994</v>
      </c>
      <c r="W58" s="78" t="s">
        <v>97</v>
      </c>
      <c r="X58" s="78"/>
      <c r="Y58" s="78" t="s">
        <v>98</v>
      </c>
      <c r="Z58" s="78"/>
      <c r="AA58" s="7" t="s">
        <v>99</v>
      </c>
      <c r="AB58" s="7"/>
      <c r="AC58" s="99">
        <f>AC53+1</f>
        <v>6</v>
      </c>
      <c r="AD58" s="95">
        <f>VLOOKUP(AC58,STN_TABLE_2,2,FALSE)</f>
        <v>3</v>
      </c>
      <c r="AE58" s="68">
        <f>VLOOKUP(AD58,STN_TABLE,2,FALSE)</f>
        <v>3.25</v>
      </c>
      <c r="AF58" s="68">
        <v>1</v>
      </c>
      <c r="AG58" s="69">
        <f>AE58*AF58</f>
        <v>3.25</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3.51</v>
      </c>
      <c r="E59" s="92">
        <v>1</v>
      </c>
      <c r="F59" s="82">
        <f>D59*E59</f>
        <v>3.51</v>
      </c>
      <c r="G59" s="83">
        <f>C59</f>
        <v>4</v>
      </c>
      <c r="H59" s="83">
        <f>F59*G59</f>
        <v>14.04</v>
      </c>
      <c r="I59" s="84" t="str">
        <f>CONCATENATE("a'(",C59,")=")</f>
        <v>a'(4)=</v>
      </c>
      <c r="J59" s="84">
        <f>2*J57/3*F60</f>
        <v>23.376000000000001</v>
      </c>
      <c r="K59" s="84" t="str">
        <f>CONCATENATE("A(",C57,")=")</f>
        <v>A(2)=</v>
      </c>
      <c r="L59" s="84">
        <f>VLOOKUP(C57,STN_TABLE,3,FALSE)</f>
        <v>14.419499999999999</v>
      </c>
      <c r="M59" t="str">
        <f>CONCATENATE("A(",C59,")=")</f>
        <v>A(4)=</v>
      </c>
      <c r="N59">
        <f>J59+L59</f>
        <v>37.795500000000004</v>
      </c>
      <c r="O59" s="99">
        <f>O58+1</f>
        <v>8</v>
      </c>
      <c r="P59" s="99">
        <f t="shared" si="10"/>
        <v>5</v>
      </c>
      <c r="Q59" s="82">
        <f>IF(P59-P58=P58-P57,P59,IF(P60-P58=P58-P57,P60,IF(P59-P58=P58-P56,P59,IF(P60-P58=P58-P56,P60,"-"))))</f>
        <v>5</v>
      </c>
      <c r="R59" s="83">
        <f>VLOOKUP(Q59,STN_TABLE,2,FALSE)</f>
        <v>4.28</v>
      </c>
      <c r="S59" s="83">
        <v>-1</v>
      </c>
      <c r="T59" s="82">
        <f>R59*S59</f>
        <v>-4.28</v>
      </c>
      <c r="U59" s="88">
        <v>-1</v>
      </c>
      <c r="V59" s="82">
        <f>R59*U59</f>
        <v>-4.28</v>
      </c>
      <c r="W59" s="84" t="str">
        <f>CONCATENATE("a'(",Q58,")=")</f>
        <v>a'(4)=</v>
      </c>
      <c r="X59" s="84">
        <f>2*X57/12*T60</f>
        <v>12.014999999999999</v>
      </c>
      <c r="Y59" s="84" t="str">
        <f>CONCATENATE("A(",Q57,")=")</f>
        <v>A(3)=</v>
      </c>
      <c r="Z59" s="84">
        <f>VLOOKUP(Q57,STN_TABLE,3,FALSE)</f>
        <v>25.675499999999996</v>
      </c>
      <c r="AA59" t="str">
        <f>CONCATENATE("A(",Q58,")=")</f>
        <v>A(4)=</v>
      </c>
      <c r="AB59">
        <f>X59+Z59</f>
        <v>37.690499999999993</v>
      </c>
      <c r="AC59" s="99">
        <f>AC58+1</f>
        <v>7</v>
      </c>
      <c r="AD59" s="100">
        <f>VLOOKUP(AC59,STN_TABLE_2,2,FALSE)</f>
        <v>4</v>
      </c>
      <c r="AE59" s="82">
        <f>VLOOKUP(AD59,STN_TABLE,2,FALSE)</f>
        <v>3.51</v>
      </c>
      <c r="AF59" s="82">
        <v>2</v>
      </c>
      <c r="AG59" s="83">
        <f>AE59*AF59</f>
        <v>7.02</v>
      </c>
      <c r="AH59" s="84" t="str">
        <f>CONCATENATE("a'(",AD59,")=")</f>
        <v>a'(4)=</v>
      </c>
      <c r="AI59" s="84">
        <f>2*AI57/2*AE60</f>
        <v>12.167999999999999</v>
      </c>
      <c r="AJ59" s="84" t="str">
        <f>CONCATENATE("A(",AD58,")=")</f>
        <v>A(3)=</v>
      </c>
      <c r="AK59" s="84">
        <f>VLOOKUP(AD58,STN_TABLE,3,FALSE)</f>
        <v>25.675499999999996</v>
      </c>
      <c r="AL59" t="str">
        <f>CONCATENATE("A(",AD59,")=")</f>
        <v>A(4)=</v>
      </c>
      <c r="AM59">
        <f>AI59+AK59</f>
        <v>37.843499999999992</v>
      </c>
      <c r="AO59" s="68" t="str">
        <f>AA59</f>
        <v>A(4)=</v>
      </c>
      <c r="AP59" s="68" t="e">
        <f>VLOOKUP(AO59,Rise_Results,2,FALSE)</f>
        <v>#N/A</v>
      </c>
      <c r="AQ59" s="76">
        <f>N59</f>
        <v>37.795500000000004</v>
      </c>
      <c r="AR59" s="76">
        <f>IF(OR(AB59&lt;=0,AB60&lt;=0),1/0,AB59)</f>
        <v>37.690499999999993</v>
      </c>
      <c r="AS59" s="76">
        <f>AM59</f>
        <v>37.843499999999992</v>
      </c>
      <c r="AT59">
        <f>IFERROR(AP59,IFERROR(AQ59,IFERROR(AR59,AS59)))</f>
        <v>37.795500000000004</v>
      </c>
      <c r="AU59" s="81"/>
    </row>
    <row r="60" spans="1:47" x14ac:dyDescent="0.25">
      <c r="A60" s="84">
        <f>A59+1</f>
        <v>7</v>
      </c>
      <c r="B60" s="84">
        <f t="shared" si="11"/>
        <v>4</v>
      </c>
      <c r="F60" s="82">
        <f>SUM(F57:F59)</f>
        <v>19.48</v>
      </c>
      <c r="H60" s="82">
        <f>SUM(H57:H59)</f>
        <v>58.98</v>
      </c>
      <c r="I60" s="84" t="str">
        <f>CONCATENATE("m'(",C59,")=")</f>
        <v>m'(4)=</v>
      </c>
      <c r="J60" s="84">
        <f>2*(J57*(WLS))/3*H60</f>
        <v>127.3968</v>
      </c>
      <c r="K60" s="84" t="str">
        <f>CONCATENATE("M(",C57,")=")</f>
        <v>M(2)=</v>
      </c>
      <c r="L60" s="84">
        <f>VLOOKUP(C57,STN_TABLE,4,FALSE)</f>
        <v>31.786425000000001</v>
      </c>
      <c r="M60" t="str">
        <f>CONCATENATE("M(",C59,")=")</f>
        <v>M(4)=</v>
      </c>
      <c r="N60">
        <f>J60+L60</f>
        <v>159.18322499999999</v>
      </c>
      <c r="O60" s="99">
        <f>O59+1</f>
        <v>9</v>
      </c>
      <c r="P60" s="99">
        <f t="shared" si="10"/>
        <v>5.6111111111111107</v>
      </c>
      <c r="T60" s="89">
        <f>SUM(T57:T59)</f>
        <v>40.049999999999997</v>
      </c>
      <c r="V60" s="82">
        <f>SUM(V57:V59)</f>
        <v>40.569999999999993</v>
      </c>
      <c r="W60" s="84" t="str">
        <f>CONCATENATE("m'(",Q58,")=")</f>
        <v>m'(4)=</v>
      </c>
      <c r="X60" s="84">
        <f>(2*(X57^2)/24*V60)+(X59*Q57*WLS)</f>
        <v>75.83489999999999</v>
      </c>
      <c r="Y60" s="84" t="str">
        <f>CONCATENATE("M(",Q57,")=")</f>
        <v>M(3)=</v>
      </c>
      <c r="Z60" s="84">
        <f>VLOOKUP(Q57,STN_TABLE,4,FALSE)</f>
        <v>82.730025000000012</v>
      </c>
      <c r="AA60" t="str">
        <f>CONCATENATE("M(",Q58,")=")</f>
        <v>M(4)=</v>
      </c>
      <c r="AB60">
        <f>X60+Z60</f>
        <v>158.56492500000002</v>
      </c>
      <c r="AE60" s="89">
        <f>SUM(AE58:AE59)</f>
        <v>6.76</v>
      </c>
      <c r="AG60" s="89">
        <f>SUM(AG58:AG59)</f>
        <v>10.27</v>
      </c>
      <c r="AH60" s="84" t="str">
        <f>CONCATENATE("m'(",AD59,")=")</f>
        <v>m'(4)=</v>
      </c>
      <c r="AI60" s="84">
        <f>(2*(AI57^2)/6*AG60)+(AI59*AD58*WLS)</f>
        <v>76.7988</v>
      </c>
      <c r="AJ60" s="84" t="str">
        <f>CONCATENATE("M(",AD58,")=")</f>
        <v>M(3)=</v>
      </c>
      <c r="AK60" s="84">
        <f>VLOOKUP(AD57,STN_TABLE,4,FALSE)</f>
        <v>0</v>
      </c>
      <c r="AL60" t="str">
        <f>CONCATENATE("M(",AD59,")=")</f>
        <v>M(4)=</v>
      </c>
      <c r="AM60">
        <f>AI60+AK60</f>
        <v>76.7988</v>
      </c>
      <c r="AO60" s="82" t="str">
        <f>AA60</f>
        <v>M(4)=</v>
      </c>
      <c r="AP60" s="82" t="e">
        <f>VLOOKUP(AO60,Rise_Results,2,FALSE)</f>
        <v>#N/A</v>
      </c>
      <c r="AQ60" s="82">
        <f>N60</f>
        <v>159.18322499999999</v>
      </c>
      <c r="AR60" s="82">
        <f>IF(OR(AB59&lt;=0,AB60&lt;=0),1/0,AB60)</f>
        <v>158.56492500000002</v>
      </c>
      <c r="AS60" s="82">
        <f>AM60</f>
        <v>76.7988</v>
      </c>
      <c r="AT60">
        <f>IFERROR(AP60,IFERROR(AQ60,IFERROR(AR60,AS60)))</f>
        <v>159.18322499999999</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3.25</v>
      </c>
      <c r="E62" s="102">
        <v>1</v>
      </c>
      <c r="F62" s="68">
        <f>D62*E62</f>
        <v>3.25</v>
      </c>
      <c r="G62" s="69">
        <f>C62</f>
        <v>3</v>
      </c>
      <c r="H62" s="69">
        <f>F62*G62</f>
        <v>9.75</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3.51</v>
      </c>
      <c r="S62" s="69">
        <v>5</v>
      </c>
      <c r="T62" s="68">
        <f>R62*S62</f>
        <v>17.549999999999997</v>
      </c>
      <c r="U62" s="79">
        <v>3</v>
      </c>
      <c r="V62" s="68">
        <f>R62*U62</f>
        <v>10.53</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3.51</v>
      </c>
      <c r="E63" s="81">
        <v>4</v>
      </c>
      <c r="F63" s="76">
        <f>D63*E63</f>
        <v>14.04</v>
      </c>
      <c r="G63" s="77">
        <f>C63</f>
        <v>4</v>
      </c>
      <c r="H63" s="77">
        <f>F63*G63</f>
        <v>56.16</v>
      </c>
      <c r="I63" s="512" t="s">
        <v>97</v>
      </c>
      <c r="J63" s="513"/>
      <c r="K63" s="78" t="s">
        <v>98</v>
      </c>
      <c r="L63" s="78"/>
      <c r="M63" s="7" t="s">
        <v>99</v>
      </c>
      <c r="N63" s="7"/>
      <c r="O63" s="99">
        <f>O62+1</f>
        <v>8</v>
      </c>
      <c r="P63" s="99">
        <f t="shared" si="10"/>
        <v>5</v>
      </c>
      <c r="Q63" s="76">
        <f>P63</f>
        <v>5</v>
      </c>
      <c r="R63" s="77">
        <f>VLOOKUP(Q63,STN_TABLE,2,FALSE)</f>
        <v>4.28</v>
      </c>
      <c r="S63" s="77">
        <v>8</v>
      </c>
      <c r="T63" s="76">
        <f>R63*S63</f>
        <v>34.24</v>
      </c>
      <c r="U63" s="80">
        <v>10</v>
      </c>
      <c r="V63" s="76">
        <f>R63*U63</f>
        <v>42.800000000000004</v>
      </c>
      <c r="W63" s="513" t="s">
        <v>97</v>
      </c>
      <c r="X63" s="513"/>
      <c r="Y63" s="513" t="s">
        <v>98</v>
      </c>
      <c r="Z63" s="513"/>
      <c r="AA63" s="511" t="s">
        <v>99</v>
      </c>
      <c r="AB63" s="511"/>
      <c r="AC63" s="99">
        <f>AC58+1</f>
        <v>7</v>
      </c>
      <c r="AD63" s="95">
        <f>VLOOKUP(AC63,STN_TABLE_2,2,FALSE)</f>
        <v>4</v>
      </c>
      <c r="AE63" s="68">
        <f>VLOOKUP(AD63,STN_TABLE,2,FALSE)</f>
        <v>3.51</v>
      </c>
      <c r="AF63" s="68">
        <v>1</v>
      </c>
      <c r="AG63" s="69">
        <f>AE63*AF63</f>
        <v>3.51</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4.28</v>
      </c>
      <c r="E64" s="92">
        <v>1</v>
      </c>
      <c r="F64" s="82">
        <f>D64*E64</f>
        <v>4.28</v>
      </c>
      <c r="G64" s="83">
        <f>C64</f>
        <v>5</v>
      </c>
      <c r="H64" s="83">
        <f>F64*G64</f>
        <v>21.400000000000002</v>
      </c>
      <c r="I64" s="84" t="str">
        <f>CONCATENATE("a'(",C64,")=")</f>
        <v>a'(5)=</v>
      </c>
      <c r="J64" s="84">
        <f>2*J62/3*F65</f>
        <v>25.884</v>
      </c>
      <c r="K64" s="84" t="str">
        <f>CONCATENATE("A(",C62,")=")</f>
        <v>A(3)=</v>
      </c>
      <c r="L64" s="84">
        <f>VLOOKUP(C62,STN_TABLE,3,FALSE)</f>
        <v>25.675499999999996</v>
      </c>
      <c r="M64" t="str">
        <f>CONCATENATE("A(",C64,")=")</f>
        <v>A(5)=</v>
      </c>
      <c r="N64">
        <f>J64+L64</f>
        <v>51.5595</v>
      </c>
      <c r="O64" s="99">
        <f>O63+1</f>
        <v>9</v>
      </c>
      <c r="P64" s="99">
        <f t="shared" si="10"/>
        <v>5.6111111111111107</v>
      </c>
      <c r="Q64" s="82">
        <f>IF(P64-P63=P63-P62,P64,IF(P65-P63=P63-P62,P65,IF(P64-P63=P63-P61,P64,IF(P65-P63=P63-P61,P65,"-"))))</f>
        <v>6</v>
      </c>
      <c r="R64" s="83">
        <f>VLOOKUP(Q64,STN_TABLE,2,FALSE)</f>
        <v>5.47</v>
      </c>
      <c r="S64" s="83">
        <v>-1</v>
      </c>
      <c r="T64" s="82">
        <f>R64*S64</f>
        <v>-5.47</v>
      </c>
      <c r="U64" s="88">
        <v>-1</v>
      </c>
      <c r="V64" s="82">
        <f>R64*U64</f>
        <v>-5.47</v>
      </c>
      <c r="W64" s="84" t="str">
        <f>CONCATENATE("a'(",Q63,")=")</f>
        <v>a'(5)=</v>
      </c>
      <c r="X64" s="84">
        <f>2*X62/12*T65</f>
        <v>13.895999999999999</v>
      </c>
      <c r="Y64" s="84" t="str">
        <f>CONCATENATE("A(",Q62,")=")</f>
        <v>A(4)=</v>
      </c>
      <c r="Z64" s="84">
        <f>VLOOKUP(Q62,STN_TABLE,3,FALSE)</f>
        <v>37.795500000000004</v>
      </c>
      <c r="AA64" t="str">
        <f>CONCATENATE("A(",Q63,")=")</f>
        <v>A(5)=</v>
      </c>
      <c r="AB64">
        <f>X64+Z64</f>
        <v>51.691500000000005</v>
      </c>
      <c r="AC64" s="99">
        <f>AC63+1</f>
        <v>8</v>
      </c>
      <c r="AD64" s="100">
        <f>VLOOKUP(AC64,STN_TABLE_2,2,FALSE)</f>
        <v>5</v>
      </c>
      <c r="AE64" s="82">
        <f>VLOOKUP(AD64,STN_TABLE,2,FALSE)</f>
        <v>4.28</v>
      </c>
      <c r="AF64" s="82">
        <v>2</v>
      </c>
      <c r="AG64" s="83">
        <f>AE64*AF64</f>
        <v>8.56</v>
      </c>
      <c r="AH64" s="84" t="str">
        <f>CONCATENATE("a'(",AD64,")=")</f>
        <v>a'(5)=</v>
      </c>
      <c r="AI64" s="84">
        <f>2*AI62/2*AE65</f>
        <v>14.022</v>
      </c>
      <c r="AJ64" s="84" t="str">
        <f>CONCATENATE("A(",AD63,")=")</f>
        <v>A(4)=</v>
      </c>
      <c r="AK64" s="84">
        <f>VLOOKUP(AD63,STN_TABLE,3,FALSE)</f>
        <v>37.795500000000004</v>
      </c>
      <c r="AL64" t="str">
        <f>CONCATENATE("A(",AD64,")=")</f>
        <v>A(5)=</v>
      </c>
      <c r="AM64">
        <f>AI64+AK64</f>
        <v>51.817500000000003</v>
      </c>
      <c r="AO64" s="68" t="str">
        <f>AA64</f>
        <v>A(5)=</v>
      </c>
      <c r="AP64" s="68" t="e">
        <f>VLOOKUP(AO64,Rise_Results,2,FALSE)</f>
        <v>#N/A</v>
      </c>
      <c r="AQ64" s="76">
        <f>N64</f>
        <v>51.5595</v>
      </c>
      <c r="AR64" s="76">
        <f>IF(OR(AB64&lt;=0,AB65&lt;=0),1/0,AB64)</f>
        <v>51.691500000000005</v>
      </c>
      <c r="AS64" s="76">
        <f>AM64</f>
        <v>51.817500000000003</v>
      </c>
      <c r="AT64">
        <f>IFERROR(AP64,IFERROR(AQ64,IFERROR(AR64,AS64)))</f>
        <v>51.5595</v>
      </c>
      <c r="AU64" s="81"/>
    </row>
    <row r="65" spans="1:47" x14ac:dyDescent="0.25">
      <c r="A65" s="84">
        <f>A64+1</f>
        <v>8</v>
      </c>
      <c r="B65" s="84">
        <f t="shared" si="11"/>
        <v>5</v>
      </c>
      <c r="F65" s="82">
        <f>SUM(F62:F64)</f>
        <v>21.57</v>
      </c>
      <c r="H65" s="82">
        <f>SUM(H62:H64)</f>
        <v>87.31</v>
      </c>
      <c r="I65" s="84" t="str">
        <f>CONCATENATE("m'(",C64,")=")</f>
        <v>m'(5)=</v>
      </c>
      <c r="J65" s="84">
        <f>2*(J62*(WLS))/3*H65</f>
        <v>188.58960000000002</v>
      </c>
      <c r="K65" s="84" t="str">
        <f>CONCATENATE("M(",C62,")=")</f>
        <v>M(3)=</v>
      </c>
      <c r="L65" s="84">
        <f>VLOOKUP(C62,STN_TABLE,4,FALSE)</f>
        <v>82.730025000000012</v>
      </c>
      <c r="M65" t="str">
        <f>CONCATENATE("M(",C64,")=")</f>
        <v>M(5)=</v>
      </c>
      <c r="N65">
        <f>J65+L65</f>
        <v>271.31962500000003</v>
      </c>
      <c r="O65" s="99">
        <f>O64+1</f>
        <v>10</v>
      </c>
      <c r="P65" s="99">
        <f t="shared" si="10"/>
        <v>6</v>
      </c>
      <c r="T65" s="89">
        <f>SUM(T62:T64)</f>
        <v>46.32</v>
      </c>
      <c r="V65" s="82">
        <f>SUM(V62:V64)</f>
        <v>47.860000000000007</v>
      </c>
      <c r="W65" s="84" t="str">
        <f>CONCATENATE("m'(",Q63,")=")</f>
        <v>m'(5)=</v>
      </c>
      <c r="X65" s="84">
        <f>(2*(X62^2)/24*V65)+(X64*Q62*WLS)</f>
        <v>112.9734</v>
      </c>
      <c r="Y65" s="84" t="str">
        <f>CONCATENATE("M(",Q62,")=")</f>
        <v>M(4)=</v>
      </c>
      <c r="Z65" s="84">
        <f>VLOOKUP(Q62,STN_TABLE,4,FALSE)</f>
        <v>159.18322499999999</v>
      </c>
      <c r="AA65" t="str">
        <f>CONCATENATE("M(",Q63,")=")</f>
        <v>M(5)=</v>
      </c>
      <c r="AB65">
        <f>X65+Z65</f>
        <v>272.15662499999996</v>
      </c>
      <c r="AE65" s="89">
        <f>SUM(AE63:AE64)</f>
        <v>7.79</v>
      </c>
      <c r="AG65" s="89">
        <f>SUM(AG63:AG64)</f>
        <v>12.07</v>
      </c>
      <c r="AH65" s="84" t="str">
        <f>CONCATENATE("m'(",AD64,")=")</f>
        <v>m'(5)=</v>
      </c>
      <c r="AI65" s="84">
        <f>(2*(AI62^2)/6*AG65)+(AI64*AD63*WLS)</f>
        <v>113.994</v>
      </c>
      <c r="AJ65" s="84" t="str">
        <f>CONCATENATE("M(",AD63,")=")</f>
        <v>M(4)=</v>
      </c>
      <c r="AK65" s="84">
        <f>VLOOKUP(AD63,STN_TABLE,4,FALSE)</f>
        <v>159.18322499999999</v>
      </c>
      <c r="AL65" t="str">
        <f>CONCATENATE("M(",AD64,")=")</f>
        <v>M(5)=</v>
      </c>
      <c r="AM65">
        <f>AI65+AK65</f>
        <v>273.17722500000002</v>
      </c>
      <c r="AO65" s="82" t="str">
        <f>AA65</f>
        <v>M(5)=</v>
      </c>
      <c r="AP65" s="82" t="e">
        <f>VLOOKUP(AO65,Rise_Results,2,FALSE)</f>
        <v>#N/A</v>
      </c>
      <c r="AQ65" s="82">
        <f>N65</f>
        <v>271.31962500000003</v>
      </c>
      <c r="AR65" s="82">
        <f>IF(OR(AB64&lt;=0,AB65&lt;=0),1/0,AB65)</f>
        <v>272.15662499999996</v>
      </c>
      <c r="AS65" s="82">
        <f>AM65</f>
        <v>273.17722500000002</v>
      </c>
      <c r="AT65">
        <f>IFERROR(AP65,IFERROR(AQ65,IFERROR(AR65,AS65)))</f>
        <v>271.31962500000003</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4.97</v>
      </c>
      <c r="S68" s="77">
        <v>8</v>
      </c>
      <c r="T68" s="76">
        <f>R68*S68</f>
        <v>39.76</v>
      </c>
      <c r="U68" s="80">
        <v>10</v>
      </c>
      <c r="V68" s="76">
        <f>R68*U68</f>
        <v>49.699999999999996</v>
      </c>
      <c r="W68" s="513" t="s">
        <v>97</v>
      </c>
      <c r="X68" s="513"/>
      <c r="Y68" s="513" t="s">
        <v>98</v>
      </c>
      <c r="Z68" s="513"/>
      <c r="AA68" s="511" t="s">
        <v>99</v>
      </c>
      <c r="AB68" s="511"/>
      <c r="AC68" s="99">
        <f>AC63+1</f>
        <v>8</v>
      </c>
      <c r="AD68" s="95">
        <f>VLOOKUP(AC68,STN_TABLE_2,2,FALSE)</f>
        <v>5</v>
      </c>
      <c r="AE68" s="68">
        <f>VLOOKUP(AD68,STN_TABLE,2,FALSE)</f>
        <v>4.28</v>
      </c>
      <c r="AF68" s="68">
        <v>1</v>
      </c>
      <c r="AG68" s="69">
        <f>AE68*AF68</f>
        <v>4.28</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4.97</v>
      </c>
      <c r="E69" s="92">
        <v>1</v>
      </c>
      <c r="F69" s="82">
        <f>D69*E69</f>
        <v>4.97</v>
      </c>
      <c r="G69" s="83">
        <f>C69</f>
        <v>5.6111111111111107</v>
      </c>
      <c r="H69" s="83">
        <f>F69*G69</f>
        <v>27.887222222222221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4.97</v>
      </c>
      <c r="AF69" s="82">
        <v>2</v>
      </c>
      <c r="AG69" s="83">
        <f>AE69*AF69</f>
        <v>9.94</v>
      </c>
      <c r="AH69" s="84" t="str">
        <f>CONCATENATE("a'(",AD69,")=")</f>
        <v>a'(5.61111111111111)=</v>
      </c>
      <c r="AI69" s="84">
        <f>2*AI67/2*AE70</f>
        <v>10.174999999999995</v>
      </c>
      <c r="AJ69" s="84" t="str">
        <f>CONCATENATE("A(",AD68,")=")</f>
        <v>A(5)=</v>
      </c>
      <c r="AK69" s="84">
        <f>VLOOKUP(AD68,STN_TABLE,3,FALSE)</f>
        <v>51.5595</v>
      </c>
      <c r="AL69" t="str">
        <f>CONCATENATE("A(",AD69,")=")</f>
        <v>A(5.61111111111111)=</v>
      </c>
      <c r="AM69">
        <f>AI69+AK69</f>
        <v>61.734499999999997</v>
      </c>
      <c r="AO69" s="68" t="str">
        <f>AA69</f>
        <v>A(5.61111111111111)=</v>
      </c>
      <c r="AP69" s="68" t="e">
        <f>VLOOKUP(AO69,Rise_Results,2,FALSE)</f>
        <v>#N/A</v>
      </c>
      <c r="AQ69" s="76" t="e">
        <f>N69</f>
        <v>#N/A</v>
      </c>
      <c r="AR69" s="76" t="e">
        <f>IF(OR(AB69&lt;=0,AB70&lt;=0),1/0,AB69)</f>
        <v>#VALUE!</v>
      </c>
      <c r="AS69" s="76">
        <f>AM69</f>
        <v>61.734499999999997</v>
      </c>
      <c r="AT69">
        <f>IFERROR(AP69,IFERROR(AQ69,IFERROR(AR69,AS69)))</f>
        <v>61.734499999999997</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9.25</v>
      </c>
      <c r="AG70" s="89">
        <f>SUM(AG68:AG69)</f>
        <v>14.219999999999999</v>
      </c>
      <c r="AH70" s="84" t="str">
        <f>CONCATENATE("m'(",AD69,")=")</f>
        <v>m'(5.61111111111111)=</v>
      </c>
      <c r="AI70" s="84">
        <f>(2*(AI67^2)/6*AG70)+(AI69*AD68*WLS)</f>
        <v>97.310399999999959</v>
      </c>
      <c r="AJ70" s="84" t="str">
        <f>CONCATENATE("M(",AD68,")=")</f>
        <v>M(5)=</v>
      </c>
      <c r="AK70" s="84">
        <f>VLOOKUP(AD68,STN_TABLE,4,FALSE)</f>
        <v>271.31962500000003</v>
      </c>
      <c r="AL70" t="str">
        <f>CONCATENATE("M(",AD69,")=")</f>
        <v>M(5.61111111111111)=</v>
      </c>
      <c r="AM70">
        <f>AI70+AK70</f>
        <v>368.63002499999999</v>
      </c>
      <c r="AO70" s="82" t="str">
        <f>AA70</f>
        <v>M(5.61111111111111)=</v>
      </c>
      <c r="AP70" s="82" t="e">
        <f>VLOOKUP(AO70,Rise_Results,2,FALSE)</f>
        <v>#N/A</v>
      </c>
      <c r="AQ70" s="82" t="e">
        <f>N70</f>
        <v>#N/A</v>
      </c>
      <c r="AR70" s="82" t="e">
        <f>IF(OR(AB69&lt;=0,AB70&lt;=0),1/0,AB70)</f>
        <v>#VALUE!</v>
      </c>
      <c r="AS70" s="82">
        <f>AM70</f>
        <v>368.63002499999999</v>
      </c>
      <c r="AT70">
        <f>IFERROR(AP70,IFERROR(AQ70,IFERROR(AR70,AS70)))</f>
        <v>368.63002499999999</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3.51</v>
      </c>
      <c r="E72" s="102">
        <v>1</v>
      </c>
      <c r="F72" s="68">
        <f>D72*E72</f>
        <v>3.51</v>
      </c>
      <c r="G72" s="69">
        <f>C72</f>
        <v>4</v>
      </c>
      <c r="H72" s="69">
        <f>F72*G72</f>
        <v>14.04</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4.28</v>
      </c>
      <c r="S72" s="69">
        <v>5</v>
      </c>
      <c r="T72" s="68">
        <f>R72*S72</f>
        <v>21.400000000000002</v>
      </c>
      <c r="U72" s="79">
        <v>3</v>
      </c>
      <c r="V72" s="68">
        <f>R72*U72</f>
        <v>12.84</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4.28</v>
      </c>
      <c r="E73" s="81">
        <v>4</v>
      </c>
      <c r="F73" s="76">
        <f>D73*E73</f>
        <v>17.12</v>
      </c>
      <c r="G73" s="77">
        <f>C73</f>
        <v>5</v>
      </c>
      <c r="H73" s="77">
        <f>F73*G73</f>
        <v>85.600000000000009</v>
      </c>
      <c r="I73" s="512" t="s">
        <v>97</v>
      </c>
      <c r="J73" s="513"/>
      <c r="K73" s="78" t="s">
        <v>98</v>
      </c>
      <c r="L73" s="78"/>
      <c r="M73" s="7" t="s">
        <v>99</v>
      </c>
      <c r="N73" s="7"/>
      <c r="O73" s="99">
        <f>O72+1</f>
        <v>10</v>
      </c>
      <c r="P73" s="99">
        <f t="shared" si="23"/>
        <v>6</v>
      </c>
      <c r="Q73" s="76">
        <f>P73</f>
        <v>6</v>
      </c>
      <c r="R73" s="77">
        <f>VLOOKUP(Q73,STN_TABLE,2,FALSE)</f>
        <v>5.47</v>
      </c>
      <c r="S73" s="77">
        <v>8</v>
      </c>
      <c r="T73" s="76">
        <f>R73*S73</f>
        <v>43.76</v>
      </c>
      <c r="U73" s="80">
        <v>10</v>
      </c>
      <c r="V73" s="76">
        <f>R73*U73</f>
        <v>54.699999999999996</v>
      </c>
      <c r="W73" s="513" t="s">
        <v>97</v>
      </c>
      <c r="X73" s="513"/>
      <c r="Y73" s="513" t="s">
        <v>98</v>
      </c>
      <c r="Z73" s="513"/>
      <c r="AA73" s="511" t="s">
        <v>99</v>
      </c>
      <c r="AB73" s="511"/>
      <c r="AC73" s="99">
        <f>AC68+1</f>
        <v>9</v>
      </c>
      <c r="AD73" s="95">
        <f>VLOOKUP(AC73,STN_TABLE_2,2,FALSE)</f>
        <v>5.6111111111111107</v>
      </c>
      <c r="AE73" s="68">
        <f>VLOOKUP(AD73,STN_TABLE,2,FALSE)</f>
        <v>4.97</v>
      </c>
      <c r="AF73" s="68">
        <v>1</v>
      </c>
      <c r="AG73" s="69">
        <f>AE73*AF73</f>
        <v>4.97</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5.47</v>
      </c>
      <c r="E74" s="92">
        <v>1</v>
      </c>
      <c r="F74" s="82">
        <f>D74*E74</f>
        <v>5.47</v>
      </c>
      <c r="G74" s="83">
        <f>C74</f>
        <v>6</v>
      </c>
      <c r="H74" s="83">
        <f>F74*G74</f>
        <v>32.82</v>
      </c>
      <c r="I74" s="84" t="str">
        <f>CONCATENATE("a'(",C74,")=")</f>
        <v>a'(6)=</v>
      </c>
      <c r="J74" s="84">
        <f>2*J72/3*F75</f>
        <v>31.32</v>
      </c>
      <c r="K74" s="84" t="str">
        <f>CONCATENATE("A(",C72,")=")</f>
        <v>A(4)=</v>
      </c>
      <c r="L74" s="84">
        <f>VLOOKUP(C72,STN_TABLE,3,FALSE)</f>
        <v>37.795500000000004</v>
      </c>
      <c r="M74" t="str">
        <f>CONCATENATE("A(",C74,")=")</f>
        <v>A(6)=</v>
      </c>
      <c r="N74">
        <f>J74+L74</f>
        <v>69.115499999999997</v>
      </c>
      <c r="O74" s="99">
        <f>O73+1</f>
        <v>11</v>
      </c>
      <c r="P74" s="99">
        <f t="shared" si="23"/>
        <v>7</v>
      </c>
      <c r="Q74" s="82">
        <f>IF(P74-P73=P73-P72,P74,IF(P75-P73=P73-P72,P75,IF(P74-P73=P73-P71,P74,IF(P75-P73=P73-P71,P75,"-"))))</f>
        <v>7</v>
      </c>
      <c r="R74" s="83">
        <f>VLOOKUP(Q74,STN_TABLE,2,FALSE)</f>
        <v>6.84</v>
      </c>
      <c r="S74" s="83">
        <v>-1</v>
      </c>
      <c r="T74" s="82">
        <f>R74*S74</f>
        <v>-6.84</v>
      </c>
      <c r="U74" s="88">
        <v>-1</v>
      </c>
      <c r="V74" s="82">
        <f>R74*U74</f>
        <v>-6.84</v>
      </c>
      <c r="W74" s="84" t="str">
        <f>CONCATENATE("a'(",Q73,")=")</f>
        <v>a'(6)=</v>
      </c>
      <c r="X74" s="84">
        <f>2*X72/12*T75</f>
        <v>17.495999999999999</v>
      </c>
      <c r="Y74" s="84" t="str">
        <f>CONCATENATE("A(",Q72,")=")</f>
        <v>A(5)=</v>
      </c>
      <c r="Z74" s="84">
        <f>VLOOKUP(Q72,STN_TABLE,3,FALSE)</f>
        <v>51.5595</v>
      </c>
      <c r="AA74" t="str">
        <f>CONCATENATE("A(",Q73,")=")</f>
        <v>A(6)=</v>
      </c>
      <c r="AB74">
        <f>X74+Z74</f>
        <v>69.055499999999995</v>
      </c>
      <c r="AC74" s="99">
        <f>AC73+1</f>
        <v>10</v>
      </c>
      <c r="AD74" s="100">
        <f>VLOOKUP(AC74,STN_TABLE_2,2,FALSE)</f>
        <v>6</v>
      </c>
      <c r="AE74" s="82">
        <f>VLOOKUP(AD74,STN_TABLE,2,FALSE)</f>
        <v>5.47</v>
      </c>
      <c r="AF74" s="82">
        <v>2</v>
      </c>
      <c r="AG74" s="83">
        <f>AE74*AF74</f>
        <v>10.94</v>
      </c>
      <c r="AH74" s="84" t="str">
        <f>CONCATENATE("a'(",AD74,")=")</f>
        <v>a'(6)=</v>
      </c>
      <c r="AI74" s="84">
        <f>2*AI72/2*AE75</f>
        <v>7.3080000000000069</v>
      </c>
      <c r="AJ74" s="84" t="str">
        <f>CONCATENATE("A(",AD73,")=")</f>
        <v>A(5.61111111111111)=</v>
      </c>
      <c r="AK74" s="84">
        <f>VLOOKUP(AD73,STN_TABLE,3,FALSE)</f>
        <v>61.734499999999997</v>
      </c>
      <c r="AL74" t="str">
        <f>CONCATENATE("A(",AD74,")=")</f>
        <v>A(6)=</v>
      </c>
      <c r="AM74">
        <f>AI74+AK74</f>
        <v>69.042500000000004</v>
      </c>
      <c r="AO74" s="68" t="str">
        <f>AA74</f>
        <v>A(6)=</v>
      </c>
      <c r="AP74" s="68" t="e">
        <f>VLOOKUP(AO74,Rise_Results,2,FALSE)</f>
        <v>#N/A</v>
      </c>
      <c r="AQ74" s="76">
        <f>N74</f>
        <v>69.115499999999997</v>
      </c>
      <c r="AR74" s="76">
        <f>IF(OR(AB74&lt;=0,AB75&lt;=0),1/0,AB74)</f>
        <v>69.055499999999995</v>
      </c>
      <c r="AS74" s="76">
        <f>AM74</f>
        <v>69.042500000000004</v>
      </c>
      <c r="AT74">
        <f>IFERROR(AP74,IFERROR(AQ74,IFERROR(AR74,AS74)))</f>
        <v>69.115499999999997</v>
      </c>
      <c r="AU74" s="81"/>
    </row>
    <row r="75" spans="1:47" x14ac:dyDescent="0.25">
      <c r="A75" s="84">
        <f>A74+1</f>
        <v>10</v>
      </c>
      <c r="B75" s="84">
        <f t="shared" si="27"/>
        <v>6</v>
      </c>
      <c r="F75" s="82">
        <f>SUM(F72:F74)</f>
        <v>26.1</v>
      </c>
      <c r="H75" s="82">
        <f>SUM(H72:H74)</f>
        <v>132.46</v>
      </c>
      <c r="I75" s="84" t="str">
        <f>CONCATENATE("m'(",C74,")=")</f>
        <v>m'(6)=</v>
      </c>
      <c r="J75" s="84">
        <f>2*(J72*(WLS))/3*H75</f>
        <v>286.11360000000002</v>
      </c>
      <c r="K75" s="84" t="str">
        <f>CONCATENATE("M(",C72,")=")</f>
        <v>M(4)=</v>
      </c>
      <c r="L75" s="84">
        <f>VLOOKUP(C72,STN_TABLE,4,FALSE)</f>
        <v>159.18322499999999</v>
      </c>
      <c r="M75" t="str">
        <f>CONCATENATE("M(",C74,")=")</f>
        <v>M(6)=</v>
      </c>
      <c r="N75">
        <f>J75+L75</f>
        <v>445.29682500000001</v>
      </c>
      <c r="O75" s="99">
        <f>O74+1</f>
        <v>12</v>
      </c>
      <c r="P75" s="99">
        <f t="shared" si="23"/>
        <v>7.8833333333333329</v>
      </c>
      <c r="T75" s="89">
        <f>SUM(T72:T74)</f>
        <v>58.319999999999993</v>
      </c>
      <c r="V75" s="82">
        <f>SUM(V72:V74)</f>
        <v>60.699999999999989</v>
      </c>
      <c r="W75" s="84" t="str">
        <f>CONCATENATE("m'(",Q73,")=")</f>
        <v>m'(6)=</v>
      </c>
      <c r="X75" s="84">
        <f>(2*(X72^2)/24*V75)+(X74*Q72*WLS)</f>
        <v>173.85300000000001</v>
      </c>
      <c r="Y75" s="84" t="str">
        <f>CONCATENATE("M(",Q72,")=")</f>
        <v>M(5)=</v>
      </c>
      <c r="Z75" s="84">
        <f>VLOOKUP(Q72,STN_TABLE,4,FALSE)</f>
        <v>271.31962500000003</v>
      </c>
      <c r="AA75" t="str">
        <f>CONCATENATE("M(",Q73,")=")</f>
        <v>M(6)=</v>
      </c>
      <c r="AB75">
        <f>X75+Z75</f>
        <v>445.17262500000004</v>
      </c>
      <c r="AE75" s="89">
        <f>SUM(AE73:AE74)</f>
        <v>10.44</v>
      </c>
      <c r="AG75" s="89">
        <f>SUM(AG73:AG74)</f>
        <v>15.91</v>
      </c>
      <c r="AH75" s="84" t="str">
        <f>CONCATENATE("m'(",AD74,")=")</f>
        <v>m'(6)=</v>
      </c>
      <c r="AI75" s="84">
        <f>(2*(AI72^2)/6*AG75)+(AI74*AD73*WLS)</f>
        <v>76.409433333333411</v>
      </c>
      <c r="AJ75" s="84" t="str">
        <f>CONCATENATE("M(",AD73,")=")</f>
        <v>M(5.61111111111111)=</v>
      </c>
      <c r="AK75" s="84">
        <f>VLOOKUP(AD73,STN_TABLE,4,FALSE)</f>
        <v>368.63002499999999</v>
      </c>
      <c r="AL75" t="str">
        <f>CONCATENATE("M(",AD74,")=")</f>
        <v>M(6)=</v>
      </c>
      <c r="AM75">
        <f>AI75+AK75</f>
        <v>445.03945833333341</v>
      </c>
      <c r="AO75" s="82" t="str">
        <f>AA75</f>
        <v>M(6)=</v>
      </c>
      <c r="AP75" s="82" t="e">
        <f>VLOOKUP(AO75,Rise_Results,2,FALSE)</f>
        <v>#N/A</v>
      </c>
      <c r="AQ75" s="82">
        <f>N75</f>
        <v>445.29682500000001</v>
      </c>
      <c r="AR75" s="82">
        <f>IF(OR(AB74&lt;=0,AB75&lt;=0),1/0,AB75)</f>
        <v>445.17262500000004</v>
      </c>
      <c r="AS75" s="82">
        <f>AM75</f>
        <v>445.03945833333341</v>
      </c>
      <c r="AT75">
        <f>IFERROR(AP75,IFERROR(AQ75,IFERROR(AR75,AS75)))</f>
        <v>445.29682500000001</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4.28</v>
      </c>
      <c r="E77" s="102">
        <v>1</v>
      </c>
      <c r="F77" s="68">
        <f>D77*E77</f>
        <v>4.28</v>
      </c>
      <c r="G77" s="69">
        <f>C77</f>
        <v>5</v>
      </c>
      <c r="H77" s="69">
        <f>F77*G77</f>
        <v>21.400000000000002</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5.47</v>
      </c>
      <c r="E78" s="81">
        <v>4</v>
      </c>
      <c r="F78" s="76">
        <f>D78*E78</f>
        <v>21.88</v>
      </c>
      <c r="G78" s="77">
        <f>C78</f>
        <v>6</v>
      </c>
      <c r="H78" s="77">
        <f>F78*G78</f>
        <v>131.28</v>
      </c>
      <c r="I78" s="512" t="s">
        <v>97</v>
      </c>
      <c r="J78" s="513"/>
      <c r="K78" s="78" t="s">
        <v>98</v>
      </c>
      <c r="L78" s="78"/>
      <c r="M78" s="7" t="s">
        <v>99</v>
      </c>
      <c r="N78" s="7"/>
      <c r="O78" s="99">
        <f>O77+1</f>
        <v>11</v>
      </c>
      <c r="P78" s="99">
        <f t="shared" si="23"/>
        <v>7</v>
      </c>
      <c r="Q78" s="76">
        <f>P78</f>
        <v>7</v>
      </c>
      <c r="R78" s="77">
        <f>VLOOKUP(Q78,STN_TABLE,2,FALSE)</f>
        <v>6.84</v>
      </c>
      <c r="S78" s="77">
        <v>8</v>
      </c>
      <c r="T78" s="76">
        <f>R78*S78</f>
        <v>54.72</v>
      </c>
      <c r="U78" s="80">
        <v>10</v>
      </c>
      <c r="V78" s="76">
        <f>R78*U78</f>
        <v>68.400000000000006</v>
      </c>
      <c r="W78" s="513" t="s">
        <v>97</v>
      </c>
      <c r="X78" s="513"/>
      <c r="Y78" s="513" t="s">
        <v>98</v>
      </c>
      <c r="Z78" s="513"/>
      <c r="AA78" s="511" t="s">
        <v>99</v>
      </c>
      <c r="AB78" s="511"/>
      <c r="AC78" s="99">
        <f>AC73+1</f>
        <v>10</v>
      </c>
      <c r="AD78" s="95">
        <f>VLOOKUP(AC78,STN_TABLE_2,2,FALSE)</f>
        <v>6</v>
      </c>
      <c r="AE78" s="68">
        <f>VLOOKUP(AD78,STN_TABLE,2,FALSE)</f>
        <v>5.47</v>
      </c>
      <c r="AF78" s="68">
        <v>1</v>
      </c>
      <c r="AG78" s="69">
        <f>AE78*AF78</f>
        <v>5.47</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6.84</v>
      </c>
      <c r="E79" s="92">
        <v>1</v>
      </c>
      <c r="F79" s="82">
        <f>D79*E79</f>
        <v>6.84</v>
      </c>
      <c r="G79" s="83">
        <f>C79</f>
        <v>7</v>
      </c>
      <c r="H79" s="83">
        <f>F79*G79</f>
        <v>47.879999999999995</v>
      </c>
      <c r="I79" s="84" t="str">
        <f>CONCATENATE("a'(",C79,")=")</f>
        <v>a'(7)=</v>
      </c>
      <c r="J79" s="84">
        <f>2*J77/3*F80</f>
        <v>39.6</v>
      </c>
      <c r="K79" s="84" t="str">
        <f>CONCATENATE("A(",C77,")=")</f>
        <v>A(5)=</v>
      </c>
      <c r="L79" s="84">
        <f>VLOOKUP(C77,STN_TABLE,3,FALSE)</f>
        <v>51.5595</v>
      </c>
      <c r="M79" t="str">
        <f>CONCATENATE("A(",C79,")=")</f>
        <v>A(7)=</v>
      </c>
      <c r="N79">
        <f>J79+L79</f>
        <v>91.159500000000008</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6.84</v>
      </c>
      <c r="AF79" s="82">
        <v>2</v>
      </c>
      <c r="AG79" s="83">
        <f>AE79*AF79</f>
        <v>13.68</v>
      </c>
      <c r="AH79" s="84" t="str">
        <f>CONCATENATE("a'(",AD79,")=")</f>
        <v>a'(7)=</v>
      </c>
      <c r="AI79" s="84">
        <f>2*AI77/2*AE80</f>
        <v>22.157999999999998</v>
      </c>
      <c r="AJ79" s="84" t="str">
        <f>CONCATENATE("A(",AD78,")=")</f>
        <v>A(6)=</v>
      </c>
      <c r="AK79" s="84">
        <f>VLOOKUP(AD78,STN_TABLE,3,FALSE)</f>
        <v>69.115499999999997</v>
      </c>
      <c r="AL79" t="str">
        <f>CONCATENATE("A(",AD79,")=")</f>
        <v>A(7)=</v>
      </c>
      <c r="AM79">
        <f>AI79+AK79</f>
        <v>91.273499999999999</v>
      </c>
      <c r="AO79" s="68" t="str">
        <f>AA79</f>
        <v>A(7)=</v>
      </c>
      <c r="AP79" s="68" t="e">
        <f>VLOOKUP(AO79,Rise_Results,2,FALSE)</f>
        <v>#N/A</v>
      </c>
      <c r="AQ79" s="76">
        <f>N79</f>
        <v>91.159500000000008</v>
      </c>
      <c r="AR79" s="76" t="e">
        <f>IF(OR(AB79&lt;=0,AB80&lt;=0),1/0,AB79)</f>
        <v>#VALUE!</v>
      </c>
      <c r="AS79" s="76">
        <f>AM79</f>
        <v>91.273499999999999</v>
      </c>
      <c r="AT79">
        <f>IFERROR(AP79,IFERROR(AQ79,IFERROR(AR79,AS79)))</f>
        <v>91.159500000000008</v>
      </c>
      <c r="AU79" s="81"/>
    </row>
    <row r="80" spans="1:47" x14ac:dyDescent="0.25">
      <c r="A80" s="84">
        <f>A79+1</f>
        <v>11</v>
      </c>
      <c r="B80" s="84">
        <f t="shared" si="27"/>
        <v>7</v>
      </c>
      <c r="F80" s="82">
        <f>SUM(F77:F79)</f>
        <v>33</v>
      </c>
      <c r="H80" s="82">
        <f>SUM(H77:H79)</f>
        <v>200.56</v>
      </c>
      <c r="I80" s="84" t="str">
        <f>CONCATENATE("m'(",C79,")=")</f>
        <v>m'(7)=</v>
      </c>
      <c r="J80" s="84">
        <f>2*(J77*(WLS))/3*H80</f>
        <v>433.20960000000002</v>
      </c>
      <c r="K80" s="84" t="str">
        <f>CONCATENATE("M(",C77,")=")</f>
        <v>M(5)=</v>
      </c>
      <c r="L80" s="84">
        <f>VLOOKUP(C77,STN_TABLE,4,FALSE)</f>
        <v>271.31962500000003</v>
      </c>
      <c r="M80" t="str">
        <f>CONCATENATE("M(",C79,")=")</f>
        <v>M(7)=</v>
      </c>
      <c r="N80">
        <f>J80+L80</f>
        <v>704.529225</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12.309999999999999</v>
      </c>
      <c r="AG80" s="89">
        <f>SUM(AG78:AG79)</f>
        <v>19.149999999999999</v>
      </c>
      <c r="AH80" s="84" t="str">
        <f>CONCATENATE("m'(",AD79,")=")</f>
        <v>m'(7)=</v>
      </c>
      <c r="AI80" s="84">
        <f>(2*(AI77^2)/6*AG80)+(AI79*AD78*WLS)</f>
        <v>259.98839999999996</v>
      </c>
      <c r="AJ80" s="84" t="str">
        <f>CONCATENATE("M(",AD78,")=")</f>
        <v>M(6)=</v>
      </c>
      <c r="AK80" s="84">
        <f>VLOOKUP(AD78,STN_TABLE,4,FALSE)</f>
        <v>445.29682500000001</v>
      </c>
      <c r="AL80" t="str">
        <f>CONCATENATE("M(",AD79,")=")</f>
        <v>M(7)=</v>
      </c>
      <c r="AM80">
        <f>AI80+AK80</f>
        <v>705.28522499999997</v>
      </c>
      <c r="AO80" s="82" t="str">
        <f>AA80</f>
        <v>M(7)=</v>
      </c>
      <c r="AP80" s="82" t="e">
        <f>VLOOKUP(AO80,Rise_Results,2,FALSE)</f>
        <v>#N/A</v>
      </c>
      <c r="AQ80" s="82">
        <f>N80</f>
        <v>704.529225</v>
      </c>
      <c r="AR80" s="82" t="e">
        <f>IF(OR(AB79&lt;=0,AB80&lt;=0),1/0,AB80)</f>
        <v>#VALUE!</v>
      </c>
      <c r="AS80" s="82">
        <f>AM80</f>
        <v>705.28522499999997</v>
      </c>
      <c r="AT80">
        <f>IFERROR(AP80,IFERROR(AQ80,IFERROR(AR80,AS80)))</f>
        <v>704.529225</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9.77</v>
      </c>
      <c r="S83" s="77">
        <v>8</v>
      </c>
      <c r="T83" s="76">
        <f>R83*S83</f>
        <v>78.16</v>
      </c>
      <c r="U83" s="80">
        <v>10</v>
      </c>
      <c r="V83" s="76">
        <f>R83*U83</f>
        <v>97.699999999999989</v>
      </c>
      <c r="W83" s="513" t="s">
        <v>97</v>
      </c>
      <c r="X83" s="513"/>
      <c r="Y83" s="513" t="s">
        <v>98</v>
      </c>
      <c r="Z83" s="513"/>
      <c r="AA83" s="511" t="s">
        <v>99</v>
      </c>
      <c r="AB83" s="511"/>
      <c r="AC83" s="99">
        <f>AC78+1</f>
        <v>11</v>
      </c>
      <c r="AD83" s="95">
        <f>VLOOKUP(AC83,STN_TABLE_2,2,FALSE)</f>
        <v>7</v>
      </c>
      <c r="AE83" s="68">
        <f>VLOOKUP(AD83,STN_TABLE,2,FALSE)</f>
        <v>6.84</v>
      </c>
      <c r="AF83" s="68">
        <v>1</v>
      </c>
      <c r="AG83" s="69">
        <f>AE83*AF83</f>
        <v>6.84</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9.77</v>
      </c>
      <c r="E84" s="92">
        <v>1</v>
      </c>
      <c r="F84" s="82">
        <f>D84*E84</f>
        <v>9.77</v>
      </c>
      <c r="G84" s="83">
        <f>C84</f>
        <v>7.8833333333333329</v>
      </c>
      <c r="H84" s="83">
        <f>F84*G84</f>
        <v>77.020166666666654</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9.77</v>
      </c>
      <c r="AF84" s="82">
        <v>2</v>
      </c>
      <c r="AG84" s="83">
        <f>AE84*AF84</f>
        <v>19.54</v>
      </c>
      <c r="AH84" s="84" t="str">
        <f>CONCATENATE("a'(",AD84,")=")</f>
        <v>a'(7.88333333333333)=</v>
      </c>
      <c r="AI84" s="84">
        <f>2*AI82/2*AE85</f>
        <v>26.409899999999986</v>
      </c>
      <c r="AJ84" s="84" t="str">
        <f>CONCATENATE("A(",AD83,")=")</f>
        <v>A(7)=</v>
      </c>
      <c r="AK84" s="84">
        <f>VLOOKUP(AD83,STN_TABLE,3,FALSE)</f>
        <v>91.159500000000008</v>
      </c>
      <c r="AL84" t="str">
        <f>CONCATENATE("A(",AD84,")=")</f>
        <v>A(7.88333333333333)=</v>
      </c>
      <c r="AM84">
        <f>AI84+AK84</f>
        <v>117.5694</v>
      </c>
      <c r="AO84" s="68" t="str">
        <f>AA84</f>
        <v>A(7.88333333333333)=</v>
      </c>
      <c r="AP84" s="68" t="e">
        <f>VLOOKUP(AO84,Rise_Results,2,FALSE)</f>
        <v>#N/A</v>
      </c>
      <c r="AQ84" s="76" t="e">
        <f>N84</f>
        <v>#N/A</v>
      </c>
      <c r="AR84" s="76" t="e">
        <f>IF(OR(AB84&lt;=0,AB85&lt;=0),1/0,AB84)</f>
        <v>#VALUE!</v>
      </c>
      <c r="AS84" s="76">
        <f>AM84</f>
        <v>117.5694</v>
      </c>
      <c r="AT84">
        <f>IFERROR(AP84,IFERROR(AQ84,IFERROR(AR84,AS84)))</f>
        <v>117.5694</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16.61</v>
      </c>
      <c r="AG85" s="89">
        <f>SUM(AG83:AG84)</f>
        <v>26.38</v>
      </c>
      <c r="AH85" s="84" t="str">
        <f>CONCATENATE("m'(",AD84,")=")</f>
        <v>m'(7.88333333333333)=</v>
      </c>
      <c r="AI85" s="84">
        <f>(2*(AI82^2)/6*AG85)+(AI84*AD83*WLS)</f>
        <v>354.99516599999981</v>
      </c>
      <c r="AJ85" s="84" t="str">
        <f>CONCATENATE("M(",AD83,")=")</f>
        <v>M(7)=</v>
      </c>
      <c r="AK85" s="84">
        <f>VLOOKUP(AD83,STN_TABLE,4,FALSE)</f>
        <v>704.529225</v>
      </c>
      <c r="AL85" t="str">
        <f>CONCATENATE("M(",AD84,")=")</f>
        <v>M(7.88333333333333)=</v>
      </c>
      <c r="AM85">
        <f>AI85+AK85</f>
        <v>1059.5243909999999</v>
      </c>
      <c r="AO85" s="82" t="str">
        <f>AA85</f>
        <v>M(7.88333333333333)=</v>
      </c>
      <c r="AP85" s="82" t="e">
        <f>VLOOKUP(AO85,Rise_Results,2,FALSE)</f>
        <v>#N/A</v>
      </c>
      <c r="AQ85" s="82" t="e">
        <f>N85</f>
        <v>#N/A</v>
      </c>
      <c r="AR85" s="82" t="e">
        <f>IF(OR(AB84&lt;=0,AB85&lt;=0),1/0,AB85)</f>
        <v>#VALUE!</v>
      </c>
      <c r="AS85" s="82">
        <f>AM85</f>
        <v>1059.5243909999999</v>
      </c>
      <c r="AT85">
        <f>IFERROR(AP85,IFERROR(AQ85,IFERROR(AR85,AS85)))</f>
        <v>1059.5243909999999</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9.77</v>
      </c>
      <c r="AF88" s="68">
        <v>1</v>
      </c>
      <c r="AG88" s="69">
        <f>AE88*AF88</f>
        <v>9.77</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117.5694</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9.77</v>
      </c>
      <c r="AG90" s="89" t="e">
        <f>SUM(AG88:AG89)</f>
        <v>#VALUE!</v>
      </c>
      <c r="AH90" s="84" t="str">
        <f>CONCATENATE("m'(",AD89,")=")</f>
        <v>m'(  )=</v>
      </c>
      <c r="AI90" s="84" t="e">
        <f>(2*(AI87^2)/6*AG90)+(AI89*AD88*WLS)</f>
        <v>#VALUE!</v>
      </c>
      <c r="AJ90" s="84" t="str">
        <f>CONCATENATE("M(",AD88,")=")</f>
        <v>M(7.88333333333333)=</v>
      </c>
      <c r="AK90" s="84">
        <f>VLOOKUP(AD88,STN_TABLE,4,FALSE)</f>
        <v>1059.5243909999999</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17</v>
      </c>
      <c r="E1" s="511" t="s">
        <v>91</v>
      </c>
      <c r="F1" s="511"/>
      <c r="G1" t="str">
        <f>VLOOKUP(Station_No,RISE_CALC,2,FALSE)</f>
        <v>-</v>
      </c>
      <c r="L1" s="511" t="s">
        <v>92</v>
      </c>
      <c r="M1" s="511"/>
      <c r="N1">
        <v>20</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0.65</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2.63</v>
      </c>
      <c r="D5" s="81">
        <f t="shared" ref="D5:D28" si="4">IFERROR(VLOOKUP(CONCATENATE("A(",B5,")="),RESULT_TABLE,6,FALSE)," ")</f>
        <v>3.1154999999999999</v>
      </c>
      <c r="E5" s="77">
        <f t="shared" ref="E5:E28" si="5">IFERROR(VLOOKUP(CONCATENATE("M(",B5,")="),RESULT_TABLE,6,FALSE)," ")</f>
        <v>1.6692749999999998</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3.52</v>
      </c>
      <c r="D6" s="81">
        <f t="shared" si="4"/>
        <v>8.8140000000000001</v>
      </c>
      <c r="E6" s="77">
        <f t="shared" si="5"/>
        <v>9.4824000000000002</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4.0599999999999996</v>
      </c>
      <c r="D7" s="81">
        <f t="shared" si="4"/>
        <v>15.577500000000001</v>
      </c>
      <c r="E7" s="77">
        <f t="shared" si="5"/>
        <v>24.873075</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4.43</v>
      </c>
      <c r="D8" s="81">
        <f t="shared" si="4"/>
        <v>23.327999999999996</v>
      </c>
      <c r="E8" s="77">
        <f t="shared" si="5"/>
        <v>49.161599999999993</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5.03</v>
      </c>
      <c r="D9" s="81">
        <f t="shared" si="4"/>
        <v>40.337999999999994</v>
      </c>
      <c r="E9" s="77">
        <f t="shared" si="5"/>
        <v>126.2304</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5.69</v>
      </c>
      <c r="D10" s="81">
        <f t="shared" si="4"/>
        <v>59.616</v>
      </c>
      <c r="E10" s="77">
        <f t="shared" si="5"/>
        <v>247.83840000000001</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6.59</v>
      </c>
      <c r="D11" s="81">
        <f t="shared" si="4"/>
        <v>81.593999999999994</v>
      </c>
      <c r="E11" s="77">
        <f t="shared" si="5"/>
        <v>426.64320000000009</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7.22</v>
      </c>
      <c r="D12" s="81">
        <f t="shared" si="4"/>
        <v>96.784999999999982</v>
      </c>
      <c r="E12" s="77">
        <f t="shared" si="5"/>
        <v>571.84429999999998</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7.64</v>
      </c>
      <c r="D13" s="81">
        <f t="shared" si="4"/>
        <v>107.244</v>
      </c>
      <c r="E13" s="77">
        <f t="shared" si="5"/>
        <v>680.70240000000001</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8.73</v>
      </c>
      <c r="D14" s="81">
        <f t="shared" si="4"/>
        <v>136.64999999999998</v>
      </c>
      <c r="E14" s="77">
        <f t="shared" si="5"/>
        <v>1025.8704000000002</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10.94</v>
      </c>
      <c r="D15" s="81">
        <f t="shared" si="4"/>
        <v>167.92529999999996</v>
      </c>
      <c r="E15" s="77">
        <f t="shared" si="5"/>
        <v>1445.7342269999999</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0.65</v>
      </c>
      <c r="S32" s="69">
        <v>5</v>
      </c>
      <c r="T32" s="68">
        <f>R32*S32</f>
        <v>3.25</v>
      </c>
      <c r="U32" s="79">
        <v>3</v>
      </c>
      <c r="V32" s="68">
        <f>R32*U32</f>
        <v>1.9500000000000002</v>
      </c>
      <c r="W32" t="s">
        <v>93</v>
      </c>
      <c r="X32" s="70">
        <f>IF(AND(Q34-Q33=Q33-Q32,NOT(AND(Q32=0,Q33=0)),NOT(AND(Q33=0,Q34=0))),WLS*(Q34-Q33),"#NA")</f>
        <v>0.9</v>
      </c>
      <c r="AD32" s="93"/>
      <c r="AH32" s="6" t="s">
        <v>93</v>
      </c>
      <c r="AI32" s="70">
        <f>WLS*(AD34-AD33)</f>
        <v>0.9</v>
      </c>
    </row>
    <row r="33" spans="1:47" x14ac:dyDescent="0.25">
      <c r="Q33" s="76">
        <f>B5</f>
        <v>0.5</v>
      </c>
      <c r="R33" s="77">
        <f>VLOOKUP(Q33,STN_TABLE,2,FALSE)</f>
        <v>2.63</v>
      </c>
      <c r="S33" s="77">
        <v>8</v>
      </c>
      <c r="T33" s="76">
        <f>R33*S33</f>
        <v>21.04</v>
      </c>
      <c r="U33" s="80">
        <v>10</v>
      </c>
      <c r="V33" s="76">
        <f>R33*U33</f>
        <v>26.299999999999997</v>
      </c>
      <c r="W33" s="512" t="s">
        <v>97</v>
      </c>
      <c r="X33" s="513"/>
      <c r="Y33" s="513" t="s">
        <v>98</v>
      </c>
      <c r="Z33" s="513"/>
      <c r="AA33" s="511" t="s">
        <v>99</v>
      </c>
      <c r="AB33" s="511"/>
      <c r="AC33" s="94">
        <v>1</v>
      </c>
      <c r="AD33" s="95">
        <f>VLOOKUP(AC33,STN_TABLE_2,2,FALSE)</f>
        <v>0</v>
      </c>
      <c r="AE33" s="68">
        <f>VLOOKUP(AD33,STN_TABLE,2,FALSE)</f>
        <v>0.65</v>
      </c>
      <c r="AF33" s="68">
        <v>1</v>
      </c>
      <c r="AG33" s="69">
        <f>AE33*AF33</f>
        <v>0.65</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3.52</v>
      </c>
      <c r="S34" s="83">
        <v>-1</v>
      </c>
      <c r="T34" s="82">
        <f>R34*S34</f>
        <v>-3.52</v>
      </c>
      <c r="U34" s="88">
        <v>-1</v>
      </c>
      <c r="V34" s="82">
        <f>R34*U34</f>
        <v>-3.52</v>
      </c>
      <c r="W34" s="84" t="str">
        <f>CONCATENATE("a'(",Q33,")=")</f>
        <v>a'(0.5)=</v>
      </c>
      <c r="X34" s="84">
        <f>2*X32/12*T35</f>
        <v>3.1154999999999999</v>
      </c>
      <c r="Y34" s="84" t="str">
        <f>CONCATENATE("A(",Q32,")=")</f>
        <v>A(0)=</v>
      </c>
      <c r="Z34" s="84">
        <f>VLOOKUP(Q32,STN_TABLE,3,FALSE)</f>
        <v>0</v>
      </c>
      <c r="AA34" t="str">
        <f>CONCATENATE("A(",Q33,")=")</f>
        <v>A(0.5)=</v>
      </c>
      <c r="AB34">
        <f>X34+Z34</f>
        <v>3.1154999999999999</v>
      </c>
      <c r="AC34" s="99">
        <f>AC33+1</f>
        <v>2</v>
      </c>
      <c r="AD34" s="100">
        <f>VLOOKUP(AC34,STN_TABLE_2,2,FALSE)</f>
        <v>0.5</v>
      </c>
      <c r="AE34" s="82">
        <f>VLOOKUP(AD34,STN_TABLE,2,FALSE)</f>
        <v>2.63</v>
      </c>
      <c r="AF34" s="82">
        <v>2</v>
      </c>
      <c r="AG34" s="83">
        <f>AE34*AF34</f>
        <v>5.26</v>
      </c>
      <c r="AH34" s="84" t="str">
        <f>CONCATENATE("a'(",AD34,")=")</f>
        <v>a'(0.5)=</v>
      </c>
      <c r="AI34" s="84">
        <f>2*AI32/2*AE35</f>
        <v>2.952</v>
      </c>
      <c r="AJ34" s="84" t="str">
        <f>CONCATENATE("A(",AD33,")=")</f>
        <v>A(0)=</v>
      </c>
      <c r="AK34" s="84">
        <f>VLOOKUP(AD33,STN_TABLE,3,FALSE)</f>
        <v>0</v>
      </c>
      <c r="AL34" t="str">
        <f>CONCATENATE("A(",AD34,")=")</f>
        <v>A(0.5)=</v>
      </c>
      <c r="AM34">
        <f>AI34+AK34</f>
        <v>2.952</v>
      </c>
      <c r="AO34" s="68" t="str">
        <f>AA34</f>
        <v>A(0.5)=</v>
      </c>
      <c r="AP34" s="79" t="e">
        <f>VLOOKUP(AO34,Rise_Results,2,FALSE)</f>
        <v>#N/A</v>
      </c>
      <c r="AQ34" s="76" t="s">
        <v>117</v>
      </c>
      <c r="AR34" s="76">
        <f>IF(OR(AB34&lt;=0,AB35&lt;=0),1/0,AB34)</f>
        <v>3.1154999999999999</v>
      </c>
      <c r="AS34" s="76">
        <f>AM34</f>
        <v>2.952</v>
      </c>
      <c r="AT34" s="80">
        <f>IFERROR(AP34,IFERROR(AR34,AS34))</f>
        <v>3.1154999999999999</v>
      </c>
    </row>
    <row r="35" spans="1:47" x14ac:dyDescent="0.25">
      <c r="A35" s="101"/>
      <c r="T35" s="89">
        <f>SUM(T32:T34)</f>
        <v>20.77</v>
      </c>
      <c r="V35" s="82">
        <f>SUM(V32:V34)</f>
        <v>24.729999999999997</v>
      </c>
      <c r="W35" s="84" t="str">
        <f>CONCATENATE("m'(",Q33,")=")</f>
        <v>m'(0.5)=</v>
      </c>
      <c r="X35" s="84">
        <f>(2*(X32^2)/24*V35)</f>
        <v>1.6692749999999998</v>
      </c>
      <c r="Y35" s="84" t="str">
        <f>CONCATENATE("M(",Q32,")=")</f>
        <v>M(0)=</v>
      </c>
      <c r="Z35" s="84">
        <f>VLOOKUP(Q32,STN_TABLE,4,FALSE)</f>
        <v>0</v>
      </c>
      <c r="AA35" t="str">
        <f>CONCATENATE("M(",Q33,")=")</f>
        <v>M(0.5)=</v>
      </c>
      <c r="AB35">
        <f>X35+Z35</f>
        <v>1.6692749999999998</v>
      </c>
      <c r="AE35" s="89">
        <f>SUM(AE33:AE34)</f>
        <v>3.28</v>
      </c>
      <c r="AG35" s="89">
        <f>SUM(AG33:AG34)</f>
        <v>5.91</v>
      </c>
      <c r="AH35" s="84" t="str">
        <f>CONCATENATE("m'(",AD34,")=")</f>
        <v>m'(0.5)=</v>
      </c>
      <c r="AI35" s="84">
        <f>(2*(AI32^2)/6*AG35)+(AI34*AD33*WLS)</f>
        <v>1.5957000000000001</v>
      </c>
      <c r="AJ35" s="84" t="str">
        <f>CONCATENATE("M(",AD33,")=")</f>
        <v>M(0)=</v>
      </c>
      <c r="AK35" s="84">
        <f>VLOOKUP(AD33,STN_TABLE,4,FALSE)</f>
        <v>0</v>
      </c>
      <c r="AL35" t="str">
        <f>CONCATENATE("M(",AD34,")=")</f>
        <v>M(0.5)=</v>
      </c>
      <c r="AM35">
        <f>AI35+AK35</f>
        <v>1.5957000000000001</v>
      </c>
      <c r="AO35" s="82" t="str">
        <f>AA35</f>
        <v>M(0.5)=</v>
      </c>
      <c r="AP35" s="88" t="e">
        <f>VLOOKUP(AO35,Rise_Results,2,FALSE)</f>
        <v>#N/A</v>
      </c>
      <c r="AQ35" s="82" t="s">
        <v>117</v>
      </c>
      <c r="AR35" s="82">
        <f>IF(OR(AB34&lt;=0,AB35&lt;=0),1/0,AB35)</f>
        <v>1.6692749999999998</v>
      </c>
      <c r="AS35" s="82">
        <f>AM35</f>
        <v>1.5957000000000001</v>
      </c>
      <c r="AT35" s="80">
        <f>IFERROR(AP35,IFERROR(AR35,AS35))</f>
        <v>1.6692749999999998</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0.65</v>
      </c>
      <c r="E37" s="102">
        <v>1</v>
      </c>
      <c r="F37" s="68">
        <f>D37*E37</f>
        <v>0.65</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2.63</v>
      </c>
      <c r="S37" s="69">
        <v>5</v>
      </c>
      <c r="T37" s="68">
        <f>R37*S37</f>
        <v>13.149999999999999</v>
      </c>
      <c r="U37" s="79">
        <v>3</v>
      </c>
      <c r="V37" s="68">
        <f>R37*U37</f>
        <v>7.89</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2.63</v>
      </c>
      <c r="E38" s="81">
        <v>4</v>
      </c>
      <c r="F38" s="76">
        <f>D38*E38</f>
        <v>10.52</v>
      </c>
      <c r="G38" s="77">
        <f>C38</f>
        <v>0.5</v>
      </c>
      <c r="H38" s="77">
        <f>F38*G38</f>
        <v>5.26</v>
      </c>
      <c r="I38" s="513" t="s">
        <v>97</v>
      </c>
      <c r="J38" s="513"/>
      <c r="K38" s="78" t="s">
        <v>98</v>
      </c>
      <c r="L38" s="78"/>
      <c r="M38" s="7" t="s">
        <v>99</v>
      </c>
      <c r="N38" s="7"/>
      <c r="O38" s="99">
        <f>O37+1</f>
        <v>3</v>
      </c>
      <c r="P38" s="99">
        <f t="shared" si="10"/>
        <v>1</v>
      </c>
      <c r="Q38" s="76">
        <f>P38</f>
        <v>1</v>
      </c>
      <c r="R38" s="77">
        <f>VLOOKUP(Q38,STN_TABLE,2,FALSE)</f>
        <v>3.52</v>
      </c>
      <c r="S38" s="77">
        <v>8</v>
      </c>
      <c r="T38" s="76">
        <f>R38*S38</f>
        <v>28.16</v>
      </c>
      <c r="U38" s="80">
        <v>10</v>
      </c>
      <c r="V38" s="76">
        <f>R38*U38</f>
        <v>35.200000000000003</v>
      </c>
      <c r="W38" s="513" t="s">
        <v>97</v>
      </c>
      <c r="X38" s="513"/>
      <c r="Y38" s="513" t="s">
        <v>98</v>
      </c>
      <c r="Z38" s="513"/>
      <c r="AA38" s="511" t="s">
        <v>99</v>
      </c>
      <c r="AB38" s="511"/>
      <c r="AC38" s="99">
        <f>AC33+1</f>
        <v>2</v>
      </c>
      <c r="AD38" s="95">
        <f>VLOOKUP(AC38,STN_TABLE_2,2,FALSE)</f>
        <v>0.5</v>
      </c>
      <c r="AE38" s="68">
        <f>VLOOKUP(AD38,STN_TABLE,2,FALSE)</f>
        <v>2.63</v>
      </c>
      <c r="AF38" s="68">
        <v>1</v>
      </c>
      <c r="AG38" s="69">
        <f>AE38*AF38</f>
        <v>2.63</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3.52</v>
      </c>
      <c r="E39" s="92">
        <v>1</v>
      </c>
      <c r="F39" s="82">
        <f>D39*E39</f>
        <v>3.52</v>
      </c>
      <c r="G39" s="83">
        <f>C39</f>
        <v>1</v>
      </c>
      <c r="H39" s="83">
        <f>F39*G39</f>
        <v>3.52</v>
      </c>
      <c r="I39" s="84" t="str">
        <f>CONCATENATE("a'(",C39,")=")</f>
        <v>a'(1)=</v>
      </c>
      <c r="J39" s="84">
        <f>2*J37/3*F40</f>
        <v>8.8140000000000001</v>
      </c>
      <c r="K39" s="84" t="str">
        <f>CONCATENATE("A(",C37,")=")</f>
        <v>A(0)=</v>
      </c>
      <c r="L39" s="84">
        <f>VLOOKUP(C37,STN_TABLE,3,FALSE)</f>
        <v>0</v>
      </c>
      <c r="M39" t="str">
        <f>CONCATENATE("A(",C39,")=")</f>
        <v>A(1)=</v>
      </c>
      <c r="N39">
        <f>J39+L39</f>
        <v>8.8140000000000001</v>
      </c>
      <c r="O39" s="99">
        <f>O38+1</f>
        <v>4</v>
      </c>
      <c r="P39" s="99">
        <f t="shared" si="10"/>
        <v>1.5</v>
      </c>
      <c r="Q39" s="82">
        <f>IF(P39-P38=P38-P37,P39,IF(P40-P38=P38-P37,P40,IF(P39-P38=P38-P36,P39,IF(P40-P38=P38-P36,P40,"-"))))</f>
        <v>1.5</v>
      </c>
      <c r="R39" s="83">
        <f>VLOOKUP(Q39,STN_TABLE,2,FALSE)</f>
        <v>4.0599999999999996</v>
      </c>
      <c r="S39" s="83">
        <v>-1</v>
      </c>
      <c r="T39" s="82">
        <f>R39*S39</f>
        <v>-4.0599999999999996</v>
      </c>
      <c r="U39" s="88">
        <v>-1</v>
      </c>
      <c r="V39" s="82">
        <f>R39*U39</f>
        <v>-4.0599999999999996</v>
      </c>
      <c r="W39" s="84" t="str">
        <f>CONCATENATE("a'(",Q38,")=")</f>
        <v>a'(1)=</v>
      </c>
      <c r="X39" s="84">
        <f>2*X37/12*T40</f>
        <v>5.5874999999999995</v>
      </c>
      <c r="Y39" s="84" t="str">
        <f>CONCATENATE("A(",Q37,")=")</f>
        <v>A(0.5)=</v>
      </c>
      <c r="Z39" s="84">
        <f>VLOOKUP(Q37,STN_TABLE,3,FALSE)</f>
        <v>3.1154999999999999</v>
      </c>
      <c r="AA39" t="str">
        <f>CONCATENATE("A(",Q38,")=")</f>
        <v>A(1)=</v>
      </c>
      <c r="AB39">
        <f>X39+Z39</f>
        <v>8.7029999999999994</v>
      </c>
      <c r="AC39" s="99">
        <f>AC38+1</f>
        <v>3</v>
      </c>
      <c r="AD39" s="100">
        <f>VLOOKUP(AC39,STN_TABLE_2,2,FALSE)</f>
        <v>1</v>
      </c>
      <c r="AE39" s="82">
        <f>VLOOKUP(AD39,STN_TABLE,2,FALSE)</f>
        <v>3.52</v>
      </c>
      <c r="AF39" s="82">
        <v>2</v>
      </c>
      <c r="AG39" s="83">
        <f>AE39*AF39</f>
        <v>7.04</v>
      </c>
      <c r="AH39" s="84" t="str">
        <f>CONCATENATE("a'(",AD39,")=")</f>
        <v>a'(1)=</v>
      </c>
      <c r="AI39" s="84">
        <f>2*AI37/2*AE40</f>
        <v>5.5350000000000001</v>
      </c>
      <c r="AJ39" s="84" t="str">
        <f>CONCATENATE("A(",AD38,")=")</f>
        <v>A(0.5)=</v>
      </c>
      <c r="AK39" s="84">
        <f>VLOOKUP(AD38,STN_TABLE,3,FALSE)</f>
        <v>3.1154999999999999</v>
      </c>
      <c r="AL39" t="str">
        <f>CONCATENATE("A(",AD39,")=")</f>
        <v>A(1)=</v>
      </c>
      <c r="AM39">
        <f>AI39+AK39</f>
        <v>8.650500000000001</v>
      </c>
      <c r="AO39" s="68" t="str">
        <f>AA39</f>
        <v>A(1)=</v>
      </c>
      <c r="AP39" s="68" t="e">
        <f>VLOOKUP(AO39,Rise_Results,2,FALSE)</f>
        <v>#N/A</v>
      </c>
      <c r="AQ39" s="76">
        <f>N39</f>
        <v>8.8140000000000001</v>
      </c>
      <c r="AR39" s="76">
        <f>IF(OR(AB39&lt;=0,AB40&lt;=0),1/0,AB39)</f>
        <v>8.7029999999999994</v>
      </c>
      <c r="AS39" s="76">
        <f>AM39</f>
        <v>8.650500000000001</v>
      </c>
      <c r="AT39">
        <f>IFERROR(AP39,IFERROR(AQ39,IFERROR(AR39,AS39)))</f>
        <v>8.8140000000000001</v>
      </c>
    </row>
    <row r="40" spans="1:47" x14ac:dyDescent="0.25">
      <c r="A40">
        <v>4</v>
      </c>
      <c r="F40" s="82">
        <f>SUM(F37:F39)</f>
        <v>14.69</v>
      </c>
      <c r="H40" s="82">
        <f>SUM(H37:H39)</f>
        <v>8.7799999999999994</v>
      </c>
      <c r="I40" s="84" t="str">
        <f>CONCATENATE("m'(",C39,")=")</f>
        <v>m'(1)=</v>
      </c>
      <c r="J40" s="84">
        <f>2*(J37*(WLS))/3*H40</f>
        <v>9.4824000000000002</v>
      </c>
      <c r="K40" s="84" t="str">
        <f>CONCATENATE("M(",C37,")=")</f>
        <v>M(0)=</v>
      </c>
      <c r="L40" s="84">
        <f>VLOOKUP(C37,STN_TABLE,4,FALSE)</f>
        <v>0</v>
      </c>
      <c r="M40" t="str">
        <f>CONCATENATE("M(",C39,")=")</f>
        <v>M(1)=</v>
      </c>
      <c r="N40">
        <f>J40+L40</f>
        <v>9.4824000000000002</v>
      </c>
      <c r="O40" s="99">
        <f>O39+1</f>
        <v>5</v>
      </c>
      <c r="P40" s="99">
        <f t="shared" si="10"/>
        <v>2</v>
      </c>
      <c r="T40" s="89">
        <f>SUM(T37:T39)</f>
        <v>37.25</v>
      </c>
      <c r="V40" s="82">
        <f>SUM(V37:V39)</f>
        <v>39.03</v>
      </c>
      <c r="W40" s="84" t="str">
        <f>CONCATENATE("m'(",Q38,")=")</f>
        <v>m'(1)=</v>
      </c>
      <c r="X40" s="84">
        <f>(2*(X37^2)/24*V40)+(X39*Q37*WLS)</f>
        <v>7.6632750000000005</v>
      </c>
      <c r="Y40" s="84" t="str">
        <f>CONCATENATE("M(",Q37,")=")</f>
        <v>M(0.5)=</v>
      </c>
      <c r="Z40" s="84">
        <f>VLOOKUP(Q37,STN_TABLE,4,FALSE)</f>
        <v>1.6692749999999998</v>
      </c>
      <c r="AA40" t="str">
        <f>CONCATENATE("M(",Q38,")=")</f>
        <v>M(1)=</v>
      </c>
      <c r="AB40">
        <f>X40+Z40</f>
        <v>9.3325500000000012</v>
      </c>
      <c r="AE40" s="89">
        <f>SUM(AE38:AE39)</f>
        <v>6.15</v>
      </c>
      <c r="AG40" s="89">
        <f>SUM(AG38:AG39)</f>
        <v>9.67</v>
      </c>
      <c r="AH40" s="84" t="str">
        <f>CONCATENATE("m'(",AD39,")=")</f>
        <v>m'(1)=</v>
      </c>
      <c r="AI40" s="84">
        <f>(2*(AI37^2)/6*AG40)+(AI39*AD38*WLS)</f>
        <v>7.5924000000000005</v>
      </c>
      <c r="AJ40" s="84" t="str">
        <f>CONCATENATE("M(",AD38,")=")</f>
        <v>M(0.5)=</v>
      </c>
      <c r="AK40" s="84">
        <f>VLOOKUP(AD38,STN_TABLE,4,FALSE)</f>
        <v>1.6692749999999998</v>
      </c>
      <c r="AL40" t="str">
        <f>CONCATENATE("M(",AD39,")=")</f>
        <v>M(1)=</v>
      </c>
      <c r="AM40">
        <f>AI40+AK40</f>
        <v>9.2616750000000003</v>
      </c>
      <c r="AO40" s="82" t="str">
        <f>AA40</f>
        <v>M(1)=</v>
      </c>
      <c r="AP40" s="82" t="e">
        <f>VLOOKUP(AO40,Rise_Results,2,FALSE)</f>
        <v>#N/A</v>
      </c>
      <c r="AQ40" s="82">
        <f>N40</f>
        <v>9.4824000000000002</v>
      </c>
      <c r="AR40" s="82">
        <f>IF(OR(AB39&lt;=0,AB40&lt;=0),1/0,AB40)</f>
        <v>9.3325500000000012</v>
      </c>
      <c r="AS40" s="82">
        <f>AM40</f>
        <v>9.2616750000000003</v>
      </c>
      <c r="AT40">
        <f>IFERROR(AP40,IFERROR(AQ40,IFERROR(AR40,AS40)))</f>
        <v>9.4824000000000002</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2.63</v>
      </c>
      <c r="E42" s="102">
        <v>1</v>
      </c>
      <c r="F42" s="68">
        <f>D42*E42</f>
        <v>2.63</v>
      </c>
      <c r="G42" s="69">
        <f>C42</f>
        <v>0.5</v>
      </c>
      <c r="H42" s="69">
        <f>F42*G42</f>
        <v>1.3149999999999999</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3.52</v>
      </c>
      <c r="S42" s="69">
        <v>5</v>
      </c>
      <c r="T42" s="68">
        <f>R42*S42</f>
        <v>17.600000000000001</v>
      </c>
      <c r="U42" s="79">
        <v>3</v>
      </c>
      <c r="V42" s="68">
        <f>R42*U42</f>
        <v>10.56</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3.52</v>
      </c>
      <c r="E43" s="81">
        <v>4</v>
      </c>
      <c r="F43" s="76">
        <f>D43*E43</f>
        <v>14.08</v>
      </c>
      <c r="G43" s="77">
        <f>C43</f>
        <v>1</v>
      </c>
      <c r="H43" s="77">
        <f>F43*G43</f>
        <v>14.08</v>
      </c>
      <c r="I43" s="513" t="s">
        <v>97</v>
      </c>
      <c r="J43" s="513"/>
      <c r="K43" s="78" t="s">
        <v>98</v>
      </c>
      <c r="L43" s="78"/>
      <c r="M43" s="7" t="s">
        <v>99</v>
      </c>
      <c r="N43" s="7"/>
      <c r="O43" s="99">
        <f>O42+1</f>
        <v>4</v>
      </c>
      <c r="P43" s="99">
        <f t="shared" si="10"/>
        <v>1.5</v>
      </c>
      <c r="Q43" s="76">
        <f>P43</f>
        <v>1.5</v>
      </c>
      <c r="R43" s="77">
        <f>VLOOKUP(Q43,STN_TABLE,2,FALSE)</f>
        <v>4.0599999999999996</v>
      </c>
      <c r="S43" s="77">
        <v>8</v>
      </c>
      <c r="T43" s="76">
        <f>R43*S43</f>
        <v>32.479999999999997</v>
      </c>
      <c r="U43" s="80">
        <v>10</v>
      </c>
      <c r="V43" s="76">
        <f>R43*U43</f>
        <v>40.599999999999994</v>
      </c>
      <c r="W43" s="513" t="s">
        <v>97</v>
      </c>
      <c r="X43" s="513"/>
      <c r="Y43" s="513" t="s">
        <v>98</v>
      </c>
      <c r="Z43" s="513"/>
      <c r="AA43" s="511" t="s">
        <v>99</v>
      </c>
      <c r="AB43" s="511"/>
      <c r="AC43" s="99">
        <f>AC38+1</f>
        <v>3</v>
      </c>
      <c r="AD43" s="95">
        <f>VLOOKUP(AC43,STN_TABLE_2,2,FALSE)</f>
        <v>1</v>
      </c>
      <c r="AE43" s="68">
        <f>VLOOKUP(AD43,STN_TABLE,2,FALSE)</f>
        <v>3.52</v>
      </c>
      <c r="AF43" s="68">
        <v>1</v>
      </c>
      <c r="AG43" s="69">
        <f>AE43*AF43</f>
        <v>3.52</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4.0599999999999996</v>
      </c>
      <c r="E44" s="92">
        <v>1</v>
      </c>
      <c r="F44" s="82">
        <f>D44*E44</f>
        <v>4.0599999999999996</v>
      </c>
      <c r="G44" s="83">
        <f>C44</f>
        <v>1.5</v>
      </c>
      <c r="H44" s="83">
        <f>F44*G44</f>
        <v>6.09</v>
      </c>
      <c r="I44" s="84" t="str">
        <f>CONCATENATE("a'(",C44,")=")</f>
        <v>a'(1.5)=</v>
      </c>
      <c r="J44" s="84">
        <f>2*J42/3*F45</f>
        <v>12.462</v>
      </c>
      <c r="K44" s="84" t="str">
        <f>CONCATENATE("A(",C42,")=")</f>
        <v>A(0.5)=</v>
      </c>
      <c r="L44" s="84">
        <f>VLOOKUP(C42,STN_TABLE,3,FALSE)</f>
        <v>3.1154999999999999</v>
      </c>
      <c r="M44" t="str">
        <f>CONCATENATE("A(",C44,")=")</f>
        <v>A(1.5)=</v>
      </c>
      <c r="N44">
        <f>J44+L44</f>
        <v>15.577500000000001</v>
      </c>
      <c r="O44" s="99">
        <f>O43+1</f>
        <v>5</v>
      </c>
      <c r="P44" s="99">
        <f t="shared" si="10"/>
        <v>2</v>
      </c>
      <c r="Q44" s="82">
        <f>IF(P44-P43=P43-P42,P44,IF(P45-P43=P43-P42,P45,IF(P44-P43=P43-P41,P44,IF(P45-P43=P43-P41,P45,"-"))))</f>
        <v>2</v>
      </c>
      <c r="R44" s="83">
        <f>VLOOKUP(Q44,STN_TABLE,2,FALSE)</f>
        <v>4.43</v>
      </c>
      <c r="S44" s="83">
        <v>-1</v>
      </c>
      <c r="T44" s="82">
        <f>R44*S44</f>
        <v>-4.43</v>
      </c>
      <c r="U44" s="88">
        <v>-1</v>
      </c>
      <c r="V44" s="82">
        <f>R44*U44</f>
        <v>-4.43</v>
      </c>
      <c r="W44" s="84" t="str">
        <f>CONCATENATE("a'(",Q43,")=")</f>
        <v>a'(1.5)=</v>
      </c>
      <c r="X44" s="84">
        <f>2*X42/12*T45</f>
        <v>6.8474999999999993</v>
      </c>
      <c r="Y44" s="84" t="str">
        <f>CONCATENATE("A(",Q42,")=")</f>
        <v>A(1)=</v>
      </c>
      <c r="Z44" s="84">
        <f>VLOOKUP(Q42,STN_TABLE,3,FALSE)</f>
        <v>8.8140000000000001</v>
      </c>
      <c r="AA44" t="str">
        <f>CONCATENATE("A(",Q43,")=")</f>
        <v>A(1.5)=</v>
      </c>
      <c r="AB44">
        <f>X44+Z44</f>
        <v>15.6615</v>
      </c>
      <c r="AC44" s="99">
        <f>AC43+1</f>
        <v>4</v>
      </c>
      <c r="AD44" s="100">
        <f>VLOOKUP(AC44,STN_TABLE_2,2,FALSE)</f>
        <v>1.5</v>
      </c>
      <c r="AE44" s="82">
        <f>VLOOKUP(AD44,STN_TABLE,2,FALSE)</f>
        <v>4.0599999999999996</v>
      </c>
      <c r="AF44" s="82">
        <v>2</v>
      </c>
      <c r="AG44" s="83">
        <f>AE44*AF44</f>
        <v>8.1199999999999992</v>
      </c>
      <c r="AH44" s="84" t="str">
        <f>CONCATENATE("a'(",AD44,")=")</f>
        <v>a'(1.5)=</v>
      </c>
      <c r="AI44" s="84">
        <f>2*AI42/2*AE45</f>
        <v>6.8220000000000001</v>
      </c>
      <c r="AJ44" s="84" t="str">
        <f>CONCATENATE("A(",AD43,")=")</f>
        <v>A(1)=</v>
      </c>
      <c r="AK44" s="84">
        <f>VLOOKUP(AD43,STN_TABLE,3,FALSE)</f>
        <v>8.8140000000000001</v>
      </c>
      <c r="AL44" t="str">
        <f>CONCATENATE("A(",AD44,")=")</f>
        <v>A(1.5)=</v>
      </c>
      <c r="AM44">
        <f>AI44+AK44</f>
        <v>15.635999999999999</v>
      </c>
      <c r="AO44" s="68" t="str">
        <f>AA44</f>
        <v>A(1.5)=</v>
      </c>
      <c r="AP44" s="68" t="e">
        <f>VLOOKUP(AO44,Rise_Results,2,FALSE)</f>
        <v>#N/A</v>
      </c>
      <c r="AQ44" s="76">
        <f>N44</f>
        <v>15.577500000000001</v>
      </c>
      <c r="AR44" s="76">
        <f>IF(OR(AB44&lt;=0,AB45&lt;=0),1/0,AB44)</f>
        <v>15.6615</v>
      </c>
      <c r="AS44" s="76">
        <f>AM44</f>
        <v>15.635999999999999</v>
      </c>
      <c r="AT44">
        <f>IFERROR(AP44,IFERROR(AQ44,IFERROR(AR44,AS44)))</f>
        <v>15.577500000000001</v>
      </c>
      <c r="AU44" s="81"/>
    </row>
    <row r="45" spans="1:47" x14ac:dyDescent="0.25">
      <c r="A45" s="94">
        <f>A44+1</f>
        <v>4</v>
      </c>
      <c r="B45" s="94">
        <f t="shared" si="11"/>
        <v>1.5</v>
      </c>
      <c r="F45" s="82">
        <f>SUM(F42:F44)</f>
        <v>20.77</v>
      </c>
      <c r="H45" s="82">
        <f>SUM(H42:H44)</f>
        <v>21.484999999999999</v>
      </c>
      <c r="I45" s="84" t="str">
        <f>CONCATENATE("m'(",C44,")=")</f>
        <v>m'(1.5)=</v>
      </c>
      <c r="J45" s="84">
        <f>2*(J42*(WLS))/3*H45</f>
        <v>23.203800000000001</v>
      </c>
      <c r="K45" s="84" t="str">
        <f>CONCATENATE("M(",C42,")=")</f>
        <v>M(0.5)=</v>
      </c>
      <c r="L45" s="84">
        <f>VLOOKUP(C42,STN_TABLE,4,FALSE)</f>
        <v>1.6692749999999998</v>
      </c>
      <c r="M45" t="str">
        <f>CONCATENATE("M(",C44,")=")</f>
        <v>M(1.5)=</v>
      </c>
      <c r="N45">
        <f>J45+L45</f>
        <v>24.873075</v>
      </c>
      <c r="O45" s="99">
        <f>O44+1</f>
        <v>6</v>
      </c>
      <c r="P45" s="99">
        <f t="shared" si="10"/>
        <v>3</v>
      </c>
      <c r="T45" s="89">
        <f>SUM(T42:T44)</f>
        <v>45.65</v>
      </c>
      <c r="V45" s="82">
        <f>SUM(V42:V44)</f>
        <v>46.73</v>
      </c>
      <c r="W45" s="84" t="str">
        <f>CONCATENATE("m'(",Q43,")=")</f>
        <v>m'(1.5)=</v>
      </c>
      <c r="X45" s="84">
        <f>(2*(X42^2)/24*V45)+(X44*Q42*WLS)</f>
        <v>15.479774999999998</v>
      </c>
      <c r="Y45" s="84" t="str">
        <f>CONCATENATE("M(",Q42,")=")</f>
        <v>M(1)=</v>
      </c>
      <c r="Z45" s="84">
        <f>VLOOKUP(Q42,STN_TABLE,4,FALSE)</f>
        <v>9.4824000000000002</v>
      </c>
      <c r="AA45" t="str">
        <f>CONCATENATE("M(",Q43,")=")</f>
        <v>M(1.5)=</v>
      </c>
      <c r="AB45">
        <f>X45+Z45</f>
        <v>24.962174999999998</v>
      </c>
      <c r="AE45" s="89">
        <f>SUM(AE43:AE44)</f>
        <v>7.58</v>
      </c>
      <c r="AG45" s="89">
        <f>SUM(AG43:AG44)</f>
        <v>11.639999999999999</v>
      </c>
      <c r="AH45" s="84" t="str">
        <f>CONCATENATE("m'(",AD44,")=")</f>
        <v>m'(1.5)=</v>
      </c>
      <c r="AI45" s="84">
        <f>(2*(AI42^2)/6*AG45)+(AI44*AD43*WLS)</f>
        <v>15.4224</v>
      </c>
      <c r="AJ45" s="84" t="str">
        <f>CONCATENATE("M(",AD43,")=")</f>
        <v>M(1)=</v>
      </c>
      <c r="AK45" s="84">
        <f>VLOOKUP(AD43,STN_TABLE,4,FALSE)</f>
        <v>9.4824000000000002</v>
      </c>
      <c r="AL45" t="str">
        <f>CONCATENATE("M(",AD44,")=")</f>
        <v>M(1.5)=</v>
      </c>
      <c r="AM45">
        <f>AI45+AK45</f>
        <v>24.904800000000002</v>
      </c>
      <c r="AO45" s="82" t="str">
        <f>AA45</f>
        <v>M(1.5)=</v>
      </c>
      <c r="AP45" s="82" t="e">
        <f>VLOOKUP(AO45,Rise_Results,2,FALSE)</f>
        <v>#N/A</v>
      </c>
      <c r="AQ45" s="82">
        <f>N45</f>
        <v>24.873075</v>
      </c>
      <c r="AR45" s="82">
        <f>IF(OR(AB44&lt;=0,AB45&lt;=0),1/0,AB45)</f>
        <v>24.962174999999998</v>
      </c>
      <c r="AS45" s="82">
        <f>AM45</f>
        <v>24.904800000000002</v>
      </c>
      <c r="AT45">
        <f>IFERROR(AP45,IFERROR(AQ45,IFERROR(AR45,AS45)))</f>
        <v>24.873075</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3.52</v>
      </c>
      <c r="E47" s="102">
        <v>1</v>
      </c>
      <c r="F47" s="68">
        <f>D47*E47</f>
        <v>3.52</v>
      </c>
      <c r="G47" s="69">
        <f>C47</f>
        <v>1</v>
      </c>
      <c r="H47" s="69">
        <f>F47*G47</f>
        <v>3.52</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3.52</v>
      </c>
      <c r="S47" s="69">
        <v>5</v>
      </c>
      <c r="T47" s="68">
        <f>R47*S47</f>
        <v>17.600000000000001</v>
      </c>
      <c r="U47" s="79">
        <v>3</v>
      </c>
      <c r="V47" s="68">
        <f>R47*U47</f>
        <v>10.56</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4.0599999999999996</v>
      </c>
      <c r="E48" s="81">
        <v>4</v>
      </c>
      <c r="F48" s="76">
        <f>D48*E48</f>
        <v>16.239999999999998</v>
      </c>
      <c r="G48" s="77">
        <f>C48</f>
        <v>1.5</v>
      </c>
      <c r="H48" s="77">
        <f>F48*G48</f>
        <v>24.36</v>
      </c>
      <c r="I48" s="513" t="s">
        <v>97</v>
      </c>
      <c r="J48" s="513"/>
      <c r="K48" s="78" t="s">
        <v>98</v>
      </c>
      <c r="L48" s="78"/>
      <c r="M48" s="7" t="s">
        <v>99</v>
      </c>
      <c r="N48" s="7"/>
      <c r="O48" s="99">
        <f>O47+1</f>
        <v>5</v>
      </c>
      <c r="P48" s="99">
        <f t="shared" si="10"/>
        <v>2</v>
      </c>
      <c r="Q48" s="76">
        <f>P48</f>
        <v>2</v>
      </c>
      <c r="R48" s="77">
        <f>VLOOKUP(Q48,STN_TABLE,2,FALSE)</f>
        <v>4.43</v>
      </c>
      <c r="S48" s="77">
        <v>8</v>
      </c>
      <c r="T48" s="76">
        <f>R48*S48</f>
        <v>35.44</v>
      </c>
      <c r="U48" s="80">
        <v>10</v>
      </c>
      <c r="V48" s="76">
        <f>R48*U48</f>
        <v>44.3</v>
      </c>
      <c r="W48" s="513" t="s">
        <v>97</v>
      </c>
      <c r="X48" s="513"/>
      <c r="Y48" s="513" t="s">
        <v>98</v>
      </c>
      <c r="Z48" s="513"/>
      <c r="AA48" s="511" t="s">
        <v>99</v>
      </c>
      <c r="AB48" s="511"/>
      <c r="AC48" s="99">
        <f>AC43+1</f>
        <v>4</v>
      </c>
      <c r="AD48" s="95">
        <f>VLOOKUP(AC48,STN_TABLE_2,2,FALSE)</f>
        <v>1.5</v>
      </c>
      <c r="AE48" s="68">
        <f>VLOOKUP(AD48,STN_TABLE,2,FALSE)</f>
        <v>4.0599999999999996</v>
      </c>
      <c r="AF48" s="68">
        <v>1</v>
      </c>
      <c r="AG48" s="69">
        <f>AE48*AF48</f>
        <v>4.0599999999999996</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4.43</v>
      </c>
      <c r="E49" s="92">
        <v>1</v>
      </c>
      <c r="F49" s="82">
        <f>D49*E49</f>
        <v>4.43</v>
      </c>
      <c r="G49" s="83">
        <f>C49</f>
        <v>2</v>
      </c>
      <c r="H49" s="83">
        <f>F49*G49</f>
        <v>8.86</v>
      </c>
      <c r="I49" s="84" t="str">
        <f>CONCATENATE("a'(",C49,")=")</f>
        <v>a'(2)=</v>
      </c>
      <c r="J49" s="84">
        <f>2*J47/3*F50</f>
        <v>14.513999999999998</v>
      </c>
      <c r="K49" s="84" t="str">
        <f>CONCATENATE("A(",C47,")=")</f>
        <v>A(1)=</v>
      </c>
      <c r="L49" s="84">
        <f>VLOOKUP(C47,STN_TABLE,3,FALSE)</f>
        <v>8.8140000000000001</v>
      </c>
      <c r="M49" t="str">
        <f>CONCATENATE("A(",C49,")=")</f>
        <v>A(2)=</v>
      </c>
      <c r="N49">
        <f>J49+L49</f>
        <v>23.327999999999996</v>
      </c>
      <c r="O49" s="99">
        <f>O48+1</f>
        <v>6</v>
      </c>
      <c r="P49" s="99">
        <f t="shared" si="10"/>
        <v>3</v>
      </c>
      <c r="Q49" s="82">
        <f>IF(P49-P48=P48-P47,P49,IF(P50-P48=P48-P47,P50,IF(P49-P48=P48-P46,P49,IF(P50-P48=P48-P46,P50,"-"))))</f>
        <v>3</v>
      </c>
      <c r="R49" s="83">
        <f>VLOOKUP(Q49,STN_TABLE,2,FALSE)</f>
        <v>5.03</v>
      </c>
      <c r="S49" s="83">
        <v>-1</v>
      </c>
      <c r="T49" s="82">
        <f>R49*S49</f>
        <v>-5.03</v>
      </c>
      <c r="U49" s="88">
        <v>-1</v>
      </c>
      <c r="V49" s="82">
        <f>R49*U49</f>
        <v>-5.03</v>
      </c>
      <c r="W49" s="84" t="str">
        <f>CONCATENATE("a'(",Q48,")=")</f>
        <v>a'(2)=</v>
      </c>
      <c r="X49" s="84">
        <f>2*X47/12*T50</f>
        <v>14.402999999999999</v>
      </c>
      <c r="Y49" s="84" t="str">
        <f>CONCATENATE("A(",Q47,")=")</f>
        <v>A(1)=</v>
      </c>
      <c r="Z49" s="84">
        <f>VLOOKUP(Q47,STN_TABLE,3,FALSE)</f>
        <v>8.8140000000000001</v>
      </c>
      <c r="AA49" t="str">
        <f>CONCATENATE("A(",Q48,")=")</f>
        <v>A(2)=</v>
      </c>
      <c r="AB49">
        <f>X49+Z49</f>
        <v>23.216999999999999</v>
      </c>
      <c r="AC49" s="99">
        <f>AC48+1</f>
        <v>5</v>
      </c>
      <c r="AD49" s="100">
        <f>VLOOKUP(AC49,STN_TABLE_2,2,FALSE)</f>
        <v>2</v>
      </c>
      <c r="AE49" s="82">
        <f>VLOOKUP(AD49,STN_TABLE,2,FALSE)</f>
        <v>4.43</v>
      </c>
      <c r="AF49" s="82">
        <v>2</v>
      </c>
      <c r="AG49" s="83">
        <f>AE49*AF49</f>
        <v>8.86</v>
      </c>
      <c r="AH49" s="84" t="str">
        <f>CONCATENATE("a'(",AD49,")=")</f>
        <v>a'(2)=</v>
      </c>
      <c r="AI49" s="84">
        <f>2*AI47/2*AE50</f>
        <v>7.6409999999999991</v>
      </c>
      <c r="AJ49" s="84" t="str">
        <f>CONCATENATE("A(",AD48,")=")</f>
        <v>A(1.5)=</v>
      </c>
      <c r="AK49" s="84">
        <f>VLOOKUP(AD48,STN_TABLE,3,FALSE)</f>
        <v>15.577500000000001</v>
      </c>
      <c r="AL49" t="str">
        <f>CONCATENATE("A(",AD49,")=")</f>
        <v>A(2)=</v>
      </c>
      <c r="AM49">
        <f>AI49+AK49</f>
        <v>23.218499999999999</v>
      </c>
      <c r="AO49" s="68" t="str">
        <f>AA49</f>
        <v>A(2)=</v>
      </c>
      <c r="AP49" s="68" t="e">
        <f>VLOOKUP(AO49,Rise_Results,2,FALSE)</f>
        <v>#N/A</v>
      </c>
      <c r="AQ49" s="76">
        <f>N49</f>
        <v>23.327999999999996</v>
      </c>
      <c r="AR49" s="76">
        <f>IF(OR(AB49&lt;=0,AB50&lt;=0),1/0,AB49)</f>
        <v>23.216999999999999</v>
      </c>
      <c r="AS49" s="76">
        <f>AM49</f>
        <v>23.218499999999999</v>
      </c>
      <c r="AT49">
        <f>IFERROR(AP49,IFERROR(AQ49,IFERROR(AR49,AS49)))</f>
        <v>23.327999999999996</v>
      </c>
      <c r="AU49" s="81"/>
    </row>
    <row r="50" spans="1:47" x14ac:dyDescent="0.25">
      <c r="A50" s="84">
        <f>A49+1</f>
        <v>5</v>
      </c>
      <c r="B50" s="84">
        <f t="shared" si="11"/>
        <v>2</v>
      </c>
      <c r="F50" s="82">
        <f>SUM(F47:F49)</f>
        <v>24.189999999999998</v>
      </c>
      <c r="H50" s="82">
        <f>SUM(H47:H49)</f>
        <v>36.739999999999995</v>
      </c>
      <c r="I50" s="84" t="str">
        <f>CONCATENATE("m'(",C49,")=")</f>
        <v>m'(2)=</v>
      </c>
      <c r="J50" s="84">
        <f>2*(J47*(WLS))/3*H50</f>
        <v>39.679199999999994</v>
      </c>
      <c r="K50" s="84" t="str">
        <f>CONCATENATE("M(",C47,")=")</f>
        <v>M(1)=</v>
      </c>
      <c r="L50" s="84">
        <f>VLOOKUP(C47,STN_TABLE,4,FALSE)</f>
        <v>9.4824000000000002</v>
      </c>
      <c r="M50" t="str">
        <f>CONCATENATE("M(",C49,")=")</f>
        <v>M(2)=</v>
      </c>
      <c r="N50">
        <f>J50+L50</f>
        <v>49.161599999999993</v>
      </c>
      <c r="O50" s="99">
        <f>O49+1</f>
        <v>7</v>
      </c>
      <c r="P50" s="99">
        <f t="shared" si="10"/>
        <v>4</v>
      </c>
      <c r="T50" s="89">
        <f>SUM(T47:T49)</f>
        <v>48.01</v>
      </c>
      <c r="V50" s="82">
        <f>SUM(V47:V49)</f>
        <v>49.83</v>
      </c>
      <c r="W50" s="84" t="str">
        <f>CONCATENATE("m'(",Q48,")=")</f>
        <v>m'(2)=</v>
      </c>
      <c r="X50" s="84">
        <f>(2*(X47^2)/24*V50)+(X49*Q47*WLS)</f>
        <v>39.3795</v>
      </c>
      <c r="Y50" s="84" t="str">
        <f>CONCATENATE("M(",Q47,")=")</f>
        <v>M(1)=</v>
      </c>
      <c r="Z50" s="84">
        <f>VLOOKUP(Q47,STN_TABLE,4,FALSE)</f>
        <v>9.4824000000000002</v>
      </c>
      <c r="AA50" t="str">
        <f>CONCATENATE("M(",Q48,")=")</f>
        <v>M(2)=</v>
      </c>
      <c r="AB50">
        <f>X50+Z50</f>
        <v>48.861899999999999</v>
      </c>
      <c r="AE50" s="89">
        <f>SUM(AE48:AE49)</f>
        <v>8.4899999999999984</v>
      </c>
      <c r="AG50" s="89">
        <f>SUM(AG48:AG49)</f>
        <v>12.919999999999998</v>
      </c>
      <c r="AH50" s="84" t="str">
        <f>CONCATENATE("m'(",AD49,")=")</f>
        <v>m'(2)=</v>
      </c>
      <c r="AI50" s="84">
        <f>(2*(AI47^2)/6*AG50)+(AI49*AD48*WLS)</f>
        <v>24.119099999999996</v>
      </c>
      <c r="AJ50" s="84" t="str">
        <f>CONCATENATE("M(",AD48,")=")</f>
        <v>M(1.5)=</v>
      </c>
      <c r="AK50" s="84">
        <f>VLOOKUP(AD48,STN_TABLE,4,FALSE)</f>
        <v>24.873075</v>
      </c>
      <c r="AL50" t="str">
        <f>CONCATENATE("M(",AD49,")=")</f>
        <v>M(2)=</v>
      </c>
      <c r="AM50">
        <f>AI50+AK50</f>
        <v>48.992174999999996</v>
      </c>
      <c r="AO50" s="82" t="str">
        <f>AA50</f>
        <v>M(2)=</v>
      </c>
      <c r="AP50" s="82" t="e">
        <f>VLOOKUP(AO50,Rise_Results,2,FALSE)</f>
        <v>#N/A</v>
      </c>
      <c r="AQ50" s="82">
        <f>N50</f>
        <v>49.161599999999993</v>
      </c>
      <c r="AR50" s="82">
        <f>IF(OR(AB49&lt;=0,AB50&lt;=0),1/0,AB50)</f>
        <v>48.861899999999999</v>
      </c>
      <c r="AS50" s="82">
        <f>AM50</f>
        <v>48.992174999999996</v>
      </c>
      <c r="AT50">
        <f>IFERROR(AP50,IFERROR(AQ50,IFERROR(AR50,AS50)))</f>
        <v>49.161599999999993</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3.52</v>
      </c>
      <c r="E52" s="102">
        <v>1</v>
      </c>
      <c r="F52" s="68">
        <f>D52*E52</f>
        <v>3.52</v>
      </c>
      <c r="G52" s="69">
        <f>C52</f>
        <v>1</v>
      </c>
      <c r="H52" s="69">
        <f>F52*G52</f>
        <v>3.52</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4.43</v>
      </c>
      <c r="S52" s="69">
        <v>5</v>
      </c>
      <c r="T52" s="68">
        <f>R52*S52</f>
        <v>22.15</v>
      </c>
      <c r="U52" s="79">
        <v>3</v>
      </c>
      <c r="V52" s="68">
        <f>R52*U52</f>
        <v>13.29</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4.43</v>
      </c>
      <c r="E53" s="81">
        <v>4</v>
      </c>
      <c r="F53" s="76">
        <f>D53*E53</f>
        <v>17.72</v>
      </c>
      <c r="G53" s="77">
        <f>C53</f>
        <v>2</v>
      </c>
      <c r="H53" s="77">
        <f>F53*G53</f>
        <v>35.44</v>
      </c>
      <c r="I53" s="512" t="s">
        <v>97</v>
      </c>
      <c r="J53" s="513"/>
      <c r="K53" s="78" t="s">
        <v>98</v>
      </c>
      <c r="L53" s="78"/>
      <c r="M53" s="7" t="s">
        <v>99</v>
      </c>
      <c r="N53" s="7"/>
      <c r="O53" s="99">
        <f>O52+1</f>
        <v>6</v>
      </c>
      <c r="P53" s="99">
        <f t="shared" si="10"/>
        <v>3</v>
      </c>
      <c r="Q53" s="76">
        <f>P53</f>
        <v>3</v>
      </c>
      <c r="R53" s="77">
        <f>VLOOKUP(Q53,STN_TABLE,2,FALSE)</f>
        <v>5.03</v>
      </c>
      <c r="S53" s="77">
        <v>8</v>
      </c>
      <c r="T53" s="76">
        <f>R53*S53</f>
        <v>40.24</v>
      </c>
      <c r="U53" s="80">
        <v>10</v>
      </c>
      <c r="V53" s="76">
        <f>R53*U53</f>
        <v>50.300000000000004</v>
      </c>
      <c r="W53" s="513" t="s">
        <v>97</v>
      </c>
      <c r="X53" s="513"/>
      <c r="Y53" s="513" t="s">
        <v>98</v>
      </c>
      <c r="Z53" s="513"/>
      <c r="AA53" s="511" t="s">
        <v>99</v>
      </c>
      <c r="AB53" s="511"/>
      <c r="AC53" s="99">
        <f>AC48+1</f>
        <v>5</v>
      </c>
      <c r="AD53" s="95">
        <f>VLOOKUP(AC53,STN_TABLE_2,2,FALSE)</f>
        <v>2</v>
      </c>
      <c r="AE53" s="68">
        <f>VLOOKUP(AD53,STN_TABLE,2,FALSE)</f>
        <v>4.43</v>
      </c>
      <c r="AF53" s="68">
        <v>1</v>
      </c>
      <c r="AG53" s="69">
        <f>AE53*AF53</f>
        <v>4.43</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5.03</v>
      </c>
      <c r="E54" s="92">
        <v>1</v>
      </c>
      <c r="F54" s="82">
        <f>D54*E54</f>
        <v>5.03</v>
      </c>
      <c r="G54" s="83">
        <f>C54</f>
        <v>3</v>
      </c>
      <c r="H54" s="83">
        <f>F54*G54</f>
        <v>15.09</v>
      </c>
      <c r="I54" s="84" t="str">
        <f>CONCATENATE("a'(",C54,")=")</f>
        <v>a'(3)=</v>
      </c>
      <c r="J54" s="84">
        <f>2*J52/3*F55</f>
        <v>31.523999999999997</v>
      </c>
      <c r="K54" s="84" t="str">
        <f>CONCATENATE("A(",C52,")=")</f>
        <v>A(1)=</v>
      </c>
      <c r="L54" s="84">
        <f>VLOOKUP(C52,STN_TABLE,3,FALSE)</f>
        <v>8.8140000000000001</v>
      </c>
      <c r="M54" t="str">
        <f>CONCATENATE("A(",C54,")=")</f>
        <v>A(3)=</v>
      </c>
      <c r="N54">
        <f>J54+L54</f>
        <v>40.337999999999994</v>
      </c>
      <c r="O54" s="99">
        <f>O53+1</f>
        <v>7</v>
      </c>
      <c r="P54" s="99">
        <f t="shared" si="10"/>
        <v>4</v>
      </c>
      <c r="Q54" s="82">
        <f>IF(P54-P53=P53-P52,P54,IF(P55-P53=P53-P52,P55,IF(P54-P53=P53-P51,P54,IF(P55-P53=P53-P51,P55,"-"))))</f>
        <v>4</v>
      </c>
      <c r="R54" s="83">
        <f>VLOOKUP(Q54,STN_TABLE,2,FALSE)</f>
        <v>5.69</v>
      </c>
      <c r="S54" s="83">
        <v>-1</v>
      </c>
      <c r="T54" s="82">
        <f>R54*S54</f>
        <v>-5.69</v>
      </c>
      <c r="U54" s="88">
        <v>-1</v>
      </c>
      <c r="V54" s="82">
        <f>R54*U54</f>
        <v>-5.69</v>
      </c>
      <c r="W54" s="84" t="str">
        <f>CONCATENATE("a'(",Q53,")=")</f>
        <v>a'(3)=</v>
      </c>
      <c r="X54" s="84">
        <f>2*X52/12*T55</f>
        <v>17.010000000000002</v>
      </c>
      <c r="Y54" s="84" t="str">
        <f>CONCATENATE("A(",Q52,")=")</f>
        <v>A(2)=</v>
      </c>
      <c r="Z54" s="84">
        <f>VLOOKUP(Q52,STN_TABLE,3,FALSE)</f>
        <v>23.327999999999996</v>
      </c>
      <c r="AA54" t="str">
        <f>CONCATENATE("A(",Q53,")=")</f>
        <v>A(3)=</v>
      </c>
      <c r="AB54">
        <f>X54+Z54</f>
        <v>40.337999999999994</v>
      </c>
      <c r="AC54" s="99">
        <f>AC53+1</f>
        <v>6</v>
      </c>
      <c r="AD54" s="100">
        <f>VLOOKUP(AC54,STN_TABLE_2,2,FALSE)</f>
        <v>3</v>
      </c>
      <c r="AE54" s="82">
        <f>VLOOKUP(AD54,STN_TABLE,2,FALSE)</f>
        <v>5.03</v>
      </c>
      <c r="AF54" s="82">
        <v>2</v>
      </c>
      <c r="AG54" s="83">
        <f>AE54*AF54</f>
        <v>10.06</v>
      </c>
      <c r="AH54" s="84" t="str">
        <f>CONCATENATE("a'(",AD54,")=")</f>
        <v>a'(3)=</v>
      </c>
      <c r="AI54" s="84">
        <f>2*AI52/2*AE55</f>
        <v>17.028000000000002</v>
      </c>
      <c r="AJ54" s="84" t="str">
        <f>CONCATENATE("A(",AD53,")=")</f>
        <v>A(2)=</v>
      </c>
      <c r="AK54" s="84">
        <f>VLOOKUP(AD53,STN_TABLE,3,FALSE)</f>
        <v>23.327999999999996</v>
      </c>
      <c r="AL54" t="str">
        <f>CONCATENATE("A(",AD54,")=")</f>
        <v>A(3)=</v>
      </c>
      <c r="AM54">
        <f>AI54+AK54</f>
        <v>40.355999999999995</v>
      </c>
      <c r="AO54" s="68" t="str">
        <f>AA54</f>
        <v>A(3)=</v>
      </c>
      <c r="AP54" s="68" t="e">
        <f>VLOOKUP(AO54,Rise_Results,2,FALSE)</f>
        <v>#N/A</v>
      </c>
      <c r="AQ54" s="76">
        <f>N54</f>
        <v>40.337999999999994</v>
      </c>
      <c r="AR54" s="76">
        <f>IF(OR(AB54&lt;=0,AB55&lt;=0),1/0,AB54)</f>
        <v>40.337999999999994</v>
      </c>
      <c r="AS54" s="76">
        <f>AM54</f>
        <v>40.355999999999995</v>
      </c>
      <c r="AT54">
        <f>IFERROR(AP54,IFERROR(AQ54,IFERROR(AR54,AS54)))</f>
        <v>40.337999999999994</v>
      </c>
      <c r="AU54" s="81"/>
    </row>
    <row r="55" spans="1:47" x14ac:dyDescent="0.25">
      <c r="A55" s="84">
        <f>A54+1</f>
        <v>6</v>
      </c>
      <c r="B55" s="84">
        <f t="shared" si="11"/>
        <v>3</v>
      </c>
      <c r="F55" s="82">
        <f>SUM(F52:F54)</f>
        <v>26.27</v>
      </c>
      <c r="H55" s="82">
        <f>SUM(H52:H54)</f>
        <v>54.05</v>
      </c>
      <c r="I55" s="84" t="str">
        <f>CONCATENATE("m'(",C54,")=")</f>
        <v>m'(3)=</v>
      </c>
      <c r="J55" s="84">
        <f>2*(J52*(WLS))/3*H55</f>
        <v>116.748</v>
      </c>
      <c r="K55" s="84" t="str">
        <f>CONCATENATE("M(",C52,")=")</f>
        <v>M(1)=</v>
      </c>
      <c r="L55" s="84">
        <f>VLOOKUP(C52,STN_TABLE,4,FALSE)</f>
        <v>9.4824000000000002</v>
      </c>
      <c r="M55" t="str">
        <f>CONCATENATE("M(",C54,")=")</f>
        <v>M(3)=</v>
      </c>
      <c r="N55">
        <f>J55+L55</f>
        <v>126.2304</v>
      </c>
      <c r="O55" s="99">
        <f>O54+1</f>
        <v>8</v>
      </c>
      <c r="P55" s="99">
        <f t="shared" si="10"/>
        <v>5</v>
      </c>
      <c r="T55" s="89">
        <f>SUM(T52:T54)</f>
        <v>56.7</v>
      </c>
      <c r="V55" s="82">
        <f>SUM(V52:V54)</f>
        <v>57.900000000000006</v>
      </c>
      <c r="W55" s="84" t="str">
        <f>CONCATENATE("m'(",Q53,")=")</f>
        <v>m'(3)=</v>
      </c>
      <c r="X55" s="84">
        <f>(2*(X52^2)/24*V55)+(X54*Q52*WLS)</f>
        <v>76.869</v>
      </c>
      <c r="Y55" s="84" t="str">
        <f>CONCATENATE("M(",Q52,")=")</f>
        <v>M(2)=</v>
      </c>
      <c r="Z55" s="84">
        <f>VLOOKUP(Q52,STN_TABLE,4,FALSE)</f>
        <v>49.161599999999993</v>
      </c>
      <c r="AA55" t="str">
        <f>CONCATENATE("M(",Q53,")=")</f>
        <v>M(3)=</v>
      </c>
      <c r="AB55">
        <f>X55+Z55</f>
        <v>126.03059999999999</v>
      </c>
      <c r="AE55" s="89">
        <f>SUM(AE53:AE54)</f>
        <v>9.4600000000000009</v>
      </c>
      <c r="AG55" s="89">
        <f>SUM(AG53:AG54)</f>
        <v>14.49</v>
      </c>
      <c r="AH55" s="84" t="str">
        <f>CONCATENATE("m'(",AD54,")=")</f>
        <v>m'(3)=</v>
      </c>
      <c r="AI55" s="84">
        <f>(2*(AI52^2)/6*AG55)+(AI54*AD53*WLS)</f>
        <v>76.950000000000017</v>
      </c>
      <c r="AJ55" s="84" t="str">
        <f>CONCATENATE("M(",AD53,")=")</f>
        <v>M(2)=</v>
      </c>
      <c r="AK55" s="84">
        <f>VLOOKUP(AD53,STN_TABLE,4,FALSE)</f>
        <v>49.161599999999993</v>
      </c>
      <c r="AL55" t="str">
        <f>CONCATENATE("M(",AD54,")=")</f>
        <v>M(3)=</v>
      </c>
      <c r="AM55">
        <f>AI55+AK55</f>
        <v>126.11160000000001</v>
      </c>
      <c r="AO55" s="82" t="str">
        <f>AA55</f>
        <v>M(3)=</v>
      </c>
      <c r="AP55" s="82" t="e">
        <f>VLOOKUP(AO55,Rise_Results,2,FALSE)</f>
        <v>#N/A</v>
      </c>
      <c r="AQ55" s="82">
        <f>N55</f>
        <v>126.2304</v>
      </c>
      <c r="AR55" s="82">
        <f>IF(OR(AB54&lt;=0,AB55&lt;=0),1/0,AB55)</f>
        <v>126.03059999999999</v>
      </c>
      <c r="AS55" s="82">
        <f>AM55</f>
        <v>126.11160000000001</v>
      </c>
      <c r="AT55">
        <f>IFERROR(AP55,IFERROR(AQ55,IFERROR(AR55,AS55)))</f>
        <v>126.2304</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4.43</v>
      </c>
      <c r="E57" s="102">
        <v>1</v>
      </c>
      <c r="F57" s="68">
        <f>D57*E57</f>
        <v>4.43</v>
      </c>
      <c r="G57" s="69">
        <f>C57</f>
        <v>2</v>
      </c>
      <c r="H57" s="69">
        <f>F57*G57</f>
        <v>8.86</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5.03</v>
      </c>
      <c r="S57" s="69">
        <v>5</v>
      </c>
      <c r="T57" s="68">
        <f>R57*S57</f>
        <v>25.150000000000002</v>
      </c>
      <c r="U57" s="79">
        <v>3</v>
      </c>
      <c r="V57" s="68">
        <f>R57*U57</f>
        <v>15.09</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5.03</v>
      </c>
      <c r="E58" s="81">
        <v>4</v>
      </c>
      <c r="F58" s="76">
        <f>D58*E58</f>
        <v>20.12</v>
      </c>
      <c r="G58" s="77">
        <f>C58</f>
        <v>3</v>
      </c>
      <c r="H58" s="77">
        <f>F58*G58</f>
        <v>60.36</v>
      </c>
      <c r="I58" s="512" t="s">
        <v>97</v>
      </c>
      <c r="J58" s="513"/>
      <c r="K58" s="78" t="s">
        <v>98</v>
      </c>
      <c r="L58" s="78"/>
      <c r="M58" s="7" t="s">
        <v>99</v>
      </c>
      <c r="N58" s="7"/>
      <c r="O58" s="99">
        <f>O57+1</f>
        <v>7</v>
      </c>
      <c r="P58" s="99">
        <f t="shared" si="10"/>
        <v>4</v>
      </c>
      <c r="Q58" s="76">
        <f>P58</f>
        <v>4</v>
      </c>
      <c r="R58" s="77">
        <f>VLOOKUP(Q58,STN_TABLE,2,FALSE)</f>
        <v>5.69</v>
      </c>
      <c r="S58" s="77">
        <v>8</v>
      </c>
      <c r="T58" s="76">
        <f>R58*S58</f>
        <v>45.52</v>
      </c>
      <c r="U58" s="80">
        <v>10</v>
      </c>
      <c r="V58" s="76">
        <f>R58*U58</f>
        <v>56.900000000000006</v>
      </c>
      <c r="W58" s="78" t="s">
        <v>97</v>
      </c>
      <c r="X58" s="78"/>
      <c r="Y58" s="78" t="s">
        <v>98</v>
      </c>
      <c r="Z58" s="78"/>
      <c r="AA58" s="7" t="s">
        <v>99</v>
      </c>
      <c r="AB58" s="7"/>
      <c r="AC58" s="99">
        <f>AC53+1</f>
        <v>6</v>
      </c>
      <c r="AD58" s="95">
        <f>VLOOKUP(AC58,STN_TABLE_2,2,FALSE)</f>
        <v>3</v>
      </c>
      <c r="AE58" s="68">
        <f>VLOOKUP(AD58,STN_TABLE,2,FALSE)</f>
        <v>5.03</v>
      </c>
      <c r="AF58" s="68">
        <v>1</v>
      </c>
      <c r="AG58" s="69">
        <f>AE58*AF58</f>
        <v>5.03</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5.69</v>
      </c>
      <c r="E59" s="92">
        <v>1</v>
      </c>
      <c r="F59" s="82">
        <f>D59*E59</f>
        <v>5.69</v>
      </c>
      <c r="G59" s="83">
        <f>C59</f>
        <v>4</v>
      </c>
      <c r="H59" s="83">
        <f>F59*G59</f>
        <v>22.76</v>
      </c>
      <c r="I59" s="84" t="str">
        <f>CONCATENATE("a'(",C59,")=")</f>
        <v>a'(4)=</v>
      </c>
      <c r="J59" s="84">
        <f>2*J57/3*F60</f>
        <v>36.288000000000004</v>
      </c>
      <c r="K59" s="84" t="str">
        <f>CONCATENATE("A(",C57,")=")</f>
        <v>A(2)=</v>
      </c>
      <c r="L59" s="84">
        <f>VLOOKUP(C57,STN_TABLE,3,FALSE)</f>
        <v>23.327999999999996</v>
      </c>
      <c r="M59" t="str">
        <f>CONCATENATE("A(",C59,")=")</f>
        <v>A(4)=</v>
      </c>
      <c r="N59">
        <f>J59+L59</f>
        <v>59.616</v>
      </c>
      <c r="O59" s="99">
        <f>O58+1</f>
        <v>8</v>
      </c>
      <c r="P59" s="99">
        <f t="shared" si="10"/>
        <v>5</v>
      </c>
      <c r="Q59" s="82">
        <f>IF(P59-P58=P58-P57,P59,IF(P60-P58=P58-P57,P60,IF(P59-P58=P58-P56,P59,IF(P60-P58=P58-P56,P60,"-"))))</f>
        <v>5</v>
      </c>
      <c r="R59" s="83">
        <f>VLOOKUP(Q59,STN_TABLE,2,FALSE)</f>
        <v>6.59</v>
      </c>
      <c r="S59" s="83">
        <v>-1</v>
      </c>
      <c r="T59" s="82">
        <f>R59*S59</f>
        <v>-6.59</v>
      </c>
      <c r="U59" s="88">
        <v>-1</v>
      </c>
      <c r="V59" s="82">
        <f>R59*U59</f>
        <v>-6.59</v>
      </c>
      <c r="W59" s="84" t="str">
        <f>CONCATENATE("a'(",Q58,")=")</f>
        <v>a'(4)=</v>
      </c>
      <c r="X59" s="84">
        <f>2*X57/12*T60</f>
        <v>19.224</v>
      </c>
      <c r="Y59" s="84" t="str">
        <f>CONCATENATE("A(",Q57,")=")</f>
        <v>A(3)=</v>
      </c>
      <c r="Z59" s="84">
        <f>VLOOKUP(Q57,STN_TABLE,3,FALSE)</f>
        <v>40.337999999999994</v>
      </c>
      <c r="AA59" t="str">
        <f>CONCATENATE("A(",Q58,")=")</f>
        <v>A(4)=</v>
      </c>
      <c r="AB59">
        <f>X59+Z59</f>
        <v>59.561999999999998</v>
      </c>
      <c r="AC59" s="99">
        <f>AC58+1</f>
        <v>7</v>
      </c>
      <c r="AD59" s="100">
        <f>VLOOKUP(AC59,STN_TABLE_2,2,FALSE)</f>
        <v>4</v>
      </c>
      <c r="AE59" s="82">
        <f>VLOOKUP(AD59,STN_TABLE,2,FALSE)</f>
        <v>5.69</v>
      </c>
      <c r="AF59" s="82">
        <v>2</v>
      </c>
      <c r="AG59" s="83">
        <f>AE59*AF59</f>
        <v>11.38</v>
      </c>
      <c r="AH59" s="84" t="str">
        <f>CONCATENATE("a'(",AD59,")=")</f>
        <v>a'(4)=</v>
      </c>
      <c r="AI59" s="84">
        <f>2*AI57/2*AE60</f>
        <v>19.296000000000003</v>
      </c>
      <c r="AJ59" s="84" t="str">
        <f>CONCATENATE("A(",AD58,")=")</f>
        <v>A(3)=</v>
      </c>
      <c r="AK59" s="84">
        <f>VLOOKUP(AD58,STN_TABLE,3,FALSE)</f>
        <v>40.337999999999994</v>
      </c>
      <c r="AL59" t="str">
        <f>CONCATENATE("A(",AD59,")=")</f>
        <v>A(4)=</v>
      </c>
      <c r="AM59">
        <f>AI59+AK59</f>
        <v>59.634</v>
      </c>
      <c r="AO59" s="68" t="str">
        <f>AA59</f>
        <v>A(4)=</v>
      </c>
      <c r="AP59" s="68" t="e">
        <f>VLOOKUP(AO59,Rise_Results,2,FALSE)</f>
        <v>#N/A</v>
      </c>
      <c r="AQ59" s="76">
        <f>N59</f>
        <v>59.616</v>
      </c>
      <c r="AR59" s="76">
        <f>IF(OR(AB59&lt;=0,AB60&lt;=0),1/0,AB59)</f>
        <v>59.561999999999998</v>
      </c>
      <c r="AS59" s="76">
        <f>AM59</f>
        <v>59.634</v>
      </c>
      <c r="AT59">
        <f>IFERROR(AP59,IFERROR(AQ59,IFERROR(AR59,AS59)))</f>
        <v>59.616</v>
      </c>
      <c r="AU59" s="81"/>
    </row>
    <row r="60" spans="1:47" x14ac:dyDescent="0.25">
      <c r="A60" s="84">
        <f>A59+1</f>
        <v>7</v>
      </c>
      <c r="B60" s="84">
        <f t="shared" si="11"/>
        <v>4</v>
      </c>
      <c r="F60" s="82">
        <f>SUM(F57:F59)</f>
        <v>30.240000000000002</v>
      </c>
      <c r="H60" s="82">
        <f>SUM(H57:H59)</f>
        <v>91.98</v>
      </c>
      <c r="I60" s="84" t="str">
        <f>CONCATENATE("m'(",C59,")=")</f>
        <v>m'(4)=</v>
      </c>
      <c r="J60" s="84">
        <f>2*(J57*(WLS))/3*H60</f>
        <v>198.67680000000001</v>
      </c>
      <c r="K60" s="84" t="str">
        <f>CONCATENATE("M(",C57,")=")</f>
        <v>M(2)=</v>
      </c>
      <c r="L60" s="84">
        <f>VLOOKUP(C57,STN_TABLE,4,FALSE)</f>
        <v>49.161599999999993</v>
      </c>
      <c r="M60" t="str">
        <f>CONCATENATE("M(",C59,")=")</f>
        <v>M(4)=</v>
      </c>
      <c r="N60">
        <f>J60+L60</f>
        <v>247.83840000000001</v>
      </c>
      <c r="O60" s="99">
        <f>O59+1</f>
        <v>9</v>
      </c>
      <c r="P60" s="99">
        <f t="shared" si="10"/>
        <v>5.6111111111111107</v>
      </c>
      <c r="T60" s="89">
        <f>SUM(T57:T59)</f>
        <v>64.08</v>
      </c>
      <c r="V60" s="82">
        <f>SUM(V57:V59)</f>
        <v>65.400000000000006</v>
      </c>
      <c r="W60" s="84" t="str">
        <f>CONCATENATE("m'(",Q58,")=")</f>
        <v>m'(4)=</v>
      </c>
      <c r="X60" s="84">
        <f>(2*(X57^2)/24*V60)+(X59*Q57*WLS)</f>
        <v>121.4676</v>
      </c>
      <c r="Y60" s="84" t="str">
        <f>CONCATENATE("M(",Q57,")=")</f>
        <v>M(3)=</v>
      </c>
      <c r="Z60" s="84">
        <f>VLOOKUP(Q57,STN_TABLE,4,FALSE)</f>
        <v>126.2304</v>
      </c>
      <c r="AA60" t="str">
        <f>CONCATENATE("M(",Q58,")=")</f>
        <v>M(4)=</v>
      </c>
      <c r="AB60">
        <f>X60+Z60</f>
        <v>247.69800000000001</v>
      </c>
      <c r="AE60" s="89">
        <f>SUM(AE58:AE59)</f>
        <v>10.72</v>
      </c>
      <c r="AG60" s="89">
        <f>SUM(AG58:AG59)</f>
        <v>16.41</v>
      </c>
      <c r="AH60" s="84" t="str">
        <f>CONCATENATE("m'(",AD59,")=")</f>
        <v>m'(4)=</v>
      </c>
      <c r="AI60" s="84">
        <f>(2*(AI57^2)/6*AG60)+(AI59*AD58*WLS)</f>
        <v>121.92120000000001</v>
      </c>
      <c r="AJ60" s="84" t="str">
        <f>CONCATENATE("M(",AD58,")=")</f>
        <v>M(3)=</v>
      </c>
      <c r="AK60" s="84">
        <f>VLOOKUP(AD57,STN_TABLE,4,FALSE)</f>
        <v>0</v>
      </c>
      <c r="AL60" t="str">
        <f>CONCATENATE("M(",AD59,")=")</f>
        <v>M(4)=</v>
      </c>
      <c r="AM60">
        <f>AI60+AK60</f>
        <v>121.92120000000001</v>
      </c>
      <c r="AO60" s="82" t="str">
        <f>AA60</f>
        <v>M(4)=</v>
      </c>
      <c r="AP60" s="82" t="e">
        <f>VLOOKUP(AO60,Rise_Results,2,FALSE)</f>
        <v>#N/A</v>
      </c>
      <c r="AQ60" s="82">
        <f>N60</f>
        <v>247.83840000000001</v>
      </c>
      <c r="AR60" s="82">
        <f>IF(OR(AB59&lt;=0,AB60&lt;=0),1/0,AB60)</f>
        <v>247.69800000000001</v>
      </c>
      <c r="AS60" s="82">
        <f>AM60</f>
        <v>121.92120000000001</v>
      </c>
      <c r="AT60">
        <f>IFERROR(AP60,IFERROR(AQ60,IFERROR(AR60,AS60)))</f>
        <v>247.83840000000001</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5.03</v>
      </c>
      <c r="E62" s="102">
        <v>1</v>
      </c>
      <c r="F62" s="68">
        <f>D62*E62</f>
        <v>5.03</v>
      </c>
      <c r="G62" s="69">
        <f>C62</f>
        <v>3</v>
      </c>
      <c r="H62" s="69">
        <f>F62*G62</f>
        <v>15.09</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5.69</v>
      </c>
      <c r="S62" s="69">
        <v>5</v>
      </c>
      <c r="T62" s="68">
        <f>R62*S62</f>
        <v>28.450000000000003</v>
      </c>
      <c r="U62" s="79">
        <v>3</v>
      </c>
      <c r="V62" s="68">
        <f>R62*U62</f>
        <v>17.07</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5.69</v>
      </c>
      <c r="E63" s="81">
        <v>4</v>
      </c>
      <c r="F63" s="76">
        <f>D63*E63</f>
        <v>22.76</v>
      </c>
      <c r="G63" s="77">
        <f>C63</f>
        <v>4</v>
      </c>
      <c r="H63" s="77">
        <f>F63*G63</f>
        <v>91.04</v>
      </c>
      <c r="I63" s="512" t="s">
        <v>97</v>
      </c>
      <c r="J63" s="513"/>
      <c r="K63" s="78" t="s">
        <v>98</v>
      </c>
      <c r="L63" s="78"/>
      <c r="M63" s="7" t="s">
        <v>99</v>
      </c>
      <c r="N63" s="7"/>
      <c r="O63" s="99">
        <f>O62+1</f>
        <v>8</v>
      </c>
      <c r="P63" s="99">
        <f t="shared" si="10"/>
        <v>5</v>
      </c>
      <c r="Q63" s="76">
        <f>P63</f>
        <v>5</v>
      </c>
      <c r="R63" s="77">
        <f>VLOOKUP(Q63,STN_TABLE,2,FALSE)</f>
        <v>6.59</v>
      </c>
      <c r="S63" s="77">
        <v>8</v>
      </c>
      <c r="T63" s="76">
        <f>R63*S63</f>
        <v>52.72</v>
      </c>
      <c r="U63" s="80">
        <v>10</v>
      </c>
      <c r="V63" s="76">
        <f>R63*U63</f>
        <v>65.900000000000006</v>
      </c>
      <c r="W63" s="513" t="s">
        <v>97</v>
      </c>
      <c r="X63" s="513"/>
      <c r="Y63" s="513" t="s">
        <v>98</v>
      </c>
      <c r="Z63" s="513"/>
      <c r="AA63" s="511" t="s">
        <v>99</v>
      </c>
      <c r="AB63" s="511"/>
      <c r="AC63" s="99">
        <f>AC58+1</f>
        <v>7</v>
      </c>
      <c r="AD63" s="95">
        <f>VLOOKUP(AC63,STN_TABLE_2,2,FALSE)</f>
        <v>4</v>
      </c>
      <c r="AE63" s="68">
        <f>VLOOKUP(AD63,STN_TABLE,2,FALSE)</f>
        <v>5.69</v>
      </c>
      <c r="AF63" s="68">
        <v>1</v>
      </c>
      <c r="AG63" s="69">
        <f>AE63*AF63</f>
        <v>5.69</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6.59</v>
      </c>
      <c r="E64" s="92">
        <v>1</v>
      </c>
      <c r="F64" s="82">
        <f>D64*E64</f>
        <v>6.59</v>
      </c>
      <c r="G64" s="83">
        <f>C64</f>
        <v>5</v>
      </c>
      <c r="H64" s="83">
        <f>F64*G64</f>
        <v>32.950000000000003</v>
      </c>
      <c r="I64" s="84" t="str">
        <f>CONCATENATE("a'(",C64,")=")</f>
        <v>a'(5)=</v>
      </c>
      <c r="J64" s="84">
        <f>2*J62/3*F65</f>
        <v>41.256</v>
      </c>
      <c r="K64" s="84" t="str">
        <f>CONCATENATE("A(",C62,")=")</f>
        <v>A(3)=</v>
      </c>
      <c r="L64" s="84">
        <f>VLOOKUP(C62,STN_TABLE,3,FALSE)</f>
        <v>40.337999999999994</v>
      </c>
      <c r="M64" t="str">
        <f>CONCATENATE("A(",C64,")=")</f>
        <v>A(5)=</v>
      </c>
      <c r="N64">
        <f>J64+L64</f>
        <v>81.593999999999994</v>
      </c>
      <c r="O64" s="99">
        <f>O63+1</f>
        <v>9</v>
      </c>
      <c r="P64" s="99">
        <f t="shared" si="10"/>
        <v>5.6111111111111107</v>
      </c>
      <c r="Q64" s="82">
        <f>IF(P64-P63=P63-P62,P64,IF(P65-P63=P63-P62,P65,IF(P64-P63=P63-P61,P64,IF(P65-P63=P63-P61,P65,"-"))))</f>
        <v>6</v>
      </c>
      <c r="R64" s="83">
        <f>VLOOKUP(Q64,STN_TABLE,2,FALSE)</f>
        <v>7.64</v>
      </c>
      <c r="S64" s="83">
        <v>-1</v>
      </c>
      <c r="T64" s="82">
        <f>R64*S64</f>
        <v>-7.64</v>
      </c>
      <c r="U64" s="88">
        <v>-1</v>
      </c>
      <c r="V64" s="82">
        <f>R64*U64</f>
        <v>-7.64</v>
      </c>
      <c r="W64" s="84" t="str">
        <f>CONCATENATE("a'(",Q63,")=")</f>
        <v>a'(5)=</v>
      </c>
      <c r="X64" s="84">
        <f>2*X62/12*T65</f>
        <v>22.059000000000001</v>
      </c>
      <c r="Y64" s="84" t="str">
        <f>CONCATENATE("A(",Q62,")=")</f>
        <v>A(4)=</v>
      </c>
      <c r="Z64" s="84">
        <f>VLOOKUP(Q62,STN_TABLE,3,FALSE)</f>
        <v>59.616</v>
      </c>
      <c r="AA64" t="str">
        <f>CONCATENATE("A(",Q63,")=")</f>
        <v>A(5)=</v>
      </c>
      <c r="AB64">
        <f>X64+Z64</f>
        <v>81.674999999999997</v>
      </c>
      <c r="AC64" s="99">
        <f>AC63+1</f>
        <v>8</v>
      </c>
      <c r="AD64" s="100">
        <f>VLOOKUP(AC64,STN_TABLE_2,2,FALSE)</f>
        <v>5</v>
      </c>
      <c r="AE64" s="82">
        <f>VLOOKUP(AD64,STN_TABLE,2,FALSE)</f>
        <v>6.59</v>
      </c>
      <c r="AF64" s="82">
        <v>2</v>
      </c>
      <c r="AG64" s="83">
        <f>AE64*AF64</f>
        <v>13.18</v>
      </c>
      <c r="AH64" s="84" t="str">
        <f>CONCATENATE("a'(",AD64,")=")</f>
        <v>a'(5)=</v>
      </c>
      <c r="AI64" s="84">
        <f>2*AI62/2*AE65</f>
        <v>22.104000000000003</v>
      </c>
      <c r="AJ64" s="84" t="str">
        <f>CONCATENATE("A(",AD63,")=")</f>
        <v>A(4)=</v>
      </c>
      <c r="AK64" s="84">
        <f>VLOOKUP(AD63,STN_TABLE,3,FALSE)</f>
        <v>59.616</v>
      </c>
      <c r="AL64" t="str">
        <f>CONCATENATE("A(",AD64,")=")</f>
        <v>A(5)=</v>
      </c>
      <c r="AM64">
        <f>AI64+AK64</f>
        <v>81.72</v>
      </c>
      <c r="AO64" s="68" t="str">
        <f>AA64</f>
        <v>A(5)=</v>
      </c>
      <c r="AP64" s="68" t="e">
        <f>VLOOKUP(AO64,Rise_Results,2,FALSE)</f>
        <v>#N/A</v>
      </c>
      <c r="AQ64" s="76">
        <f>N64</f>
        <v>81.593999999999994</v>
      </c>
      <c r="AR64" s="76">
        <f>IF(OR(AB64&lt;=0,AB65&lt;=0),1/0,AB64)</f>
        <v>81.674999999999997</v>
      </c>
      <c r="AS64" s="76">
        <f>AM64</f>
        <v>81.72</v>
      </c>
      <c r="AT64">
        <f>IFERROR(AP64,IFERROR(AQ64,IFERROR(AR64,AS64)))</f>
        <v>81.593999999999994</v>
      </c>
      <c r="AU64" s="81"/>
    </row>
    <row r="65" spans="1:47" x14ac:dyDescent="0.25">
      <c r="A65" s="84">
        <f>A64+1</f>
        <v>8</v>
      </c>
      <c r="B65" s="84">
        <f t="shared" si="11"/>
        <v>5</v>
      </c>
      <c r="F65" s="82">
        <f>SUM(F62:F64)</f>
        <v>34.380000000000003</v>
      </c>
      <c r="H65" s="82">
        <f>SUM(H62:H64)</f>
        <v>139.08000000000001</v>
      </c>
      <c r="I65" s="84" t="str">
        <f>CONCATENATE("m'(",C64,")=")</f>
        <v>m'(5)=</v>
      </c>
      <c r="J65" s="84">
        <f>2*(J62*(WLS))/3*H65</f>
        <v>300.41280000000006</v>
      </c>
      <c r="K65" s="84" t="str">
        <f>CONCATENATE("M(",C62,")=")</f>
        <v>M(3)=</v>
      </c>
      <c r="L65" s="84">
        <f>VLOOKUP(C62,STN_TABLE,4,FALSE)</f>
        <v>126.2304</v>
      </c>
      <c r="M65" t="str">
        <f>CONCATENATE("M(",C64,")=")</f>
        <v>M(5)=</v>
      </c>
      <c r="N65">
        <f>J65+L65</f>
        <v>426.64320000000009</v>
      </c>
      <c r="O65" s="99">
        <f>O64+1</f>
        <v>10</v>
      </c>
      <c r="P65" s="99">
        <f t="shared" si="10"/>
        <v>6</v>
      </c>
      <c r="T65" s="89">
        <f>SUM(T62:T64)</f>
        <v>73.53</v>
      </c>
      <c r="V65" s="82">
        <f>SUM(V62:V64)</f>
        <v>75.33</v>
      </c>
      <c r="W65" s="84" t="str">
        <f>CONCATENATE("m'(",Q63,")=")</f>
        <v>m'(5)=</v>
      </c>
      <c r="X65" s="84">
        <f>(2*(X62^2)/24*V65)+(X64*Q62*WLS)</f>
        <v>179.16390000000001</v>
      </c>
      <c r="Y65" s="84" t="str">
        <f>CONCATENATE("M(",Q62,")=")</f>
        <v>M(4)=</v>
      </c>
      <c r="Z65" s="84">
        <f>VLOOKUP(Q62,STN_TABLE,4,FALSE)</f>
        <v>247.83840000000001</v>
      </c>
      <c r="AA65" t="str">
        <f>CONCATENATE("M(",Q63,")=")</f>
        <v>M(5)=</v>
      </c>
      <c r="AB65">
        <f>X65+Z65</f>
        <v>427.00229999999999</v>
      </c>
      <c r="AE65" s="89">
        <f>SUM(AE63:AE64)</f>
        <v>12.280000000000001</v>
      </c>
      <c r="AG65" s="89">
        <f>SUM(AG63:AG64)</f>
        <v>18.87</v>
      </c>
      <c r="AH65" s="84" t="str">
        <f>CONCATENATE("m'(",AD64,")=")</f>
        <v>m'(5)=</v>
      </c>
      <c r="AI65" s="84">
        <f>(2*(AI62^2)/6*AG65)+(AI64*AD63*WLS)</f>
        <v>179.52840000000003</v>
      </c>
      <c r="AJ65" s="84" t="str">
        <f>CONCATENATE("M(",AD63,")=")</f>
        <v>M(4)=</v>
      </c>
      <c r="AK65" s="84">
        <f>VLOOKUP(AD63,STN_TABLE,4,FALSE)</f>
        <v>247.83840000000001</v>
      </c>
      <c r="AL65" t="str">
        <f>CONCATENATE("M(",AD64,")=")</f>
        <v>M(5)=</v>
      </c>
      <c r="AM65">
        <f>AI65+AK65</f>
        <v>427.36680000000001</v>
      </c>
      <c r="AO65" s="82" t="str">
        <f>AA65</f>
        <v>M(5)=</v>
      </c>
      <c r="AP65" s="82" t="e">
        <f>VLOOKUP(AO65,Rise_Results,2,FALSE)</f>
        <v>#N/A</v>
      </c>
      <c r="AQ65" s="82">
        <f>N65</f>
        <v>426.64320000000009</v>
      </c>
      <c r="AR65" s="82">
        <f>IF(OR(AB64&lt;=0,AB65&lt;=0),1/0,AB65)</f>
        <v>427.00229999999999</v>
      </c>
      <c r="AS65" s="82">
        <f>AM65</f>
        <v>427.36680000000001</v>
      </c>
      <c r="AT65">
        <f>IFERROR(AP65,IFERROR(AQ65,IFERROR(AR65,AS65)))</f>
        <v>426.64320000000009</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7.22</v>
      </c>
      <c r="S68" s="77">
        <v>8</v>
      </c>
      <c r="T68" s="76">
        <f>R68*S68</f>
        <v>57.76</v>
      </c>
      <c r="U68" s="80">
        <v>10</v>
      </c>
      <c r="V68" s="76">
        <f>R68*U68</f>
        <v>72.2</v>
      </c>
      <c r="W68" s="513" t="s">
        <v>97</v>
      </c>
      <c r="X68" s="513"/>
      <c r="Y68" s="513" t="s">
        <v>98</v>
      </c>
      <c r="Z68" s="513"/>
      <c r="AA68" s="511" t="s">
        <v>99</v>
      </c>
      <c r="AB68" s="511"/>
      <c r="AC68" s="99">
        <f>AC63+1</f>
        <v>8</v>
      </c>
      <c r="AD68" s="95">
        <f>VLOOKUP(AC68,STN_TABLE_2,2,FALSE)</f>
        <v>5</v>
      </c>
      <c r="AE68" s="68">
        <f>VLOOKUP(AD68,STN_TABLE,2,FALSE)</f>
        <v>6.59</v>
      </c>
      <c r="AF68" s="68">
        <v>1</v>
      </c>
      <c r="AG68" s="69">
        <f>AE68*AF68</f>
        <v>6.59</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7.22</v>
      </c>
      <c r="E69" s="92">
        <v>1</v>
      </c>
      <c r="F69" s="82">
        <f>D69*E69</f>
        <v>7.22</v>
      </c>
      <c r="G69" s="83">
        <f>C69</f>
        <v>5.6111111111111107</v>
      </c>
      <c r="H69" s="83">
        <f>F69*G69</f>
        <v>40.512222222222221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7.22</v>
      </c>
      <c r="AF69" s="82">
        <v>2</v>
      </c>
      <c r="AG69" s="83">
        <f>AE69*AF69</f>
        <v>14.44</v>
      </c>
      <c r="AH69" s="84" t="str">
        <f>CONCATENATE("a'(",AD69,")=")</f>
        <v>a'(5.61111111111111)=</v>
      </c>
      <c r="AI69" s="84">
        <f>2*AI67/2*AE70</f>
        <v>15.19099999999999</v>
      </c>
      <c r="AJ69" s="84" t="str">
        <f>CONCATENATE("A(",AD68,")=")</f>
        <v>A(5)=</v>
      </c>
      <c r="AK69" s="84">
        <f>VLOOKUP(AD68,STN_TABLE,3,FALSE)</f>
        <v>81.593999999999994</v>
      </c>
      <c r="AL69" t="str">
        <f>CONCATENATE("A(",AD69,")=")</f>
        <v>A(5.61111111111111)=</v>
      </c>
      <c r="AM69">
        <f>AI69+AK69</f>
        <v>96.784999999999982</v>
      </c>
      <c r="AO69" s="68" t="str">
        <f>AA69</f>
        <v>A(5.61111111111111)=</v>
      </c>
      <c r="AP69" s="68" t="e">
        <f>VLOOKUP(AO69,Rise_Results,2,FALSE)</f>
        <v>#N/A</v>
      </c>
      <c r="AQ69" s="76" t="e">
        <f>N69</f>
        <v>#N/A</v>
      </c>
      <c r="AR69" s="76" t="e">
        <f>IF(OR(AB69&lt;=0,AB70&lt;=0),1/0,AB69)</f>
        <v>#VALUE!</v>
      </c>
      <c r="AS69" s="76">
        <f>AM69</f>
        <v>96.784999999999982</v>
      </c>
      <c r="AT69">
        <f>IFERROR(AP69,IFERROR(AQ69,IFERROR(AR69,AS69)))</f>
        <v>96.784999999999982</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13.809999999999999</v>
      </c>
      <c r="AG70" s="89">
        <f>SUM(AG68:AG69)</f>
        <v>21.03</v>
      </c>
      <c r="AH70" s="84" t="str">
        <f>CONCATENATE("m'(",AD69,")=")</f>
        <v>m'(5.61111111111111)=</v>
      </c>
      <c r="AI70" s="84">
        <f>(2*(AI67^2)/6*AG70)+(AI69*AD68*WLS)</f>
        <v>145.20109999999994</v>
      </c>
      <c r="AJ70" s="84" t="str">
        <f>CONCATENATE("M(",AD68,")=")</f>
        <v>M(5)=</v>
      </c>
      <c r="AK70" s="84">
        <f>VLOOKUP(AD68,STN_TABLE,4,FALSE)</f>
        <v>426.64320000000009</v>
      </c>
      <c r="AL70" t="str">
        <f>CONCATENATE("M(",AD69,")=")</f>
        <v>M(5.61111111111111)=</v>
      </c>
      <c r="AM70">
        <f>AI70+AK70</f>
        <v>571.84429999999998</v>
      </c>
      <c r="AO70" s="82" t="str">
        <f>AA70</f>
        <v>M(5.61111111111111)=</v>
      </c>
      <c r="AP70" s="82" t="e">
        <f>VLOOKUP(AO70,Rise_Results,2,FALSE)</f>
        <v>#N/A</v>
      </c>
      <c r="AQ70" s="82" t="e">
        <f>N70</f>
        <v>#N/A</v>
      </c>
      <c r="AR70" s="82" t="e">
        <f>IF(OR(AB69&lt;=0,AB70&lt;=0),1/0,AB70)</f>
        <v>#VALUE!</v>
      </c>
      <c r="AS70" s="82">
        <f>AM70</f>
        <v>571.84429999999998</v>
      </c>
      <c r="AT70">
        <f>IFERROR(AP70,IFERROR(AQ70,IFERROR(AR70,AS70)))</f>
        <v>571.84429999999998</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5.69</v>
      </c>
      <c r="E72" s="102">
        <v>1</v>
      </c>
      <c r="F72" s="68">
        <f>D72*E72</f>
        <v>5.69</v>
      </c>
      <c r="G72" s="69">
        <f>C72</f>
        <v>4</v>
      </c>
      <c r="H72" s="69">
        <f>F72*G72</f>
        <v>22.76</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6.59</v>
      </c>
      <c r="S72" s="69">
        <v>5</v>
      </c>
      <c r="T72" s="68">
        <f>R72*S72</f>
        <v>32.950000000000003</v>
      </c>
      <c r="U72" s="79">
        <v>3</v>
      </c>
      <c r="V72" s="68">
        <f>R72*U72</f>
        <v>19.77</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6.59</v>
      </c>
      <c r="E73" s="81">
        <v>4</v>
      </c>
      <c r="F73" s="76">
        <f>D73*E73</f>
        <v>26.36</v>
      </c>
      <c r="G73" s="77">
        <f>C73</f>
        <v>5</v>
      </c>
      <c r="H73" s="77">
        <f>F73*G73</f>
        <v>131.80000000000001</v>
      </c>
      <c r="I73" s="512" t="s">
        <v>97</v>
      </c>
      <c r="J73" s="513"/>
      <c r="K73" s="78" t="s">
        <v>98</v>
      </c>
      <c r="L73" s="78"/>
      <c r="M73" s="7" t="s">
        <v>99</v>
      </c>
      <c r="N73" s="7"/>
      <c r="O73" s="99">
        <f>O72+1</f>
        <v>10</v>
      </c>
      <c r="P73" s="99">
        <f t="shared" si="23"/>
        <v>6</v>
      </c>
      <c r="Q73" s="76">
        <f>P73</f>
        <v>6</v>
      </c>
      <c r="R73" s="77">
        <f>VLOOKUP(Q73,STN_TABLE,2,FALSE)</f>
        <v>7.64</v>
      </c>
      <c r="S73" s="77">
        <v>8</v>
      </c>
      <c r="T73" s="76">
        <f>R73*S73</f>
        <v>61.12</v>
      </c>
      <c r="U73" s="80">
        <v>10</v>
      </c>
      <c r="V73" s="76">
        <f>R73*U73</f>
        <v>76.399999999999991</v>
      </c>
      <c r="W73" s="513" t="s">
        <v>97</v>
      </c>
      <c r="X73" s="513"/>
      <c r="Y73" s="513" t="s">
        <v>98</v>
      </c>
      <c r="Z73" s="513"/>
      <c r="AA73" s="511" t="s">
        <v>99</v>
      </c>
      <c r="AB73" s="511"/>
      <c r="AC73" s="99">
        <f>AC68+1</f>
        <v>9</v>
      </c>
      <c r="AD73" s="95">
        <f>VLOOKUP(AC73,STN_TABLE_2,2,FALSE)</f>
        <v>5.6111111111111107</v>
      </c>
      <c r="AE73" s="68">
        <f>VLOOKUP(AD73,STN_TABLE,2,FALSE)</f>
        <v>7.22</v>
      </c>
      <c r="AF73" s="68">
        <v>1</v>
      </c>
      <c r="AG73" s="69">
        <f>AE73*AF73</f>
        <v>7.22</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7.64</v>
      </c>
      <c r="E74" s="92">
        <v>1</v>
      </c>
      <c r="F74" s="82">
        <f>D74*E74</f>
        <v>7.64</v>
      </c>
      <c r="G74" s="83">
        <f>C74</f>
        <v>6</v>
      </c>
      <c r="H74" s="83">
        <f>F74*G74</f>
        <v>45.839999999999996</v>
      </c>
      <c r="I74" s="84" t="str">
        <f>CONCATENATE("a'(",C74,")=")</f>
        <v>a'(6)=</v>
      </c>
      <c r="J74" s="84">
        <f>2*J72/3*F75</f>
        <v>47.627999999999993</v>
      </c>
      <c r="K74" s="84" t="str">
        <f>CONCATENATE("A(",C72,")=")</f>
        <v>A(4)=</v>
      </c>
      <c r="L74" s="84">
        <f>VLOOKUP(C72,STN_TABLE,3,FALSE)</f>
        <v>59.616</v>
      </c>
      <c r="M74" t="str">
        <f>CONCATENATE("A(",C74,")=")</f>
        <v>A(6)=</v>
      </c>
      <c r="N74">
        <f>J74+L74</f>
        <v>107.244</v>
      </c>
      <c r="O74" s="99">
        <f>O73+1</f>
        <v>11</v>
      </c>
      <c r="P74" s="99">
        <f t="shared" si="23"/>
        <v>7</v>
      </c>
      <c r="Q74" s="82">
        <f>IF(P74-P73=P73-P72,P74,IF(P75-P73=P73-P72,P75,IF(P74-P73=P73-P71,P74,IF(P75-P73=P73-P71,P75,"-"))))</f>
        <v>7</v>
      </c>
      <c r="R74" s="83">
        <f>VLOOKUP(Q74,STN_TABLE,2,FALSE)</f>
        <v>8.73</v>
      </c>
      <c r="S74" s="83">
        <v>-1</v>
      </c>
      <c r="T74" s="82">
        <f>R74*S74</f>
        <v>-8.73</v>
      </c>
      <c r="U74" s="88">
        <v>-1</v>
      </c>
      <c r="V74" s="82">
        <f>R74*U74</f>
        <v>-8.73</v>
      </c>
      <c r="W74" s="84" t="str">
        <f>CONCATENATE("a'(",Q73,")=")</f>
        <v>a'(6)=</v>
      </c>
      <c r="X74" s="84">
        <f>2*X72/12*T75</f>
        <v>25.601999999999997</v>
      </c>
      <c r="Y74" s="84" t="str">
        <f>CONCATENATE("A(",Q72,")=")</f>
        <v>A(5)=</v>
      </c>
      <c r="Z74" s="84">
        <f>VLOOKUP(Q72,STN_TABLE,3,FALSE)</f>
        <v>81.593999999999994</v>
      </c>
      <c r="AA74" t="str">
        <f>CONCATENATE("A(",Q73,")=")</f>
        <v>A(6)=</v>
      </c>
      <c r="AB74">
        <f>X74+Z74</f>
        <v>107.196</v>
      </c>
      <c r="AC74" s="99">
        <f>AC73+1</f>
        <v>10</v>
      </c>
      <c r="AD74" s="100">
        <f>VLOOKUP(AC74,STN_TABLE_2,2,FALSE)</f>
        <v>6</v>
      </c>
      <c r="AE74" s="82">
        <f>VLOOKUP(AD74,STN_TABLE,2,FALSE)</f>
        <v>7.64</v>
      </c>
      <c r="AF74" s="82">
        <v>2</v>
      </c>
      <c r="AG74" s="83">
        <f>AE74*AF74</f>
        <v>15.28</v>
      </c>
      <c r="AH74" s="84" t="str">
        <f>CONCATENATE("a'(",AD74,")=")</f>
        <v>a'(6)=</v>
      </c>
      <c r="AI74" s="84">
        <f>2*AI72/2*AE75</f>
        <v>10.40200000000001</v>
      </c>
      <c r="AJ74" s="84" t="str">
        <f>CONCATENATE("A(",AD73,")=")</f>
        <v>A(5.61111111111111)=</v>
      </c>
      <c r="AK74" s="84">
        <f>VLOOKUP(AD73,STN_TABLE,3,FALSE)</f>
        <v>96.784999999999982</v>
      </c>
      <c r="AL74" t="str">
        <f>CONCATENATE("A(",AD74,")=")</f>
        <v>A(6)=</v>
      </c>
      <c r="AM74">
        <f>AI74+AK74</f>
        <v>107.187</v>
      </c>
      <c r="AO74" s="68" t="str">
        <f>AA74</f>
        <v>A(6)=</v>
      </c>
      <c r="AP74" s="68" t="e">
        <f>VLOOKUP(AO74,Rise_Results,2,FALSE)</f>
        <v>#N/A</v>
      </c>
      <c r="AQ74" s="76">
        <f>N74</f>
        <v>107.244</v>
      </c>
      <c r="AR74" s="76">
        <f>IF(OR(AB74&lt;=0,AB75&lt;=0),1/0,AB74)</f>
        <v>107.196</v>
      </c>
      <c r="AS74" s="76">
        <f>AM74</f>
        <v>107.187</v>
      </c>
      <c r="AT74">
        <f>IFERROR(AP74,IFERROR(AQ74,IFERROR(AR74,AS74)))</f>
        <v>107.244</v>
      </c>
      <c r="AU74" s="81"/>
    </row>
    <row r="75" spans="1:47" x14ac:dyDescent="0.25">
      <c r="A75" s="84">
        <f>A74+1</f>
        <v>10</v>
      </c>
      <c r="B75" s="84">
        <f t="shared" si="27"/>
        <v>6</v>
      </c>
      <c r="F75" s="82">
        <f>SUM(F72:F74)</f>
        <v>39.69</v>
      </c>
      <c r="H75" s="82">
        <f>SUM(H72:H74)</f>
        <v>200.4</v>
      </c>
      <c r="I75" s="84" t="str">
        <f>CONCATENATE("m'(",C74,")=")</f>
        <v>m'(6)=</v>
      </c>
      <c r="J75" s="84">
        <f>2*(J72*(WLS))/3*H75</f>
        <v>432.86400000000003</v>
      </c>
      <c r="K75" s="84" t="str">
        <f>CONCATENATE("M(",C72,")=")</f>
        <v>M(4)=</v>
      </c>
      <c r="L75" s="84">
        <f>VLOOKUP(C72,STN_TABLE,4,FALSE)</f>
        <v>247.83840000000001</v>
      </c>
      <c r="M75" t="str">
        <f>CONCATENATE("M(",C74,")=")</f>
        <v>M(6)=</v>
      </c>
      <c r="N75">
        <f>J75+L75</f>
        <v>680.70240000000001</v>
      </c>
      <c r="O75" s="99">
        <f>O74+1</f>
        <v>12</v>
      </c>
      <c r="P75" s="99">
        <f t="shared" si="23"/>
        <v>7.8833333333333329</v>
      </c>
      <c r="T75" s="89">
        <f>SUM(T72:T74)</f>
        <v>85.339999999999989</v>
      </c>
      <c r="V75" s="82">
        <f>SUM(V72:V74)</f>
        <v>87.439999999999984</v>
      </c>
      <c r="W75" s="84" t="str">
        <f>CONCATENATE("m'(",Q73,")=")</f>
        <v>m'(6)=</v>
      </c>
      <c r="X75" s="84">
        <f>(2*(X72^2)/24*V75)+(X74*Q72*WLS)</f>
        <v>254.02679999999998</v>
      </c>
      <c r="Y75" s="84" t="str">
        <f>CONCATENATE("M(",Q72,")=")</f>
        <v>M(5)=</v>
      </c>
      <c r="Z75" s="84">
        <f>VLOOKUP(Q72,STN_TABLE,4,FALSE)</f>
        <v>426.64320000000009</v>
      </c>
      <c r="AA75" t="str">
        <f>CONCATENATE("M(",Q73,")=")</f>
        <v>M(6)=</v>
      </c>
      <c r="AB75">
        <f>X75+Z75</f>
        <v>680.67000000000007</v>
      </c>
      <c r="AE75" s="89">
        <f>SUM(AE73:AE74)</f>
        <v>14.86</v>
      </c>
      <c r="AG75" s="89">
        <f>SUM(AG73:AG74)</f>
        <v>22.5</v>
      </c>
      <c r="AH75" s="84" t="str">
        <f>CONCATENATE("m'(",AD74,")=")</f>
        <v>m'(6)=</v>
      </c>
      <c r="AI75" s="84">
        <f>(2*(AI72^2)/6*AG75)+(AI74*AD73*WLS)</f>
        <v>108.73520000000011</v>
      </c>
      <c r="AJ75" s="84" t="str">
        <f>CONCATENATE("M(",AD73,")=")</f>
        <v>M(5.61111111111111)=</v>
      </c>
      <c r="AK75" s="84">
        <f>VLOOKUP(AD73,STN_TABLE,4,FALSE)</f>
        <v>571.84429999999998</v>
      </c>
      <c r="AL75" t="str">
        <f>CONCATENATE("M(",AD74,")=")</f>
        <v>M(6)=</v>
      </c>
      <c r="AM75">
        <f>AI75+AK75</f>
        <v>680.57950000000005</v>
      </c>
      <c r="AO75" s="82" t="str">
        <f>AA75</f>
        <v>M(6)=</v>
      </c>
      <c r="AP75" s="82" t="e">
        <f>VLOOKUP(AO75,Rise_Results,2,FALSE)</f>
        <v>#N/A</v>
      </c>
      <c r="AQ75" s="82">
        <f>N75</f>
        <v>680.70240000000001</v>
      </c>
      <c r="AR75" s="82">
        <f>IF(OR(AB74&lt;=0,AB75&lt;=0),1/0,AB75)</f>
        <v>680.67000000000007</v>
      </c>
      <c r="AS75" s="82">
        <f>AM75</f>
        <v>680.57950000000005</v>
      </c>
      <c r="AT75">
        <f>IFERROR(AP75,IFERROR(AQ75,IFERROR(AR75,AS75)))</f>
        <v>680.70240000000001</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6.59</v>
      </c>
      <c r="E77" s="102">
        <v>1</v>
      </c>
      <c r="F77" s="68">
        <f>D77*E77</f>
        <v>6.59</v>
      </c>
      <c r="G77" s="69">
        <f>C77</f>
        <v>5</v>
      </c>
      <c r="H77" s="69">
        <f>F77*G77</f>
        <v>32.950000000000003</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7.64</v>
      </c>
      <c r="E78" s="81">
        <v>4</v>
      </c>
      <c r="F78" s="76">
        <f>D78*E78</f>
        <v>30.56</v>
      </c>
      <c r="G78" s="77">
        <f>C78</f>
        <v>6</v>
      </c>
      <c r="H78" s="77">
        <f>F78*G78</f>
        <v>183.35999999999999</v>
      </c>
      <c r="I78" s="512" t="s">
        <v>97</v>
      </c>
      <c r="J78" s="513"/>
      <c r="K78" s="78" t="s">
        <v>98</v>
      </c>
      <c r="L78" s="78"/>
      <c r="M78" s="7" t="s">
        <v>99</v>
      </c>
      <c r="N78" s="7"/>
      <c r="O78" s="99">
        <f>O77+1</f>
        <v>11</v>
      </c>
      <c r="P78" s="99">
        <f t="shared" si="23"/>
        <v>7</v>
      </c>
      <c r="Q78" s="76">
        <f>P78</f>
        <v>7</v>
      </c>
      <c r="R78" s="77">
        <f>VLOOKUP(Q78,STN_TABLE,2,FALSE)</f>
        <v>8.73</v>
      </c>
      <c r="S78" s="77">
        <v>8</v>
      </c>
      <c r="T78" s="76">
        <f>R78*S78</f>
        <v>69.84</v>
      </c>
      <c r="U78" s="80">
        <v>10</v>
      </c>
      <c r="V78" s="76">
        <f>R78*U78</f>
        <v>87.300000000000011</v>
      </c>
      <c r="W78" s="513" t="s">
        <v>97</v>
      </c>
      <c r="X78" s="513"/>
      <c r="Y78" s="513" t="s">
        <v>98</v>
      </c>
      <c r="Z78" s="513"/>
      <c r="AA78" s="511" t="s">
        <v>99</v>
      </c>
      <c r="AB78" s="511"/>
      <c r="AC78" s="99">
        <f>AC73+1</f>
        <v>10</v>
      </c>
      <c r="AD78" s="95">
        <f>VLOOKUP(AC78,STN_TABLE_2,2,FALSE)</f>
        <v>6</v>
      </c>
      <c r="AE78" s="68">
        <f>VLOOKUP(AD78,STN_TABLE,2,FALSE)</f>
        <v>7.64</v>
      </c>
      <c r="AF78" s="68">
        <v>1</v>
      </c>
      <c r="AG78" s="69">
        <f>AE78*AF78</f>
        <v>7.64</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8.73</v>
      </c>
      <c r="E79" s="92">
        <v>1</v>
      </c>
      <c r="F79" s="82">
        <f>D79*E79</f>
        <v>8.73</v>
      </c>
      <c r="G79" s="83">
        <f>C79</f>
        <v>7</v>
      </c>
      <c r="H79" s="83">
        <f>F79*G79</f>
        <v>61.11</v>
      </c>
      <c r="I79" s="84" t="str">
        <f>CONCATENATE("a'(",C79,")=")</f>
        <v>a'(7)=</v>
      </c>
      <c r="J79" s="84">
        <f>2*J77/3*F80</f>
        <v>55.05599999999999</v>
      </c>
      <c r="K79" s="84" t="str">
        <f>CONCATENATE("A(",C77,")=")</f>
        <v>A(5)=</v>
      </c>
      <c r="L79" s="84">
        <f>VLOOKUP(C77,STN_TABLE,3,FALSE)</f>
        <v>81.593999999999994</v>
      </c>
      <c r="M79" t="str">
        <f>CONCATENATE("A(",C79,")=")</f>
        <v>A(7)=</v>
      </c>
      <c r="N79">
        <f>J79+L79</f>
        <v>136.64999999999998</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8.73</v>
      </c>
      <c r="AF79" s="82">
        <v>2</v>
      </c>
      <c r="AG79" s="83">
        <f>AE79*AF79</f>
        <v>17.46</v>
      </c>
      <c r="AH79" s="84" t="str">
        <f>CONCATENATE("a'(",AD79,")=")</f>
        <v>a'(7)=</v>
      </c>
      <c r="AI79" s="84">
        <f>2*AI77/2*AE80</f>
        <v>29.466000000000001</v>
      </c>
      <c r="AJ79" s="84" t="str">
        <f>CONCATENATE("A(",AD78,")=")</f>
        <v>A(6)=</v>
      </c>
      <c r="AK79" s="84">
        <f>VLOOKUP(AD78,STN_TABLE,3,FALSE)</f>
        <v>107.244</v>
      </c>
      <c r="AL79" t="str">
        <f>CONCATENATE("A(",AD79,")=")</f>
        <v>A(7)=</v>
      </c>
      <c r="AM79">
        <f>AI79+AK79</f>
        <v>136.71</v>
      </c>
      <c r="AO79" s="68" t="str">
        <f>AA79</f>
        <v>A(7)=</v>
      </c>
      <c r="AP79" s="68" t="e">
        <f>VLOOKUP(AO79,Rise_Results,2,FALSE)</f>
        <v>#N/A</v>
      </c>
      <c r="AQ79" s="76">
        <f>N79</f>
        <v>136.64999999999998</v>
      </c>
      <c r="AR79" s="76" t="e">
        <f>IF(OR(AB79&lt;=0,AB80&lt;=0),1/0,AB79)</f>
        <v>#VALUE!</v>
      </c>
      <c r="AS79" s="76">
        <f>AM79</f>
        <v>136.71</v>
      </c>
      <c r="AT79">
        <f>IFERROR(AP79,IFERROR(AQ79,IFERROR(AR79,AS79)))</f>
        <v>136.64999999999998</v>
      </c>
      <c r="AU79" s="81"/>
    </row>
    <row r="80" spans="1:47" x14ac:dyDescent="0.25">
      <c r="A80" s="84">
        <f>A79+1</f>
        <v>11</v>
      </c>
      <c r="B80" s="84">
        <f t="shared" si="27"/>
        <v>7</v>
      </c>
      <c r="F80" s="82">
        <f>SUM(F77:F79)</f>
        <v>45.879999999999995</v>
      </c>
      <c r="H80" s="82">
        <f>SUM(H77:H79)</f>
        <v>277.42</v>
      </c>
      <c r="I80" s="84" t="str">
        <f>CONCATENATE("m'(",C79,")=")</f>
        <v>m'(7)=</v>
      </c>
      <c r="J80" s="84">
        <f>2*(J77*(WLS))/3*H80</f>
        <v>599.22720000000004</v>
      </c>
      <c r="K80" s="84" t="str">
        <f>CONCATENATE("M(",C77,")=")</f>
        <v>M(5)=</v>
      </c>
      <c r="L80" s="84">
        <f>VLOOKUP(C77,STN_TABLE,4,FALSE)</f>
        <v>426.64320000000009</v>
      </c>
      <c r="M80" t="str">
        <f>CONCATENATE("M(",C79,")=")</f>
        <v>M(7)=</v>
      </c>
      <c r="N80">
        <f>J80+L80</f>
        <v>1025.8704000000002</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16.37</v>
      </c>
      <c r="AG80" s="89">
        <f>SUM(AG78:AG79)</f>
        <v>25.1</v>
      </c>
      <c r="AH80" s="84" t="str">
        <f>CONCATENATE("m'(",AD79,")=")</f>
        <v>m'(7)=</v>
      </c>
      <c r="AI80" s="84">
        <f>(2*(AI77^2)/6*AG80)+(AI79*AD78*WLS)</f>
        <v>345.3408</v>
      </c>
      <c r="AJ80" s="84" t="str">
        <f>CONCATENATE("M(",AD78,")=")</f>
        <v>M(6)=</v>
      </c>
      <c r="AK80" s="84">
        <f>VLOOKUP(AD78,STN_TABLE,4,FALSE)</f>
        <v>680.70240000000001</v>
      </c>
      <c r="AL80" t="str">
        <f>CONCATENATE("M(",AD79,")=")</f>
        <v>M(7)=</v>
      </c>
      <c r="AM80">
        <f>AI80+AK80</f>
        <v>1026.0432000000001</v>
      </c>
      <c r="AO80" s="82" t="str">
        <f>AA80</f>
        <v>M(7)=</v>
      </c>
      <c r="AP80" s="82" t="e">
        <f>VLOOKUP(AO80,Rise_Results,2,FALSE)</f>
        <v>#N/A</v>
      </c>
      <c r="AQ80" s="82">
        <f>N80</f>
        <v>1025.8704000000002</v>
      </c>
      <c r="AR80" s="82" t="e">
        <f>IF(OR(AB79&lt;=0,AB80&lt;=0),1/0,AB80)</f>
        <v>#VALUE!</v>
      </c>
      <c r="AS80" s="82">
        <f>AM80</f>
        <v>1026.0432000000001</v>
      </c>
      <c r="AT80">
        <f>IFERROR(AP80,IFERROR(AQ80,IFERROR(AR80,AS80)))</f>
        <v>1025.8704000000002</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10.94</v>
      </c>
      <c r="S83" s="77">
        <v>8</v>
      </c>
      <c r="T83" s="76">
        <f>R83*S83</f>
        <v>87.52</v>
      </c>
      <c r="U83" s="80">
        <v>10</v>
      </c>
      <c r="V83" s="76">
        <f>R83*U83</f>
        <v>109.39999999999999</v>
      </c>
      <c r="W83" s="513" t="s">
        <v>97</v>
      </c>
      <c r="X83" s="513"/>
      <c r="Y83" s="513" t="s">
        <v>98</v>
      </c>
      <c r="Z83" s="513"/>
      <c r="AA83" s="511" t="s">
        <v>99</v>
      </c>
      <c r="AB83" s="511"/>
      <c r="AC83" s="99">
        <f>AC78+1</f>
        <v>11</v>
      </c>
      <c r="AD83" s="95">
        <f>VLOOKUP(AC83,STN_TABLE_2,2,FALSE)</f>
        <v>7</v>
      </c>
      <c r="AE83" s="68">
        <f>VLOOKUP(AD83,STN_TABLE,2,FALSE)</f>
        <v>8.73</v>
      </c>
      <c r="AF83" s="68">
        <v>1</v>
      </c>
      <c r="AG83" s="69">
        <f>AE83*AF83</f>
        <v>8.73</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10.94</v>
      </c>
      <c r="E84" s="92">
        <v>1</v>
      </c>
      <c r="F84" s="82">
        <f>D84*E84</f>
        <v>10.94</v>
      </c>
      <c r="G84" s="83">
        <f>C84</f>
        <v>7.8833333333333329</v>
      </c>
      <c r="H84" s="83">
        <f>F84*G84</f>
        <v>86.243666666666655</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10.94</v>
      </c>
      <c r="AF84" s="82">
        <v>2</v>
      </c>
      <c r="AG84" s="83">
        <f>AE84*AF84</f>
        <v>21.88</v>
      </c>
      <c r="AH84" s="84" t="str">
        <f>CONCATENATE("a'(",AD84,")=")</f>
        <v>a'(7.88333333333333)=</v>
      </c>
      <c r="AI84" s="84">
        <f>2*AI82/2*AE85</f>
        <v>31.275299999999987</v>
      </c>
      <c r="AJ84" s="84" t="str">
        <f>CONCATENATE("A(",AD83,")=")</f>
        <v>A(7)=</v>
      </c>
      <c r="AK84" s="84">
        <f>VLOOKUP(AD83,STN_TABLE,3,FALSE)</f>
        <v>136.64999999999998</v>
      </c>
      <c r="AL84" t="str">
        <f>CONCATENATE("A(",AD84,")=")</f>
        <v>A(7.88333333333333)=</v>
      </c>
      <c r="AM84">
        <f>AI84+AK84</f>
        <v>167.92529999999996</v>
      </c>
      <c r="AO84" s="68" t="str">
        <f>AA84</f>
        <v>A(7.88333333333333)=</v>
      </c>
      <c r="AP84" s="68" t="e">
        <f>VLOOKUP(AO84,Rise_Results,2,FALSE)</f>
        <v>#N/A</v>
      </c>
      <c r="AQ84" s="76" t="e">
        <f>N84</f>
        <v>#N/A</v>
      </c>
      <c r="AR84" s="76" t="e">
        <f>IF(OR(AB84&lt;=0,AB85&lt;=0),1/0,AB84)</f>
        <v>#VALUE!</v>
      </c>
      <c r="AS84" s="76">
        <f>AM84</f>
        <v>167.92529999999996</v>
      </c>
      <c r="AT84">
        <f>IFERROR(AP84,IFERROR(AQ84,IFERROR(AR84,AS84)))</f>
        <v>167.92529999999996</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19.670000000000002</v>
      </c>
      <c r="AG85" s="89">
        <f>SUM(AG83:AG84)</f>
        <v>30.61</v>
      </c>
      <c r="AH85" s="84" t="str">
        <f>CONCATENATE("m'(",AD84,")=")</f>
        <v>m'(7.88333333333333)=</v>
      </c>
      <c r="AI85" s="84">
        <f>(2*(AI82^2)/6*AG85)+(AI84*AD83*WLS)</f>
        <v>419.86382699999979</v>
      </c>
      <c r="AJ85" s="84" t="str">
        <f>CONCATENATE("M(",AD83,")=")</f>
        <v>M(7)=</v>
      </c>
      <c r="AK85" s="84">
        <f>VLOOKUP(AD83,STN_TABLE,4,FALSE)</f>
        <v>1025.8704000000002</v>
      </c>
      <c r="AL85" t="str">
        <f>CONCATENATE("M(",AD84,")=")</f>
        <v>M(7.88333333333333)=</v>
      </c>
      <c r="AM85">
        <f>AI85+AK85</f>
        <v>1445.7342269999999</v>
      </c>
      <c r="AO85" s="82" t="str">
        <f>AA85</f>
        <v>M(7.88333333333333)=</v>
      </c>
      <c r="AP85" s="82" t="e">
        <f>VLOOKUP(AO85,Rise_Results,2,FALSE)</f>
        <v>#N/A</v>
      </c>
      <c r="AQ85" s="82" t="e">
        <f>N85</f>
        <v>#N/A</v>
      </c>
      <c r="AR85" s="82" t="e">
        <f>IF(OR(AB84&lt;=0,AB85&lt;=0),1/0,AB85)</f>
        <v>#VALUE!</v>
      </c>
      <c r="AS85" s="82">
        <f>AM85</f>
        <v>1445.7342269999999</v>
      </c>
      <c r="AT85">
        <f>IFERROR(AP85,IFERROR(AQ85,IFERROR(AR85,AS85)))</f>
        <v>1445.7342269999999</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10.94</v>
      </c>
      <c r="AF88" s="68">
        <v>1</v>
      </c>
      <c r="AG88" s="69">
        <f>AE88*AF88</f>
        <v>10.94</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167.92529999999996</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10.94</v>
      </c>
      <c r="AG90" s="89" t="e">
        <f>SUM(AG88:AG89)</f>
        <v>#VALUE!</v>
      </c>
      <c r="AH90" s="84" t="str">
        <f>CONCATENATE("m'(",AD89,")=")</f>
        <v>m'(  )=</v>
      </c>
      <c r="AI90" s="84" t="e">
        <f>(2*(AI87^2)/6*AG90)+(AI89*AD88*WLS)</f>
        <v>#VALUE!</v>
      </c>
      <c r="AJ90" s="84" t="str">
        <f>CONCATENATE("M(",AD88,")=")</f>
        <v>M(7.88333333333333)=</v>
      </c>
      <c r="AK90" s="84">
        <f>VLOOKUP(AD88,STN_TABLE,4,FALSE)</f>
        <v>1445.7342269999999</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16</v>
      </c>
      <c r="E1" s="511" t="s">
        <v>91</v>
      </c>
      <c r="F1" s="511"/>
      <c r="G1" t="str">
        <f>VLOOKUP(Station_No,RISE_CALC,2,FALSE)</f>
        <v>-</v>
      </c>
      <c r="L1" s="511" t="s">
        <v>92</v>
      </c>
      <c r="M1" s="511"/>
      <c r="N1">
        <v>19</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2.2200000000000002</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4.05</v>
      </c>
      <c r="D5" s="81">
        <f t="shared" ref="D5:D28" si="4">IFERROR(VLOOKUP(CONCATENATE("A(",B5,")="),RESULT_TABLE,6,FALSE)," ")</f>
        <v>5.76</v>
      </c>
      <c r="E5" s="77">
        <f t="shared" ref="E5:E28" si="5">IFERROR(VLOOKUP(CONCATENATE("M(",B5,")="),RESULT_TABLE,6,FALSE)," ")</f>
        <v>2.8390499999999999</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5.0999999999999996</v>
      </c>
      <c r="D6" s="81">
        <f t="shared" si="4"/>
        <v>14.111999999999997</v>
      </c>
      <c r="E6" s="77">
        <f t="shared" si="5"/>
        <v>14.256</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5.74</v>
      </c>
      <c r="D7" s="81">
        <f t="shared" si="4"/>
        <v>23.873999999999995</v>
      </c>
      <c r="E7" s="77">
        <f t="shared" si="5"/>
        <v>36.356850000000001</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6.23</v>
      </c>
      <c r="D8" s="81">
        <f t="shared" si="4"/>
        <v>34.686</v>
      </c>
      <c r="E8" s="77">
        <f t="shared" si="5"/>
        <v>70.415999999999997</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7.02</v>
      </c>
      <c r="D9" s="81">
        <f t="shared" si="4"/>
        <v>58.56</v>
      </c>
      <c r="E9" s="77">
        <f t="shared" si="5"/>
        <v>178.41600000000003</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7.81</v>
      </c>
      <c r="D10" s="81">
        <f t="shared" si="4"/>
        <v>85.23</v>
      </c>
      <c r="E10" s="77">
        <f t="shared" si="5"/>
        <v>346.76639999999998</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8.6300000000000008</v>
      </c>
      <c r="D11" s="81">
        <f t="shared" si="4"/>
        <v>114.828</v>
      </c>
      <c r="E11" s="77">
        <f t="shared" si="5"/>
        <v>587.02319999999997</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9.1199999999999992</v>
      </c>
      <c r="D12" s="81">
        <f t="shared" si="4"/>
        <v>134.35300000000001</v>
      </c>
      <c r="E12" s="77">
        <f t="shared" si="5"/>
        <v>773.58576666666659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9.43</v>
      </c>
      <c r="D13" s="81">
        <f t="shared" si="4"/>
        <v>147.34200000000001</v>
      </c>
      <c r="E13" s="77">
        <f t="shared" si="5"/>
        <v>909.2736000000001</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10.199999999999999</v>
      </c>
      <c r="D14" s="81">
        <f t="shared" si="4"/>
        <v>182.68799999999999</v>
      </c>
      <c r="E14" s="77">
        <f t="shared" si="5"/>
        <v>1323.3024</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11.75</v>
      </c>
      <c r="D15" s="81">
        <f t="shared" si="4"/>
        <v>217.58849999999995</v>
      </c>
      <c r="E15" s="77">
        <f t="shared" si="5"/>
        <v>1791.4476899999997</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2.2200000000000002</v>
      </c>
      <c r="S32" s="69">
        <v>5</v>
      </c>
      <c r="T32" s="68">
        <f>R32*S32</f>
        <v>11.100000000000001</v>
      </c>
      <c r="U32" s="79">
        <v>3</v>
      </c>
      <c r="V32" s="68">
        <f>R32*U32</f>
        <v>6.66</v>
      </c>
      <c r="W32" t="s">
        <v>93</v>
      </c>
      <c r="X32" s="70">
        <f>IF(AND(Q34-Q33=Q33-Q32,NOT(AND(Q32=0,Q33=0)),NOT(AND(Q33=0,Q34=0))),WLS*(Q34-Q33),"#NA")</f>
        <v>0.9</v>
      </c>
      <c r="AD32" s="93"/>
      <c r="AH32" s="6" t="s">
        <v>93</v>
      </c>
      <c r="AI32" s="70">
        <f>WLS*(AD34-AD33)</f>
        <v>0.9</v>
      </c>
    </row>
    <row r="33" spans="1:47" x14ac:dyDescent="0.25">
      <c r="Q33" s="76">
        <f>B5</f>
        <v>0.5</v>
      </c>
      <c r="R33" s="77">
        <f>VLOOKUP(Q33,STN_TABLE,2,FALSE)</f>
        <v>4.05</v>
      </c>
      <c r="S33" s="77">
        <v>8</v>
      </c>
      <c r="T33" s="76">
        <f>R33*S33</f>
        <v>32.4</v>
      </c>
      <c r="U33" s="80">
        <v>10</v>
      </c>
      <c r="V33" s="76">
        <f>R33*U33</f>
        <v>40.5</v>
      </c>
      <c r="W33" s="512" t="s">
        <v>97</v>
      </c>
      <c r="X33" s="513"/>
      <c r="Y33" s="513" t="s">
        <v>98</v>
      </c>
      <c r="Z33" s="513"/>
      <c r="AA33" s="511" t="s">
        <v>99</v>
      </c>
      <c r="AB33" s="511"/>
      <c r="AC33" s="94">
        <v>1</v>
      </c>
      <c r="AD33" s="95">
        <f>VLOOKUP(AC33,STN_TABLE_2,2,FALSE)</f>
        <v>0</v>
      </c>
      <c r="AE33" s="68">
        <f>VLOOKUP(AD33,STN_TABLE,2,FALSE)</f>
        <v>2.2200000000000002</v>
      </c>
      <c r="AF33" s="68">
        <v>1</v>
      </c>
      <c r="AG33" s="69">
        <f>AE33*AF33</f>
        <v>2.2200000000000002</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5.0999999999999996</v>
      </c>
      <c r="S34" s="83">
        <v>-1</v>
      </c>
      <c r="T34" s="82">
        <f>R34*S34</f>
        <v>-5.0999999999999996</v>
      </c>
      <c r="U34" s="88">
        <v>-1</v>
      </c>
      <c r="V34" s="82">
        <f>R34*U34</f>
        <v>-5.0999999999999996</v>
      </c>
      <c r="W34" s="84" t="str">
        <f>CONCATENATE("a'(",Q33,")=")</f>
        <v>a'(0.5)=</v>
      </c>
      <c r="X34" s="84">
        <f>2*X32/12*T35</f>
        <v>5.76</v>
      </c>
      <c r="Y34" s="84" t="str">
        <f>CONCATENATE("A(",Q32,")=")</f>
        <v>A(0)=</v>
      </c>
      <c r="Z34" s="84">
        <f>VLOOKUP(Q32,STN_TABLE,3,FALSE)</f>
        <v>0</v>
      </c>
      <c r="AA34" t="str">
        <f>CONCATENATE("A(",Q33,")=")</f>
        <v>A(0.5)=</v>
      </c>
      <c r="AB34">
        <f>X34+Z34</f>
        <v>5.76</v>
      </c>
      <c r="AC34" s="99">
        <f>AC33+1</f>
        <v>2</v>
      </c>
      <c r="AD34" s="100">
        <f>VLOOKUP(AC34,STN_TABLE_2,2,FALSE)</f>
        <v>0.5</v>
      </c>
      <c r="AE34" s="82">
        <f>VLOOKUP(AD34,STN_TABLE,2,FALSE)</f>
        <v>4.05</v>
      </c>
      <c r="AF34" s="82">
        <v>2</v>
      </c>
      <c r="AG34" s="83">
        <f>AE34*AF34</f>
        <v>8.1</v>
      </c>
      <c r="AH34" s="84" t="str">
        <f>CONCATENATE("a'(",AD34,")=")</f>
        <v>a'(0.5)=</v>
      </c>
      <c r="AI34" s="84">
        <f>2*AI32/2*AE35</f>
        <v>5.6429999999999998</v>
      </c>
      <c r="AJ34" s="84" t="str">
        <f>CONCATENATE("A(",AD33,")=")</f>
        <v>A(0)=</v>
      </c>
      <c r="AK34" s="84">
        <f>VLOOKUP(AD33,STN_TABLE,3,FALSE)</f>
        <v>0</v>
      </c>
      <c r="AL34" t="str">
        <f>CONCATENATE("A(",AD34,")=")</f>
        <v>A(0.5)=</v>
      </c>
      <c r="AM34">
        <f>AI34+AK34</f>
        <v>5.6429999999999998</v>
      </c>
      <c r="AO34" s="68" t="str">
        <f>AA34</f>
        <v>A(0.5)=</v>
      </c>
      <c r="AP34" s="79" t="e">
        <f>VLOOKUP(AO34,Rise_Results,2,FALSE)</f>
        <v>#N/A</v>
      </c>
      <c r="AQ34" s="76" t="s">
        <v>117</v>
      </c>
      <c r="AR34" s="76">
        <f>IF(OR(AB34&lt;=0,AB35&lt;=0),1/0,AB34)</f>
        <v>5.76</v>
      </c>
      <c r="AS34" s="76">
        <f>AM34</f>
        <v>5.6429999999999998</v>
      </c>
      <c r="AT34" s="80">
        <f>IFERROR(AP34,IFERROR(AR34,AS34))</f>
        <v>5.76</v>
      </c>
    </row>
    <row r="35" spans="1:47" x14ac:dyDescent="0.25">
      <c r="A35" s="101"/>
      <c r="T35" s="89">
        <f>SUM(T32:T34)</f>
        <v>38.4</v>
      </c>
      <c r="V35" s="82">
        <f>SUM(V32:V34)</f>
        <v>42.059999999999995</v>
      </c>
      <c r="W35" s="84" t="str">
        <f>CONCATENATE("m'(",Q33,")=")</f>
        <v>m'(0.5)=</v>
      </c>
      <c r="X35" s="84">
        <f>(2*(X32^2)/24*V35)</f>
        <v>2.8390499999999999</v>
      </c>
      <c r="Y35" s="84" t="str">
        <f>CONCATENATE("M(",Q32,")=")</f>
        <v>M(0)=</v>
      </c>
      <c r="Z35" s="84">
        <f>VLOOKUP(Q32,STN_TABLE,4,FALSE)</f>
        <v>0</v>
      </c>
      <c r="AA35" t="str">
        <f>CONCATENATE("M(",Q33,")=")</f>
        <v>M(0.5)=</v>
      </c>
      <c r="AB35">
        <f>X35+Z35</f>
        <v>2.8390499999999999</v>
      </c>
      <c r="AE35" s="89">
        <f>SUM(AE33:AE34)</f>
        <v>6.27</v>
      </c>
      <c r="AG35" s="89">
        <f>SUM(AG33:AG34)</f>
        <v>10.32</v>
      </c>
      <c r="AH35" s="84" t="str">
        <f>CONCATENATE("m'(",AD34,")=")</f>
        <v>m'(0.5)=</v>
      </c>
      <c r="AI35" s="84">
        <f>(2*(AI32^2)/6*AG35)+(AI34*AD33*WLS)</f>
        <v>2.7864000000000004</v>
      </c>
      <c r="AJ35" s="84" t="str">
        <f>CONCATENATE("M(",AD33,")=")</f>
        <v>M(0)=</v>
      </c>
      <c r="AK35" s="84">
        <f>VLOOKUP(AD33,STN_TABLE,4,FALSE)</f>
        <v>0</v>
      </c>
      <c r="AL35" t="str">
        <f>CONCATENATE("M(",AD34,")=")</f>
        <v>M(0.5)=</v>
      </c>
      <c r="AM35">
        <f>AI35+AK35</f>
        <v>2.7864000000000004</v>
      </c>
      <c r="AO35" s="82" t="str">
        <f>AA35</f>
        <v>M(0.5)=</v>
      </c>
      <c r="AP35" s="88" t="e">
        <f>VLOOKUP(AO35,Rise_Results,2,FALSE)</f>
        <v>#N/A</v>
      </c>
      <c r="AQ35" s="82" t="s">
        <v>117</v>
      </c>
      <c r="AR35" s="82">
        <f>IF(OR(AB34&lt;=0,AB35&lt;=0),1/0,AB35)</f>
        <v>2.8390499999999999</v>
      </c>
      <c r="AS35" s="82">
        <f>AM35</f>
        <v>2.7864000000000004</v>
      </c>
      <c r="AT35" s="80">
        <f>IFERROR(AP35,IFERROR(AR35,AS35))</f>
        <v>2.8390499999999999</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2.2200000000000002</v>
      </c>
      <c r="E37" s="102">
        <v>1</v>
      </c>
      <c r="F37" s="68">
        <f>D37*E37</f>
        <v>2.2200000000000002</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4.05</v>
      </c>
      <c r="S37" s="69">
        <v>5</v>
      </c>
      <c r="T37" s="68">
        <f>R37*S37</f>
        <v>20.25</v>
      </c>
      <c r="U37" s="79">
        <v>3</v>
      </c>
      <c r="V37" s="68">
        <f>R37*U37</f>
        <v>12.149999999999999</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4.05</v>
      </c>
      <c r="E38" s="81">
        <v>4</v>
      </c>
      <c r="F38" s="76">
        <f>D38*E38</f>
        <v>16.2</v>
      </c>
      <c r="G38" s="77">
        <f>C38</f>
        <v>0.5</v>
      </c>
      <c r="H38" s="77">
        <f>F38*G38</f>
        <v>8.1</v>
      </c>
      <c r="I38" s="513" t="s">
        <v>97</v>
      </c>
      <c r="J38" s="513"/>
      <c r="K38" s="78" t="s">
        <v>98</v>
      </c>
      <c r="L38" s="78"/>
      <c r="M38" s="7" t="s">
        <v>99</v>
      </c>
      <c r="N38" s="7"/>
      <c r="O38" s="99">
        <f>O37+1</f>
        <v>3</v>
      </c>
      <c r="P38" s="99">
        <f t="shared" si="10"/>
        <v>1</v>
      </c>
      <c r="Q38" s="76">
        <f>P38</f>
        <v>1</v>
      </c>
      <c r="R38" s="77">
        <f>VLOOKUP(Q38,STN_TABLE,2,FALSE)</f>
        <v>5.0999999999999996</v>
      </c>
      <c r="S38" s="77">
        <v>8</v>
      </c>
      <c r="T38" s="76">
        <f>R38*S38</f>
        <v>40.799999999999997</v>
      </c>
      <c r="U38" s="80">
        <v>10</v>
      </c>
      <c r="V38" s="76">
        <f>R38*U38</f>
        <v>51</v>
      </c>
      <c r="W38" s="513" t="s">
        <v>97</v>
      </c>
      <c r="X38" s="513"/>
      <c r="Y38" s="513" t="s">
        <v>98</v>
      </c>
      <c r="Z38" s="513"/>
      <c r="AA38" s="511" t="s">
        <v>99</v>
      </c>
      <c r="AB38" s="511"/>
      <c r="AC38" s="99">
        <f>AC33+1</f>
        <v>2</v>
      </c>
      <c r="AD38" s="95">
        <f>VLOOKUP(AC38,STN_TABLE_2,2,FALSE)</f>
        <v>0.5</v>
      </c>
      <c r="AE38" s="68">
        <f>VLOOKUP(AD38,STN_TABLE,2,FALSE)</f>
        <v>4.05</v>
      </c>
      <c r="AF38" s="68">
        <v>1</v>
      </c>
      <c r="AG38" s="69">
        <f>AE38*AF38</f>
        <v>4.05</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5.0999999999999996</v>
      </c>
      <c r="E39" s="92">
        <v>1</v>
      </c>
      <c r="F39" s="82">
        <f>D39*E39</f>
        <v>5.0999999999999996</v>
      </c>
      <c r="G39" s="83">
        <f>C39</f>
        <v>1</v>
      </c>
      <c r="H39" s="83">
        <f>F39*G39</f>
        <v>5.0999999999999996</v>
      </c>
      <c r="I39" s="84" t="str">
        <f>CONCATENATE("a'(",C39,")=")</f>
        <v>a'(1)=</v>
      </c>
      <c r="J39" s="84">
        <f>2*J37/3*F40</f>
        <v>14.111999999999997</v>
      </c>
      <c r="K39" s="84" t="str">
        <f>CONCATENATE("A(",C37,")=")</f>
        <v>A(0)=</v>
      </c>
      <c r="L39" s="84">
        <f>VLOOKUP(C37,STN_TABLE,3,FALSE)</f>
        <v>0</v>
      </c>
      <c r="M39" t="str">
        <f>CONCATENATE("A(",C39,")=")</f>
        <v>A(1)=</v>
      </c>
      <c r="N39">
        <f>J39+L39</f>
        <v>14.111999999999997</v>
      </c>
      <c r="O39" s="99">
        <f>O38+1</f>
        <v>4</v>
      </c>
      <c r="P39" s="99">
        <f t="shared" si="10"/>
        <v>1.5</v>
      </c>
      <c r="Q39" s="82">
        <f>IF(P39-P38=P38-P37,P39,IF(P40-P38=P38-P37,P40,IF(P39-P38=P38-P36,P39,IF(P40-P38=P38-P36,P40,"-"))))</f>
        <v>1.5</v>
      </c>
      <c r="R39" s="83">
        <f>VLOOKUP(Q39,STN_TABLE,2,FALSE)</f>
        <v>5.74</v>
      </c>
      <c r="S39" s="83">
        <v>-1</v>
      </c>
      <c r="T39" s="82">
        <f>R39*S39</f>
        <v>-5.74</v>
      </c>
      <c r="U39" s="88">
        <v>-1</v>
      </c>
      <c r="V39" s="82">
        <f>R39*U39</f>
        <v>-5.74</v>
      </c>
      <c r="W39" s="84" t="str">
        <f>CONCATENATE("a'(",Q38,")=")</f>
        <v>a'(1)=</v>
      </c>
      <c r="X39" s="84">
        <f>2*X37/12*T40</f>
        <v>8.2964999999999982</v>
      </c>
      <c r="Y39" s="84" t="str">
        <f>CONCATENATE("A(",Q37,")=")</f>
        <v>A(0.5)=</v>
      </c>
      <c r="Z39" s="84">
        <f>VLOOKUP(Q37,STN_TABLE,3,FALSE)</f>
        <v>5.76</v>
      </c>
      <c r="AA39" t="str">
        <f>CONCATENATE("A(",Q38,")=")</f>
        <v>A(1)=</v>
      </c>
      <c r="AB39">
        <f>X39+Z39</f>
        <v>14.056499999999998</v>
      </c>
      <c r="AC39" s="99">
        <f>AC38+1</f>
        <v>3</v>
      </c>
      <c r="AD39" s="100">
        <f>VLOOKUP(AC39,STN_TABLE_2,2,FALSE)</f>
        <v>1</v>
      </c>
      <c r="AE39" s="82">
        <f>VLOOKUP(AD39,STN_TABLE,2,FALSE)</f>
        <v>5.0999999999999996</v>
      </c>
      <c r="AF39" s="82">
        <v>2</v>
      </c>
      <c r="AG39" s="83">
        <f>AE39*AF39</f>
        <v>10.199999999999999</v>
      </c>
      <c r="AH39" s="84" t="str">
        <f>CONCATENATE("a'(",AD39,")=")</f>
        <v>a'(1)=</v>
      </c>
      <c r="AI39" s="84">
        <f>2*AI37/2*AE40</f>
        <v>8.2349999999999994</v>
      </c>
      <c r="AJ39" s="84" t="str">
        <f>CONCATENATE("A(",AD38,")=")</f>
        <v>A(0.5)=</v>
      </c>
      <c r="AK39" s="84">
        <f>VLOOKUP(AD38,STN_TABLE,3,FALSE)</f>
        <v>5.76</v>
      </c>
      <c r="AL39" t="str">
        <f>CONCATENATE("A(",AD39,")=")</f>
        <v>A(1)=</v>
      </c>
      <c r="AM39">
        <f>AI39+AK39</f>
        <v>13.994999999999999</v>
      </c>
      <c r="AO39" s="68" t="str">
        <f>AA39</f>
        <v>A(1)=</v>
      </c>
      <c r="AP39" s="68" t="e">
        <f>VLOOKUP(AO39,Rise_Results,2,FALSE)</f>
        <v>#N/A</v>
      </c>
      <c r="AQ39" s="76">
        <f>N39</f>
        <v>14.111999999999997</v>
      </c>
      <c r="AR39" s="76">
        <f>IF(OR(AB39&lt;=0,AB40&lt;=0),1/0,AB39)</f>
        <v>14.056499999999998</v>
      </c>
      <c r="AS39" s="76">
        <f>AM39</f>
        <v>13.994999999999999</v>
      </c>
      <c r="AT39">
        <f>IFERROR(AP39,IFERROR(AQ39,IFERROR(AR39,AS39)))</f>
        <v>14.111999999999997</v>
      </c>
    </row>
    <row r="40" spans="1:47" x14ac:dyDescent="0.25">
      <c r="A40">
        <v>4</v>
      </c>
      <c r="F40" s="82">
        <f>SUM(F37:F39)</f>
        <v>23.519999999999996</v>
      </c>
      <c r="H40" s="82">
        <f>SUM(H37:H39)</f>
        <v>13.2</v>
      </c>
      <c r="I40" s="84" t="str">
        <f>CONCATENATE("m'(",C39,")=")</f>
        <v>m'(1)=</v>
      </c>
      <c r="J40" s="84">
        <f>2*(J37*(WLS))/3*H40</f>
        <v>14.256</v>
      </c>
      <c r="K40" s="84" t="str">
        <f>CONCATENATE("M(",C37,")=")</f>
        <v>M(0)=</v>
      </c>
      <c r="L40" s="84">
        <f>VLOOKUP(C37,STN_TABLE,4,FALSE)</f>
        <v>0</v>
      </c>
      <c r="M40" t="str">
        <f>CONCATENATE("M(",C39,")=")</f>
        <v>M(1)=</v>
      </c>
      <c r="N40">
        <f>J40+L40</f>
        <v>14.256</v>
      </c>
      <c r="O40" s="99">
        <f>O39+1</f>
        <v>5</v>
      </c>
      <c r="P40" s="99">
        <f t="shared" si="10"/>
        <v>2</v>
      </c>
      <c r="T40" s="89">
        <f>SUM(T37:T39)</f>
        <v>55.309999999999995</v>
      </c>
      <c r="V40" s="82">
        <f>SUM(V37:V39)</f>
        <v>57.41</v>
      </c>
      <c r="W40" s="84" t="str">
        <f>CONCATENATE("m'(",Q38,")=")</f>
        <v>m'(1)=</v>
      </c>
      <c r="X40" s="84">
        <f>(2*(X37^2)/24*V40)+(X39*Q37*WLS)</f>
        <v>11.342024999999998</v>
      </c>
      <c r="Y40" s="84" t="str">
        <f>CONCATENATE("M(",Q37,")=")</f>
        <v>M(0.5)=</v>
      </c>
      <c r="Z40" s="84">
        <f>VLOOKUP(Q37,STN_TABLE,4,FALSE)</f>
        <v>2.8390499999999999</v>
      </c>
      <c r="AA40" t="str">
        <f>CONCATENATE("M(",Q38,")=")</f>
        <v>M(1)=</v>
      </c>
      <c r="AB40">
        <f>X40+Z40</f>
        <v>14.181074999999998</v>
      </c>
      <c r="AE40" s="89">
        <f>SUM(AE38:AE39)</f>
        <v>9.1499999999999986</v>
      </c>
      <c r="AG40" s="89">
        <f>SUM(AG38:AG39)</f>
        <v>14.25</v>
      </c>
      <c r="AH40" s="84" t="str">
        <f>CONCATENATE("m'(",AD39,")=")</f>
        <v>m'(1)=</v>
      </c>
      <c r="AI40" s="84">
        <f>(2*(AI37^2)/6*AG40)+(AI39*AD38*WLS)</f>
        <v>11.259</v>
      </c>
      <c r="AJ40" s="84" t="str">
        <f>CONCATENATE("M(",AD38,")=")</f>
        <v>M(0.5)=</v>
      </c>
      <c r="AK40" s="84">
        <f>VLOOKUP(AD38,STN_TABLE,4,FALSE)</f>
        <v>2.8390499999999999</v>
      </c>
      <c r="AL40" t="str">
        <f>CONCATENATE("M(",AD39,")=")</f>
        <v>M(1)=</v>
      </c>
      <c r="AM40">
        <f>AI40+AK40</f>
        <v>14.098050000000001</v>
      </c>
      <c r="AO40" s="82" t="str">
        <f>AA40</f>
        <v>M(1)=</v>
      </c>
      <c r="AP40" s="82" t="e">
        <f>VLOOKUP(AO40,Rise_Results,2,FALSE)</f>
        <v>#N/A</v>
      </c>
      <c r="AQ40" s="82">
        <f>N40</f>
        <v>14.256</v>
      </c>
      <c r="AR40" s="82">
        <f>IF(OR(AB39&lt;=0,AB40&lt;=0),1/0,AB40)</f>
        <v>14.181074999999998</v>
      </c>
      <c r="AS40" s="82">
        <f>AM40</f>
        <v>14.098050000000001</v>
      </c>
      <c r="AT40">
        <f>IFERROR(AP40,IFERROR(AQ40,IFERROR(AR40,AS40)))</f>
        <v>14.256</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4.05</v>
      </c>
      <c r="E42" s="102">
        <v>1</v>
      </c>
      <c r="F42" s="68">
        <f>D42*E42</f>
        <v>4.05</v>
      </c>
      <c r="G42" s="69">
        <f>C42</f>
        <v>0.5</v>
      </c>
      <c r="H42" s="69">
        <f>F42*G42</f>
        <v>2.0249999999999999</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5.0999999999999996</v>
      </c>
      <c r="S42" s="69">
        <v>5</v>
      </c>
      <c r="T42" s="68">
        <f>R42*S42</f>
        <v>25.5</v>
      </c>
      <c r="U42" s="79">
        <v>3</v>
      </c>
      <c r="V42" s="68">
        <f>R42*U42</f>
        <v>15.299999999999999</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5.0999999999999996</v>
      </c>
      <c r="E43" s="81">
        <v>4</v>
      </c>
      <c r="F43" s="76">
        <f>D43*E43</f>
        <v>20.399999999999999</v>
      </c>
      <c r="G43" s="77">
        <f>C43</f>
        <v>1</v>
      </c>
      <c r="H43" s="77">
        <f>F43*G43</f>
        <v>20.399999999999999</v>
      </c>
      <c r="I43" s="513" t="s">
        <v>97</v>
      </c>
      <c r="J43" s="513"/>
      <c r="K43" s="78" t="s">
        <v>98</v>
      </c>
      <c r="L43" s="78"/>
      <c r="M43" s="7" t="s">
        <v>99</v>
      </c>
      <c r="N43" s="7"/>
      <c r="O43" s="99">
        <f>O42+1</f>
        <v>4</v>
      </c>
      <c r="P43" s="99">
        <f t="shared" si="10"/>
        <v>1.5</v>
      </c>
      <c r="Q43" s="76">
        <f>P43</f>
        <v>1.5</v>
      </c>
      <c r="R43" s="77">
        <f>VLOOKUP(Q43,STN_TABLE,2,FALSE)</f>
        <v>5.74</v>
      </c>
      <c r="S43" s="77">
        <v>8</v>
      </c>
      <c r="T43" s="76">
        <f>R43*S43</f>
        <v>45.92</v>
      </c>
      <c r="U43" s="80">
        <v>10</v>
      </c>
      <c r="V43" s="76">
        <f>R43*U43</f>
        <v>57.400000000000006</v>
      </c>
      <c r="W43" s="513" t="s">
        <v>97</v>
      </c>
      <c r="X43" s="513"/>
      <c r="Y43" s="513" t="s">
        <v>98</v>
      </c>
      <c r="Z43" s="513"/>
      <c r="AA43" s="511" t="s">
        <v>99</v>
      </c>
      <c r="AB43" s="511"/>
      <c r="AC43" s="99">
        <f>AC38+1</f>
        <v>3</v>
      </c>
      <c r="AD43" s="95">
        <f>VLOOKUP(AC43,STN_TABLE_2,2,FALSE)</f>
        <v>1</v>
      </c>
      <c r="AE43" s="68">
        <f>VLOOKUP(AD43,STN_TABLE,2,FALSE)</f>
        <v>5.0999999999999996</v>
      </c>
      <c r="AF43" s="68">
        <v>1</v>
      </c>
      <c r="AG43" s="69">
        <f>AE43*AF43</f>
        <v>5.0999999999999996</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5.74</v>
      </c>
      <c r="E44" s="92">
        <v>1</v>
      </c>
      <c r="F44" s="82">
        <f>D44*E44</f>
        <v>5.74</v>
      </c>
      <c r="G44" s="83">
        <f>C44</f>
        <v>1.5</v>
      </c>
      <c r="H44" s="83">
        <f>F44*G44</f>
        <v>8.61</v>
      </c>
      <c r="I44" s="84" t="str">
        <f>CONCATENATE("a'(",C44,")=")</f>
        <v>a'(1.5)=</v>
      </c>
      <c r="J44" s="84">
        <f>2*J42/3*F45</f>
        <v>18.113999999999997</v>
      </c>
      <c r="K44" s="84" t="str">
        <f>CONCATENATE("A(",C42,")=")</f>
        <v>A(0.5)=</v>
      </c>
      <c r="L44" s="84">
        <f>VLOOKUP(C42,STN_TABLE,3,FALSE)</f>
        <v>5.76</v>
      </c>
      <c r="M44" t="str">
        <f>CONCATENATE("A(",C44,")=")</f>
        <v>A(1.5)=</v>
      </c>
      <c r="N44">
        <f>J44+L44</f>
        <v>23.873999999999995</v>
      </c>
      <c r="O44" s="99">
        <f>O43+1</f>
        <v>5</v>
      </c>
      <c r="P44" s="99">
        <f t="shared" si="10"/>
        <v>2</v>
      </c>
      <c r="Q44" s="82">
        <f>IF(P44-P43=P43-P42,P44,IF(P45-P43=P43-P42,P45,IF(P44-P43=P43-P41,P44,IF(P45-P43=P43-P41,P45,"-"))))</f>
        <v>2</v>
      </c>
      <c r="R44" s="83">
        <f>VLOOKUP(Q44,STN_TABLE,2,FALSE)</f>
        <v>6.23</v>
      </c>
      <c r="S44" s="83">
        <v>-1</v>
      </c>
      <c r="T44" s="82">
        <f>R44*S44</f>
        <v>-6.23</v>
      </c>
      <c r="U44" s="88">
        <v>-1</v>
      </c>
      <c r="V44" s="82">
        <f>R44*U44</f>
        <v>-6.23</v>
      </c>
      <c r="W44" s="84" t="str">
        <f>CONCATENATE("a'(",Q43,")=")</f>
        <v>a'(1.5)=</v>
      </c>
      <c r="X44" s="84">
        <f>2*X42/12*T45</f>
        <v>9.7784999999999993</v>
      </c>
      <c r="Y44" s="84" t="str">
        <f>CONCATENATE("A(",Q42,")=")</f>
        <v>A(1)=</v>
      </c>
      <c r="Z44" s="84">
        <f>VLOOKUP(Q42,STN_TABLE,3,FALSE)</f>
        <v>14.111999999999997</v>
      </c>
      <c r="AA44" t="str">
        <f>CONCATENATE("A(",Q43,")=")</f>
        <v>A(1.5)=</v>
      </c>
      <c r="AB44">
        <f>X44+Z44</f>
        <v>23.890499999999996</v>
      </c>
      <c r="AC44" s="99">
        <f>AC43+1</f>
        <v>4</v>
      </c>
      <c r="AD44" s="100">
        <f>VLOOKUP(AC44,STN_TABLE_2,2,FALSE)</f>
        <v>1.5</v>
      </c>
      <c r="AE44" s="82">
        <f>VLOOKUP(AD44,STN_TABLE,2,FALSE)</f>
        <v>5.74</v>
      </c>
      <c r="AF44" s="82">
        <v>2</v>
      </c>
      <c r="AG44" s="83">
        <f>AE44*AF44</f>
        <v>11.48</v>
      </c>
      <c r="AH44" s="84" t="str">
        <f>CONCATENATE("a'(",AD44,")=")</f>
        <v>a'(1.5)=</v>
      </c>
      <c r="AI44" s="84">
        <f>2*AI42/2*AE45</f>
        <v>9.7560000000000002</v>
      </c>
      <c r="AJ44" s="84" t="str">
        <f>CONCATENATE("A(",AD43,")=")</f>
        <v>A(1)=</v>
      </c>
      <c r="AK44" s="84">
        <f>VLOOKUP(AD43,STN_TABLE,3,FALSE)</f>
        <v>14.111999999999997</v>
      </c>
      <c r="AL44" t="str">
        <f>CONCATENATE("A(",AD44,")=")</f>
        <v>A(1.5)=</v>
      </c>
      <c r="AM44">
        <f>AI44+AK44</f>
        <v>23.867999999999995</v>
      </c>
      <c r="AO44" s="68" t="str">
        <f>AA44</f>
        <v>A(1.5)=</v>
      </c>
      <c r="AP44" s="68" t="e">
        <f>VLOOKUP(AO44,Rise_Results,2,FALSE)</f>
        <v>#N/A</v>
      </c>
      <c r="AQ44" s="76">
        <f>N44</f>
        <v>23.873999999999995</v>
      </c>
      <c r="AR44" s="76">
        <f>IF(OR(AB44&lt;=0,AB45&lt;=0),1/0,AB44)</f>
        <v>23.890499999999996</v>
      </c>
      <c r="AS44" s="76">
        <f>AM44</f>
        <v>23.867999999999995</v>
      </c>
      <c r="AT44">
        <f>IFERROR(AP44,IFERROR(AQ44,IFERROR(AR44,AS44)))</f>
        <v>23.873999999999995</v>
      </c>
      <c r="AU44" s="81"/>
    </row>
    <row r="45" spans="1:47" x14ac:dyDescent="0.25">
      <c r="A45" s="94">
        <f>A44+1</f>
        <v>4</v>
      </c>
      <c r="B45" s="94">
        <f t="shared" si="11"/>
        <v>1.5</v>
      </c>
      <c r="F45" s="82">
        <f>SUM(F42:F44)</f>
        <v>30.189999999999998</v>
      </c>
      <c r="H45" s="82">
        <f>SUM(H42:H44)</f>
        <v>31.034999999999997</v>
      </c>
      <c r="I45" s="84" t="str">
        <f>CONCATENATE("m'(",C44,")=")</f>
        <v>m'(1.5)=</v>
      </c>
      <c r="J45" s="84">
        <f>2*(J42*(WLS))/3*H45</f>
        <v>33.517800000000001</v>
      </c>
      <c r="K45" s="84" t="str">
        <f>CONCATENATE("M(",C42,")=")</f>
        <v>M(0.5)=</v>
      </c>
      <c r="L45" s="84">
        <f>VLOOKUP(C42,STN_TABLE,4,FALSE)</f>
        <v>2.8390499999999999</v>
      </c>
      <c r="M45" t="str">
        <f>CONCATENATE("M(",C44,")=")</f>
        <v>M(1.5)=</v>
      </c>
      <c r="N45">
        <f>J45+L45</f>
        <v>36.356850000000001</v>
      </c>
      <c r="O45" s="99">
        <f>O44+1</f>
        <v>6</v>
      </c>
      <c r="P45" s="99">
        <f t="shared" si="10"/>
        <v>3</v>
      </c>
      <c r="T45" s="89">
        <f>SUM(T42:T44)</f>
        <v>65.19</v>
      </c>
      <c r="V45" s="82">
        <f>SUM(V42:V44)</f>
        <v>66.47</v>
      </c>
      <c r="W45" s="84" t="str">
        <f>CONCATENATE("m'(",Q43,")=")</f>
        <v>m'(1.5)=</v>
      </c>
      <c r="X45" s="84">
        <f>(2*(X42^2)/24*V45)+(X44*Q42*WLS)</f>
        <v>22.088024999999998</v>
      </c>
      <c r="Y45" s="84" t="str">
        <f>CONCATENATE("M(",Q42,")=")</f>
        <v>M(1)=</v>
      </c>
      <c r="Z45" s="84">
        <f>VLOOKUP(Q42,STN_TABLE,4,FALSE)</f>
        <v>14.256</v>
      </c>
      <c r="AA45" t="str">
        <f>CONCATENATE("M(",Q43,")=")</f>
        <v>M(1.5)=</v>
      </c>
      <c r="AB45">
        <f>X45+Z45</f>
        <v>36.344025000000002</v>
      </c>
      <c r="AE45" s="89">
        <f>SUM(AE43:AE44)</f>
        <v>10.84</v>
      </c>
      <c r="AG45" s="89">
        <f>SUM(AG43:AG44)</f>
        <v>16.579999999999998</v>
      </c>
      <c r="AH45" s="84" t="str">
        <f>CONCATENATE("m'(",AD44,")=")</f>
        <v>m'(1.5)=</v>
      </c>
      <c r="AI45" s="84">
        <f>(2*(AI42^2)/6*AG45)+(AI44*AD43*WLS)</f>
        <v>22.037399999999998</v>
      </c>
      <c r="AJ45" s="84" t="str">
        <f>CONCATENATE("M(",AD43,")=")</f>
        <v>M(1)=</v>
      </c>
      <c r="AK45" s="84">
        <f>VLOOKUP(AD43,STN_TABLE,4,FALSE)</f>
        <v>14.256</v>
      </c>
      <c r="AL45" t="str">
        <f>CONCATENATE("M(",AD44,")=")</f>
        <v>M(1.5)=</v>
      </c>
      <c r="AM45">
        <f>AI45+AK45</f>
        <v>36.293399999999998</v>
      </c>
      <c r="AO45" s="82" t="str">
        <f>AA45</f>
        <v>M(1.5)=</v>
      </c>
      <c r="AP45" s="82" t="e">
        <f>VLOOKUP(AO45,Rise_Results,2,FALSE)</f>
        <v>#N/A</v>
      </c>
      <c r="AQ45" s="82">
        <f>N45</f>
        <v>36.356850000000001</v>
      </c>
      <c r="AR45" s="82">
        <f>IF(OR(AB44&lt;=0,AB45&lt;=0),1/0,AB45)</f>
        <v>36.344025000000002</v>
      </c>
      <c r="AS45" s="82">
        <f>AM45</f>
        <v>36.293399999999998</v>
      </c>
      <c r="AT45">
        <f>IFERROR(AP45,IFERROR(AQ45,IFERROR(AR45,AS45)))</f>
        <v>36.356850000000001</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5.0999999999999996</v>
      </c>
      <c r="E47" s="102">
        <v>1</v>
      </c>
      <c r="F47" s="68">
        <f>D47*E47</f>
        <v>5.0999999999999996</v>
      </c>
      <c r="G47" s="69">
        <f>C47</f>
        <v>1</v>
      </c>
      <c r="H47" s="69">
        <f>F47*G47</f>
        <v>5.0999999999999996</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5.0999999999999996</v>
      </c>
      <c r="S47" s="69">
        <v>5</v>
      </c>
      <c r="T47" s="68">
        <f>R47*S47</f>
        <v>25.5</v>
      </c>
      <c r="U47" s="79">
        <v>3</v>
      </c>
      <c r="V47" s="68">
        <f>R47*U47</f>
        <v>15.299999999999999</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5.74</v>
      </c>
      <c r="E48" s="81">
        <v>4</v>
      </c>
      <c r="F48" s="76">
        <f>D48*E48</f>
        <v>22.96</v>
      </c>
      <c r="G48" s="77">
        <f>C48</f>
        <v>1.5</v>
      </c>
      <c r="H48" s="77">
        <f>F48*G48</f>
        <v>34.44</v>
      </c>
      <c r="I48" s="513" t="s">
        <v>97</v>
      </c>
      <c r="J48" s="513"/>
      <c r="K48" s="78" t="s">
        <v>98</v>
      </c>
      <c r="L48" s="78"/>
      <c r="M48" s="7" t="s">
        <v>99</v>
      </c>
      <c r="N48" s="7"/>
      <c r="O48" s="99">
        <f>O47+1</f>
        <v>5</v>
      </c>
      <c r="P48" s="99">
        <f t="shared" si="10"/>
        <v>2</v>
      </c>
      <c r="Q48" s="76">
        <f>P48</f>
        <v>2</v>
      </c>
      <c r="R48" s="77">
        <f>VLOOKUP(Q48,STN_TABLE,2,FALSE)</f>
        <v>6.23</v>
      </c>
      <c r="S48" s="77">
        <v>8</v>
      </c>
      <c r="T48" s="76">
        <f>R48*S48</f>
        <v>49.84</v>
      </c>
      <c r="U48" s="80">
        <v>10</v>
      </c>
      <c r="V48" s="76">
        <f>R48*U48</f>
        <v>62.300000000000004</v>
      </c>
      <c r="W48" s="513" t="s">
        <v>97</v>
      </c>
      <c r="X48" s="513"/>
      <c r="Y48" s="513" t="s">
        <v>98</v>
      </c>
      <c r="Z48" s="513"/>
      <c r="AA48" s="511" t="s">
        <v>99</v>
      </c>
      <c r="AB48" s="511"/>
      <c r="AC48" s="99">
        <f>AC43+1</f>
        <v>4</v>
      </c>
      <c r="AD48" s="95">
        <f>VLOOKUP(AC48,STN_TABLE_2,2,FALSE)</f>
        <v>1.5</v>
      </c>
      <c r="AE48" s="68">
        <f>VLOOKUP(AD48,STN_TABLE,2,FALSE)</f>
        <v>5.74</v>
      </c>
      <c r="AF48" s="68">
        <v>1</v>
      </c>
      <c r="AG48" s="69">
        <f>AE48*AF48</f>
        <v>5.74</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6.23</v>
      </c>
      <c r="E49" s="92">
        <v>1</v>
      </c>
      <c r="F49" s="82">
        <f>D49*E49</f>
        <v>6.23</v>
      </c>
      <c r="G49" s="83">
        <f>C49</f>
        <v>2</v>
      </c>
      <c r="H49" s="83">
        <f>F49*G49</f>
        <v>12.46</v>
      </c>
      <c r="I49" s="84" t="str">
        <f>CONCATENATE("a'(",C49,")=")</f>
        <v>a'(2)=</v>
      </c>
      <c r="J49" s="84">
        <f>2*J47/3*F50</f>
        <v>20.574000000000002</v>
      </c>
      <c r="K49" s="84" t="str">
        <f>CONCATENATE("A(",C47,")=")</f>
        <v>A(1)=</v>
      </c>
      <c r="L49" s="84">
        <f>VLOOKUP(C47,STN_TABLE,3,FALSE)</f>
        <v>14.111999999999997</v>
      </c>
      <c r="M49" t="str">
        <f>CONCATENATE("A(",C49,")=")</f>
        <v>A(2)=</v>
      </c>
      <c r="N49">
        <f>J49+L49</f>
        <v>34.686</v>
      </c>
      <c r="O49" s="99">
        <f>O48+1</f>
        <v>6</v>
      </c>
      <c r="P49" s="99">
        <f t="shared" si="10"/>
        <v>3</v>
      </c>
      <c r="Q49" s="82">
        <f>IF(P49-P48=P48-P47,P49,IF(P50-P48=P48-P47,P50,IF(P49-P48=P48-P46,P49,IF(P50-P48=P48-P46,P50,"-"))))</f>
        <v>3</v>
      </c>
      <c r="R49" s="83">
        <f>VLOOKUP(Q49,STN_TABLE,2,FALSE)</f>
        <v>7.02</v>
      </c>
      <c r="S49" s="83">
        <v>-1</v>
      </c>
      <c r="T49" s="82">
        <f>R49*S49</f>
        <v>-7.02</v>
      </c>
      <c r="U49" s="88">
        <v>-1</v>
      </c>
      <c r="V49" s="82">
        <f>R49*U49</f>
        <v>-7.02</v>
      </c>
      <c r="W49" s="84" t="str">
        <f>CONCATENATE("a'(",Q48,")=")</f>
        <v>a'(2)=</v>
      </c>
      <c r="X49" s="84">
        <f>2*X47/12*T50</f>
        <v>20.496000000000002</v>
      </c>
      <c r="Y49" s="84" t="str">
        <f>CONCATENATE("A(",Q47,")=")</f>
        <v>A(1)=</v>
      </c>
      <c r="Z49" s="84">
        <f>VLOOKUP(Q47,STN_TABLE,3,FALSE)</f>
        <v>14.111999999999997</v>
      </c>
      <c r="AA49" t="str">
        <f>CONCATENATE("A(",Q48,")=")</f>
        <v>A(2)=</v>
      </c>
      <c r="AB49">
        <f>X49+Z49</f>
        <v>34.607999999999997</v>
      </c>
      <c r="AC49" s="99">
        <f>AC48+1</f>
        <v>5</v>
      </c>
      <c r="AD49" s="100">
        <f>VLOOKUP(AC49,STN_TABLE_2,2,FALSE)</f>
        <v>2</v>
      </c>
      <c r="AE49" s="82">
        <f>VLOOKUP(AD49,STN_TABLE,2,FALSE)</f>
        <v>6.23</v>
      </c>
      <c r="AF49" s="82">
        <v>2</v>
      </c>
      <c r="AG49" s="83">
        <f>AE49*AF49</f>
        <v>12.46</v>
      </c>
      <c r="AH49" s="84" t="str">
        <f>CONCATENATE("a'(",AD49,")=")</f>
        <v>a'(2)=</v>
      </c>
      <c r="AI49" s="84">
        <f>2*AI47/2*AE50</f>
        <v>10.773000000000001</v>
      </c>
      <c r="AJ49" s="84" t="str">
        <f>CONCATENATE("A(",AD48,")=")</f>
        <v>A(1.5)=</v>
      </c>
      <c r="AK49" s="84">
        <f>VLOOKUP(AD48,STN_TABLE,3,FALSE)</f>
        <v>23.873999999999995</v>
      </c>
      <c r="AL49" t="str">
        <f>CONCATENATE("A(",AD49,")=")</f>
        <v>A(2)=</v>
      </c>
      <c r="AM49">
        <f>AI49+AK49</f>
        <v>34.646999999999998</v>
      </c>
      <c r="AO49" s="68" t="str">
        <f>AA49</f>
        <v>A(2)=</v>
      </c>
      <c r="AP49" s="68" t="e">
        <f>VLOOKUP(AO49,Rise_Results,2,FALSE)</f>
        <v>#N/A</v>
      </c>
      <c r="AQ49" s="76">
        <f>N49</f>
        <v>34.686</v>
      </c>
      <c r="AR49" s="76">
        <f>IF(OR(AB49&lt;=0,AB50&lt;=0),1/0,AB49)</f>
        <v>34.607999999999997</v>
      </c>
      <c r="AS49" s="76">
        <f>AM49</f>
        <v>34.646999999999998</v>
      </c>
      <c r="AT49">
        <f>IFERROR(AP49,IFERROR(AQ49,IFERROR(AR49,AS49)))</f>
        <v>34.686</v>
      </c>
      <c r="AU49" s="81"/>
    </row>
    <row r="50" spans="1:47" x14ac:dyDescent="0.25">
      <c r="A50" s="84">
        <f>A49+1</f>
        <v>5</v>
      </c>
      <c r="B50" s="84">
        <f t="shared" si="11"/>
        <v>2</v>
      </c>
      <c r="F50" s="82">
        <f>SUM(F47:F49)</f>
        <v>34.290000000000006</v>
      </c>
      <c r="H50" s="82">
        <f>SUM(H47:H49)</f>
        <v>52</v>
      </c>
      <c r="I50" s="84" t="str">
        <f>CONCATENATE("m'(",C49,")=")</f>
        <v>m'(2)=</v>
      </c>
      <c r="J50" s="84">
        <f>2*(J47*(WLS))/3*H50</f>
        <v>56.160000000000004</v>
      </c>
      <c r="K50" s="84" t="str">
        <f>CONCATENATE("M(",C47,")=")</f>
        <v>M(1)=</v>
      </c>
      <c r="L50" s="84">
        <f>VLOOKUP(C47,STN_TABLE,4,FALSE)</f>
        <v>14.256</v>
      </c>
      <c r="M50" t="str">
        <f>CONCATENATE("M(",C49,")=")</f>
        <v>M(2)=</v>
      </c>
      <c r="N50">
        <f>J50+L50</f>
        <v>70.415999999999997</v>
      </c>
      <c r="O50" s="99">
        <f>O49+1</f>
        <v>7</v>
      </c>
      <c r="P50" s="99">
        <f t="shared" si="10"/>
        <v>4</v>
      </c>
      <c r="T50" s="89">
        <f>SUM(T47:T49)</f>
        <v>68.320000000000007</v>
      </c>
      <c r="V50" s="82">
        <f>SUM(V47:V49)</f>
        <v>70.580000000000013</v>
      </c>
      <c r="W50" s="84" t="str">
        <f>CONCATENATE("m'(",Q48,")=")</f>
        <v>m'(2)=</v>
      </c>
      <c r="X50" s="84">
        <f>(2*(X47^2)/24*V50)+(X49*Q47*WLS)</f>
        <v>55.949400000000011</v>
      </c>
      <c r="Y50" s="84" t="str">
        <f>CONCATENATE("M(",Q47,")=")</f>
        <v>M(1)=</v>
      </c>
      <c r="Z50" s="84">
        <f>VLOOKUP(Q47,STN_TABLE,4,FALSE)</f>
        <v>14.256</v>
      </c>
      <c r="AA50" t="str">
        <f>CONCATENATE("M(",Q48,")=")</f>
        <v>M(2)=</v>
      </c>
      <c r="AB50">
        <f>X50+Z50</f>
        <v>70.205400000000012</v>
      </c>
      <c r="AE50" s="89">
        <f>SUM(AE48:AE49)</f>
        <v>11.97</v>
      </c>
      <c r="AG50" s="89">
        <f>SUM(AG48:AG49)</f>
        <v>18.200000000000003</v>
      </c>
      <c r="AH50" s="84" t="str">
        <f>CONCATENATE("m'(",AD49,")=")</f>
        <v>m'(2)=</v>
      </c>
      <c r="AI50" s="84">
        <f>(2*(AI47^2)/6*AG50)+(AI49*AD48*WLS)</f>
        <v>34.001100000000008</v>
      </c>
      <c r="AJ50" s="84" t="str">
        <f>CONCATENATE("M(",AD48,")=")</f>
        <v>M(1.5)=</v>
      </c>
      <c r="AK50" s="84">
        <f>VLOOKUP(AD48,STN_TABLE,4,FALSE)</f>
        <v>36.356850000000001</v>
      </c>
      <c r="AL50" t="str">
        <f>CONCATENATE("M(",AD49,")=")</f>
        <v>M(2)=</v>
      </c>
      <c r="AM50">
        <f>AI50+AK50</f>
        <v>70.357950000000017</v>
      </c>
      <c r="AO50" s="82" t="str">
        <f>AA50</f>
        <v>M(2)=</v>
      </c>
      <c r="AP50" s="82" t="e">
        <f>VLOOKUP(AO50,Rise_Results,2,FALSE)</f>
        <v>#N/A</v>
      </c>
      <c r="AQ50" s="82">
        <f>N50</f>
        <v>70.415999999999997</v>
      </c>
      <c r="AR50" s="82">
        <f>IF(OR(AB49&lt;=0,AB50&lt;=0),1/0,AB50)</f>
        <v>70.205400000000012</v>
      </c>
      <c r="AS50" s="82">
        <f>AM50</f>
        <v>70.357950000000017</v>
      </c>
      <c r="AT50">
        <f>IFERROR(AP50,IFERROR(AQ50,IFERROR(AR50,AS50)))</f>
        <v>70.415999999999997</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5.0999999999999996</v>
      </c>
      <c r="E52" s="102">
        <v>1</v>
      </c>
      <c r="F52" s="68">
        <f>D52*E52</f>
        <v>5.0999999999999996</v>
      </c>
      <c r="G52" s="69">
        <f>C52</f>
        <v>1</v>
      </c>
      <c r="H52" s="69">
        <f>F52*G52</f>
        <v>5.0999999999999996</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6.23</v>
      </c>
      <c r="S52" s="69">
        <v>5</v>
      </c>
      <c r="T52" s="68">
        <f>R52*S52</f>
        <v>31.150000000000002</v>
      </c>
      <c r="U52" s="79">
        <v>3</v>
      </c>
      <c r="V52" s="68">
        <f>R52*U52</f>
        <v>18.690000000000001</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6.23</v>
      </c>
      <c r="E53" s="81">
        <v>4</v>
      </c>
      <c r="F53" s="76">
        <f>D53*E53</f>
        <v>24.92</v>
      </c>
      <c r="G53" s="77">
        <f>C53</f>
        <v>2</v>
      </c>
      <c r="H53" s="77">
        <f>F53*G53</f>
        <v>49.84</v>
      </c>
      <c r="I53" s="512" t="s">
        <v>97</v>
      </c>
      <c r="J53" s="513"/>
      <c r="K53" s="78" t="s">
        <v>98</v>
      </c>
      <c r="L53" s="78"/>
      <c r="M53" s="7" t="s">
        <v>99</v>
      </c>
      <c r="N53" s="7"/>
      <c r="O53" s="99">
        <f>O52+1</f>
        <v>6</v>
      </c>
      <c r="P53" s="99">
        <f t="shared" si="10"/>
        <v>3</v>
      </c>
      <c r="Q53" s="76">
        <f>P53</f>
        <v>3</v>
      </c>
      <c r="R53" s="77">
        <f>VLOOKUP(Q53,STN_TABLE,2,FALSE)</f>
        <v>7.02</v>
      </c>
      <c r="S53" s="77">
        <v>8</v>
      </c>
      <c r="T53" s="76">
        <f>R53*S53</f>
        <v>56.16</v>
      </c>
      <c r="U53" s="80">
        <v>10</v>
      </c>
      <c r="V53" s="76">
        <f>R53*U53</f>
        <v>70.199999999999989</v>
      </c>
      <c r="W53" s="513" t="s">
        <v>97</v>
      </c>
      <c r="X53" s="513"/>
      <c r="Y53" s="513" t="s">
        <v>98</v>
      </c>
      <c r="Z53" s="513"/>
      <c r="AA53" s="511" t="s">
        <v>99</v>
      </c>
      <c r="AB53" s="511"/>
      <c r="AC53" s="99">
        <f>AC48+1</f>
        <v>5</v>
      </c>
      <c r="AD53" s="95">
        <f>VLOOKUP(AC53,STN_TABLE_2,2,FALSE)</f>
        <v>2</v>
      </c>
      <c r="AE53" s="68">
        <f>VLOOKUP(AD53,STN_TABLE,2,FALSE)</f>
        <v>6.23</v>
      </c>
      <c r="AF53" s="68">
        <v>1</v>
      </c>
      <c r="AG53" s="69">
        <f>AE53*AF53</f>
        <v>6.23</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7.02</v>
      </c>
      <c r="E54" s="92">
        <v>1</v>
      </c>
      <c r="F54" s="82">
        <f>D54*E54</f>
        <v>7.02</v>
      </c>
      <c r="G54" s="83">
        <f>C54</f>
        <v>3</v>
      </c>
      <c r="H54" s="83">
        <f>F54*G54</f>
        <v>21.06</v>
      </c>
      <c r="I54" s="84" t="str">
        <f>CONCATENATE("a'(",C54,")=")</f>
        <v>a'(3)=</v>
      </c>
      <c r="J54" s="84">
        <f>2*J52/3*F55</f>
        <v>44.448000000000008</v>
      </c>
      <c r="K54" s="84" t="str">
        <f>CONCATENATE("A(",C52,")=")</f>
        <v>A(1)=</v>
      </c>
      <c r="L54" s="84">
        <f>VLOOKUP(C52,STN_TABLE,3,FALSE)</f>
        <v>14.111999999999997</v>
      </c>
      <c r="M54" t="str">
        <f>CONCATENATE("A(",C54,")=")</f>
        <v>A(3)=</v>
      </c>
      <c r="N54">
        <f>J54+L54</f>
        <v>58.56</v>
      </c>
      <c r="O54" s="99">
        <f>O53+1</f>
        <v>7</v>
      </c>
      <c r="P54" s="99">
        <f t="shared" si="10"/>
        <v>4</v>
      </c>
      <c r="Q54" s="82">
        <f>IF(P54-P53=P53-P52,P54,IF(P55-P53=P53-P52,P55,IF(P54-P53=P53-P51,P54,IF(P55-P53=P53-P51,P55,"-"))))</f>
        <v>4</v>
      </c>
      <c r="R54" s="83">
        <f>VLOOKUP(Q54,STN_TABLE,2,FALSE)</f>
        <v>7.81</v>
      </c>
      <c r="S54" s="83">
        <v>-1</v>
      </c>
      <c r="T54" s="82">
        <f>R54*S54</f>
        <v>-7.81</v>
      </c>
      <c r="U54" s="88">
        <v>-1</v>
      </c>
      <c r="V54" s="82">
        <f>R54*U54</f>
        <v>-7.81</v>
      </c>
      <c r="W54" s="84" t="str">
        <f>CONCATENATE("a'(",Q53,")=")</f>
        <v>a'(3)=</v>
      </c>
      <c r="X54" s="84">
        <f>2*X52/12*T55</f>
        <v>23.849999999999998</v>
      </c>
      <c r="Y54" s="84" t="str">
        <f>CONCATENATE("A(",Q52,")=")</f>
        <v>A(2)=</v>
      </c>
      <c r="Z54" s="84">
        <f>VLOOKUP(Q52,STN_TABLE,3,FALSE)</f>
        <v>34.686</v>
      </c>
      <c r="AA54" t="str">
        <f>CONCATENATE("A(",Q53,")=")</f>
        <v>A(3)=</v>
      </c>
      <c r="AB54">
        <f>X54+Z54</f>
        <v>58.536000000000001</v>
      </c>
      <c r="AC54" s="99">
        <f>AC53+1</f>
        <v>6</v>
      </c>
      <c r="AD54" s="100">
        <f>VLOOKUP(AC54,STN_TABLE_2,2,FALSE)</f>
        <v>3</v>
      </c>
      <c r="AE54" s="82">
        <f>VLOOKUP(AD54,STN_TABLE,2,FALSE)</f>
        <v>7.02</v>
      </c>
      <c r="AF54" s="82">
        <v>2</v>
      </c>
      <c r="AG54" s="83">
        <f>AE54*AF54</f>
        <v>14.04</v>
      </c>
      <c r="AH54" s="84" t="str">
        <f>CONCATENATE("a'(",AD54,")=")</f>
        <v>a'(3)=</v>
      </c>
      <c r="AI54" s="84">
        <f>2*AI52/2*AE55</f>
        <v>23.85</v>
      </c>
      <c r="AJ54" s="84" t="str">
        <f>CONCATENATE("A(",AD53,")=")</f>
        <v>A(2)=</v>
      </c>
      <c r="AK54" s="84">
        <f>VLOOKUP(AD53,STN_TABLE,3,FALSE)</f>
        <v>34.686</v>
      </c>
      <c r="AL54" t="str">
        <f>CONCATENATE("A(",AD54,")=")</f>
        <v>A(3)=</v>
      </c>
      <c r="AM54">
        <f>AI54+AK54</f>
        <v>58.536000000000001</v>
      </c>
      <c r="AO54" s="68" t="str">
        <f>AA54</f>
        <v>A(3)=</v>
      </c>
      <c r="AP54" s="68" t="e">
        <f>VLOOKUP(AO54,Rise_Results,2,FALSE)</f>
        <v>#N/A</v>
      </c>
      <c r="AQ54" s="76">
        <f>N54</f>
        <v>58.56</v>
      </c>
      <c r="AR54" s="76">
        <f>IF(OR(AB54&lt;=0,AB55&lt;=0),1/0,AB54)</f>
        <v>58.536000000000001</v>
      </c>
      <c r="AS54" s="76">
        <f>AM54</f>
        <v>58.536000000000001</v>
      </c>
      <c r="AT54">
        <f>IFERROR(AP54,IFERROR(AQ54,IFERROR(AR54,AS54)))</f>
        <v>58.56</v>
      </c>
      <c r="AU54" s="81"/>
    </row>
    <row r="55" spans="1:47" x14ac:dyDescent="0.25">
      <c r="A55" s="84">
        <f>A54+1</f>
        <v>6</v>
      </c>
      <c r="B55" s="84">
        <f t="shared" si="11"/>
        <v>3</v>
      </c>
      <c r="F55" s="82">
        <f>SUM(F52:F54)</f>
        <v>37.040000000000006</v>
      </c>
      <c r="H55" s="82">
        <f>SUM(H52:H54)</f>
        <v>76</v>
      </c>
      <c r="I55" s="84" t="str">
        <f>CONCATENATE("m'(",C54,")=")</f>
        <v>m'(3)=</v>
      </c>
      <c r="J55" s="84">
        <f>2*(J52*(WLS))/3*H55</f>
        <v>164.16000000000003</v>
      </c>
      <c r="K55" s="84" t="str">
        <f>CONCATENATE("M(",C52,")=")</f>
        <v>M(1)=</v>
      </c>
      <c r="L55" s="84">
        <f>VLOOKUP(C52,STN_TABLE,4,FALSE)</f>
        <v>14.256</v>
      </c>
      <c r="M55" t="str">
        <f>CONCATENATE("M(",C54,")=")</f>
        <v>M(3)=</v>
      </c>
      <c r="N55">
        <f>J55+L55</f>
        <v>178.41600000000003</v>
      </c>
      <c r="O55" s="99">
        <f>O54+1</f>
        <v>8</v>
      </c>
      <c r="P55" s="99">
        <f t="shared" si="10"/>
        <v>5</v>
      </c>
      <c r="T55" s="89">
        <f>SUM(T52:T54)</f>
        <v>79.5</v>
      </c>
      <c r="V55" s="82">
        <f>SUM(V52:V54)</f>
        <v>81.079999999999984</v>
      </c>
      <c r="W55" s="84" t="str">
        <f>CONCATENATE("m'(",Q53,")=")</f>
        <v>m'(3)=</v>
      </c>
      <c r="X55" s="84">
        <f>(2*(X52^2)/24*V55)+(X54*Q52*WLS)</f>
        <v>107.7516</v>
      </c>
      <c r="Y55" s="84" t="str">
        <f>CONCATENATE("M(",Q52,")=")</f>
        <v>M(2)=</v>
      </c>
      <c r="Z55" s="84">
        <f>VLOOKUP(Q52,STN_TABLE,4,FALSE)</f>
        <v>70.415999999999997</v>
      </c>
      <c r="AA55" t="str">
        <f>CONCATENATE("M(",Q53,")=")</f>
        <v>M(3)=</v>
      </c>
      <c r="AB55">
        <f>X55+Z55</f>
        <v>178.16759999999999</v>
      </c>
      <c r="AE55" s="89">
        <f>SUM(AE53:AE54)</f>
        <v>13.25</v>
      </c>
      <c r="AG55" s="89">
        <f>SUM(AG53:AG54)</f>
        <v>20.27</v>
      </c>
      <c r="AH55" s="84" t="str">
        <f>CONCATENATE("m'(",AD54,")=")</f>
        <v>m'(3)=</v>
      </c>
      <c r="AI55" s="84">
        <f>(2*(AI52^2)/6*AG55)+(AI54*AD53*WLS)</f>
        <v>107.75160000000001</v>
      </c>
      <c r="AJ55" s="84" t="str">
        <f>CONCATENATE("M(",AD53,")=")</f>
        <v>M(2)=</v>
      </c>
      <c r="AK55" s="84">
        <f>VLOOKUP(AD53,STN_TABLE,4,FALSE)</f>
        <v>70.415999999999997</v>
      </c>
      <c r="AL55" t="str">
        <f>CONCATENATE("M(",AD54,")=")</f>
        <v>M(3)=</v>
      </c>
      <c r="AM55">
        <f>AI55+AK55</f>
        <v>178.16759999999999</v>
      </c>
      <c r="AO55" s="82" t="str">
        <f>AA55</f>
        <v>M(3)=</v>
      </c>
      <c r="AP55" s="82" t="e">
        <f>VLOOKUP(AO55,Rise_Results,2,FALSE)</f>
        <v>#N/A</v>
      </c>
      <c r="AQ55" s="82">
        <f>N55</f>
        <v>178.41600000000003</v>
      </c>
      <c r="AR55" s="82">
        <f>IF(OR(AB54&lt;=0,AB55&lt;=0),1/0,AB55)</f>
        <v>178.16759999999999</v>
      </c>
      <c r="AS55" s="82">
        <f>AM55</f>
        <v>178.16759999999999</v>
      </c>
      <c r="AT55">
        <f>IFERROR(AP55,IFERROR(AQ55,IFERROR(AR55,AS55)))</f>
        <v>178.41600000000003</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6.23</v>
      </c>
      <c r="E57" s="102">
        <v>1</v>
      </c>
      <c r="F57" s="68">
        <f>D57*E57</f>
        <v>6.23</v>
      </c>
      <c r="G57" s="69">
        <f>C57</f>
        <v>2</v>
      </c>
      <c r="H57" s="69">
        <f>F57*G57</f>
        <v>12.46</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7.02</v>
      </c>
      <c r="S57" s="69">
        <v>5</v>
      </c>
      <c r="T57" s="68">
        <f>R57*S57</f>
        <v>35.099999999999994</v>
      </c>
      <c r="U57" s="79">
        <v>3</v>
      </c>
      <c r="V57" s="68">
        <f>R57*U57</f>
        <v>21.06</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7.02</v>
      </c>
      <c r="E58" s="81">
        <v>4</v>
      </c>
      <c r="F58" s="76">
        <f>D58*E58</f>
        <v>28.08</v>
      </c>
      <c r="G58" s="77">
        <f>C58</f>
        <v>3</v>
      </c>
      <c r="H58" s="77">
        <f>F58*G58</f>
        <v>84.24</v>
      </c>
      <c r="I58" s="512" t="s">
        <v>97</v>
      </c>
      <c r="J58" s="513"/>
      <c r="K58" s="78" t="s">
        <v>98</v>
      </c>
      <c r="L58" s="78"/>
      <c r="M58" s="7" t="s">
        <v>99</v>
      </c>
      <c r="N58" s="7"/>
      <c r="O58" s="99">
        <f>O57+1</f>
        <v>7</v>
      </c>
      <c r="P58" s="99">
        <f t="shared" si="10"/>
        <v>4</v>
      </c>
      <c r="Q58" s="76">
        <f>P58</f>
        <v>4</v>
      </c>
      <c r="R58" s="77">
        <f>VLOOKUP(Q58,STN_TABLE,2,FALSE)</f>
        <v>7.81</v>
      </c>
      <c r="S58" s="77">
        <v>8</v>
      </c>
      <c r="T58" s="76">
        <f>R58*S58</f>
        <v>62.48</v>
      </c>
      <c r="U58" s="80">
        <v>10</v>
      </c>
      <c r="V58" s="76">
        <f>R58*U58</f>
        <v>78.099999999999994</v>
      </c>
      <c r="W58" s="78" t="s">
        <v>97</v>
      </c>
      <c r="X58" s="78"/>
      <c r="Y58" s="78" t="s">
        <v>98</v>
      </c>
      <c r="Z58" s="78"/>
      <c r="AA58" s="7" t="s">
        <v>99</v>
      </c>
      <c r="AB58" s="7"/>
      <c r="AC58" s="99">
        <f>AC53+1</f>
        <v>6</v>
      </c>
      <c r="AD58" s="95">
        <f>VLOOKUP(AC58,STN_TABLE_2,2,FALSE)</f>
        <v>3</v>
      </c>
      <c r="AE58" s="68">
        <f>VLOOKUP(AD58,STN_TABLE,2,FALSE)</f>
        <v>7.02</v>
      </c>
      <c r="AF58" s="68">
        <v>1</v>
      </c>
      <c r="AG58" s="69">
        <f>AE58*AF58</f>
        <v>7.02</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7.81</v>
      </c>
      <c r="E59" s="92">
        <v>1</v>
      </c>
      <c r="F59" s="82">
        <f>D59*E59</f>
        <v>7.81</v>
      </c>
      <c r="G59" s="83">
        <f>C59</f>
        <v>4</v>
      </c>
      <c r="H59" s="83">
        <f>F59*G59</f>
        <v>31.24</v>
      </c>
      <c r="I59" s="84" t="str">
        <f>CONCATENATE("a'(",C59,")=")</f>
        <v>a'(4)=</v>
      </c>
      <c r="J59" s="84">
        <f>2*J57/3*F60</f>
        <v>50.544000000000004</v>
      </c>
      <c r="K59" s="84" t="str">
        <f>CONCATENATE("A(",C57,")=")</f>
        <v>A(2)=</v>
      </c>
      <c r="L59" s="84">
        <f>VLOOKUP(C57,STN_TABLE,3,FALSE)</f>
        <v>34.686</v>
      </c>
      <c r="M59" t="str">
        <f>CONCATENATE("A(",C59,")=")</f>
        <v>A(4)=</v>
      </c>
      <c r="N59">
        <f>J59+L59</f>
        <v>85.23</v>
      </c>
      <c r="O59" s="99">
        <f>O58+1</f>
        <v>8</v>
      </c>
      <c r="P59" s="99">
        <f t="shared" si="10"/>
        <v>5</v>
      </c>
      <c r="Q59" s="82">
        <f>IF(P59-P58=P58-P57,P59,IF(P60-P58=P58-P57,P60,IF(P59-P58=P58-P56,P59,IF(P60-P58=P58-P56,P60,"-"))))</f>
        <v>5</v>
      </c>
      <c r="R59" s="83">
        <f>VLOOKUP(Q59,STN_TABLE,2,FALSE)</f>
        <v>8.6300000000000008</v>
      </c>
      <c r="S59" s="83">
        <v>-1</v>
      </c>
      <c r="T59" s="82">
        <f>R59*S59</f>
        <v>-8.6300000000000008</v>
      </c>
      <c r="U59" s="88">
        <v>-1</v>
      </c>
      <c r="V59" s="82">
        <f>R59*U59</f>
        <v>-8.6300000000000008</v>
      </c>
      <c r="W59" s="84" t="str">
        <f>CONCATENATE("a'(",Q58,")=")</f>
        <v>a'(4)=</v>
      </c>
      <c r="X59" s="84">
        <f>2*X57/12*T60</f>
        <v>26.684999999999995</v>
      </c>
      <c r="Y59" s="84" t="str">
        <f>CONCATENATE("A(",Q57,")=")</f>
        <v>A(3)=</v>
      </c>
      <c r="Z59" s="84">
        <f>VLOOKUP(Q57,STN_TABLE,3,FALSE)</f>
        <v>58.56</v>
      </c>
      <c r="AA59" t="str">
        <f>CONCATENATE("A(",Q58,")=")</f>
        <v>A(4)=</v>
      </c>
      <c r="AB59">
        <f>X59+Z59</f>
        <v>85.245000000000005</v>
      </c>
      <c r="AC59" s="99">
        <f>AC58+1</f>
        <v>7</v>
      </c>
      <c r="AD59" s="100">
        <f>VLOOKUP(AC59,STN_TABLE_2,2,FALSE)</f>
        <v>4</v>
      </c>
      <c r="AE59" s="82">
        <f>VLOOKUP(AD59,STN_TABLE,2,FALSE)</f>
        <v>7.81</v>
      </c>
      <c r="AF59" s="82">
        <v>2</v>
      </c>
      <c r="AG59" s="83">
        <f>AE59*AF59</f>
        <v>15.62</v>
      </c>
      <c r="AH59" s="84" t="str">
        <f>CONCATENATE("a'(",AD59,")=")</f>
        <v>a'(4)=</v>
      </c>
      <c r="AI59" s="84">
        <f>2*AI57/2*AE60</f>
        <v>26.693999999999999</v>
      </c>
      <c r="AJ59" s="84" t="str">
        <f>CONCATENATE("A(",AD58,")=")</f>
        <v>A(3)=</v>
      </c>
      <c r="AK59" s="84">
        <f>VLOOKUP(AD58,STN_TABLE,3,FALSE)</f>
        <v>58.56</v>
      </c>
      <c r="AL59" t="str">
        <f>CONCATENATE("A(",AD59,")=")</f>
        <v>A(4)=</v>
      </c>
      <c r="AM59">
        <f>AI59+AK59</f>
        <v>85.254000000000005</v>
      </c>
      <c r="AO59" s="68" t="str">
        <f>AA59</f>
        <v>A(4)=</v>
      </c>
      <c r="AP59" s="68" t="e">
        <f>VLOOKUP(AO59,Rise_Results,2,FALSE)</f>
        <v>#N/A</v>
      </c>
      <c r="AQ59" s="76">
        <f>N59</f>
        <v>85.23</v>
      </c>
      <c r="AR59" s="76">
        <f>IF(OR(AB59&lt;=0,AB60&lt;=0),1/0,AB59)</f>
        <v>85.245000000000005</v>
      </c>
      <c r="AS59" s="76">
        <f>AM59</f>
        <v>85.254000000000005</v>
      </c>
      <c r="AT59">
        <f>IFERROR(AP59,IFERROR(AQ59,IFERROR(AR59,AS59)))</f>
        <v>85.23</v>
      </c>
      <c r="AU59" s="81"/>
    </row>
    <row r="60" spans="1:47" x14ac:dyDescent="0.25">
      <c r="A60" s="84">
        <f>A59+1</f>
        <v>7</v>
      </c>
      <c r="B60" s="84">
        <f t="shared" si="11"/>
        <v>4</v>
      </c>
      <c r="F60" s="82">
        <f>SUM(F57:F59)</f>
        <v>42.120000000000005</v>
      </c>
      <c r="H60" s="82">
        <f>SUM(H57:H59)</f>
        <v>127.93999999999998</v>
      </c>
      <c r="I60" s="84" t="str">
        <f>CONCATENATE("m'(",C59,")=")</f>
        <v>m'(4)=</v>
      </c>
      <c r="J60" s="84">
        <f>2*(J57*(WLS))/3*H60</f>
        <v>276.35039999999998</v>
      </c>
      <c r="K60" s="84" t="str">
        <f>CONCATENATE("M(",C57,")=")</f>
        <v>M(2)=</v>
      </c>
      <c r="L60" s="84">
        <f>VLOOKUP(C57,STN_TABLE,4,FALSE)</f>
        <v>70.415999999999997</v>
      </c>
      <c r="M60" t="str">
        <f>CONCATENATE("M(",C59,")=")</f>
        <v>M(4)=</v>
      </c>
      <c r="N60">
        <f>J60+L60</f>
        <v>346.76639999999998</v>
      </c>
      <c r="O60" s="99">
        <f>O59+1</f>
        <v>9</v>
      </c>
      <c r="P60" s="99">
        <f t="shared" si="10"/>
        <v>5.6111111111111107</v>
      </c>
      <c r="T60" s="89">
        <f>SUM(T57:T59)</f>
        <v>88.949999999999989</v>
      </c>
      <c r="V60" s="82">
        <f>SUM(V57:V59)</f>
        <v>90.53</v>
      </c>
      <c r="W60" s="84" t="str">
        <f>CONCATENATE("m'(",Q58,")=")</f>
        <v>m'(4)=</v>
      </c>
      <c r="X60" s="84">
        <f>(2*(X57^2)/24*V60)+(X59*Q57*WLS)</f>
        <v>168.54209999999995</v>
      </c>
      <c r="Y60" s="84" t="str">
        <f>CONCATENATE("M(",Q57,")=")</f>
        <v>M(3)=</v>
      </c>
      <c r="Z60" s="84">
        <f>VLOOKUP(Q57,STN_TABLE,4,FALSE)</f>
        <v>178.41600000000003</v>
      </c>
      <c r="AA60" t="str">
        <f>CONCATENATE("M(",Q58,")=")</f>
        <v>M(4)=</v>
      </c>
      <c r="AB60">
        <f>X60+Z60</f>
        <v>346.95809999999994</v>
      </c>
      <c r="AE60" s="89">
        <f>SUM(AE58:AE59)</f>
        <v>14.829999999999998</v>
      </c>
      <c r="AG60" s="89">
        <f>SUM(AG58:AG59)</f>
        <v>22.64</v>
      </c>
      <c r="AH60" s="84" t="str">
        <f>CONCATENATE("m'(",AD59,")=")</f>
        <v>m'(4)=</v>
      </c>
      <c r="AI60" s="84">
        <f>(2*(AI57^2)/6*AG60)+(AI59*AD58*WLS)</f>
        <v>168.59879999999998</v>
      </c>
      <c r="AJ60" s="84" t="str">
        <f>CONCATENATE("M(",AD58,")=")</f>
        <v>M(3)=</v>
      </c>
      <c r="AK60" s="84">
        <f>VLOOKUP(AD57,STN_TABLE,4,FALSE)</f>
        <v>0</v>
      </c>
      <c r="AL60" t="str">
        <f>CONCATENATE("M(",AD59,")=")</f>
        <v>M(4)=</v>
      </c>
      <c r="AM60">
        <f>AI60+AK60</f>
        <v>168.59879999999998</v>
      </c>
      <c r="AO60" s="82" t="str">
        <f>AA60</f>
        <v>M(4)=</v>
      </c>
      <c r="AP60" s="82" t="e">
        <f>VLOOKUP(AO60,Rise_Results,2,FALSE)</f>
        <v>#N/A</v>
      </c>
      <c r="AQ60" s="82">
        <f>N60</f>
        <v>346.76639999999998</v>
      </c>
      <c r="AR60" s="82">
        <f>IF(OR(AB59&lt;=0,AB60&lt;=0),1/0,AB60)</f>
        <v>346.95809999999994</v>
      </c>
      <c r="AS60" s="82">
        <f>AM60</f>
        <v>168.59879999999998</v>
      </c>
      <c r="AT60">
        <f>IFERROR(AP60,IFERROR(AQ60,IFERROR(AR60,AS60)))</f>
        <v>346.76639999999998</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7.02</v>
      </c>
      <c r="E62" s="102">
        <v>1</v>
      </c>
      <c r="F62" s="68">
        <f>D62*E62</f>
        <v>7.02</v>
      </c>
      <c r="G62" s="69">
        <f>C62</f>
        <v>3</v>
      </c>
      <c r="H62" s="69">
        <f>F62*G62</f>
        <v>21.06</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7.81</v>
      </c>
      <c r="S62" s="69">
        <v>5</v>
      </c>
      <c r="T62" s="68">
        <f>R62*S62</f>
        <v>39.049999999999997</v>
      </c>
      <c r="U62" s="79">
        <v>3</v>
      </c>
      <c r="V62" s="68">
        <f>R62*U62</f>
        <v>23.43</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7.81</v>
      </c>
      <c r="E63" s="81">
        <v>4</v>
      </c>
      <c r="F63" s="76">
        <f>D63*E63</f>
        <v>31.24</v>
      </c>
      <c r="G63" s="77">
        <f>C63</f>
        <v>4</v>
      </c>
      <c r="H63" s="77">
        <f>F63*G63</f>
        <v>124.96</v>
      </c>
      <c r="I63" s="512" t="s">
        <v>97</v>
      </c>
      <c r="J63" s="513"/>
      <c r="K63" s="78" t="s">
        <v>98</v>
      </c>
      <c r="L63" s="78"/>
      <c r="M63" s="7" t="s">
        <v>99</v>
      </c>
      <c r="N63" s="7"/>
      <c r="O63" s="99">
        <f>O62+1</f>
        <v>8</v>
      </c>
      <c r="P63" s="99">
        <f t="shared" si="10"/>
        <v>5</v>
      </c>
      <c r="Q63" s="76">
        <f>P63</f>
        <v>5</v>
      </c>
      <c r="R63" s="77">
        <f>VLOOKUP(Q63,STN_TABLE,2,FALSE)</f>
        <v>8.6300000000000008</v>
      </c>
      <c r="S63" s="77">
        <v>8</v>
      </c>
      <c r="T63" s="76">
        <f>R63*S63</f>
        <v>69.040000000000006</v>
      </c>
      <c r="U63" s="80">
        <v>10</v>
      </c>
      <c r="V63" s="76">
        <f>R63*U63</f>
        <v>86.300000000000011</v>
      </c>
      <c r="W63" s="513" t="s">
        <v>97</v>
      </c>
      <c r="X63" s="513"/>
      <c r="Y63" s="513" t="s">
        <v>98</v>
      </c>
      <c r="Z63" s="513"/>
      <c r="AA63" s="511" t="s">
        <v>99</v>
      </c>
      <c r="AB63" s="511"/>
      <c r="AC63" s="99">
        <f>AC58+1</f>
        <v>7</v>
      </c>
      <c r="AD63" s="95">
        <f>VLOOKUP(AC63,STN_TABLE_2,2,FALSE)</f>
        <v>4</v>
      </c>
      <c r="AE63" s="68">
        <f>VLOOKUP(AD63,STN_TABLE,2,FALSE)</f>
        <v>7.81</v>
      </c>
      <c r="AF63" s="68">
        <v>1</v>
      </c>
      <c r="AG63" s="69">
        <f>AE63*AF63</f>
        <v>7.81</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8.6300000000000008</v>
      </c>
      <c r="E64" s="92">
        <v>1</v>
      </c>
      <c r="F64" s="82">
        <f>D64*E64</f>
        <v>8.6300000000000008</v>
      </c>
      <c r="G64" s="83">
        <f>C64</f>
        <v>5</v>
      </c>
      <c r="H64" s="83">
        <f>F64*G64</f>
        <v>43.150000000000006</v>
      </c>
      <c r="I64" s="84" t="str">
        <f>CONCATENATE("a'(",C64,")=")</f>
        <v>a'(5)=</v>
      </c>
      <c r="J64" s="84">
        <f>2*J62/3*F65</f>
        <v>56.268000000000001</v>
      </c>
      <c r="K64" s="84" t="str">
        <f>CONCATENATE("A(",C62,")=")</f>
        <v>A(3)=</v>
      </c>
      <c r="L64" s="84">
        <f>VLOOKUP(C62,STN_TABLE,3,FALSE)</f>
        <v>58.56</v>
      </c>
      <c r="M64" t="str">
        <f>CONCATENATE("A(",C64,")=")</f>
        <v>A(5)=</v>
      </c>
      <c r="N64">
        <f>J64+L64</f>
        <v>114.828</v>
      </c>
      <c r="O64" s="99">
        <f>O63+1</f>
        <v>9</v>
      </c>
      <c r="P64" s="99">
        <f t="shared" si="10"/>
        <v>5.6111111111111107</v>
      </c>
      <c r="Q64" s="82">
        <f>IF(P64-P63=P63-P62,P64,IF(P65-P63=P63-P62,P65,IF(P64-P63=P63-P61,P64,IF(P65-P63=P63-P61,P65,"-"))))</f>
        <v>6</v>
      </c>
      <c r="R64" s="83">
        <f>VLOOKUP(Q64,STN_TABLE,2,FALSE)</f>
        <v>9.43</v>
      </c>
      <c r="S64" s="83">
        <v>-1</v>
      </c>
      <c r="T64" s="82">
        <f>R64*S64</f>
        <v>-9.43</v>
      </c>
      <c r="U64" s="88">
        <v>-1</v>
      </c>
      <c r="V64" s="82">
        <f>R64*U64</f>
        <v>-9.43</v>
      </c>
      <c r="W64" s="84" t="str">
        <f>CONCATENATE("a'(",Q63,")=")</f>
        <v>a'(5)=</v>
      </c>
      <c r="X64" s="84">
        <f>2*X62/12*T65</f>
        <v>29.597999999999999</v>
      </c>
      <c r="Y64" s="84" t="str">
        <f>CONCATENATE("A(",Q62,")=")</f>
        <v>A(4)=</v>
      </c>
      <c r="Z64" s="84">
        <f>VLOOKUP(Q62,STN_TABLE,3,FALSE)</f>
        <v>85.23</v>
      </c>
      <c r="AA64" t="str">
        <f>CONCATENATE("A(",Q63,")=")</f>
        <v>A(5)=</v>
      </c>
      <c r="AB64">
        <f>X64+Z64</f>
        <v>114.828</v>
      </c>
      <c r="AC64" s="99">
        <f>AC63+1</f>
        <v>8</v>
      </c>
      <c r="AD64" s="100">
        <f>VLOOKUP(AC64,STN_TABLE_2,2,FALSE)</f>
        <v>5</v>
      </c>
      <c r="AE64" s="82">
        <f>VLOOKUP(AD64,STN_TABLE,2,FALSE)</f>
        <v>8.6300000000000008</v>
      </c>
      <c r="AF64" s="82">
        <v>2</v>
      </c>
      <c r="AG64" s="83">
        <f>AE64*AF64</f>
        <v>17.260000000000002</v>
      </c>
      <c r="AH64" s="84" t="str">
        <f>CONCATENATE("a'(",AD64,")=")</f>
        <v>a'(5)=</v>
      </c>
      <c r="AI64" s="84">
        <f>2*AI62/2*AE65</f>
        <v>29.592000000000002</v>
      </c>
      <c r="AJ64" s="84" t="str">
        <f>CONCATENATE("A(",AD63,")=")</f>
        <v>A(4)=</v>
      </c>
      <c r="AK64" s="84">
        <f>VLOOKUP(AD63,STN_TABLE,3,FALSE)</f>
        <v>85.23</v>
      </c>
      <c r="AL64" t="str">
        <f>CONCATENATE("A(",AD64,")=")</f>
        <v>A(5)=</v>
      </c>
      <c r="AM64">
        <f>AI64+AK64</f>
        <v>114.822</v>
      </c>
      <c r="AO64" s="68" t="str">
        <f>AA64</f>
        <v>A(5)=</v>
      </c>
      <c r="AP64" s="68" t="e">
        <f>VLOOKUP(AO64,Rise_Results,2,FALSE)</f>
        <v>#N/A</v>
      </c>
      <c r="AQ64" s="76">
        <f>N64</f>
        <v>114.828</v>
      </c>
      <c r="AR64" s="76">
        <f>IF(OR(AB64&lt;=0,AB65&lt;=0),1/0,AB64)</f>
        <v>114.828</v>
      </c>
      <c r="AS64" s="76">
        <f>AM64</f>
        <v>114.822</v>
      </c>
      <c r="AT64">
        <f>IFERROR(AP64,IFERROR(AQ64,IFERROR(AR64,AS64)))</f>
        <v>114.828</v>
      </c>
      <c r="AU64" s="81"/>
    </row>
    <row r="65" spans="1:47" x14ac:dyDescent="0.25">
      <c r="A65" s="84">
        <f>A64+1</f>
        <v>8</v>
      </c>
      <c r="B65" s="84">
        <f t="shared" si="11"/>
        <v>5</v>
      </c>
      <c r="F65" s="82">
        <f>SUM(F62:F64)</f>
        <v>46.89</v>
      </c>
      <c r="H65" s="82">
        <f>SUM(H62:H64)</f>
        <v>189.17</v>
      </c>
      <c r="I65" s="84" t="str">
        <f>CONCATENATE("m'(",C64,")=")</f>
        <v>m'(5)=</v>
      </c>
      <c r="J65" s="84">
        <f>2*(J62*(WLS))/3*H65</f>
        <v>408.60719999999998</v>
      </c>
      <c r="K65" s="84" t="str">
        <f>CONCATENATE("M(",C62,")=")</f>
        <v>M(3)=</v>
      </c>
      <c r="L65" s="84">
        <f>VLOOKUP(C62,STN_TABLE,4,FALSE)</f>
        <v>178.41600000000003</v>
      </c>
      <c r="M65" t="str">
        <f>CONCATENATE("M(",C64,")=")</f>
        <v>M(5)=</v>
      </c>
      <c r="N65">
        <f>J65+L65</f>
        <v>587.02319999999997</v>
      </c>
      <c r="O65" s="99">
        <f>O64+1</f>
        <v>10</v>
      </c>
      <c r="P65" s="99">
        <f t="shared" si="10"/>
        <v>6</v>
      </c>
      <c r="T65" s="89">
        <f>SUM(T62:T64)</f>
        <v>98.66</v>
      </c>
      <c r="V65" s="82">
        <f>SUM(V62:V64)</f>
        <v>100.30000000000001</v>
      </c>
      <c r="W65" s="84" t="str">
        <f>CONCATENATE("m'(",Q63,")=")</f>
        <v>m'(5)=</v>
      </c>
      <c r="X65" s="84">
        <f>(2*(X62^2)/24*V65)+(X64*Q62*WLS)</f>
        <v>240.18660000000003</v>
      </c>
      <c r="Y65" s="84" t="str">
        <f>CONCATENATE("M(",Q62,")=")</f>
        <v>M(4)=</v>
      </c>
      <c r="Z65" s="84">
        <f>VLOOKUP(Q62,STN_TABLE,4,FALSE)</f>
        <v>346.76639999999998</v>
      </c>
      <c r="AA65" t="str">
        <f>CONCATENATE("M(",Q63,")=")</f>
        <v>M(5)=</v>
      </c>
      <c r="AB65">
        <f>X65+Z65</f>
        <v>586.95299999999997</v>
      </c>
      <c r="AE65" s="89">
        <f>SUM(AE63:AE64)</f>
        <v>16.440000000000001</v>
      </c>
      <c r="AG65" s="89">
        <f>SUM(AG63:AG64)</f>
        <v>25.07</v>
      </c>
      <c r="AH65" s="84" t="str">
        <f>CONCATENATE("m'(",AD64,")=")</f>
        <v>m'(5)=</v>
      </c>
      <c r="AI65" s="84">
        <f>(2*(AI62^2)/6*AG65)+(AI64*AD63*WLS)</f>
        <v>240.13800000000003</v>
      </c>
      <c r="AJ65" s="84" t="str">
        <f>CONCATENATE("M(",AD63,")=")</f>
        <v>M(4)=</v>
      </c>
      <c r="AK65" s="84">
        <f>VLOOKUP(AD63,STN_TABLE,4,FALSE)</f>
        <v>346.76639999999998</v>
      </c>
      <c r="AL65" t="str">
        <f>CONCATENATE("M(",AD64,")=")</f>
        <v>M(5)=</v>
      </c>
      <c r="AM65">
        <f>AI65+AK65</f>
        <v>586.90440000000001</v>
      </c>
      <c r="AO65" s="82" t="str">
        <f>AA65</f>
        <v>M(5)=</v>
      </c>
      <c r="AP65" s="82" t="e">
        <f>VLOOKUP(AO65,Rise_Results,2,FALSE)</f>
        <v>#N/A</v>
      </c>
      <c r="AQ65" s="82">
        <f>N65</f>
        <v>587.02319999999997</v>
      </c>
      <c r="AR65" s="82">
        <f>IF(OR(AB64&lt;=0,AB65&lt;=0),1/0,AB65)</f>
        <v>586.95299999999997</v>
      </c>
      <c r="AS65" s="82">
        <f>AM65</f>
        <v>586.90440000000001</v>
      </c>
      <c r="AT65">
        <f>IFERROR(AP65,IFERROR(AQ65,IFERROR(AR65,AS65)))</f>
        <v>587.02319999999997</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9.1199999999999992</v>
      </c>
      <c r="S68" s="77">
        <v>8</v>
      </c>
      <c r="T68" s="76">
        <f>R68*S68</f>
        <v>72.959999999999994</v>
      </c>
      <c r="U68" s="80">
        <v>10</v>
      </c>
      <c r="V68" s="76">
        <f>R68*U68</f>
        <v>91.199999999999989</v>
      </c>
      <c r="W68" s="513" t="s">
        <v>97</v>
      </c>
      <c r="X68" s="513"/>
      <c r="Y68" s="513" t="s">
        <v>98</v>
      </c>
      <c r="Z68" s="513"/>
      <c r="AA68" s="511" t="s">
        <v>99</v>
      </c>
      <c r="AB68" s="511"/>
      <c r="AC68" s="99">
        <f>AC63+1</f>
        <v>8</v>
      </c>
      <c r="AD68" s="95">
        <f>VLOOKUP(AC68,STN_TABLE_2,2,FALSE)</f>
        <v>5</v>
      </c>
      <c r="AE68" s="68">
        <f>VLOOKUP(AD68,STN_TABLE,2,FALSE)</f>
        <v>8.6300000000000008</v>
      </c>
      <c r="AF68" s="68">
        <v>1</v>
      </c>
      <c r="AG68" s="69">
        <f>AE68*AF68</f>
        <v>8.6300000000000008</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9.1199999999999992</v>
      </c>
      <c r="E69" s="92">
        <v>1</v>
      </c>
      <c r="F69" s="82">
        <f>D69*E69</f>
        <v>9.1199999999999992</v>
      </c>
      <c r="G69" s="83">
        <f>C69</f>
        <v>5.6111111111111107</v>
      </c>
      <c r="H69" s="83">
        <f>F69*G69</f>
        <v>51.173333333333325</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9.1199999999999992</v>
      </c>
      <c r="AF69" s="82">
        <v>2</v>
      </c>
      <c r="AG69" s="83">
        <f>AE69*AF69</f>
        <v>18.239999999999998</v>
      </c>
      <c r="AH69" s="84" t="str">
        <f>CONCATENATE("a'(",AD69,")=")</f>
        <v>a'(5.61111111111111)=</v>
      </c>
      <c r="AI69" s="84">
        <f>2*AI67/2*AE70</f>
        <v>19.524999999999991</v>
      </c>
      <c r="AJ69" s="84" t="str">
        <f>CONCATENATE("A(",AD68,")=")</f>
        <v>A(5)=</v>
      </c>
      <c r="AK69" s="84">
        <f>VLOOKUP(AD68,STN_TABLE,3,FALSE)</f>
        <v>114.828</v>
      </c>
      <c r="AL69" t="str">
        <f>CONCATENATE("A(",AD69,")=")</f>
        <v>A(5.61111111111111)=</v>
      </c>
      <c r="AM69">
        <f>AI69+AK69</f>
        <v>134.35300000000001</v>
      </c>
      <c r="AO69" s="68" t="str">
        <f>AA69</f>
        <v>A(5.61111111111111)=</v>
      </c>
      <c r="AP69" s="68" t="e">
        <f>VLOOKUP(AO69,Rise_Results,2,FALSE)</f>
        <v>#N/A</v>
      </c>
      <c r="AQ69" s="76" t="e">
        <f>N69</f>
        <v>#N/A</v>
      </c>
      <c r="AR69" s="76" t="e">
        <f>IF(OR(AB69&lt;=0,AB70&lt;=0),1/0,AB69)</f>
        <v>#VALUE!</v>
      </c>
      <c r="AS69" s="76">
        <f>AM69</f>
        <v>134.35300000000001</v>
      </c>
      <c r="AT69">
        <f>IFERROR(AP69,IFERROR(AQ69,IFERROR(AR69,AS69)))</f>
        <v>134.35300000000001</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17.75</v>
      </c>
      <c r="AG70" s="89">
        <f>SUM(AG68:AG69)</f>
        <v>26.869999999999997</v>
      </c>
      <c r="AH70" s="84" t="str">
        <f>CONCATENATE("m'(",AD69,")=")</f>
        <v>m'(5.61111111111111)=</v>
      </c>
      <c r="AI70" s="84">
        <f>(2*(AI67^2)/6*AG70)+(AI69*AD68*WLS)</f>
        <v>186.56256666666658</v>
      </c>
      <c r="AJ70" s="84" t="str">
        <f>CONCATENATE("M(",AD68,")=")</f>
        <v>M(5)=</v>
      </c>
      <c r="AK70" s="84">
        <f>VLOOKUP(AD68,STN_TABLE,4,FALSE)</f>
        <v>587.02319999999997</v>
      </c>
      <c r="AL70" t="str">
        <f>CONCATENATE("M(",AD69,")=")</f>
        <v>M(5.61111111111111)=</v>
      </c>
      <c r="AM70">
        <f>AI70+AK70</f>
        <v>773.58576666666659</v>
      </c>
      <c r="AO70" s="82" t="str">
        <f>AA70</f>
        <v>M(5.61111111111111)=</v>
      </c>
      <c r="AP70" s="82" t="e">
        <f>VLOOKUP(AO70,Rise_Results,2,FALSE)</f>
        <v>#N/A</v>
      </c>
      <c r="AQ70" s="82" t="e">
        <f>N70</f>
        <v>#N/A</v>
      </c>
      <c r="AR70" s="82" t="e">
        <f>IF(OR(AB69&lt;=0,AB70&lt;=0),1/0,AB70)</f>
        <v>#VALUE!</v>
      </c>
      <c r="AS70" s="82">
        <f>AM70</f>
        <v>773.58576666666659</v>
      </c>
      <c r="AT70">
        <f>IFERROR(AP70,IFERROR(AQ70,IFERROR(AR70,AS70)))</f>
        <v>773.58576666666659</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7.81</v>
      </c>
      <c r="E72" s="102">
        <v>1</v>
      </c>
      <c r="F72" s="68">
        <f>D72*E72</f>
        <v>7.81</v>
      </c>
      <c r="G72" s="69">
        <f>C72</f>
        <v>4</v>
      </c>
      <c r="H72" s="69">
        <f>F72*G72</f>
        <v>31.24</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8.6300000000000008</v>
      </c>
      <c r="S72" s="69">
        <v>5</v>
      </c>
      <c r="T72" s="68">
        <f>R72*S72</f>
        <v>43.150000000000006</v>
      </c>
      <c r="U72" s="79">
        <v>3</v>
      </c>
      <c r="V72" s="68">
        <f>R72*U72</f>
        <v>25.89</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8.6300000000000008</v>
      </c>
      <c r="E73" s="81">
        <v>4</v>
      </c>
      <c r="F73" s="76">
        <f>D73*E73</f>
        <v>34.520000000000003</v>
      </c>
      <c r="G73" s="77">
        <f>C73</f>
        <v>5</v>
      </c>
      <c r="H73" s="77">
        <f>F73*G73</f>
        <v>172.60000000000002</v>
      </c>
      <c r="I73" s="512" t="s">
        <v>97</v>
      </c>
      <c r="J73" s="513"/>
      <c r="K73" s="78" t="s">
        <v>98</v>
      </c>
      <c r="L73" s="78"/>
      <c r="M73" s="7" t="s">
        <v>99</v>
      </c>
      <c r="N73" s="7"/>
      <c r="O73" s="99">
        <f>O72+1</f>
        <v>10</v>
      </c>
      <c r="P73" s="99">
        <f t="shared" si="23"/>
        <v>6</v>
      </c>
      <c r="Q73" s="76">
        <f>P73</f>
        <v>6</v>
      </c>
      <c r="R73" s="77">
        <f>VLOOKUP(Q73,STN_TABLE,2,FALSE)</f>
        <v>9.43</v>
      </c>
      <c r="S73" s="77">
        <v>8</v>
      </c>
      <c r="T73" s="76">
        <f>R73*S73</f>
        <v>75.44</v>
      </c>
      <c r="U73" s="80">
        <v>10</v>
      </c>
      <c r="V73" s="76">
        <f>R73*U73</f>
        <v>94.3</v>
      </c>
      <c r="W73" s="513" t="s">
        <v>97</v>
      </c>
      <c r="X73" s="513"/>
      <c r="Y73" s="513" t="s">
        <v>98</v>
      </c>
      <c r="Z73" s="513"/>
      <c r="AA73" s="511" t="s">
        <v>99</v>
      </c>
      <c r="AB73" s="511"/>
      <c r="AC73" s="99">
        <f>AC68+1</f>
        <v>9</v>
      </c>
      <c r="AD73" s="95">
        <f>VLOOKUP(AC73,STN_TABLE_2,2,FALSE)</f>
        <v>5.6111111111111107</v>
      </c>
      <c r="AE73" s="68">
        <f>VLOOKUP(AD73,STN_TABLE,2,FALSE)</f>
        <v>9.1199999999999992</v>
      </c>
      <c r="AF73" s="68">
        <v>1</v>
      </c>
      <c r="AG73" s="69">
        <f>AE73*AF73</f>
        <v>9.1199999999999992</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9.43</v>
      </c>
      <c r="E74" s="92">
        <v>1</v>
      </c>
      <c r="F74" s="82">
        <f>D74*E74</f>
        <v>9.43</v>
      </c>
      <c r="G74" s="83">
        <f>C74</f>
        <v>6</v>
      </c>
      <c r="H74" s="83">
        <f>F74*G74</f>
        <v>56.58</v>
      </c>
      <c r="I74" s="84" t="str">
        <f>CONCATENATE("a'(",C74,")=")</f>
        <v>a'(6)=</v>
      </c>
      <c r="J74" s="84">
        <f>2*J72/3*F75</f>
        <v>62.112000000000002</v>
      </c>
      <c r="K74" s="84" t="str">
        <f>CONCATENATE("A(",C72,")=")</f>
        <v>A(4)=</v>
      </c>
      <c r="L74" s="84">
        <f>VLOOKUP(C72,STN_TABLE,3,FALSE)</f>
        <v>85.23</v>
      </c>
      <c r="M74" t="str">
        <f>CONCATENATE("A(",C74,")=")</f>
        <v>A(6)=</v>
      </c>
      <c r="N74">
        <f>J74+L74</f>
        <v>147.34200000000001</v>
      </c>
      <c r="O74" s="99">
        <f>O73+1</f>
        <v>11</v>
      </c>
      <c r="P74" s="99">
        <f t="shared" si="23"/>
        <v>7</v>
      </c>
      <c r="Q74" s="82">
        <f>IF(P74-P73=P73-P72,P74,IF(P75-P73=P73-P72,P75,IF(P74-P73=P73-P71,P74,IF(P75-P73=P73-P71,P75,"-"))))</f>
        <v>7</v>
      </c>
      <c r="R74" s="83">
        <f>VLOOKUP(Q74,STN_TABLE,2,FALSE)</f>
        <v>10.199999999999999</v>
      </c>
      <c r="S74" s="83">
        <v>-1</v>
      </c>
      <c r="T74" s="82">
        <f>R74*S74</f>
        <v>-10.199999999999999</v>
      </c>
      <c r="U74" s="88">
        <v>-1</v>
      </c>
      <c r="V74" s="82">
        <f>R74*U74</f>
        <v>-10.199999999999999</v>
      </c>
      <c r="W74" s="84" t="str">
        <f>CONCATENATE("a'(",Q73,")=")</f>
        <v>a'(6)=</v>
      </c>
      <c r="X74" s="84">
        <f>2*X72/12*T75</f>
        <v>32.516999999999996</v>
      </c>
      <c r="Y74" s="84" t="str">
        <f>CONCATENATE("A(",Q72,")=")</f>
        <v>A(5)=</v>
      </c>
      <c r="Z74" s="84">
        <f>VLOOKUP(Q72,STN_TABLE,3,FALSE)</f>
        <v>114.828</v>
      </c>
      <c r="AA74" t="str">
        <f>CONCATENATE("A(",Q73,")=")</f>
        <v>A(6)=</v>
      </c>
      <c r="AB74">
        <f>X74+Z74</f>
        <v>147.345</v>
      </c>
      <c r="AC74" s="99">
        <f>AC73+1</f>
        <v>10</v>
      </c>
      <c r="AD74" s="100">
        <f>VLOOKUP(AC74,STN_TABLE_2,2,FALSE)</f>
        <v>6</v>
      </c>
      <c r="AE74" s="82">
        <f>VLOOKUP(AD74,STN_TABLE,2,FALSE)</f>
        <v>9.43</v>
      </c>
      <c r="AF74" s="82">
        <v>2</v>
      </c>
      <c r="AG74" s="83">
        <f>AE74*AF74</f>
        <v>18.86</v>
      </c>
      <c r="AH74" s="84" t="str">
        <f>CONCATENATE("a'(",AD74,")=")</f>
        <v>a'(6)=</v>
      </c>
      <c r="AI74" s="84">
        <f>2*AI72/2*AE75</f>
        <v>12.985000000000012</v>
      </c>
      <c r="AJ74" s="84" t="str">
        <f>CONCATENATE("A(",AD73,")=")</f>
        <v>A(5.61111111111111)=</v>
      </c>
      <c r="AK74" s="84">
        <f>VLOOKUP(AD73,STN_TABLE,3,FALSE)</f>
        <v>134.35300000000001</v>
      </c>
      <c r="AL74" t="str">
        <f>CONCATENATE("A(",AD74,")=")</f>
        <v>A(6)=</v>
      </c>
      <c r="AM74">
        <f>AI74+AK74</f>
        <v>147.33800000000002</v>
      </c>
      <c r="AO74" s="68" t="str">
        <f>AA74</f>
        <v>A(6)=</v>
      </c>
      <c r="AP74" s="68" t="e">
        <f>VLOOKUP(AO74,Rise_Results,2,FALSE)</f>
        <v>#N/A</v>
      </c>
      <c r="AQ74" s="76">
        <f>N74</f>
        <v>147.34200000000001</v>
      </c>
      <c r="AR74" s="76">
        <f>IF(OR(AB74&lt;=0,AB75&lt;=0),1/0,AB74)</f>
        <v>147.345</v>
      </c>
      <c r="AS74" s="76">
        <f>AM74</f>
        <v>147.33800000000002</v>
      </c>
      <c r="AT74">
        <f>IFERROR(AP74,IFERROR(AQ74,IFERROR(AR74,AS74)))</f>
        <v>147.34200000000001</v>
      </c>
      <c r="AU74" s="81"/>
    </row>
    <row r="75" spans="1:47" x14ac:dyDescent="0.25">
      <c r="A75" s="84">
        <f>A74+1</f>
        <v>10</v>
      </c>
      <c r="B75" s="84">
        <f t="shared" si="27"/>
        <v>6</v>
      </c>
      <c r="F75" s="82">
        <f>SUM(F72:F74)</f>
        <v>51.760000000000005</v>
      </c>
      <c r="H75" s="82">
        <f>SUM(H72:H74)</f>
        <v>260.42</v>
      </c>
      <c r="I75" s="84" t="str">
        <f>CONCATENATE("m'(",C74,")=")</f>
        <v>m'(6)=</v>
      </c>
      <c r="J75" s="84">
        <f>2*(J72*(WLS))/3*H75</f>
        <v>562.50720000000013</v>
      </c>
      <c r="K75" s="84" t="str">
        <f>CONCATENATE("M(",C72,")=")</f>
        <v>M(4)=</v>
      </c>
      <c r="L75" s="84">
        <f>VLOOKUP(C72,STN_TABLE,4,FALSE)</f>
        <v>346.76639999999998</v>
      </c>
      <c r="M75" t="str">
        <f>CONCATENATE("M(",C74,")=")</f>
        <v>M(6)=</v>
      </c>
      <c r="N75">
        <f>J75+L75</f>
        <v>909.2736000000001</v>
      </c>
      <c r="O75" s="99">
        <f>O74+1</f>
        <v>12</v>
      </c>
      <c r="P75" s="99">
        <f t="shared" si="23"/>
        <v>7.8833333333333329</v>
      </c>
      <c r="T75" s="89">
        <f>SUM(T72:T74)</f>
        <v>108.39</v>
      </c>
      <c r="V75" s="82">
        <f>SUM(V72:V74)</f>
        <v>109.99</v>
      </c>
      <c r="W75" s="84" t="str">
        <f>CONCATENATE("m'(",Q73,")=")</f>
        <v>m'(6)=</v>
      </c>
      <c r="X75" s="84">
        <f>(2*(X72^2)/24*V75)+(X74*Q72*WLS)</f>
        <v>322.35029999999995</v>
      </c>
      <c r="Y75" s="84" t="str">
        <f>CONCATENATE("M(",Q72,")=")</f>
        <v>M(5)=</v>
      </c>
      <c r="Z75" s="84">
        <f>VLOOKUP(Q72,STN_TABLE,4,FALSE)</f>
        <v>587.02319999999997</v>
      </c>
      <c r="AA75" t="str">
        <f>CONCATENATE("M(",Q73,")=")</f>
        <v>M(6)=</v>
      </c>
      <c r="AB75">
        <f>X75+Z75</f>
        <v>909.37349999999992</v>
      </c>
      <c r="AE75" s="89">
        <f>SUM(AE73:AE74)</f>
        <v>18.549999999999997</v>
      </c>
      <c r="AG75" s="89">
        <f>SUM(AG73:AG74)</f>
        <v>27.979999999999997</v>
      </c>
      <c r="AH75" s="84" t="str">
        <f>CONCATENATE("m'(",AD74,")=")</f>
        <v>m'(6)=</v>
      </c>
      <c r="AI75" s="84">
        <f>(2*(AI72^2)/6*AG75)+(AI74*AD73*WLS)</f>
        <v>135.71856666666679</v>
      </c>
      <c r="AJ75" s="84" t="str">
        <f>CONCATENATE("M(",AD73,")=")</f>
        <v>M(5.61111111111111)=</v>
      </c>
      <c r="AK75" s="84">
        <f>VLOOKUP(AD73,STN_TABLE,4,FALSE)</f>
        <v>773.58576666666659</v>
      </c>
      <c r="AL75" t="str">
        <f>CONCATENATE("M(",AD74,")=")</f>
        <v>M(6)=</v>
      </c>
      <c r="AM75">
        <f>AI75+AK75</f>
        <v>909.30433333333337</v>
      </c>
      <c r="AO75" s="82" t="str">
        <f>AA75</f>
        <v>M(6)=</v>
      </c>
      <c r="AP75" s="82" t="e">
        <f>VLOOKUP(AO75,Rise_Results,2,FALSE)</f>
        <v>#N/A</v>
      </c>
      <c r="AQ75" s="82">
        <f>N75</f>
        <v>909.2736000000001</v>
      </c>
      <c r="AR75" s="82">
        <f>IF(OR(AB74&lt;=0,AB75&lt;=0),1/0,AB75)</f>
        <v>909.37349999999992</v>
      </c>
      <c r="AS75" s="82">
        <f>AM75</f>
        <v>909.30433333333337</v>
      </c>
      <c r="AT75">
        <f>IFERROR(AP75,IFERROR(AQ75,IFERROR(AR75,AS75)))</f>
        <v>909.2736000000001</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8.6300000000000008</v>
      </c>
      <c r="E77" s="102">
        <v>1</v>
      </c>
      <c r="F77" s="68">
        <f>D77*E77</f>
        <v>8.6300000000000008</v>
      </c>
      <c r="G77" s="69">
        <f>C77</f>
        <v>5</v>
      </c>
      <c r="H77" s="69">
        <f>F77*G77</f>
        <v>43.150000000000006</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9.43</v>
      </c>
      <c r="E78" s="81">
        <v>4</v>
      </c>
      <c r="F78" s="76">
        <f>D78*E78</f>
        <v>37.72</v>
      </c>
      <c r="G78" s="77">
        <f>C78</f>
        <v>6</v>
      </c>
      <c r="H78" s="77">
        <f>F78*G78</f>
        <v>226.32</v>
      </c>
      <c r="I78" s="512" t="s">
        <v>97</v>
      </c>
      <c r="J78" s="513"/>
      <c r="K78" s="78" t="s">
        <v>98</v>
      </c>
      <c r="L78" s="78"/>
      <c r="M78" s="7" t="s">
        <v>99</v>
      </c>
      <c r="N78" s="7"/>
      <c r="O78" s="99">
        <f>O77+1</f>
        <v>11</v>
      </c>
      <c r="P78" s="99">
        <f t="shared" si="23"/>
        <v>7</v>
      </c>
      <c r="Q78" s="76">
        <f>P78</f>
        <v>7</v>
      </c>
      <c r="R78" s="77">
        <f>VLOOKUP(Q78,STN_TABLE,2,FALSE)</f>
        <v>10.199999999999999</v>
      </c>
      <c r="S78" s="77">
        <v>8</v>
      </c>
      <c r="T78" s="76">
        <f>R78*S78</f>
        <v>81.599999999999994</v>
      </c>
      <c r="U78" s="80">
        <v>10</v>
      </c>
      <c r="V78" s="76">
        <f>R78*U78</f>
        <v>102</v>
      </c>
      <c r="W78" s="513" t="s">
        <v>97</v>
      </c>
      <c r="X78" s="513"/>
      <c r="Y78" s="513" t="s">
        <v>98</v>
      </c>
      <c r="Z78" s="513"/>
      <c r="AA78" s="511" t="s">
        <v>99</v>
      </c>
      <c r="AB78" s="511"/>
      <c r="AC78" s="99">
        <f>AC73+1</f>
        <v>10</v>
      </c>
      <c r="AD78" s="95">
        <f>VLOOKUP(AC78,STN_TABLE_2,2,FALSE)</f>
        <v>6</v>
      </c>
      <c r="AE78" s="68">
        <f>VLOOKUP(AD78,STN_TABLE,2,FALSE)</f>
        <v>9.43</v>
      </c>
      <c r="AF78" s="68">
        <v>1</v>
      </c>
      <c r="AG78" s="69">
        <f>AE78*AF78</f>
        <v>9.43</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10.199999999999999</v>
      </c>
      <c r="E79" s="92">
        <v>1</v>
      </c>
      <c r="F79" s="82">
        <f>D79*E79</f>
        <v>10.199999999999999</v>
      </c>
      <c r="G79" s="83">
        <f>C79</f>
        <v>7</v>
      </c>
      <c r="H79" s="83">
        <f>F79*G79</f>
        <v>71.399999999999991</v>
      </c>
      <c r="I79" s="84" t="str">
        <f>CONCATENATE("a'(",C79,")=")</f>
        <v>a'(7)=</v>
      </c>
      <c r="J79" s="84">
        <f>2*J77/3*F80</f>
        <v>67.86</v>
      </c>
      <c r="K79" s="84" t="str">
        <f>CONCATENATE("A(",C77,")=")</f>
        <v>A(5)=</v>
      </c>
      <c r="L79" s="84">
        <f>VLOOKUP(C77,STN_TABLE,3,FALSE)</f>
        <v>114.828</v>
      </c>
      <c r="M79" t="str">
        <f>CONCATENATE("A(",C79,")=")</f>
        <v>A(7)=</v>
      </c>
      <c r="N79">
        <f>J79+L79</f>
        <v>182.68799999999999</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10.199999999999999</v>
      </c>
      <c r="AF79" s="82">
        <v>2</v>
      </c>
      <c r="AG79" s="83">
        <f>AE79*AF79</f>
        <v>20.399999999999999</v>
      </c>
      <c r="AH79" s="84" t="str">
        <f>CONCATENATE("a'(",AD79,")=")</f>
        <v>a'(7)=</v>
      </c>
      <c r="AI79" s="84">
        <f>2*AI77/2*AE80</f>
        <v>35.333999999999996</v>
      </c>
      <c r="AJ79" s="84" t="str">
        <f>CONCATENATE("A(",AD78,")=")</f>
        <v>A(6)=</v>
      </c>
      <c r="AK79" s="84">
        <f>VLOOKUP(AD78,STN_TABLE,3,FALSE)</f>
        <v>147.34200000000001</v>
      </c>
      <c r="AL79" t="str">
        <f>CONCATENATE("A(",AD79,")=")</f>
        <v>A(7)=</v>
      </c>
      <c r="AM79">
        <f>AI79+AK79</f>
        <v>182.67600000000002</v>
      </c>
      <c r="AO79" s="68" t="str">
        <f>AA79</f>
        <v>A(7)=</v>
      </c>
      <c r="AP79" s="68" t="e">
        <f>VLOOKUP(AO79,Rise_Results,2,FALSE)</f>
        <v>#N/A</v>
      </c>
      <c r="AQ79" s="76">
        <f>N79</f>
        <v>182.68799999999999</v>
      </c>
      <c r="AR79" s="76" t="e">
        <f>IF(OR(AB79&lt;=0,AB80&lt;=0),1/0,AB79)</f>
        <v>#VALUE!</v>
      </c>
      <c r="AS79" s="76">
        <f>AM79</f>
        <v>182.67600000000002</v>
      </c>
      <c r="AT79">
        <f>IFERROR(AP79,IFERROR(AQ79,IFERROR(AR79,AS79)))</f>
        <v>182.68799999999999</v>
      </c>
      <c r="AU79" s="81"/>
    </row>
    <row r="80" spans="1:47" x14ac:dyDescent="0.25">
      <c r="A80" s="84">
        <f>A79+1</f>
        <v>11</v>
      </c>
      <c r="B80" s="84">
        <f t="shared" si="27"/>
        <v>7</v>
      </c>
      <c r="F80" s="82">
        <f>SUM(F77:F79)</f>
        <v>56.55</v>
      </c>
      <c r="H80" s="82">
        <f>SUM(H77:H79)</f>
        <v>340.87</v>
      </c>
      <c r="I80" s="84" t="str">
        <f>CONCATENATE("m'(",C79,")=")</f>
        <v>m'(7)=</v>
      </c>
      <c r="J80" s="84">
        <f>2*(J77*(WLS))/3*H80</f>
        <v>736.27920000000006</v>
      </c>
      <c r="K80" s="84" t="str">
        <f>CONCATENATE("M(",C77,")=")</f>
        <v>M(5)=</v>
      </c>
      <c r="L80" s="84">
        <f>VLOOKUP(C77,STN_TABLE,4,FALSE)</f>
        <v>587.02319999999997</v>
      </c>
      <c r="M80" t="str">
        <f>CONCATENATE("M(",C79,")=")</f>
        <v>M(7)=</v>
      </c>
      <c r="N80">
        <f>J80+L80</f>
        <v>1323.3024</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19.63</v>
      </c>
      <c r="AG80" s="89">
        <f>SUM(AG78:AG79)</f>
        <v>29.83</v>
      </c>
      <c r="AH80" s="84" t="str">
        <f>CONCATENATE("m'(",AD79,")=")</f>
        <v>m'(7)=</v>
      </c>
      <c r="AI80" s="84">
        <f>(2*(AI77^2)/6*AG80)+(AI79*AD78*WLS)</f>
        <v>413.82359999999994</v>
      </c>
      <c r="AJ80" s="84" t="str">
        <f>CONCATENATE("M(",AD78,")=")</f>
        <v>M(6)=</v>
      </c>
      <c r="AK80" s="84">
        <f>VLOOKUP(AD78,STN_TABLE,4,FALSE)</f>
        <v>909.2736000000001</v>
      </c>
      <c r="AL80" t="str">
        <f>CONCATENATE("M(",AD79,")=")</f>
        <v>M(7)=</v>
      </c>
      <c r="AM80">
        <f>AI80+AK80</f>
        <v>1323.0972000000002</v>
      </c>
      <c r="AO80" s="82" t="str">
        <f>AA80</f>
        <v>M(7)=</v>
      </c>
      <c r="AP80" s="82" t="e">
        <f>VLOOKUP(AO80,Rise_Results,2,FALSE)</f>
        <v>#N/A</v>
      </c>
      <c r="AQ80" s="82">
        <f>N80</f>
        <v>1323.3024</v>
      </c>
      <c r="AR80" s="82" t="e">
        <f>IF(OR(AB79&lt;=0,AB80&lt;=0),1/0,AB80)</f>
        <v>#VALUE!</v>
      </c>
      <c r="AS80" s="82">
        <f>AM80</f>
        <v>1323.0972000000002</v>
      </c>
      <c r="AT80">
        <f>IFERROR(AP80,IFERROR(AQ80,IFERROR(AR80,AS80)))</f>
        <v>1323.3024</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11.75</v>
      </c>
      <c r="S83" s="77">
        <v>8</v>
      </c>
      <c r="T83" s="76">
        <f>R83*S83</f>
        <v>94</v>
      </c>
      <c r="U83" s="80">
        <v>10</v>
      </c>
      <c r="V83" s="76">
        <f>R83*U83</f>
        <v>117.5</v>
      </c>
      <c r="W83" s="513" t="s">
        <v>97</v>
      </c>
      <c r="X83" s="513"/>
      <c r="Y83" s="513" t="s">
        <v>98</v>
      </c>
      <c r="Z83" s="513"/>
      <c r="AA83" s="511" t="s">
        <v>99</v>
      </c>
      <c r="AB83" s="511"/>
      <c r="AC83" s="99">
        <f>AC78+1</f>
        <v>11</v>
      </c>
      <c r="AD83" s="95">
        <f>VLOOKUP(AC83,STN_TABLE_2,2,FALSE)</f>
        <v>7</v>
      </c>
      <c r="AE83" s="68">
        <f>VLOOKUP(AD83,STN_TABLE,2,FALSE)</f>
        <v>10.199999999999999</v>
      </c>
      <c r="AF83" s="68">
        <v>1</v>
      </c>
      <c r="AG83" s="69">
        <f>AE83*AF83</f>
        <v>10.199999999999999</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11.75</v>
      </c>
      <c r="E84" s="92">
        <v>1</v>
      </c>
      <c r="F84" s="82">
        <f>D84*E84</f>
        <v>11.75</v>
      </c>
      <c r="G84" s="83">
        <f>C84</f>
        <v>7.8833333333333329</v>
      </c>
      <c r="H84" s="83">
        <f>F84*G84</f>
        <v>92.629166666666663</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11.75</v>
      </c>
      <c r="AF84" s="82">
        <v>2</v>
      </c>
      <c r="AG84" s="83">
        <f>AE84*AF84</f>
        <v>23.5</v>
      </c>
      <c r="AH84" s="84" t="str">
        <f>CONCATENATE("a'(",AD84,")=")</f>
        <v>a'(7.88333333333333)=</v>
      </c>
      <c r="AI84" s="84">
        <f>2*AI82/2*AE85</f>
        <v>34.90049999999998</v>
      </c>
      <c r="AJ84" s="84" t="str">
        <f>CONCATENATE("A(",AD83,")=")</f>
        <v>A(7)=</v>
      </c>
      <c r="AK84" s="84">
        <f>VLOOKUP(AD83,STN_TABLE,3,FALSE)</f>
        <v>182.68799999999999</v>
      </c>
      <c r="AL84" t="str">
        <f>CONCATENATE("A(",AD84,")=")</f>
        <v>A(7.88333333333333)=</v>
      </c>
      <c r="AM84">
        <f>AI84+AK84</f>
        <v>217.58849999999995</v>
      </c>
      <c r="AO84" s="68" t="str">
        <f>AA84</f>
        <v>A(7.88333333333333)=</v>
      </c>
      <c r="AP84" s="68" t="e">
        <f>VLOOKUP(AO84,Rise_Results,2,FALSE)</f>
        <v>#N/A</v>
      </c>
      <c r="AQ84" s="76" t="e">
        <f>N84</f>
        <v>#N/A</v>
      </c>
      <c r="AR84" s="76" t="e">
        <f>IF(OR(AB84&lt;=0,AB85&lt;=0),1/0,AB84)</f>
        <v>#VALUE!</v>
      </c>
      <c r="AS84" s="76">
        <f>AM84</f>
        <v>217.58849999999995</v>
      </c>
      <c r="AT84">
        <f>IFERROR(AP84,IFERROR(AQ84,IFERROR(AR84,AS84)))</f>
        <v>217.58849999999995</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21.95</v>
      </c>
      <c r="AG85" s="89">
        <f>SUM(AG83:AG84)</f>
        <v>33.700000000000003</v>
      </c>
      <c r="AH85" s="84" t="str">
        <f>CONCATENATE("m'(",AD84,")=")</f>
        <v>m'(7.88333333333333)=</v>
      </c>
      <c r="AI85" s="84">
        <f>(2*(AI82^2)/6*AG85)+(AI84*AD83*WLS)</f>
        <v>468.14528999999976</v>
      </c>
      <c r="AJ85" s="84" t="str">
        <f>CONCATENATE("M(",AD83,")=")</f>
        <v>M(7)=</v>
      </c>
      <c r="AK85" s="84">
        <f>VLOOKUP(AD83,STN_TABLE,4,FALSE)</f>
        <v>1323.3024</v>
      </c>
      <c r="AL85" t="str">
        <f>CONCATENATE("M(",AD84,")=")</f>
        <v>M(7.88333333333333)=</v>
      </c>
      <c r="AM85">
        <f>AI85+AK85</f>
        <v>1791.4476899999997</v>
      </c>
      <c r="AO85" s="82" t="str">
        <f>AA85</f>
        <v>M(7.88333333333333)=</v>
      </c>
      <c r="AP85" s="82" t="e">
        <f>VLOOKUP(AO85,Rise_Results,2,FALSE)</f>
        <v>#N/A</v>
      </c>
      <c r="AQ85" s="82" t="e">
        <f>N85</f>
        <v>#N/A</v>
      </c>
      <c r="AR85" s="82" t="e">
        <f>IF(OR(AB84&lt;=0,AB85&lt;=0),1/0,AB85)</f>
        <v>#VALUE!</v>
      </c>
      <c r="AS85" s="82">
        <f>AM85</f>
        <v>1791.4476899999997</v>
      </c>
      <c r="AT85">
        <f>IFERROR(AP85,IFERROR(AQ85,IFERROR(AR85,AS85)))</f>
        <v>1791.4476899999997</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11.75</v>
      </c>
      <c r="AF88" s="68">
        <v>1</v>
      </c>
      <c r="AG88" s="69">
        <f>AE88*AF88</f>
        <v>11.75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217.58849999999995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11.75</v>
      </c>
      <c r="AG90" s="89" t="e">
        <f>SUM(AG88:AG89)</f>
        <v>#VALUE!</v>
      </c>
      <c r="AH90" s="84" t="str">
        <f>CONCATENATE("m'(",AD89,")=")</f>
        <v>m'(  )=</v>
      </c>
      <c r="AI90" s="84" t="e">
        <f>(2*(AI87^2)/6*AG90)+(AI89*AD88*WLS)</f>
        <v>#VALUE!</v>
      </c>
      <c r="AJ90" s="84" t="str">
        <f>CONCATENATE("M(",AD88,")=")</f>
        <v>M(7.88333333333333)=</v>
      </c>
      <c r="AK90" s="84">
        <f>VLOOKUP(AD88,STN_TABLE,4,FALSE)</f>
        <v>1791.4476899999997</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15</v>
      </c>
      <c r="E1" s="511" t="s">
        <v>91</v>
      </c>
      <c r="F1" s="511"/>
      <c r="G1" t="str">
        <f>VLOOKUP(Station_No,RISE_CALC,2,FALSE)</f>
        <v>-</v>
      </c>
      <c r="L1" s="511" t="s">
        <v>92</v>
      </c>
      <c r="M1" s="511"/>
      <c r="N1">
        <v>18</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3.8</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5.65</v>
      </c>
      <c r="D5" s="81">
        <f t="shared" ref="D5:D28" si="4">IFERROR(VLOOKUP(CONCATENATE("A(",B5,")="),RESULT_TABLE,6,FALSE)," ")</f>
        <v>8.6100000000000012</v>
      </c>
      <c r="E5" s="77">
        <f t="shared" ref="E5:E28" si="5">IFERROR(VLOOKUP(CONCATENATE("M(",B5,")="),RESULT_TABLE,6,FALSE)," ")</f>
        <v>4.1242500000000009</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6.8</v>
      </c>
      <c r="D6" s="81">
        <f t="shared" si="4"/>
        <v>19.920000000000002</v>
      </c>
      <c r="E6" s="77">
        <f t="shared" si="5"/>
        <v>19.548000000000002</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7.54</v>
      </c>
      <c r="D7" s="81">
        <f t="shared" si="4"/>
        <v>32.844000000000001</v>
      </c>
      <c r="E7" s="77">
        <f t="shared" si="5"/>
        <v>48.766050000000007</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8.08</v>
      </c>
      <c r="D8" s="81">
        <f t="shared" si="4"/>
        <v>46.944000000000003</v>
      </c>
      <c r="E8" s="77">
        <f t="shared" si="5"/>
        <v>93.204000000000008</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8.91</v>
      </c>
      <c r="D9" s="81">
        <f t="shared" si="4"/>
        <v>77.555999999999997</v>
      </c>
      <c r="E9" s="77">
        <f t="shared" si="5"/>
        <v>231.59520000000001</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9.64</v>
      </c>
      <c r="D10" s="81">
        <f t="shared" si="4"/>
        <v>110.976</v>
      </c>
      <c r="E10" s="77">
        <f t="shared" si="5"/>
        <v>442.34640000000002</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10.26</v>
      </c>
      <c r="D11" s="81">
        <f t="shared" si="4"/>
        <v>146.83199999999999</v>
      </c>
      <c r="E11" s="77">
        <f t="shared" si="5"/>
        <v>733.29840000000002</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10.6</v>
      </c>
      <c r="D12" s="81">
        <f t="shared" si="4"/>
        <v>169.77799999999999</v>
      </c>
      <c r="E12" s="77">
        <f t="shared" si="5"/>
        <v>952.50126666666654</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10.8</v>
      </c>
      <c r="D13" s="81">
        <f t="shared" si="4"/>
        <v>184.75200000000001</v>
      </c>
      <c r="E13" s="77">
        <f t="shared" si="5"/>
        <v>1108.836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11.29</v>
      </c>
      <c r="D14" s="81">
        <f t="shared" si="4"/>
        <v>224.53199999999998</v>
      </c>
      <c r="E14" s="77">
        <f t="shared" si="5"/>
        <v>1574.6832000000004</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12.15</v>
      </c>
      <c r="D15" s="81">
        <f t="shared" si="4"/>
        <v>261.80159999999995</v>
      </c>
      <c r="E15" s="77">
        <f t="shared" si="5"/>
        <v>2074.2718530000002</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3.8</v>
      </c>
      <c r="S32" s="69">
        <v>5</v>
      </c>
      <c r="T32" s="68">
        <f>R32*S32</f>
        <v>19</v>
      </c>
      <c r="U32" s="79">
        <v>3</v>
      </c>
      <c r="V32" s="68">
        <f>R32*U32</f>
        <v>11.399999999999999</v>
      </c>
      <c r="W32" t="s">
        <v>93</v>
      </c>
      <c r="X32" s="70">
        <f>IF(AND(Q34-Q33=Q33-Q32,NOT(AND(Q32=0,Q33=0)),NOT(AND(Q33=0,Q34=0))),WLS*(Q34-Q33),"#NA")</f>
        <v>0.9</v>
      </c>
      <c r="AD32" s="93"/>
      <c r="AH32" s="6" t="s">
        <v>93</v>
      </c>
      <c r="AI32" s="70">
        <f>WLS*(AD34-AD33)</f>
        <v>0.9</v>
      </c>
    </row>
    <row r="33" spans="1:47" x14ac:dyDescent="0.25">
      <c r="Q33" s="76">
        <f>B5</f>
        <v>0.5</v>
      </c>
      <c r="R33" s="77">
        <f>VLOOKUP(Q33,STN_TABLE,2,FALSE)</f>
        <v>5.65</v>
      </c>
      <c r="S33" s="77">
        <v>8</v>
      </c>
      <c r="T33" s="76">
        <f>R33*S33</f>
        <v>45.2</v>
      </c>
      <c r="U33" s="80">
        <v>10</v>
      </c>
      <c r="V33" s="76">
        <f>R33*U33</f>
        <v>56.5</v>
      </c>
      <c r="W33" s="512" t="s">
        <v>97</v>
      </c>
      <c r="X33" s="513"/>
      <c r="Y33" s="513" t="s">
        <v>98</v>
      </c>
      <c r="Z33" s="513"/>
      <c r="AA33" s="511" t="s">
        <v>99</v>
      </c>
      <c r="AB33" s="511"/>
      <c r="AC33" s="94">
        <v>1</v>
      </c>
      <c r="AD33" s="95">
        <f>VLOOKUP(AC33,STN_TABLE_2,2,FALSE)</f>
        <v>0</v>
      </c>
      <c r="AE33" s="68">
        <f>VLOOKUP(AD33,STN_TABLE,2,FALSE)</f>
        <v>3.8</v>
      </c>
      <c r="AF33" s="68">
        <v>1</v>
      </c>
      <c r="AG33" s="69">
        <f>AE33*AF33</f>
        <v>3.8</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6.8</v>
      </c>
      <c r="S34" s="83">
        <v>-1</v>
      </c>
      <c r="T34" s="82">
        <f>R34*S34</f>
        <v>-6.8</v>
      </c>
      <c r="U34" s="88">
        <v>-1</v>
      </c>
      <c r="V34" s="82">
        <f>R34*U34</f>
        <v>-6.8</v>
      </c>
      <c r="W34" s="84" t="str">
        <f>CONCATENATE("a'(",Q33,")=")</f>
        <v>a'(0.5)=</v>
      </c>
      <c r="X34" s="84">
        <f>2*X32/12*T35</f>
        <v>8.6100000000000012</v>
      </c>
      <c r="Y34" s="84" t="str">
        <f>CONCATENATE("A(",Q32,")=")</f>
        <v>A(0)=</v>
      </c>
      <c r="Z34" s="84">
        <f>VLOOKUP(Q32,STN_TABLE,3,FALSE)</f>
        <v>0</v>
      </c>
      <c r="AA34" t="str">
        <f>CONCATENATE("A(",Q33,")=")</f>
        <v>A(0.5)=</v>
      </c>
      <c r="AB34">
        <f>X34+Z34</f>
        <v>8.6100000000000012</v>
      </c>
      <c r="AC34" s="99">
        <f>AC33+1</f>
        <v>2</v>
      </c>
      <c r="AD34" s="100">
        <f>VLOOKUP(AC34,STN_TABLE_2,2,FALSE)</f>
        <v>0.5</v>
      </c>
      <c r="AE34" s="82">
        <f>VLOOKUP(AD34,STN_TABLE,2,FALSE)</f>
        <v>5.65</v>
      </c>
      <c r="AF34" s="82">
        <v>2</v>
      </c>
      <c r="AG34" s="83">
        <f>AE34*AF34</f>
        <v>11.3</v>
      </c>
      <c r="AH34" s="84" t="str">
        <f>CONCATENATE("a'(",AD34,")=")</f>
        <v>a'(0.5)=</v>
      </c>
      <c r="AI34" s="84">
        <f>2*AI32/2*AE35</f>
        <v>8.504999999999999</v>
      </c>
      <c r="AJ34" s="84" t="str">
        <f>CONCATENATE("A(",AD33,")=")</f>
        <v>A(0)=</v>
      </c>
      <c r="AK34" s="84">
        <f>VLOOKUP(AD33,STN_TABLE,3,FALSE)</f>
        <v>0</v>
      </c>
      <c r="AL34" t="str">
        <f>CONCATENATE("A(",AD34,")=")</f>
        <v>A(0.5)=</v>
      </c>
      <c r="AM34">
        <f>AI34+AK34</f>
        <v>8.504999999999999</v>
      </c>
      <c r="AO34" s="68" t="str">
        <f>AA34</f>
        <v>A(0.5)=</v>
      </c>
      <c r="AP34" s="79" t="e">
        <f>VLOOKUP(AO34,Rise_Results,2,FALSE)</f>
        <v>#N/A</v>
      </c>
      <c r="AQ34" s="76" t="s">
        <v>117</v>
      </c>
      <c r="AR34" s="76">
        <f>IF(OR(AB34&lt;=0,AB35&lt;=0),1/0,AB34)</f>
        <v>8.6100000000000012</v>
      </c>
      <c r="AS34" s="76">
        <f>AM34</f>
        <v>8.504999999999999</v>
      </c>
      <c r="AT34" s="80">
        <f>IFERROR(AP34,IFERROR(AR34,AS34))</f>
        <v>8.6100000000000012</v>
      </c>
    </row>
    <row r="35" spans="1:47" x14ac:dyDescent="0.25">
      <c r="A35" s="101"/>
      <c r="T35" s="89">
        <f>SUM(T32:T34)</f>
        <v>57.400000000000006</v>
      </c>
      <c r="V35" s="82">
        <f>SUM(V32:V34)</f>
        <v>61.100000000000009</v>
      </c>
      <c r="W35" s="84" t="str">
        <f>CONCATENATE("m'(",Q33,")=")</f>
        <v>m'(0.5)=</v>
      </c>
      <c r="X35" s="84">
        <f>(2*(X32^2)/24*V35)</f>
        <v>4.1242500000000009</v>
      </c>
      <c r="Y35" s="84" t="str">
        <f>CONCATENATE("M(",Q32,")=")</f>
        <v>M(0)=</v>
      </c>
      <c r="Z35" s="84">
        <f>VLOOKUP(Q32,STN_TABLE,4,FALSE)</f>
        <v>0</v>
      </c>
      <c r="AA35" t="str">
        <f>CONCATENATE("M(",Q33,")=")</f>
        <v>M(0.5)=</v>
      </c>
      <c r="AB35">
        <f>X35+Z35</f>
        <v>4.1242500000000009</v>
      </c>
      <c r="AE35" s="89">
        <f>SUM(AE33:AE34)</f>
        <v>9.4499999999999993</v>
      </c>
      <c r="AG35" s="89">
        <f>SUM(AG33:AG34)</f>
        <v>15.100000000000001</v>
      </c>
      <c r="AH35" s="84" t="str">
        <f>CONCATENATE("m'(",AD34,")=")</f>
        <v>m'(0.5)=</v>
      </c>
      <c r="AI35" s="84">
        <f>(2*(AI32^2)/6*AG35)+(AI34*AD33*WLS)</f>
        <v>4.0770000000000008</v>
      </c>
      <c r="AJ35" s="84" t="str">
        <f>CONCATENATE("M(",AD33,")=")</f>
        <v>M(0)=</v>
      </c>
      <c r="AK35" s="84">
        <f>VLOOKUP(AD33,STN_TABLE,4,FALSE)</f>
        <v>0</v>
      </c>
      <c r="AL35" t="str">
        <f>CONCATENATE("M(",AD34,")=")</f>
        <v>M(0.5)=</v>
      </c>
      <c r="AM35">
        <f>AI35+AK35</f>
        <v>4.0770000000000008</v>
      </c>
      <c r="AO35" s="82" t="str">
        <f>AA35</f>
        <v>M(0.5)=</v>
      </c>
      <c r="AP35" s="88" t="e">
        <f>VLOOKUP(AO35,Rise_Results,2,FALSE)</f>
        <v>#N/A</v>
      </c>
      <c r="AQ35" s="82" t="s">
        <v>117</v>
      </c>
      <c r="AR35" s="82">
        <f>IF(OR(AB34&lt;=0,AB35&lt;=0),1/0,AB35)</f>
        <v>4.1242500000000009</v>
      </c>
      <c r="AS35" s="82">
        <f>AM35</f>
        <v>4.0770000000000008</v>
      </c>
      <c r="AT35" s="80">
        <f>IFERROR(AP35,IFERROR(AR35,AS35))</f>
        <v>4.1242500000000009</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3.8</v>
      </c>
      <c r="E37" s="102">
        <v>1</v>
      </c>
      <c r="F37" s="68">
        <f>D37*E37</f>
        <v>3.8</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5.65</v>
      </c>
      <c r="S37" s="69">
        <v>5</v>
      </c>
      <c r="T37" s="68">
        <f>R37*S37</f>
        <v>28.25</v>
      </c>
      <c r="U37" s="79">
        <v>3</v>
      </c>
      <c r="V37" s="68">
        <f>R37*U37</f>
        <v>16.950000000000003</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5.65</v>
      </c>
      <c r="E38" s="81">
        <v>4</v>
      </c>
      <c r="F38" s="76">
        <f>D38*E38</f>
        <v>22.6</v>
      </c>
      <c r="G38" s="77">
        <f>C38</f>
        <v>0.5</v>
      </c>
      <c r="H38" s="77">
        <f>F38*G38</f>
        <v>11.3</v>
      </c>
      <c r="I38" s="513" t="s">
        <v>97</v>
      </c>
      <c r="J38" s="513"/>
      <c r="K38" s="78" t="s">
        <v>98</v>
      </c>
      <c r="L38" s="78"/>
      <c r="M38" s="7" t="s">
        <v>99</v>
      </c>
      <c r="N38" s="7"/>
      <c r="O38" s="99">
        <f>O37+1</f>
        <v>3</v>
      </c>
      <c r="P38" s="99">
        <f t="shared" si="10"/>
        <v>1</v>
      </c>
      <c r="Q38" s="76">
        <f>P38</f>
        <v>1</v>
      </c>
      <c r="R38" s="77">
        <f>VLOOKUP(Q38,STN_TABLE,2,FALSE)</f>
        <v>6.8</v>
      </c>
      <c r="S38" s="77">
        <v>8</v>
      </c>
      <c r="T38" s="76">
        <f>R38*S38</f>
        <v>54.4</v>
      </c>
      <c r="U38" s="80">
        <v>10</v>
      </c>
      <c r="V38" s="76">
        <f>R38*U38</f>
        <v>68</v>
      </c>
      <c r="W38" s="513" t="s">
        <v>97</v>
      </c>
      <c r="X38" s="513"/>
      <c r="Y38" s="513" t="s">
        <v>98</v>
      </c>
      <c r="Z38" s="513"/>
      <c r="AA38" s="511" t="s">
        <v>99</v>
      </c>
      <c r="AB38" s="511"/>
      <c r="AC38" s="99">
        <f>AC33+1</f>
        <v>2</v>
      </c>
      <c r="AD38" s="95">
        <f>VLOOKUP(AC38,STN_TABLE_2,2,FALSE)</f>
        <v>0.5</v>
      </c>
      <c r="AE38" s="68">
        <f>VLOOKUP(AD38,STN_TABLE,2,FALSE)</f>
        <v>5.65</v>
      </c>
      <c r="AF38" s="68">
        <v>1</v>
      </c>
      <c r="AG38" s="69">
        <f>AE38*AF38</f>
        <v>5.65</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6.8</v>
      </c>
      <c r="E39" s="92">
        <v>1</v>
      </c>
      <c r="F39" s="82">
        <f>D39*E39</f>
        <v>6.8</v>
      </c>
      <c r="G39" s="83">
        <f>C39</f>
        <v>1</v>
      </c>
      <c r="H39" s="83">
        <f>F39*G39</f>
        <v>6.8</v>
      </c>
      <c r="I39" s="84" t="str">
        <f>CONCATENATE("a'(",C39,")=")</f>
        <v>a'(1)=</v>
      </c>
      <c r="J39" s="84">
        <f>2*J37/3*F40</f>
        <v>19.920000000000002</v>
      </c>
      <c r="K39" s="84" t="str">
        <f>CONCATENATE("A(",C37,")=")</f>
        <v>A(0)=</v>
      </c>
      <c r="L39" s="84">
        <f>VLOOKUP(C37,STN_TABLE,3,FALSE)</f>
        <v>0</v>
      </c>
      <c r="M39" t="str">
        <f>CONCATENATE("A(",C39,")=")</f>
        <v>A(1)=</v>
      </c>
      <c r="N39">
        <f>J39+L39</f>
        <v>19.920000000000002</v>
      </c>
      <c r="O39" s="99">
        <f>O38+1</f>
        <v>4</v>
      </c>
      <c r="P39" s="99">
        <f t="shared" si="10"/>
        <v>1.5</v>
      </c>
      <c r="Q39" s="82">
        <f>IF(P39-P38=P38-P37,P39,IF(P40-P38=P38-P37,P40,IF(P39-P38=P38-P36,P39,IF(P40-P38=P38-P36,P40,"-"))))</f>
        <v>1.5</v>
      </c>
      <c r="R39" s="83">
        <f>VLOOKUP(Q39,STN_TABLE,2,FALSE)</f>
        <v>7.54</v>
      </c>
      <c r="S39" s="83">
        <v>-1</v>
      </c>
      <c r="T39" s="82">
        <f>R39*S39</f>
        <v>-7.54</v>
      </c>
      <c r="U39" s="88">
        <v>-1</v>
      </c>
      <c r="V39" s="82">
        <f>R39*U39</f>
        <v>-7.54</v>
      </c>
      <c r="W39" s="84" t="str">
        <f>CONCATENATE("a'(",Q38,")=")</f>
        <v>a'(1)=</v>
      </c>
      <c r="X39" s="84">
        <f>2*X37/12*T40</f>
        <v>11.266499999999999</v>
      </c>
      <c r="Y39" s="84" t="str">
        <f>CONCATENATE("A(",Q37,")=")</f>
        <v>A(0.5)=</v>
      </c>
      <c r="Z39" s="84">
        <f>VLOOKUP(Q37,STN_TABLE,3,FALSE)</f>
        <v>8.6100000000000012</v>
      </c>
      <c r="AA39" t="str">
        <f>CONCATENATE("A(",Q38,")=")</f>
        <v>A(1)=</v>
      </c>
      <c r="AB39">
        <f>X39+Z39</f>
        <v>19.8765</v>
      </c>
      <c r="AC39" s="99">
        <f>AC38+1</f>
        <v>3</v>
      </c>
      <c r="AD39" s="100">
        <f>VLOOKUP(AC39,STN_TABLE_2,2,FALSE)</f>
        <v>1</v>
      </c>
      <c r="AE39" s="82">
        <f>VLOOKUP(AD39,STN_TABLE,2,FALSE)</f>
        <v>6.8</v>
      </c>
      <c r="AF39" s="82">
        <v>2</v>
      </c>
      <c r="AG39" s="83">
        <f>AE39*AF39</f>
        <v>13.6</v>
      </c>
      <c r="AH39" s="84" t="str">
        <f>CONCATENATE("a'(",AD39,")=")</f>
        <v>a'(1)=</v>
      </c>
      <c r="AI39" s="84">
        <f>2*AI37/2*AE40</f>
        <v>11.205</v>
      </c>
      <c r="AJ39" s="84" t="str">
        <f>CONCATENATE("A(",AD38,")=")</f>
        <v>A(0.5)=</v>
      </c>
      <c r="AK39" s="84">
        <f>VLOOKUP(AD38,STN_TABLE,3,FALSE)</f>
        <v>8.6100000000000012</v>
      </c>
      <c r="AL39" t="str">
        <f>CONCATENATE("A(",AD39,")=")</f>
        <v>A(1)=</v>
      </c>
      <c r="AM39">
        <f>AI39+AK39</f>
        <v>19.815000000000001</v>
      </c>
      <c r="AO39" s="68" t="str">
        <f>AA39</f>
        <v>A(1)=</v>
      </c>
      <c r="AP39" s="68" t="e">
        <f>VLOOKUP(AO39,Rise_Results,2,FALSE)</f>
        <v>#N/A</v>
      </c>
      <c r="AQ39" s="76">
        <f>N39</f>
        <v>19.920000000000002</v>
      </c>
      <c r="AR39" s="76">
        <f>IF(OR(AB39&lt;=0,AB40&lt;=0),1/0,AB39)</f>
        <v>19.8765</v>
      </c>
      <c r="AS39" s="76">
        <f>AM39</f>
        <v>19.815000000000001</v>
      </c>
      <c r="AT39">
        <f>IFERROR(AP39,IFERROR(AQ39,IFERROR(AR39,AS39)))</f>
        <v>19.920000000000002</v>
      </c>
    </row>
    <row r="40" spans="1:47" x14ac:dyDescent="0.25">
      <c r="A40">
        <v>4</v>
      </c>
      <c r="F40" s="82">
        <f>SUM(F37:F39)</f>
        <v>33.200000000000003</v>
      </c>
      <c r="H40" s="82">
        <f>SUM(H37:H39)</f>
        <v>18.100000000000001</v>
      </c>
      <c r="I40" s="84" t="str">
        <f>CONCATENATE("m'(",C39,")=")</f>
        <v>m'(1)=</v>
      </c>
      <c r="J40" s="84">
        <f>2*(J37*(WLS))/3*H40</f>
        <v>19.548000000000002</v>
      </c>
      <c r="K40" s="84" t="str">
        <f>CONCATENATE("M(",C37,")=")</f>
        <v>M(0)=</v>
      </c>
      <c r="L40" s="84">
        <f>VLOOKUP(C37,STN_TABLE,4,FALSE)</f>
        <v>0</v>
      </c>
      <c r="M40" t="str">
        <f>CONCATENATE("M(",C39,")=")</f>
        <v>M(1)=</v>
      </c>
      <c r="N40">
        <f>J40+L40</f>
        <v>19.548000000000002</v>
      </c>
      <c r="O40" s="99">
        <f>O39+1</f>
        <v>5</v>
      </c>
      <c r="P40" s="99">
        <f t="shared" si="10"/>
        <v>2</v>
      </c>
      <c r="T40" s="89">
        <f>SUM(T37:T39)</f>
        <v>75.11</v>
      </c>
      <c r="V40" s="82">
        <f>SUM(V37:V39)</f>
        <v>77.41</v>
      </c>
      <c r="W40" s="84" t="str">
        <f>CONCATENATE("m'(",Q38,")=")</f>
        <v>m'(1)=</v>
      </c>
      <c r="X40" s="84">
        <f>(2*(X37^2)/24*V40)+(X39*Q37*WLS)</f>
        <v>15.365024999999999</v>
      </c>
      <c r="Y40" s="84" t="str">
        <f>CONCATENATE("M(",Q37,")=")</f>
        <v>M(0.5)=</v>
      </c>
      <c r="Z40" s="84">
        <f>VLOOKUP(Q37,STN_TABLE,4,FALSE)</f>
        <v>4.1242500000000009</v>
      </c>
      <c r="AA40" t="str">
        <f>CONCATENATE("M(",Q38,")=")</f>
        <v>M(1)=</v>
      </c>
      <c r="AB40">
        <f>X40+Z40</f>
        <v>19.489274999999999</v>
      </c>
      <c r="AE40" s="89">
        <f>SUM(AE38:AE39)</f>
        <v>12.45</v>
      </c>
      <c r="AG40" s="89">
        <f>SUM(AG38:AG39)</f>
        <v>19.25</v>
      </c>
      <c r="AH40" s="84" t="str">
        <f>CONCATENATE("m'(",AD39,")=")</f>
        <v>m'(1)=</v>
      </c>
      <c r="AI40" s="84">
        <f>(2*(AI37^2)/6*AG40)+(AI39*AD38*WLS)</f>
        <v>15.282</v>
      </c>
      <c r="AJ40" s="84" t="str">
        <f>CONCATENATE("M(",AD38,")=")</f>
        <v>M(0.5)=</v>
      </c>
      <c r="AK40" s="84">
        <f>VLOOKUP(AD38,STN_TABLE,4,FALSE)</f>
        <v>4.1242500000000009</v>
      </c>
      <c r="AL40" t="str">
        <f>CONCATENATE("M(",AD39,")=")</f>
        <v>M(1)=</v>
      </c>
      <c r="AM40">
        <f>AI40+AK40</f>
        <v>19.40625</v>
      </c>
      <c r="AO40" s="82" t="str">
        <f>AA40</f>
        <v>M(1)=</v>
      </c>
      <c r="AP40" s="82" t="e">
        <f>VLOOKUP(AO40,Rise_Results,2,FALSE)</f>
        <v>#N/A</v>
      </c>
      <c r="AQ40" s="82">
        <f>N40</f>
        <v>19.548000000000002</v>
      </c>
      <c r="AR40" s="82">
        <f>IF(OR(AB39&lt;=0,AB40&lt;=0),1/0,AB40)</f>
        <v>19.489274999999999</v>
      </c>
      <c r="AS40" s="82">
        <f>AM40</f>
        <v>19.40625</v>
      </c>
      <c r="AT40">
        <f>IFERROR(AP40,IFERROR(AQ40,IFERROR(AR40,AS40)))</f>
        <v>19.548000000000002</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5.65</v>
      </c>
      <c r="E42" s="102">
        <v>1</v>
      </c>
      <c r="F42" s="68">
        <f>D42*E42</f>
        <v>5.65</v>
      </c>
      <c r="G42" s="69">
        <f>C42</f>
        <v>0.5</v>
      </c>
      <c r="H42" s="69">
        <f>F42*G42</f>
        <v>2.8250000000000002</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6.8</v>
      </c>
      <c r="S42" s="69">
        <v>5</v>
      </c>
      <c r="T42" s="68">
        <f>R42*S42</f>
        <v>34</v>
      </c>
      <c r="U42" s="79">
        <v>3</v>
      </c>
      <c r="V42" s="68">
        <f>R42*U42</f>
        <v>20.399999999999999</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6.8</v>
      </c>
      <c r="E43" s="81">
        <v>4</v>
      </c>
      <c r="F43" s="76">
        <f>D43*E43</f>
        <v>27.2</v>
      </c>
      <c r="G43" s="77">
        <f>C43</f>
        <v>1</v>
      </c>
      <c r="H43" s="77">
        <f>F43*G43</f>
        <v>27.2</v>
      </c>
      <c r="I43" s="513" t="s">
        <v>97</v>
      </c>
      <c r="J43" s="513"/>
      <c r="K43" s="78" t="s">
        <v>98</v>
      </c>
      <c r="L43" s="78"/>
      <c r="M43" s="7" t="s">
        <v>99</v>
      </c>
      <c r="N43" s="7"/>
      <c r="O43" s="99">
        <f>O42+1</f>
        <v>4</v>
      </c>
      <c r="P43" s="99">
        <f t="shared" si="10"/>
        <v>1.5</v>
      </c>
      <c r="Q43" s="76">
        <f>P43</f>
        <v>1.5</v>
      </c>
      <c r="R43" s="77">
        <f>VLOOKUP(Q43,STN_TABLE,2,FALSE)</f>
        <v>7.54</v>
      </c>
      <c r="S43" s="77">
        <v>8</v>
      </c>
      <c r="T43" s="76">
        <f>R43*S43</f>
        <v>60.32</v>
      </c>
      <c r="U43" s="80">
        <v>10</v>
      </c>
      <c r="V43" s="76">
        <f>R43*U43</f>
        <v>75.400000000000006</v>
      </c>
      <c r="W43" s="513" t="s">
        <v>97</v>
      </c>
      <c r="X43" s="513"/>
      <c r="Y43" s="513" t="s">
        <v>98</v>
      </c>
      <c r="Z43" s="513"/>
      <c r="AA43" s="511" t="s">
        <v>99</v>
      </c>
      <c r="AB43" s="511"/>
      <c r="AC43" s="99">
        <f>AC38+1</f>
        <v>3</v>
      </c>
      <c r="AD43" s="95">
        <f>VLOOKUP(AC43,STN_TABLE_2,2,FALSE)</f>
        <v>1</v>
      </c>
      <c r="AE43" s="68">
        <f>VLOOKUP(AD43,STN_TABLE,2,FALSE)</f>
        <v>6.8</v>
      </c>
      <c r="AF43" s="68">
        <v>1</v>
      </c>
      <c r="AG43" s="69">
        <f>AE43*AF43</f>
        <v>6.8</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7.54</v>
      </c>
      <c r="E44" s="92">
        <v>1</v>
      </c>
      <c r="F44" s="82">
        <f>D44*E44</f>
        <v>7.54</v>
      </c>
      <c r="G44" s="83">
        <f>C44</f>
        <v>1.5</v>
      </c>
      <c r="H44" s="83">
        <f>F44*G44</f>
        <v>11.31</v>
      </c>
      <c r="I44" s="84" t="str">
        <f>CONCATENATE("a'(",C44,")=")</f>
        <v>a'(1.5)=</v>
      </c>
      <c r="J44" s="84">
        <f>2*J42/3*F45</f>
        <v>24.233999999999998</v>
      </c>
      <c r="K44" s="84" t="str">
        <f>CONCATENATE("A(",C42,")=")</f>
        <v>A(0.5)=</v>
      </c>
      <c r="L44" s="84">
        <f>VLOOKUP(C42,STN_TABLE,3,FALSE)</f>
        <v>8.6100000000000012</v>
      </c>
      <c r="M44" t="str">
        <f>CONCATENATE("A(",C44,")=")</f>
        <v>A(1.5)=</v>
      </c>
      <c r="N44">
        <f>J44+L44</f>
        <v>32.844000000000001</v>
      </c>
      <c r="O44" s="99">
        <f>O43+1</f>
        <v>5</v>
      </c>
      <c r="P44" s="99">
        <f t="shared" si="10"/>
        <v>2</v>
      </c>
      <c r="Q44" s="82">
        <f>IF(P44-P43=P43-P42,P44,IF(P45-P43=P43-P42,P45,IF(P44-P43=P43-P41,P44,IF(P45-P43=P43-P41,P45,"-"))))</f>
        <v>2</v>
      </c>
      <c r="R44" s="83">
        <f>VLOOKUP(Q44,STN_TABLE,2,FALSE)</f>
        <v>8.08</v>
      </c>
      <c r="S44" s="83">
        <v>-1</v>
      </c>
      <c r="T44" s="82">
        <f>R44*S44</f>
        <v>-8.08</v>
      </c>
      <c r="U44" s="88">
        <v>-1</v>
      </c>
      <c r="V44" s="82">
        <f>R44*U44</f>
        <v>-8.08</v>
      </c>
      <c r="W44" s="84" t="str">
        <f>CONCATENATE("a'(",Q43,")=")</f>
        <v>a'(1.5)=</v>
      </c>
      <c r="X44" s="84">
        <f>2*X42/12*T45</f>
        <v>12.935999999999998</v>
      </c>
      <c r="Y44" s="84" t="str">
        <f>CONCATENATE("A(",Q42,")=")</f>
        <v>A(1)=</v>
      </c>
      <c r="Z44" s="84">
        <f>VLOOKUP(Q42,STN_TABLE,3,FALSE)</f>
        <v>19.920000000000002</v>
      </c>
      <c r="AA44" t="str">
        <f>CONCATENATE("A(",Q43,")=")</f>
        <v>A(1.5)=</v>
      </c>
      <c r="AB44">
        <f>X44+Z44</f>
        <v>32.856000000000002</v>
      </c>
      <c r="AC44" s="99">
        <f>AC43+1</f>
        <v>4</v>
      </c>
      <c r="AD44" s="100">
        <f>VLOOKUP(AC44,STN_TABLE_2,2,FALSE)</f>
        <v>1.5</v>
      </c>
      <c r="AE44" s="82">
        <f>VLOOKUP(AD44,STN_TABLE,2,FALSE)</f>
        <v>7.54</v>
      </c>
      <c r="AF44" s="82">
        <v>2</v>
      </c>
      <c r="AG44" s="83">
        <f>AE44*AF44</f>
        <v>15.08</v>
      </c>
      <c r="AH44" s="84" t="str">
        <f>CONCATENATE("a'(",AD44,")=")</f>
        <v>a'(1.5)=</v>
      </c>
      <c r="AI44" s="84">
        <f>2*AI42/2*AE45</f>
        <v>12.906000000000001</v>
      </c>
      <c r="AJ44" s="84" t="str">
        <f>CONCATENATE("A(",AD43,")=")</f>
        <v>A(1)=</v>
      </c>
      <c r="AK44" s="84">
        <f>VLOOKUP(AD43,STN_TABLE,3,FALSE)</f>
        <v>19.920000000000002</v>
      </c>
      <c r="AL44" t="str">
        <f>CONCATENATE("A(",AD44,")=")</f>
        <v>A(1.5)=</v>
      </c>
      <c r="AM44">
        <f>AI44+AK44</f>
        <v>32.826000000000001</v>
      </c>
      <c r="AO44" s="68" t="str">
        <f>AA44</f>
        <v>A(1.5)=</v>
      </c>
      <c r="AP44" s="68" t="e">
        <f>VLOOKUP(AO44,Rise_Results,2,FALSE)</f>
        <v>#N/A</v>
      </c>
      <c r="AQ44" s="76">
        <f>N44</f>
        <v>32.844000000000001</v>
      </c>
      <c r="AR44" s="76">
        <f>IF(OR(AB44&lt;=0,AB45&lt;=0),1/0,AB44)</f>
        <v>32.856000000000002</v>
      </c>
      <c r="AS44" s="76">
        <f>AM44</f>
        <v>32.826000000000001</v>
      </c>
      <c r="AT44">
        <f>IFERROR(AP44,IFERROR(AQ44,IFERROR(AR44,AS44)))</f>
        <v>32.844000000000001</v>
      </c>
      <c r="AU44" s="81"/>
    </row>
    <row r="45" spans="1:47" x14ac:dyDescent="0.25">
      <c r="A45" s="94">
        <f>A44+1</f>
        <v>4</v>
      </c>
      <c r="B45" s="94">
        <f t="shared" si="11"/>
        <v>1.5</v>
      </c>
      <c r="F45" s="82">
        <f>SUM(F42:F44)</f>
        <v>40.39</v>
      </c>
      <c r="H45" s="82">
        <f>SUM(H42:H44)</f>
        <v>41.335000000000001</v>
      </c>
      <c r="I45" s="84" t="str">
        <f>CONCATENATE("m'(",C44,")=")</f>
        <v>m'(1.5)=</v>
      </c>
      <c r="J45" s="84">
        <f>2*(J42*(WLS))/3*H45</f>
        <v>44.641800000000003</v>
      </c>
      <c r="K45" s="84" t="str">
        <f>CONCATENATE("M(",C42,")=")</f>
        <v>M(0.5)=</v>
      </c>
      <c r="L45" s="84">
        <f>VLOOKUP(C42,STN_TABLE,4,FALSE)</f>
        <v>4.1242500000000009</v>
      </c>
      <c r="M45" t="str">
        <f>CONCATENATE("M(",C44,")=")</f>
        <v>M(1.5)=</v>
      </c>
      <c r="N45">
        <f>J45+L45</f>
        <v>48.766050000000007</v>
      </c>
      <c r="O45" s="99">
        <f>O44+1</f>
        <v>6</v>
      </c>
      <c r="P45" s="99">
        <f t="shared" si="10"/>
        <v>3</v>
      </c>
      <c r="T45" s="89">
        <f>SUM(T42:T44)</f>
        <v>86.24</v>
      </c>
      <c r="V45" s="82">
        <f>SUM(V42:V44)</f>
        <v>87.720000000000013</v>
      </c>
      <c r="W45" s="84" t="str">
        <f>CONCATENATE("m'(",Q43,")=")</f>
        <v>m'(1.5)=</v>
      </c>
      <c r="X45" s="84">
        <f>(2*(X42^2)/24*V45)+(X44*Q42*WLS)</f>
        <v>29.2059</v>
      </c>
      <c r="Y45" s="84" t="str">
        <f>CONCATENATE("M(",Q42,")=")</f>
        <v>M(1)=</v>
      </c>
      <c r="Z45" s="84">
        <f>VLOOKUP(Q42,STN_TABLE,4,FALSE)</f>
        <v>19.548000000000002</v>
      </c>
      <c r="AA45" t="str">
        <f>CONCATENATE("M(",Q43,")=")</f>
        <v>M(1.5)=</v>
      </c>
      <c r="AB45">
        <f>X45+Z45</f>
        <v>48.753900000000002</v>
      </c>
      <c r="AE45" s="89">
        <f>SUM(AE43:AE44)</f>
        <v>14.34</v>
      </c>
      <c r="AG45" s="89">
        <f>SUM(AG43:AG44)</f>
        <v>21.88</v>
      </c>
      <c r="AH45" s="84" t="str">
        <f>CONCATENATE("m'(",AD44,")=")</f>
        <v>m'(1.5)=</v>
      </c>
      <c r="AI45" s="84">
        <f>(2*(AI42^2)/6*AG45)+(AI44*AD43*WLS)</f>
        <v>29.138400000000004</v>
      </c>
      <c r="AJ45" s="84" t="str">
        <f>CONCATENATE("M(",AD43,")=")</f>
        <v>M(1)=</v>
      </c>
      <c r="AK45" s="84">
        <f>VLOOKUP(AD43,STN_TABLE,4,FALSE)</f>
        <v>19.548000000000002</v>
      </c>
      <c r="AL45" t="str">
        <f>CONCATENATE("M(",AD44,")=")</f>
        <v>M(1.5)=</v>
      </c>
      <c r="AM45">
        <f>AI45+AK45</f>
        <v>48.686400000000006</v>
      </c>
      <c r="AO45" s="82" t="str">
        <f>AA45</f>
        <v>M(1.5)=</v>
      </c>
      <c r="AP45" s="82" t="e">
        <f>VLOOKUP(AO45,Rise_Results,2,FALSE)</f>
        <v>#N/A</v>
      </c>
      <c r="AQ45" s="82">
        <f>N45</f>
        <v>48.766050000000007</v>
      </c>
      <c r="AR45" s="82">
        <f>IF(OR(AB44&lt;=0,AB45&lt;=0),1/0,AB45)</f>
        <v>48.753900000000002</v>
      </c>
      <c r="AS45" s="82">
        <f>AM45</f>
        <v>48.686400000000006</v>
      </c>
      <c r="AT45">
        <f>IFERROR(AP45,IFERROR(AQ45,IFERROR(AR45,AS45)))</f>
        <v>48.766050000000007</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6.8</v>
      </c>
      <c r="E47" s="102">
        <v>1</v>
      </c>
      <c r="F47" s="68">
        <f>D47*E47</f>
        <v>6.8</v>
      </c>
      <c r="G47" s="69">
        <f>C47</f>
        <v>1</v>
      </c>
      <c r="H47" s="69">
        <f>F47*G47</f>
        <v>6.8</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6.8</v>
      </c>
      <c r="S47" s="69">
        <v>5</v>
      </c>
      <c r="T47" s="68">
        <f>R47*S47</f>
        <v>34</v>
      </c>
      <c r="U47" s="79">
        <v>3</v>
      </c>
      <c r="V47" s="68">
        <f>R47*U47</f>
        <v>20.399999999999999</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7.54</v>
      </c>
      <c r="E48" s="81">
        <v>4</v>
      </c>
      <c r="F48" s="76">
        <f>D48*E48</f>
        <v>30.16</v>
      </c>
      <c r="G48" s="77">
        <f>C48</f>
        <v>1.5</v>
      </c>
      <c r="H48" s="77">
        <f>F48*G48</f>
        <v>45.24</v>
      </c>
      <c r="I48" s="513" t="s">
        <v>97</v>
      </c>
      <c r="J48" s="513"/>
      <c r="K48" s="78" t="s">
        <v>98</v>
      </c>
      <c r="L48" s="78"/>
      <c r="M48" s="7" t="s">
        <v>99</v>
      </c>
      <c r="N48" s="7"/>
      <c r="O48" s="99">
        <f>O47+1</f>
        <v>5</v>
      </c>
      <c r="P48" s="99">
        <f t="shared" si="10"/>
        <v>2</v>
      </c>
      <c r="Q48" s="76">
        <f>P48</f>
        <v>2</v>
      </c>
      <c r="R48" s="77">
        <f>VLOOKUP(Q48,STN_TABLE,2,FALSE)</f>
        <v>8.08</v>
      </c>
      <c r="S48" s="77">
        <v>8</v>
      </c>
      <c r="T48" s="76">
        <f>R48*S48</f>
        <v>64.64</v>
      </c>
      <c r="U48" s="80">
        <v>10</v>
      </c>
      <c r="V48" s="76">
        <f>R48*U48</f>
        <v>80.8</v>
      </c>
      <c r="W48" s="513" t="s">
        <v>97</v>
      </c>
      <c r="X48" s="513"/>
      <c r="Y48" s="513" t="s">
        <v>98</v>
      </c>
      <c r="Z48" s="513"/>
      <c r="AA48" s="511" t="s">
        <v>99</v>
      </c>
      <c r="AB48" s="511"/>
      <c r="AC48" s="99">
        <f>AC43+1</f>
        <v>4</v>
      </c>
      <c r="AD48" s="95">
        <f>VLOOKUP(AC48,STN_TABLE_2,2,FALSE)</f>
        <v>1.5</v>
      </c>
      <c r="AE48" s="68">
        <f>VLOOKUP(AD48,STN_TABLE,2,FALSE)</f>
        <v>7.54</v>
      </c>
      <c r="AF48" s="68">
        <v>1</v>
      </c>
      <c r="AG48" s="69">
        <f>AE48*AF48</f>
        <v>7.54</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8.08</v>
      </c>
      <c r="E49" s="92">
        <v>1</v>
      </c>
      <c r="F49" s="82">
        <f>D49*E49</f>
        <v>8.08</v>
      </c>
      <c r="G49" s="83">
        <f>C49</f>
        <v>2</v>
      </c>
      <c r="H49" s="83">
        <f>F49*G49</f>
        <v>16.16</v>
      </c>
      <c r="I49" s="84" t="str">
        <f>CONCATENATE("a'(",C49,")=")</f>
        <v>a'(2)=</v>
      </c>
      <c r="J49" s="84">
        <f>2*J47/3*F50</f>
        <v>27.023999999999997</v>
      </c>
      <c r="K49" s="84" t="str">
        <f>CONCATENATE("A(",C47,")=")</f>
        <v>A(1)=</v>
      </c>
      <c r="L49" s="84">
        <f>VLOOKUP(C47,STN_TABLE,3,FALSE)</f>
        <v>19.920000000000002</v>
      </c>
      <c r="M49" t="str">
        <f>CONCATENATE("A(",C49,")=")</f>
        <v>A(2)=</v>
      </c>
      <c r="N49">
        <f>J49+L49</f>
        <v>46.944000000000003</v>
      </c>
      <c r="O49" s="99">
        <f>O48+1</f>
        <v>6</v>
      </c>
      <c r="P49" s="99">
        <f t="shared" si="10"/>
        <v>3</v>
      </c>
      <c r="Q49" s="82">
        <f>IF(P49-P48=P48-P47,P49,IF(P50-P48=P48-P47,P50,IF(P49-P48=P48-P46,P49,IF(P50-P48=P48-P46,P50,"-"))))</f>
        <v>3</v>
      </c>
      <c r="R49" s="83">
        <f>VLOOKUP(Q49,STN_TABLE,2,FALSE)</f>
        <v>8.91</v>
      </c>
      <c r="S49" s="83">
        <v>-1</v>
      </c>
      <c r="T49" s="82">
        <f>R49*S49</f>
        <v>-8.91</v>
      </c>
      <c r="U49" s="88">
        <v>-1</v>
      </c>
      <c r="V49" s="82">
        <f>R49*U49</f>
        <v>-8.91</v>
      </c>
      <c r="W49" s="84" t="str">
        <f>CONCATENATE("a'(",Q48,")=")</f>
        <v>a'(2)=</v>
      </c>
      <c r="X49" s="84">
        <f>2*X47/12*T50</f>
        <v>26.919</v>
      </c>
      <c r="Y49" s="84" t="str">
        <f>CONCATENATE("A(",Q47,")=")</f>
        <v>A(1)=</v>
      </c>
      <c r="Z49" s="84">
        <f>VLOOKUP(Q47,STN_TABLE,3,FALSE)</f>
        <v>19.920000000000002</v>
      </c>
      <c r="AA49" t="str">
        <f>CONCATENATE("A(",Q48,")=")</f>
        <v>A(2)=</v>
      </c>
      <c r="AB49">
        <f>X49+Z49</f>
        <v>46.838999999999999</v>
      </c>
      <c r="AC49" s="99">
        <f>AC48+1</f>
        <v>5</v>
      </c>
      <c r="AD49" s="100">
        <f>VLOOKUP(AC49,STN_TABLE_2,2,FALSE)</f>
        <v>2</v>
      </c>
      <c r="AE49" s="82">
        <f>VLOOKUP(AD49,STN_TABLE,2,FALSE)</f>
        <v>8.08</v>
      </c>
      <c r="AF49" s="82">
        <v>2</v>
      </c>
      <c r="AG49" s="83">
        <f>AE49*AF49</f>
        <v>16.16</v>
      </c>
      <c r="AH49" s="84" t="str">
        <f>CONCATENATE("a'(",AD49,")=")</f>
        <v>a'(2)=</v>
      </c>
      <c r="AI49" s="84">
        <f>2*AI47/2*AE50</f>
        <v>14.058000000000002</v>
      </c>
      <c r="AJ49" s="84" t="str">
        <f>CONCATENATE("A(",AD48,")=")</f>
        <v>A(1.5)=</v>
      </c>
      <c r="AK49" s="84">
        <f>VLOOKUP(AD48,STN_TABLE,3,FALSE)</f>
        <v>32.844000000000001</v>
      </c>
      <c r="AL49" t="str">
        <f>CONCATENATE("A(",AD49,")=")</f>
        <v>A(2)=</v>
      </c>
      <c r="AM49">
        <f>AI49+AK49</f>
        <v>46.902000000000001</v>
      </c>
      <c r="AO49" s="68" t="str">
        <f>AA49</f>
        <v>A(2)=</v>
      </c>
      <c r="AP49" s="68" t="e">
        <f>VLOOKUP(AO49,Rise_Results,2,FALSE)</f>
        <v>#N/A</v>
      </c>
      <c r="AQ49" s="76">
        <f>N49</f>
        <v>46.944000000000003</v>
      </c>
      <c r="AR49" s="76">
        <f>IF(OR(AB49&lt;=0,AB50&lt;=0),1/0,AB49)</f>
        <v>46.838999999999999</v>
      </c>
      <c r="AS49" s="76">
        <f>AM49</f>
        <v>46.902000000000001</v>
      </c>
      <c r="AT49">
        <f>IFERROR(AP49,IFERROR(AQ49,IFERROR(AR49,AS49)))</f>
        <v>46.944000000000003</v>
      </c>
      <c r="AU49" s="81"/>
    </row>
    <row r="50" spans="1:47" x14ac:dyDescent="0.25">
      <c r="A50" s="84">
        <f>A49+1</f>
        <v>5</v>
      </c>
      <c r="B50" s="84">
        <f t="shared" si="11"/>
        <v>2</v>
      </c>
      <c r="F50" s="82">
        <f>SUM(F47:F49)</f>
        <v>45.04</v>
      </c>
      <c r="H50" s="82">
        <f>SUM(H47:H49)</f>
        <v>68.2</v>
      </c>
      <c r="I50" s="84" t="str">
        <f>CONCATENATE("m'(",C49,")=")</f>
        <v>m'(2)=</v>
      </c>
      <c r="J50" s="84">
        <f>2*(J47*(WLS))/3*H50</f>
        <v>73.656000000000006</v>
      </c>
      <c r="K50" s="84" t="str">
        <f>CONCATENATE("M(",C47,")=")</f>
        <v>M(1)=</v>
      </c>
      <c r="L50" s="84">
        <f>VLOOKUP(C47,STN_TABLE,4,FALSE)</f>
        <v>19.548000000000002</v>
      </c>
      <c r="M50" t="str">
        <f>CONCATENATE("M(",C49,")=")</f>
        <v>M(2)=</v>
      </c>
      <c r="N50">
        <f>J50+L50</f>
        <v>93.204000000000008</v>
      </c>
      <c r="O50" s="99">
        <f>O49+1</f>
        <v>7</v>
      </c>
      <c r="P50" s="99">
        <f t="shared" si="10"/>
        <v>4</v>
      </c>
      <c r="T50" s="89">
        <f>SUM(T47:T49)</f>
        <v>89.73</v>
      </c>
      <c r="V50" s="82">
        <f>SUM(V47:V49)</f>
        <v>92.289999999999992</v>
      </c>
      <c r="W50" s="84" t="str">
        <f>CONCATENATE("m'(",Q48,")=")</f>
        <v>m'(2)=</v>
      </c>
      <c r="X50" s="84">
        <f>(2*(X47^2)/24*V50)+(X49*Q47*WLS)</f>
        <v>73.372500000000002</v>
      </c>
      <c r="Y50" s="84" t="str">
        <f>CONCATENATE("M(",Q47,")=")</f>
        <v>M(1)=</v>
      </c>
      <c r="Z50" s="84">
        <f>VLOOKUP(Q47,STN_TABLE,4,FALSE)</f>
        <v>19.548000000000002</v>
      </c>
      <c r="AA50" t="str">
        <f>CONCATENATE("M(",Q48,")=")</f>
        <v>M(2)=</v>
      </c>
      <c r="AB50">
        <f>X50+Z50</f>
        <v>92.920500000000004</v>
      </c>
      <c r="AE50" s="89">
        <f>SUM(AE48:AE49)</f>
        <v>15.620000000000001</v>
      </c>
      <c r="AG50" s="89">
        <f>SUM(AG48:AG49)</f>
        <v>23.7</v>
      </c>
      <c r="AH50" s="84" t="str">
        <f>CONCATENATE("m'(",AD49,")=")</f>
        <v>m'(2)=</v>
      </c>
      <c r="AI50" s="84">
        <f>(2*(AI47^2)/6*AG50)+(AI49*AD48*WLS)</f>
        <v>44.35560000000001</v>
      </c>
      <c r="AJ50" s="84" t="str">
        <f>CONCATENATE("M(",AD48,")=")</f>
        <v>M(1.5)=</v>
      </c>
      <c r="AK50" s="84">
        <f>VLOOKUP(AD48,STN_TABLE,4,FALSE)</f>
        <v>48.766050000000007</v>
      </c>
      <c r="AL50" t="str">
        <f>CONCATENATE("M(",AD49,")=")</f>
        <v>M(2)=</v>
      </c>
      <c r="AM50">
        <f>AI50+AK50</f>
        <v>93.121650000000017</v>
      </c>
      <c r="AO50" s="82" t="str">
        <f>AA50</f>
        <v>M(2)=</v>
      </c>
      <c r="AP50" s="82" t="e">
        <f>VLOOKUP(AO50,Rise_Results,2,FALSE)</f>
        <v>#N/A</v>
      </c>
      <c r="AQ50" s="82">
        <f>N50</f>
        <v>93.204000000000008</v>
      </c>
      <c r="AR50" s="82">
        <f>IF(OR(AB49&lt;=0,AB50&lt;=0),1/0,AB50)</f>
        <v>92.920500000000004</v>
      </c>
      <c r="AS50" s="82">
        <f>AM50</f>
        <v>93.121650000000017</v>
      </c>
      <c r="AT50">
        <f>IFERROR(AP50,IFERROR(AQ50,IFERROR(AR50,AS50)))</f>
        <v>93.204000000000008</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6.8</v>
      </c>
      <c r="E52" s="102">
        <v>1</v>
      </c>
      <c r="F52" s="68">
        <f>D52*E52</f>
        <v>6.8</v>
      </c>
      <c r="G52" s="69">
        <f>C52</f>
        <v>1</v>
      </c>
      <c r="H52" s="69">
        <f>F52*G52</f>
        <v>6.8</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8.08</v>
      </c>
      <c r="S52" s="69">
        <v>5</v>
      </c>
      <c r="T52" s="68">
        <f>R52*S52</f>
        <v>40.4</v>
      </c>
      <c r="U52" s="79">
        <v>3</v>
      </c>
      <c r="V52" s="68">
        <f>R52*U52</f>
        <v>24.240000000000002</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8.08</v>
      </c>
      <c r="E53" s="81">
        <v>4</v>
      </c>
      <c r="F53" s="76">
        <f>D53*E53</f>
        <v>32.32</v>
      </c>
      <c r="G53" s="77">
        <f>C53</f>
        <v>2</v>
      </c>
      <c r="H53" s="77">
        <f>F53*G53</f>
        <v>64.64</v>
      </c>
      <c r="I53" s="512" t="s">
        <v>97</v>
      </c>
      <c r="J53" s="513"/>
      <c r="K53" s="78" t="s">
        <v>98</v>
      </c>
      <c r="L53" s="78"/>
      <c r="M53" s="7" t="s">
        <v>99</v>
      </c>
      <c r="N53" s="7"/>
      <c r="O53" s="99">
        <f>O52+1</f>
        <v>6</v>
      </c>
      <c r="P53" s="99">
        <f t="shared" si="10"/>
        <v>3</v>
      </c>
      <c r="Q53" s="76">
        <f>P53</f>
        <v>3</v>
      </c>
      <c r="R53" s="77">
        <f>VLOOKUP(Q53,STN_TABLE,2,FALSE)</f>
        <v>8.91</v>
      </c>
      <c r="S53" s="77">
        <v>8</v>
      </c>
      <c r="T53" s="76">
        <f>R53*S53</f>
        <v>71.28</v>
      </c>
      <c r="U53" s="80">
        <v>10</v>
      </c>
      <c r="V53" s="76">
        <f>R53*U53</f>
        <v>89.1</v>
      </c>
      <c r="W53" s="513" t="s">
        <v>97</v>
      </c>
      <c r="X53" s="513"/>
      <c r="Y53" s="513" t="s">
        <v>98</v>
      </c>
      <c r="Z53" s="513"/>
      <c r="AA53" s="511" t="s">
        <v>99</v>
      </c>
      <c r="AB53" s="511"/>
      <c r="AC53" s="99">
        <f>AC48+1</f>
        <v>5</v>
      </c>
      <c r="AD53" s="95">
        <f>VLOOKUP(AC53,STN_TABLE_2,2,FALSE)</f>
        <v>2</v>
      </c>
      <c r="AE53" s="68">
        <f>VLOOKUP(AD53,STN_TABLE,2,FALSE)</f>
        <v>8.08</v>
      </c>
      <c r="AF53" s="68">
        <v>1</v>
      </c>
      <c r="AG53" s="69">
        <f>AE53*AF53</f>
        <v>8.08</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8.91</v>
      </c>
      <c r="E54" s="92">
        <v>1</v>
      </c>
      <c r="F54" s="82">
        <f>D54*E54</f>
        <v>8.91</v>
      </c>
      <c r="G54" s="83">
        <f>C54</f>
        <v>3</v>
      </c>
      <c r="H54" s="83">
        <f>F54*G54</f>
        <v>26.73</v>
      </c>
      <c r="I54" s="84" t="str">
        <f>CONCATENATE("a'(",C54,")=")</f>
        <v>a'(3)=</v>
      </c>
      <c r="J54" s="84">
        <f>2*J52/3*F55</f>
        <v>57.635999999999996</v>
      </c>
      <c r="K54" s="84" t="str">
        <f>CONCATENATE("A(",C52,")=")</f>
        <v>A(1)=</v>
      </c>
      <c r="L54" s="84">
        <f>VLOOKUP(C52,STN_TABLE,3,FALSE)</f>
        <v>19.920000000000002</v>
      </c>
      <c r="M54" t="str">
        <f>CONCATENATE("A(",C54,")=")</f>
        <v>A(3)=</v>
      </c>
      <c r="N54">
        <f>J54+L54</f>
        <v>77.555999999999997</v>
      </c>
      <c r="O54" s="99">
        <f>O53+1</f>
        <v>7</v>
      </c>
      <c r="P54" s="99">
        <f t="shared" si="10"/>
        <v>4</v>
      </c>
      <c r="Q54" s="82">
        <f>IF(P54-P53=P53-P52,P54,IF(P55-P53=P53-P52,P55,IF(P54-P53=P53-P51,P54,IF(P55-P53=P53-P51,P55,"-"))))</f>
        <v>4</v>
      </c>
      <c r="R54" s="83">
        <f>VLOOKUP(Q54,STN_TABLE,2,FALSE)</f>
        <v>9.64</v>
      </c>
      <c r="S54" s="83">
        <v>-1</v>
      </c>
      <c r="T54" s="82">
        <f>R54*S54</f>
        <v>-9.64</v>
      </c>
      <c r="U54" s="88">
        <v>-1</v>
      </c>
      <c r="V54" s="82">
        <f>R54*U54</f>
        <v>-9.64</v>
      </c>
      <c r="W54" s="84" t="str">
        <f>CONCATENATE("a'(",Q53,")=")</f>
        <v>a'(3)=</v>
      </c>
      <c r="X54" s="84">
        <f>2*X52/12*T55</f>
        <v>30.612000000000002</v>
      </c>
      <c r="Y54" s="84" t="str">
        <f>CONCATENATE("A(",Q52,")=")</f>
        <v>A(2)=</v>
      </c>
      <c r="Z54" s="84">
        <f>VLOOKUP(Q52,STN_TABLE,3,FALSE)</f>
        <v>46.944000000000003</v>
      </c>
      <c r="AA54" t="str">
        <f>CONCATENATE("A(",Q53,")=")</f>
        <v>A(3)=</v>
      </c>
      <c r="AB54">
        <f>X54+Z54</f>
        <v>77.556000000000012</v>
      </c>
      <c r="AC54" s="99">
        <f>AC53+1</f>
        <v>6</v>
      </c>
      <c r="AD54" s="100">
        <f>VLOOKUP(AC54,STN_TABLE_2,2,FALSE)</f>
        <v>3</v>
      </c>
      <c r="AE54" s="82">
        <f>VLOOKUP(AD54,STN_TABLE,2,FALSE)</f>
        <v>8.91</v>
      </c>
      <c r="AF54" s="82">
        <v>2</v>
      </c>
      <c r="AG54" s="83">
        <f>AE54*AF54</f>
        <v>17.82</v>
      </c>
      <c r="AH54" s="84" t="str">
        <f>CONCATENATE("a'(",AD54,")=")</f>
        <v>a'(3)=</v>
      </c>
      <c r="AI54" s="84">
        <f>2*AI52/2*AE55</f>
        <v>30.582000000000004</v>
      </c>
      <c r="AJ54" s="84" t="str">
        <f>CONCATENATE("A(",AD53,")=")</f>
        <v>A(2)=</v>
      </c>
      <c r="AK54" s="84">
        <f>VLOOKUP(AD53,STN_TABLE,3,FALSE)</f>
        <v>46.944000000000003</v>
      </c>
      <c r="AL54" t="str">
        <f>CONCATENATE("A(",AD54,")=")</f>
        <v>A(3)=</v>
      </c>
      <c r="AM54">
        <f>AI54+AK54</f>
        <v>77.52600000000001</v>
      </c>
      <c r="AO54" s="68" t="str">
        <f>AA54</f>
        <v>A(3)=</v>
      </c>
      <c r="AP54" s="68" t="e">
        <f>VLOOKUP(AO54,Rise_Results,2,FALSE)</f>
        <v>#N/A</v>
      </c>
      <c r="AQ54" s="76">
        <f>N54</f>
        <v>77.555999999999997</v>
      </c>
      <c r="AR54" s="76">
        <f>IF(OR(AB54&lt;=0,AB55&lt;=0),1/0,AB54)</f>
        <v>77.556000000000012</v>
      </c>
      <c r="AS54" s="76">
        <f>AM54</f>
        <v>77.52600000000001</v>
      </c>
      <c r="AT54">
        <f>IFERROR(AP54,IFERROR(AQ54,IFERROR(AR54,AS54)))</f>
        <v>77.555999999999997</v>
      </c>
      <c r="AU54" s="81"/>
    </row>
    <row r="55" spans="1:47" x14ac:dyDescent="0.25">
      <c r="A55" s="84">
        <f>A54+1</f>
        <v>6</v>
      </c>
      <c r="B55" s="84">
        <f t="shared" si="11"/>
        <v>3</v>
      </c>
      <c r="F55" s="82">
        <f>SUM(F52:F54)</f>
        <v>48.03</v>
      </c>
      <c r="H55" s="82">
        <f>SUM(H52:H54)</f>
        <v>98.17</v>
      </c>
      <c r="I55" s="84" t="str">
        <f>CONCATENATE("m'(",C54,")=")</f>
        <v>m'(3)=</v>
      </c>
      <c r="J55" s="84">
        <f>2*(J52*(WLS))/3*H55</f>
        <v>212.0472</v>
      </c>
      <c r="K55" s="84" t="str">
        <f>CONCATENATE("M(",C52,")=")</f>
        <v>M(1)=</v>
      </c>
      <c r="L55" s="84">
        <f>VLOOKUP(C52,STN_TABLE,4,FALSE)</f>
        <v>19.548000000000002</v>
      </c>
      <c r="M55" t="str">
        <f>CONCATENATE("M(",C54,")=")</f>
        <v>M(3)=</v>
      </c>
      <c r="N55">
        <f>J55+L55</f>
        <v>231.59520000000001</v>
      </c>
      <c r="O55" s="99">
        <f>O54+1</f>
        <v>8</v>
      </c>
      <c r="P55" s="99">
        <f t="shared" si="10"/>
        <v>5</v>
      </c>
      <c r="T55" s="89">
        <f>SUM(T52:T54)</f>
        <v>102.04</v>
      </c>
      <c r="V55" s="82">
        <f>SUM(V52:V54)</f>
        <v>103.7</v>
      </c>
      <c r="W55" s="84" t="str">
        <f>CONCATENATE("m'(",Q53,")=")</f>
        <v>m'(3)=</v>
      </c>
      <c r="X55" s="84">
        <f>(2*(X52^2)/24*V55)+(X54*Q52*WLS)</f>
        <v>138.2022</v>
      </c>
      <c r="Y55" s="84" t="str">
        <f>CONCATENATE("M(",Q52,")=")</f>
        <v>M(2)=</v>
      </c>
      <c r="Z55" s="84">
        <f>VLOOKUP(Q52,STN_TABLE,4,FALSE)</f>
        <v>93.204000000000008</v>
      </c>
      <c r="AA55" t="str">
        <f>CONCATENATE("M(",Q53,")=")</f>
        <v>M(3)=</v>
      </c>
      <c r="AB55">
        <f>X55+Z55</f>
        <v>231.40620000000001</v>
      </c>
      <c r="AE55" s="89">
        <f>SUM(AE53:AE54)</f>
        <v>16.990000000000002</v>
      </c>
      <c r="AG55" s="89">
        <f>SUM(AG53:AG54)</f>
        <v>25.9</v>
      </c>
      <c r="AH55" s="84" t="str">
        <f>CONCATENATE("m'(",AD54,")=")</f>
        <v>m'(3)=</v>
      </c>
      <c r="AI55" s="84">
        <f>(2*(AI52^2)/6*AG55)+(AI54*AD53*WLS)</f>
        <v>138.06720000000001</v>
      </c>
      <c r="AJ55" s="84" t="str">
        <f>CONCATENATE("M(",AD53,")=")</f>
        <v>M(2)=</v>
      </c>
      <c r="AK55" s="84">
        <f>VLOOKUP(AD53,STN_TABLE,4,FALSE)</f>
        <v>93.204000000000008</v>
      </c>
      <c r="AL55" t="str">
        <f>CONCATENATE("M(",AD54,")=")</f>
        <v>M(3)=</v>
      </c>
      <c r="AM55">
        <f>AI55+AK55</f>
        <v>231.27120000000002</v>
      </c>
      <c r="AO55" s="82" t="str">
        <f>AA55</f>
        <v>M(3)=</v>
      </c>
      <c r="AP55" s="82" t="e">
        <f>VLOOKUP(AO55,Rise_Results,2,FALSE)</f>
        <v>#N/A</v>
      </c>
      <c r="AQ55" s="82">
        <f>N55</f>
        <v>231.59520000000001</v>
      </c>
      <c r="AR55" s="82">
        <f>IF(OR(AB54&lt;=0,AB55&lt;=0),1/0,AB55)</f>
        <v>231.40620000000001</v>
      </c>
      <c r="AS55" s="82">
        <f>AM55</f>
        <v>231.27120000000002</v>
      </c>
      <c r="AT55">
        <f>IFERROR(AP55,IFERROR(AQ55,IFERROR(AR55,AS55)))</f>
        <v>231.59520000000001</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8.08</v>
      </c>
      <c r="E57" s="102">
        <v>1</v>
      </c>
      <c r="F57" s="68">
        <f>D57*E57</f>
        <v>8.08</v>
      </c>
      <c r="G57" s="69">
        <f>C57</f>
        <v>2</v>
      </c>
      <c r="H57" s="69">
        <f>F57*G57</f>
        <v>16.16</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8.91</v>
      </c>
      <c r="S57" s="69">
        <v>5</v>
      </c>
      <c r="T57" s="68">
        <f>R57*S57</f>
        <v>44.55</v>
      </c>
      <c r="U57" s="79">
        <v>3</v>
      </c>
      <c r="V57" s="68">
        <f>R57*U57</f>
        <v>26.73</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8.91</v>
      </c>
      <c r="E58" s="81">
        <v>4</v>
      </c>
      <c r="F58" s="76">
        <f>D58*E58</f>
        <v>35.64</v>
      </c>
      <c r="G58" s="77">
        <f>C58</f>
        <v>3</v>
      </c>
      <c r="H58" s="77">
        <f>F58*G58</f>
        <v>106.92</v>
      </c>
      <c r="I58" s="512" t="s">
        <v>97</v>
      </c>
      <c r="J58" s="513"/>
      <c r="K58" s="78" t="s">
        <v>98</v>
      </c>
      <c r="L58" s="78"/>
      <c r="M58" s="7" t="s">
        <v>99</v>
      </c>
      <c r="N58" s="7"/>
      <c r="O58" s="99">
        <f>O57+1</f>
        <v>7</v>
      </c>
      <c r="P58" s="99">
        <f t="shared" si="10"/>
        <v>4</v>
      </c>
      <c r="Q58" s="76">
        <f>P58</f>
        <v>4</v>
      </c>
      <c r="R58" s="77">
        <f>VLOOKUP(Q58,STN_TABLE,2,FALSE)</f>
        <v>9.64</v>
      </c>
      <c r="S58" s="77">
        <v>8</v>
      </c>
      <c r="T58" s="76">
        <f>R58*S58</f>
        <v>77.12</v>
      </c>
      <c r="U58" s="80">
        <v>10</v>
      </c>
      <c r="V58" s="76">
        <f>R58*U58</f>
        <v>96.4</v>
      </c>
      <c r="W58" s="78" t="s">
        <v>97</v>
      </c>
      <c r="X58" s="78"/>
      <c r="Y58" s="78" t="s">
        <v>98</v>
      </c>
      <c r="Z58" s="78"/>
      <c r="AA58" s="7" t="s">
        <v>99</v>
      </c>
      <c r="AB58" s="7"/>
      <c r="AC58" s="99">
        <f>AC53+1</f>
        <v>6</v>
      </c>
      <c r="AD58" s="95">
        <f>VLOOKUP(AC58,STN_TABLE_2,2,FALSE)</f>
        <v>3</v>
      </c>
      <c r="AE58" s="68">
        <f>VLOOKUP(AD58,STN_TABLE,2,FALSE)</f>
        <v>8.91</v>
      </c>
      <c r="AF58" s="68">
        <v>1</v>
      </c>
      <c r="AG58" s="69">
        <f>AE58*AF58</f>
        <v>8.91</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9.64</v>
      </c>
      <c r="E59" s="92">
        <v>1</v>
      </c>
      <c r="F59" s="82">
        <f>D59*E59</f>
        <v>9.64</v>
      </c>
      <c r="G59" s="83">
        <f>C59</f>
        <v>4</v>
      </c>
      <c r="H59" s="83">
        <f>F59*G59</f>
        <v>38.56</v>
      </c>
      <c r="I59" s="84" t="str">
        <f>CONCATENATE("a'(",C59,")=")</f>
        <v>a'(4)=</v>
      </c>
      <c r="J59" s="84">
        <f>2*J57/3*F60</f>
        <v>64.031999999999996</v>
      </c>
      <c r="K59" s="84" t="str">
        <f>CONCATENATE("A(",C57,")=")</f>
        <v>A(2)=</v>
      </c>
      <c r="L59" s="84">
        <f>VLOOKUP(C57,STN_TABLE,3,FALSE)</f>
        <v>46.944000000000003</v>
      </c>
      <c r="M59" t="str">
        <f>CONCATENATE("A(",C59,")=")</f>
        <v>A(4)=</v>
      </c>
      <c r="N59">
        <f>J59+L59</f>
        <v>110.976</v>
      </c>
      <c r="O59" s="99">
        <f>O58+1</f>
        <v>8</v>
      </c>
      <c r="P59" s="99">
        <f t="shared" si="10"/>
        <v>5</v>
      </c>
      <c r="Q59" s="82">
        <f>IF(P59-P58=P58-P57,P59,IF(P60-P58=P58-P57,P60,IF(P59-P58=P58-P56,P59,IF(P60-P58=P58-P56,P60,"-"))))</f>
        <v>5</v>
      </c>
      <c r="R59" s="83">
        <f>VLOOKUP(Q59,STN_TABLE,2,FALSE)</f>
        <v>10.26</v>
      </c>
      <c r="S59" s="83">
        <v>-1</v>
      </c>
      <c r="T59" s="82">
        <f>R59*S59</f>
        <v>-10.26</v>
      </c>
      <c r="U59" s="88">
        <v>-1</v>
      </c>
      <c r="V59" s="82">
        <f>R59*U59</f>
        <v>-10.26</v>
      </c>
      <c r="W59" s="84" t="str">
        <f>CONCATENATE("a'(",Q58,")=")</f>
        <v>a'(4)=</v>
      </c>
      <c r="X59" s="84">
        <f>2*X57/12*T60</f>
        <v>33.422999999999995</v>
      </c>
      <c r="Y59" s="84" t="str">
        <f>CONCATENATE("A(",Q57,")=")</f>
        <v>A(3)=</v>
      </c>
      <c r="Z59" s="84">
        <f>VLOOKUP(Q57,STN_TABLE,3,FALSE)</f>
        <v>77.555999999999997</v>
      </c>
      <c r="AA59" t="str">
        <f>CONCATENATE("A(",Q58,")=")</f>
        <v>A(4)=</v>
      </c>
      <c r="AB59">
        <f>X59+Z59</f>
        <v>110.97899999999998</v>
      </c>
      <c r="AC59" s="99">
        <f>AC58+1</f>
        <v>7</v>
      </c>
      <c r="AD59" s="100">
        <f>VLOOKUP(AC59,STN_TABLE_2,2,FALSE)</f>
        <v>4</v>
      </c>
      <c r="AE59" s="82">
        <f>VLOOKUP(AD59,STN_TABLE,2,FALSE)</f>
        <v>9.64</v>
      </c>
      <c r="AF59" s="82">
        <v>2</v>
      </c>
      <c r="AG59" s="83">
        <f>AE59*AF59</f>
        <v>19.28</v>
      </c>
      <c r="AH59" s="84" t="str">
        <f>CONCATENATE("a'(",AD59,")=")</f>
        <v>a'(4)=</v>
      </c>
      <c r="AI59" s="84">
        <f>2*AI57/2*AE60</f>
        <v>33.39</v>
      </c>
      <c r="AJ59" s="84" t="str">
        <f>CONCATENATE("A(",AD58,")=")</f>
        <v>A(3)=</v>
      </c>
      <c r="AK59" s="84">
        <f>VLOOKUP(AD58,STN_TABLE,3,FALSE)</f>
        <v>77.555999999999997</v>
      </c>
      <c r="AL59" t="str">
        <f>CONCATENATE("A(",AD59,")=")</f>
        <v>A(4)=</v>
      </c>
      <c r="AM59">
        <f>AI59+AK59</f>
        <v>110.946</v>
      </c>
      <c r="AO59" s="68" t="str">
        <f>AA59</f>
        <v>A(4)=</v>
      </c>
      <c r="AP59" s="68" t="e">
        <f>VLOOKUP(AO59,Rise_Results,2,FALSE)</f>
        <v>#N/A</v>
      </c>
      <c r="AQ59" s="76">
        <f>N59</f>
        <v>110.976</v>
      </c>
      <c r="AR59" s="76">
        <f>IF(OR(AB59&lt;=0,AB60&lt;=0),1/0,AB59)</f>
        <v>110.97899999999998</v>
      </c>
      <c r="AS59" s="76">
        <f>AM59</f>
        <v>110.946</v>
      </c>
      <c r="AT59">
        <f>IFERROR(AP59,IFERROR(AQ59,IFERROR(AR59,AS59)))</f>
        <v>110.976</v>
      </c>
      <c r="AU59" s="81"/>
    </row>
    <row r="60" spans="1:47" x14ac:dyDescent="0.25">
      <c r="A60" s="84">
        <f>A59+1</f>
        <v>7</v>
      </c>
      <c r="B60" s="84">
        <f t="shared" si="11"/>
        <v>4</v>
      </c>
      <c r="F60" s="82">
        <f>SUM(F57:F59)</f>
        <v>53.36</v>
      </c>
      <c r="H60" s="82">
        <f>SUM(H57:H59)</f>
        <v>161.63999999999999</v>
      </c>
      <c r="I60" s="84" t="str">
        <f>CONCATENATE("m'(",C59,")=")</f>
        <v>m'(4)=</v>
      </c>
      <c r="J60" s="84">
        <f>2*(J57*(WLS))/3*H60</f>
        <v>349.14240000000001</v>
      </c>
      <c r="K60" s="84" t="str">
        <f>CONCATENATE("M(",C57,")=")</f>
        <v>M(2)=</v>
      </c>
      <c r="L60" s="84">
        <f>VLOOKUP(C57,STN_TABLE,4,FALSE)</f>
        <v>93.204000000000008</v>
      </c>
      <c r="M60" t="str">
        <f>CONCATENATE("M(",C59,")=")</f>
        <v>M(4)=</v>
      </c>
      <c r="N60">
        <f>J60+L60</f>
        <v>442.34640000000002</v>
      </c>
      <c r="O60" s="99">
        <f>O59+1</f>
        <v>9</v>
      </c>
      <c r="P60" s="99">
        <f t="shared" si="10"/>
        <v>5.6111111111111107</v>
      </c>
      <c r="T60" s="89">
        <f>SUM(T57:T59)</f>
        <v>111.41</v>
      </c>
      <c r="V60" s="82">
        <f>SUM(V57:V59)</f>
        <v>112.87</v>
      </c>
      <c r="W60" s="84" t="str">
        <f>CONCATENATE("m'(",Q58,")=")</f>
        <v>m'(4)=</v>
      </c>
      <c r="X60" s="84">
        <f>(2*(X57^2)/24*V60)+(X59*Q57*WLS)</f>
        <v>210.95909999999995</v>
      </c>
      <c r="Y60" s="84" t="str">
        <f>CONCATENATE("M(",Q57,")=")</f>
        <v>M(3)=</v>
      </c>
      <c r="Z60" s="84">
        <f>VLOOKUP(Q57,STN_TABLE,4,FALSE)</f>
        <v>231.59520000000001</v>
      </c>
      <c r="AA60" t="str">
        <f>CONCATENATE("M(",Q58,")=")</f>
        <v>M(4)=</v>
      </c>
      <c r="AB60">
        <f>X60+Z60</f>
        <v>442.55429999999996</v>
      </c>
      <c r="AE60" s="89">
        <f>SUM(AE58:AE59)</f>
        <v>18.55</v>
      </c>
      <c r="AG60" s="89">
        <f>SUM(AG58:AG59)</f>
        <v>28.19</v>
      </c>
      <c r="AH60" s="84" t="str">
        <f>CONCATENATE("m'(",AD59,")=")</f>
        <v>m'(4)=</v>
      </c>
      <c r="AI60" s="84">
        <f>(2*(AI57^2)/6*AG60)+(AI59*AD58*WLS)</f>
        <v>210.75120000000001</v>
      </c>
      <c r="AJ60" s="84" t="str">
        <f>CONCATENATE("M(",AD58,")=")</f>
        <v>M(3)=</v>
      </c>
      <c r="AK60" s="84">
        <f>VLOOKUP(AD57,STN_TABLE,4,FALSE)</f>
        <v>0</v>
      </c>
      <c r="AL60" t="str">
        <f>CONCATENATE("M(",AD59,")=")</f>
        <v>M(4)=</v>
      </c>
      <c r="AM60">
        <f>AI60+AK60</f>
        <v>210.75120000000001</v>
      </c>
      <c r="AO60" s="82" t="str">
        <f>AA60</f>
        <v>M(4)=</v>
      </c>
      <c r="AP60" s="82" t="e">
        <f>VLOOKUP(AO60,Rise_Results,2,FALSE)</f>
        <v>#N/A</v>
      </c>
      <c r="AQ60" s="82">
        <f>N60</f>
        <v>442.34640000000002</v>
      </c>
      <c r="AR60" s="82">
        <f>IF(OR(AB59&lt;=0,AB60&lt;=0),1/0,AB60)</f>
        <v>442.55429999999996</v>
      </c>
      <c r="AS60" s="82">
        <f>AM60</f>
        <v>210.75120000000001</v>
      </c>
      <c r="AT60">
        <f>IFERROR(AP60,IFERROR(AQ60,IFERROR(AR60,AS60)))</f>
        <v>442.34640000000002</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8.91</v>
      </c>
      <c r="E62" s="102">
        <v>1</v>
      </c>
      <c r="F62" s="68">
        <f>D62*E62</f>
        <v>8.91</v>
      </c>
      <c r="G62" s="69">
        <f>C62</f>
        <v>3</v>
      </c>
      <c r="H62" s="69">
        <f>F62*G62</f>
        <v>26.73</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9.64</v>
      </c>
      <c r="S62" s="69">
        <v>5</v>
      </c>
      <c r="T62" s="68">
        <f>R62*S62</f>
        <v>48.2</v>
      </c>
      <c r="U62" s="79">
        <v>3</v>
      </c>
      <c r="V62" s="68">
        <f>R62*U62</f>
        <v>28.92</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9.64</v>
      </c>
      <c r="E63" s="81">
        <v>4</v>
      </c>
      <c r="F63" s="76">
        <f>D63*E63</f>
        <v>38.56</v>
      </c>
      <c r="G63" s="77">
        <f>C63</f>
        <v>4</v>
      </c>
      <c r="H63" s="77">
        <f>F63*G63</f>
        <v>154.24</v>
      </c>
      <c r="I63" s="512" t="s">
        <v>97</v>
      </c>
      <c r="J63" s="513"/>
      <c r="K63" s="78" t="s">
        <v>98</v>
      </c>
      <c r="L63" s="78"/>
      <c r="M63" s="7" t="s">
        <v>99</v>
      </c>
      <c r="N63" s="7"/>
      <c r="O63" s="99">
        <f>O62+1</f>
        <v>8</v>
      </c>
      <c r="P63" s="99">
        <f t="shared" si="10"/>
        <v>5</v>
      </c>
      <c r="Q63" s="76">
        <f>P63</f>
        <v>5</v>
      </c>
      <c r="R63" s="77">
        <f>VLOOKUP(Q63,STN_TABLE,2,FALSE)</f>
        <v>10.26</v>
      </c>
      <c r="S63" s="77">
        <v>8</v>
      </c>
      <c r="T63" s="76">
        <f>R63*S63</f>
        <v>82.08</v>
      </c>
      <c r="U63" s="80">
        <v>10</v>
      </c>
      <c r="V63" s="76">
        <f>R63*U63</f>
        <v>102.6</v>
      </c>
      <c r="W63" s="513" t="s">
        <v>97</v>
      </c>
      <c r="X63" s="513"/>
      <c r="Y63" s="513" t="s">
        <v>98</v>
      </c>
      <c r="Z63" s="513"/>
      <c r="AA63" s="511" t="s">
        <v>99</v>
      </c>
      <c r="AB63" s="511"/>
      <c r="AC63" s="99">
        <f>AC58+1</f>
        <v>7</v>
      </c>
      <c r="AD63" s="95">
        <f>VLOOKUP(AC63,STN_TABLE_2,2,FALSE)</f>
        <v>4</v>
      </c>
      <c r="AE63" s="68">
        <f>VLOOKUP(AD63,STN_TABLE,2,FALSE)</f>
        <v>9.64</v>
      </c>
      <c r="AF63" s="68">
        <v>1</v>
      </c>
      <c r="AG63" s="69">
        <f>AE63*AF63</f>
        <v>9.64</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10.26</v>
      </c>
      <c r="E64" s="92">
        <v>1</v>
      </c>
      <c r="F64" s="82">
        <f>D64*E64</f>
        <v>10.26</v>
      </c>
      <c r="G64" s="83">
        <f>C64</f>
        <v>5</v>
      </c>
      <c r="H64" s="83">
        <f>F64*G64</f>
        <v>51.3</v>
      </c>
      <c r="I64" s="84" t="str">
        <f>CONCATENATE("a'(",C64,")=")</f>
        <v>a'(5)=</v>
      </c>
      <c r="J64" s="84">
        <f>2*J62/3*F65</f>
        <v>69.275999999999996</v>
      </c>
      <c r="K64" s="84" t="str">
        <f>CONCATENATE("A(",C62,")=")</f>
        <v>A(3)=</v>
      </c>
      <c r="L64" s="84">
        <f>VLOOKUP(C62,STN_TABLE,3,FALSE)</f>
        <v>77.555999999999997</v>
      </c>
      <c r="M64" t="str">
        <f>CONCATENATE("A(",C64,")=")</f>
        <v>A(5)=</v>
      </c>
      <c r="N64">
        <f>J64+L64</f>
        <v>146.83199999999999</v>
      </c>
      <c r="O64" s="99">
        <f>O63+1</f>
        <v>9</v>
      </c>
      <c r="P64" s="99">
        <f t="shared" si="10"/>
        <v>5.6111111111111107</v>
      </c>
      <c r="Q64" s="82">
        <f>IF(P64-P63=P63-P62,P64,IF(P65-P63=P63-P62,P65,IF(P64-P63=P63-P61,P64,IF(P65-P63=P63-P61,P65,"-"))))</f>
        <v>6</v>
      </c>
      <c r="R64" s="83">
        <f>VLOOKUP(Q64,STN_TABLE,2,FALSE)</f>
        <v>10.8</v>
      </c>
      <c r="S64" s="83">
        <v>-1</v>
      </c>
      <c r="T64" s="82">
        <f>R64*S64</f>
        <v>-10.8</v>
      </c>
      <c r="U64" s="88">
        <v>-1</v>
      </c>
      <c r="V64" s="82">
        <f>R64*U64</f>
        <v>-10.8</v>
      </c>
      <c r="W64" s="84" t="str">
        <f>CONCATENATE("a'(",Q63,")=")</f>
        <v>a'(5)=</v>
      </c>
      <c r="X64" s="84">
        <f>2*X62/12*T65</f>
        <v>35.844000000000001</v>
      </c>
      <c r="Y64" s="84" t="str">
        <f>CONCATENATE("A(",Q62,")=")</f>
        <v>A(4)=</v>
      </c>
      <c r="Z64" s="84">
        <f>VLOOKUP(Q62,STN_TABLE,3,FALSE)</f>
        <v>110.976</v>
      </c>
      <c r="AA64" t="str">
        <f>CONCATENATE("A(",Q63,")=")</f>
        <v>A(5)=</v>
      </c>
      <c r="AB64">
        <f>X64+Z64</f>
        <v>146.82</v>
      </c>
      <c r="AC64" s="99">
        <f>AC63+1</f>
        <v>8</v>
      </c>
      <c r="AD64" s="100">
        <f>VLOOKUP(AC64,STN_TABLE_2,2,FALSE)</f>
        <v>5</v>
      </c>
      <c r="AE64" s="82">
        <f>VLOOKUP(AD64,STN_TABLE,2,FALSE)</f>
        <v>10.26</v>
      </c>
      <c r="AF64" s="82">
        <v>2</v>
      </c>
      <c r="AG64" s="83">
        <f>AE64*AF64</f>
        <v>20.52</v>
      </c>
      <c r="AH64" s="84" t="str">
        <f>CONCATENATE("a'(",AD64,")=")</f>
        <v>a'(5)=</v>
      </c>
      <c r="AI64" s="84">
        <f>2*AI62/2*AE65</f>
        <v>35.82</v>
      </c>
      <c r="AJ64" s="84" t="str">
        <f>CONCATENATE("A(",AD63,")=")</f>
        <v>A(4)=</v>
      </c>
      <c r="AK64" s="84">
        <f>VLOOKUP(AD63,STN_TABLE,3,FALSE)</f>
        <v>110.976</v>
      </c>
      <c r="AL64" t="str">
        <f>CONCATENATE("A(",AD64,")=")</f>
        <v>A(5)=</v>
      </c>
      <c r="AM64">
        <f>AI64+AK64</f>
        <v>146.79599999999999</v>
      </c>
      <c r="AO64" s="68" t="str">
        <f>AA64</f>
        <v>A(5)=</v>
      </c>
      <c r="AP64" s="68" t="e">
        <f>VLOOKUP(AO64,Rise_Results,2,FALSE)</f>
        <v>#N/A</v>
      </c>
      <c r="AQ64" s="76">
        <f>N64</f>
        <v>146.83199999999999</v>
      </c>
      <c r="AR64" s="76">
        <f>IF(OR(AB64&lt;=0,AB65&lt;=0),1/0,AB64)</f>
        <v>146.82</v>
      </c>
      <c r="AS64" s="76">
        <f>AM64</f>
        <v>146.79599999999999</v>
      </c>
      <c r="AT64">
        <f>IFERROR(AP64,IFERROR(AQ64,IFERROR(AR64,AS64)))</f>
        <v>146.83199999999999</v>
      </c>
      <c r="AU64" s="81"/>
    </row>
    <row r="65" spans="1:47" x14ac:dyDescent="0.25">
      <c r="A65" s="84">
        <f>A64+1</f>
        <v>8</v>
      </c>
      <c r="B65" s="84">
        <f t="shared" si="11"/>
        <v>5</v>
      </c>
      <c r="F65" s="82">
        <f>SUM(F62:F64)</f>
        <v>57.73</v>
      </c>
      <c r="H65" s="82">
        <f>SUM(H62:H64)</f>
        <v>232.26999999999998</v>
      </c>
      <c r="I65" s="84" t="str">
        <f>CONCATENATE("m'(",C64,")=")</f>
        <v>m'(5)=</v>
      </c>
      <c r="J65" s="84">
        <f>2*(J62*(WLS))/3*H65</f>
        <v>501.70319999999998</v>
      </c>
      <c r="K65" s="84" t="str">
        <f>CONCATENATE("M(",C62,")=")</f>
        <v>M(3)=</v>
      </c>
      <c r="L65" s="84">
        <f>VLOOKUP(C62,STN_TABLE,4,FALSE)</f>
        <v>231.59520000000001</v>
      </c>
      <c r="M65" t="str">
        <f>CONCATENATE("M(",C64,")=")</f>
        <v>M(5)=</v>
      </c>
      <c r="N65">
        <f>J65+L65</f>
        <v>733.29840000000002</v>
      </c>
      <c r="O65" s="99">
        <f>O64+1</f>
        <v>10</v>
      </c>
      <c r="P65" s="99">
        <f t="shared" si="10"/>
        <v>6</v>
      </c>
      <c r="T65" s="89">
        <f>SUM(T62:T64)</f>
        <v>119.48</v>
      </c>
      <c r="V65" s="82">
        <f>SUM(V62:V64)</f>
        <v>120.71999999999998</v>
      </c>
      <c r="W65" s="84" t="str">
        <f>CONCATENATE("m'(",Q63,")=")</f>
        <v>m'(5)=</v>
      </c>
      <c r="X65" s="84">
        <f>(2*(X62^2)/24*V65)+(X64*Q62*WLS)</f>
        <v>290.6712</v>
      </c>
      <c r="Y65" s="84" t="str">
        <f>CONCATENATE("M(",Q62,")=")</f>
        <v>M(4)=</v>
      </c>
      <c r="Z65" s="84">
        <f>VLOOKUP(Q62,STN_TABLE,4,FALSE)</f>
        <v>442.34640000000002</v>
      </c>
      <c r="AA65" t="str">
        <f>CONCATENATE("M(",Q63,")=")</f>
        <v>M(5)=</v>
      </c>
      <c r="AB65">
        <f>X65+Z65</f>
        <v>733.01760000000002</v>
      </c>
      <c r="AE65" s="89">
        <f>SUM(AE63:AE64)</f>
        <v>19.899999999999999</v>
      </c>
      <c r="AG65" s="89">
        <f>SUM(AG63:AG64)</f>
        <v>30.16</v>
      </c>
      <c r="AH65" s="84" t="str">
        <f>CONCATENATE("m'(",AD64,")=")</f>
        <v>m'(5)=</v>
      </c>
      <c r="AI65" s="84">
        <f>(2*(AI62^2)/6*AG65)+(AI64*AD63*WLS)</f>
        <v>290.47680000000003</v>
      </c>
      <c r="AJ65" s="84" t="str">
        <f>CONCATENATE("M(",AD63,")=")</f>
        <v>M(4)=</v>
      </c>
      <c r="AK65" s="84">
        <f>VLOOKUP(AD63,STN_TABLE,4,FALSE)</f>
        <v>442.34640000000002</v>
      </c>
      <c r="AL65" t="str">
        <f>CONCATENATE("M(",AD64,")=")</f>
        <v>M(5)=</v>
      </c>
      <c r="AM65">
        <f>AI65+AK65</f>
        <v>732.82320000000004</v>
      </c>
      <c r="AO65" s="82" t="str">
        <f>AA65</f>
        <v>M(5)=</v>
      </c>
      <c r="AP65" s="82" t="e">
        <f>VLOOKUP(AO65,Rise_Results,2,FALSE)</f>
        <v>#N/A</v>
      </c>
      <c r="AQ65" s="82">
        <f>N65</f>
        <v>733.29840000000002</v>
      </c>
      <c r="AR65" s="82">
        <f>IF(OR(AB64&lt;=0,AB65&lt;=0),1/0,AB65)</f>
        <v>733.01760000000002</v>
      </c>
      <c r="AS65" s="82">
        <f>AM65</f>
        <v>732.82320000000004</v>
      </c>
      <c r="AT65">
        <f>IFERROR(AP65,IFERROR(AQ65,IFERROR(AR65,AS65)))</f>
        <v>733.29840000000002</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10.6</v>
      </c>
      <c r="S68" s="77">
        <v>8</v>
      </c>
      <c r="T68" s="76">
        <f>R68*S68</f>
        <v>84.8</v>
      </c>
      <c r="U68" s="80">
        <v>10</v>
      </c>
      <c r="V68" s="76">
        <f>R68*U68</f>
        <v>106</v>
      </c>
      <c r="W68" s="513" t="s">
        <v>97</v>
      </c>
      <c r="X68" s="513"/>
      <c r="Y68" s="513" t="s">
        <v>98</v>
      </c>
      <c r="Z68" s="513"/>
      <c r="AA68" s="511" t="s">
        <v>99</v>
      </c>
      <c r="AB68" s="511"/>
      <c r="AC68" s="99">
        <f>AC63+1</f>
        <v>8</v>
      </c>
      <c r="AD68" s="95">
        <f>VLOOKUP(AC68,STN_TABLE_2,2,FALSE)</f>
        <v>5</v>
      </c>
      <c r="AE68" s="68">
        <f>VLOOKUP(AD68,STN_TABLE,2,FALSE)</f>
        <v>10.26</v>
      </c>
      <c r="AF68" s="68">
        <v>1</v>
      </c>
      <c r="AG68" s="69">
        <f>AE68*AF68</f>
        <v>10.26</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10.6</v>
      </c>
      <c r="E69" s="92">
        <v>1</v>
      </c>
      <c r="F69" s="82">
        <f>D69*E69</f>
        <v>10.6</v>
      </c>
      <c r="G69" s="83">
        <f>C69</f>
        <v>5.6111111111111107</v>
      </c>
      <c r="H69" s="83">
        <f>F69*G69</f>
        <v>59.477777777777774</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10.6</v>
      </c>
      <c r="AF69" s="82">
        <v>2</v>
      </c>
      <c r="AG69" s="83">
        <f>AE69*AF69</f>
        <v>21.2</v>
      </c>
      <c r="AH69" s="84" t="str">
        <f>CONCATENATE("a'(",AD69,")=")</f>
        <v>a'(5.61111111111111)=</v>
      </c>
      <c r="AI69" s="84">
        <f>2*AI67/2*AE70</f>
        <v>22.945999999999987</v>
      </c>
      <c r="AJ69" s="84" t="str">
        <f>CONCATENATE("A(",AD68,")=")</f>
        <v>A(5)=</v>
      </c>
      <c r="AK69" s="84">
        <f>VLOOKUP(AD68,STN_TABLE,3,FALSE)</f>
        <v>146.83199999999999</v>
      </c>
      <c r="AL69" t="str">
        <f>CONCATENATE("A(",AD69,")=")</f>
        <v>A(5.61111111111111)=</v>
      </c>
      <c r="AM69">
        <f>AI69+AK69</f>
        <v>169.77799999999999</v>
      </c>
      <c r="AO69" s="68" t="str">
        <f>AA69</f>
        <v>A(5.61111111111111)=</v>
      </c>
      <c r="AP69" s="68" t="e">
        <f>VLOOKUP(AO69,Rise_Results,2,FALSE)</f>
        <v>#N/A</v>
      </c>
      <c r="AQ69" s="76" t="e">
        <f>N69</f>
        <v>#N/A</v>
      </c>
      <c r="AR69" s="76" t="e">
        <f>IF(OR(AB69&lt;=0,AB70&lt;=0),1/0,AB69)</f>
        <v>#VALUE!</v>
      </c>
      <c r="AS69" s="76">
        <f>AM69</f>
        <v>169.77799999999999</v>
      </c>
      <c r="AT69">
        <f>IFERROR(AP69,IFERROR(AQ69,IFERROR(AR69,AS69)))</f>
        <v>169.77799999999999</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20.86</v>
      </c>
      <c r="AG70" s="89">
        <f>SUM(AG68:AG69)</f>
        <v>31.46</v>
      </c>
      <c r="AH70" s="84" t="str">
        <f>CONCATENATE("m'(",AD69,")=")</f>
        <v>m'(5.61111111111111)=</v>
      </c>
      <c r="AI70" s="84">
        <f>(2*(AI67^2)/6*AG70)+(AI69*AD68*WLS)</f>
        <v>219.20286666666655</v>
      </c>
      <c r="AJ70" s="84" t="str">
        <f>CONCATENATE("M(",AD68,")=")</f>
        <v>M(5)=</v>
      </c>
      <c r="AK70" s="84">
        <f>VLOOKUP(AD68,STN_TABLE,4,FALSE)</f>
        <v>733.29840000000002</v>
      </c>
      <c r="AL70" t="str">
        <f>CONCATENATE("M(",AD69,")=")</f>
        <v>M(5.61111111111111)=</v>
      </c>
      <c r="AM70">
        <f>AI70+AK70</f>
        <v>952.50126666666654</v>
      </c>
      <c r="AO70" s="82" t="str">
        <f>AA70</f>
        <v>M(5.61111111111111)=</v>
      </c>
      <c r="AP70" s="82" t="e">
        <f>VLOOKUP(AO70,Rise_Results,2,FALSE)</f>
        <v>#N/A</v>
      </c>
      <c r="AQ70" s="82" t="e">
        <f>N70</f>
        <v>#N/A</v>
      </c>
      <c r="AR70" s="82" t="e">
        <f>IF(OR(AB69&lt;=0,AB70&lt;=0),1/0,AB70)</f>
        <v>#VALUE!</v>
      </c>
      <c r="AS70" s="82">
        <f>AM70</f>
        <v>952.50126666666654</v>
      </c>
      <c r="AT70">
        <f>IFERROR(AP70,IFERROR(AQ70,IFERROR(AR70,AS70)))</f>
        <v>952.50126666666654</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9.64</v>
      </c>
      <c r="E72" s="102">
        <v>1</v>
      </c>
      <c r="F72" s="68">
        <f>D72*E72</f>
        <v>9.64</v>
      </c>
      <c r="G72" s="69">
        <f>C72</f>
        <v>4</v>
      </c>
      <c r="H72" s="69">
        <f>F72*G72</f>
        <v>38.56</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10.26</v>
      </c>
      <c r="S72" s="69">
        <v>5</v>
      </c>
      <c r="T72" s="68">
        <f>R72*S72</f>
        <v>51.3</v>
      </c>
      <c r="U72" s="79">
        <v>3</v>
      </c>
      <c r="V72" s="68">
        <f>R72*U72</f>
        <v>30.78</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10.26</v>
      </c>
      <c r="E73" s="81">
        <v>4</v>
      </c>
      <c r="F73" s="76">
        <f>D73*E73</f>
        <v>41.04</v>
      </c>
      <c r="G73" s="77">
        <f>C73</f>
        <v>5</v>
      </c>
      <c r="H73" s="77">
        <f>F73*G73</f>
        <v>205.2</v>
      </c>
      <c r="I73" s="512" t="s">
        <v>97</v>
      </c>
      <c r="J73" s="513"/>
      <c r="K73" s="78" t="s">
        <v>98</v>
      </c>
      <c r="L73" s="78"/>
      <c r="M73" s="7" t="s">
        <v>99</v>
      </c>
      <c r="N73" s="7"/>
      <c r="O73" s="99">
        <f>O72+1</f>
        <v>10</v>
      </c>
      <c r="P73" s="99">
        <f t="shared" si="23"/>
        <v>6</v>
      </c>
      <c r="Q73" s="76">
        <f>P73</f>
        <v>6</v>
      </c>
      <c r="R73" s="77">
        <f>VLOOKUP(Q73,STN_TABLE,2,FALSE)</f>
        <v>10.8</v>
      </c>
      <c r="S73" s="77">
        <v>8</v>
      </c>
      <c r="T73" s="76">
        <f>R73*S73</f>
        <v>86.4</v>
      </c>
      <c r="U73" s="80">
        <v>10</v>
      </c>
      <c r="V73" s="76">
        <f>R73*U73</f>
        <v>108</v>
      </c>
      <c r="W73" s="513" t="s">
        <v>97</v>
      </c>
      <c r="X73" s="513"/>
      <c r="Y73" s="513" t="s">
        <v>98</v>
      </c>
      <c r="Z73" s="513"/>
      <c r="AA73" s="511" t="s">
        <v>99</v>
      </c>
      <c r="AB73" s="511"/>
      <c r="AC73" s="99">
        <f>AC68+1</f>
        <v>9</v>
      </c>
      <c r="AD73" s="95">
        <f>VLOOKUP(AC73,STN_TABLE_2,2,FALSE)</f>
        <v>5.6111111111111107</v>
      </c>
      <c r="AE73" s="68">
        <f>VLOOKUP(AD73,STN_TABLE,2,FALSE)</f>
        <v>10.6</v>
      </c>
      <c r="AF73" s="68">
        <v>1</v>
      </c>
      <c r="AG73" s="69">
        <f>AE73*AF73</f>
        <v>10.6</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10.8</v>
      </c>
      <c r="E74" s="92">
        <v>1</v>
      </c>
      <c r="F74" s="82">
        <f>D74*E74</f>
        <v>10.8</v>
      </c>
      <c r="G74" s="83">
        <f>C74</f>
        <v>6</v>
      </c>
      <c r="H74" s="83">
        <f>F74*G74</f>
        <v>64.800000000000011</v>
      </c>
      <c r="I74" s="84" t="str">
        <f>CONCATENATE("a'(",C74,")=")</f>
        <v>a'(6)=</v>
      </c>
      <c r="J74" s="84">
        <f>2*J72/3*F75</f>
        <v>73.775999999999996</v>
      </c>
      <c r="K74" s="84" t="str">
        <f>CONCATENATE("A(",C72,")=")</f>
        <v>A(4)=</v>
      </c>
      <c r="L74" s="84">
        <f>VLOOKUP(C72,STN_TABLE,3,FALSE)</f>
        <v>110.976</v>
      </c>
      <c r="M74" t="str">
        <f>CONCATENATE("A(",C74,")=")</f>
        <v>A(6)=</v>
      </c>
      <c r="N74">
        <f>J74+L74</f>
        <v>184.75200000000001</v>
      </c>
      <c r="O74" s="99">
        <f>O73+1</f>
        <v>11</v>
      </c>
      <c r="P74" s="99">
        <f t="shared" si="23"/>
        <v>7</v>
      </c>
      <c r="Q74" s="82">
        <f>IF(P74-P73=P73-P72,P74,IF(P75-P73=P73-P72,P75,IF(P74-P73=P73-P71,P74,IF(P75-P73=P73-P71,P75,"-"))))</f>
        <v>7</v>
      </c>
      <c r="R74" s="83">
        <f>VLOOKUP(Q74,STN_TABLE,2,FALSE)</f>
        <v>11.29</v>
      </c>
      <c r="S74" s="83">
        <v>-1</v>
      </c>
      <c r="T74" s="82">
        <f>R74*S74</f>
        <v>-11.29</v>
      </c>
      <c r="U74" s="88">
        <v>-1</v>
      </c>
      <c r="V74" s="82">
        <f>R74*U74</f>
        <v>-11.29</v>
      </c>
      <c r="W74" s="84" t="str">
        <f>CONCATENATE("a'(",Q73,")=")</f>
        <v>a'(6)=</v>
      </c>
      <c r="X74" s="84">
        <f>2*X72/12*T75</f>
        <v>37.922999999999995</v>
      </c>
      <c r="Y74" s="84" t="str">
        <f>CONCATENATE("A(",Q72,")=")</f>
        <v>A(5)=</v>
      </c>
      <c r="Z74" s="84">
        <f>VLOOKUP(Q72,STN_TABLE,3,FALSE)</f>
        <v>146.83199999999999</v>
      </c>
      <c r="AA74" t="str">
        <f>CONCATENATE("A(",Q73,")=")</f>
        <v>A(6)=</v>
      </c>
      <c r="AB74">
        <f>X74+Z74</f>
        <v>184.755</v>
      </c>
      <c r="AC74" s="99">
        <f>AC73+1</f>
        <v>10</v>
      </c>
      <c r="AD74" s="100">
        <f>VLOOKUP(AC74,STN_TABLE_2,2,FALSE)</f>
        <v>6</v>
      </c>
      <c r="AE74" s="82">
        <f>VLOOKUP(AD74,STN_TABLE,2,FALSE)</f>
        <v>10.8</v>
      </c>
      <c r="AF74" s="82">
        <v>2</v>
      </c>
      <c r="AG74" s="83">
        <f>AE74*AF74</f>
        <v>21.6</v>
      </c>
      <c r="AH74" s="84" t="str">
        <f>CONCATENATE("a'(",AD74,")=")</f>
        <v>a'(6)=</v>
      </c>
      <c r="AI74" s="84">
        <f>2*AI72/2*AE75</f>
        <v>14.980000000000015</v>
      </c>
      <c r="AJ74" s="84" t="str">
        <f>CONCATENATE("A(",AD73,")=")</f>
        <v>A(5.61111111111111)=</v>
      </c>
      <c r="AK74" s="84">
        <f>VLOOKUP(AD73,STN_TABLE,3,FALSE)</f>
        <v>169.77799999999999</v>
      </c>
      <c r="AL74" t="str">
        <f>CONCATENATE("A(",AD74,")=")</f>
        <v>A(6)=</v>
      </c>
      <c r="AM74">
        <f>AI74+AK74</f>
        <v>184.75800000000001</v>
      </c>
      <c r="AO74" s="68" t="str">
        <f>AA74</f>
        <v>A(6)=</v>
      </c>
      <c r="AP74" s="68" t="e">
        <f>VLOOKUP(AO74,Rise_Results,2,FALSE)</f>
        <v>#N/A</v>
      </c>
      <c r="AQ74" s="76">
        <f>N74</f>
        <v>184.75200000000001</v>
      </c>
      <c r="AR74" s="76">
        <f>IF(OR(AB74&lt;=0,AB75&lt;=0),1/0,AB74)</f>
        <v>184.755</v>
      </c>
      <c r="AS74" s="76">
        <f>AM74</f>
        <v>184.75800000000001</v>
      </c>
      <c r="AT74">
        <f>IFERROR(AP74,IFERROR(AQ74,IFERROR(AR74,AS74)))</f>
        <v>184.75200000000001</v>
      </c>
      <c r="AU74" s="81"/>
    </row>
    <row r="75" spans="1:47" x14ac:dyDescent="0.25">
      <c r="A75" s="84">
        <f>A74+1</f>
        <v>10</v>
      </c>
      <c r="B75" s="84">
        <f t="shared" si="27"/>
        <v>6</v>
      </c>
      <c r="F75" s="82">
        <f>SUM(F72:F74)</f>
        <v>61.480000000000004</v>
      </c>
      <c r="H75" s="82">
        <f>SUM(H72:H74)</f>
        <v>308.56</v>
      </c>
      <c r="I75" s="84" t="str">
        <f>CONCATENATE("m'(",C74,")=")</f>
        <v>m'(6)=</v>
      </c>
      <c r="J75" s="84">
        <f>2*(J72*(WLS))/3*H75</f>
        <v>666.4896</v>
      </c>
      <c r="K75" s="84" t="str">
        <f>CONCATENATE("M(",C72,")=")</f>
        <v>M(4)=</v>
      </c>
      <c r="L75" s="84">
        <f>VLOOKUP(C72,STN_TABLE,4,FALSE)</f>
        <v>442.34640000000002</v>
      </c>
      <c r="M75" t="str">
        <f>CONCATENATE("M(",C74,")=")</f>
        <v>M(6)=</v>
      </c>
      <c r="N75">
        <f>J75+L75</f>
        <v>1108.836</v>
      </c>
      <c r="O75" s="99">
        <f>O74+1</f>
        <v>12</v>
      </c>
      <c r="P75" s="99">
        <f t="shared" si="23"/>
        <v>7.8833333333333329</v>
      </c>
      <c r="T75" s="89">
        <f>SUM(T72:T74)</f>
        <v>126.41</v>
      </c>
      <c r="V75" s="82">
        <f>SUM(V72:V74)</f>
        <v>127.49000000000001</v>
      </c>
      <c r="W75" s="84" t="str">
        <f>CONCATENATE("m'(",Q73,")=")</f>
        <v>m'(6)=</v>
      </c>
      <c r="X75" s="84">
        <f>(2*(X72^2)/24*V75)+(X74*Q72*WLS)</f>
        <v>375.72929999999997</v>
      </c>
      <c r="Y75" s="84" t="str">
        <f>CONCATENATE("M(",Q72,")=")</f>
        <v>M(5)=</v>
      </c>
      <c r="Z75" s="84">
        <f>VLOOKUP(Q72,STN_TABLE,4,FALSE)</f>
        <v>733.29840000000002</v>
      </c>
      <c r="AA75" t="str">
        <f>CONCATENATE("M(",Q73,")=")</f>
        <v>M(6)=</v>
      </c>
      <c r="AB75">
        <f>X75+Z75</f>
        <v>1109.0277000000001</v>
      </c>
      <c r="AE75" s="89">
        <f>SUM(AE73:AE74)</f>
        <v>21.4</v>
      </c>
      <c r="AG75" s="89">
        <f>SUM(AG73:AG74)</f>
        <v>32.200000000000003</v>
      </c>
      <c r="AH75" s="84" t="str">
        <f>CONCATENATE("m'(",AD74,")=")</f>
        <v>m'(6)=</v>
      </c>
      <c r="AI75" s="84">
        <f>(2*(AI72^2)/6*AG75)+(AI74*AD73*WLS)</f>
        <v>156.5573333333335</v>
      </c>
      <c r="AJ75" s="84" t="str">
        <f>CONCATENATE("M(",AD73,")=")</f>
        <v>M(5.61111111111111)=</v>
      </c>
      <c r="AK75" s="84">
        <f>VLOOKUP(AD73,STN_TABLE,4,FALSE)</f>
        <v>952.50126666666654</v>
      </c>
      <c r="AL75" t="str">
        <f>CONCATENATE("M(",AD74,")=")</f>
        <v>M(6)=</v>
      </c>
      <c r="AM75">
        <f>AI75+AK75</f>
        <v>1109.0586000000001</v>
      </c>
      <c r="AO75" s="82" t="str">
        <f>AA75</f>
        <v>M(6)=</v>
      </c>
      <c r="AP75" s="82" t="e">
        <f>VLOOKUP(AO75,Rise_Results,2,FALSE)</f>
        <v>#N/A</v>
      </c>
      <c r="AQ75" s="82">
        <f>N75</f>
        <v>1108.836</v>
      </c>
      <c r="AR75" s="82">
        <f>IF(OR(AB74&lt;=0,AB75&lt;=0),1/0,AB75)</f>
        <v>1109.0277000000001</v>
      </c>
      <c r="AS75" s="82">
        <f>AM75</f>
        <v>1109.0586000000001</v>
      </c>
      <c r="AT75">
        <f>IFERROR(AP75,IFERROR(AQ75,IFERROR(AR75,AS75)))</f>
        <v>1108.836</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10.26</v>
      </c>
      <c r="E77" s="102">
        <v>1</v>
      </c>
      <c r="F77" s="68">
        <f>D77*E77</f>
        <v>10.26</v>
      </c>
      <c r="G77" s="69">
        <f>C77</f>
        <v>5</v>
      </c>
      <c r="H77" s="69">
        <f>F77*G77</f>
        <v>51.3</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10.8</v>
      </c>
      <c r="E78" s="81">
        <v>4</v>
      </c>
      <c r="F78" s="76">
        <f>D78*E78</f>
        <v>43.2</v>
      </c>
      <c r="G78" s="77">
        <f>C78</f>
        <v>6</v>
      </c>
      <c r="H78" s="77">
        <f>F78*G78</f>
        <v>259.20000000000005</v>
      </c>
      <c r="I78" s="512" t="s">
        <v>97</v>
      </c>
      <c r="J78" s="513"/>
      <c r="K78" s="78" t="s">
        <v>98</v>
      </c>
      <c r="L78" s="78"/>
      <c r="M78" s="7" t="s">
        <v>99</v>
      </c>
      <c r="N78" s="7"/>
      <c r="O78" s="99">
        <f>O77+1</f>
        <v>11</v>
      </c>
      <c r="P78" s="99">
        <f t="shared" si="23"/>
        <v>7</v>
      </c>
      <c r="Q78" s="76">
        <f>P78</f>
        <v>7</v>
      </c>
      <c r="R78" s="77">
        <f>VLOOKUP(Q78,STN_TABLE,2,FALSE)</f>
        <v>11.29</v>
      </c>
      <c r="S78" s="77">
        <v>8</v>
      </c>
      <c r="T78" s="76">
        <f>R78*S78</f>
        <v>90.32</v>
      </c>
      <c r="U78" s="80">
        <v>10</v>
      </c>
      <c r="V78" s="76">
        <f>R78*U78</f>
        <v>112.89999999999999</v>
      </c>
      <c r="W78" s="513" t="s">
        <v>97</v>
      </c>
      <c r="X78" s="513"/>
      <c r="Y78" s="513" t="s">
        <v>98</v>
      </c>
      <c r="Z78" s="513"/>
      <c r="AA78" s="511" t="s">
        <v>99</v>
      </c>
      <c r="AB78" s="511"/>
      <c r="AC78" s="99">
        <f>AC73+1</f>
        <v>10</v>
      </c>
      <c r="AD78" s="95">
        <f>VLOOKUP(AC78,STN_TABLE_2,2,FALSE)</f>
        <v>6</v>
      </c>
      <c r="AE78" s="68">
        <f>VLOOKUP(AD78,STN_TABLE,2,FALSE)</f>
        <v>10.8</v>
      </c>
      <c r="AF78" s="68">
        <v>1</v>
      </c>
      <c r="AG78" s="69">
        <f>AE78*AF78</f>
        <v>10.8</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11.29</v>
      </c>
      <c r="E79" s="92">
        <v>1</v>
      </c>
      <c r="F79" s="82">
        <f>D79*E79</f>
        <v>11.29</v>
      </c>
      <c r="G79" s="83">
        <f>C79</f>
        <v>7</v>
      </c>
      <c r="H79" s="83">
        <f>F79*G79</f>
        <v>79.03</v>
      </c>
      <c r="I79" s="84" t="str">
        <f>CONCATENATE("a'(",C79,")=")</f>
        <v>a'(7)=</v>
      </c>
      <c r="J79" s="84">
        <f>2*J77/3*F80</f>
        <v>77.7</v>
      </c>
      <c r="K79" s="84" t="str">
        <f>CONCATENATE("A(",C77,")=")</f>
        <v>A(5)=</v>
      </c>
      <c r="L79" s="84">
        <f>VLOOKUP(C77,STN_TABLE,3,FALSE)</f>
        <v>146.83199999999999</v>
      </c>
      <c r="M79" t="str">
        <f>CONCATENATE("A(",C79,")=")</f>
        <v>A(7)=</v>
      </c>
      <c r="N79">
        <f>J79+L79</f>
        <v>224.53199999999998</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11.29</v>
      </c>
      <c r="AF79" s="82">
        <v>2</v>
      </c>
      <c r="AG79" s="83">
        <f>AE79*AF79</f>
        <v>22.58</v>
      </c>
      <c r="AH79" s="84" t="str">
        <f>CONCATENATE("a'(",AD79,")=")</f>
        <v>a'(7)=</v>
      </c>
      <c r="AI79" s="84">
        <f>2*AI77/2*AE80</f>
        <v>39.762</v>
      </c>
      <c r="AJ79" s="84" t="str">
        <f>CONCATENATE("A(",AD78,")=")</f>
        <v>A(6)=</v>
      </c>
      <c r="AK79" s="84">
        <f>VLOOKUP(AD78,STN_TABLE,3,FALSE)</f>
        <v>184.75200000000001</v>
      </c>
      <c r="AL79" t="str">
        <f>CONCATENATE("A(",AD79,")=")</f>
        <v>A(7)=</v>
      </c>
      <c r="AM79">
        <f>AI79+AK79</f>
        <v>224.51400000000001</v>
      </c>
      <c r="AO79" s="68" t="str">
        <f>AA79</f>
        <v>A(7)=</v>
      </c>
      <c r="AP79" s="68" t="e">
        <f>VLOOKUP(AO79,Rise_Results,2,FALSE)</f>
        <v>#N/A</v>
      </c>
      <c r="AQ79" s="76">
        <f>N79</f>
        <v>224.53199999999998</v>
      </c>
      <c r="AR79" s="76" t="e">
        <f>IF(OR(AB79&lt;=0,AB80&lt;=0),1/0,AB79)</f>
        <v>#VALUE!</v>
      </c>
      <c r="AS79" s="76">
        <f>AM79</f>
        <v>224.51400000000001</v>
      </c>
      <c r="AT79">
        <f>IFERROR(AP79,IFERROR(AQ79,IFERROR(AR79,AS79)))</f>
        <v>224.53199999999998</v>
      </c>
      <c r="AU79" s="81"/>
    </row>
    <row r="80" spans="1:47" x14ac:dyDescent="0.25">
      <c r="A80" s="84">
        <f>A79+1</f>
        <v>11</v>
      </c>
      <c r="B80" s="84">
        <f t="shared" si="27"/>
        <v>7</v>
      </c>
      <c r="F80" s="82">
        <f>SUM(F77:F79)</f>
        <v>64.75</v>
      </c>
      <c r="H80" s="82">
        <f>SUM(H77:H79)</f>
        <v>389.53000000000009</v>
      </c>
      <c r="I80" s="84" t="str">
        <f>CONCATENATE("m'(",C79,")=")</f>
        <v>m'(7)=</v>
      </c>
      <c r="J80" s="84">
        <f>2*(J77*(WLS))/3*H80</f>
        <v>841.38480000000027</v>
      </c>
      <c r="K80" s="84" t="str">
        <f>CONCATENATE("M(",C77,")=")</f>
        <v>M(5)=</v>
      </c>
      <c r="L80" s="84">
        <f>VLOOKUP(C77,STN_TABLE,4,FALSE)</f>
        <v>733.29840000000002</v>
      </c>
      <c r="M80" t="str">
        <f>CONCATENATE("M(",C79,")=")</f>
        <v>M(7)=</v>
      </c>
      <c r="N80">
        <f>J80+L80</f>
        <v>1574.6832000000004</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22.09</v>
      </c>
      <c r="AG80" s="89">
        <f>SUM(AG78:AG79)</f>
        <v>33.379999999999995</v>
      </c>
      <c r="AH80" s="84" t="str">
        <f>CONCATENATE("m'(",AD79,")=")</f>
        <v>m'(7)=</v>
      </c>
      <c r="AI80" s="84">
        <f>(2*(AI77^2)/6*AG80)+(AI79*AD78*WLS)</f>
        <v>465.48</v>
      </c>
      <c r="AJ80" s="84" t="str">
        <f>CONCATENATE("M(",AD78,")=")</f>
        <v>M(6)=</v>
      </c>
      <c r="AK80" s="84">
        <f>VLOOKUP(AD78,STN_TABLE,4,FALSE)</f>
        <v>1108.836</v>
      </c>
      <c r="AL80" t="str">
        <f>CONCATENATE("M(",AD79,")=")</f>
        <v>M(7)=</v>
      </c>
      <c r="AM80">
        <f>AI80+AK80</f>
        <v>1574.316</v>
      </c>
      <c r="AO80" s="82" t="str">
        <f>AA80</f>
        <v>M(7)=</v>
      </c>
      <c r="AP80" s="82" t="e">
        <f>VLOOKUP(AO80,Rise_Results,2,FALSE)</f>
        <v>#N/A</v>
      </c>
      <c r="AQ80" s="82">
        <f>N80</f>
        <v>1574.6832000000004</v>
      </c>
      <c r="AR80" s="82" t="e">
        <f>IF(OR(AB79&lt;=0,AB80&lt;=0),1/0,AB80)</f>
        <v>#VALUE!</v>
      </c>
      <c r="AS80" s="82">
        <f>AM80</f>
        <v>1574.316</v>
      </c>
      <c r="AT80">
        <f>IFERROR(AP80,IFERROR(AQ80,IFERROR(AR80,AS80)))</f>
        <v>1574.6832000000004</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12.15</v>
      </c>
      <c r="S83" s="77">
        <v>8</v>
      </c>
      <c r="T83" s="76">
        <f>R83*S83</f>
        <v>97.2</v>
      </c>
      <c r="U83" s="80">
        <v>10</v>
      </c>
      <c r="V83" s="76">
        <f>R83*U83</f>
        <v>121.5</v>
      </c>
      <c r="W83" s="513" t="s">
        <v>97</v>
      </c>
      <c r="X83" s="513"/>
      <c r="Y83" s="513" t="s">
        <v>98</v>
      </c>
      <c r="Z83" s="513"/>
      <c r="AA83" s="511" t="s">
        <v>99</v>
      </c>
      <c r="AB83" s="511"/>
      <c r="AC83" s="99">
        <f>AC78+1</f>
        <v>11</v>
      </c>
      <c r="AD83" s="95">
        <f>VLOOKUP(AC83,STN_TABLE_2,2,FALSE)</f>
        <v>7</v>
      </c>
      <c r="AE83" s="68">
        <f>VLOOKUP(AD83,STN_TABLE,2,FALSE)</f>
        <v>11.29</v>
      </c>
      <c r="AF83" s="68">
        <v>1</v>
      </c>
      <c r="AG83" s="69">
        <f>AE83*AF83</f>
        <v>11.29</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12.15</v>
      </c>
      <c r="E84" s="92">
        <v>1</v>
      </c>
      <c r="F84" s="82">
        <f>D84*E84</f>
        <v>12.15</v>
      </c>
      <c r="G84" s="83">
        <f>C84</f>
        <v>7.8833333333333329</v>
      </c>
      <c r="H84" s="83">
        <f>F84*G84</f>
        <v>95.782499999999999</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12.15</v>
      </c>
      <c r="AF84" s="82">
        <v>2</v>
      </c>
      <c r="AG84" s="83">
        <f>AE84*AF84</f>
        <v>24.3</v>
      </c>
      <c r="AH84" s="84" t="str">
        <f>CONCATENATE("a'(",AD84,")=")</f>
        <v>a'(7.88333333333333)=</v>
      </c>
      <c r="AI84" s="84">
        <f>2*AI82/2*AE85</f>
        <v>37.269599999999976</v>
      </c>
      <c r="AJ84" s="84" t="str">
        <f>CONCATENATE("A(",AD83,")=")</f>
        <v>A(7)=</v>
      </c>
      <c r="AK84" s="84">
        <f>VLOOKUP(AD83,STN_TABLE,3,FALSE)</f>
        <v>224.53199999999998</v>
      </c>
      <c r="AL84" t="str">
        <f>CONCATENATE("A(",AD84,")=")</f>
        <v>A(7.88333333333333)=</v>
      </c>
      <c r="AM84">
        <f>AI84+AK84</f>
        <v>261.80159999999995</v>
      </c>
      <c r="AO84" s="68" t="str">
        <f>AA84</f>
        <v>A(7.88333333333333)=</v>
      </c>
      <c r="AP84" s="68" t="e">
        <f>VLOOKUP(AO84,Rise_Results,2,FALSE)</f>
        <v>#N/A</v>
      </c>
      <c r="AQ84" s="76" t="e">
        <f>N84</f>
        <v>#N/A</v>
      </c>
      <c r="AR84" s="76" t="e">
        <f>IF(OR(AB84&lt;=0,AB85&lt;=0),1/0,AB84)</f>
        <v>#VALUE!</v>
      </c>
      <c r="AS84" s="76">
        <f>AM84</f>
        <v>261.80159999999995</v>
      </c>
      <c r="AT84">
        <f>IFERROR(AP84,IFERROR(AQ84,IFERROR(AR84,AS84)))</f>
        <v>261.80159999999995</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23.439999999999998</v>
      </c>
      <c r="AG85" s="89">
        <f>SUM(AG83:AG84)</f>
        <v>35.590000000000003</v>
      </c>
      <c r="AH85" s="84" t="str">
        <f>CONCATENATE("m'(",AD84,")=")</f>
        <v>m'(7.88333333333333)=</v>
      </c>
      <c r="AI85" s="84">
        <f>(2*(AI82^2)/6*AG85)+(AI84*AD83*WLS)</f>
        <v>499.58865299999974</v>
      </c>
      <c r="AJ85" s="84" t="str">
        <f>CONCATENATE("M(",AD83,")=")</f>
        <v>M(7)=</v>
      </c>
      <c r="AK85" s="84">
        <f>VLOOKUP(AD83,STN_TABLE,4,FALSE)</f>
        <v>1574.6832000000004</v>
      </c>
      <c r="AL85" t="str">
        <f>CONCATENATE("M(",AD84,")=")</f>
        <v>M(7.88333333333333)=</v>
      </c>
      <c r="AM85">
        <f>AI85+AK85</f>
        <v>2074.2718530000002</v>
      </c>
      <c r="AO85" s="82" t="str">
        <f>AA85</f>
        <v>M(7.88333333333333)=</v>
      </c>
      <c r="AP85" s="82" t="e">
        <f>VLOOKUP(AO85,Rise_Results,2,FALSE)</f>
        <v>#N/A</v>
      </c>
      <c r="AQ85" s="82" t="e">
        <f>N85</f>
        <v>#N/A</v>
      </c>
      <c r="AR85" s="82" t="e">
        <f>IF(OR(AB84&lt;=0,AB85&lt;=0),1/0,AB85)</f>
        <v>#VALUE!</v>
      </c>
      <c r="AS85" s="82">
        <f>AM85</f>
        <v>2074.2718530000002</v>
      </c>
      <c r="AT85">
        <f>IFERROR(AP85,IFERROR(AQ85,IFERROR(AR85,AS85)))</f>
        <v>2074.2718530000002</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12.15</v>
      </c>
      <c r="AF88" s="68">
        <v>1</v>
      </c>
      <c r="AG88" s="69">
        <f>AE88*AF88</f>
        <v>12.15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261.80159999999995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12.15</v>
      </c>
      <c r="AG90" s="89" t="e">
        <f>SUM(AG88:AG89)</f>
        <v>#VALUE!</v>
      </c>
      <c r="AH90" s="84" t="str">
        <f>CONCATENATE("m'(",AD89,")=")</f>
        <v>m'(  )=</v>
      </c>
      <c r="AI90" s="84" t="e">
        <f>(2*(AI87^2)/6*AG90)+(AI89*AD88*WLS)</f>
        <v>#VALUE!</v>
      </c>
      <c r="AJ90" s="84" t="str">
        <f>CONCATENATE("M(",AD88,")=")</f>
        <v>M(7.88333333333333)=</v>
      </c>
      <c r="AK90" s="84">
        <f>VLOOKUP(AD88,STN_TABLE,4,FALSE)</f>
        <v>2074.2718530000002</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14</v>
      </c>
      <c r="E1" s="511" t="s">
        <v>91</v>
      </c>
      <c r="F1" s="511"/>
      <c r="G1" t="str">
        <f>VLOOKUP(Station_No,RISE_CALC,2,FALSE)</f>
        <v>-</v>
      </c>
      <c r="L1" s="511" t="s">
        <v>92</v>
      </c>
      <c r="M1" s="511"/>
      <c r="N1">
        <v>17</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5.35</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7.29</v>
      </c>
      <c r="D5" s="81">
        <f t="shared" ref="D5:D28" si="4">IFERROR(VLOOKUP(CONCATENATE("A(",B5,")="),RESULT_TABLE,6,FALSE)," ")</f>
        <v>11.537999999999998</v>
      </c>
      <c r="E5" s="77">
        <f t="shared" ref="E5:E28" si="5">IFERROR(VLOOKUP(CONCATENATE("M(",B5,")="),RESULT_TABLE,6,FALSE)," ")</f>
        <v>5.4539999999999997</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8.15</v>
      </c>
      <c r="D6" s="81">
        <f t="shared" si="4"/>
        <v>25.595999999999997</v>
      </c>
      <c r="E6" s="77">
        <f t="shared" si="5"/>
        <v>24.548400000000001</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9.25</v>
      </c>
      <c r="D7" s="81">
        <f t="shared" si="4"/>
        <v>41.021999999999998</v>
      </c>
      <c r="E7" s="77">
        <f t="shared" si="5"/>
        <v>59.583600000000011</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9.75</v>
      </c>
      <c r="D8" s="81">
        <f t="shared" si="4"/>
        <v>58.535999999999994</v>
      </c>
      <c r="E8" s="77">
        <f t="shared" si="5"/>
        <v>114.35040000000001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10.5</v>
      </c>
      <c r="D9" s="81">
        <f t="shared" si="4"/>
        <v>94.775999999999982</v>
      </c>
      <c r="E9" s="77">
        <f t="shared" si="5"/>
        <v>278.67240000000004</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11.06</v>
      </c>
      <c r="D10" s="81">
        <f t="shared" si="4"/>
        <v>133.90799999999999</v>
      </c>
      <c r="E10" s="77">
        <f t="shared" si="5"/>
        <v>524.18880000000001</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11.46</v>
      </c>
      <c r="D11" s="81">
        <f t="shared" si="4"/>
        <v>174.21599999999998</v>
      </c>
      <c r="E11" s="77">
        <f t="shared" si="5"/>
        <v>852.71400000000006</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11.67</v>
      </c>
      <c r="D12" s="81">
        <f t="shared" si="4"/>
        <v>199.65899999999996</v>
      </c>
      <c r="E12" s="77">
        <f t="shared" si="5"/>
        <v>1095.7369999999999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11.79</v>
      </c>
      <c r="D13" s="81">
        <f t="shared" si="4"/>
        <v>216.33599999999998</v>
      </c>
      <c r="E13" s="77">
        <f t="shared" si="5"/>
        <v>1267.6176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12.07</v>
      </c>
      <c r="D14" s="81">
        <f t="shared" si="4"/>
        <v>259.04399999999998</v>
      </c>
      <c r="E14" s="77">
        <f t="shared" si="5"/>
        <v>1770.174</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12.23</v>
      </c>
      <c r="D15" s="81">
        <f t="shared" si="4"/>
        <v>297.68099999999998</v>
      </c>
      <c r="E15" s="77">
        <f t="shared" si="5"/>
        <v>2287.7840309999997</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5.35</v>
      </c>
      <c r="S32" s="69">
        <v>5</v>
      </c>
      <c r="T32" s="68">
        <f>R32*S32</f>
        <v>26.75</v>
      </c>
      <c r="U32" s="79">
        <v>3</v>
      </c>
      <c r="V32" s="68">
        <f>R32*U32</f>
        <v>16.049999999999997</v>
      </c>
      <c r="W32" t="s">
        <v>93</v>
      </c>
      <c r="X32" s="70">
        <f>IF(AND(Q34-Q33=Q33-Q32,NOT(AND(Q32=0,Q33=0)),NOT(AND(Q33=0,Q34=0))),WLS*(Q34-Q33),"#NA")</f>
        <v>0.9</v>
      </c>
      <c r="AD32" s="93"/>
      <c r="AH32" s="6" t="s">
        <v>93</v>
      </c>
      <c r="AI32" s="70">
        <f>WLS*(AD34-AD33)</f>
        <v>0.9</v>
      </c>
    </row>
    <row r="33" spans="1:47" x14ac:dyDescent="0.25">
      <c r="Q33" s="76">
        <f>B5</f>
        <v>0.5</v>
      </c>
      <c r="R33" s="77">
        <f>VLOOKUP(Q33,STN_TABLE,2,FALSE)</f>
        <v>7.29</v>
      </c>
      <c r="S33" s="77">
        <v>8</v>
      </c>
      <c r="T33" s="76">
        <f>R33*S33</f>
        <v>58.32</v>
      </c>
      <c r="U33" s="80">
        <v>10</v>
      </c>
      <c r="V33" s="76">
        <f>R33*U33</f>
        <v>72.900000000000006</v>
      </c>
      <c r="W33" s="512" t="s">
        <v>97</v>
      </c>
      <c r="X33" s="513"/>
      <c r="Y33" s="513" t="s">
        <v>98</v>
      </c>
      <c r="Z33" s="513"/>
      <c r="AA33" s="511" t="s">
        <v>99</v>
      </c>
      <c r="AB33" s="511"/>
      <c r="AC33" s="94">
        <v>1</v>
      </c>
      <c r="AD33" s="95">
        <f>VLOOKUP(AC33,STN_TABLE_2,2,FALSE)</f>
        <v>0</v>
      </c>
      <c r="AE33" s="68">
        <f>VLOOKUP(AD33,STN_TABLE,2,FALSE)</f>
        <v>5.35</v>
      </c>
      <c r="AF33" s="68">
        <v>1</v>
      </c>
      <c r="AG33" s="69">
        <f>AE33*AF33</f>
        <v>5.35</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8.15</v>
      </c>
      <c r="S34" s="83">
        <v>-1</v>
      </c>
      <c r="T34" s="82">
        <f>R34*S34</f>
        <v>-8.15</v>
      </c>
      <c r="U34" s="88">
        <v>-1</v>
      </c>
      <c r="V34" s="82">
        <f>R34*U34</f>
        <v>-8.15</v>
      </c>
      <c r="W34" s="84" t="str">
        <f>CONCATENATE("a'(",Q33,")=")</f>
        <v>a'(0.5)=</v>
      </c>
      <c r="X34" s="84">
        <f>2*X32/12*T35</f>
        <v>11.537999999999998</v>
      </c>
      <c r="Y34" s="84" t="str">
        <f>CONCATENATE("A(",Q32,")=")</f>
        <v>A(0)=</v>
      </c>
      <c r="Z34" s="84">
        <f>VLOOKUP(Q32,STN_TABLE,3,FALSE)</f>
        <v>0</v>
      </c>
      <c r="AA34" t="str">
        <f>CONCATENATE("A(",Q33,")=")</f>
        <v>A(0.5)=</v>
      </c>
      <c r="AB34">
        <f>X34+Z34</f>
        <v>11.537999999999998</v>
      </c>
      <c r="AC34" s="99">
        <f>AC33+1</f>
        <v>2</v>
      </c>
      <c r="AD34" s="100">
        <f>VLOOKUP(AC34,STN_TABLE_2,2,FALSE)</f>
        <v>0.5</v>
      </c>
      <c r="AE34" s="82">
        <f>VLOOKUP(AD34,STN_TABLE,2,FALSE)</f>
        <v>7.29</v>
      </c>
      <c r="AF34" s="82">
        <v>2</v>
      </c>
      <c r="AG34" s="83">
        <f>AE34*AF34</f>
        <v>14.58</v>
      </c>
      <c r="AH34" s="84" t="str">
        <f>CONCATENATE("a'(",AD34,")=")</f>
        <v>a'(0.5)=</v>
      </c>
      <c r="AI34" s="84">
        <f>2*AI32/2*AE35</f>
        <v>11.376000000000001</v>
      </c>
      <c r="AJ34" s="84" t="str">
        <f>CONCATENATE("A(",AD33,")=")</f>
        <v>A(0)=</v>
      </c>
      <c r="AK34" s="84">
        <f>VLOOKUP(AD33,STN_TABLE,3,FALSE)</f>
        <v>0</v>
      </c>
      <c r="AL34" t="str">
        <f>CONCATENATE("A(",AD34,")=")</f>
        <v>A(0.5)=</v>
      </c>
      <c r="AM34">
        <f>AI34+AK34</f>
        <v>11.376000000000001</v>
      </c>
      <c r="AO34" s="68" t="str">
        <f>AA34</f>
        <v>A(0.5)=</v>
      </c>
      <c r="AP34" s="79" t="e">
        <f>VLOOKUP(AO34,Rise_Results,2,FALSE)</f>
        <v>#N/A</v>
      </c>
      <c r="AQ34" s="76" t="s">
        <v>117</v>
      </c>
      <c r="AR34" s="76">
        <f>IF(OR(AB34&lt;=0,AB35&lt;=0),1/0,AB34)</f>
        <v>11.537999999999998</v>
      </c>
      <c r="AS34" s="76">
        <f>AM34</f>
        <v>11.376000000000001</v>
      </c>
      <c r="AT34" s="80">
        <f>IFERROR(AP34,IFERROR(AR34,AS34))</f>
        <v>11.537999999999998</v>
      </c>
    </row>
    <row r="35" spans="1:47" x14ac:dyDescent="0.25">
      <c r="A35" s="101"/>
      <c r="T35" s="89">
        <f>SUM(T32:T34)</f>
        <v>76.919999999999987</v>
      </c>
      <c r="V35" s="82">
        <f>SUM(V32:V34)</f>
        <v>80.8</v>
      </c>
      <c r="W35" s="84" t="str">
        <f>CONCATENATE("m'(",Q33,")=")</f>
        <v>m'(0.5)=</v>
      </c>
      <c r="X35" s="84">
        <f>(2*(X32^2)/24*V35)</f>
        <v>5.4539999999999997</v>
      </c>
      <c r="Y35" s="84" t="str">
        <f>CONCATENATE("M(",Q32,")=")</f>
        <v>M(0)=</v>
      </c>
      <c r="Z35" s="84">
        <f>VLOOKUP(Q32,STN_TABLE,4,FALSE)</f>
        <v>0</v>
      </c>
      <c r="AA35" t="str">
        <f>CONCATENATE("M(",Q33,")=")</f>
        <v>M(0.5)=</v>
      </c>
      <c r="AB35">
        <f>X35+Z35</f>
        <v>5.4539999999999997</v>
      </c>
      <c r="AE35" s="89">
        <f>SUM(AE33:AE34)</f>
        <v>12.64</v>
      </c>
      <c r="AG35" s="89">
        <f>SUM(AG33:AG34)</f>
        <v>19.93</v>
      </c>
      <c r="AH35" s="84" t="str">
        <f>CONCATENATE("m'(",AD34,")=")</f>
        <v>m'(0.5)=</v>
      </c>
      <c r="AI35" s="84">
        <f>(2*(AI32^2)/6*AG35)+(AI34*AD33*WLS)</f>
        <v>5.3811</v>
      </c>
      <c r="AJ35" s="84" t="str">
        <f>CONCATENATE("M(",AD33,")=")</f>
        <v>M(0)=</v>
      </c>
      <c r="AK35" s="84">
        <f>VLOOKUP(AD33,STN_TABLE,4,FALSE)</f>
        <v>0</v>
      </c>
      <c r="AL35" t="str">
        <f>CONCATENATE("M(",AD34,")=")</f>
        <v>M(0.5)=</v>
      </c>
      <c r="AM35">
        <f>AI35+AK35</f>
        <v>5.3811</v>
      </c>
      <c r="AO35" s="82" t="str">
        <f>AA35</f>
        <v>M(0.5)=</v>
      </c>
      <c r="AP35" s="88" t="e">
        <f>VLOOKUP(AO35,Rise_Results,2,FALSE)</f>
        <v>#N/A</v>
      </c>
      <c r="AQ35" s="82" t="s">
        <v>117</v>
      </c>
      <c r="AR35" s="82">
        <f>IF(OR(AB34&lt;=0,AB35&lt;=0),1/0,AB35)</f>
        <v>5.4539999999999997</v>
      </c>
      <c r="AS35" s="82">
        <f>AM35</f>
        <v>5.3811</v>
      </c>
      <c r="AT35" s="80">
        <f>IFERROR(AP35,IFERROR(AR35,AS35))</f>
        <v>5.4539999999999997</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5.35</v>
      </c>
      <c r="E37" s="102">
        <v>1</v>
      </c>
      <c r="F37" s="68">
        <f>D37*E37</f>
        <v>5.35</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7.29</v>
      </c>
      <c r="S37" s="69">
        <v>5</v>
      </c>
      <c r="T37" s="68">
        <f>R37*S37</f>
        <v>36.450000000000003</v>
      </c>
      <c r="U37" s="79">
        <v>3</v>
      </c>
      <c r="V37" s="68">
        <f>R37*U37</f>
        <v>21.87</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7.29</v>
      </c>
      <c r="E38" s="81">
        <v>4</v>
      </c>
      <c r="F38" s="76">
        <f>D38*E38</f>
        <v>29.16</v>
      </c>
      <c r="G38" s="77">
        <f>C38</f>
        <v>0.5</v>
      </c>
      <c r="H38" s="77">
        <f>F38*G38</f>
        <v>14.58</v>
      </c>
      <c r="I38" s="513" t="s">
        <v>97</v>
      </c>
      <c r="J38" s="513"/>
      <c r="K38" s="78" t="s">
        <v>98</v>
      </c>
      <c r="L38" s="78"/>
      <c r="M38" s="7" t="s">
        <v>99</v>
      </c>
      <c r="N38" s="7"/>
      <c r="O38" s="99">
        <f>O37+1</f>
        <v>3</v>
      </c>
      <c r="P38" s="99">
        <f t="shared" si="10"/>
        <v>1</v>
      </c>
      <c r="Q38" s="76">
        <f>P38</f>
        <v>1</v>
      </c>
      <c r="R38" s="77">
        <f>VLOOKUP(Q38,STN_TABLE,2,FALSE)</f>
        <v>8.15</v>
      </c>
      <c r="S38" s="77">
        <v>8</v>
      </c>
      <c r="T38" s="76">
        <f>R38*S38</f>
        <v>65.2</v>
      </c>
      <c r="U38" s="80">
        <v>10</v>
      </c>
      <c r="V38" s="76">
        <f>R38*U38</f>
        <v>81.5</v>
      </c>
      <c r="W38" s="513" t="s">
        <v>97</v>
      </c>
      <c r="X38" s="513"/>
      <c r="Y38" s="513" t="s">
        <v>98</v>
      </c>
      <c r="Z38" s="513"/>
      <c r="AA38" s="511" t="s">
        <v>99</v>
      </c>
      <c r="AB38" s="511"/>
      <c r="AC38" s="99">
        <f>AC33+1</f>
        <v>2</v>
      </c>
      <c r="AD38" s="95">
        <f>VLOOKUP(AC38,STN_TABLE_2,2,FALSE)</f>
        <v>0.5</v>
      </c>
      <c r="AE38" s="68">
        <f>VLOOKUP(AD38,STN_TABLE,2,FALSE)</f>
        <v>7.29</v>
      </c>
      <c r="AF38" s="68">
        <v>1</v>
      </c>
      <c r="AG38" s="69">
        <f>AE38*AF38</f>
        <v>7.29</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8.15</v>
      </c>
      <c r="E39" s="92">
        <v>1</v>
      </c>
      <c r="F39" s="82">
        <f>D39*E39</f>
        <v>8.15</v>
      </c>
      <c r="G39" s="83">
        <f>C39</f>
        <v>1</v>
      </c>
      <c r="H39" s="83">
        <f>F39*G39</f>
        <v>8.15</v>
      </c>
      <c r="I39" s="84" t="str">
        <f>CONCATENATE("a'(",C39,")=")</f>
        <v>a'(1)=</v>
      </c>
      <c r="J39" s="84">
        <f>2*J37/3*F40</f>
        <v>25.595999999999997</v>
      </c>
      <c r="K39" s="84" t="str">
        <f>CONCATENATE("A(",C37,")=")</f>
        <v>A(0)=</v>
      </c>
      <c r="L39" s="84">
        <f>VLOOKUP(C37,STN_TABLE,3,FALSE)</f>
        <v>0</v>
      </c>
      <c r="M39" t="str">
        <f>CONCATENATE("A(",C39,")=")</f>
        <v>A(1)=</v>
      </c>
      <c r="N39">
        <f>J39+L39</f>
        <v>25.595999999999997</v>
      </c>
      <c r="O39" s="99">
        <f>O38+1</f>
        <v>4</v>
      </c>
      <c r="P39" s="99">
        <f t="shared" si="10"/>
        <v>1.5</v>
      </c>
      <c r="Q39" s="82">
        <f>IF(P39-P38=P38-P37,P39,IF(P40-P38=P38-P37,P40,IF(P39-P38=P38-P36,P39,IF(P40-P38=P38-P36,P40,"-"))))</f>
        <v>1.5</v>
      </c>
      <c r="R39" s="83">
        <f>VLOOKUP(Q39,STN_TABLE,2,FALSE)</f>
        <v>9.25</v>
      </c>
      <c r="S39" s="83">
        <v>-1</v>
      </c>
      <c r="T39" s="82">
        <f>R39*S39</f>
        <v>-9.25</v>
      </c>
      <c r="U39" s="88">
        <v>-1</v>
      </c>
      <c r="V39" s="82">
        <f>R39*U39</f>
        <v>-9.25</v>
      </c>
      <c r="W39" s="84" t="str">
        <f>CONCATENATE("a'(",Q38,")=")</f>
        <v>a'(1)=</v>
      </c>
      <c r="X39" s="84">
        <f>2*X37/12*T40</f>
        <v>13.860000000000001</v>
      </c>
      <c r="Y39" s="84" t="str">
        <f>CONCATENATE("A(",Q37,")=")</f>
        <v>A(0.5)=</v>
      </c>
      <c r="Z39" s="84">
        <f>VLOOKUP(Q37,STN_TABLE,3,FALSE)</f>
        <v>11.537999999999998</v>
      </c>
      <c r="AA39" t="str">
        <f>CONCATENATE("A(",Q38,")=")</f>
        <v>A(1)=</v>
      </c>
      <c r="AB39">
        <f>X39+Z39</f>
        <v>25.398</v>
      </c>
      <c r="AC39" s="99">
        <f>AC38+1</f>
        <v>3</v>
      </c>
      <c r="AD39" s="100">
        <f>VLOOKUP(AC39,STN_TABLE_2,2,FALSE)</f>
        <v>1</v>
      </c>
      <c r="AE39" s="82">
        <f>VLOOKUP(AD39,STN_TABLE,2,FALSE)</f>
        <v>8.15</v>
      </c>
      <c r="AF39" s="82">
        <v>2</v>
      </c>
      <c r="AG39" s="83">
        <f>AE39*AF39</f>
        <v>16.3</v>
      </c>
      <c r="AH39" s="84" t="str">
        <f>CONCATENATE("a'(",AD39,")=")</f>
        <v>a'(1)=</v>
      </c>
      <c r="AI39" s="84">
        <f>2*AI37/2*AE40</f>
        <v>13.896000000000001</v>
      </c>
      <c r="AJ39" s="84" t="str">
        <f>CONCATENATE("A(",AD38,")=")</f>
        <v>A(0.5)=</v>
      </c>
      <c r="AK39" s="84">
        <f>VLOOKUP(AD38,STN_TABLE,3,FALSE)</f>
        <v>11.537999999999998</v>
      </c>
      <c r="AL39" t="str">
        <f>CONCATENATE("A(",AD39,")=")</f>
        <v>A(1)=</v>
      </c>
      <c r="AM39">
        <f>AI39+AK39</f>
        <v>25.433999999999997</v>
      </c>
      <c r="AO39" s="68" t="str">
        <f>AA39</f>
        <v>A(1)=</v>
      </c>
      <c r="AP39" s="68" t="e">
        <f>VLOOKUP(AO39,Rise_Results,2,FALSE)</f>
        <v>#N/A</v>
      </c>
      <c r="AQ39" s="76">
        <f>N39</f>
        <v>25.595999999999997</v>
      </c>
      <c r="AR39" s="76">
        <f>IF(OR(AB39&lt;=0,AB40&lt;=0),1/0,AB39)</f>
        <v>25.398</v>
      </c>
      <c r="AS39" s="76">
        <f>AM39</f>
        <v>25.433999999999997</v>
      </c>
      <c r="AT39">
        <f>IFERROR(AP39,IFERROR(AQ39,IFERROR(AR39,AS39)))</f>
        <v>25.595999999999997</v>
      </c>
    </row>
    <row r="40" spans="1:47" x14ac:dyDescent="0.25">
      <c r="A40">
        <v>4</v>
      </c>
      <c r="F40" s="82">
        <f>SUM(F37:F39)</f>
        <v>42.66</v>
      </c>
      <c r="H40" s="82">
        <f>SUM(H37:H39)</f>
        <v>22.73</v>
      </c>
      <c r="I40" s="84" t="str">
        <f>CONCATENATE("m'(",C39,")=")</f>
        <v>m'(1)=</v>
      </c>
      <c r="J40" s="84">
        <f>2*(J37*(WLS))/3*H40</f>
        <v>24.548400000000001</v>
      </c>
      <c r="K40" s="84" t="str">
        <f>CONCATENATE("M(",C37,")=")</f>
        <v>M(0)=</v>
      </c>
      <c r="L40" s="84">
        <f>VLOOKUP(C37,STN_TABLE,4,FALSE)</f>
        <v>0</v>
      </c>
      <c r="M40" t="str">
        <f>CONCATENATE("M(",C39,")=")</f>
        <v>M(1)=</v>
      </c>
      <c r="N40">
        <f>J40+L40</f>
        <v>24.548400000000001</v>
      </c>
      <c r="O40" s="99">
        <f>O39+1</f>
        <v>5</v>
      </c>
      <c r="P40" s="99">
        <f t="shared" si="10"/>
        <v>2</v>
      </c>
      <c r="T40" s="89">
        <f>SUM(T37:T39)</f>
        <v>92.4</v>
      </c>
      <c r="V40" s="82">
        <f>SUM(V37:V39)</f>
        <v>94.12</v>
      </c>
      <c r="W40" s="84" t="str">
        <f>CONCATENATE("m'(",Q38,")=")</f>
        <v>m'(1)=</v>
      </c>
      <c r="X40" s="84">
        <f>(2*(X37^2)/24*V40)+(X39*Q37*WLS)</f>
        <v>18.827100000000002</v>
      </c>
      <c r="Y40" s="84" t="str">
        <f>CONCATENATE("M(",Q37,")=")</f>
        <v>M(0.5)=</v>
      </c>
      <c r="Z40" s="84">
        <f>VLOOKUP(Q37,STN_TABLE,4,FALSE)</f>
        <v>5.4539999999999997</v>
      </c>
      <c r="AA40" t="str">
        <f>CONCATENATE("M(",Q38,")=")</f>
        <v>M(1)=</v>
      </c>
      <c r="AB40">
        <f>X40+Z40</f>
        <v>24.281100000000002</v>
      </c>
      <c r="AE40" s="89">
        <f>SUM(AE38:AE39)</f>
        <v>15.440000000000001</v>
      </c>
      <c r="AG40" s="89">
        <f>SUM(AG38:AG39)</f>
        <v>23.59</v>
      </c>
      <c r="AH40" s="84" t="str">
        <f>CONCATENATE("m'(",AD39,")=")</f>
        <v>m'(1)=</v>
      </c>
      <c r="AI40" s="84">
        <f>(2*(AI37^2)/6*AG40)+(AI39*AD38*WLS)</f>
        <v>18.875700000000002</v>
      </c>
      <c r="AJ40" s="84" t="str">
        <f>CONCATENATE("M(",AD38,")=")</f>
        <v>M(0.5)=</v>
      </c>
      <c r="AK40" s="84">
        <f>VLOOKUP(AD38,STN_TABLE,4,FALSE)</f>
        <v>5.4539999999999997</v>
      </c>
      <c r="AL40" t="str">
        <f>CONCATENATE("M(",AD39,")=")</f>
        <v>M(1)=</v>
      </c>
      <c r="AM40">
        <f>AI40+AK40</f>
        <v>24.329700000000003</v>
      </c>
      <c r="AO40" s="82" t="str">
        <f>AA40</f>
        <v>M(1)=</v>
      </c>
      <c r="AP40" s="82" t="e">
        <f>VLOOKUP(AO40,Rise_Results,2,FALSE)</f>
        <v>#N/A</v>
      </c>
      <c r="AQ40" s="82">
        <f>N40</f>
        <v>24.548400000000001</v>
      </c>
      <c r="AR40" s="82">
        <f>IF(OR(AB39&lt;=0,AB40&lt;=0),1/0,AB40)</f>
        <v>24.281100000000002</v>
      </c>
      <c r="AS40" s="82">
        <f>AM40</f>
        <v>24.329700000000003</v>
      </c>
      <c r="AT40">
        <f>IFERROR(AP40,IFERROR(AQ40,IFERROR(AR40,AS40)))</f>
        <v>24.548400000000001</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7.29</v>
      </c>
      <c r="E42" s="102">
        <v>1</v>
      </c>
      <c r="F42" s="68">
        <f>D42*E42</f>
        <v>7.29</v>
      </c>
      <c r="G42" s="69">
        <f>C42</f>
        <v>0.5</v>
      </c>
      <c r="H42" s="69">
        <f>F42*G42</f>
        <v>3.645</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8.15</v>
      </c>
      <c r="S42" s="69">
        <v>5</v>
      </c>
      <c r="T42" s="68">
        <f>R42*S42</f>
        <v>40.75</v>
      </c>
      <c r="U42" s="79">
        <v>3</v>
      </c>
      <c r="V42" s="68">
        <f>R42*U42</f>
        <v>24.450000000000003</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8.15</v>
      </c>
      <c r="E43" s="81">
        <v>4</v>
      </c>
      <c r="F43" s="76">
        <f>D43*E43</f>
        <v>32.6</v>
      </c>
      <c r="G43" s="77">
        <f>C43</f>
        <v>1</v>
      </c>
      <c r="H43" s="77">
        <f>F43*G43</f>
        <v>32.6</v>
      </c>
      <c r="I43" s="513" t="s">
        <v>97</v>
      </c>
      <c r="J43" s="513"/>
      <c r="K43" s="78" t="s">
        <v>98</v>
      </c>
      <c r="L43" s="78"/>
      <c r="M43" s="7" t="s">
        <v>99</v>
      </c>
      <c r="N43" s="7"/>
      <c r="O43" s="99">
        <f>O42+1</f>
        <v>4</v>
      </c>
      <c r="P43" s="99">
        <f t="shared" si="10"/>
        <v>1.5</v>
      </c>
      <c r="Q43" s="76">
        <f>P43</f>
        <v>1.5</v>
      </c>
      <c r="R43" s="77">
        <f>VLOOKUP(Q43,STN_TABLE,2,FALSE)</f>
        <v>9.25</v>
      </c>
      <c r="S43" s="77">
        <v>8</v>
      </c>
      <c r="T43" s="76">
        <f>R43*S43</f>
        <v>74</v>
      </c>
      <c r="U43" s="80">
        <v>10</v>
      </c>
      <c r="V43" s="76">
        <f>R43*U43</f>
        <v>92.5</v>
      </c>
      <c r="W43" s="513" t="s">
        <v>97</v>
      </c>
      <c r="X43" s="513"/>
      <c r="Y43" s="513" t="s">
        <v>98</v>
      </c>
      <c r="Z43" s="513"/>
      <c r="AA43" s="511" t="s">
        <v>99</v>
      </c>
      <c r="AB43" s="511"/>
      <c r="AC43" s="99">
        <f>AC38+1</f>
        <v>3</v>
      </c>
      <c r="AD43" s="95">
        <f>VLOOKUP(AC43,STN_TABLE_2,2,FALSE)</f>
        <v>1</v>
      </c>
      <c r="AE43" s="68">
        <f>VLOOKUP(AD43,STN_TABLE,2,FALSE)</f>
        <v>8.15</v>
      </c>
      <c r="AF43" s="68">
        <v>1</v>
      </c>
      <c r="AG43" s="69">
        <f>AE43*AF43</f>
        <v>8.15</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9.25</v>
      </c>
      <c r="E44" s="92">
        <v>1</v>
      </c>
      <c r="F44" s="82">
        <f>D44*E44</f>
        <v>9.25</v>
      </c>
      <c r="G44" s="83">
        <f>C44</f>
        <v>1.5</v>
      </c>
      <c r="H44" s="83">
        <f>F44*G44</f>
        <v>13.875</v>
      </c>
      <c r="I44" s="84" t="str">
        <f>CONCATENATE("a'(",C44,")=")</f>
        <v>a'(1.5)=</v>
      </c>
      <c r="J44" s="84">
        <f>2*J42/3*F45</f>
        <v>29.483999999999998</v>
      </c>
      <c r="K44" s="84" t="str">
        <f>CONCATENATE("A(",C42,")=")</f>
        <v>A(0.5)=</v>
      </c>
      <c r="L44" s="84">
        <f>VLOOKUP(C42,STN_TABLE,3,FALSE)</f>
        <v>11.537999999999998</v>
      </c>
      <c r="M44" t="str">
        <f>CONCATENATE("A(",C44,")=")</f>
        <v>A(1.5)=</v>
      </c>
      <c r="N44">
        <f>J44+L44</f>
        <v>41.021999999999998</v>
      </c>
      <c r="O44" s="99">
        <f>O43+1</f>
        <v>5</v>
      </c>
      <c r="P44" s="99">
        <f t="shared" si="10"/>
        <v>2</v>
      </c>
      <c r="Q44" s="82">
        <f>IF(P44-P43=P43-P42,P44,IF(P45-P43=P43-P42,P45,IF(P44-P43=P43-P41,P44,IF(P45-P43=P43-P41,P45,"-"))))</f>
        <v>2</v>
      </c>
      <c r="R44" s="83">
        <f>VLOOKUP(Q44,STN_TABLE,2,FALSE)</f>
        <v>9.75</v>
      </c>
      <c r="S44" s="83">
        <v>-1</v>
      </c>
      <c r="T44" s="82">
        <f>R44*S44</f>
        <v>-9.75</v>
      </c>
      <c r="U44" s="88">
        <v>-1</v>
      </c>
      <c r="V44" s="82">
        <f>R44*U44</f>
        <v>-9.75</v>
      </c>
      <c r="W44" s="84" t="str">
        <f>CONCATENATE("a'(",Q43,")=")</f>
        <v>a'(1.5)=</v>
      </c>
      <c r="X44" s="84">
        <f>2*X42/12*T45</f>
        <v>15.75</v>
      </c>
      <c r="Y44" s="84" t="str">
        <f>CONCATENATE("A(",Q42,")=")</f>
        <v>A(1)=</v>
      </c>
      <c r="Z44" s="84">
        <f>VLOOKUP(Q42,STN_TABLE,3,FALSE)</f>
        <v>25.595999999999997</v>
      </c>
      <c r="AA44" t="str">
        <f>CONCATENATE("A(",Q43,")=")</f>
        <v>A(1.5)=</v>
      </c>
      <c r="AB44">
        <f>X44+Z44</f>
        <v>41.345999999999997</v>
      </c>
      <c r="AC44" s="99">
        <f>AC43+1</f>
        <v>4</v>
      </c>
      <c r="AD44" s="100">
        <f>VLOOKUP(AC44,STN_TABLE_2,2,FALSE)</f>
        <v>1.5</v>
      </c>
      <c r="AE44" s="82">
        <f>VLOOKUP(AD44,STN_TABLE,2,FALSE)</f>
        <v>9.25</v>
      </c>
      <c r="AF44" s="82">
        <v>2</v>
      </c>
      <c r="AG44" s="83">
        <f>AE44*AF44</f>
        <v>18.5</v>
      </c>
      <c r="AH44" s="84" t="str">
        <f>CONCATENATE("a'(",AD44,")=")</f>
        <v>a'(1.5)=</v>
      </c>
      <c r="AI44" s="84">
        <f>2*AI42/2*AE45</f>
        <v>15.659999999999998</v>
      </c>
      <c r="AJ44" s="84" t="str">
        <f>CONCATENATE("A(",AD43,")=")</f>
        <v>A(1)=</v>
      </c>
      <c r="AK44" s="84">
        <f>VLOOKUP(AD43,STN_TABLE,3,FALSE)</f>
        <v>25.595999999999997</v>
      </c>
      <c r="AL44" t="str">
        <f>CONCATENATE("A(",AD44,")=")</f>
        <v>A(1.5)=</v>
      </c>
      <c r="AM44">
        <f>AI44+AK44</f>
        <v>41.255999999999993</v>
      </c>
      <c r="AO44" s="68" t="str">
        <f>AA44</f>
        <v>A(1.5)=</v>
      </c>
      <c r="AP44" s="68" t="e">
        <f>VLOOKUP(AO44,Rise_Results,2,FALSE)</f>
        <v>#N/A</v>
      </c>
      <c r="AQ44" s="76">
        <f>N44</f>
        <v>41.021999999999998</v>
      </c>
      <c r="AR44" s="76">
        <f>IF(OR(AB44&lt;=0,AB45&lt;=0),1/0,AB44)</f>
        <v>41.345999999999997</v>
      </c>
      <c r="AS44" s="76">
        <f>AM44</f>
        <v>41.255999999999993</v>
      </c>
      <c r="AT44">
        <f>IFERROR(AP44,IFERROR(AQ44,IFERROR(AR44,AS44)))</f>
        <v>41.021999999999998</v>
      </c>
      <c r="AU44" s="81"/>
    </row>
    <row r="45" spans="1:47" x14ac:dyDescent="0.25">
      <c r="A45" s="94">
        <f>A44+1</f>
        <v>4</v>
      </c>
      <c r="B45" s="94">
        <f t="shared" si="11"/>
        <v>1.5</v>
      </c>
      <c r="F45" s="82">
        <f>SUM(F42:F44)</f>
        <v>49.14</v>
      </c>
      <c r="H45" s="82">
        <f>SUM(H42:H44)</f>
        <v>50.120000000000005</v>
      </c>
      <c r="I45" s="84" t="str">
        <f>CONCATENATE("m'(",C44,")=")</f>
        <v>m'(1.5)=</v>
      </c>
      <c r="J45" s="84">
        <f>2*(J42*(WLS))/3*H45</f>
        <v>54.129600000000011</v>
      </c>
      <c r="K45" s="84" t="str">
        <f>CONCATENATE("M(",C42,")=")</f>
        <v>M(0.5)=</v>
      </c>
      <c r="L45" s="84">
        <f>VLOOKUP(C42,STN_TABLE,4,FALSE)</f>
        <v>5.4539999999999997</v>
      </c>
      <c r="M45" t="str">
        <f>CONCATENATE("M(",C44,")=")</f>
        <v>M(1.5)=</v>
      </c>
      <c r="N45">
        <f>J45+L45</f>
        <v>59.583600000000011</v>
      </c>
      <c r="O45" s="99">
        <f>O44+1</f>
        <v>6</v>
      </c>
      <c r="P45" s="99">
        <f t="shared" si="10"/>
        <v>3</v>
      </c>
      <c r="T45" s="89">
        <f>SUM(T42:T44)</f>
        <v>105</v>
      </c>
      <c r="V45" s="82">
        <f>SUM(V42:V44)</f>
        <v>107.2</v>
      </c>
      <c r="W45" s="84" t="str">
        <f>CONCATENATE("m'(",Q43,")=")</f>
        <v>m'(1.5)=</v>
      </c>
      <c r="X45" s="84">
        <f>(2*(X42^2)/24*V45)+(X44*Q42*WLS)</f>
        <v>35.585999999999999</v>
      </c>
      <c r="Y45" s="84" t="str">
        <f>CONCATENATE("M(",Q42,")=")</f>
        <v>M(1)=</v>
      </c>
      <c r="Z45" s="84">
        <f>VLOOKUP(Q42,STN_TABLE,4,FALSE)</f>
        <v>24.548400000000001</v>
      </c>
      <c r="AA45" t="str">
        <f>CONCATENATE("M(",Q43,")=")</f>
        <v>M(1.5)=</v>
      </c>
      <c r="AB45">
        <f>X45+Z45</f>
        <v>60.134399999999999</v>
      </c>
      <c r="AE45" s="89">
        <f>SUM(AE43:AE44)</f>
        <v>17.399999999999999</v>
      </c>
      <c r="AG45" s="89">
        <f>SUM(AG43:AG44)</f>
        <v>26.65</v>
      </c>
      <c r="AH45" s="84" t="str">
        <f>CONCATENATE("m'(",AD44,")=")</f>
        <v>m'(1.5)=</v>
      </c>
      <c r="AI45" s="84">
        <f>(2*(AI42^2)/6*AG45)+(AI44*AD43*WLS)</f>
        <v>35.383499999999998</v>
      </c>
      <c r="AJ45" s="84" t="str">
        <f>CONCATENATE("M(",AD43,")=")</f>
        <v>M(1)=</v>
      </c>
      <c r="AK45" s="84">
        <f>VLOOKUP(AD43,STN_TABLE,4,FALSE)</f>
        <v>24.548400000000001</v>
      </c>
      <c r="AL45" t="str">
        <f>CONCATENATE("M(",AD44,")=")</f>
        <v>M(1.5)=</v>
      </c>
      <c r="AM45">
        <f>AI45+AK45</f>
        <v>59.931899999999999</v>
      </c>
      <c r="AO45" s="82" t="str">
        <f>AA45</f>
        <v>M(1.5)=</v>
      </c>
      <c r="AP45" s="82" t="e">
        <f>VLOOKUP(AO45,Rise_Results,2,FALSE)</f>
        <v>#N/A</v>
      </c>
      <c r="AQ45" s="82">
        <f>N45</f>
        <v>59.583600000000011</v>
      </c>
      <c r="AR45" s="82">
        <f>IF(OR(AB44&lt;=0,AB45&lt;=0),1/0,AB45)</f>
        <v>60.134399999999999</v>
      </c>
      <c r="AS45" s="82">
        <f>AM45</f>
        <v>59.931899999999999</v>
      </c>
      <c r="AT45">
        <f>IFERROR(AP45,IFERROR(AQ45,IFERROR(AR45,AS45)))</f>
        <v>59.583600000000011</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8.15</v>
      </c>
      <c r="E47" s="102">
        <v>1</v>
      </c>
      <c r="F47" s="68">
        <f>D47*E47</f>
        <v>8.15</v>
      </c>
      <c r="G47" s="69">
        <f>C47</f>
        <v>1</v>
      </c>
      <c r="H47" s="69">
        <f>F47*G47</f>
        <v>8.15</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8.15</v>
      </c>
      <c r="S47" s="69">
        <v>5</v>
      </c>
      <c r="T47" s="68">
        <f>R47*S47</f>
        <v>40.75</v>
      </c>
      <c r="U47" s="79">
        <v>3</v>
      </c>
      <c r="V47" s="68">
        <f>R47*U47</f>
        <v>24.450000000000003</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9.25</v>
      </c>
      <c r="E48" s="81">
        <v>4</v>
      </c>
      <c r="F48" s="76">
        <f>D48*E48</f>
        <v>37</v>
      </c>
      <c r="G48" s="77">
        <f>C48</f>
        <v>1.5</v>
      </c>
      <c r="H48" s="77">
        <f>F48*G48</f>
        <v>55.5</v>
      </c>
      <c r="I48" s="513" t="s">
        <v>97</v>
      </c>
      <c r="J48" s="513"/>
      <c r="K48" s="78" t="s">
        <v>98</v>
      </c>
      <c r="L48" s="78"/>
      <c r="M48" s="7" t="s">
        <v>99</v>
      </c>
      <c r="N48" s="7"/>
      <c r="O48" s="99">
        <f>O47+1</f>
        <v>5</v>
      </c>
      <c r="P48" s="99">
        <f t="shared" si="10"/>
        <v>2</v>
      </c>
      <c r="Q48" s="76">
        <f>P48</f>
        <v>2</v>
      </c>
      <c r="R48" s="77">
        <f>VLOOKUP(Q48,STN_TABLE,2,FALSE)</f>
        <v>9.75</v>
      </c>
      <c r="S48" s="77">
        <v>8</v>
      </c>
      <c r="T48" s="76">
        <f>R48*S48</f>
        <v>78</v>
      </c>
      <c r="U48" s="80">
        <v>10</v>
      </c>
      <c r="V48" s="76">
        <f>R48*U48</f>
        <v>97.5</v>
      </c>
      <c r="W48" s="513" t="s">
        <v>97</v>
      </c>
      <c r="X48" s="513"/>
      <c r="Y48" s="513" t="s">
        <v>98</v>
      </c>
      <c r="Z48" s="513"/>
      <c r="AA48" s="511" t="s">
        <v>99</v>
      </c>
      <c r="AB48" s="511"/>
      <c r="AC48" s="99">
        <f>AC43+1</f>
        <v>4</v>
      </c>
      <c r="AD48" s="95">
        <f>VLOOKUP(AC48,STN_TABLE_2,2,FALSE)</f>
        <v>1.5</v>
      </c>
      <c r="AE48" s="68">
        <f>VLOOKUP(AD48,STN_TABLE,2,FALSE)</f>
        <v>9.25</v>
      </c>
      <c r="AF48" s="68">
        <v>1</v>
      </c>
      <c r="AG48" s="69">
        <f>AE48*AF48</f>
        <v>9.25</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9.75</v>
      </c>
      <c r="E49" s="92">
        <v>1</v>
      </c>
      <c r="F49" s="82">
        <f>D49*E49</f>
        <v>9.75</v>
      </c>
      <c r="G49" s="83">
        <f>C49</f>
        <v>2</v>
      </c>
      <c r="H49" s="83">
        <f>F49*G49</f>
        <v>19.5</v>
      </c>
      <c r="I49" s="84" t="str">
        <f>CONCATENATE("a'(",C49,")=")</f>
        <v>a'(2)=</v>
      </c>
      <c r="J49" s="84">
        <f>2*J47/3*F50</f>
        <v>32.94</v>
      </c>
      <c r="K49" s="84" t="str">
        <f>CONCATENATE("A(",C47,")=")</f>
        <v>A(1)=</v>
      </c>
      <c r="L49" s="84">
        <f>VLOOKUP(C47,STN_TABLE,3,FALSE)</f>
        <v>25.595999999999997</v>
      </c>
      <c r="M49" t="str">
        <f>CONCATENATE("A(",C49,")=")</f>
        <v>A(2)=</v>
      </c>
      <c r="N49">
        <f>J49+L49</f>
        <v>58.535999999999994</v>
      </c>
      <c r="O49" s="99">
        <f>O48+1</f>
        <v>6</v>
      </c>
      <c r="P49" s="99">
        <f t="shared" si="10"/>
        <v>3</v>
      </c>
      <c r="Q49" s="82">
        <f>IF(P49-P48=P48-P47,P49,IF(P50-P48=P48-P47,P50,IF(P49-P48=P48-P46,P49,IF(P50-P48=P48-P46,P50,"-"))))</f>
        <v>3</v>
      </c>
      <c r="R49" s="83">
        <f>VLOOKUP(Q49,STN_TABLE,2,FALSE)</f>
        <v>10.5</v>
      </c>
      <c r="S49" s="83">
        <v>-1</v>
      </c>
      <c r="T49" s="82">
        <f>R49*S49</f>
        <v>-10.5</v>
      </c>
      <c r="U49" s="88">
        <v>-1</v>
      </c>
      <c r="V49" s="82">
        <f>R49*U49</f>
        <v>-10.5</v>
      </c>
      <c r="W49" s="84" t="str">
        <f>CONCATENATE("a'(",Q48,")=")</f>
        <v>a'(2)=</v>
      </c>
      <c r="X49" s="84">
        <f>2*X47/12*T50</f>
        <v>32.475000000000001</v>
      </c>
      <c r="Y49" s="84" t="str">
        <f>CONCATENATE("A(",Q47,")=")</f>
        <v>A(1)=</v>
      </c>
      <c r="Z49" s="84">
        <f>VLOOKUP(Q47,STN_TABLE,3,FALSE)</f>
        <v>25.595999999999997</v>
      </c>
      <c r="AA49" t="str">
        <f>CONCATENATE("A(",Q48,")=")</f>
        <v>A(2)=</v>
      </c>
      <c r="AB49">
        <f>X49+Z49</f>
        <v>58.070999999999998</v>
      </c>
      <c r="AC49" s="99">
        <f>AC48+1</f>
        <v>5</v>
      </c>
      <c r="AD49" s="100">
        <f>VLOOKUP(AC49,STN_TABLE_2,2,FALSE)</f>
        <v>2</v>
      </c>
      <c r="AE49" s="82">
        <f>VLOOKUP(AD49,STN_TABLE,2,FALSE)</f>
        <v>9.75</v>
      </c>
      <c r="AF49" s="82">
        <v>2</v>
      </c>
      <c r="AG49" s="83">
        <f>AE49*AF49</f>
        <v>19.5</v>
      </c>
      <c r="AH49" s="84" t="str">
        <f>CONCATENATE("a'(",AD49,")=")</f>
        <v>a'(2)=</v>
      </c>
      <c r="AI49" s="84">
        <f>2*AI47/2*AE50</f>
        <v>17.100000000000001</v>
      </c>
      <c r="AJ49" s="84" t="str">
        <f>CONCATENATE("A(",AD48,")=")</f>
        <v>A(1.5)=</v>
      </c>
      <c r="AK49" s="84">
        <f>VLOOKUP(AD48,STN_TABLE,3,FALSE)</f>
        <v>41.021999999999998</v>
      </c>
      <c r="AL49" t="str">
        <f>CONCATENATE("A(",AD49,")=")</f>
        <v>A(2)=</v>
      </c>
      <c r="AM49">
        <f>AI49+AK49</f>
        <v>58.122</v>
      </c>
      <c r="AO49" s="68" t="str">
        <f>AA49</f>
        <v>A(2)=</v>
      </c>
      <c r="AP49" s="68" t="e">
        <f>VLOOKUP(AO49,Rise_Results,2,FALSE)</f>
        <v>#N/A</v>
      </c>
      <c r="AQ49" s="76">
        <f>N49</f>
        <v>58.535999999999994</v>
      </c>
      <c r="AR49" s="76">
        <f>IF(OR(AB49&lt;=0,AB50&lt;=0),1/0,AB49)</f>
        <v>58.070999999999998</v>
      </c>
      <c r="AS49" s="76">
        <f>AM49</f>
        <v>58.122</v>
      </c>
      <c r="AT49">
        <f>IFERROR(AP49,IFERROR(AQ49,IFERROR(AR49,AS49)))</f>
        <v>58.535999999999994</v>
      </c>
      <c r="AU49" s="81"/>
    </row>
    <row r="50" spans="1:47" x14ac:dyDescent="0.25">
      <c r="A50" s="84">
        <f>A49+1</f>
        <v>5</v>
      </c>
      <c r="B50" s="84">
        <f t="shared" si="11"/>
        <v>2</v>
      </c>
      <c r="F50" s="82">
        <f>SUM(F47:F49)</f>
        <v>54.9</v>
      </c>
      <c r="H50" s="82">
        <f>SUM(H47:H49)</f>
        <v>83.15</v>
      </c>
      <c r="I50" s="84" t="str">
        <f>CONCATENATE("m'(",C49,")=")</f>
        <v>m'(2)=</v>
      </c>
      <c r="J50" s="84">
        <f>2*(J47*(WLS))/3*H50</f>
        <v>89.802000000000007</v>
      </c>
      <c r="K50" s="84" t="str">
        <f>CONCATENATE("M(",C47,")=")</f>
        <v>M(1)=</v>
      </c>
      <c r="L50" s="84">
        <f>VLOOKUP(C47,STN_TABLE,4,FALSE)</f>
        <v>24.548400000000001</v>
      </c>
      <c r="M50" t="str">
        <f>CONCATENATE("M(",C49,")=")</f>
        <v>M(2)=</v>
      </c>
      <c r="N50">
        <f>J50+L50</f>
        <v>114.35040000000001</v>
      </c>
      <c r="O50" s="99">
        <f>O49+1</f>
        <v>7</v>
      </c>
      <c r="P50" s="99">
        <f t="shared" si="10"/>
        <v>4</v>
      </c>
      <c r="T50" s="89">
        <f>SUM(T47:T49)</f>
        <v>108.25</v>
      </c>
      <c r="V50" s="82">
        <f>SUM(V47:V49)</f>
        <v>111.45</v>
      </c>
      <c r="W50" s="84" t="str">
        <f>CONCATENATE("m'(",Q48,")=")</f>
        <v>m'(2)=</v>
      </c>
      <c r="X50" s="84">
        <f>(2*(X47^2)/24*V50)+(X49*Q47*WLS)</f>
        <v>88.546500000000009</v>
      </c>
      <c r="Y50" s="84" t="str">
        <f>CONCATENATE("M(",Q47,")=")</f>
        <v>M(1)=</v>
      </c>
      <c r="Z50" s="84">
        <f>VLOOKUP(Q47,STN_TABLE,4,FALSE)</f>
        <v>24.548400000000001</v>
      </c>
      <c r="AA50" t="str">
        <f>CONCATENATE("M(",Q48,")=")</f>
        <v>M(2)=</v>
      </c>
      <c r="AB50">
        <f>X50+Z50</f>
        <v>113.09490000000001</v>
      </c>
      <c r="AE50" s="89">
        <f>SUM(AE48:AE49)</f>
        <v>19</v>
      </c>
      <c r="AG50" s="89">
        <f>SUM(AG48:AG49)</f>
        <v>28.75</v>
      </c>
      <c r="AH50" s="84" t="str">
        <f>CONCATENATE("m'(",AD49,")=")</f>
        <v>m'(2)=</v>
      </c>
      <c r="AI50" s="84">
        <f>(2*(AI47^2)/6*AG50)+(AI49*AD48*WLS)</f>
        <v>53.932500000000005</v>
      </c>
      <c r="AJ50" s="84" t="str">
        <f>CONCATENATE("M(",AD48,")=")</f>
        <v>M(1.5)=</v>
      </c>
      <c r="AK50" s="84">
        <f>VLOOKUP(AD48,STN_TABLE,4,FALSE)</f>
        <v>59.583600000000011</v>
      </c>
      <c r="AL50" t="str">
        <f>CONCATENATE("M(",AD49,")=")</f>
        <v>M(2)=</v>
      </c>
      <c r="AM50">
        <f>AI50+AK50</f>
        <v>113.51610000000002</v>
      </c>
      <c r="AO50" s="82" t="str">
        <f>AA50</f>
        <v>M(2)=</v>
      </c>
      <c r="AP50" s="82" t="e">
        <f>VLOOKUP(AO50,Rise_Results,2,FALSE)</f>
        <v>#N/A</v>
      </c>
      <c r="AQ50" s="82">
        <f>N50</f>
        <v>114.35040000000001</v>
      </c>
      <c r="AR50" s="82">
        <f>IF(OR(AB49&lt;=0,AB50&lt;=0),1/0,AB50)</f>
        <v>113.09490000000001</v>
      </c>
      <c r="AS50" s="82">
        <f>AM50</f>
        <v>113.51610000000002</v>
      </c>
      <c r="AT50">
        <f>IFERROR(AP50,IFERROR(AQ50,IFERROR(AR50,AS50)))</f>
        <v>114.35040000000001</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8.15</v>
      </c>
      <c r="E52" s="102">
        <v>1</v>
      </c>
      <c r="F52" s="68">
        <f>D52*E52</f>
        <v>8.15</v>
      </c>
      <c r="G52" s="69">
        <f>C52</f>
        <v>1</v>
      </c>
      <c r="H52" s="69">
        <f>F52*G52</f>
        <v>8.15</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9.75</v>
      </c>
      <c r="S52" s="69">
        <v>5</v>
      </c>
      <c r="T52" s="68">
        <f>R52*S52</f>
        <v>48.75</v>
      </c>
      <c r="U52" s="79">
        <v>3</v>
      </c>
      <c r="V52" s="68">
        <f>R52*U52</f>
        <v>29.25</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9.75</v>
      </c>
      <c r="E53" s="81">
        <v>4</v>
      </c>
      <c r="F53" s="76">
        <f>D53*E53</f>
        <v>39</v>
      </c>
      <c r="G53" s="77">
        <f>C53</f>
        <v>2</v>
      </c>
      <c r="H53" s="77">
        <f>F53*G53</f>
        <v>78</v>
      </c>
      <c r="I53" s="512" t="s">
        <v>97</v>
      </c>
      <c r="J53" s="513"/>
      <c r="K53" s="78" t="s">
        <v>98</v>
      </c>
      <c r="L53" s="78"/>
      <c r="M53" s="7" t="s">
        <v>99</v>
      </c>
      <c r="N53" s="7"/>
      <c r="O53" s="99">
        <f>O52+1</f>
        <v>6</v>
      </c>
      <c r="P53" s="99">
        <f t="shared" si="10"/>
        <v>3</v>
      </c>
      <c r="Q53" s="76">
        <f>P53</f>
        <v>3</v>
      </c>
      <c r="R53" s="77">
        <f>VLOOKUP(Q53,STN_TABLE,2,FALSE)</f>
        <v>10.5</v>
      </c>
      <c r="S53" s="77">
        <v>8</v>
      </c>
      <c r="T53" s="76">
        <f>R53*S53</f>
        <v>84</v>
      </c>
      <c r="U53" s="80">
        <v>10</v>
      </c>
      <c r="V53" s="76">
        <f>R53*U53</f>
        <v>105</v>
      </c>
      <c r="W53" s="513" t="s">
        <v>97</v>
      </c>
      <c r="X53" s="513"/>
      <c r="Y53" s="513" t="s">
        <v>98</v>
      </c>
      <c r="Z53" s="513"/>
      <c r="AA53" s="511" t="s">
        <v>99</v>
      </c>
      <c r="AB53" s="511"/>
      <c r="AC53" s="99">
        <f>AC48+1</f>
        <v>5</v>
      </c>
      <c r="AD53" s="95">
        <f>VLOOKUP(AC53,STN_TABLE_2,2,FALSE)</f>
        <v>2</v>
      </c>
      <c r="AE53" s="68">
        <f>VLOOKUP(AD53,STN_TABLE,2,FALSE)</f>
        <v>9.75</v>
      </c>
      <c r="AF53" s="68">
        <v>1</v>
      </c>
      <c r="AG53" s="69">
        <f>AE53*AF53</f>
        <v>9.75</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10.5</v>
      </c>
      <c r="E54" s="92">
        <v>1</v>
      </c>
      <c r="F54" s="82">
        <f>D54*E54</f>
        <v>10.5</v>
      </c>
      <c r="G54" s="83">
        <f>C54</f>
        <v>3</v>
      </c>
      <c r="H54" s="83">
        <f>F54*G54</f>
        <v>31.5</v>
      </c>
      <c r="I54" s="84" t="str">
        <f>CONCATENATE("a'(",C54,")=")</f>
        <v>a'(3)=</v>
      </c>
      <c r="J54" s="84">
        <f>2*J52/3*F55</f>
        <v>69.179999999999993</v>
      </c>
      <c r="K54" s="84" t="str">
        <f>CONCATENATE("A(",C52,")=")</f>
        <v>A(1)=</v>
      </c>
      <c r="L54" s="84">
        <f>VLOOKUP(C52,STN_TABLE,3,FALSE)</f>
        <v>25.595999999999997</v>
      </c>
      <c r="M54" t="str">
        <f>CONCATENATE("A(",C54,")=")</f>
        <v>A(3)=</v>
      </c>
      <c r="N54">
        <f>J54+L54</f>
        <v>94.775999999999982</v>
      </c>
      <c r="O54" s="99">
        <f>O53+1</f>
        <v>7</v>
      </c>
      <c r="P54" s="99">
        <f t="shared" si="10"/>
        <v>4</v>
      </c>
      <c r="Q54" s="82">
        <f>IF(P54-P53=P53-P52,P54,IF(P55-P53=P53-P52,P55,IF(P54-P53=P53-P51,P54,IF(P55-P53=P53-P51,P55,"-"))))</f>
        <v>4</v>
      </c>
      <c r="R54" s="83">
        <f>VLOOKUP(Q54,STN_TABLE,2,FALSE)</f>
        <v>11.06</v>
      </c>
      <c r="S54" s="83">
        <v>-1</v>
      </c>
      <c r="T54" s="82">
        <f>R54*S54</f>
        <v>-11.06</v>
      </c>
      <c r="U54" s="88">
        <v>-1</v>
      </c>
      <c r="V54" s="82">
        <f>R54*U54</f>
        <v>-11.06</v>
      </c>
      <c r="W54" s="84" t="str">
        <f>CONCATENATE("a'(",Q53,")=")</f>
        <v>a'(3)=</v>
      </c>
      <c r="X54" s="84">
        <f>2*X52/12*T55</f>
        <v>36.506999999999998</v>
      </c>
      <c r="Y54" s="84" t="str">
        <f>CONCATENATE("A(",Q52,")=")</f>
        <v>A(2)=</v>
      </c>
      <c r="Z54" s="84">
        <f>VLOOKUP(Q52,STN_TABLE,3,FALSE)</f>
        <v>58.535999999999994</v>
      </c>
      <c r="AA54" t="str">
        <f>CONCATENATE("A(",Q53,")=")</f>
        <v>A(3)=</v>
      </c>
      <c r="AB54">
        <f>X54+Z54</f>
        <v>95.042999999999992</v>
      </c>
      <c r="AC54" s="99">
        <f>AC53+1</f>
        <v>6</v>
      </c>
      <c r="AD54" s="100">
        <f>VLOOKUP(AC54,STN_TABLE_2,2,FALSE)</f>
        <v>3</v>
      </c>
      <c r="AE54" s="82">
        <f>VLOOKUP(AD54,STN_TABLE,2,FALSE)</f>
        <v>10.5</v>
      </c>
      <c r="AF54" s="82">
        <v>2</v>
      </c>
      <c r="AG54" s="83">
        <f>AE54*AF54</f>
        <v>21</v>
      </c>
      <c r="AH54" s="84" t="str">
        <f>CONCATENATE("a'(",AD54,")=")</f>
        <v>a'(3)=</v>
      </c>
      <c r="AI54" s="84">
        <f>2*AI52/2*AE55</f>
        <v>36.450000000000003</v>
      </c>
      <c r="AJ54" s="84" t="str">
        <f>CONCATENATE("A(",AD53,")=")</f>
        <v>A(2)=</v>
      </c>
      <c r="AK54" s="84">
        <f>VLOOKUP(AD53,STN_TABLE,3,FALSE)</f>
        <v>58.535999999999994</v>
      </c>
      <c r="AL54" t="str">
        <f>CONCATENATE("A(",AD54,")=")</f>
        <v>A(3)=</v>
      </c>
      <c r="AM54">
        <f>AI54+AK54</f>
        <v>94.98599999999999</v>
      </c>
      <c r="AO54" s="68" t="str">
        <f>AA54</f>
        <v>A(3)=</v>
      </c>
      <c r="AP54" s="68" t="e">
        <f>VLOOKUP(AO54,Rise_Results,2,FALSE)</f>
        <v>#N/A</v>
      </c>
      <c r="AQ54" s="76">
        <f>N54</f>
        <v>94.775999999999982</v>
      </c>
      <c r="AR54" s="76">
        <f>IF(OR(AB54&lt;=0,AB55&lt;=0),1/0,AB54)</f>
        <v>95.042999999999992</v>
      </c>
      <c r="AS54" s="76">
        <f>AM54</f>
        <v>94.98599999999999</v>
      </c>
      <c r="AT54">
        <f>IFERROR(AP54,IFERROR(AQ54,IFERROR(AR54,AS54)))</f>
        <v>94.775999999999982</v>
      </c>
      <c r="AU54" s="81"/>
    </row>
    <row r="55" spans="1:47" x14ac:dyDescent="0.25">
      <c r="A55" s="84">
        <f>A54+1</f>
        <v>6</v>
      </c>
      <c r="B55" s="84">
        <f t="shared" si="11"/>
        <v>3</v>
      </c>
      <c r="F55" s="82">
        <f>SUM(F52:F54)</f>
        <v>57.65</v>
      </c>
      <c r="H55" s="82">
        <f>SUM(H52:H54)</f>
        <v>117.65</v>
      </c>
      <c r="I55" s="84" t="str">
        <f>CONCATENATE("m'(",C54,")=")</f>
        <v>m'(3)=</v>
      </c>
      <c r="J55" s="84">
        <f>2*(J52*(WLS))/3*H55</f>
        <v>254.12400000000002</v>
      </c>
      <c r="K55" s="84" t="str">
        <f>CONCATENATE("M(",C52,")=")</f>
        <v>M(1)=</v>
      </c>
      <c r="L55" s="84">
        <f>VLOOKUP(C52,STN_TABLE,4,FALSE)</f>
        <v>24.548400000000001</v>
      </c>
      <c r="M55" t="str">
        <f>CONCATENATE("M(",C54,")=")</f>
        <v>M(3)=</v>
      </c>
      <c r="N55">
        <f>J55+L55</f>
        <v>278.67240000000004</v>
      </c>
      <c r="O55" s="99">
        <f>O54+1</f>
        <v>8</v>
      </c>
      <c r="P55" s="99">
        <f t="shared" si="10"/>
        <v>5</v>
      </c>
      <c r="T55" s="89">
        <f>SUM(T52:T54)</f>
        <v>121.69</v>
      </c>
      <c r="V55" s="82">
        <f>SUM(V52:V54)</f>
        <v>123.19</v>
      </c>
      <c r="W55" s="84" t="str">
        <f>CONCATENATE("m'(",Q53,")=")</f>
        <v>m'(3)=</v>
      </c>
      <c r="X55" s="84">
        <f>(2*(X52^2)/24*V55)+(X54*Q52*WLS)</f>
        <v>164.6865</v>
      </c>
      <c r="Y55" s="84" t="str">
        <f>CONCATENATE("M(",Q52,")=")</f>
        <v>M(2)=</v>
      </c>
      <c r="Z55" s="84">
        <f>VLOOKUP(Q52,STN_TABLE,4,FALSE)</f>
        <v>114.35040000000001</v>
      </c>
      <c r="AA55" t="str">
        <f>CONCATENATE("M(",Q53,")=")</f>
        <v>M(3)=</v>
      </c>
      <c r="AB55">
        <f>X55+Z55</f>
        <v>279.0369</v>
      </c>
      <c r="AE55" s="89">
        <f>SUM(AE53:AE54)</f>
        <v>20.25</v>
      </c>
      <c r="AG55" s="89">
        <f>SUM(AG53:AG54)</f>
        <v>30.75</v>
      </c>
      <c r="AH55" s="84" t="str">
        <f>CONCATENATE("m'(",AD54,")=")</f>
        <v>m'(3)=</v>
      </c>
      <c r="AI55" s="84">
        <f>(2*(AI52^2)/6*AG55)+(AI54*AD53*WLS)</f>
        <v>164.43000000000004</v>
      </c>
      <c r="AJ55" s="84" t="str">
        <f>CONCATENATE("M(",AD53,")=")</f>
        <v>M(2)=</v>
      </c>
      <c r="AK55" s="84">
        <f>VLOOKUP(AD53,STN_TABLE,4,FALSE)</f>
        <v>114.35040000000001</v>
      </c>
      <c r="AL55" t="str">
        <f>CONCATENATE("M(",AD54,")=")</f>
        <v>M(3)=</v>
      </c>
      <c r="AM55">
        <f>AI55+AK55</f>
        <v>278.78040000000004</v>
      </c>
      <c r="AO55" s="82" t="str">
        <f>AA55</f>
        <v>M(3)=</v>
      </c>
      <c r="AP55" s="82" t="e">
        <f>VLOOKUP(AO55,Rise_Results,2,FALSE)</f>
        <v>#N/A</v>
      </c>
      <c r="AQ55" s="82">
        <f>N55</f>
        <v>278.67240000000004</v>
      </c>
      <c r="AR55" s="82">
        <f>IF(OR(AB54&lt;=0,AB55&lt;=0),1/0,AB55)</f>
        <v>279.0369</v>
      </c>
      <c r="AS55" s="82">
        <f>AM55</f>
        <v>278.78040000000004</v>
      </c>
      <c r="AT55">
        <f>IFERROR(AP55,IFERROR(AQ55,IFERROR(AR55,AS55)))</f>
        <v>278.67240000000004</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9.75</v>
      </c>
      <c r="E57" s="102">
        <v>1</v>
      </c>
      <c r="F57" s="68">
        <f>D57*E57</f>
        <v>9.75</v>
      </c>
      <c r="G57" s="69">
        <f>C57</f>
        <v>2</v>
      </c>
      <c r="H57" s="69">
        <f>F57*G57</f>
        <v>19.5</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10.5</v>
      </c>
      <c r="S57" s="69">
        <v>5</v>
      </c>
      <c r="T57" s="68">
        <f>R57*S57</f>
        <v>52.5</v>
      </c>
      <c r="U57" s="79">
        <v>3</v>
      </c>
      <c r="V57" s="68">
        <f>R57*U57</f>
        <v>31.5</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10.5</v>
      </c>
      <c r="E58" s="81">
        <v>4</v>
      </c>
      <c r="F58" s="76">
        <f>D58*E58</f>
        <v>42</v>
      </c>
      <c r="G58" s="77">
        <f>C58</f>
        <v>3</v>
      </c>
      <c r="H58" s="77">
        <f>F58*G58</f>
        <v>126</v>
      </c>
      <c r="I58" s="512" t="s">
        <v>97</v>
      </c>
      <c r="J58" s="513"/>
      <c r="K58" s="78" t="s">
        <v>98</v>
      </c>
      <c r="L58" s="78"/>
      <c r="M58" s="7" t="s">
        <v>99</v>
      </c>
      <c r="N58" s="7"/>
      <c r="O58" s="99">
        <f>O57+1</f>
        <v>7</v>
      </c>
      <c r="P58" s="99">
        <f t="shared" si="10"/>
        <v>4</v>
      </c>
      <c r="Q58" s="76">
        <f>P58</f>
        <v>4</v>
      </c>
      <c r="R58" s="77">
        <f>VLOOKUP(Q58,STN_TABLE,2,FALSE)</f>
        <v>11.06</v>
      </c>
      <c r="S58" s="77">
        <v>8</v>
      </c>
      <c r="T58" s="76">
        <f>R58*S58</f>
        <v>88.48</v>
      </c>
      <c r="U58" s="80">
        <v>10</v>
      </c>
      <c r="V58" s="76">
        <f>R58*U58</f>
        <v>110.60000000000001</v>
      </c>
      <c r="W58" s="78" t="s">
        <v>97</v>
      </c>
      <c r="X58" s="78"/>
      <c r="Y58" s="78" t="s">
        <v>98</v>
      </c>
      <c r="Z58" s="78"/>
      <c r="AA58" s="7" t="s">
        <v>99</v>
      </c>
      <c r="AB58" s="7"/>
      <c r="AC58" s="99">
        <f>AC53+1</f>
        <v>6</v>
      </c>
      <c r="AD58" s="95">
        <f>VLOOKUP(AC58,STN_TABLE_2,2,FALSE)</f>
        <v>3</v>
      </c>
      <c r="AE58" s="68">
        <f>VLOOKUP(AD58,STN_TABLE,2,FALSE)</f>
        <v>10.5</v>
      </c>
      <c r="AF58" s="68">
        <v>1</v>
      </c>
      <c r="AG58" s="69">
        <f>AE58*AF58</f>
        <v>10.5</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11.06</v>
      </c>
      <c r="E59" s="92">
        <v>1</v>
      </c>
      <c r="F59" s="82">
        <f>D59*E59</f>
        <v>11.06</v>
      </c>
      <c r="G59" s="83">
        <f>C59</f>
        <v>4</v>
      </c>
      <c r="H59" s="83">
        <f>F59*G59</f>
        <v>44.24</v>
      </c>
      <c r="I59" s="84" t="str">
        <f>CONCATENATE("a'(",C59,")=")</f>
        <v>a'(4)=</v>
      </c>
      <c r="J59" s="84">
        <f>2*J57/3*F60</f>
        <v>75.372</v>
      </c>
      <c r="K59" s="84" t="str">
        <f>CONCATENATE("A(",C57,")=")</f>
        <v>A(2)=</v>
      </c>
      <c r="L59" s="84">
        <f>VLOOKUP(C57,STN_TABLE,3,FALSE)</f>
        <v>58.535999999999994</v>
      </c>
      <c r="M59" t="str">
        <f>CONCATENATE("A(",C59,")=")</f>
        <v>A(4)=</v>
      </c>
      <c r="N59">
        <f>J59+L59</f>
        <v>133.90799999999999</v>
      </c>
      <c r="O59" s="99">
        <f>O58+1</f>
        <v>8</v>
      </c>
      <c r="P59" s="99">
        <f t="shared" si="10"/>
        <v>5</v>
      </c>
      <c r="Q59" s="82">
        <f>IF(P59-P58=P58-P57,P59,IF(P60-P58=P58-P57,P60,IF(P59-P58=P58-P56,P59,IF(P60-P58=P58-P56,P60,"-"))))</f>
        <v>5</v>
      </c>
      <c r="R59" s="83">
        <f>VLOOKUP(Q59,STN_TABLE,2,FALSE)</f>
        <v>11.46</v>
      </c>
      <c r="S59" s="83">
        <v>-1</v>
      </c>
      <c r="T59" s="82">
        <f>R59*S59</f>
        <v>-11.46</v>
      </c>
      <c r="U59" s="88">
        <v>-1</v>
      </c>
      <c r="V59" s="82">
        <f>R59*U59</f>
        <v>-11.46</v>
      </c>
      <c r="W59" s="84" t="str">
        <f>CONCATENATE("a'(",Q58,")=")</f>
        <v>a'(4)=</v>
      </c>
      <c r="X59" s="84">
        <f>2*X57/12*T60</f>
        <v>38.856000000000002</v>
      </c>
      <c r="Y59" s="84" t="str">
        <f>CONCATENATE("A(",Q57,")=")</f>
        <v>A(3)=</v>
      </c>
      <c r="Z59" s="84">
        <f>VLOOKUP(Q57,STN_TABLE,3,FALSE)</f>
        <v>94.775999999999982</v>
      </c>
      <c r="AA59" t="str">
        <f>CONCATENATE("A(",Q58,")=")</f>
        <v>A(4)=</v>
      </c>
      <c r="AB59">
        <f>X59+Z59</f>
        <v>133.63199999999998</v>
      </c>
      <c r="AC59" s="99">
        <f>AC58+1</f>
        <v>7</v>
      </c>
      <c r="AD59" s="100">
        <f>VLOOKUP(AC59,STN_TABLE_2,2,FALSE)</f>
        <v>4</v>
      </c>
      <c r="AE59" s="82">
        <f>VLOOKUP(AD59,STN_TABLE,2,FALSE)</f>
        <v>11.06</v>
      </c>
      <c r="AF59" s="82">
        <v>2</v>
      </c>
      <c r="AG59" s="83">
        <f>AE59*AF59</f>
        <v>22.12</v>
      </c>
      <c r="AH59" s="84" t="str">
        <f>CONCATENATE("a'(",AD59,")=")</f>
        <v>a'(4)=</v>
      </c>
      <c r="AI59" s="84">
        <f>2*AI57/2*AE60</f>
        <v>38.808000000000007</v>
      </c>
      <c r="AJ59" s="84" t="str">
        <f>CONCATENATE("A(",AD58,")=")</f>
        <v>A(3)=</v>
      </c>
      <c r="AK59" s="84">
        <f>VLOOKUP(AD58,STN_TABLE,3,FALSE)</f>
        <v>94.775999999999982</v>
      </c>
      <c r="AL59" t="str">
        <f>CONCATENATE("A(",AD59,")=")</f>
        <v>A(4)=</v>
      </c>
      <c r="AM59">
        <f>AI59+AK59</f>
        <v>133.584</v>
      </c>
      <c r="AO59" s="68" t="str">
        <f>AA59</f>
        <v>A(4)=</v>
      </c>
      <c r="AP59" s="68" t="e">
        <f>VLOOKUP(AO59,Rise_Results,2,FALSE)</f>
        <v>#N/A</v>
      </c>
      <c r="AQ59" s="76">
        <f>N59</f>
        <v>133.90799999999999</v>
      </c>
      <c r="AR59" s="76">
        <f>IF(OR(AB59&lt;=0,AB60&lt;=0),1/0,AB59)</f>
        <v>133.63199999999998</v>
      </c>
      <c r="AS59" s="76">
        <f>AM59</f>
        <v>133.584</v>
      </c>
      <c r="AT59">
        <f>IFERROR(AP59,IFERROR(AQ59,IFERROR(AR59,AS59)))</f>
        <v>133.90799999999999</v>
      </c>
      <c r="AU59" s="81"/>
    </row>
    <row r="60" spans="1:47" x14ac:dyDescent="0.25">
      <c r="A60" s="84">
        <f>A59+1</f>
        <v>7</v>
      </c>
      <c r="B60" s="84">
        <f t="shared" si="11"/>
        <v>4</v>
      </c>
      <c r="F60" s="82">
        <f>SUM(F57:F59)</f>
        <v>62.81</v>
      </c>
      <c r="H60" s="82">
        <f>SUM(H57:H59)</f>
        <v>189.74</v>
      </c>
      <c r="I60" s="84" t="str">
        <f>CONCATENATE("m'(",C59,")=")</f>
        <v>m'(4)=</v>
      </c>
      <c r="J60" s="84">
        <f>2*(J57*(WLS))/3*H60</f>
        <v>409.83840000000004</v>
      </c>
      <c r="K60" s="84" t="str">
        <f>CONCATENATE("M(",C57,")=")</f>
        <v>M(2)=</v>
      </c>
      <c r="L60" s="84">
        <f>VLOOKUP(C57,STN_TABLE,4,FALSE)</f>
        <v>114.35040000000001</v>
      </c>
      <c r="M60" t="str">
        <f>CONCATENATE("M(",C59,")=")</f>
        <v>M(4)=</v>
      </c>
      <c r="N60">
        <f>J60+L60</f>
        <v>524.18880000000001</v>
      </c>
      <c r="O60" s="99">
        <f>O59+1</f>
        <v>9</v>
      </c>
      <c r="P60" s="99">
        <f t="shared" si="10"/>
        <v>5.6111111111111107</v>
      </c>
      <c r="T60" s="89">
        <f>SUM(T57:T59)</f>
        <v>129.52000000000001</v>
      </c>
      <c r="V60" s="82">
        <f>SUM(V57:V59)</f>
        <v>130.64000000000001</v>
      </c>
      <c r="W60" s="84" t="str">
        <f>CONCATENATE("m'(",Q58,")=")</f>
        <v>m'(4)=</v>
      </c>
      <c r="X60" s="84">
        <f>(2*(X57^2)/24*V60)+(X59*Q57*WLS)</f>
        <v>245.09520000000003</v>
      </c>
      <c r="Y60" s="84" t="str">
        <f>CONCATENATE("M(",Q57,")=")</f>
        <v>M(3)=</v>
      </c>
      <c r="Z60" s="84">
        <f>VLOOKUP(Q57,STN_TABLE,4,FALSE)</f>
        <v>278.67240000000004</v>
      </c>
      <c r="AA60" t="str">
        <f>CONCATENATE("M(",Q58,")=")</f>
        <v>M(4)=</v>
      </c>
      <c r="AB60">
        <f>X60+Z60</f>
        <v>523.76760000000013</v>
      </c>
      <c r="AE60" s="89">
        <f>SUM(AE58:AE59)</f>
        <v>21.560000000000002</v>
      </c>
      <c r="AG60" s="89">
        <f>SUM(AG58:AG59)</f>
        <v>32.620000000000005</v>
      </c>
      <c r="AH60" s="84" t="str">
        <f>CONCATENATE("m'(",AD59,")=")</f>
        <v>m'(4)=</v>
      </c>
      <c r="AI60" s="84">
        <f>(2*(AI57^2)/6*AG60)+(AI59*AD58*WLS)</f>
        <v>244.79280000000006</v>
      </c>
      <c r="AJ60" s="84" t="str">
        <f>CONCATENATE("M(",AD58,")=")</f>
        <v>M(3)=</v>
      </c>
      <c r="AK60" s="84">
        <f>VLOOKUP(AD57,STN_TABLE,4,FALSE)</f>
        <v>0</v>
      </c>
      <c r="AL60" t="str">
        <f>CONCATENATE("M(",AD59,")=")</f>
        <v>M(4)=</v>
      </c>
      <c r="AM60">
        <f>AI60+AK60</f>
        <v>244.79280000000006</v>
      </c>
      <c r="AO60" s="82" t="str">
        <f>AA60</f>
        <v>M(4)=</v>
      </c>
      <c r="AP60" s="82" t="e">
        <f>VLOOKUP(AO60,Rise_Results,2,FALSE)</f>
        <v>#N/A</v>
      </c>
      <c r="AQ60" s="82">
        <f>N60</f>
        <v>524.18880000000001</v>
      </c>
      <c r="AR60" s="82">
        <f>IF(OR(AB59&lt;=0,AB60&lt;=0),1/0,AB60)</f>
        <v>523.76760000000013</v>
      </c>
      <c r="AS60" s="82">
        <f>AM60</f>
        <v>244.79280000000006</v>
      </c>
      <c r="AT60">
        <f>IFERROR(AP60,IFERROR(AQ60,IFERROR(AR60,AS60)))</f>
        <v>524.18880000000001</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10.5</v>
      </c>
      <c r="E62" s="102">
        <v>1</v>
      </c>
      <c r="F62" s="68">
        <f>D62*E62</f>
        <v>10.5</v>
      </c>
      <c r="G62" s="69">
        <f>C62</f>
        <v>3</v>
      </c>
      <c r="H62" s="69">
        <f>F62*G62</f>
        <v>31.5</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11.06</v>
      </c>
      <c r="S62" s="69">
        <v>5</v>
      </c>
      <c r="T62" s="68">
        <f>R62*S62</f>
        <v>55.300000000000004</v>
      </c>
      <c r="U62" s="79">
        <v>3</v>
      </c>
      <c r="V62" s="68">
        <f>R62*U62</f>
        <v>33.18</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11.06</v>
      </c>
      <c r="E63" s="81">
        <v>4</v>
      </c>
      <c r="F63" s="76">
        <f>D63*E63</f>
        <v>44.24</v>
      </c>
      <c r="G63" s="77">
        <f>C63</f>
        <v>4</v>
      </c>
      <c r="H63" s="77">
        <f>F63*G63</f>
        <v>176.96</v>
      </c>
      <c r="I63" s="512" t="s">
        <v>97</v>
      </c>
      <c r="J63" s="513"/>
      <c r="K63" s="78" t="s">
        <v>98</v>
      </c>
      <c r="L63" s="78"/>
      <c r="M63" s="7" t="s">
        <v>99</v>
      </c>
      <c r="N63" s="7"/>
      <c r="O63" s="99">
        <f>O62+1</f>
        <v>8</v>
      </c>
      <c r="P63" s="99">
        <f t="shared" si="10"/>
        <v>5</v>
      </c>
      <c r="Q63" s="76">
        <f>P63</f>
        <v>5</v>
      </c>
      <c r="R63" s="77">
        <f>VLOOKUP(Q63,STN_TABLE,2,FALSE)</f>
        <v>11.46</v>
      </c>
      <c r="S63" s="77">
        <v>8</v>
      </c>
      <c r="T63" s="76">
        <f>R63*S63</f>
        <v>91.68</v>
      </c>
      <c r="U63" s="80">
        <v>10</v>
      </c>
      <c r="V63" s="76">
        <f>R63*U63</f>
        <v>114.60000000000001</v>
      </c>
      <c r="W63" s="513" t="s">
        <v>97</v>
      </c>
      <c r="X63" s="513"/>
      <c r="Y63" s="513" t="s">
        <v>98</v>
      </c>
      <c r="Z63" s="513"/>
      <c r="AA63" s="511" t="s">
        <v>99</v>
      </c>
      <c r="AB63" s="511"/>
      <c r="AC63" s="99">
        <f>AC58+1</f>
        <v>7</v>
      </c>
      <c r="AD63" s="95">
        <f>VLOOKUP(AC63,STN_TABLE_2,2,FALSE)</f>
        <v>4</v>
      </c>
      <c r="AE63" s="68">
        <f>VLOOKUP(AD63,STN_TABLE,2,FALSE)</f>
        <v>11.06</v>
      </c>
      <c r="AF63" s="68">
        <v>1</v>
      </c>
      <c r="AG63" s="69">
        <f>AE63*AF63</f>
        <v>11.06</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11.46</v>
      </c>
      <c r="E64" s="92">
        <v>1</v>
      </c>
      <c r="F64" s="82">
        <f>D64*E64</f>
        <v>11.46</v>
      </c>
      <c r="G64" s="83">
        <f>C64</f>
        <v>5</v>
      </c>
      <c r="H64" s="83">
        <f>F64*G64</f>
        <v>57.300000000000004</v>
      </c>
      <c r="I64" s="84" t="str">
        <f>CONCATENATE("a'(",C64,")=")</f>
        <v>a'(5)=</v>
      </c>
      <c r="J64" s="84">
        <f>2*J62/3*F65</f>
        <v>79.44</v>
      </c>
      <c r="K64" s="84" t="str">
        <f>CONCATENATE("A(",C62,")=")</f>
        <v>A(3)=</v>
      </c>
      <c r="L64" s="84">
        <f>VLOOKUP(C62,STN_TABLE,3,FALSE)</f>
        <v>94.775999999999982</v>
      </c>
      <c r="M64" t="str">
        <f>CONCATENATE("A(",C64,")=")</f>
        <v>A(5)=</v>
      </c>
      <c r="N64">
        <f>J64+L64</f>
        <v>174.21599999999998</v>
      </c>
      <c r="O64" s="99">
        <f>O63+1</f>
        <v>9</v>
      </c>
      <c r="P64" s="99">
        <f t="shared" si="10"/>
        <v>5.6111111111111107</v>
      </c>
      <c r="Q64" s="82">
        <f>IF(P64-P63=P63-P62,P64,IF(P65-P63=P63-P62,P65,IF(P64-P63=P63-P61,P64,IF(P65-P63=P63-P61,P65,"-"))))</f>
        <v>6</v>
      </c>
      <c r="R64" s="83">
        <f>VLOOKUP(Q64,STN_TABLE,2,FALSE)</f>
        <v>11.79</v>
      </c>
      <c r="S64" s="83">
        <v>-1</v>
      </c>
      <c r="T64" s="82">
        <f>R64*S64</f>
        <v>-11.79</v>
      </c>
      <c r="U64" s="88">
        <v>-1</v>
      </c>
      <c r="V64" s="82">
        <f>R64*U64</f>
        <v>-11.79</v>
      </c>
      <c r="W64" s="84" t="str">
        <f>CONCATENATE("a'(",Q63,")=")</f>
        <v>a'(5)=</v>
      </c>
      <c r="X64" s="84">
        <f>2*X62/12*T65</f>
        <v>40.557000000000009</v>
      </c>
      <c r="Y64" s="84" t="str">
        <f>CONCATENATE("A(",Q62,")=")</f>
        <v>A(4)=</v>
      </c>
      <c r="Z64" s="84">
        <f>VLOOKUP(Q62,STN_TABLE,3,FALSE)</f>
        <v>133.90799999999999</v>
      </c>
      <c r="AA64" t="str">
        <f>CONCATENATE("A(",Q63,")=")</f>
        <v>A(5)=</v>
      </c>
      <c r="AB64">
        <f>X64+Z64</f>
        <v>174.465</v>
      </c>
      <c r="AC64" s="99">
        <f>AC63+1</f>
        <v>8</v>
      </c>
      <c r="AD64" s="100">
        <f>VLOOKUP(AC64,STN_TABLE_2,2,FALSE)</f>
        <v>5</v>
      </c>
      <c r="AE64" s="82">
        <f>VLOOKUP(AD64,STN_TABLE,2,FALSE)</f>
        <v>11.46</v>
      </c>
      <c r="AF64" s="82">
        <v>2</v>
      </c>
      <c r="AG64" s="83">
        <f>AE64*AF64</f>
        <v>22.92</v>
      </c>
      <c r="AH64" s="84" t="str">
        <f>CONCATENATE("a'(",AD64,")=")</f>
        <v>a'(5)=</v>
      </c>
      <c r="AI64" s="84">
        <f>2*AI62/2*AE65</f>
        <v>40.536000000000008</v>
      </c>
      <c r="AJ64" s="84" t="str">
        <f>CONCATENATE("A(",AD63,")=")</f>
        <v>A(4)=</v>
      </c>
      <c r="AK64" s="84">
        <f>VLOOKUP(AD63,STN_TABLE,3,FALSE)</f>
        <v>133.90799999999999</v>
      </c>
      <c r="AL64" t="str">
        <f>CONCATENATE("A(",AD64,")=")</f>
        <v>A(5)=</v>
      </c>
      <c r="AM64">
        <f>AI64+AK64</f>
        <v>174.44399999999999</v>
      </c>
      <c r="AO64" s="68" t="str">
        <f>AA64</f>
        <v>A(5)=</v>
      </c>
      <c r="AP64" s="68" t="e">
        <f>VLOOKUP(AO64,Rise_Results,2,FALSE)</f>
        <v>#N/A</v>
      </c>
      <c r="AQ64" s="76">
        <f>N64</f>
        <v>174.21599999999998</v>
      </c>
      <c r="AR64" s="76">
        <f>IF(OR(AB64&lt;=0,AB65&lt;=0),1/0,AB64)</f>
        <v>174.465</v>
      </c>
      <c r="AS64" s="76">
        <f>AM64</f>
        <v>174.44399999999999</v>
      </c>
      <c r="AT64">
        <f>IFERROR(AP64,IFERROR(AQ64,IFERROR(AR64,AS64)))</f>
        <v>174.21599999999998</v>
      </c>
      <c r="AU64" s="81"/>
    </row>
    <row r="65" spans="1:47" x14ac:dyDescent="0.25">
      <c r="A65" s="84">
        <f>A64+1</f>
        <v>8</v>
      </c>
      <c r="B65" s="84">
        <f t="shared" si="11"/>
        <v>5</v>
      </c>
      <c r="F65" s="82">
        <f>SUM(F62:F64)</f>
        <v>66.2</v>
      </c>
      <c r="H65" s="82">
        <f>SUM(H62:H64)</f>
        <v>265.76</v>
      </c>
      <c r="I65" s="84" t="str">
        <f>CONCATENATE("m'(",C64,")=")</f>
        <v>m'(5)=</v>
      </c>
      <c r="J65" s="84">
        <f>2*(J62*(WLS))/3*H65</f>
        <v>574.04160000000002</v>
      </c>
      <c r="K65" s="84" t="str">
        <f>CONCATENATE("M(",C62,")=")</f>
        <v>M(3)=</v>
      </c>
      <c r="L65" s="84">
        <f>VLOOKUP(C62,STN_TABLE,4,FALSE)</f>
        <v>278.67240000000004</v>
      </c>
      <c r="M65" t="str">
        <f>CONCATENATE("M(",C64,")=")</f>
        <v>M(5)=</v>
      </c>
      <c r="N65">
        <f>J65+L65</f>
        <v>852.71400000000006</v>
      </c>
      <c r="O65" s="99">
        <f>O64+1</f>
        <v>10</v>
      </c>
      <c r="P65" s="99">
        <f t="shared" si="10"/>
        <v>6</v>
      </c>
      <c r="T65" s="89">
        <f>SUM(T62:T64)</f>
        <v>135.19000000000003</v>
      </c>
      <c r="V65" s="82">
        <f>SUM(V62:V64)</f>
        <v>135.99</v>
      </c>
      <c r="W65" s="84" t="str">
        <f>CONCATENATE("m'(",Q63,")=")</f>
        <v>m'(5)=</v>
      </c>
      <c r="X65" s="84">
        <f>(2*(X62^2)/24*V65)+(X64*Q62*WLS)</f>
        <v>328.72770000000008</v>
      </c>
      <c r="Y65" s="84" t="str">
        <f>CONCATENATE("M(",Q62,")=")</f>
        <v>M(4)=</v>
      </c>
      <c r="Z65" s="84">
        <f>VLOOKUP(Q62,STN_TABLE,4,FALSE)</f>
        <v>524.18880000000001</v>
      </c>
      <c r="AA65" t="str">
        <f>CONCATENATE("M(",Q63,")=")</f>
        <v>M(5)=</v>
      </c>
      <c r="AB65">
        <f>X65+Z65</f>
        <v>852.91650000000004</v>
      </c>
      <c r="AE65" s="89">
        <f>SUM(AE63:AE64)</f>
        <v>22.520000000000003</v>
      </c>
      <c r="AG65" s="89">
        <f>SUM(AG63:AG64)</f>
        <v>33.980000000000004</v>
      </c>
      <c r="AH65" s="84" t="str">
        <f>CONCATENATE("m'(",AD64,")=")</f>
        <v>m'(5)=</v>
      </c>
      <c r="AI65" s="84">
        <f>(2*(AI62^2)/6*AG65)+(AI64*AD63*WLS)</f>
        <v>328.55760000000004</v>
      </c>
      <c r="AJ65" s="84" t="str">
        <f>CONCATENATE("M(",AD63,")=")</f>
        <v>M(4)=</v>
      </c>
      <c r="AK65" s="84">
        <f>VLOOKUP(AD63,STN_TABLE,4,FALSE)</f>
        <v>524.18880000000001</v>
      </c>
      <c r="AL65" t="str">
        <f>CONCATENATE("M(",AD64,")=")</f>
        <v>M(5)=</v>
      </c>
      <c r="AM65">
        <f>AI65+AK65</f>
        <v>852.74639999999999</v>
      </c>
      <c r="AO65" s="82" t="str">
        <f>AA65</f>
        <v>M(5)=</v>
      </c>
      <c r="AP65" s="82" t="e">
        <f>VLOOKUP(AO65,Rise_Results,2,FALSE)</f>
        <v>#N/A</v>
      </c>
      <c r="AQ65" s="82">
        <f>N65</f>
        <v>852.71400000000006</v>
      </c>
      <c r="AR65" s="82">
        <f>IF(OR(AB64&lt;=0,AB65&lt;=0),1/0,AB65)</f>
        <v>852.91650000000004</v>
      </c>
      <c r="AS65" s="82">
        <f>AM65</f>
        <v>852.74639999999999</v>
      </c>
      <c r="AT65">
        <f>IFERROR(AP65,IFERROR(AQ65,IFERROR(AR65,AS65)))</f>
        <v>852.71400000000006</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11.67</v>
      </c>
      <c r="S68" s="77">
        <v>8</v>
      </c>
      <c r="T68" s="76">
        <f>R68*S68</f>
        <v>93.36</v>
      </c>
      <c r="U68" s="80">
        <v>10</v>
      </c>
      <c r="V68" s="76">
        <f>R68*U68</f>
        <v>116.7</v>
      </c>
      <c r="W68" s="513" t="s">
        <v>97</v>
      </c>
      <c r="X68" s="513"/>
      <c r="Y68" s="513" t="s">
        <v>98</v>
      </c>
      <c r="Z68" s="513"/>
      <c r="AA68" s="511" t="s">
        <v>99</v>
      </c>
      <c r="AB68" s="511"/>
      <c r="AC68" s="99">
        <f>AC63+1</f>
        <v>8</v>
      </c>
      <c r="AD68" s="95">
        <f>VLOOKUP(AC68,STN_TABLE_2,2,FALSE)</f>
        <v>5</v>
      </c>
      <c r="AE68" s="68">
        <f>VLOOKUP(AD68,STN_TABLE,2,FALSE)</f>
        <v>11.46</v>
      </c>
      <c r="AF68" s="68">
        <v>1</v>
      </c>
      <c r="AG68" s="69">
        <f>AE68*AF68</f>
        <v>11.46</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11.67</v>
      </c>
      <c r="E69" s="92">
        <v>1</v>
      </c>
      <c r="F69" s="82">
        <f>D69*E69</f>
        <v>11.67</v>
      </c>
      <c r="G69" s="83">
        <f>C69</f>
        <v>5.6111111111111107</v>
      </c>
      <c r="H69" s="83">
        <f>F69*G69</f>
        <v>65.481666666666655</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11.67</v>
      </c>
      <c r="AF69" s="82">
        <v>2</v>
      </c>
      <c r="AG69" s="83">
        <f>AE69*AF69</f>
        <v>23.34</v>
      </c>
      <c r="AH69" s="84" t="str">
        <f>CONCATENATE("a'(",AD69,")=")</f>
        <v>a'(5.61111111111111)=</v>
      </c>
      <c r="AI69" s="84">
        <f>2*AI67/2*AE70</f>
        <v>25.442999999999991</v>
      </c>
      <c r="AJ69" s="84" t="str">
        <f>CONCATENATE("A(",AD68,")=")</f>
        <v>A(5)=</v>
      </c>
      <c r="AK69" s="84">
        <f>VLOOKUP(AD68,STN_TABLE,3,FALSE)</f>
        <v>174.21599999999998</v>
      </c>
      <c r="AL69" t="str">
        <f>CONCATENATE("A(",AD69,")=")</f>
        <v>A(5.61111111111111)=</v>
      </c>
      <c r="AM69">
        <f>AI69+AK69</f>
        <v>199.65899999999996</v>
      </c>
      <c r="AO69" s="68" t="str">
        <f>AA69</f>
        <v>A(5.61111111111111)=</v>
      </c>
      <c r="AP69" s="68" t="e">
        <f>VLOOKUP(AO69,Rise_Results,2,FALSE)</f>
        <v>#N/A</v>
      </c>
      <c r="AQ69" s="76" t="e">
        <f>N69</f>
        <v>#N/A</v>
      </c>
      <c r="AR69" s="76" t="e">
        <f>IF(OR(AB69&lt;=0,AB70&lt;=0),1/0,AB69)</f>
        <v>#VALUE!</v>
      </c>
      <c r="AS69" s="76">
        <f>AM69</f>
        <v>199.65899999999996</v>
      </c>
      <c r="AT69">
        <f>IFERROR(AP69,IFERROR(AQ69,IFERROR(AR69,AS69)))</f>
        <v>199.65899999999996</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23.130000000000003</v>
      </c>
      <c r="AG70" s="89">
        <f>SUM(AG68:AG69)</f>
        <v>34.799999999999997</v>
      </c>
      <c r="AH70" s="84" t="str">
        <f>CONCATENATE("m'(",AD69,")=")</f>
        <v>m'(5.61111111111111)=</v>
      </c>
      <c r="AI70" s="84">
        <f>(2*(AI67^2)/6*AG70)+(AI69*AD68*WLS)</f>
        <v>243.02299999999988</v>
      </c>
      <c r="AJ70" s="84" t="str">
        <f>CONCATENATE("M(",AD68,")=")</f>
        <v>M(5)=</v>
      </c>
      <c r="AK70" s="84">
        <f>VLOOKUP(AD68,STN_TABLE,4,FALSE)</f>
        <v>852.71400000000006</v>
      </c>
      <c r="AL70" t="str">
        <f>CONCATENATE("M(",AD69,")=")</f>
        <v>M(5.61111111111111)=</v>
      </c>
      <c r="AM70">
        <f>AI70+AK70</f>
        <v>1095.7369999999999</v>
      </c>
      <c r="AO70" s="82" t="str">
        <f>AA70</f>
        <v>M(5.61111111111111)=</v>
      </c>
      <c r="AP70" s="82" t="e">
        <f>VLOOKUP(AO70,Rise_Results,2,FALSE)</f>
        <v>#N/A</v>
      </c>
      <c r="AQ70" s="82" t="e">
        <f>N70</f>
        <v>#N/A</v>
      </c>
      <c r="AR70" s="82" t="e">
        <f>IF(OR(AB69&lt;=0,AB70&lt;=0),1/0,AB70)</f>
        <v>#VALUE!</v>
      </c>
      <c r="AS70" s="82">
        <f>AM70</f>
        <v>1095.7369999999999</v>
      </c>
      <c r="AT70">
        <f>IFERROR(AP70,IFERROR(AQ70,IFERROR(AR70,AS70)))</f>
        <v>1095.7369999999999</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11.06</v>
      </c>
      <c r="E72" s="102">
        <v>1</v>
      </c>
      <c r="F72" s="68">
        <f>D72*E72</f>
        <v>11.06</v>
      </c>
      <c r="G72" s="69">
        <f>C72</f>
        <v>4</v>
      </c>
      <c r="H72" s="69">
        <f>F72*G72</f>
        <v>44.24</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11.46</v>
      </c>
      <c r="S72" s="69">
        <v>5</v>
      </c>
      <c r="T72" s="68">
        <f>R72*S72</f>
        <v>57.300000000000004</v>
      </c>
      <c r="U72" s="79">
        <v>3</v>
      </c>
      <c r="V72" s="68">
        <f>R72*U72</f>
        <v>34.380000000000003</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11.46</v>
      </c>
      <c r="E73" s="81">
        <v>4</v>
      </c>
      <c r="F73" s="76">
        <f>D73*E73</f>
        <v>45.84</v>
      </c>
      <c r="G73" s="77">
        <f>C73</f>
        <v>5</v>
      </c>
      <c r="H73" s="77">
        <f>F73*G73</f>
        <v>229.20000000000002</v>
      </c>
      <c r="I73" s="512" t="s">
        <v>97</v>
      </c>
      <c r="J73" s="513"/>
      <c r="K73" s="78" t="s">
        <v>98</v>
      </c>
      <c r="L73" s="78"/>
      <c r="M73" s="7" t="s">
        <v>99</v>
      </c>
      <c r="N73" s="7"/>
      <c r="O73" s="99">
        <f>O72+1</f>
        <v>10</v>
      </c>
      <c r="P73" s="99">
        <f t="shared" si="23"/>
        <v>6</v>
      </c>
      <c r="Q73" s="76">
        <f>P73</f>
        <v>6</v>
      </c>
      <c r="R73" s="77">
        <f>VLOOKUP(Q73,STN_TABLE,2,FALSE)</f>
        <v>11.79</v>
      </c>
      <c r="S73" s="77">
        <v>8</v>
      </c>
      <c r="T73" s="76">
        <f>R73*S73</f>
        <v>94.32</v>
      </c>
      <c r="U73" s="80">
        <v>10</v>
      </c>
      <c r="V73" s="76">
        <f>R73*U73</f>
        <v>117.89999999999999</v>
      </c>
      <c r="W73" s="513" t="s">
        <v>97</v>
      </c>
      <c r="X73" s="513"/>
      <c r="Y73" s="513" t="s">
        <v>98</v>
      </c>
      <c r="Z73" s="513"/>
      <c r="AA73" s="511" t="s">
        <v>99</v>
      </c>
      <c r="AB73" s="511"/>
      <c r="AC73" s="99">
        <f>AC68+1</f>
        <v>9</v>
      </c>
      <c r="AD73" s="95">
        <f>VLOOKUP(AC73,STN_TABLE_2,2,FALSE)</f>
        <v>5.6111111111111107</v>
      </c>
      <c r="AE73" s="68">
        <f>VLOOKUP(AD73,STN_TABLE,2,FALSE)</f>
        <v>11.67</v>
      </c>
      <c r="AF73" s="68">
        <v>1</v>
      </c>
      <c r="AG73" s="69">
        <f>AE73*AF73</f>
        <v>11.67</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11.79</v>
      </c>
      <c r="E74" s="92">
        <v>1</v>
      </c>
      <c r="F74" s="82">
        <f>D74*E74</f>
        <v>11.79</v>
      </c>
      <c r="G74" s="83">
        <f>C74</f>
        <v>6</v>
      </c>
      <c r="H74" s="83">
        <f>F74*G74</f>
        <v>70.739999999999995</v>
      </c>
      <c r="I74" s="84" t="str">
        <f>CONCATENATE("a'(",C74,")=")</f>
        <v>a'(6)=</v>
      </c>
      <c r="J74" s="84">
        <f>2*J72/3*F75</f>
        <v>82.427999999999997</v>
      </c>
      <c r="K74" s="84" t="str">
        <f>CONCATENATE("A(",C72,")=")</f>
        <v>A(4)=</v>
      </c>
      <c r="L74" s="84">
        <f>VLOOKUP(C72,STN_TABLE,3,FALSE)</f>
        <v>133.90799999999999</v>
      </c>
      <c r="M74" t="str">
        <f>CONCATENATE("A(",C74,")=")</f>
        <v>A(6)=</v>
      </c>
      <c r="N74">
        <f>J74+L74</f>
        <v>216.33599999999998</v>
      </c>
      <c r="O74" s="99">
        <f>O73+1</f>
        <v>11</v>
      </c>
      <c r="P74" s="99">
        <f t="shared" si="23"/>
        <v>7</v>
      </c>
      <c r="Q74" s="82">
        <f>IF(P74-P73=P73-P72,P74,IF(P75-P73=P73-P72,P75,IF(P74-P73=P73-P71,P74,IF(P75-P73=P73-P71,P75,"-"))))</f>
        <v>7</v>
      </c>
      <c r="R74" s="83">
        <f>VLOOKUP(Q74,STN_TABLE,2,FALSE)</f>
        <v>12.07</v>
      </c>
      <c r="S74" s="83">
        <v>-1</v>
      </c>
      <c r="T74" s="82">
        <f>R74*S74</f>
        <v>-12.07</v>
      </c>
      <c r="U74" s="88">
        <v>-1</v>
      </c>
      <c r="V74" s="82">
        <f>R74*U74</f>
        <v>-12.07</v>
      </c>
      <c r="W74" s="84" t="str">
        <f>CONCATENATE("a'(",Q73,")=")</f>
        <v>a'(6)=</v>
      </c>
      <c r="X74" s="84">
        <f>2*X72/12*T75</f>
        <v>41.865000000000002</v>
      </c>
      <c r="Y74" s="84" t="str">
        <f>CONCATENATE("A(",Q72,")=")</f>
        <v>A(5)=</v>
      </c>
      <c r="Z74" s="84">
        <f>VLOOKUP(Q72,STN_TABLE,3,FALSE)</f>
        <v>174.21599999999998</v>
      </c>
      <c r="AA74" t="str">
        <f>CONCATENATE("A(",Q73,")=")</f>
        <v>A(6)=</v>
      </c>
      <c r="AB74">
        <f>X74+Z74</f>
        <v>216.08099999999999</v>
      </c>
      <c r="AC74" s="99">
        <f>AC73+1</f>
        <v>10</v>
      </c>
      <c r="AD74" s="100">
        <f>VLOOKUP(AC74,STN_TABLE_2,2,FALSE)</f>
        <v>6</v>
      </c>
      <c r="AE74" s="82">
        <f>VLOOKUP(AD74,STN_TABLE,2,FALSE)</f>
        <v>11.79</v>
      </c>
      <c r="AF74" s="82">
        <v>2</v>
      </c>
      <c r="AG74" s="83">
        <f>AE74*AF74</f>
        <v>23.58</v>
      </c>
      <c r="AH74" s="84" t="str">
        <f>CONCATENATE("a'(",AD74,")=")</f>
        <v>a'(6)=</v>
      </c>
      <c r="AI74" s="84">
        <f>2*AI72/2*AE75</f>
        <v>16.422000000000018</v>
      </c>
      <c r="AJ74" s="84" t="str">
        <f>CONCATENATE("A(",AD73,")=")</f>
        <v>A(5.61111111111111)=</v>
      </c>
      <c r="AK74" s="84">
        <f>VLOOKUP(AD73,STN_TABLE,3,FALSE)</f>
        <v>199.65899999999996</v>
      </c>
      <c r="AL74" t="str">
        <f>CONCATENATE("A(",AD74,")=")</f>
        <v>A(6)=</v>
      </c>
      <c r="AM74">
        <f>AI74+AK74</f>
        <v>216.08099999999999</v>
      </c>
      <c r="AO74" s="68" t="str">
        <f>AA74</f>
        <v>A(6)=</v>
      </c>
      <c r="AP74" s="68" t="e">
        <f>VLOOKUP(AO74,Rise_Results,2,FALSE)</f>
        <v>#N/A</v>
      </c>
      <c r="AQ74" s="76">
        <f>N74</f>
        <v>216.33599999999998</v>
      </c>
      <c r="AR74" s="76">
        <f>IF(OR(AB74&lt;=0,AB75&lt;=0),1/0,AB74)</f>
        <v>216.08099999999999</v>
      </c>
      <c r="AS74" s="76">
        <f>AM74</f>
        <v>216.08099999999999</v>
      </c>
      <c r="AT74">
        <f>IFERROR(AP74,IFERROR(AQ74,IFERROR(AR74,AS74)))</f>
        <v>216.33599999999998</v>
      </c>
      <c r="AU74" s="81"/>
    </row>
    <row r="75" spans="1:47" x14ac:dyDescent="0.25">
      <c r="A75" s="84">
        <f>A74+1</f>
        <v>10</v>
      </c>
      <c r="B75" s="84">
        <f t="shared" si="27"/>
        <v>6</v>
      </c>
      <c r="F75" s="82">
        <f>SUM(F72:F74)</f>
        <v>68.69</v>
      </c>
      <c r="H75" s="82">
        <f>SUM(H72:H74)</f>
        <v>344.18</v>
      </c>
      <c r="I75" s="84" t="str">
        <f>CONCATENATE("m'(",C74,")=")</f>
        <v>m'(6)=</v>
      </c>
      <c r="J75" s="84">
        <f>2*(J72*(WLS))/3*H75</f>
        <v>743.42880000000002</v>
      </c>
      <c r="K75" s="84" t="str">
        <f>CONCATENATE("M(",C72,")=")</f>
        <v>M(4)=</v>
      </c>
      <c r="L75" s="84">
        <f>VLOOKUP(C72,STN_TABLE,4,FALSE)</f>
        <v>524.18880000000001</v>
      </c>
      <c r="M75" t="str">
        <f>CONCATENATE("M(",C74,")=")</f>
        <v>M(6)=</v>
      </c>
      <c r="N75">
        <f>J75+L75</f>
        <v>1267.6176</v>
      </c>
      <c r="O75" s="99">
        <f>O74+1</f>
        <v>12</v>
      </c>
      <c r="P75" s="99">
        <f t="shared" si="23"/>
        <v>7.8833333333333329</v>
      </c>
      <c r="T75" s="89">
        <f>SUM(T72:T74)</f>
        <v>139.55000000000001</v>
      </c>
      <c r="V75" s="82">
        <f>SUM(V72:V74)</f>
        <v>140.21</v>
      </c>
      <c r="W75" s="84" t="str">
        <f>CONCATENATE("m'(",Q73,")=")</f>
        <v>m'(6)=</v>
      </c>
      <c r="X75" s="84">
        <f>(2*(X72^2)/24*V75)+(X74*Q72*WLS)</f>
        <v>414.64170000000001</v>
      </c>
      <c r="Y75" s="84" t="str">
        <f>CONCATENATE("M(",Q72,")=")</f>
        <v>M(5)=</v>
      </c>
      <c r="Z75" s="84">
        <f>VLOOKUP(Q72,STN_TABLE,4,FALSE)</f>
        <v>852.71400000000006</v>
      </c>
      <c r="AA75" t="str">
        <f>CONCATENATE("M(",Q73,")=")</f>
        <v>M(6)=</v>
      </c>
      <c r="AB75">
        <f>X75+Z75</f>
        <v>1267.3557000000001</v>
      </c>
      <c r="AE75" s="89">
        <f>SUM(AE73:AE74)</f>
        <v>23.46</v>
      </c>
      <c r="AG75" s="89">
        <f>SUM(AG73:AG74)</f>
        <v>35.25</v>
      </c>
      <c r="AH75" s="84" t="str">
        <f>CONCATENATE("m'(",AD74,")=")</f>
        <v>m'(6)=</v>
      </c>
      <c r="AI75" s="84">
        <f>(2*(AI72^2)/6*AG75)+(AI74*AD73*WLS)</f>
        <v>171.61970000000022</v>
      </c>
      <c r="AJ75" s="84" t="str">
        <f>CONCATENATE("M(",AD73,")=")</f>
        <v>M(5.61111111111111)=</v>
      </c>
      <c r="AK75" s="84">
        <f>VLOOKUP(AD73,STN_TABLE,4,FALSE)</f>
        <v>1095.7369999999999</v>
      </c>
      <c r="AL75" t="str">
        <f>CONCATENATE("M(",AD74,")=")</f>
        <v>M(6)=</v>
      </c>
      <c r="AM75">
        <f>AI75+AK75</f>
        <v>1267.3567</v>
      </c>
      <c r="AO75" s="82" t="str">
        <f>AA75</f>
        <v>M(6)=</v>
      </c>
      <c r="AP75" s="82" t="e">
        <f>VLOOKUP(AO75,Rise_Results,2,FALSE)</f>
        <v>#N/A</v>
      </c>
      <c r="AQ75" s="82">
        <f>N75</f>
        <v>1267.6176</v>
      </c>
      <c r="AR75" s="82">
        <f>IF(OR(AB74&lt;=0,AB75&lt;=0),1/0,AB75)</f>
        <v>1267.3557000000001</v>
      </c>
      <c r="AS75" s="82">
        <f>AM75</f>
        <v>1267.3567</v>
      </c>
      <c r="AT75">
        <f>IFERROR(AP75,IFERROR(AQ75,IFERROR(AR75,AS75)))</f>
        <v>1267.6176</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11.46</v>
      </c>
      <c r="E77" s="102">
        <v>1</v>
      </c>
      <c r="F77" s="68">
        <f>D77*E77</f>
        <v>11.46</v>
      </c>
      <c r="G77" s="69">
        <f>C77</f>
        <v>5</v>
      </c>
      <c r="H77" s="69">
        <f>F77*G77</f>
        <v>57.300000000000004</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11.79</v>
      </c>
      <c r="E78" s="81">
        <v>4</v>
      </c>
      <c r="F78" s="76">
        <f>D78*E78</f>
        <v>47.16</v>
      </c>
      <c r="G78" s="77">
        <f>C78</f>
        <v>6</v>
      </c>
      <c r="H78" s="77">
        <f>F78*G78</f>
        <v>282.95999999999998</v>
      </c>
      <c r="I78" s="512" t="s">
        <v>97</v>
      </c>
      <c r="J78" s="513"/>
      <c r="K78" s="78" t="s">
        <v>98</v>
      </c>
      <c r="L78" s="78"/>
      <c r="M78" s="7" t="s">
        <v>99</v>
      </c>
      <c r="N78" s="7"/>
      <c r="O78" s="99">
        <f>O77+1</f>
        <v>11</v>
      </c>
      <c r="P78" s="99">
        <f t="shared" si="23"/>
        <v>7</v>
      </c>
      <c r="Q78" s="76">
        <f>P78</f>
        <v>7</v>
      </c>
      <c r="R78" s="77">
        <f>VLOOKUP(Q78,STN_TABLE,2,FALSE)</f>
        <v>12.07</v>
      </c>
      <c r="S78" s="77">
        <v>8</v>
      </c>
      <c r="T78" s="76">
        <f>R78*S78</f>
        <v>96.56</v>
      </c>
      <c r="U78" s="80">
        <v>10</v>
      </c>
      <c r="V78" s="76">
        <f>R78*U78</f>
        <v>120.7</v>
      </c>
      <c r="W78" s="513" t="s">
        <v>97</v>
      </c>
      <c r="X78" s="513"/>
      <c r="Y78" s="513" t="s">
        <v>98</v>
      </c>
      <c r="Z78" s="513"/>
      <c r="AA78" s="511" t="s">
        <v>99</v>
      </c>
      <c r="AB78" s="511"/>
      <c r="AC78" s="99">
        <f>AC73+1</f>
        <v>10</v>
      </c>
      <c r="AD78" s="95">
        <f>VLOOKUP(AC78,STN_TABLE_2,2,FALSE)</f>
        <v>6</v>
      </c>
      <c r="AE78" s="68">
        <f>VLOOKUP(AD78,STN_TABLE,2,FALSE)</f>
        <v>11.79</v>
      </c>
      <c r="AF78" s="68">
        <v>1</v>
      </c>
      <c r="AG78" s="69">
        <f>AE78*AF78</f>
        <v>11.79</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12.07</v>
      </c>
      <c r="E79" s="92">
        <v>1</v>
      </c>
      <c r="F79" s="82">
        <f>D79*E79</f>
        <v>12.07</v>
      </c>
      <c r="G79" s="83">
        <f>C79</f>
        <v>7</v>
      </c>
      <c r="H79" s="83">
        <f>F79*G79</f>
        <v>84.490000000000009</v>
      </c>
      <c r="I79" s="84" t="str">
        <f>CONCATENATE("a'(",C79,")=")</f>
        <v>a'(7)=</v>
      </c>
      <c r="J79" s="84">
        <f>2*J77/3*F80</f>
        <v>84.827999999999989</v>
      </c>
      <c r="K79" s="84" t="str">
        <f>CONCATENATE("A(",C77,")=")</f>
        <v>A(5)=</v>
      </c>
      <c r="L79" s="84">
        <f>VLOOKUP(C77,STN_TABLE,3,FALSE)</f>
        <v>174.21599999999998</v>
      </c>
      <c r="M79" t="str">
        <f>CONCATENATE("A(",C79,")=")</f>
        <v>A(7)=</v>
      </c>
      <c r="N79">
        <f>J79+L79</f>
        <v>259.04399999999998</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12.07</v>
      </c>
      <c r="AF79" s="82">
        <v>2</v>
      </c>
      <c r="AG79" s="83">
        <f>AE79*AF79</f>
        <v>24.14</v>
      </c>
      <c r="AH79" s="84" t="str">
        <f>CONCATENATE("a'(",AD79,")=")</f>
        <v>a'(7)=</v>
      </c>
      <c r="AI79" s="84">
        <f>2*AI77/2*AE80</f>
        <v>42.948</v>
      </c>
      <c r="AJ79" s="84" t="str">
        <f>CONCATENATE("A(",AD78,")=")</f>
        <v>A(6)=</v>
      </c>
      <c r="AK79" s="84">
        <f>VLOOKUP(AD78,STN_TABLE,3,FALSE)</f>
        <v>216.33599999999998</v>
      </c>
      <c r="AL79" t="str">
        <f>CONCATENATE("A(",AD79,")=")</f>
        <v>A(7)=</v>
      </c>
      <c r="AM79">
        <f>AI79+AK79</f>
        <v>259.28399999999999</v>
      </c>
      <c r="AO79" s="68" t="str">
        <f>AA79</f>
        <v>A(7)=</v>
      </c>
      <c r="AP79" s="68" t="e">
        <f>VLOOKUP(AO79,Rise_Results,2,FALSE)</f>
        <v>#N/A</v>
      </c>
      <c r="AQ79" s="76">
        <f>N79</f>
        <v>259.04399999999998</v>
      </c>
      <c r="AR79" s="76" t="e">
        <f>IF(OR(AB79&lt;=0,AB80&lt;=0),1/0,AB79)</f>
        <v>#VALUE!</v>
      </c>
      <c r="AS79" s="76">
        <f>AM79</f>
        <v>259.28399999999999</v>
      </c>
      <c r="AT79">
        <f>IFERROR(AP79,IFERROR(AQ79,IFERROR(AR79,AS79)))</f>
        <v>259.04399999999998</v>
      </c>
      <c r="AU79" s="81"/>
    </row>
    <row r="80" spans="1:47" x14ac:dyDescent="0.25">
      <c r="A80" s="84">
        <f>A79+1</f>
        <v>11</v>
      </c>
      <c r="B80" s="84">
        <f t="shared" si="27"/>
        <v>7</v>
      </c>
      <c r="F80" s="82">
        <f>SUM(F77:F79)</f>
        <v>70.69</v>
      </c>
      <c r="H80" s="82">
        <f>SUM(H77:H79)</f>
        <v>424.75</v>
      </c>
      <c r="I80" s="84" t="str">
        <f>CONCATENATE("m'(",C79,")=")</f>
        <v>m'(7)=</v>
      </c>
      <c r="J80" s="84">
        <f>2*(J77*(WLS))/3*H80</f>
        <v>917.46</v>
      </c>
      <c r="K80" s="84" t="str">
        <f>CONCATENATE("M(",C77,")=")</f>
        <v>M(5)=</v>
      </c>
      <c r="L80" s="84">
        <f>VLOOKUP(C77,STN_TABLE,4,FALSE)</f>
        <v>852.71400000000006</v>
      </c>
      <c r="M80" t="str">
        <f>CONCATENATE("M(",C79,")=")</f>
        <v>M(7)=</v>
      </c>
      <c r="N80">
        <f>J80+L80</f>
        <v>1770.174</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23.86</v>
      </c>
      <c r="AG80" s="89">
        <f>SUM(AG78:AG79)</f>
        <v>35.93</v>
      </c>
      <c r="AH80" s="84" t="str">
        <f>CONCATENATE("m'(",AD79,")=")</f>
        <v>m'(7)=</v>
      </c>
      <c r="AI80" s="84">
        <f>(2*(AI77^2)/6*AG80)+(AI79*AD78*WLS)</f>
        <v>502.64279999999997</v>
      </c>
      <c r="AJ80" s="84" t="str">
        <f>CONCATENATE("M(",AD78,")=")</f>
        <v>M(6)=</v>
      </c>
      <c r="AK80" s="84">
        <f>VLOOKUP(AD78,STN_TABLE,4,FALSE)</f>
        <v>1267.6176</v>
      </c>
      <c r="AL80" t="str">
        <f>CONCATENATE("M(",AD79,")=")</f>
        <v>M(7)=</v>
      </c>
      <c r="AM80">
        <f>AI80+AK80</f>
        <v>1770.2604000000001</v>
      </c>
      <c r="AO80" s="82" t="str">
        <f>AA80</f>
        <v>M(7)=</v>
      </c>
      <c r="AP80" s="82" t="e">
        <f>VLOOKUP(AO80,Rise_Results,2,FALSE)</f>
        <v>#N/A</v>
      </c>
      <c r="AQ80" s="82">
        <f>N80</f>
        <v>1770.174</v>
      </c>
      <c r="AR80" s="82" t="e">
        <f>IF(OR(AB79&lt;=0,AB80&lt;=0),1/0,AB80)</f>
        <v>#VALUE!</v>
      </c>
      <c r="AS80" s="82">
        <f>AM80</f>
        <v>1770.2604000000001</v>
      </c>
      <c r="AT80">
        <f>IFERROR(AP80,IFERROR(AQ80,IFERROR(AR80,AS80)))</f>
        <v>1770.174</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12.23</v>
      </c>
      <c r="S83" s="77">
        <v>8</v>
      </c>
      <c r="T83" s="76">
        <f>R83*S83</f>
        <v>97.84</v>
      </c>
      <c r="U83" s="80">
        <v>10</v>
      </c>
      <c r="V83" s="76">
        <f>R83*U83</f>
        <v>122.30000000000001</v>
      </c>
      <c r="W83" s="513" t="s">
        <v>97</v>
      </c>
      <c r="X83" s="513"/>
      <c r="Y83" s="513" t="s">
        <v>98</v>
      </c>
      <c r="Z83" s="513"/>
      <c r="AA83" s="511" t="s">
        <v>99</v>
      </c>
      <c r="AB83" s="511"/>
      <c r="AC83" s="99">
        <f>AC78+1</f>
        <v>11</v>
      </c>
      <c r="AD83" s="95">
        <f>VLOOKUP(AC83,STN_TABLE_2,2,FALSE)</f>
        <v>7</v>
      </c>
      <c r="AE83" s="68">
        <f>VLOOKUP(AD83,STN_TABLE,2,FALSE)</f>
        <v>12.07</v>
      </c>
      <c r="AF83" s="68">
        <v>1</v>
      </c>
      <c r="AG83" s="69">
        <f>AE83*AF83</f>
        <v>12.07</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12.23</v>
      </c>
      <c r="E84" s="92">
        <v>1</v>
      </c>
      <c r="F84" s="82">
        <f>D84*E84</f>
        <v>12.23</v>
      </c>
      <c r="G84" s="83">
        <f>C84</f>
        <v>7.8833333333333329</v>
      </c>
      <c r="H84" s="83">
        <f>F84*G84</f>
        <v>96.413166666666669</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12.23</v>
      </c>
      <c r="AF84" s="82">
        <v>2</v>
      </c>
      <c r="AG84" s="83">
        <f>AE84*AF84</f>
        <v>24.46</v>
      </c>
      <c r="AH84" s="84" t="str">
        <f>CONCATENATE("a'(",AD84,")=")</f>
        <v>a'(7.88333333333333)=</v>
      </c>
      <c r="AI84" s="84">
        <f>2*AI82/2*AE85</f>
        <v>38.636999999999979</v>
      </c>
      <c r="AJ84" s="84" t="str">
        <f>CONCATENATE("A(",AD83,")=")</f>
        <v>A(7)=</v>
      </c>
      <c r="AK84" s="84">
        <f>VLOOKUP(AD83,STN_TABLE,3,FALSE)</f>
        <v>259.04399999999998</v>
      </c>
      <c r="AL84" t="str">
        <f>CONCATENATE("A(",AD84,")=")</f>
        <v>A(7.88333333333333)=</v>
      </c>
      <c r="AM84">
        <f>AI84+AK84</f>
        <v>297.68099999999998</v>
      </c>
      <c r="AO84" s="68" t="str">
        <f>AA84</f>
        <v>A(7.88333333333333)=</v>
      </c>
      <c r="AP84" s="68" t="e">
        <f>VLOOKUP(AO84,Rise_Results,2,FALSE)</f>
        <v>#N/A</v>
      </c>
      <c r="AQ84" s="76" t="e">
        <f>N84</f>
        <v>#N/A</v>
      </c>
      <c r="AR84" s="76" t="e">
        <f>IF(OR(AB84&lt;=0,AB85&lt;=0),1/0,AB84)</f>
        <v>#VALUE!</v>
      </c>
      <c r="AS84" s="76">
        <f>AM84</f>
        <v>297.68099999999998</v>
      </c>
      <c r="AT84">
        <f>IFERROR(AP84,IFERROR(AQ84,IFERROR(AR84,AS84)))</f>
        <v>297.68099999999998</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24.3</v>
      </c>
      <c r="AG85" s="89">
        <f>SUM(AG83:AG84)</f>
        <v>36.53</v>
      </c>
      <c r="AH85" s="84" t="str">
        <f>CONCATENATE("m'(",AD84,")=")</f>
        <v>m'(7.88333333333333)=</v>
      </c>
      <c r="AI85" s="84">
        <f>(2*(AI82^2)/6*AG85)+(AI84*AD83*WLS)</f>
        <v>517.61003099999971</v>
      </c>
      <c r="AJ85" s="84" t="str">
        <f>CONCATENATE("M(",AD83,")=")</f>
        <v>M(7)=</v>
      </c>
      <c r="AK85" s="84">
        <f>VLOOKUP(AD83,STN_TABLE,4,FALSE)</f>
        <v>1770.174</v>
      </c>
      <c r="AL85" t="str">
        <f>CONCATENATE("M(",AD84,")=")</f>
        <v>M(7.88333333333333)=</v>
      </c>
      <c r="AM85">
        <f>AI85+AK85</f>
        <v>2287.7840309999997</v>
      </c>
      <c r="AO85" s="82" t="str">
        <f>AA85</f>
        <v>M(7.88333333333333)=</v>
      </c>
      <c r="AP85" s="82" t="e">
        <f>VLOOKUP(AO85,Rise_Results,2,FALSE)</f>
        <v>#N/A</v>
      </c>
      <c r="AQ85" s="82" t="e">
        <f>N85</f>
        <v>#N/A</v>
      </c>
      <c r="AR85" s="82" t="e">
        <f>IF(OR(AB84&lt;=0,AB85&lt;=0),1/0,AB85)</f>
        <v>#VALUE!</v>
      </c>
      <c r="AS85" s="82">
        <f>AM85</f>
        <v>2287.7840309999997</v>
      </c>
      <c r="AT85">
        <f>IFERROR(AP85,IFERROR(AQ85,IFERROR(AR85,AS85)))</f>
        <v>2287.7840309999997</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12.23</v>
      </c>
      <c r="AF88" s="68">
        <v>1</v>
      </c>
      <c r="AG88" s="69">
        <f>AE88*AF88</f>
        <v>12.23</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297.68099999999998</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12.23</v>
      </c>
      <c r="AG90" s="89" t="e">
        <f>SUM(AG88:AG89)</f>
        <v>#VALUE!</v>
      </c>
      <c r="AH90" s="84" t="str">
        <f>CONCATENATE("m'(",AD89,")=")</f>
        <v>m'(  )=</v>
      </c>
      <c r="AI90" s="84" t="e">
        <f>(2*(AI87^2)/6*AG90)+(AI89*AD88*WLS)</f>
        <v>#VALUE!</v>
      </c>
      <c r="AJ90" s="84" t="str">
        <f>CONCATENATE("M(",AD88,")=")</f>
        <v>M(7.88333333333333)=</v>
      </c>
      <c r="AK90" s="84">
        <f>VLOOKUP(AD88,STN_TABLE,4,FALSE)</f>
        <v>2287.7840309999997</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13</v>
      </c>
      <c r="E1" s="511" t="s">
        <v>91</v>
      </c>
      <c r="F1" s="511"/>
      <c r="G1" t="str">
        <f>VLOOKUP(Station_No,RISE_CALC,2,FALSE)</f>
        <v>-</v>
      </c>
      <c r="L1" s="511" t="s">
        <v>92</v>
      </c>
      <c r="M1" s="511"/>
      <c r="N1">
        <v>16</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6.7</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8.84</v>
      </c>
      <c r="D5" s="81">
        <f t="shared" ref="D5:D28" si="4">IFERROR(VLOOKUP(CONCATENATE("A(",B5,")="),RESULT_TABLE,6,FALSE)," ")</f>
        <v>14.128499999999999</v>
      </c>
      <c r="E5" s="77">
        <f t="shared" ref="E5:E28" si="5">IFERROR(VLOOKUP(CONCATENATE("M(",B5,")="),RESULT_TABLE,6,FALSE)," ")</f>
        <v>6.646725</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10.029999999999999</v>
      </c>
      <c r="D6" s="81">
        <f t="shared" si="4"/>
        <v>31.254000000000001</v>
      </c>
      <c r="E6" s="77">
        <f t="shared" si="5"/>
        <v>29.926800000000004</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10.68</v>
      </c>
      <c r="D7" s="81">
        <f t="shared" si="4"/>
        <v>49.912499999999994</v>
      </c>
      <c r="E7" s="77">
        <f t="shared" si="5"/>
        <v>72.051525000000012</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11.1</v>
      </c>
      <c r="D8" s="81">
        <f t="shared" si="4"/>
        <v>69.564000000000007</v>
      </c>
      <c r="E8" s="77">
        <f t="shared" si="5"/>
        <v>133.94160000000002</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11.64</v>
      </c>
      <c r="D9" s="81">
        <f t="shared" si="4"/>
        <v>110.538</v>
      </c>
      <c r="E9" s="77">
        <f t="shared" si="5"/>
        <v>318.82680000000005</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11.97</v>
      </c>
      <c r="D10" s="81">
        <f t="shared" si="4"/>
        <v>153.12</v>
      </c>
      <c r="E10" s="77">
        <f t="shared" si="5"/>
        <v>587.02320000000009</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12.18</v>
      </c>
      <c r="D11" s="81">
        <f t="shared" si="4"/>
        <v>196.578</v>
      </c>
      <c r="E11" s="77">
        <f t="shared" si="5"/>
        <v>939.48120000000006</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12.22</v>
      </c>
      <c r="D12" s="81">
        <f t="shared" si="4"/>
        <v>223.41799999999998</v>
      </c>
      <c r="E12" s="77">
        <f t="shared" si="5"/>
        <v>1195.8112666666666</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12.23</v>
      </c>
      <c r="D13" s="81">
        <f t="shared" si="4"/>
        <v>240.62400000000002</v>
      </c>
      <c r="E13" s="77">
        <f t="shared" si="5"/>
        <v>1375.1208000000001</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12.23</v>
      </c>
      <c r="D14" s="81">
        <f t="shared" si="4"/>
        <v>284.57400000000001</v>
      </c>
      <c r="E14" s="77">
        <f t="shared" si="5"/>
        <v>1889.9459999999999</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323.49720000000002</v>
      </c>
      <c r="E15" s="77">
        <f t="shared" si="5"/>
        <v>2411.3306909999997</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6.7</v>
      </c>
      <c r="S32" s="69">
        <v>5</v>
      </c>
      <c r="T32" s="68">
        <f>R32*S32</f>
        <v>33.5</v>
      </c>
      <c r="U32" s="79">
        <v>3</v>
      </c>
      <c r="V32" s="68">
        <f>R32*U32</f>
        <v>20.100000000000001</v>
      </c>
      <c r="W32" t="s">
        <v>93</v>
      </c>
      <c r="X32" s="70">
        <f>IF(AND(Q34-Q33=Q33-Q32,NOT(AND(Q32=0,Q33=0)),NOT(AND(Q33=0,Q34=0))),WLS*(Q34-Q33),"#NA")</f>
        <v>0.9</v>
      </c>
      <c r="AD32" s="93"/>
      <c r="AH32" s="6" t="s">
        <v>93</v>
      </c>
      <c r="AI32" s="70">
        <f>WLS*(AD34-AD33)</f>
        <v>0.9</v>
      </c>
    </row>
    <row r="33" spans="1:47" x14ac:dyDescent="0.25">
      <c r="Q33" s="76">
        <f>B5</f>
        <v>0.5</v>
      </c>
      <c r="R33" s="77">
        <f>VLOOKUP(Q33,STN_TABLE,2,FALSE)</f>
        <v>8.84</v>
      </c>
      <c r="S33" s="77">
        <v>8</v>
      </c>
      <c r="T33" s="76">
        <f>R33*S33</f>
        <v>70.72</v>
      </c>
      <c r="U33" s="80">
        <v>10</v>
      </c>
      <c r="V33" s="76">
        <f>R33*U33</f>
        <v>88.4</v>
      </c>
      <c r="W33" s="512" t="s">
        <v>97</v>
      </c>
      <c r="X33" s="513"/>
      <c r="Y33" s="513" t="s">
        <v>98</v>
      </c>
      <c r="Z33" s="513"/>
      <c r="AA33" s="511" t="s">
        <v>99</v>
      </c>
      <c r="AB33" s="511"/>
      <c r="AC33" s="94">
        <v>1</v>
      </c>
      <c r="AD33" s="95">
        <f>VLOOKUP(AC33,STN_TABLE_2,2,FALSE)</f>
        <v>0</v>
      </c>
      <c r="AE33" s="68">
        <f>VLOOKUP(AD33,STN_TABLE,2,FALSE)</f>
        <v>6.7</v>
      </c>
      <c r="AF33" s="68">
        <v>1</v>
      </c>
      <c r="AG33" s="69">
        <f>AE33*AF33</f>
        <v>6.7</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10.029999999999999</v>
      </c>
      <c r="S34" s="83">
        <v>-1</v>
      </c>
      <c r="T34" s="82">
        <f>R34*S34</f>
        <v>-10.029999999999999</v>
      </c>
      <c r="U34" s="88">
        <v>-1</v>
      </c>
      <c r="V34" s="82">
        <f>R34*U34</f>
        <v>-10.029999999999999</v>
      </c>
      <c r="W34" s="84" t="str">
        <f>CONCATENATE("a'(",Q33,")=")</f>
        <v>a'(0.5)=</v>
      </c>
      <c r="X34" s="84">
        <f>2*X32/12*T35</f>
        <v>14.128499999999999</v>
      </c>
      <c r="Y34" s="84" t="str">
        <f>CONCATENATE("A(",Q32,")=")</f>
        <v>A(0)=</v>
      </c>
      <c r="Z34" s="84">
        <f>VLOOKUP(Q32,STN_TABLE,3,FALSE)</f>
        <v>0</v>
      </c>
      <c r="AA34" t="str">
        <f>CONCATENATE("A(",Q33,")=")</f>
        <v>A(0.5)=</v>
      </c>
      <c r="AB34">
        <f>X34+Z34</f>
        <v>14.128499999999999</v>
      </c>
      <c r="AC34" s="99">
        <f>AC33+1</f>
        <v>2</v>
      </c>
      <c r="AD34" s="100">
        <f>VLOOKUP(AC34,STN_TABLE_2,2,FALSE)</f>
        <v>0.5</v>
      </c>
      <c r="AE34" s="82">
        <f>VLOOKUP(AD34,STN_TABLE,2,FALSE)</f>
        <v>8.84</v>
      </c>
      <c r="AF34" s="82">
        <v>2</v>
      </c>
      <c r="AG34" s="83">
        <f>AE34*AF34</f>
        <v>17.68</v>
      </c>
      <c r="AH34" s="84" t="str">
        <f>CONCATENATE("a'(",AD34,")=")</f>
        <v>a'(0.5)=</v>
      </c>
      <c r="AI34" s="84">
        <f>2*AI32/2*AE35</f>
        <v>13.985999999999999</v>
      </c>
      <c r="AJ34" s="84" t="str">
        <f>CONCATENATE("A(",AD33,")=")</f>
        <v>A(0)=</v>
      </c>
      <c r="AK34" s="84">
        <f>VLOOKUP(AD33,STN_TABLE,3,FALSE)</f>
        <v>0</v>
      </c>
      <c r="AL34" t="str">
        <f>CONCATENATE("A(",AD34,")=")</f>
        <v>A(0.5)=</v>
      </c>
      <c r="AM34">
        <f>AI34+AK34</f>
        <v>13.985999999999999</v>
      </c>
      <c r="AO34" s="68" t="str">
        <f>AA34</f>
        <v>A(0.5)=</v>
      </c>
      <c r="AP34" s="79" t="e">
        <f>VLOOKUP(AO34,Rise_Results,2,FALSE)</f>
        <v>#N/A</v>
      </c>
      <c r="AQ34" s="76" t="s">
        <v>117</v>
      </c>
      <c r="AR34" s="76">
        <f>IF(OR(AB34&lt;=0,AB35&lt;=0),1/0,AB34)</f>
        <v>14.128499999999999</v>
      </c>
      <c r="AS34" s="76">
        <f>AM34</f>
        <v>13.985999999999999</v>
      </c>
      <c r="AT34" s="80">
        <f>IFERROR(AP34,IFERROR(AR34,AS34))</f>
        <v>14.128499999999999</v>
      </c>
    </row>
    <row r="35" spans="1:47" x14ac:dyDescent="0.25">
      <c r="A35" s="101"/>
      <c r="T35" s="89">
        <f>SUM(T32:T34)</f>
        <v>94.19</v>
      </c>
      <c r="V35" s="82">
        <f>SUM(V32:V34)</f>
        <v>98.47</v>
      </c>
      <c r="W35" s="84" t="str">
        <f>CONCATENATE("m'(",Q33,")=")</f>
        <v>m'(0.5)=</v>
      </c>
      <c r="X35" s="84">
        <f>(2*(X32^2)/24*V35)</f>
        <v>6.646725</v>
      </c>
      <c r="Y35" s="84" t="str">
        <f>CONCATENATE("M(",Q32,")=")</f>
        <v>M(0)=</v>
      </c>
      <c r="Z35" s="84">
        <f>VLOOKUP(Q32,STN_TABLE,4,FALSE)</f>
        <v>0</v>
      </c>
      <c r="AA35" t="str">
        <f>CONCATENATE("M(",Q33,")=")</f>
        <v>M(0.5)=</v>
      </c>
      <c r="AB35">
        <f>X35+Z35</f>
        <v>6.646725</v>
      </c>
      <c r="AE35" s="89">
        <f>SUM(AE33:AE34)</f>
        <v>15.54</v>
      </c>
      <c r="AG35" s="89">
        <f>SUM(AG33:AG34)</f>
        <v>24.38</v>
      </c>
      <c r="AH35" s="84" t="str">
        <f>CONCATENATE("m'(",AD34,")=")</f>
        <v>m'(0.5)=</v>
      </c>
      <c r="AI35" s="84">
        <f>(2*(AI32^2)/6*AG35)+(AI34*AD33*WLS)</f>
        <v>6.5826000000000002</v>
      </c>
      <c r="AJ35" s="84" t="str">
        <f>CONCATENATE("M(",AD33,")=")</f>
        <v>M(0)=</v>
      </c>
      <c r="AK35" s="84">
        <f>VLOOKUP(AD33,STN_TABLE,4,FALSE)</f>
        <v>0</v>
      </c>
      <c r="AL35" t="str">
        <f>CONCATENATE("M(",AD34,")=")</f>
        <v>M(0.5)=</v>
      </c>
      <c r="AM35">
        <f>AI35+AK35</f>
        <v>6.5826000000000002</v>
      </c>
      <c r="AO35" s="82" t="str">
        <f>AA35</f>
        <v>M(0.5)=</v>
      </c>
      <c r="AP35" s="88" t="e">
        <f>VLOOKUP(AO35,Rise_Results,2,FALSE)</f>
        <v>#N/A</v>
      </c>
      <c r="AQ35" s="82" t="s">
        <v>117</v>
      </c>
      <c r="AR35" s="82">
        <f>IF(OR(AB34&lt;=0,AB35&lt;=0),1/0,AB35)</f>
        <v>6.646725</v>
      </c>
      <c r="AS35" s="82">
        <f>AM35</f>
        <v>6.5826000000000002</v>
      </c>
      <c r="AT35" s="80">
        <f>IFERROR(AP35,IFERROR(AR35,AS35))</f>
        <v>6.646725</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6.7</v>
      </c>
      <c r="E37" s="102">
        <v>1</v>
      </c>
      <c r="F37" s="68">
        <f>D37*E37</f>
        <v>6.7</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8.84</v>
      </c>
      <c r="S37" s="69">
        <v>5</v>
      </c>
      <c r="T37" s="68">
        <f>R37*S37</f>
        <v>44.2</v>
      </c>
      <c r="U37" s="79">
        <v>3</v>
      </c>
      <c r="V37" s="68">
        <f>R37*U37</f>
        <v>26.52</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8.84</v>
      </c>
      <c r="E38" s="81">
        <v>4</v>
      </c>
      <c r="F38" s="76">
        <f>D38*E38</f>
        <v>35.36</v>
      </c>
      <c r="G38" s="77">
        <f>C38</f>
        <v>0.5</v>
      </c>
      <c r="H38" s="77">
        <f>F38*G38</f>
        <v>17.68</v>
      </c>
      <c r="I38" s="513" t="s">
        <v>97</v>
      </c>
      <c r="J38" s="513"/>
      <c r="K38" s="78" t="s">
        <v>98</v>
      </c>
      <c r="L38" s="78"/>
      <c r="M38" s="7" t="s">
        <v>99</v>
      </c>
      <c r="N38" s="7"/>
      <c r="O38" s="99">
        <f>O37+1</f>
        <v>3</v>
      </c>
      <c r="P38" s="99">
        <f t="shared" si="10"/>
        <v>1</v>
      </c>
      <c r="Q38" s="76">
        <f>P38</f>
        <v>1</v>
      </c>
      <c r="R38" s="77">
        <f>VLOOKUP(Q38,STN_TABLE,2,FALSE)</f>
        <v>10.029999999999999</v>
      </c>
      <c r="S38" s="77">
        <v>8</v>
      </c>
      <c r="T38" s="76">
        <f>R38*S38</f>
        <v>80.239999999999995</v>
      </c>
      <c r="U38" s="80">
        <v>10</v>
      </c>
      <c r="V38" s="76">
        <f>R38*U38</f>
        <v>100.3</v>
      </c>
      <c r="W38" s="513" t="s">
        <v>97</v>
      </c>
      <c r="X38" s="513"/>
      <c r="Y38" s="513" t="s">
        <v>98</v>
      </c>
      <c r="Z38" s="513"/>
      <c r="AA38" s="511" t="s">
        <v>99</v>
      </c>
      <c r="AB38" s="511"/>
      <c r="AC38" s="99">
        <f>AC33+1</f>
        <v>2</v>
      </c>
      <c r="AD38" s="95">
        <f>VLOOKUP(AC38,STN_TABLE_2,2,FALSE)</f>
        <v>0.5</v>
      </c>
      <c r="AE38" s="68">
        <f>VLOOKUP(AD38,STN_TABLE,2,FALSE)</f>
        <v>8.84</v>
      </c>
      <c r="AF38" s="68">
        <v>1</v>
      </c>
      <c r="AG38" s="69">
        <f>AE38*AF38</f>
        <v>8.84</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10.029999999999999</v>
      </c>
      <c r="E39" s="92">
        <v>1</v>
      </c>
      <c r="F39" s="82">
        <f>D39*E39</f>
        <v>10.029999999999999</v>
      </c>
      <c r="G39" s="83">
        <f>C39</f>
        <v>1</v>
      </c>
      <c r="H39" s="83">
        <f>F39*G39</f>
        <v>10.029999999999999</v>
      </c>
      <c r="I39" s="84" t="str">
        <f>CONCATENATE("a'(",C39,")=")</f>
        <v>a'(1)=</v>
      </c>
      <c r="J39" s="84">
        <f>2*J37/3*F40</f>
        <v>31.254000000000001</v>
      </c>
      <c r="K39" s="84" t="str">
        <f>CONCATENATE("A(",C37,")=")</f>
        <v>A(0)=</v>
      </c>
      <c r="L39" s="84">
        <f>VLOOKUP(C37,STN_TABLE,3,FALSE)</f>
        <v>0</v>
      </c>
      <c r="M39" t="str">
        <f>CONCATENATE("A(",C39,")=")</f>
        <v>A(1)=</v>
      </c>
      <c r="N39">
        <f>J39+L39</f>
        <v>31.254000000000001</v>
      </c>
      <c r="O39" s="99">
        <f>O38+1</f>
        <v>4</v>
      </c>
      <c r="P39" s="99">
        <f t="shared" si="10"/>
        <v>1.5</v>
      </c>
      <c r="Q39" s="82">
        <f>IF(P39-P38=P38-P37,P39,IF(P40-P38=P38-P37,P40,IF(P39-P38=P38-P36,P39,IF(P40-P38=P38-P36,P40,"-"))))</f>
        <v>1.5</v>
      </c>
      <c r="R39" s="83">
        <f>VLOOKUP(Q39,STN_TABLE,2,FALSE)</f>
        <v>10.68</v>
      </c>
      <c r="S39" s="83">
        <v>-1</v>
      </c>
      <c r="T39" s="82">
        <f>R39*S39</f>
        <v>-10.68</v>
      </c>
      <c r="U39" s="88">
        <v>-1</v>
      </c>
      <c r="V39" s="82">
        <f>R39*U39</f>
        <v>-10.68</v>
      </c>
      <c r="W39" s="84" t="str">
        <f>CONCATENATE("a'(",Q38,")=")</f>
        <v>a'(1)=</v>
      </c>
      <c r="X39" s="84">
        <f>2*X37/12*T40</f>
        <v>17.063999999999997</v>
      </c>
      <c r="Y39" s="84" t="str">
        <f>CONCATENATE("A(",Q37,")=")</f>
        <v>A(0.5)=</v>
      </c>
      <c r="Z39" s="84">
        <f>VLOOKUP(Q37,STN_TABLE,3,FALSE)</f>
        <v>14.128499999999999</v>
      </c>
      <c r="AA39" t="str">
        <f>CONCATENATE("A(",Q38,")=")</f>
        <v>A(1)=</v>
      </c>
      <c r="AB39">
        <f>X39+Z39</f>
        <v>31.192499999999995</v>
      </c>
      <c r="AC39" s="99">
        <f>AC38+1</f>
        <v>3</v>
      </c>
      <c r="AD39" s="100">
        <f>VLOOKUP(AC39,STN_TABLE_2,2,FALSE)</f>
        <v>1</v>
      </c>
      <c r="AE39" s="82">
        <f>VLOOKUP(AD39,STN_TABLE,2,FALSE)</f>
        <v>10.029999999999999</v>
      </c>
      <c r="AF39" s="82">
        <v>2</v>
      </c>
      <c r="AG39" s="83">
        <f>AE39*AF39</f>
        <v>20.059999999999999</v>
      </c>
      <c r="AH39" s="84" t="str">
        <f>CONCATENATE("a'(",AD39,")=")</f>
        <v>a'(1)=</v>
      </c>
      <c r="AI39" s="84">
        <f>2*AI37/2*AE40</f>
        <v>16.982999999999997</v>
      </c>
      <c r="AJ39" s="84" t="str">
        <f>CONCATENATE("A(",AD38,")=")</f>
        <v>A(0.5)=</v>
      </c>
      <c r="AK39" s="84">
        <f>VLOOKUP(AD38,STN_TABLE,3,FALSE)</f>
        <v>14.128499999999999</v>
      </c>
      <c r="AL39" t="str">
        <f>CONCATENATE("A(",AD39,")=")</f>
        <v>A(1)=</v>
      </c>
      <c r="AM39">
        <f>AI39+AK39</f>
        <v>31.111499999999996</v>
      </c>
      <c r="AO39" s="68" t="str">
        <f>AA39</f>
        <v>A(1)=</v>
      </c>
      <c r="AP39" s="68" t="e">
        <f>VLOOKUP(AO39,Rise_Results,2,FALSE)</f>
        <v>#N/A</v>
      </c>
      <c r="AQ39" s="76">
        <f>N39</f>
        <v>31.254000000000001</v>
      </c>
      <c r="AR39" s="76">
        <f>IF(OR(AB39&lt;=0,AB40&lt;=0),1/0,AB39)</f>
        <v>31.192499999999995</v>
      </c>
      <c r="AS39" s="76">
        <f>AM39</f>
        <v>31.111499999999996</v>
      </c>
      <c r="AT39">
        <f>IFERROR(AP39,IFERROR(AQ39,IFERROR(AR39,AS39)))</f>
        <v>31.254000000000001</v>
      </c>
    </row>
    <row r="40" spans="1:47" x14ac:dyDescent="0.25">
      <c r="A40">
        <v>4</v>
      </c>
      <c r="F40" s="82">
        <f>SUM(F37:F39)</f>
        <v>52.09</v>
      </c>
      <c r="H40" s="82">
        <f>SUM(H37:H39)</f>
        <v>27.71</v>
      </c>
      <c r="I40" s="84" t="str">
        <f>CONCATENATE("m'(",C39,")=")</f>
        <v>m'(1)=</v>
      </c>
      <c r="J40" s="84">
        <f>2*(J37*(WLS))/3*H40</f>
        <v>29.926800000000004</v>
      </c>
      <c r="K40" s="84" t="str">
        <f>CONCATENATE("M(",C37,")=")</f>
        <v>M(0)=</v>
      </c>
      <c r="L40" s="84">
        <f>VLOOKUP(C37,STN_TABLE,4,FALSE)</f>
        <v>0</v>
      </c>
      <c r="M40" t="str">
        <f>CONCATENATE("M(",C39,")=")</f>
        <v>M(1)=</v>
      </c>
      <c r="N40">
        <f>J40+L40</f>
        <v>29.926800000000004</v>
      </c>
      <c r="O40" s="99">
        <f>O39+1</f>
        <v>5</v>
      </c>
      <c r="P40" s="99">
        <f t="shared" si="10"/>
        <v>2</v>
      </c>
      <c r="T40" s="89">
        <f>SUM(T37:T39)</f>
        <v>113.75999999999999</v>
      </c>
      <c r="V40" s="82">
        <f>SUM(V37:V39)</f>
        <v>116.13999999999999</v>
      </c>
      <c r="W40" s="84" t="str">
        <f>CONCATENATE("m'(",Q38,")=")</f>
        <v>m'(1)=</v>
      </c>
      <c r="X40" s="84">
        <f>(2*(X37^2)/24*V40)+(X39*Q37*WLS)</f>
        <v>23.197049999999997</v>
      </c>
      <c r="Y40" s="84" t="str">
        <f>CONCATENATE("M(",Q37,")=")</f>
        <v>M(0.5)=</v>
      </c>
      <c r="Z40" s="84">
        <f>VLOOKUP(Q37,STN_TABLE,4,FALSE)</f>
        <v>6.646725</v>
      </c>
      <c r="AA40" t="str">
        <f>CONCATENATE("M(",Q38,")=")</f>
        <v>M(1)=</v>
      </c>
      <c r="AB40">
        <f>X40+Z40</f>
        <v>29.843774999999997</v>
      </c>
      <c r="AE40" s="89">
        <f>SUM(AE38:AE39)</f>
        <v>18.869999999999997</v>
      </c>
      <c r="AG40" s="89">
        <f>SUM(AG38:AG39)</f>
        <v>28.9</v>
      </c>
      <c r="AH40" s="84" t="str">
        <f>CONCATENATE("m'(",AD39,")=")</f>
        <v>m'(1)=</v>
      </c>
      <c r="AI40" s="84">
        <f>(2*(AI37^2)/6*AG40)+(AI39*AD38*WLS)</f>
        <v>23.087699999999998</v>
      </c>
      <c r="AJ40" s="84" t="str">
        <f>CONCATENATE("M(",AD38,")=")</f>
        <v>M(0.5)=</v>
      </c>
      <c r="AK40" s="84">
        <f>VLOOKUP(AD38,STN_TABLE,4,FALSE)</f>
        <v>6.646725</v>
      </c>
      <c r="AL40" t="str">
        <f>CONCATENATE("M(",AD39,")=")</f>
        <v>M(1)=</v>
      </c>
      <c r="AM40">
        <f>AI40+AK40</f>
        <v>29.734424999999998</v>
      </c>
      <c r="AO40" s="82" t="str">
        <f>AA40</f>
        <v>M(1)=</v>
      </c>
      <c r="AP40" s="82" t="e">
        <f>VLOOKUP(AO40,Rise_Results,2,FALSE)</f>
        <v>#N/A</v>
      </c>
      <c r="AQ40" s="82">
        <f>N40</f>
        <v>29.926800000000004</v>
      </c>
      <c r="AR40" s="82">
        <f>IF(OR(AB39&lt;=0,AB40&lt;=0),1/0,AB40)</f>
        <v>29.843774999999997</v>
      </c>
      <c r="AS40" s="82">
        <f>AM40</f>
        <v>29.734424999999998</v>
      </c>
      <c r="AT40">
        <f>IFERROR(AP40,IFERROR(AQ40,IFERROR(AR40,AS40)))</f>
        <v>29.926800000000004</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8.84</v>
      </c>
      <c r="E42" s="102">
        <v>1</v>
      </c>
      <c r="F42" s="68">
        <f>D42*E42</f>
        <v>8.84</v>
      </c>
      <c r="G42" s="69">
        <f>C42</f>
        <v>0.5</v>
      </c>
      <c r="H42" s="69">
        <f>F42*G42</f>
        <v>4.42</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10.029999999999999</v>
      </c>
      <c r="S42" s="69">
        <v>5</v>
      </c>
      <c r="T42" s="68">
        <f>R42*S42</f>
        <v>50.15</v>
      </c>
      <c r="U42" s="79">
        <v>3</v>
      </c>
      <c r="V42" s="68">
        <f>R42*U42</f>
        <v>30.089999999999996</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10.029999999999999</v>
      </c>
      <c r="E43" s="81">
        <v>4</v>
      </c>
      <c r="F43" s="76">
        <f>D43*E43</f>
        <v>40.119999999999997</v>
      </c>
      <c r="G43" s="77">
        <f>C43</f>
        <v>1</v>
      </c>
      <c r="H43" s="77">
        <f>F43*G43</f>
        <v>40.119999999999997</v>
      </c>
      <c r="I43" s="513" t="s">
        <v>97</v>
      </c>
      <c r="J43" s="513"/>
      <c r="K43" s="78" t="s">
        <v>98</v>
      </c>
      <c r="L43" s="78"/>
      <c r="M43" s="7" t="s">
        <v>99</v>
      </c>
      <c r="N43" s="7"/>
      <c r="O43" s="99">
        <f>O42+1</f>
        <v>4</v>
      </c>
      <c r="P43" s="99">
        <f t="shared" si="10"/>
        <v>1.5</v>
      </c>
      <c r="Q43" s="76">
        <f>P43</f>
        <v>1.5</v>
      </c>
      <c r="R43" s="77">
        <f>VLOOKUP(Q43,STN_TABLE,2,FALSE)</f>
        <v>10.68</v>
      </c>
      <c r="S43" s="77">
        <v>8</v>
      </c>
      <c r="T43" s="76">
        <f>R43*S43</f>
        <v>85.44</v>
      </c>
      <c r="U43" s="80">
        <v>10</v>
      </c>
      <c r="V43" s="76">
        <f>R43*U43</f>
        <v>106.8</v>
      </c>
      <c r="W43" s="513" t="s">
        <v>97</v>
      </c>
      <c r="X43" s="513"/>
      <c r="Y43" s="513" t="s">
        <v>98</v>
      </c>
      <c r="Z43" s="513"/>
      <c r="AA43" s="511" t="s">
        <v>99</v>
      </c>
      <c r="AB43" s="511"/>
      <c r="AC43" s="99">
        <f>AC38+1</f>
        <v>3</v>
      </c>
      <c r="AD43" s="95">
        <f>VLOOKUP(AC43,STN_TABLE_2,2,FALSE)</f>
        <v>1</v>
      </c>
      <c r="AE43" s="68">
        <f>VLOOKUP(AD43,STN_TABLE,2,FALSE)</f>
        <v>10.029999999999999</v>
      </c>
      <c r="AF43" s="68">
        <v>1</v>
      </c>
      <c r="AG43" s="69">
        <f>AE43*AF43</f>
        <v>10.029999999999999</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10.68</v>
      </c>
      <c r="E44" s="92">
        <v>1</v>
      </c>
      <c r="F44" s="82">
        <f>D44*E44</f>
        <v>10.68</v>
      </c>
      <c r="G44" s="83">
        <f>C44</f>
        <v>1.5</v>
      </c>
      <c r="H44" s="83">
        <f>F44*G44</f>
        <v>16.02</v>
      </c>
      <c r="I44" s="84" t="str">
        <f>CONCATENATE("a'(",C44,")=")</f>
        <v>a'(1.5)=</v>
      </c>
      <c r="J44" s="84">
        <f>2*J42/3*F45</f>
        <v>35.783999999999992</v>
      </c>
      <c r="K44" s="84" t="str">
        <f>CONCATENATE("A(",C42,")=")</f>
        <v>A(0.5)=</v>
      </c>
      <c r="L44" s="84">
        <f>VLOOKUP(C42,STN_TABLE,3,FALSE)</f>
        <v>14.128499999999999</v>
      </c>
      <c r="M44" t="str">
        <f>CONCATENATE("A(",C44,")=")</f>
        <v>A(1.5)=</v>
      </c>
      <c r="N44">
        <f>J44+L44</f>
        <v>49.912499999999994</v>
      </c>
      <c r="O44" s="99">
        <f>O43+1</f>
        <v>5</v>
      </c>
      <c r="P44" s="99">
        <f t="shared" si="10"/>
        <v>2</v>
      </c>
      <c r="Q44" s="82">
        <f>IF(P44-P43=P43-P42,P44,IF(P45-P43=P43-P42,P45,IF(P44-P43=P43-P41,P44,IF(P45-P43=P43-P41,P45,"-"))))</f>
        <v>2</v>
      </c>
      <c r="R44" s="83">
        <f>VLOOKUP(Q44,STN_TABLE,2,FALSE)</f>
        <v>11.1</v>
      </c>
      <c r="S44" s="83">
        <v>-1</v>
      </c>
      <c r="T44" s="82">
        <f>R44*S44</f>
        <v>-11.1</v>
      </c>
      <c r="U44" s="88">
        <v>-1</v>
      </c>
      <c r="V44" s="82">
        <f>R44*U44</f>
        <v>-11.1</v>
      </c>
      <c r="W44" s="84" t="str">
        <f>CONCATENATE("a'(",Q43,")=")</f>
        <v>a'(1.5)=</v>
      </c>
      <c r="X44" s="84">
        <f>2*X42/12*T45</f>
        <v>18.673500000000001</v>
      </c>
      <c r="Y44" s="84" t="str">
        <f>CONCATENATE("A(",Q42,")=")</f>
        <v>A(1)=</v>
      </c>
      <c r="Z44" s="84">
        <f>VLOOKUP(Q42,STN_TABLE,3,FALSE)</f>
        <v>31.254000000000001</v>
      </c>
      <c r="AA44" t="str">
        <f>CONCATENATE("A(",Q43,")=")</f>
        <v>A(1.5)=</v>
      </c>
      <c r="AB44">
        <f>X44+Z44</f>
        <v>49.927500000000002</v>
      </c>
      <c r="AC44" s="99">
        <f>AC43+1</f>
        <v>4</v>
      </c>
      <c r="AD44" s="100">
        <f>VLOOKUP(AC44,STN_TABLE_2,2,FALSE)</f>
        <v>1.5</v>
      </c>
      <c r="AE44" s="82">
        <f>VLOOKUP(AD44,STN_TABLE,2,FALSE)</f>
        <v>10.68</v>
      </c>
      <c r="AF44" s="82">
        <v>2</v>
      </c>
      <c r="AG44" s="83">
        <f>AE44*AF44</f>
        <v>21.36</v>
      </c>
      <c r="AH44" s="84" t="str">
        <f>CONCATENATE("a'(",AD44,")=")</f>
        <v>a'(1.5)=</v>
      </c>
      <c r="AI44" s="84">
        <f>2*AI42/2*AE45</f>
        <v>18.639000000000003</v>
      </c>
      <c r="AJ44" s="84" t="str">
        <f>CONCATENATE("A(",AD43,")=")</f>
        <v>A(1)=</v>
      </c>
      <c r="AK44" s="84">
        <f>VLOOKUP(AD43,STN_TABLE,3,FALSE)</f>
        <v>31.254000000000001</v>
      </c>
      <c r="AL44" t="str">
        <f>CONCATENATE("A(",AD44,")=")</f>
        <v>A(1.5)=</v>
      </c>
      <c r="AM44">
        <f>AI44+AK44</f>
        <v>49.893000000000001</v>
      </c>
      <c r="AO44" s="68" t="str">
        <f>AA44</f>
        <v>A(1.5)=</v>
      </c>
      <c r="AP44" s="68" t="e">
        <f>VLOOKUP(AO44,Rise_Results,2,FALSE)</f>
        <v>#N/A</v>
      </c>
      <c r="AQ44" s="76">
        <f>N44</f>
        <v>49.912499999999994</v>
      </c>
      <c r="AR44" s="76">
        <f>IF(OR(AB44&lt;=0,AB45&lt;=0),1/0,AB44)</f>
        <v>49.927500000000002</v>
      </c>
      <c r="AS44" s="76">
        <f>AM44</f>
        <v>49.893000000000001</v>
      </c>
      <c r="AT44">
        <f>IFERROR(AP44,IFERROR(AQ44,IFERROR(AR44,AS44)))</f>
        <v>49.912499999999994</v>
      </c>
      <c r="AU44" s="81"/>
    </row>
    <row r="45" spans="1:47" x14ac:dyDescent="0.25">
      <c r="A45" s="94">
        <f>A44+1</f>
        <v>4</v>
      </c>
      <c r="B45" s="94">
        <f t="shared" si="11"/>
        <v>1.5</v>
      </c>
      <c r="F45" s="82">
        <f>SUM(F42:F44)</f>
        <v>59.639999999999993</v>
      </c>
      <c r="H45" s="82">
        <f>SUM(H42:H44)</f>
        <v>60.56</v>
      </c>
      <c r="I45" s="84" t="str">
        <f>CONCATENATE("m'(",C44,")=")</f>
        <v>m'(1.5)=</v>
      </c>
      <c r="J45" s="84">
        <f>2*(J42*(WLS))/3*H45</f>
        <v>65.404800000000009</v>
      </c>
      <c r="K45" s="84" t="str">
        <f>CONCATENATE("M(",C42,")=")</f>
        <v>M(0.5)=</v>
      </c>
      <c r="L45" s="84">
        <f>VLOOKUP(C42,STN_TABLE,4,FALSE)</f>
        <v>6.646725</v>
      </c>
      <c r="M45" t="str">
        <f>CONCATENATE("M(",C44,")=")</f>
        <v>M(1.5)=</v>
      </c>
      <c r="N45">
        <f>J45+L45</f>
        <v>72.051525000000012</v>
      </c>
      <c r="O45" s="99">
        <f>O44+1</f>
        <v>6</v>
      </c>
      <c r="P45" s="99">
        <f t="shared" si="10"/>
        <v>3</v>
      </c>
      <c r="T45" s="89">
        <f>SUM(T42:T44)</f>
        <v>124.49000000000001</v>
      </c>
      <c r="V45" s="82">
        <f>SUM(V42:V44)</f>
        <v>125.78999999999999</v>
      </c>
      <c r="W45" s="84" t="str">
        <f>CONCATENATE("m'(",Q43,")=")</f>
        <v>m'(1.5)=</v>
      </c>
      <c r="X45" s="84">
        <f>(2*(X42^2)/24*V45)+(X44*Q42*WLS)</f>
        <v>42.103125000000006</v>
      </c>
      <c r="Y45" s="84" t="str">
        <f>CONCATENATE("M(",Q42,")=")</f>
        <v>M(1)=</v>
      </c>
      <c r="Z45" s="84">
        <f>VLOOKUP(Q42,STN_TABLE,4,FALSE)</f>
        <v>29.926800000000004</v>
      </c>
      <c r="AA45" t="str">
        <f>CONCATENATE("M(",Q43,")=")</f>
        <v>M(1.5)=</v>
      </c>
      <c r="AB45">
        <f>X45+Z45</f>
        <v>72.029925000000006</v>
      </c>
      <c r="AE45" s="89">
        <f>SUM(AE43:AE44)</f>
        <v>20.71</v>
      </c>
      <c r="AG45" s="89">
        <f>SUM(AG43:AG44)</f>
        <v>31.39</v>
      </c>
      <c r="AH45" s="84" t="str">
        <f>CONCATENATE("m'(",AD44,")=")</f>
        <v>m'(1.5)=</v>
      </c>
      <c r="AI45" s="84">
        <f>(2*(AI42^2)/6*AG45)+(AI44*AD43*WLS)</f>
        <v>42.025500000000008</v>
      </c>
      <c r="AJ45" s="84" t="str">
        <f>CONCATENATE("M(",AD43,")=")</f>
        <v>M(1)=</v>
      </c>
      <c r="AK45" s="84">
        <f>VLOOKUP(AD43,STN_TABLE,4,FALSE)</f>
        <v>29.926800000000004</v>
      </c>
      <c r="AL45" t="str">
        <f>CONCATENATE("M(",AD44,")=")</f>
        <v>M(1.5)=</v>
      </c>
      <c r="AM45">
        <f>AI45+AK45</f>
        <v>71.952300000000008</v>
      </c>
      <c r="AO45" s="82" t="str">
        <f>AA45</f>
        <v>M(1.5)=</v>
      </c>
      <c r="AP45" s="82" t="e">
        <f>VLOOKUP(AO45,Rise_Results,2,FALSE)</f>
        <v>#N/A</v>
      </c>
      <c r="AQ45" s="82">
        <f>N45</f>
        <v>72.051525000000012</v>
      </c>
      <c r="AR45" s="82">
        <f>IF(OR(AB44&lt;=0,AB45&lt;=0),1/0,AB45)</f>
        <v>72.029925000000006</v>
      </c>
      <c r="AS45" s="82">
        <f>AM45</f>
        <v>71.952300000000008</v>
      </c>
      <c r="AT45">
        <f>IFERROR(AP45,IFERROR(AQ45,IFERROR(AR45,AS45)))</f>
        <v>72.051525000000012</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10.029999999999999</v>
      </c>
      <c r="E47" s="102">
        <v>1</v>
      </c>
      <c r="F47" s="68">
        <f>D47*E47</f>
        <v>10.029999999999999</v>
      </c>
      <c r="G47" s="69">
        <f>C47</f>
        <v>1</v>
      </c>
      <c r="H47" s="69">
        <f>F47*G47</f>
        <v>10.029999999999999</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10.029999999999999</v>
      </c>
      <c r="S47" s="69">
        <v>5</v>
      </c>
      <c r="T47" s="68">
        <f>R47*S47</f>
        <v>50.15</v>
      </c>
      <c r="U47" s="79">
        <v>3</v>
      </c>
      <c r="V47" s="68">
        <f>R47*U47</f>
        <v>30.089999999999996</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10.68</v>
      </c>
      <c r="E48" s="81">
        <v>4</v>
      </c>
      <c r="F48" s="76">
        <f>D48*E48</f>
        <v>42.72</v>
      </c>
      <c r="G48" s="77">
        <f>C48</f>
        <v>1.5</v>
      </c>
      <c r="H48" s="77">
        <f>F48*G48</f>
        <v>64.08</v>
      </c>
      <c r="I48" s="513" t="s">
        <v>97</v>
      </c>
      <c r="J48" s="513"/>
      <c r="K48" s="78" t="s">
        <v>98</v>
      </c>
      <c r="L48" s="78"/>
      <c r="M48" s="7" t="s">
        <v>99</v>
      </c>
      <c r="N48" s="7"/>
      <c r="O48" s="99">
        <f>O47+1</f>
        <v>5</v>
      </c>
      <c r="P48" s="99">
        <f t="shared" si="10"/>
        <v>2</v>
      </c>
      <c r="Q48" s="76">
        <f>P48</f>
        <v>2</v>
      </c>
      <c r="R48" s="77">
        <f>VLOOKUP(Q48,STN_TABLE,2,FALSE)</f>
        <v>11.1</v>
      </c>
      <c r="S48" s="77">
        <v>8</v>
      </c>
      <c r="T48" s="76">
        <f>R48*S48</f>
        <v>88.8</v>
      </c>
      <c r="U48" s="80">
        <v>10</v>
      </c>
      <c r="V48" s="76">
        <f>R48*U48</f>
        <v>111</v>
      </c>
      <c r="W48" s="513" t="s">
        <v>97</v>
      </c>
      <c r="X48" s="513"/>
      <c r="Y48" s="513" t="s">
        <v>98</v>
      </c>
      <c r="Z48" s="513"/>
      <c r="AA48" s="511" t="s">
        <v>99</v>
      </c>
      <c r="AB48" s="511"/>
      <c r="AC48" s="99">
        <f>AC43+1</f>
        <v>4</v>
      </c>
      <c r="AD48" s="95">
        <f>VLOOKUP(AC48,STN_TABLE_2,2,FALSE)</f>
        <v>1.5</v>
      </c>
      <c r="AE48" s="68">
        <f>VLOOKUP(AD48,STN_TABLE,2,FALSE)</f>
        <v>10.68</v>
      </c>
      <c r="AF48" s="68">
        <v>1</v>
      </c>
      <c r="AG48" s="69">
        <f>AE48*AF48</f>
        <v>10.68</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11.1</v>
      </c>
      <c r="E49" s="92">
        <v>1</v>
      </c>
      <c r="F49" s="82">
        <f>D49*E49</f>
        <v>11.1</v>
      </c>
      <c r="G49" s="83">
        <f>C49</f>
        <v>2</v>
      </c>
      <c r="H49" s="83">
        <f>F49*G49</f>
        <v>22.2</v>
      </c>
      <c r="I49" s="84" t="str">
        <f>CONCATENATE("a'(",C49,")=")</f>
        <v>a'(2)=</v>
      </c>
      <c r="J49" s="84">
        <f>2*J47/3*F50</f>
        <v>38.31</v>
      </c>
      <c r="K49" s="84" t="str">
        <f>CONCATENATE("A(",C47,")=")</f>
        <v>A(1)=</v>
      </c>
      <c r="L49" s="84">
        <f>VLOOKUP(C47,STN_TABLE,3,FALSE)</f>
        <v>31.254000000000001</v>
      </c>
      <c r="M49" t="str">
        <f>CONCATENATE("A(",C49,")=")</f>
        <v>A(2)=</v>
      </c>
      <c r="N49">
        <f>J49+L49</f>
        <v>69.564000000000007</v>
      </c>
      <c r="O49" s="99">
        <f>O48+1</f>
        <v>6</v>
      </c>
      <c r="P49" s="99">
        <f t="shared" si="10"/>
        <v>3</v>
      </c>
      <c r="Q49" s="82">
        <f>IF(P49-P48=P48-P47,P49,IF(P50-P48=P48-P47,P50,IF(P49-P48=P48-P46,P49,IF(P50-P48=P48-P46,P50,"-"))))</f>
        <v>3</v>
      </c>
      <c r="R49" s="83">
        <f>VLOOKUP(Q49,STN_TABLE,2,FALSE)</f>
        <v>11.64</v>
      </c>
      <c r="S49" s="83">
        <v>-1</v>
      </c>
      <c r="T49" s="82">
        <f>R49*S49</f>
        <v>-11.64</v>
      </c>
      <c r="U49" s="88">
        <v>-1</v>
      </c>
      <c r="V49" s="82">
        <f>R49*U49</f>
        <v>-11.64</v>
      </c>
      <c r="W49" s="84" t="str">
        <f>CONCATENATE("a'(",Q48,")=")</f>
        <v>a'(2)=</v>
      </c>
      <c r="X49" s="84">
        <f>2*X47/12*T50</f>
        <v>38.192999999999998</v>
      </c>
      <c r="Y49" s="84" t="str">
        <f>CONCATENATE("A(",Q47,")=")</f>
        <v>A(1)=</v>
      </c>
      <c r="Z49" s="84">
        <f>VLOOKUP(Q47,STN_TABLE,3,FALSE)</f>
        <v>31.254000000000001</v>
      </c>
      <c r="AA49" t="str">
        <f>CONCATENATE("A(",Q48,")=")</f>
        <v>A(2)=</v>
      </c>
      <c r="AB49">
        <f>X49+Z49</f>
        <v>69.447000000000003</v>
      </c>
      <c r="AC49" s="99">
        <f>AC48+1</f>
        <v>5</v>
      </c>
      <c r="AD49" s="100">
        <f>VLOOKUP(AC49,STN_TABLE_2,2,FALSE)</f>
        <v>2</v>
      </c>
      <c r="AE49" s="82">
        <f>VLOOKUP(AD49,STN_TABLE,2,FALSE)</f>
        <v>11.1</v>
      </c>
      <c r="AF49" s="82">
        <v>2</v>
      </c>
      <c r="AG49" s="83">
        <f>AE49*AF49</f>
        <v>22.2</v>
      </c>
      <c r="AH49" s="84" t="str">
        <f>CONCATENATE("a'(",AD49,")=")</f>
        <v>a'(2)=</v>
      </c>
      <c r="AI49" s="84">
        <f>2*AI47/2*AE50</f>
        <v>19.602</v>
      </c>
      <c r="AJ49" s="84" t="str">
        <f>CONCATENATE("A(",AD48,")=")</f>
        <v>A(1.5)=</v>
      </c>
      <c r="AK49" s="84">
        <f>VLOOKUP(AD48,STN_TABLE,3,FALSE)</f>
        <v>49.912499999999994</v>
      </c>
      <c r="AL49" t="str">
        <f>CONCATENATE("A(",AD49,")=")</f>
        <v>A(2)=</v>
      </c>
      <c r="AM49">
        <f>AI49+AK49</f>
        <v>69.514499999999998</v>
      </c>
      <c r="AO49" s="68" t="str">
        <f>AA49</f>
        <v>A(2)=</v>
      </c>
      <c r="AP49" s="68" t="e">
        <f>VLOOKUP(AO49,Rise_Results,2,FALSE)</f>
        <v>#N/A</v>
      </c>
      <c r="AQ49" s="76">
        <f>N49</f>
        <v>69.564000000000007</v>
      </c>
      <c r="AR49" s="76">
        <f>IF(OR(AB49&lt;=0,AB50&lt;=0),1/0,AB49)</f>
        <v>69.447000000000003</v>
      </c>
      <c r="AS49" s="76">
        <f>AM49</f>
        <v>69.514499999999998</v>
      </c>
      <c r="AT49">
        <f>IFERROR(AP49,IFERROR(AQ49,IFERROR(AR49,AS49)))</f>
        <v>69.564000000000007</v>
      </c>
      <c r="AU49" s="81"/>
    </row>
    <row r="50" spans="1:47" x14ac:dyDescent="0.25">
      <c r="A50" s="84">
        <f>A49+1</f>
        <v>5</v>
      </c>
      <c r="B50" s="84">
        <f t="shared" si="11"/>
        <v>2</v>
      </c>
      <c r="F50" s="82">
        <f>SUM(F47:F49)</f>
        <v>63.85</v>
      </c>
      <c r="H50" s="82">
        <f>SUM(H47:H49)</f>
        <v>96.31</v>
      </c>
      <c r="I50" s="84" t="str">
        <f>CONCATENATE("m'(",C49,")=")</f>
        <v>m'(2)=</v>
      </c>
      <c r="J50" s="84">
        <f>2*(J47*(WLS))/3*H50</f>
        <v>104.01480000000001</v>
      </c>
      <c r="K50" s="84" t="str">
        <f>CONCATENATE("M(",C47,")=")</f>
        <v>M(1)=</v>
      </c>
      <c r="L50" s="84">
        <f>VLOOKUP(C47,STN_TABLE,4,FALSE)</f>
        <v>29.926800000000004</v>
      </c>
      <c r="M50" t="str">
        <f>CONCATENATE("M(",C49,")=")</f>
        <v>M(2)=</v>
      </c>
      <c r="N50">
        <f>J50+L50</f>
        <v>133.94160000000002</v>
      </c>
      <c r="O50" s="99">
        <f>O49+1</f>
        <v>7</v>
      </c>
      <c r="P50" s="99">
        <f t="shared" si="10"/>
        <v>4</v>
      </c>
      <c r="T50" s="89">
        <f>SUM(T47:T49)</f>
        <v>127.30999999999999</v>
      </c>
      <c r="V50" s="82">
        <f>SUM(V47:V49)</f>
        <v>129.44999999999999</v>
      </c>
      <c r="W50" s="84" t="str">
        <f>CONCATENATE("m'(",Q48,")=")</f>
        <v>m'(2)=</v>
      </c>
      <c r="X50" s="84">
        <f>(2*(X47^2)/24*V50)+(X49*Q47*WLS)</f>
        <v>103.69889999999999</v>
      </c>
      <c r="Y50" s="84" t="str">
        <f>CONCATENATE("M(",Q47,")=")</f>
        <v>M(1)=</v>
      </c>
      <c r="Z50" s="84">
        <f>VLOOKUP(Q47,STN_TABLE,4,FALSE)</f>
        <v>29.926800000000004</v>
      </c>
      <c r="AA50" t="str">
        <f>CONCATENATE("M(",Q48,")=")</f>
        <v>M(2)=</v>
      </c>
      <c r="AB50">
        <f>X50+Z50</f>
        <v>133.62569999999999</v>
      </c>
      <c r="AE50" s="89">
        <f>SUM(AE48:AE49)</f>
        <v>21.78</v>
      </c>
      <c r="AG50" s="89">
        <f>SUM(AG48:AG49)</f>
        <v>32.879999999999995</v>
      </c>
      <c r="AH50" s="84" t="str">
        <f>CONCATENATE("m'(",AD49,")=")</f>
        <v>m'(2)=</v>
      </c>
      <c r="AI50" s="84">
        <f>(2*(AI47^2)/6*AG50)+(AI49*AD48*WLS)</f>
        <v>61.802999999999997</v>
      </c>
      <c r="AJ50" s="84" t="str">
        <f>CONCATENATE("M(",AD48,")=")</f>
        <v>M(1.5)=</v>
      </c>
      <c r="AK50" s="84">
        <f>VLOOKUP(AD48,STN_TABLE,4,FALSE)</f>
        <v>72.051525000000012</v>
      </c>
      <c r="AL50" t="str">
        <f>CONCATENATE("M(",AD49,")=")</f>
        <v>M(2)=</v>
      </c>
      <c r="AM50">
        <f>AI50+AK50</f>
        <v>133.85452500000002</v>
      </c>
      <c r="AO50" s="82" t="str">
        <f>AA50</f>
        <v>M(2)=</v>
      </c>
      <c r="AP50" s="82" t="e">
        <f>VLOOKUP(AO50,Rise_Results,2,FALSE)</f>
        <v>#N/A</v>
      </c>
      <c r="AQ50" s="82">
        <f>N50</f>
        <v>133.94160000000002</v>
      </c>
      <c r="AR50" s="82">
        <f>IF(OR(AB49&lt;=0,AB50&lt;=0),1/0,AB50)</f>
        <v>133.62569999999999</v>
      </c>
      <c r="AS50" s="82">
        <f>AM50</f>
        <v>133.85452500000002</v>
      </c>
      <c r="AT50">
        <f>IFERROR(AP50,IFERROR(AQ50,IFERROR(AR50,AS50)))</f>
        <v>133.94160000000002</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10.029999999999999</v>
      </c>
      <c r="E52" s="102">
        <v>1</v>
      </c>
      <c r="F52" s="68">
        <f>D52*E52</f>
        <v>10.029999999999999</v>
      </c>
      <c r="G52" s="69">
        <f>C52</f>
        <v>1</v>
      </c>
      <c r="H52" s="69">
        <f>F52*G52</f>
        <v>10.029999999999999</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11.1</v>
      </c>
      <c r="S52" s="69">
        <v>5</v>
      </c>
      <c r="T52" s="68">
        <f>R52*S52</f>
        <v>55.5</v>
      </c>
      <c r="U52" s="79">
        <v>3</v>
      </c>
      <c r="V52" s="68">
        <f>R52*U52</f>
        <v>33.299999999999997</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11.1</v>
      </c>
      <c r="E53" s="81">
        <v>4</v>
      </c>
      <c r="F53" s="76">
        <f>D53*E53</f>
        <v>44.4</v>
      </c>
      <c r="G53" s="77">
        <f>C53</f>
        <v>2</v>
      </c>
      <c r="H53" s="77">
        <f>F53*G53</f>
        <v>88.8</v>
      </c>
      <c r="I53" s="512" t="s">
        <v>97</v>
      </c>
      <c r="J53" s="513"/>
      <c r="K53" s="78" t="s">
        <v>98</v>
      </c>
      <c r="L53" s="78"/>
      <c r="M53" s="7" t="s">
        <v>99</v>
      </c>
      <c r="N53" s="7"/>
      <c r="O53" s="99">
        <f>O52+1</f>
        <v>6</v>
      </c>
      <c r="P53" s="99">
        <f t="shared" si="10"/>
        <v>3</v>
      </c>
      <c r="Q53" s="76">
        <f>P53</f>
        <v>3</v>
      </c>
      <c r="R53" s="77">
        <f>VLOOKUP(Q53,STN_TABLE,2,FALSE)</f>
        <v>11.64</v>
      </c>
      <c r="S53" s="77">
        <v>8</v>
      </c>
      <c r="T53" s="76">
        <f>R53*S53</f>
        <v>93.12</v>
      </c>
      <c r="U53" s="80">
        <v>10</v>
      </c>
      <c r="V53" s="76">
        <f>R53*U53</f>
        <v>116.4</v>
      </c>
      <c r="W53" s="513" t="s">
        <v>97</v>
      </c>
      <c r="X53" s="513"/>
      <c r="Y53" s="513" t="s">
        <v>98</v>
      </c>
      <c r="Z53" s="513"/>
      <c r="AA53" s="511" t="s">
        <v>99</v>
      </c>
      <c r="AB53" s="511"/>
      <c r="AC53" s="99">
        <f>AC48+1</f>
        <v>5</v>
      </c>
      <c r="AD53" s="95">
        <f>VLOOKUP(AC53,STN_TABLE_2,2,FALSE)</f>
        <v>2</v>
      </c>
      <c r="AE53" s="68">
        <f>VLOOKUP(AD53,STN_TABLE,2,FALSE)</f>
        <v>11.1</v>
      </c>
      <c r="AF53" s="68">
        <v>1</v>
      </c>
      <c r="AG53" s="69">
        <f>AE53*AF53</f>
        <v>11.1</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11.64</v>
      </c>
      <c r="E54" s="92">
        <v>1</v>
      </c>
      <c r="F54" s="82">
        <f>D54*E54</f>
        <v>11.64</v>
      </c>
      <c r="G54" s="83">
        <f>C54</f>
        <v>3</v>
      </c>
      <c r="H54" s="83">
        <f>F54*G54</f>
        <v>34.92</v>
      </c>
      <c r="I54" s="84" t="str">
        <f>CONCATENATE("a'(",C54,")=")</f>
        <v>a'(3)=</v>
      </c>
      <c r="J54" s="84">
        <f>2*J52/3*F55</f>
        <v>79.283999999999992</v>
      </c>
      <c r="K54" s="84" t="str">
        <f>CONCATENATE("A(",C52,")=")</f>
        <v>A(1)=</v>
      </c>
      <c r="L54" s="84">
        <f>VLOOKUP(C52,STN_TABLE,3,FALSE)</f>
        <v>31.254000000000001</v>
      </c>
      <c r="M54" t="str">
        <f>CONCATENATE("A(",C54,")=")</f>
        <v>A(3)=</v>
      </c>
      <c r="N54">
        <f>J54+L54</f>
        <v>110.538</v>
      </c>
      <c r="O54" s="99">
        <f>O53+1</f>
        <v>7</v>
      </c>
      <c r="P54" s="99">
        <f t="shared" si="10"/>
        <v>4</v>
      </c>
      <c r="Q54" s="82">
        <f>IF(P54-P53=P53-P52,P54,IF(P55-P53=P53-P52,P55,IF(P54-P53=P53-P51,P54,IF(P55-P53=P53-P51,P55,"-"))))</f>
        <v>4</v>
      </c>
      <c r="R54" s="83">
        <f>VLOOKUP(Q54,STN_TABLE,2,FALSE)</f>
        <v>11.97</v>
      </c>
      <c r="S54" s="83">
        <v>-1</v>
      </c>
      <c r="T54" s="82">
        <f>R54*S54</f>
        <v>-11.97</v>
      </c>
      <c r="U54" s="88">
        <v>-1</v>
      </c>
      <c r="V54" s="82">
        <f>R54*U54</f>
        <v>-11.97</v>
      </c>
      <c r="W54" s="84" t="str">
        <f>CONCATENATE("a'(",Q53,")=")</f>
        <v>a'(3)=</v>
      </c>
      <c r="X54" s="84">
        <f>2*X52/12*T55</f>
        <v>40.994999999999997</v>
      </c>
      <c r="Y54" s="84" t="str">
        <f>CONCATENATE("A(",Q52,")=")</f>
        <v>A(2)=</v>
      </c>
      <c r="Z54" s="84">
        <f>VLOOKUP(Q52,STN_TABLE,3,FALSE)</f>
        <v>69.564000000000007</v>
      </c>
      <c r="AA54" t="str">
        <f>CONCATENATE("A(",Q53,")=")</f>
        <v>A(3)=</v>
      </c>
      <c r="AB54">
        <f>X54+Z54</f>
        <v>110.559</v>
      </c>
      <c r="AC54" s="99">
        <f>AC53+1</f>
        <v>6</v>
      </c>
      <c r="AD54" s="100">
        <f>VLOOKUP(AC54,STN_TABLE_2,2,FALSE)</f>
        <v>3</v>
      </c>
      <c r="AE54" s="82">
        <f>VLOOKUP(AD54,STN_TABLE,2,FALSE)</f>
        <v>11.64</v>
      </c>
      <c r="AF54" s="82">
        <v>2</v>
      </c>
      <c r="AG54" s="83">
        <f>AE54*AF54</f>
        <v>23.28</v>
      </c>
      <c r="AH54" s="84" t="str">
        <f>CONCATENATE("a'(",AD54,")=")</f>
        <v>a'(3)=</v>
      </c>
      <c r="AI54" s="84">
        <f>2*AI52/2*AE55</f>
        <v>40.932000000000002</v>
      </c>
      <c r="AJ54" s="84" t="str">
        <f>CONCATENATE("A(",AD53,")=")</f>
        <v>A(2)=</v>
      </c>
      <c r="AK54" s="84">
        <f>VLOOKUP(AD53,STN_TABLE,3,FALSE)</f>
        <v>69.564000000000007</v>
      </c>
      <c r="AL54" t="str">
        <f>CONCATENATE("A(",AD54,")=")</f>
        <v>A(3)=</v>
      </c>
      <c r="AM54">
        <f>AI54+AK54</f>
        <v>110.49600000000001</v>
      </c>
      <c r="AO54" s="68" t="str">
        <f>AA54</f>
        <v>A(3)=</v>
      </c>
      <c r="AP54" s="68" t="e">
        <f>VLOOKUP(AO54,Rise_Results,2,FALSE)</f>
        <v>#N/A</v>
      </c>
      <c r="AQ54" s="76">
        <f>N54</f>
        <v>110.538</v>
      </c>
      <c r="AR54" s="76">
        <f>IF(OR(AB54&lt;=0,AB55&lt;=0),1/0,AB54)</f>
        <v>110.559</v>
      </c>
      <c r="AS54" s="76">
        <f>AM54</f>
        <v>110.49600000000001</v>
      </c>
      <c r="AT54">
        <f>IFERROR(AP54,IFERROR(AQ54,IFERROR(AR54,AS54)))</f>
        <v>110.538</v>
      </c>
      <c r="AU54" s="81"/>
    </row>
    <row r="55" spans="1:47" x14ac:dyDescent="0.25">
      <c r="A55" s="84">
        <f>A54+1</f>
        <v>6</v>
      </c>
      <c r="B55" s="84">
        <f t="shared" si="11"/>
        <v>3</v>
      </c>
      <c r="F55" s="82">
        <f>SUM(F52:F54)</f>
        <v>66.069999999999993</v>
      </c>
      <c r="H55" s="82">
        <f>SUM(H52:H54)</f>
        <v>133.75</v>
      </c>
      <c r="I55" s="84" t="str">
        <f>CONCATENATE("m'(",C54,")=")</f>
        <v>m'(3)=</v>
      </c>
      <c r="J55" s="84">
        <f>2*(J52*(WLS))/3*H55</f>
        <v>288.90000000000003</v>
      </c>
      <c r="K55" s="84" t="str">
        <f>CONCATENATE("M(",C52,")=")</f>
        <v>M(1)=</v>
      </c>
      <c r="L55" s="84">
        <f>VLOOKUP(C52,STN_TABLE,4,FALSE)</f>
        <v>29.926800000000004</v>
      </c>
      <c r="M55" t="str">
        <f>CONCATENATE("M(",C54,")=")</f>
        <v>M(3)=</v>
      </c>
      <c r="N55">
        <f>J55+L55</f>
        <v>318.82680000000005</v>
      </c>
      <c r="O55" s="99">
        <f>O54+1</f>
        <v>8</v>
      </c>
      <c r="P55" s="99">
        <f t="shared" si="10"/>
        <v>5</v>
      </c>
      <c r="T55" s="89">
        <f>SUM(T52:T54)</f>
        <v>136.65</v>
      </c>
      <c r="V55" s="82">
        <f>SUM(V52:V54)</f>
        <v>137.72999999999999</v>
      </c>
      <c r="W55" s="84" t="str">
        <f>CONCATENATE("m'(",Q53,")=")</f>
        <v>m'(3)=</v>
      </c>
      <c r="X55" s="84">
        <f>(2*(X52^2)/24*V55)+(X54*Q52*WLS)</f>
        <v>184.76909999999998</v>
      </c>
      <c r="Y55" s="84" t="str">
        <f>CONCATENATE("M(",Q52,")=")</f>
        <v>M(2)=</v>
      </c>
      <c r="Z55" s="84">
        <f>VLOOKUP(Q52,STN_TABLE,4,FALSE)</f>
        <v>133.94160000000002</v>
      </c>
      <c r="AA55" t="str">
        <f>CONCATENATE("M(",Q53,")=")</f>
        <v>M(3)=</v>
      </c>
      <c r="AB55">
        <f>X55+Z55</f>
        <v>318.71069999999997</v>
      </c>
      <c r="AE55" s="89">
        <f>SUM(AE53:AE54)</f>
        <v>22.740000000000002</v>
      </c>
      <c r="AG55" s="89">
        <f>SUM(AG53:AG54)</f>
        <v>34.380000000000003</v>
      </c>
      <c r="AH55" s="84" t="str">
        <f>CONCATENATE("m'(",AD54,")=")</f>
        <v>m'(3)=</v>
      </c>
      <c r="AI55" s="84">
        <f>(2*(AI52^2)/6*AG55)+(AI54*AD53*WLS)</f>
        <v>184.48560000000003</v>
      </c>
      <c r="AJ55" s="84" t="str">
        <f>CONCATENATE("M(",AD53,")=")</f>
        <v>M(2)=</v>
      </c>
      <c r="AK55" s="84">
        <f>VLOOKUP(AD53,STN_TABLE,4,FALSE)</f>
        <v>133.94160000000002</v>
      </c>
      <c r="AL55" t="str">
        <f>CONCATENATE("M(",AD54,")=")</f>
        <v>M(3)=</v>
      </c>
      <c r="AM55">
        <f>AI55+AK55</f>
        <v>318.42720000000008</v>
      </c>
      <c r="AO55" s="82" t="str">
        <f>AA55</f>
        <v>M(3)=</v>
      </c>
      <c r="AP55" s="82" t="e">
        <f>VLOOKUP(AO55,Rise_Results,2,FALSE)</f>
        <v>#N/A</v>
      </c>
      <c r="AQ55" s="82">
        <f>N55</f>
        <v>318.82680000000005</v>
      </c>
      <c r="AR55" s="82">
        <f>IF(OR(AB54&lt;=0,AB55&lt;=0),1/0,AB55)</f>
        <v>318.71069999999997</v>
      </c>
      <c r="AS55" s="82">
        <f>AM55</f>
        <v>318.42720000000008</v>
      </c>
      <c r="AT55">
        <f>IFERROR(AP55,IFERROR(AQ55,IFERROR(AR55,AS55)))</f>
        <v>318.82680000000005</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11.1</v>
      </c>
      <c r="E57" s="102">
        <v>1</v>
      </c>
      <c r="F57" s="68">
        <f>D57*E57</f>
        <v>11.1</v>
      </c>
      <c r="G57" s="69">
        <f>C57</f>
        <v>2</v>
      </c>
      <c r="H57" s="69">
        <f>F57*G57</f>
        <v>22.2</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11.64</v>
      </c>
      <c r="S57" s="69">
        <v>5</v>
      </c>
      <c r="T57" s="68">
        <f>R57*S57</f>
        <v>58.2</v>
      </c>
      <c r="U57" s="79">
        <v>3</v>
      </c>
      <c r="V57" s="68">
        <f>R57*U57</f>
        <v>34.92</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11.64</v>
      </c>
      <c r="E58" s="81">
        <v>4</v>
      </c>
      <c r="F58" s="76">
        <f>D58*E58</f>
        <v>46.56</v>
      </c>
      <c r="G58" s="77">
        <f>C58</f>
        <v>3</v>
      </c>
      <c r="H58" s="77">
        <f>F58*G58</f>
        <v>139.68</v>
      </c>
      <c r="I58" s="512" t="s">
        <v>97</v>
      </c>
      <c r="J58" s="513"/>
      <c r="K58" s="78" t="s">
        <v>98</v>
      </c>
      <c r="L58" s="78"/>
      <c r="M58" s="7" t="s">
        <v>99</v>
      </c>
      <c r="N58" s="7"/>
      <c r="O58" s="99">
        <f>O57+1</f>
        <v>7</v>
      </c>
      <c r="P58" s="99">
        <f t="shared" si="10"/>
        <v>4</v>
      </c>
      <c r="Q58" s="76">
        <f>P58</f>
        <v>4</v>
      </c>
      <c r="R58" s="77">
        <f>VLOOKUP(Q58,STN_TABLE,2,FALSE)</f>
        <v>11.97</v>
      </c>
      <c r="S58" s="77">
        <v>8</v>
      </c>
      <c r="T58" s="76">
        <f>R58*S58</f>
        <v>95.76</v>
      </c>
      <c r="U58" s="80">
        <v>10</v>
      </c>
      <c r="V58" s="76">
        <f>R58*U58</f>
        <v>119.7</v>
      </c>
      <c r="W58" s="78" t="s">
        <v>97</v>
      </c>
      <c r="X58" s="78"/>
      <c r="Y58" s="78" t="s">
        <v>98</v>
      </c>
      <c r="Z58" s="78"/>
      <c r="AA58" s="7" t="s">
        <v>99</v>
      </c>
      <c r="AB58" s="7"/>
      <c r="AC58" s="99">
        <f>AC53+1</f>
        <v>6</v>
      </c>
      <c r="AD58" s="95">
        <f>VLOOKUP(AC58,STN_TABLE_2,2,FALSE)</f>
        <v>3</v>
      </c>
      <c r="AE58" s="68">
        <f>VLOOKUP(AD58,STN_TABLE,2,FALSE)</f>
        <v>11.64</v>
      </c>
      <c r="AF58" s="68">
        <v>1</v>
      </c>
      <c r="AG58" s="69">
        <f>AE58*AF58</f>
        <v>11.64</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11.97</v>
      </c>
      <c r="E59" s="92">
        <v>1</v>
      </c>
      <c r="F59" s="82">
        <f>D59*E59</f>
        <v>11.97</v>
      </c>
      <c r="G59" s="83">
        <f>C59</f>
        <v>4</v>
      </c>
      <c r="H59" s="83">
        <f>F59*G59</f>
        <v>47.88</v>
      </c>
      <c r="I59" s="84" t="str">
        <f>CONCATENATE("a'(",C59,")=")</f>
        <v>a'(4)=</v>
      </c>
      <c r="J59" s="84">
        <f>2*J57/3*F60</f>
        <v>83.556000000000012</v>
      </c>
      <c r="K59" s="84" t="str">
        <f>CONCATENATE("A(",C57,")=")</f>
        <v>A(2)=</v>
      </c>
      <c r="L59" s="84">
        <f>VLOOKUP(C57,STN_TABLE,3,FALSE)</f>
        <v>69.564000000000007</v>
      </c>
      <c r="M59" t="str">
        <f>CONCATENATE("A(",C59,")=")</f>
        <v>A(4)=</v>
      </c>
      <c r="N59">
        <f>J59+L59</f>
        <v>153.12</v>
      </c>
      <c r="O59" s="99">
        <f>O58+1</f>
        <v>8</v>
      </c>
      <c r="P59" s="99">
        <f t="shared" si="10"/>
        <v>5</v>
      </c>
      <c r="Q59" s="82">
        <f>IF(P59-P58=P58-P57,P59,IF(P60-P58=P58-P57,P60,IF(P59-P58=P58-P56,P59,IF(P60-P58=P58-P56,P60,"-"))))</f>
        <v>5</v>
      </c>
      <c r="R59" s="83">
        <f>VLOOKUP(Q59,STN_TABLE,2,FALSE)</f>
        <v>12.18</v>
      </c>
      <c r="S59" s="83">
        <v>-1</v>
      </c>
      <c r="T59" s="82">
        <f>R59*S59</f>
        <v>-12.18</v>
      </c>
      <c r="U59" s="88">
        <v>-1</v>
      </c>
      <c r="V59" s="82">
        <f>R59*U59</f>
        <v>-12.18</v>
      </c>
      <c r="W59" s="84" t="str">
        <f>CONCATENATE("a'(",Q58,")=")</f>
        <v>a'(4)=</v>
      </c>
      <c r="X59" s="84">
        <f>2*X57/12*T60</f>
        <v>42.533999999999999</v>
      </c>
      <c r="Y59" s="84" t="str">
        <f>CONCATENATE("A(",Q57,")=")</f>
        <v>A(3)=</v>
      </c>
      <c r="Z59" s="84">
        <f>VLOOKUP(Q57,STN_TABLE,3,FALSE)</f>
        <v>110.538</v>
      </c>
      <c r="AA59" t="str">
        <f>CONCATENATE("A(",Q58,")=")</f>
        <v>A(4)=</v>
      </c>
      <c r="AB59">
        <f>X59+Z59</f>
        <v>153.072</v>
      </c>
      <c r="AC59" s="99">
        <f>AC58+1</f>
        <v>7</v>
      </c>
      <c r="AD59" s="100">
        <f>VLOOKUP(AC59,STN_TABLE_2,2,FALSE)</f>
        <v>4</v>
      </c>
      <c r="AE59" s="82">
        <f>VLOOKUP(AD59,STN_TABLE,2,FALSE)</f>
        <v>11.97</v>
      </c>
      <c r="AF59" s="82">
        <v>2</v>
      </c>
      <c r="AG59" s="83">
        <f>AE59*AF59</f>
        <v>23.94</v>
      </c>
      <c r="AH59" s="84" t="str">
        <f>CONCATENATE("a'(",AD59,")=")</f>
        <v>a'(4)=</v>
      </c>
      <c r="AI59" s="84">
        <f>2*AI57/2*AE60</f>
        <v>42.497999999999998</v>
      </c>
      <c r="AJ59" s="84" t="str">
        <f>CONCATENATE("A(",AD58,")=")</f>
        <v>A(3)=</v>
      </c>
      <c r="AK59" s="84">
        <f>VLOOKUP(AD58,STN_TABLE,3,FALSE)</f>
        <v>110.538</v>
      </c>
      <c r="AL59" t="str">
        <f>CONCATENATE("A(",AD59,")=")</f>
        <v>A(4)=</v>
      </c>
      <c r="AM59">
        <f>AI59+AK59</f>
        <v>153.036</v>
      </c>
      <c r="AO59" s="68" t="str">
        <f>AA59</f>
        <v>A(4)=</v>
      </c>
      <c r="AP59" s="68" t="e">
        <f>VLOOKUP(AO59,Rise_Results,2,FALSE)</f>
        <v>#N/A</v>
      </c>
      <c r="AQ59" s="76">
        <f>N59</f>
        <v>153.12</v>
      </c>
      <c r="AR59" s="76">
        <f>IF(OR(AB59&lt;=0,AB60&lt;=0),1/0,AB59)</f>
        <v>153.072</v>
      </c>
      <c r="AS59" s="76">
        <f>AM59</f>
        <v>153.036</v>
      </c>
      <c r="AT59">
        <f>IFERROR(AP59,IFERROR(AQ59,IFERROR(AR59,AS59)))</f>
        <v>153.12</v>
      </c>
      <c r="AU59" s="81"/>
    </row>
    <row r="60" spans="1:47" x14ac:dyDescent="0.25">
      <c r="A60" s="84">
        <f>A59+1</f>
        <v>7</v>
      </c>
      <c r="B60" s="84">
        <f t="shared" si="11"/>
        <v>4</v>
      </c>
      <c r="F60" s="82">
        <f>SUM(F57:F59)</f>
        <v>69.63000000000001</v>
      </c>
      <c r="H60" s="82">
        <f>SUM(H57:H59)</f>
        <v>209.76</v>
      </c>
      <c r="I60" s="84" t="str">
        <f>CONCATENATE("m'(",C59,")=")</f>
        <v>m'(4)=</v>
      </c>
      <c r="J60" s="84">
        <f>2*(J57*(WLS))/3*H60</f>
        <v>453.08160000000004</v>
      </c>
      <c r="K60" s="84" t="str">
        <f>CONCATENATE("M(",C57,")=")</f>
        <v>M(2)=</v>
      </c>
      <c r="L60" s="84">
        <f>VLOOKUP(C57,STN_TABLE,4,FALSE)</f>
        <v>133.94160000000002</v>
      </c>
      <c r="M60" t="str">
        <f>CONCATENATE("M(",C59,")=")</f>
        <v>M(4)=</v>
      </c>
      <c r="N60">
        <f>J60+L60</f>
        <v>587.02320000000009</v>
      </c>
      <c r="O60" s="99">
        <f>O59+1</f>
        <v>9</v>
      </c>
      <c r="P60" s="99">
        <f t="shared" si="10"/>
        <v>5.6111111111111107</v>
      </c>
      <c r="T60" s="89">
        <f>SUM(T57:T59)</f>
        <v>141.78</v>
      </c>
      <c r="V60" s="82">
        <f>SUM(V57:V59)</f>
        <v>142.44</v>
      </c>
      <c r="W60" s="84" t="str">
        <f>CONCATENATE("m'(",Q58,")=")</f>
        <v>m'(4)=</v>
      </c>
      <c r="X60" s="84">
        <f>(2*(X57^2)/24*V60)+(X59*Q57*WLS)</f>
        <v>268.14240000000001</v>
      </c>
      <c r="Y60" s="84" t="str">
        <f>CONCATENATE("M(",Q57,")=")</f>
        <v>M(3)=</v>
      </c>
      <c r="Z60" s="84">
        <f>VLOOKUP(Q57,STN_TABLE,4,FALSE)</f>
        <v>318.82680000000005</v>
      </c>
      <c r="AA60" t="str">
        <f>CONCATENATE("M(",Q58,")=")</f>
        <v>M(4)=</v>
      </c>
      <c r="AB60">
        <f>X60+Z60</f>
        <v>586.9692</v>
      </c>
      <c r="AE60" s="89">
        <f>SUM(AE58:AE59)</f>
        <v>23.61</v>
      </c>
      <c r="AG60" s="89">
        <f>SUM(AG58:AG59)</f>
        <v>35.58</v>
      </c>
      <c r="AH60" s="84" t="str">
        <f>CONCATENATE("m'(",AD59,")=")</f>
        <v>m'(4)=</v>
      </c>
      <c r="AI60" s="84">
        <f>(2*(AI57^2)/6*AG60)+(AI59*AD58*WLS)</f>
        <v>267.91560000000004</v>
      </c>
      <c r="AJ60" s="84" t="str">
        <f>CONCATENATE("M(",AD58,")=")</f>
        <v>M(3)=</v>
      </c>
      <c r="AK60" s="84">
        <f>VLOOKUP(AD57,STN_TABLE,4,FALSE)</f>
        <v>0</v>
      </c>
      <c r="AL60" t="str">
        <f>CONCATENATE("M(",AD59,")=")</f>
        <v>M(4)=</v>
      </c>
      <c r="AM60">
        <f>AI60+AK60</f>
        <v>267.91560000000004</v>
      </c>
      <c r="AO60" s="82" t="str">
        <f>AA60</f>
        <v>M(4)=</v>
      </c>
      <c r="AP60" s="82" t="e">
        <f>VLOOKUP(AO60,Rise_Results,2,FALSE)</f>
        <v>#N/A</v>
      </c>
      <c r="AQ60" s="82">
        <f>N60</f>
        <v>587.02320000000009</v>
      </c>
      <c r="AR60" s="82">
        <f>IF(OR(AB59&lt;=0,AB60&lt;=0),1/0,AB60)</f>
        <v>586.9692</v>
      </c>
      <c r="AS60" s="82">
        <f>AM60</f>
        <v>267.91560000000004</v>
      </c>
      <c r="AT60">
        <f>IFERROR(AP60,IFERROR(AQ60,IFERROR(AR60,AS60)))</f>
        <v>587.02320000000009</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11.64</v>
      </c>
      <c r="E62" s="102">
        <v>1</v>
      </c>
      <c r="F62" s="68">
        <f>D62*E62</f>
        <v>11.64</v>
      </c>
      <c r="G62" s="69">
        <f>C62</f>
        <v>3</v>
      </c>
      <c r="H62" s="69">
        <f>F62*G62</f>
        <v>34.92</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11.97</v>
      </c>
      <c r="S62" s="69">
        <v>5</v>
      </c>
      <c r="T62" s="68">
        <f>R62*S62</f>
        <v>59.85</v>
      </c>
      <c r="U62" s="79">
        <v>3</v>
      </c>
      <c r="V62" s="68">
        <f>R62*U62</f>
        <v>35.910000000000004</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11.97</v>
      </c>
      <c r="E63" s="81">
        <v>4</v>
      </c>
      <c r="F63" s="76">
        <f>D63*E63</f>
        <v>47.88</v>
      </c>
      <c r="G63" s="77">
        <f>C63</f>
        <v>4</v>
      </c>
      <c r="H63" s="77">
        <f>F63*G63</f>
        <v>191.52</v>
      </c>
      <c r="I63" s="512" t="s">
        <v>97</v>
      </c>
      <c r="J63" s="513"/>
      <c r="K63" s="78" t="s">
        <v>98</v>
      </c>
      <c r="L63" s="78"/>
      <c r="M63" s="7" t="s">
        <v>99</v>
      </c>
      <c r="N63" s="7"/>
      <c r="O63" s="99">
        <f>O62+1</f>
        <v>8</v>
      </c>
      <c r="P63" s="99">
        <f t="shared" si="10"/>
        <v>5</v>
      </c>
      <c r="Q63" s="76">
        <f>P63</f>
        <v>5</v>
      </c>
      <c r="R63" s="77">
        <f>VLOOKUP(Q63,STN_TABLE,2,FALSE)</f>
        <v>12.18</v>
      </c>
      <c r="S63" s="77">
        <v>8</v>
      </c>
      <c r="T63" s="76">
        <f>R63*S63</f>
        <v>97.44</v>
      </c>
      <c r="U63" s="80">
        <v>10</v>
      </c>
      <c r="V63" s="76">
        <f>R63*U63</f>
        <v>121.8</v>
      </c>
      <c r="W63" s="513" t="s">
        <v>97</v>
      </c>
      <c r="X63" s="513"/>
      <c r="Y63" s="513" t="s">
        <v>98</v>
      </c>
      <c r="Z63" s="513"/>
      <c r="AA63" s="511" t="s">
        <v>99</v>
      </c>
      <c r="AB63" s="511"/>
      <c r="AC63" s="99">
        <f>AC58+1</f>
        <v>7</v>
      </c>
      <c r="AD63" s="95">
        <f>VLOOKUP(AC63,STN_TABLE_2,2,FALSE)</f>
        <v>4</v>
      </c>
      <c r="AE63" s="68">
        <f>VLOOKUP(AD63,STN_TABLE,2,FALSE)</f>
        <v>11.97</v>
      </c>
      <c r="AF63" s="68">
        <v>1</v>
      </c>
      <c r="AG63" s="69">
        <f>AE63*AF63</f>
        <v>11.97</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12.18</v>
      </c>
      <c r="E64" s="92">
        <v>1</v>
      </c>
      <c r="F64" s="82">
        <f>D64*E64</f>
        <v>12.18</v>
      </c>
      <c r="G64" s="83">
        <f>C64</f>
        <v>5</v>
      </c>
      <c r="H64" s="83">
        <f>F64*G64</f>
        <v>60.9</v>
      </c>
      <c r="I64" s="84" t="str">
        <f>CONCATENATE("a'(",C64,")=")</f>
        <v>a'(5)=</v>
      </c>
      <c r="J64" s="84">
        <f>2*J62/3*F65</f>
        <v>86.04</v>
      </c>
      <c r="K64" s="84" t="str">
        <f>CONCATENATE("A(",C62,")=")</f>
        <v>A(3)=</v>
      </c>
      <c r="L64" s="84">
        <f>VLOOKUP(C62,STN_TABLE,3,FALSE)</f>
        <v>110.538</v>
      </c>
      <c r="M64" t="str">
        <f>CONCATENATE("A(",C64,")=")</f>
        <v>A(5)=</v>
      </c>
      <c r="N64">
        <f>J64+L64</f>
        <v>196.578</v>
      </c>
      <c r="O64" s="99">
        <f>O63+1</f>
        <v>9</v>
      </c>
      <c r="P64" s="99">
        <f t="shared" si="10"/>
        <v>5.6111111111111107</v>
      </c>
      <c r="Q64" s="82">
        <f>IF(P64-P63=P63-P62,P64,IF(P65-P63=P63-P62,P65,IF(P64-P63=P63-P61,P64,IF(P65-P63=P63-P61,P65,"-"))))</f>
        <v>6</v>
      </c>
      <c r="R64" s="83">
        <f>VLOOKUP(Q64,STN_TABLE,2,FALSE)</f>
        <v>12.23</v>
      </c>
      <c r="S64" s="83">
        <v>-1</v>
      </c>
      <c r="T64" s="82">
        <f>R64*S64</f>
        <v>-12.23</v>
      </c>
      <c r="U64" s="88">
        <v>-1</v>
      </c>
      <c r="V64" s="82">
        <f>R64*U64</f>
        <v>-12.23</v>
      </c>
      <c r="W64" s="84" t="str">
        <f>CONCATENATE("a'(",Q63,")=")</f>
        <v>a'(5)=</v>
      </c>
      <c r="X64" s="84">
        <f>2*X62/12*T65</f>
        <v>43.518000000000001</v>
      </c>
      <c r="Y64" s="84" t="str">
        <f>CONCATENATE("A(",Q62,")=")</f>
        <v>A(4)=</v>
      </c>
      <c r="Z64" s="84">
        <f>VLOOKUP(Q62,STN_TABLE,3,FALSE)</f>
        <v>153.12</v>
      </c>
      <c r="AA64" t="str">
        <f>CONCATENATE("A(",Q63,")=")</f>
        <v>A(5)=</v>
      </c>
      <c r="AB64">
        <f>X64+Z64</f>
        <v>196.63800000000001</v>
      </c>
      <c r="AC64" s="99">
        <f>AC63+1</f>
        <v>8</v>
      </c>
      <c r="AD64" s="100">
        <f>VLOOKUP(AC64,STN_TABLE_2,2,FALSE)</f>
        <v>5</v>
      </c>
      <c r="AE64" s="82">
        <f>VLOOKUP(AD64,STN_TABLE,2,FALSE)</f>
        <v>12.18</v>
      </c>
      <c r="AF64" s="82">
        <v>2</v>
      </c>
      <c r="AG64" s="83">
        <f>AE64*AF64</f>
        <v>24.36</v>
      </c>
      <c r="AH64" s="84" t="str">
        <f>CONCATENATE("a'(",AD64,")=")</f>
        <v>a'(5)=</v>
      </c>
      <c r="AI64" s="84">
        <f>2*AI62/2*AE65</f>
        <v>43.47</v>
      </c>
      <c r="AJ64" s="84" t="str">
        <f>CONCATENATE("A(",AD63,")=")</f>
        <v>A(4)=</v>
      </c>
      <c r="AK64" s="84">
        <f>VLOOKUP(AD63,STN_TABLE,3,FALSE)</f>
        <v>153.12</v>
      </c>
      <c r="AL64" t="str">
        <f>CONCATENATE("A(",AD64,")=")</f>
        <v>A(5)=</v>
      </c>
      <c r="AM64">
        <f>AI64+AK64</f>
        <v>196.59</v>
      </c>
      <c r="AO64" s="68" t="str">
        <f>AA64</f>
        <v>A(5)=</v>
      </c>
      <c r="AP64" s="68" t="e">
        <f>VLOOKUP(AO64,Rise_Results,2,FALSE)</f>
        <v>#N/A</v>
      </c>
      <c r="AQ64" s="76">
        <f>N64</f>
        <v>196.578</v>
      </c>
      <c r="AR64" s="76">
        <f>IF(OR(AB64&lt;=0,AB65&lt;=0),1/0,AB64)</f>
        <v>196.63800000000001</v>
      </c>
      <c r="AS64" s="76">
        <f>AM64</f>
        <v>196.59</v>
      </c>
      <c r="AT64">
        <f>IFERROR(AP64,IFERROR(AQ64,IFERROR(AR64,AS64)))</f>
        <v>196.578</v>
      </c>
      <c r="AU64" s="81"/>
    </row>
    <row r="65" spans="1:47" x14ac:dyDescent="0.25">
      <c r="A65" s="84">
        <f>A64+1</f>
        <v>8</v>
      </c>
      <c r="B65" s="84">
        <f t="shared" si="11"/>
        <v>5</v>
      </c>
      <c r="F65" s="82">
        <f>SUM(F62:F64)</f>
        <v>71.7</v>
      </c>
      <c r="H65" s="82">
        <f>SUM(H62:H64)</f>
        <v>287.33999999999997</v>
      </c>
      <c r="I65" s="84" t="str">
        <f>CONCATENATE("m'(",C64,")=")</f>
        <v>m'(5)=</v>
      </c>
      <c r="J65" s="84">
        <f>2*(J62*(WLS))/3*H65</f>
        <v>620.65440000000001</v>
      </c>
      <c r="K65" s="84" t="str">
        <f>CONCATENATE("M(",C62,")=")</f>
        <v>M(3)=</v>
      </c>
      <c r="L65" s="84">
        <f>VLOOKUP(C62,STN_TABLE,4,FALSE)</f>
        <v>318.82680000000005</v>
      </c>
      <c r="M65" t="str">
        <f>CONCATENATE("M(",C64,")=")</f>
        <v>M(5)=</v>
      </c>
      <c r="N65">
        <f>J65+L65</f>
        <v>939.48120000000006</v>
      </c>
      <c r="O65" s="99">
        <f>O64+1</f>
        <v>10</v>
      </c>
      <c r="P65" s="99">
        <f t="shared" si="10"/>
        <v>6</v>
      </c>
      <c r="T65" s="89">
        <f>SUM(T62:T64)</f>
        <v>145.06</v>
      </c>
      <c r="V65" s="82">
        <f>SUM(V62:V64)</f>
        <v>145.48000000000002</v>
      </c>
      <c r="W65" s="84" t="str">
        <f>CONCATENATE("m'(",Q63,")=")</f>
        <v>m'(5)=</v>
      </c>
      <c r="X65" s="84">
        <f>(2*(X62^2)/24*V65)+(X64*Q62*WLS)</f>
        <v>352.60920000000004</v>
      </c>
      <c r="Y65" s="84" t="str">
        <f>CONCATENATE("M(",Q62,")=")</f>
        <v>M(4)=</v>
      </c>
      <c r="Z65" s="84">
        <f>VLOOKUP(Q62,STN_TABLE,4,FALSE)</f>
        <v>587.02320000000009</v>
      </c>
      <c r="AA65" t="str">
        <f>CONCATENATE("M(",Q63,")=")</f>
        <v>M(5)=</v>
      </c>
      <c r="AB65">
        <f>X65+Z65</f>
        <v>939.63240000000019</v>
      </c>
      <c r="AE65" s="89">
        <f>SUM(AE63:AE64)</f>
        <v>24.15</v>
      </c>
      <c r="AG65" s="89">
        <f>SUM(AG63:AG64)</f>
        <v>36.33</v>
      </c>
      <c r="AH65" s="84" t="str">
        <f>CONCATENATE("m'(",AD64,")=")</f>
        <v>m'(5)=</v>
      </c>
      <c r="AI65" s="84">
        <f>(2*(AI62^2)/6*AG65)+(AI64*AD63*WLS)</f>
        <v>352.22039999999998</v>
      </c>
      <c r="AJ65" s="84" t="str">
        <f>CONCATENATE("M(",AD63,")=")</f>
        <v>M(4)=</v>
      </c>
      <c r="AK65" s="84">
        <f>VLOOKUP(AD63,STN_TABLE,4,FALSE)</f>
        <v>587.02320000000009</v>
      </c>
      <c r="AL65" t="str">
        <f>CONCATENATE("M(",AD64,")=")</f>
        <v>M(5)=</v>
      </c>
      <c r="AM65">
        <f>AI65+AK65</f>
        <v>939.24360000000001</v>
      </c>
      <c r="AO65" s="82" t="str">
        <f>AA65</f>
        <v>M(5)=</v>
      </c>
      <c r="AP65" s="82" t="e">
        <f>VLOOKUP(AO65,Rise_Results,2,FALSE)</f>
        <v>#N/A</v>
      </c>
      <c r="AQ65" s="82">
        <f>N65</f>
        <v>939.48120000000006</v>
      </c>
      <c r="AR65" s="82">
        <f>IF(OR(AB64&lt;=0,AB65&lt;=0),1/0,AB65)</f>
        <v>939.63240000000019</v>
      </c>
      <c r="AS65" s="82">
        <f>AM65</f>
        <v>939.24360000000001</v>
      </c>
      <c r="AT65">
        <f>IFERROR(AP65,IFERROR(AQ65,IFERROR(AR65,AS65)))</f>
        <v>939.48120000000006</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12.22</v>
      </c>
      <c r="S68" s="77">
        <v>8</v>
      </c>
      <c r="T68" s="76">
        <f>R68*S68</f>
        <v>97.76</v>
      </c>
      <c r="U68" s="80">
        <v>10</v>
      </c>
      <c r="V68" s="76">
        <f>R68*U68</f>
        <v>122.2</v>
      </c>
      <c r="W68" s="513" t="s">
        <v>97</v>
      </c>
      <c r="X68" s="513"/>
      <c r="Y68" s="513" t="s">
        <v>98</v>
      </c>
      <c r="Z68" s="513"/>
      <c r="AA68" s="511" t="s">
        <v>99</v>
      </c>
      <c r="AB68" s="511"/>
      <c r="AC68" s="99">
        <f>AC63+1</f>
        <v>8</v>
      </c>
      <c r="AD68" s="95">
        <f>VLOOKUP(AC68,STN_TABLE_2,2,FALSE)</f>
        <v>5</v>
      </c>
      <c r="AE68" s="68">
        <f>VLOOKUP(AD68,STN_TABLE,2,FALSE)</f>
        <v>12.18</v>
      </c>
      <c r="AF68" s="68">
        <v>1</v>
      </c>
      <c r="AG68" s="69">
        <f>AE68*AF68</f>
        <v>12.18</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12.22</v>
      </c>
      <c r="E69" s="92">
        <v>1</v>
      </c>
      <c r="F69" s="82">
        <f>D69*E69</f>
        <v>12.22</v>
      </c>
      <c r="G69" s="83">
        <f>C69</f>
        <v>5.6111111111111107</v>
      </c>
      <c r="H69" s="83">
        <f>F69*G69</f>
        <v>68.567777777777778</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12.22</v>
      </c>
      <c r="AF69" s="82">
        <v>2</v>
      </c>
      <c r="AG69" s="83">
        <f>AE69*AF69</f>
        <v>24.44</v>
      </c>
      <c r="AH69" s="84" t="str">
        <f>CONCATENATE("a'(",AD69,")=")</f>
        <v>a'(5.61111111111111)=</v>
      </c>
      <c r="AI69" s="84">
        <f>2*AI67/2*AE70</f>
        <v>26.839999999999986</v>
      </c>
      <c r="AJ69" s="84" t="str">
        <f>CONCATENATE("A(",AD68,")=")</f>
        <v>A(5)=</v>
      </c>
      <c r="AK69" s="84">
        <f>VLOOKUP(AD68,STN_TABLE,3,FALSE)</f>
        <v>196.578</v>
      </c>
      <c r="AL69" t="str">
        <f>CONCATENATE("A(",AD69,")=")</f>
        <v>A(5.61111111111111)=</v>
      </c>
      <c r="AM69">
        <f>AI69+AK69</f>
        <v>223.41799999999998</v>
      </c>
      <c r="AO69" s="68" t="str">
        <f>AA69</f>
        <v>A(5.61111111111111)=</v>
      </c>
      <c r="AP69" s="68" t="e">
        <f>VLOOKUP(AO69,Rise_Results,2,FALSE)</f>
        <v>#N/A</v>
      </c>
      <c r="AQ69" s="76" t="e">
        <f>N69</f>
        <v>#N/A</v>
      </c>
      <c r="AR69" s="76" t="e">
        <f>IF(OR(AB69&lt;=0,AB70&lt;=0),1/0,AB69)</f>
        <v>#VALUE!</v>
      </c>
      <c r="AS69" s="76">
        <f>AM69</f>
        <v>223.41799999999998</v>
      </c>
      <c r="AT69">
        <f>IFERROR(AP69,IFERROR(AQ69,IFERROR(AR69,AS69)))</f>
        <v>223.41799999999998</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24.4</v>
      </c>
      <c r="AG70" s="89">
        <f>SUM(AG68:AG69)</f>
        <v>36.620000000000005</v>
      </c>
      <c r="AH70" s="84" t="str">
        <f>CONCATENATE("m'(",AD69,")=")</f>
        <v>m'(5.61111111111111)=</v>
      </c>
      <c r="AI70" s="84">
        <f>(2*(AI67^2)/6*AG70)+(AI69*AD68*WLS)</f>
        <v>256.33006666666654</v>
      </c>
      <c r="AJ70" s="84" t="str">
        <f>CONCATENATE("M(",AD68,")=")</f>
        <v>M(5)=</v>
      </c>
      <c r="AK70" s="84">
        <f>VLOOKUP(AD68,STN_TABLE,4,FALSE)</f>
        <v>939.48120000000006</v>
      </c>
      <c r="AL70" t="str">
        <f>CONCATENATE("M(",AD69,")=")</f>
        <v>M(5.61111111111111)=</v>
      </c>
      <c r="AM70">
        <f>AI70+AK70</f>
        <v>1195.8112666666666</v>
      </c>
      <c r="AO70" s="82" t="str">
        <f>AA70</f>
        <v>M(5.61111111111111)=</v>
      </c>
      <c r="AP70" s="82" t="e">
        <f>VLOOKUP(AO70,Rise_Results,2,FALSE)</f>
        <v>#N/A</v>
      </c>
      <c r="AQ70" s="82" t="e">
        <f>N70</f>
        <v>#N/A</v>
      </c>
      <c r="AR70" s="82" t="e">
        <f>IF(OR(AB69&lt;=0,AB70&lt;=0),1/0,AB70)</f>
        <v>#VALUE!</v>
      </c>
      <c r="AS70" s="82">
        <f>AM70</f>
        <v>1195.8112666666666</v>
      </c>
      <c r="AT70">
        <f>IFERROR(AP70,IFERROR(AQ70,IFERROR(AR70,AS70)))</f>
        <v>1195.8112666666666</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11.97</v>
      </c>
      <c r="E72" s="102">
        <v>1</v>
      </c>
      <c r="F72" s="68">
        <f>D72*E72</f>
        <v>11.97</v>
      </c>
      <c r="G72" s="69">
        <f>C72</f>
        <v>4</v>
      </c>
      <c r="H72" s="69">
        <f>F72*G72</f>
        <v>47.88</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12.18</v>
      </c>
      <c r="S72" s="69">
        <v>5</v>
      </c>
      <c r="T72" s="68">
        <f>R72*S72</f>
        <v>60.9</v>
      </c>
      <c r="U72" s="79">
        <v>3</v>
      </c>
      <c r="V72" s="68">
        <f>R72*U72</f>
        <v>36.54</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12.18</v>
      </c>
      <c r="E73" s="81">
        <v>4</v>
      </c>
      <c r="F73" s="76">
        <f>D73*E73</f>
        <v>48.72</v>
      </c>
      <c r="G73" s="77">
        <f>C73</f>
        <v>5</v>
      </c>
      <c r="H73" s="77">
        <f>F73*G73</f>
        <v>243.6</v>
      </c>
      <c r="I73" s="512" t="s">
        <v>97</v>
      </c>
      <c r="J73" s="513"/>
      <c r="K73" s="78" t="s">
        <v>98</v>
      </c>
      <c r="L73" s="78"/>
      <c r="M73" s="7" t="s">
        <v>99</v>
      </c>
      <c r="N73" s="7"/>
      <c r="O73" s="99">
        <f>O72+1</f>
        <v>10</v>
      </c>
      <c r="P73" s="99">
        <f t="shared" si="23"/>
        <v>6</v>
      </c>
      <c r="Q73" s="76">
        <f>P73</f>
        <v>6</v>
      </c>
      <c r="R73" s="77">
        <f>VLOOKUP(Q73,STN_TABLE,2,FALSE)</f>
        <v>12.23</v>
      </c>
      <c r="S73" s="77">
        <v>8</v>
      </c>
      <c r="T73" s="76">
        <f>R73*S73</f>
        <v>97.84</v>
      </c>
      <c r="U73" s="80">
        <v>10</v>
      </c>
      <c r="V73" s="76">
        <f>R73*U73</f>
        <v>122.30000000000001</v>
      </c>
      <c r="W73" s="513" t="s">
        <v>97</v>
      </c>
      <c r="X73" s="513"/>
      <c r="Y73" s="513" t="s">
        <v>98</v>
      </c>
      <c r="Z73" s="513"/>
      <c r="AA73" s="511" t="s">
        <v>99</v>
      </c>
      <c r="AB73" s="511"/>
      <c r="AC73" s="99">
        <f>AC68+1</f>
        <v>9</v>
      </c>
      <c r="AD73" s="95">
        <f>VLOOKUP(AC73,STN_TABLE_2,2,FALSE)</f>
        <v>5.6111111111111107</v>
      </c>
      <c r="AE73" s="68">
        <f>VLOOKUP(AD73,STN_TABLE,2,FALSE)</f>
        <v>12.22</v>
      </c>
      <c r="AF73" s="68">
        <v>1</v>
      </c>
      <c r="AG73" s="69">
        <f>AE73*AF73</f>
        <v>12.22</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12.23</v>
      </c>
      <c r="E74" s="92">
        <v>1</v>
      </c>
      <c r="F74" s="82">
        <f>D74*E74</f>
        <v>12.23</v>
      </c>
      <c r="G74" s="83">
        <f>C74</f>
        <v>6</v>
      </c>
      <c r="H74" s="83">
        <f>F74*G74</f>
        <v>73.38</v>
      </c>
      <c r="I74" s="84" t="str">
        <f>CONCATENATE("a'(",C74,")=")</f>
        <v>a'(6)=</v>
      </c>
      <c r="J74" s="84">
        <f>2*J72/3*F75</f>
        <v>87.504000000000005</v>
      </c>
      <c r="K74" s="84" t="str">
        <f>CONCATENATE("A(",C72,")=")</f>
        <v>A(4)=</v>
      </c>
      <c r="L74" s="84">
        <f>VLOOKUP(C72,STN_TABLE,3,FALSE)</f>
        <v>153.12</v>
      </c>
      <c r="M74" t="str">
        <f>CONCATENATE("A(",C74,")=")</f>
        <v>A(6)=</v>
      </c>
      <c r="N74">
        <f>J74+L74</f>
        <v>240.62400000000002</v>
      </c>
      <c r="O74" s="99">
        <f>O73+1</f>
        <v>11</v>
      </c>
      <c r="P74" s="99">
        <f t="shared" si="23"/>
        <v>7</v>
      </c>
      <c r="Q74" s="82">
        <f>IF(P74-P73=P73-P72,P74,IF(P75-P73=P73-P72,P75,IF(P74-P73=P73-P71,P74,IF(P75-P73=P73-P71,P75,"-"))))</f>
        <v>7</v>
      </c>
      <c r="R74" s="83">
        <f>VLOOKUP(Q74,STN_TABLE,2,FALSE)</f>
        <v>12.23</v>
      </c>
      <c r="S74" s="83">
        <v>-1</v>
      </c>
      <c r="T74" s="82">
        <f>R74*S74</f>
        <v>-12.23</v>
      </c>
      <c r="U74" s="88">
        <v>-1</v>
      </c>
      <c r="V74" s="82">
        <f>R74*U74</f>
        <v>-12.23</v>
      </c>
      <c r="W74" s="84" t="str">
        <f>CONCATENATE("a'(",Q73,")=")</f>
        <v>a'(6)=</v>
      </c>
      <c r="X74" s="84">
        <f>2*X72/12*T75</f>
        <v>43.953000000000003</v>
      </c>
      <c r="Y74" s="84" t="str">
        <f>CONCATENATE("A(",Q72,")=")</f>
        <v>A(5)=</v>
      </c>
      <c r="Z74" s="84">
        <f>VLOOKUP(Q72,STN_TABLE,3,FALSE)</f>
        <v>196.578</v>
      </c>
      <c r="AA74" t="str">
        <f>CONCATENATE("A(",Q73,")=")</f>
        <v>A(6)=</v>
      </c>
      <c r="AB74">
        <f>X74+Z74</f>
        <v>240.53100000000001</v>
      </c>
      <c r="AC74" s="99">
        <f>AC73+1</f>
        <v>10</v>
      </c>
      <c r="AD74" s="100">
        <f>VLOOKUP(AC74,STN_TABLE_2,2,FALSE)</f>
        <v>6</v>
      </c>
      <c r="AE74" s="82">
        <f>VLOOKUP(AD74,STN_TABLE,2,FALSE)</f>
        <v>12.23</v>
      </c>
      <c r="AF74" s="82">
        <v>2</v>
      </c>
      <c r="AG74" s="83">
        <f>AE74*AF74</f>
        <v>24.46</v>
      </c>
      <c r="AH74" s="84" t="str">
        <f>CONCATENATE("a'(",AD74,")=")</f>
        <v>a'(6)=</v>
      </c>
      <c r="AI74" s="84">
        <f>2*AI72/2*AE75</f>
        <v>17.11500000000002</v>
      </c>
      <c r="AJ74" s="84" t="str">
        <f>CONCATENATE("A(",AD73,")=")</f>
        <v>A(5.61111111111111)=</v>
      </c>
      <c r="AK74" s="84">
        <f>VLOOKUP(AD73,STN_TABLE,3,FALSE)</f>
        <v>223.41799999999998</v>
      </c>
      <c r="AL74" t="str">
        <f>CONCATENATE("A(",AD74,")=")</f>
        <v>A(6)=</v>
      </c>
      <c r="AM74">
        <f>AI74+AK74</f>
        <v>240.53299999999999</v>
      </c>
      <c r="AO74" s="68" t="str">
        <f>AA74</f>
        <v>A(6)=</v>
      </c>
      <c r="AP74" s="68" t="e">
        <f>VLOOKUP(AO74,Rise_Results,2,FALSE)</f>
        <v>#N/A</v>
      </c>
      <c r="AQ74" s="76">
        <f>N74</f>
        <v>240.62400000000002</v>
      </c>
      <c r="AR74" s="76">
        <f>IF(OR(AB74&lt;=0,AB75&lt;=0),1/0,AB74)</f>
        <v>240.53100000000001</v>
      </c>
      <c r="AS74" s="76">
        <f>AM74</f>
        <v>240.53299999999999</v>
      </c>
      <c r="AT74">
        <f>IFERROR(AP74,IFERROR(AQ74,IFERROR(AR74,AS74)))</f>
        <v>240.62400000000002</v>
      </c>
      <c r="AU74" s="81"/>
    </row>
    <row r="75" spans="1:47" x14ac:dyDescent="0.25">
      <c r="A75" s="84">
        <f>A74+1</f>
        <v>10</v>
      </c>
      <c r="B75" s="84">
        <f t="shared" si="27"/>
        <v>6</v>
      </c>
      <c r="F75" s="82">
        <f>SUM(F72:F74)</f>
        <v>72.92</v>
      </c>
      <c r="H75" s="82">
        <f>SUM(H72:H74)</f>
        <v>364.86</v>
      </c>
      <c r="I75" s="84" t="str">
        <f>CONCATENATE("m'(",C74,")=")</f>
        <v>m'(6)=</v>
      </c>
      <c r="J75" s="84">
        <f>2*(J72*(WLS))/3*H75</f>
        <v>788.09760000000006</v>
      </c>
      <c r="K75" s="84" t="str">
        <f>CONCATENATE("M(",C72,")=")</f>
        <v>M(4)=</v>
      </c>
      <c r="L75" s="84">
        <f>VLOOKUP(C72,STN_TABLE,4,FALSE)</f>
        <v>587.02320000000009</v>
      </c>
      <c r="M75" t="str">
        <f>CONCATENATE("M(",C74,")=")</f>
        <v>M(6)=</v>
      </c>
      <c r="N75">
        <f>J75+L75</f>
        <v>1375.1208000000001</v>
      </c>
      <c r="O75" s="99">
        <f>O74+1</f>
        <v>12</v>
      </c>
      <c r="P75" s="99">
        <f t="shared" si="23"/>
        <v>7.8833333333333329</v>
      </c>
      <c r="T75" s="89">
        <f>SUM(T72:T74)</f>
        <v>146.51000000000002</v>
      </c>
      <c r="V75" s="82">
        <f>SUM(V72:V74)</f>
        <v>146.61000000000001</v>
      </c>
      <c r="W75" s="84" t="str">
        <f>CONCATENATE("m'(",Q73,")=")</f>
        <v>m'(6)=</v>
      </c>
      <c r="X75" s="84">
        <f>(2*(X72^2)/24*V75)+(X74*Q72*WLS)</f>
        <v>435.16170000000005</v>
      </c>
      <c r="Y75" s="84" t="str">
        <f>CONCATENATE("M(",Q72,")=")</f>
        <v>M(5)=</v>
      </c>
      <c r="Z75" s="84">
        <f>VLOOKUP(Q72,STN_TABLE,4,FALSE)</f>
        <v>939.48120000000006</v>
      </c>
      <c r="AA75" t="str">
        <f>CONCATENATE("M(",Q73,")=")</f>
        <v>M(6)=</v>
      </c>
      <c r="AB75">
        <f>X75+Z75</f>
        <v>1374.6429000000001</v>
      </c>
      <c r="AE75" s="89">
        <f>SUM(AE73:AE74)</f>
        <v>24.450000000000003</v>
      </c>
      <c r="AG75" s="89">
        <f>SUM(AG73:AG74)</f>
        <v>36.68</v>
      </c>
      <c r="AH75" s="84" t="str">
        <f>CONCATENATE("m'(",AD74,")=")</f>
        <v>m'(6)=</v>
      </c>
      <c r="AI75" s="84">
        <f>(2*(AI72^2)/6*AG75)+(AI74*AD73*WLS)</f>
        <v>178.85256666666689</v>
      </c>
      <c r="AJ75" s="84" t="str">
        <f>CONCATENATE("M(",AD73,")=")</f>
        <v>M(5.61111111111111)=</v>
      </c>
      <c r="AK75" s="84">
        <f>VLOOKUP(AD73,STN_TABLE,4,FALSE)</f>
        <v>1195.8112666666666</v>
      </c>
      <c r="AL75" t="str">
        <f>CONCATENATE("M(",AD74,")=")</f>
        <v>M(6)=</v>
      </c>
      <c r="AM75">
        <f>AI75+AK75</f>
        <v>1374.6638333333335</v>
      </c>
      <c r="AO75" s="82" t="str">
        <f>AA75</f>
        <v>M(6)=</v>
      </c>
      <c r="AP75" s="82" t="e">
        <f>VLOOKUP(AO75,Rise_Results,2,FALSE)</f>
        <v>#N/A</v>
      </c>
      <c r="AQ75" s="82">
        <f>N75</f>
        <v>1375.1208000000001</v>
      </c>
      <c r="AR75" s="82">
        <f>IF(OR(AB74&lt;=0,AB75&lt;=0),1/0,AB75)</f>
        <v>1374.6429000000001</v>
      </c>
      <c r="AS75" s="82">
        <f>AM75</f>
        <v>1374.6638333333335</v>
      </c>
      <c r="AT75">
        <f>IFERROR(AP75,IFERROR(AQ75,IFERROR(AR75,AS75)))</f>
        <v>1375.1208000000001</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12.18</v>
      </c>
      <c r="E77" s="102">
        <v>1</v>
      </c>
      <c r="F77" s="68">
        <f>D77*E77</f>
        <v>12.18</v>
      </c>
      <c r="G77" s="69">
        <f>C77</f>
        <v>5</v>
      </c>
      <c r="H77" s="69">
        <f>F77*G77</f>
        <v>60.9</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12.23</v>
      </c>
      <c r="E78" s="81">
        <v>4</v>
      </c>
      <c r="F78" s="76">
        <f>D78*E78</f>
        <v>48.92</v>
      </c>
      <c r="G78" s="77">
        <f>C78</f>
        <v>6</v>
      </c>
      <c r="H78" s="77">
        <f>F78*G78</f>
        <v>293.52</v>
      </c>
      <c r="I78" s="512" t="s">
        <v>97</v>
      </c>
      <c r="J78" s="513"/>
      <c r="K78" s="78" t="s">
        <v>98</v>
      </c>
      <c r="L78" s="78"/>
      <c r="M78" s="7" t="s">
        <v>99</v>
      </c>
      <c r="N78" s="7"/>
      <c r="O78" s="99">
        <f>O77+1</f>
        <v>11</v>
      </c>
      <c r="P78" s="99">
        <f t="shared" si="23"/>
        <v>7</v>
      </c>
      <c r="Q78" s="76">
        <f>P78</f>
        <v>7</v>
      </c>
      <c r="R78" s="77">
        <f>VLOOKUP(Q78,STN_TABLE,2,FALSE)</f>
        <v>12.23</v>
      </c>
      <c r="S78" s="77">
        <v>8</v>
      </c>
      <c r="T78" s="76">
        <f>R78*S78</f>
        <v>97.84</v>
      </c>
      <c r="U78" s="80">
        <v>10</v>
      </c>
      <c r="V78" s="76">
        <f>R78*U78</f>
        <v>122.30000000000001</v>
      </c>
      <c r="W78" s="513" t="s">
        <v>97</v>
      </c>
      <c r="X78" s="513"/>
      <c r="Y78" s="513" t="s">
        <v>98</v>
      </c>
      <c r="Z78" s="513"/>
      <c r="AA78" s="511" t="s">
        <v>99</v>
      </c>
      <c r="AB78" s="511"/>
      <c r="AC78" s="99">
        <f>AC73+1</f>
        <v>10</v>
      </c>
      <c r="AD78" s="95">
        <f>VLOOKUP(AC78,STN_TABLE_2,2,FALSE)</f>
        <v>6</v>
      </c>
      <c r="AE78" s="68">
        <f>VLOOKUP(AD78,STN_TABLE,2,FALSE)</f>
        <v>12.23</v>
      </c>
      <c r="AF78" s="68">
        <v>1</v>
      </c>
      <c r="AG78" s="69">
        <f>AE78*AF78</f>
        <v>12.23</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12.23</v>
      </c>
      <c r="E79" s="92">
        <v>1</v>
      </c>
      <c r="F79" s="82">
        <f>D79*E79</f>
        <v>12.23</v>
      </c>
      <c r="G79" s="83">
        <f>C79</f>
        <v>7</v>
      </c>
      <c r="H79" s="83">
        <f>F79*G79</f>
        <v>85.61</v>
      </c>
      <c r="I79" s="84" t="str">
        <f>CONCATENATE("a'(",C79,")=")</f>
        <v>a'(7)=</v>
      </c>
      <c r="J79" s="84">
        <f>2*J77/3*F80</f>
        <v>87.995999999999995</v>
      </c>
      <c r="K79" s="84" t="str">
        <f>CONCATENATE("A(",C77,")=")</f>
        <v>A(5)=</v>
      </c>
      <c r="L79" s="84">
        <f>VLOOKUP(C77,STN_TABLE,3,FALSE)</f>
        <v>196.578</v>
      </c>
      <c r="M79" t="str">
        <f>CONCATENATE("A(",C79,")=")</f>
        <v>A(7)=</v>
      </c>
      <c r="N79">
        <f>J79+L79</f>
        <v>284.57400000000001</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12.23</v>
      </c>
      <c r="AF79" s="82">
        <v>2</v>
      </c>
      <c r="AG79" s="83">
        <f>AE79*AF79</f>
        <v>24.46</v>
      </c>
      <c r="AH79" s="84" t="str">
        <f>CONCATENATE("a'(",AD79,")=")</f>
        <v>a'(7)=</v>
      </c>
      <c r="AI79" s="84">
        <f>2*AI77/2*AE80</f>
        <v>44.028000000000006</v>
      </c>
      <c r="AJ79" s="84" t="str">
        <f>CONCATENATE("A(",AD78,")=")</f>
        <v>A(6)=</v>
      </c>
      <c r="AK79" s="84">
        <f>VLOOKUP(AD78,STN_TABLE,3,FALSE)</f>
        <v>240.62400000000002</v>
      </c>
      <c r="AL79" t="str">
        <f>CONCATENATE("A(",AD79,")=")</f>
        <v>A(7)=</v>
      </c>
      <c r="AM79">
        <f>AI79+AK79</f>
        <v>284.65200000000004</v>
      </c>
      <c r="AO79" s="68" t="str">
        <f>AA79</f>
        <v>A(7)=</v>
      </c>
      <c r="AP79" s="68" t="e">
        <f>VLOOKUP(AO79,Rise_Results,2,FALSE)</f>
        <v>#N/A</v>
      </c>
      <c r="AQ79" s="76">
        <f>N79</f>
        <v>284.57400000000001</v>
      </c>
      <c r="AR79" s="76" t="e">
        <f>IF(OR(AB79&lt;=0,AB80&lt;=0),1/0,AB79)</f>
        <v>#VALUE!</v>
      </c>
      <c r="AS79" s="76">
        <f>AM79</f>
        <v>284.65200000000004</v>
      </c>
      <c r="AT79">
        <f>IFERROR(AP79,IFERROR(AQ79,IFERROR(AR79,AS79)))</f>
        <v>284.57400000000001</v>
      </c>
      <c r="AU79" s="81"/>
    </row>
    <row r="80" spans="1:47" x14ac:dyDescent="0.25">
      <c r="A80" s="84">
        <f>A79+1</f>
        <v>11</v>
      </c>
      <c r="B80" s="84">
        <f t="shared" si="27"/>
        <v>7</v>
      </c>
      <c r="F80" s="82">
        <f>SUM(F77:F79)</f>
        <v>73.33</v>
      </c>
      <c r="H80" s="82">
        <f>SUM(H77:H79)</f>
        <v>440.03</v>
      </c>
      <c r="I80" s="84" t="str">
        <f>CONCATENATE("m'(",C79,")=")</f>
        <v>m'(7)=</v>
      </c>
      <c r="J80" s="84">
        <f>2*(J77*(WLS))/3*H80</f>
        <v>950.46479999999997</v>
      </c>
      <c r="K80" s="84" t="str">
        <f>CONCATENATE("M(",C77,")=")</f>
        <v>M(5)=</v>
      </c>
      <c r="L80" s="84">
        <f>VLOOKUP(C77,STN_TABLE,4,FALSE)</f>
        <v>939.48120000000006</v>
      </c>
      <c r="M80" t="str">
        <f>CONCATENATE("M(",C79,")=")</f>
        <v>M(7)=</v>
      </c>
      <c r="N80">
        <f>J80+L80</f>
        <v>1889.9459999999999</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24.46</v>
      </c>
      <c r="AG80" s="89">
        <f>SUM(AG78:AG79)</f>
        <v>36.69</v>
      </c>
      <c r="AH80" s="84" t="str">
        <f>CONCATENATE("m'(",AD79,")=")</f>
        <v>m'(7)=</v>
      </c>
      <c r="AI80" s="84">
        <f>(2*(AI77^2)/6*AG80)+(AI79*AD78*WLS)</f>
        <v>515.12760000000003</v>
      </c>
      <c r="AJ80" s="84" t="str">
        <f>CONCATENATE("M(",AD78,")=")</f>
        <v>M(6)=</v>
      </c>
      <c r="AK80" s="84">
        <f>VLOOKUP(AD78,STN_TABLE,4,FALSE)</f>
        <v>1375.1208000000001</v>
      </c>
      <c r="AL80" t="str">
        <f>CONCATENATE("M(",AD79,")=")</f>
        <v>M(7)=</v>
      </c>
      <c r="AM80">
        <f>AI80+AK80</f>
        <v>1890.2484000000002</v>
      </c>
      <c r="AO80" s="82" t="str">
        <f>AA80</f>
        <v>M(7)=</v>
      </c>
      <c r="AP80" s="82" t="e">
        <f>VLOOKUP(AO80,Rise_Results,2,FALSE)</f>
        <v>#N/A</v>
      </c>
      <c r="AQ80" s="82">
        <f>N80</f>
        <v>1889.9459999999999</v>
      </c>
      <c r="AR80" s="82" t="e">
        <f>IF(OR(AB79&lt;=0,AB80&lt;=0),1/0,AB80)</f>
        <v>#VALUE!</v>
      </c>
      <c r="AS80" s="82">
        <f>AM80</f>
        <v>1890.2484000000002</v>
      </c>
      <c r="AT80">
        <f>IFERROR(AP80,IFERROR(AQ80,IFERROR(AR80,AS80)))</f>
        <v>1889.9459999999999</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12.23</v>
      </c>
      <c r="AF83" s="68">
        <v>1</v>
      </c>
      <c r="AG83" s="69">
        <f>AE83*AF83</f>
        <v>12.23</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38.92319999999998</v>
      </c>
      <c r="AJ84" s="84" t="str">
        <f>CONCATENATE("A(",AD83,")=")</f>
        <v>A(7)=</v>
      </c>
      <c r="AK84" s="84">
        <f>VLOOKUP(AD83,STN_TABLE,3,FALSE)</f>
        <v>284.57400000000001</v>
      </c>
      <c r="AL84" t="str">
        <f>CONCATENATE("A(",AD84,")=")</f>
        <v>A(7.88333333333333)=</v>
      </c>
      <c r="AM84">
        <f>AI84+AK84</f>
        <v>323.49720000000002</v>
      </c>
      <c r="AO84" s="68" t="str">
        <f>AA84</f>
        <v>A(7.88333333333333)=</v>
      </c>
      <c r="AP84" s="68" t="e">
        <f>VLOOKUP(AO84,Rise_Results,2,FALSE)</f>
        <v>#N/A</v>
      </c>
      <c r="AQ84" s="76" t="e">
        <f>N84</f>
        <v>#N/A</v>
      </c>
      <c r="AR84" s="76" t="e">
        <f>IF(OR(AB84&lt;=0,AB85&lt;=0),1/0,AB84)</f>
        <v>#VALUE!</v>
      </c>
      <c r="AS84" s="76">
        <f>AM84</f>
        <v>323.49720000000002</v>
      </c>
      <c r="AT84">
        <f>IFERROR(AP84,IFERROR(AQ84,IFERROR(AR84,AS84)))</f>
        <v>323.49720000000002</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24.48</v>
      </c>
      <c r="AG85" s="89">
        <f>SUM(AG83:AG84)</f>
        <v>36.730000000000004</v>
      </c>
      <c r="AH85" s="84" t="str">
        <f>CONCATENATE("m'(",AD84,")=")</f>
        <v>m'(7.88333333333333)=</v>
      </c>
      <c r="AI85" s="84">
        <f>(2*(AI82^2)/6*AG85)+(AI84*AD83*WLS)</f>
        <v>521.38469099999986</v>
      </c>
      <c r="AJ85" s="84" t="str">
        <f>CONCATENATE("M(",AD83,")=")</f>
        <v>M(7)=</v>
      </c>
      <c r="AK85" s="84">
        <f>VLOOKUP(AD83,STN_TABLE,4,FALSE)</f>
        <v>1889.9459999999999</v>
      </c>
      <c r="AL85" t="str">
        <f>CONCATENATE("M(",AD84,")=")</f>
        <v>M(7.88333333333333)=</v>
      </c>
      <c r="AM85">
        <f>AI85+AK85</f>
        <v>2411.3306909999997</v>
      </c>
      <c r="AO85" s="82" t="str">
        <f>AA85</f>
        <v>M(7.88333333333333)=</v>
      </c>
      <c r="AP85" s="82" t="e">
        <f>VLOOKUP(AO85,Rise_Results,2,FALSE)</f>
        <v>#N/A</v>
      </c>
      <c r="AQ85" s="82" t="e">
        <f>N85</f>
        <v>#N/A</v>
      </c>
      <c r="AR85" s="82" t="e">
        <f>IF(OR(AB84&lt;=0,AB85&lt;=0),1/0,AB85)</f>
        <v>#VALUE!</v>
      </c>
      <c r="AS85" s="82">
        <f>AM85</f>
        <v>2411.3306909999997</v>
      </c>
      <c r="AT85">
        <f>IFERROR(AP85,IFERROR(AQ85,IFERROR(AR85,AS85)))</f>
        <v>2411.3306909999997</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323.49720000000002</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2411.3306909999997</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12</v>
      </c>
      <c r="E1" s="511" t="s">
        <v>91</v>
      </c>
      <c r="F1" s="511"/>
      <c r="G1" t="str">
        <f>VLOOKUP(Station_No,RISE_CALC,2,FALSE)</f>
        <v>-</v>
      </c>
      <c r="L1" s="511" t="s">
        <v>92</v>
      </c>
      <c r="M1" s="511"/>
      <c r="N1">
        <v>15</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7.85</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10.02</v>
      </c>
      <c r="D5" s="81">
        <f t="shared" ref="D5:D28" si="4">IFERROR(VLOOKUP(CONCATENATE("A(",B5,")="),RESULT_TABLE,6,FALSE)," ")</f>
        <v>16.246500000000001</v>
      </c>
      <c r="E5" s="77">
        <f t="shared" ref="E5:E28" si="5">IFERROR(VLOOKUP(CONCATENATE("M(",B5,")="),RESULT_TABLE,6,FALSE)," ")</f>
        <v>7.6038749999999995</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11.1</v>
      </c>
      <c r="D6" s="81">
        <f t="shared" si="4"/>
        <v>35.417999999999999</v>
      </c>
      <c r="E6" s="77">
        <f t="shared" si="5"/>
        <v>33.6312</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11.63</v>
      </c>
      <c r="D7" s="81">
        <f t="shared" si="4"/>
        <v>55.876499999999993</v>
      </c>
      <c r="E7" s="77">
        <f t="shared" si="5"/>
        <v>79.80727499999999</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11.92</v>
      </c>
      <c r="D8" s="81">
        <f t="shared" si="4"/>
        <v>77.141999999999996</v>
      </c>
      <c r="E8" s="77">
        <f t="shared" si="5"/>
        <v>146.72880000000001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12.2</v>
      </c>
      <c r="D9" s="81">
        <f t="shared" si="4"/>
        <v>120.59399999999999</v>
      </c>
      <c r="E9" s="77">
        <f t="shared" si="5"/>
        <v>342.64080000000001</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12.25</v>
      </c>
      <c r="D10" s="81">
        <f t="shared" si="4"/>
        <v>164.70599999999999</v>
      </c>
      <c r="E10" s="77">
        <f t="shared" si="5"/>
        <v>620.28719999999998</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12.25</v>
      </c>
      <c r="D11" s="81">
        <f t="shared" si="4"/>
        <v>208.73399999999998</v>
      </c>
      <c r="E11" s="77">
        <f t="shared" si="5"/>
        <v>977.35680000000013</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12.25</v>
      </c>
      <c r="D12" s="81">
        <f t="shared" si="4"/>
        <v>235.68399999999997</v>
      </c>
      <c r="E12" s="77">
        <f t="shared" si="5"/>
        <v>1234.7293</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12.25</v>
      </c>
      <c r="D13" s="81">
        <f t="shared" si="4"/>
        <v>252.90600000000001</v>
      </c>
      <c r="E13" s="77">
        <f t="shared" si="5"/>
        <v>1414.0871999999999</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12.25</v>
      </c>
      <c r="D14" s="81">
        <f t="shared" si="4"/>
        <v>296.93399999999997</v>
      </c>
      <c r="E14" s="77">
        <f t="shared" si="5"/>
        <v>1929.9168000000002</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335.88899999999995</v>
      </c>
      <c r="E15" s="77">
        <f t="shared" si="5"/>
        <v>2451.7190249999999</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7.85</v>
      </c>
      <c r="S32" s="69">
        <v>5</v>
      </c>
      <c r="T32" s="68">
        <f>R32*S32</f>
        <v>39.25</v>
      </c>
      <c r="U32" s="79">
        <v>3</v>
      </c>
      <c r="V32" s="68">
        <f>R32*U32</f>
        <v>23.549999999999997</v>
      </c>
      <c r="W32" t="s">
        <v>93</v>
      </c>
      <c r="X32" s="70">
        <f>IF(AND(Q34-Q33=Q33-Q32,NOT(AND(Q32=0,Q33=0)),NOT(AND(Q33=0,Q34=0))),WLS*(Q34-Q33),"#NA")</f>
        <v>0.9</v>
      </c>
      <c r="AD32" s="93"/>
      <c r="AH32" s="6" t="s">
        <v>93</v>
      </c>
      <c r="AI32" s="70">
        <f>WLS*(AD34-AD33)</f>
        <v>0.9</v>
      </c>
    </row>
    <row r="33" spans="1:47" x14ac:dyDescent="0.25">
      <c r="Q33" s="76">
        <f>B5</f>
        <v>0.5</v>
      </c>
      <c r="R33" s="77">
        <f>VLOOKUP(Q33,STN_TABLE,2,FALSE)</f>
        <v>10.02</v>
      </c>
      <c r="S33" s="77">
        <v>8</v>
      </c>
      <c r="T33" s="76">
        <f>R33*S33</f>
        <v>80.16</v>
      </c>
      <c r="U33" s="80">
        <v>10</v>
      </c>
      <c r="V33" s="76">
        <f>R33*U33</f>
        <v>100.19999999999999</v>
      </c>
      <c r="W33" s="512" t="s">
        <v>97</v>
      </c>
      <c r="X33" s="513"/>
      <c r="Y33" s="513" t="s">
        <v>98</v>
      </c>
      <c r="Z33" s="513"/>
      <c r="AA33" s="511" t="s">
        <v>99</v>
      </c>
      <c r="AB33" s="511"/>
      <c r="AC33" s="94">
        <v>1</v>
      </c>
      <c r="AD33" s="95">
        <f>VLOOKUP(AC33,STN_TABLE_2,2,FALSE)</f>
        <v>0</v>
      </c>
      <c r="AE33" s="68">
        <f>VLOOKUP(AD33,STN_TABLE,2,FALSE)</f>
        <v>7.85</v>
      </c>
      <c r="AF33" s="68">
        <v>1</v>
      </c>
      <c r="AG33" s="69">
        <f>AE33*AF33</f>
        <v>7.85</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11.1</v>
      </c>
      <c r="S34" s="83">
        <v>-1</v>
      </c>
      <c r="T34" s="82">
        <f>R34*S34</f>
        <v>-11.1</v>
      </c>
      <c r="U34" s="88">
        <v>-1</v>
      </c>
      <c r="V34" s="82">
        <f>R34*U34</f>
        <v>-11.1</v>
      </c>
      <c r="W34" s="84" t="str">
        <f>CONCATENATE("a'(",Q33,")=")</f>
        <v>a'(0.5)=</v>
      </c>
      <c r="X34" s="84">
        <f>2*X32/12*T35</f>
        <v>16.246500000000001</v>
      </c>
      <c r="Y34" s="84" t="str">
        <f>CONCATENATE("A(",Q32,")=")</f>
        <v>A(0)=</v>
      </c>
      <c r="Z34" s="84">
        <f>VLOOKUP(Q32,STN_TABLE,3,FALSE)</f>
        <v>0</v>
      </c>
      <c r="AA34" t="str">
        <f>CONCATENATE("A(",Q33,")=")</f>
        <v>A(0.5)=</v>
      </c>
      <c r="AB34">
        <f>X34+Z34</f>
        <v>16.246500000000001</v>
      </c>
      <c r="AC34" s="99">
        <f>AC33+1</f>
        <v>2</v>
      </c>
      <c r="AD34" s="100">
        <f>VLOOKUP(AC34,STN_TABLE_2,2,FALSE)</f>
        <v>0.5</v>
      </c>
      <c r="AE34" s="82">
        <f>VLOOKUP(AD34,STN_TABLE,2,FALSE)</f>
        <v>10.02</v>
      </c>
      <c r="AF34" s="82">
        <v>2</v>
      </c>
      <c r="AG34" s="83">
        <f>AE34*AF34</f>
        <v>20.04</v>
      </c>
      <c r="AH34" s="84" t="str">
        <f>CONCATENATE("a'(",AD34,")=")</f>
        <v>a'(0.5)=</v>
      </c>
      <c r="AI34" s="84">
        <f>2*AI32/2*AE35</f>
        <v>16.082999999999998</v>
      </c>
      <c r="AJ34" s="84" t="str">
        <f>CONCATENATE("A(",AD33,")=")</f>
        <v>A(0)=</v>
      </c>
      <c r="AK34" s="84">
        <f>VLOOKUP(AD33,STN_TABLE,3,FALSE)</f>
        <v>0</v>
      </c>
      <c r="AL34" t="str">
        <f>CONCATENATE("A(",AD34,")=")</f>
        <v>A(0.5)=</v>
      </c>
      <c r="AM34">
        <f>AI34+AK34</f>
        <v>16.082999999999998</v>
      </c>
      <c r="AO34" s="68" t="str">
        <f>AA34</f>
        <v>A(0.5)=</v>
      </c>
      <c r="AP34" s="79" t="e">
        <f>VLOOKUP(AO34,Rise_Results,2,FALSE)</f>
        <v>#N/A</v>
      </c>
      <c r="AQ34" s="76" t="s">
        <v>117</v>
      </c>
      <c r="AR34" s="76">
        <f>IF(OR(AB34&lt;=0,AB35&lt;=0),1/0,AB34)</f>
        <v>16.246500000000001</v>
      </c>
      <c r="AS34" s="76">
        <f>AM34</f>
        <v>16.082999999999998</v>
      </c>
      <c r="AT34" s="80">
        <f>IFERROR(AP34,IFERROR(AR34,AS34))</f>
        <v>16.246500000000001</v>
      </c>
    </row>
    <row r="35" spans="1:47" x14ac:dyDescent="0.25">
      <c r="A35" s="101"/>
      <c r="T35" s="89">
        <f>SUM(T32:T34)</f>
        <v>108.31</v>
      </c>
      <c r="V35" s="82">
        <f>SUM(V32:V34)</f>
        <v>112.64999999999999</v>
      </c>
      <c r="W35" s="84" t="str">
        <f>CONCATENATE("m'(",Q33,")=")</f>
        <v>m'(0.5)=</v>
      </c>
      <c r="X35" s="84">
        <f>(2*(X32^2)/24*V35)</f>
        <v>7.6038749999999995</v>
      </c>
      <c r="Y35" s="84" t="str">
        <f>CONCATENATE("M(",Q32,")=")</f>
        <v>M(0)=</v>
      </c>
      <c r="Z35" s="84">
        <f>VLOOKUP(Q32,STN_TABLE,4,FALSE)</f>
        <v>0</v>
      </c>
      <c r="AA35" t="str">
        <f>CONCATENATE("M(",Q33,")=")</f>
        <v>M(0.5)=</v>
      </c>
      <c r="AB35">
        <f>X35+Z35</f>
        <v>7.6038749999999995</v>
      </c>
      <c r="AE35" s="89">
        <f>SUM(AE33:AE34)</f>
        <v>17.869999999999997</v>
      </c>
      <c r="AG35" s="89">
        <f>SUM(AG33:AG34)</f>
        <v>27.89</v>
      </c>
      <c r="AH35" s="84" t="str">
        <f>CONCATENATE("m'(",AD34,")=")</f>
        <v>m'(0.5)=</v>
      </c>
      <c r="AI35" s="84">
        <f>(2*(AI32^2)/6*AG35)+(AI34*AD33*WLS)</f>
        <v>7.5303000000000004</v>
      </c>
      <c r="AJ35" s="84" t="str">
        <f>CONCATENATE("M(",AD33,")=")</f>
        <v>M(0)=</v>
      </c>
      <c r="AK35" s="84">
        <f>VLOOKUP(AD33,STN_TABLE,4,FALSE)</f>
        <v>0</v>
      </c>
      <c r="AL35" t="str">
        <f>CONCATENATE("M(",AD34,")=")</f>
        <v>M(0.5)=</v>
      </c>
      <c r="AM35">
        <f>AI35+AK35</f>
        <v>7.5303000000000004</v>
      </c>
      <c r="AO35" s="82" t="str">
        <f>AA35</f>
        <v>M(0.5)=</v>
      </c>
      <c r="AP35" s="88" t="e">
        <f>VLOOKUP(AO35,Rise_Results,2,FALSE)</f>
        <v>#N/A</v>
      </c>
      <c r="AQ35" s="82" t="s">
        <v>117</v>
      </c>
      <c r="AR35" s="82">
        <f>IF(OR(AB34&lt;=0,AB35&lt;=0),1/0,AB35)</f>
        <v>7.6038749999999995</v>
      </c>
      <c r="AS35" s="82">
        <f>AM35</f>
        <v>7.5303000000000004</v>
      </c>
      <c r="AT35" s="80">
        <f>IFERROR(AP35,IFERROR(AR35,AS35))</f>
        <v>7.6038749999999995</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7.85</v>
      </c>
      <c r="E37" s="102">
        <v>1</v>
      </c>
      <c r="F37" s="68">
        <f>D37*E37</f>
        <v>7.85</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10.02</v>
      </c>
      <c r="S37" s="69">
        <v>5</v>
      </c>
      <c r="T37" s="68">
        <f>R37*S37</f>
        <v>50.099999999999994</v>
      </c>
      <c r="U37" s="79">
        <v>3</v>
      </c>
      <c r="V37" s="68">
        <f>R37*U37</f>
        <v>30.06</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10.02</v>
      </c>
      <c r="E38" s="81">
        <v>4</v>
      </c>
      <c r="F38" s="76">
        <f>D38*E38</f>
        <v>40.08</v>
      </c>
      <c r="G38" s="77">
        <f>C38</f>
        <v>0.5</v>
      </c>
      <c r="H38" s="77">
        <f>F38*G38</f>
        <v>20.04</v>
      </c>
      <c r="I38" s="513" t="s">
        <v>97</v>
      </c>
      <c r="J38" s="513"/>
      <c r="K38" s="78" t="s">
        <v>98</v>
      </c>
      <c r="L38" s="78"/>
      <c r="M38" s="7" t="s">
        <v>99</v>
      </c>
      <c r="N38" s="7"/>
      <c r="O38" s="99">
        <f>O37+1</f>
        <v>3</v>
      </c>
      <c r="P38" s="99">
        <f t="shared" si="10"/>
        <v>1</v>
      </c>
      <c r="Q38" s="76">
        <f>P38</f>
        <v>1</v>
      </c>
      <c r="R38" s="77">
        <f>VLOOKUP(Q38,STN_TABLE,2,FALSE)</f>
        <v>11.1</v>
      </c>
      <c r="S38" s="77">
        <v>8</v>
      </c>
      <c r="T38" s="76">
        <f>R38*S38</f>
        <v>88.8</v>
      </c>
      <c r="U38" s="80">
        <v>10</v>
      </c>
      <c r="V38" s="76">
        <f>R38*U38</f>
        <v>111</v>
      </c>
      <c r="W38" s="513" t="s">
        <v>97</v>
      </c>
      <c r="X38" s="513"/>
      <c r="Y38" s="513" t="s">
        <v>98</v>
      </c>
      <c r="Z38" s="513"/>
      <c r="AA38" s="511" t="s">
        <v>99</v>
      </c>
      <c r="AB38" s="511"/>
      <c r="AC38" s="99">
        <f>AC33+1</f>
        <v>2</v>
      </c>
      <c r="AD38" s="95">
        <f>VLOOKUP(AC38,STN_TABLE_2,2,FALSE)</f>
        <v>0.5</v>
      </c>
      <c r="AE38" s="68">
        <f>VLOOKUP(AD38,STN_TABLE,2,FALSE)</f>
        <v>10.02</v>
      </c>
      <c r="AF38" s="68">
        <v>1</v>
      </c>
      <c r="AG38" s="69">
        <f>AE38*AF38</f>
        <v>10.02</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11.1</v>
      </c>
      <c r="E39" s="92">
        <v>1</v>
      </c>
      <c r="F39" s="82">
        <f>D39*E39</f>
        <v>11.1</v>
      </c>
      <c r="G39" s="83">
        <f>C39</f>
        <v>1</v>
      </c>
      <c r="H39" s="83">
        <f>F39*G39</f>
        <v>11.1</v>
      </c>
      <c r="I39" s="84" t="str">
        <f>CONCATENATE("a'(",C39,")=")</f>
        <v>a'(1)=</v>
      </c>
      <c r="J39" s="84">
        <f>2*J37/3*F40</f>
        <v>35.417999999999999</v>
      </c>
      <c r="K39" s="84" t="str">
        <f>CONCATENATE("A(",C37,")=")</f>
        <v>A(0)=</v>
      </c>
      <c r="L39" s="84">
        <f>VLOOKUP(C37,STN_TABLE,3,FALSE)</f>
        <v>0</v>
      </c>
      <c r="M39" t="str">
        <f>CONCATENATE("A(",C39,")=")</f>
        <v>A(1)=</v>
      </c>
      <c r="N39">
        <f>J39+L39</f>
        <v>35.417999999999999</v>
      </c>
      <c r="O39" s="99">
        <f>O38+1</f>
        <v>4</v>
      </c>
      <c r="P39" s="99">
        <f t="shared" si="10"/>
        <v>1.5</v>
      </c>
      <c r="Q39" s="82">
        <f>IF(P39-P38=P38-P37,P39,IF(P40-P38=P38-P37,P40,IF(P39-P38=P38-P36,P39,IF(P40-P38=P38-P36,P40,"-"))))</f>
        <v>1.5</v>
      </c>
      <c r="R39" s="83">
        <f>VLOOKUP(Q39,STN_TABLE,2,FALSE)</f>
        <v>11.63</v>
      </c>
      <c r="S39" s="83">
        <v>-1</v>
      </c>
      <c r="T39" s="82">
        <f>R39*S39</f>
        <v>-11.63</v>
      </c>
      <c r="U39" s="88">
        <v>-1</v>
      </c>
      <c r="V39" s="82">
        <f>R39*U39</f>
        <v>-11.63</v>
      </c>
      <c r="W39" s="84" t="str">
        <f>CONCATENATE("a'(",Q38,")=")</f>
        <v>a'(1)=</v>
      </c>
      <c r="X39" s="84">
        <f>2*X37/12*T40</f>
        <v>19.090499999999995</v>
      </c>
      <c r="Y39" s="84" t="str">
        <f>CONCATENATE("A(",Q37,")=")</f>
        <v>A(0.5)=</v>
      </c>
      <c r="Z39" s="84">
        <f>VLOOKUP(Q37,STN_TABLE,3,FALSE)</f>
        <v>16.246500000000001</v>
      </c>
      <c r="AA39" t="str">
        <f>CONCATENATE("A(",Q38,")=")</f>
        <v>A(1)=</v>
      </c>
      <c r="AB39">
        <f>X39+Z39</f>
        <v>35.336999999999996</v>
      </c>
      <c r="AC39" s="99">
        <f>AC38+1</f>
        <v>3</v>
      </c>
      <c r="AD39" s="100">
        <f>VLOOKUP(AC39,STN_TABLE_2,2,FALSE)</f>
        <v>1</v>
      </c>
      <c r="AE39" s="82">
        <f>VLOOKUP(AD39,STN_TABLE,2,FALSE)</f>
        <v>11.1</v>
      </c>
      <c r="AF39" s="82">
        <v>2</v>
      </c>
      <c r="AG39" s="83">
        <f>AE39*AF39</f>
        <v>22.2</v>
      </c>
      <c r="AH39" s="84" t="str">
        <f>CONCATENATE("a'(",AD39,")=")</f>
        <v>a'(1)=</v>
      </c>
      <c r="AI39" s="84">
        <f>2*AI37/2*AE40</f>
        <v>19.007999999999999</v>
      </c>
      <c r="AJ39" s="84" t="str">
        <f>CONCATENATE("A(",AD38,")=")</f>
        <v>A(0.5)=</v>
      </c>
      <c r="AK39" s="84">
        <f>VLOOKUP(AD38,STN_TABLE,3,FALSE)</f>
        <v>16.246500000000001</v>
      </c>
      <c r="AL39" t="str">
        <f>CONCATENATE("A(",AD39,")=")</f>
        <v>A(1)=</v>
      </c>
      <c r="AM39">
        <f>AI39+AK39</f>
        <v>35.2545</v>
      </c>
      <c r="AO39" s="68" t="str">
        <f>AA39</f>
        <v>A(1)=</v>
      </c>
      <c r="AP39" s="68" t="e">
        <f>VLOOKUP(AO39,Rise_Results,2,FALSE)</f>
        <v>#N/A</v>
      </c>
      <c r="AQ39" s="76">
        <f>N39</f>
        <v>35.417999999999999</v>
      </c>
      <c r="AR39" s="76">
        <f>IF(OR(AB39&lt;=0,AB40&lt;=0),1/0,AB39)</f>
        <v>35.336999999999996</v>
      </c>
      <c r="AS39" s="76">
        <f>AM39</f>
        <v>35.2545</v>
      </c>
      <c r="AT39">
        <f>IFERROR(AP39,IFERROR(AQ39,IFERROR(AR39,AS39)))</f>
        <v>35.417999999999999</v>
      </c>
    </row>
    <row r="40" spans="1:47" x14ac:dyDescent="0.25">
      <c r="A40">
        <v>4</v>
      </c>
      <c r="F40" s="82">
        <f>SUM(F37:F39)</f>
        <v>59.03</v>
      </c>
      <c r="H40" s="82">
        <f>SUM(H37:H39)</f>
        <v>31.14</v>
      </c>
      <c r="I40" s="84" t="str">
        <f>CONCATENATE("m'(",C39,")=")</f>
        <v>m'(1)=</v>
      </c>
      <c r="J40" s="84">
        <f>2*(J37*(WLS))/3*H40</f>
        <v>33.6312</v>
      </c>
      <c r="K40" s="84" t="str">
        <f>CONCATENATE("M(",C37,")=")</f>
        <v>M(0)=</v>
      </c>
      <c r="L40" s="84">
        <f>VLOOKUP(C37,STN_TABLE,4,FALSE)</f>
        <v>0</v>
      </c>
      <c r="M40" t="str">
        <f>CONCATENATE("M(",C39,")=")</f>
        <v>M(1)=</v>
      </c>
      <c r="N40">
        <f>J40+L40</f>
        <v>33.6312</v>
      </c>
      <c r="O40" s="99">
        <f>O39+1</f>
        <v>5</v>
      </c>
      <c r="P40" s="99">
        <f t="shared" si="10"/>
        <v>2</v>
      </c>
      <c r="T40" s="89">
        <f>SUM(T37:T39)</f>
        <v>127.26999999999998</v>
      </c>
      <c r="V40" s="82">
        <f>SUM(V37:V39)</f>
        <v>129.43</v>
      </c>
      <c r="W40" s="84" t="str">
        <f>CONCATENATE("m'(",Q38,")=")</f>
        <v>m'(1)=</v>
      </c>
      <c r="X40" s="84">
        <f>(2*(X37^2)/24*V40)+(X39*Q37*WLS)</f>
        <v>25.917974999999995</v>
      </c>
      <c r="Y40" s="84" t="str">
        <f>CONCATENATE("M(",Q37,")=")</f>
        <v>M(0.5)=</v>
      </c>
      <c r="Z40" s="84">
        <f>VLOOKUP(Q37,STN_TABLE,4,FALSE)</f>
        <v>7.6038749999999995</v>
      </c>
      <c r="AA40" t="str">
        <f>CONCATENATE("M(",Q38,")=")</f>
        <v>M(1)=</v>
      </c>
      <c r="AB40">
        <f>X40+Z40</f>
        <v>33.521849999999993</v>
      </c>
      <c r="AE40" s="89">
        <f>SUM(AE38:AE39)</f>
        <v>21.119999999999997</v>
      </c>
      <c r="AG40" s="89">
        <f>SUM(AG38:AG39)</f>
        <v>32.22</v>
      </c>
      <c r="AH40" s="84" t="str">
        <f>CONCATENATE("m'(",AD39,")=")</f>
        <v>m'(1)=</v>
      </c>
      <c r="AI40" s="84">
        <f>(2*(AI37^2)/6*AG40)+(AI39*AD38*WLS)</f>
        <v>25.8066</v>
      </c>
      <c r="AJ40" s="84" t="str">
        <f>CONCATENATE("M(",AD38,")=")</f>
        <v>M(0.5)=</v>
      </c>
      <c r="AK40" s="84">
        <f>VLOOKUP(AD38,STN_TABLE,4,FALSE)</f>
        <v>7.6038749999999995</v>
      </c>
      <c r="AL40" t="str">
        <f>CONCATENATE("M(",AD39,")=")</f>
        <v>M(1)=</v>
      </c>
      <c r="AM40">
        <f>AI40+AK40</f>
        <v>33.410474999999998</v>
      </c>
      <c r="AO40" s="82" t="str">
        <f>AA40</f>
        <v>M(1)=</v>
      </c>
      <c r="AP40" s="82" t="e">
        <f>VLOOKUP(AO40,Rise_Results,2,FALSE)</f>
        <v>#N/A</v>
      </c>
      <c r="AQ40" s="82">
        <f>N40</f>
        <v>33.6312</v>
      </c>
      <c r="AR40" s="82">
        <f>IF(OR(AB39&lt;=0,AB40&lt;=0),1/0,AB40)</f>
        <v>33.521849999999993</v>
      </c>
      <c r="AS40" s="82">
        <f>AM40</f>
        <v>33.410474999999998</v>
      </c>
      <c r="AT40">
        <f>IFERROR(AP40,IFERROR(AQ40,IFERROR(AR40,AS40)))</f>
        <v>33.6312</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10.02</v>
      </c>
      <c r="E42" s="102">
        <v>1</v>
      </c>
      <c r="F42" s="68">
        <f>D42*E42</f>
        <v>10.02</v>
      </c>
      <c r="G42" s="69">
        <f>C42</f>
        <v>0.5</v>
      </c>
      <c r="H42" s="69">
        <f>F42*G42</f>
        <v>5.01</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11.1</v>
      </c>
      <c r="S42" s="69">
        <v>5</v>
      </c>
      <c r="T42" s="68">
        <f>R42*S42</f>
        <v>55.5</v>
      </c>
      <c r="U42" s="79">
        <v>3</v>
      </c>
      <c r="V42" s="68">
        <f>R42*U42</f>
        <v>33.299999999999997</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11.1</v>
      </c>
      <c r="E43" s="81">
        <v>4</v>
      </c>
      <c r="F43" s="76">
        <f>D43*E43</f>
        <v>44.4</v>
      </c>
      <c r="G43" s="77">
        <f>C43</f>
        <v>1</v>
      </c>
      <c r="H43" s="77">
        <f>F43*G43</f>
        <v>44.4</v>
      </c>
      <c r="I43" s="513" t="s">
        <v>97</v>
      </c>
      <c r="J43" s="513"/>
      <c r="K43" s="78" t="s">
        <v>98</v>
      </c>
      <c r="L43" s="78"/>
      <c r="M43" s="7" t="s">
        <v>99</v>
      </c>
      <c r="N43" s="7"/>
      <c r="O43" s="99">
        <f>O42+1</f>
        <v>4</v>
      </c>
      <c r="P43" s="99">
        <f t="shared" si="10"/>
        <v>1.5</v>
      </c>
      <c r="Q43" s="76">
        <f>P43</f>
        <v>1.5</v>
      </c>
      <c r="R43" s="77">
        <f>VLOOKUP(Q43,STN_TABLE,2,FALSE)</f>
        <v>11.63</v>
      </c>
      <c r="S43" s="77">
        <v>8</v>
      </c>
      <c r="T43" s="76">
        <f>R43*S43</f>
        <v>93.04</v>
      </c>
      <c r="U43" s="80">
        <v>10</v>
      </c>
      <c r="V43" s="76">
        <f>R43*U43</f>
        <v>116.30000000000001</v>
      </c>
      <c r="W43" s="513" t="s">
        <v>97</v>
      </c>
      <c r="X43" s="513"/>
      <c r="Y43" s="513" t="s">
        <v>98</v>
      </c>
      <c r="Z43" s="513"/>
      <c r="AA43" s="511" t="s">
        <v>99</v>
      </c>
      <c r="AB43" s="511"/>
      <c r="AC43" s="99">
        <f>AC38+1</f>
        <v>3</v>
      </c>
      <c r="AD43" s="95">
        <f>VLOOKUP(AC43,STN_TABLE_2,2,FALSE)</f>
        <v>1</v>
      </c>
      <c r="AE43" s="68">
        <f>VLOOKUP(AD43,STN_TABLE,2,FALSE)</f>
        <v>11.1</v>
      </c>
      <c r="AF43" s="68">
        <v>1</v>
      </c>
      <c r="AG43" s="69">
        <f>AE43*AF43</f>
        <v>11.1</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11.63</v>
      </c>
      <c r="E44" s="92">
        <v>1</v>
      </c>
      <c r="F44" s="82">
        <f>D44*E44</f>
        <v>11.63</v>
      </c>
      <c r="G44" s="83">
        <f>C44</f>
        <v>1.5</v>
      </c>
      <c r="H44" s="83">
        <f>F44*G44</f>
        <v>17.445</v>
      </c>
      <c r="I44" s="84" t="str">
        <f>CONCATENATE("a'(",C44,")=")</f>
        <v>a'(1.5)=</v>
      </c>
      <c r="J44" s="84">
        <f>2*J42/3*F45</f>
        <v>39.629999999999995</v>
      </c>
      <c r="K44" s="84" t="str">
        <f>CONCATENATE("A(",C42,")=")</f>
        <v>A(0.5)=</v>
      </c>
      <c r="L44" s="84">
        <f>VLOOKUP(C42,STN_TABLE,3,FALSE)</f>
        <v>16.246500000000001</v>
      </c>
      <c r="M44" t="str">
        <f>CONCATENATE("A(",C44,")=")</f>
        <v>A(1.5)=</v>
      </c>
      <c r="N44">
        <f>J44+L44</f>
        <v>55.876499999999993</v>
      </c>
      <c r="O44" s="99">
        <f>O43+1</f>
        <v>5</v>
      </c>
      <c r="P44" s="99">
        <f t="shared" si="10"/>
        <v>2</v>
      </c>
      <c r="Q44" s="82">
        <f>IF(P44-P43=P43-P42,P44,IF(P45-P43=P43-P42,P45,IF(P44-P43=P43-P41,P44,IF(P45-P43=P43-P41,P45,"-"))))</f>
        <v>2</v>
      </c>
      <c r="R44" s="83">
        <f>VLOOKUP(Q44,STN_TABLE,2,FALSE)</f>
        <v>11.92</v>
      </c>
      <c r="S44" s="83">
        <v>-1</v>
      </c>
      <c r="T44" s="82">
        <f>R44*S44</f>
        <v>-11.92</v>
      </c>
      <c r="U44" s="88">
        <v>-1</v>
      </c>
      <c r="V44" s="82">
        <f>R44*U44</f>
        <v>-11.92</v>
      </c>
      <c r="W44" s="84" t="str">
        <f>CONCATENATE("a'(",Q43,")=")</f>
        <v>a'(1.5)=</v>
      </c>
      <c r="X44" s="84">
        <f>2*X42/12*T45</f>
        <v>20.493000000000006</v>
      </c>
      <c r="Y44" s="84" t="str">
        <f>CONCATENATE("A(",Q42,")=")</f>
        <v>A(1)=</v>
      </c>
      <c r="Z44" s="84">
        <f>VLOOKUP(Q42,STN_TABLE,3,FALSE)</f>
        <v>35.417999999999999</v>
      </c>
      <c r="AA44" t="str">
        <f>CONCATENATE("A(",Q43,")=")</f>
        <v>A(1.5)=</v>
      </c>
      <c r="AB44">
        <f>X44+Z44</f>
        <v>55.911000000000001</v>
      </c>
      <c r="AC44" s="99">
        <f>AC43+1</f>
        <v>4</v>
      </c>
      <c r="AD44" s="100">
        <f>VLOOKUP(AC44,STN_TABLE_2,2,FALSE)</f>
        <v>1.5</v>
      </c>
      <c r="AE44" s="82">
        <f>VLOOKUP(AD44,STN_TABLE,2,FALSE)</f>
        <v>11.63</v>
      </c>
      <c r="AF44" s="82">
        <v>2</v>
      </c>
      <c r="AG44" s="83">
        <f>AE44*AF44</f>
        <v>23.26</v>
      </c>
      <c r="AH44" s="84" t="str">
        <f>CONCATENATE("a'(",AD44,")=")</f>
        <v>a'(1.5)=</v>
      </c>
      <c r="AI44" s="84">
        <f>2*AI42/2*AE45</f>
        <v>20.457000000000001</v>
      </c>
      <c r="AJ44" s="84" t="str">
        <f>CONCATENATE("A(",AD43,")=")</f>
        <v>A(1)=</v>
      </c>
      <c r="AK44" s="84">
        <f>VLOOKUP(AD43,STN_TABLE,3,FALSE)</f>
        <v>35.417999999999999</v>
      </c>
      <c r="AL44" t="str">
        <f>CONCATENATE("A(",AD44,")=")</f>
        <v>A(1.5)=</v>
      </c>
      <c r="AM44">
        <f>AI44+AK44</f>
        <v>55.875</v>
      </c>
      <c r="AO44" s="68" t="str">
        <f>AA44</f>
        <v>A(1.5)=</v>
      </c>
      <c r="AP44" s="68" t="e">
        <f>VLOOKUP(AO44,Rise_Results,2,FALSE)</f>
        <v>#N/A</v>
      </c>
      <c r="AQ44" s="76">
        <f>N44</f>
        <v>55.876499999999993</v>
      </c>
      <c r="AR44" s="76">
        <f>IF(OR(AB44&lt;=0,AB45&lt;=0),1/0,AB44)</f>
        <v>55.911000000000001</v>
      </c>
      <c r="AS44" s="76">
        <f>AM44</f>
        <v>55.875</v>
      </c>
      <c r="AT44">
        <f>IFERROR(AP44,IFERROR(AQ44,IFERROR(AR44,AS44)))</f>
        <v>55.876499999999993</v>
      </c>
      <c r="AU44" s="81"/>
    </row>
    <row r="45" spans="1:47" x14ac:dyDescent="0.25">
      <c r="A45" s="94">
        <f>A44+1</f>
        <v>4</v>
      </c>
      <c r="B45" s="94">
        <f t="shared" si="11"/>
        <v>1.5</v>
      </c>
      <c r="F45" s="82">
        <f>SUM(F42:F44)</f>
        <v>66.05</v>
      </c>
      <c r="H45" s="82">
        <f>SUM(H42:H44)</f>
        <v>66.85499999999999</v>
      </c>
      <c r="I45" s="84" t="str">
        <f>CONCATENATE("m'(",C44,")=")</f>
        <v>m'(1.5)=</v>
      </c>
      <c r="J45" s="84">
        <f>2*(J42*(WLS))/3*H45</f>
        <v>72.203399999999988</v>
      </c>
      <c r="K45" s="84" t="str">
        <f>CONCATENATE("M(",C42,")=")</f>
        <v>M(0.5)=</v>
      </c>
      <c r="L45" s="84">
        <f>VLOOKUP(C42,STN_TABLE,4,FALSE)</f>
        <v>7.6038749999999995</v>
      </c>
      <c r="M45" t="str">
        <f>CONCATENATE("M(",C44,")=")</f>
        <v>M(1.5)=</v>
      </c>
      <c r="N45">
        <f>J45+L45</f>
        <v>79.80727499999999</v>
      </c>
      <c r="O45" s="99">
        <f>O44+1</f>
        <v>6</v>
      </c>
      <c r="P45" s="99">
        <f t="shared" si="10"/>
        <v>3</v>
      </c>
      <c r="T45" s="89">
        <f>SUM(T42:T44)</f>
        <v>136.62000000000003</v>
      </c>
      <c r="V45" s="82">
        <f>SUM(V42:V44)</f>
        <v>137.68000000000004</v>
      </c>
      <c r="W45" s="84" t="str">
        <f>CONCATENATE("m'(",Q43,")=")</f>
        <v>m'(1.5)=</v>
      </c>
      <c r="X45" s="84">
        <f>(2*(X42^2)/24*V45)+(X44*Q42*WLS)</f>
        <v>46.180800000000019</v>
      </c>
      <c r="Y45" s="84" t="str">
        <f>CONCATENATE("M(",Q42,")=")</f>
        <v>M(1)=</v>
      </c>
      <c r="Z45" s="84">
        <f>VLOOKUP(Q42,STN_TABLE,4,FALSE)</f>
        <v>33.6312</v>
      </c>
      <c r="AA45" t="str">
        <f>CONCATENATE("M(",Q43,")=")</f>
        <v>M(1.5)=</v>
      </c>
      <c r="AB45">
        <f>X45+Z45</f>
        <v>79.812000000000012</v>
      </c>
      <c r="AE45" s="89">
        <f>SUM(AE43:AE44)</f>
        <v>22.73</v>
      </c>
      <c r="AG45" s="89">
        <f>SUM(AG43:AG44)</f>
        <v>34.36</v>
      </c>
      <c r="AH45" s="84" t="str">
        <f>CONCATENATE("m'(",AD44,")=")</f>
        <v>m'(1.5)=</v>
      </c>
      <c r="AI45" s="84">
        <f>(2*(AI42^2)/6*AG45)+(AI44*AD43*WLS)</f>
        <v>46.099800000000002</v>
      </c>
      <c r="AJ45" s="84" t="str">
        <f>CONCATENATE("M(",AD43,")=")</f>
        <v>M(1)=</v>
      </c>
      <c r="AK45" s="84">
        <f>VLOOKUP(AD43,STN_TABLE,4,FALSE)</f>
        <v>33.6312</v>
      </c>
      <c r="AL45" t="str">
        <f>CONCATENATE("M(",AD44,")=")</f>
        <v>M(1.5)=</v>
      </c>
      <c r="AM45">
        <f>AI45+AK45</f>
        <v>79.730999999999995</v>
      </c>
      <c r="AO45" s="82" t="str">
        <f>AA45</f>
        <v>M(1.5)=</v>
      </c>
      <c r="AP45" s="82" t="e">
        <f>VLOOKUP(AO45,Rise_Results,2,FALSE)</f>
        <v>#N/A</v>
      </c>
      <c r="AQ45" s="82">
        <f>N45</f>
        <v>79.80727499999999</v>
      </c>
      <c r="AR45" s="82">
        <f>IF(OR(AB44&lt;=0,AB45&lt;=0),1/0,AB45)</f>
        <v>79.812000000000012</v>
      </c>
      <c r="AS45" s="82">
        <f>AM45</f>
        <v>79.730999999999995</v>
      </c>
      <c r="AT45">
        <f>IFERROR(AP45,IFERROR(AQ45,IFERROR(AR45,AS45)))</f>
        <v>79.80727499999999</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11.1</v>
      </c>
      <c r="E47" s="102">
        <v>1</v>
      </c>
      <c r="F47" s="68">
        <f>D47*E47</f>
        <v>11.1</v>
      </c>
      <c r="G47" s="69">
        <f>C47</f>
        <v>1</v>
      </c>
      <c r="H47" s="69">
        <f>F47*G47</f>
        <v>11.1</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11.1</v>
      </c>
      <c r="S47" s="69">
        <v>5</v>
      </c>
      <c r="T47" s="68">
        <f>R47*S47</f>
        <v>55.5</v>
      </c>
      <c r="U47" s="79">
        <v>3</v>
      </c>
      <c r="V47" s="68">
        <f>R47*U47</f>
        <v>33.299999999999997</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11.63</v>
      </c>
      <c r="E48" s="81">
        <v>4</v>
      </c>
      <c r="F48" s="76">
        <f>D48*E48</f>
        <v>46.52</v>
      </c>
      <c r="G48" s="77">
        <f>C48</f>
        <v>1.5</v>
      </c>
      <c r="H48" s="77">
        <f>F48*G48</f>
        <v>69.78</v>
      </c>
      <c r="I48" s="513" t="s">
        <v>97</v>
      </c>
      <c r="J48" s="513"/>
      <c r="K48" s="78" t="s">
        <v>98</v>
      </c>
      <c r="L48" s="78"/>
      <c r="M48" s="7" t="s">
        <v>99</v>
      </c>
      <c r="N48" s="7"/>
      <c r="O48" s="99">
        <f>O47+1</f>
        <v>5</v>
      </c>
      <c r="P48" s="99">
        <f t="shared" si="10"/>
        <v>2</v>
      </c>
      <c r="Q48" s="76">
        <f>P48</f>
        <v>2</v>
      </c>
      <c r="R48" s="77">
        <f>VLOOKUP(Q48,STN_TABLE,2,FALSE)</f>
        <v>11.92</v>
      </c>
      <c r="S48" s="77">
        <v>8</v>
      </c>
      <c r="T48" s="76">
        <f>R48*S48</f>
        <v>95.36</v>
      </c>
      <c r="U48" s="80">
        <v>10</v>
      </c>
      <c r="V48" s="76">
        <f>R48*U48</f>
        <v>119.2</v>
      </c>
      <c r="W48" s="513" t="s">
        <v>97</v>
      </c>
      <c r="X48" s="513"/>
      <c r="Y48" s="513" t="s">
        <v>98</v>
      </c>
      <c r="Z48" s="513"/>
      <c r="AA48" s="511" t="s">
        <v>99</v>
      </c>
      <c r="AB48" s="511"/>
      <c r="AC48" s="99">
        <f>AC43+1</f>
        <v>4</v>
      </c>
      <c r="AD48" s="95">
        <f>VLOOKUP(AC48,STN_TABLE_2,2,FALSE)</f>
        <v>1.5</v>
      </c>
      <c r="AE48" s="68">
        <f>VLOOKUP(AD48,STN_TABLE,2,FALSE)</f>
        <v>11.63</v>
      </c>
      <c r="AF48" s="68">
        <v>1</v>
      </c>
      <c r="AG48" s="69">
        <f>AE48*AF48</f>
        <v>11.63</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11.92</v>
      </c>
      <c r="E49" s="92">
        <v>1</v>
      </c>
      <c r="F49" s="82">
        <f>D49*E49</f>
        <v>11.92</v>
      </c>
      <c r="G49" s="83">
        <f>C49</f>
        <v>2</v>
      </c>
      <c r="H49" s="83">
        <f>F49*G49</f>
        <v>23.84</v>
      </c>
      <c r="I49" s="84" t="str">
        <f>CONCATENATE("a'(",C49,")=")</f>
        <v>a'(2)=</v>
      </c>
      <c r="J49" s="84">
        <f>2*J47/3*F50</f>
        <v>41.724000000000004</v>
      </c>
      <c r="K49" s="84" t="str">
        <f>CONCATENATE("A(",C47,")=")</f>
        <v>A(1)=</v>
      </c>
      <c r="L49" s="84">
        <f>VLOOKUP(C47,STN_TABLE,3,FALSE)</f>
        <v>35.417999999999999</v>
      </c>
      <c r="M49" t="str">
        <f>CONCATENATE("A(",C49,")=")</f>
        <v>A(2)=</v>
      </c>
      <c r="N49">
        <f>J49+L49</f>
        <v>77.141999999999996</v>
      </c>
      <c r="O49" s="99">
        <f>O48+1</f>
        <v>6</v>
      </c>
      <c r="P49" s="99">
        <f t="shared" si="10"/>
        <v>3</v>
      </c>
      <c r="Q49" s="82">
        <f>IF(P49-P48=P48-P47,P49,IF(P50-P48=P48-P47,P50,IF(P49-P48=P48-P46,P49,IF(P50-P48=P48-P46,P50,"-"))))</f>
        <v>3</v>
      </c>
      <c r="R49" s="83">
        <f>VLOOKUP(Q49,STN_TABLE,2,FALSE)</f>
        <v>12.2</v>
      </c>
      <c r="S49" s="83">
        <v>-1</v>
      </c>
      <c r="T49" s="82">
        <f>R49*S49</f>
        <v>-12.2</v>
      </c>
      <c r="U49" s="88">
        <v>-1</v>
      </c>
      <c r="V49" s="82">
        <f>R49*U49</f>
        <v>-12.2</v>
      </c>
      <c r="W49" s="84" t="str">
        <f>CONCATENATE("a'(",Q48,")=")</f>
        <v>a'(2)=</v>
      </c>
      <c r="X49" s="84">
        <f>2*X47/12*T50</f>
        <v>41.598000000000006</v>
      </c>
      <c r="Y49" s="84" t="str">
        <f>CONCATENATE("A(",Q47,")=")</f>
        <v>A(1)=</v>
      </c>
      <c r="Z49" s="84">
        <f>VLOOKUP(Q47,STN_TABLE,3,FALSE)</f>
        <v>35.417999999999999</v>
      </c>
      <c r="AA49" t="str">
        <f>CONCATENATE("A(",Q48,")=")</f>
        <v>A(2)=</v>
      </c>
      <c r="AB49">
        <f>X49+Z49</f>
        <v>77.016000000000005</v>
      </c>
      <c r="AC49" s="99">
        <f>AC48+1</f>
        <v>5</v>
      </c>
      <c r="AD49" s="100">
        <f>VLOOKUP(AC49,STN_TABLE_2,2,FALSE)</f>
        <v>2</v>
      </c>
      <c r="AE49" s="82">
        <f>VLOOKUP(AD49,STN_TABLE,2,FALSE)</f>
        <v>11.92</v>
      </c>
      <c r="AF49" s="82">
        <v>2</v>
      </c>
      <c r="AG49" s="83">
        <f>AE49*AF49</f>
        <v>23.84</v>
      </c>
      <c r="AH49" s="84" t="str">
        <f>CONCATENATE("a'(",AD49,")=")</f>
        <v>a'(2)=</v>
      </c>
      <c r="AI49" s="84">
        <f>2*AI47/2*AE50</f>
        <v>21.195</v>
      </c>
      <c r="AJ49" s="84" t="str">
        <f>CONCATENATE("A(",AD48,")=")</f>
        <v>A(1.5)=</v>
      </c>
      <c r="AK49" s="84">
        <f>VLOOKUP(AD48,STN_TABLE,3,FALSE)</f>
        <v>55.876499999999993</v>
      </c>
      <c r="AL49" t="str">
        <f>CONCATENATE("A(",AD49,")=")</f>
        <v>A(2)=</v>
      </c>
      <c r="AM49">
        <f>AI49+AK49</f>
        <v>77.071499999999986</v>
      </c>
      <c r="AO49" s="68" t="str">
        <f>AA49</f>
        <v>A(2)=</v>
      </c>
      <c r="AP49" s="68" t="e">
        <f>VLOOKUP(AO49,Rise_Results,2,FALSE)</f>
        <v>#N/A</v>
      </c>
      <c r="AQ49" s="76">
        <f>N49</f>
        <v>77.141999999999996</v>
      </c>
      <c r="AR49" s="76">
        <f>IF(OR(AB49&lt;=0,AB50&lt;=0),1/0,AB49)</f>
        <v>77.016000000000005</v>
      </c>
      <c r="AS49" s="76">
        <f>AM49</f>
        <v>77.071499999999986</v>
      </c>
      <c r="AT49">
        <f>IFERROR(AP49,IFERROR(AQ49,IFERROR(AR49,AS49)))</f>
        <v>77.141999999999996</v>
      </c>
      <c r="AU49" s="81"/>
    </row>
    <row r="50" spans="1:47" x14ac:dyDescent="0.25">
      <c r="A50" s="84">
        <f>A49+1</f>
        <v>5</v>
      </c>
      <c r="B50" s="84">
        <f t="shared" si="11"/>
        <v>2</v>
      </c>
      <c r="F50" s="82">
        <f>SUM(F47:F49)</f>
        <v>69.540000000000006</v>
      </c>
      <c r="H50" s="82">
        <f>SUM(H47:H49)</f>
        <v>104.72</v>
      </c>
      <c r="I50" s="84" t="str">
        <f>CONCATENATE("m'(",C49,")=")</f>
        <v>m'(2)=</v>
      </c>
      <c r="J50" s="84">
        <f>2*(J47*(WLS))/3*H50</f>
        <v>113.0976</v>
      </c>
      <c r="K50" s="84" t="str">
        <f>CONCATENATE("M(",C47,")=")</f>
        <v>M(1)=</v>
      </c>
      <c r="L50" s="84">
        <f>VLOOKUP(C47,STN_TABLE,4,FALSE)</f>
        <v>33.6312</v>
      </c>
      <c r="M50" t="str">
        <f>CONCATENATE("M(",C49,")=")</f>
        <v>M(2)=</v>
      </c>
      <c r="N50">
        <f>J50+L50</f>
        <v>146.72880000000001</v>
      </c>
      <c r="O50" s="99">
        <f>O49+1</f>
        <v>7</v>
      </c>
      <c r="P50" s="99">
        <f t="shared" si="10"/>
        <v>4</v>
      </c>
      <c r="T50" s="89">
        <f>SUM(T47:T49)</f>
        <v>138.66000000000003</v>
      </c>
      <c r="V50" s="82">
        <f>SUM(V47:V49)</f>
        <v>140.30000000000001</v>
      </c>
      <c r="W50" s="84" t="str">
        <f>CONCATENATE("m'(",Q48,")=")</f>
        <v>m'(2)=</v>
      </c>
      <c r="X50" s="84">
        <f>(2*(X47^2)/24*V50)+(X49*Q47*WLS)</f>
        <v>112.75740000000002</v>
      </c>
      <c r="Y50" s="84" t="str">
        <f>CONCATENATE("M(",Q47,")=")</f>
        <v>M(1)=</v>
      </c>
      <c r="Z50" s="84">
        <f>VLOOKUP(Q47,STN_TABLE,4,FALSE)</f>
        <v>33.6312</v>
      </c>
      <c r="AA50" t="str">
        <f>CONCATENATE("M(",Q48,")=")</f>
        <v>M(2)=</v>
      </c>
      <c r="AB50">
        <f>X50+Z50</f>
        <v>146.38860000000003</v>
      </c>
      <c r="AE50" s="89">
        <f>SUM(AE48:AE49)</f>
        <v>23.55</v>
      </c>
      <c r="AG50" s="89">
        <f>SUM(AG48:AG49)</f>
        <v>35.47</v>
      </c>
      <c r="AH50" s="84" t="str">
        <f>CONCATENATE("m'(",AD49,")=")</f>
        <v>m'(2)=</v>
      </c>
      <c r="AI50" s="84">
        <f>(2*(AI47^2)/6*AG50)+(AI49*AD48*WLS)</f>
        <v>66.803399999999996</v>
      </c>
      <c r="AJ50" s="84" t="str">
        <f>CONCATENATE("M(",AD48,")=")</f>
        <v>M(1.5)=</v>
      </c>
      <c r="AK50" s="84">
        <f>VLOOKUP(AD48,STN_TABLE,4,FALSE)</f>
        <v>79.80727499999999</v>
      </c>
      <c r="AL50" t="str">
        <f>CONCATENATE("M(",AD49,")=")</f>
        <v>M(2)=</v>
      </c>
      <c r="AM50">
        <f>AI50+AK50</f>
        <v>146.61067499999999</v>
      </c>
      <c r="AO50" s="82" t="str">
        <f>AA50</f>
        <v>M(2)=</v>
      </c>
      <c r="AP50" s="82" t="e">
        <f>VLOOKUP(AO50,Rise_Results,2,FALSE)</f>
        <v>#N/A</v>
      </c>
      <c r="AQ50" s="82">
        <f>N50</f>
        <v>146.72880000000001</v>
      </c>
      <c r="AR50" s="82">
        <f>IF(OR(AB49&lt;=0,AB50&lt;=0),1/0,AB50)</f>
        <v>146.38860000000003</v>
      </c>
      <c r="AS50" s="82">
        <f>AM50</f>
        <v>146.61067499999999</v>
      </c>
      <c r="AT50">
        <f>IFERROR(AP50,IFERROR(AQ50,IFERROR(AR50,AS50)))</f>
        <v>146.72880000000001</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11.1</v>
      </c>
      <c r="E52" s="102">
        <v>1</v>
      </c>
      <c r="F52" s="68">
        <f>D52*E52</f>
        <v>11.1</v>
      </c>
      <c r="G52" s="69">
        <f>C52</f>
        <v>1</v>
      </c>
      <c r="H52" s="69">
        <f>F52*G52</f>
        <v>11.1</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11.92</v>
      </c>
      <c r="S52" s="69">
        <v>5</v>
      </c>
      <c r="T52" s="68">
        <f>R52*S52</f>
        <v>59.6</v>
      </c>
      <c r="U52" s="79">
        <v>3</v>
      </c>
      <c r="V52" s="68">
        <f>R52*U52</f>
        <v>35.76</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11.92</v>
      </c>
      <c r="E53" s="81">
        <v>4</v>
      </c>
      <c r="F53" s="76">
        <f>D53*E53</f>
        <v>47.68</v>
      </c>
      <c r="G53" s="77">
        <f>C53</f>
        <v>2</v>
      </c>
      <c r="H53" s="77">
        <f>F53*G53</f>
        <v>95.36</v>
      </c>
      <c r="I53" s="512" t="s">
        <v>97</v>
      </c>
      <c r="J53" s="513"/>
      <c r="K53" s="78" t="s">
        <v>98</v>
      </c>
      <c r="L53" s="78"/>
      <c r="M53" s="7" t="s">
        <v>99</v>
      </c>
      <c r="N53" s="7"/>
      <c r="O53" s="99">
        <f>O52+1</f>
        <v>6</v>
      </c>
      <c r="P53" s="99">
        <f t="shared" si="10"/>
        <v>3</v>
      </c>
      <c r="Q53" s="76">
        <f>P53</f>
        <v>3</v>
      </c>
      <c r="R53" s="77">
        <f>VLOOKUP(Q53,STN_TABLE,2,FALSE)</f>
        <v>12.2</v>
      </c>
      <c r="S53" s="77">
        <v>8</v>
      </c>
      <c r="T53" s="76">
        <f>R53*S53</f>
        <v>97.6</v>
      </c>
      <c r="U53" s="80">
        <v>10</v>
      </c>
      <c r="V53" s="76">
        <f>R53*U53</f>
        <v>122</v>
      </c>
      <c r="W53" s="513" t="s">
        <v>97</v>
      </c>
      <c r="X53" s="513"/>
      <c r="Y53" s="513" t="s">
        <v>98</v>
      </c>
      <c r="Z53" s="513"/>
      <c r="AA53" s="511" t="s">
        <v>99</v>
      </c>
      <c r="AB53" s="511"/>
      <c r="AC53" s="99">
        <f>AC48+1</f>
        <v>5</v>
      </c>
      <c r="AD53" s="95">
        <f>VLOOKUP(AC53,STN_TABLE_2,2,FALSE)</f>
        <v>2</v>
      </c>
      <c r="AE53" s="68">
        <f>VLOOKUP(AD53,STN_TABLE,2,FALSE)</f>
        <v>11.92</v>
      </c>
      <c r="AF53" s="68">
        <v>1</v>
      </c>
      <c r="AG53" s="69">
        <f>AE53*AF53</f>
        <v>11.92</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12.2</v>
      </c>
      <c r="E54" s="92">
        <v>1</v>
      </c>
      <c r="F54" s="82">
        <f>D54*E54</f>
        <v>12.2</v>
      </c>
      <c r="G54" s="83">
        <f>C54</f>
        <v>3</v>
      </c>
      <c r="H54" s="83">
        <f>F54*G54</f>
        <v>36.599999999999994</v>
      </c>
      <c r="I54" s="84" t="str">
        <f>CONCATENATE("a'(",C54,")=")</f>
        <v>a'(3)=</v>
      </c>
      <c r="J54" s="84">
        <f>2*J52/3*F55</f>
        <v>85.176000000000002</v>
      </c>
      <c r="K54" s="84" t="str">
        <f>CONCATENATE("A(",C52,")=")</f>
        <v>A(1)=</v>
      </c>
      <c r="L54" s="84">
        <f>VLOOKUP(C52,STN_TABLE,3,FALSE)</f>
        <v>35.417999999999999</v>
      </c>
      <c r="M54" t="str">
        <f>CONCATENATE("A(",C54,")=")</f>
        <v>A(3)=</v>
      </c>
      <c r="N54">
        <f>J54+L54</f>
        <v>120.59399999999999</v>
      </c>
      <c r="O54" s="99">
        <f>O53+1</f>
        <v>7</v>
      </c>
      <c r="P54" s="99">
        <f t="shared" si="10"/>
        <v>4</v>
      </c>
      <c r="Q54" s="82">
        <f>IF(P54-P53=P53-P52,P54,IF(P55-P53=P53-P52,P55,IF(P54-P53=P53-P51,P54,IF(P55-P53=P53-P51,P55,"-"))))</f>
        <v>4</v>
      </c>
      <c r="R54" s="83">
        <f>VLOOKUP(Q54,STN_TABLE,2,FALSE)</f>
        <v>12.25</v>
      </c>
      <c r="S54" s="83">
        <v>-1</v>
      </c>
      <c r="T54" s="82">
        <f>R54*S54</f>
        <v>-12.25</v>
      </c>
      <c r="U54" s="88">
        <v>-1</v>
      </c>
      <c r="V54" s="82">
        <f>R54*U54</f>
        <v>-12.25</v>
      </c>
      <c r="W54" s="84" t="str">
        <f>CONCATENATE("a'(",Q53,")=")</f>
        <v>a'(3)=</v>
      </c>
      <c r="X54" s="84">
        <f>2*X52/12*T55</f>
        <v>43.484999999999992</v>
      </c>
      <c r="Y54" s="84" t="str">
        <f>CONCATENATE("A(",Q52,")=")</f>
        <v>A(2)=</v>
      </c>
      <c r="Z54" s="84">
        <f>VLOOKUP(Q52,STN_TABLE,3,FALSE)</f>
        <v>77.141999999999996</v>
      </c>
      <c r="AA54" t="str">
        <f>CONCATENATE("A(",Q53,")=")</f>
        <v>A(3)=</v>
      </c>
      <c r="AB54">
        <f>X54+Z54</f>
        <v>120.62699999999998</v>
      </c>
      <c r="AC54" s="99">
        <f>AC53+1</f>
        <v>6</v>
      </c>
      <c r="AD54" s="100">
        <f>VLOOKUP(AC54,STN_TABLE_2,2,FALSE)</f>
        <v>3</v>
      </c>
      <c r="AE54" s="82">
        <f>VLOOKUP(AD54,STN_TABLE,2,FALSE)</f>
        <v>12.2</v>
      </c>
      <c r="AF54" s="82">
        <v>2</v>
      </c>
      <c r="AG54" s="83">
        <f>AE54*AF54</f>
        <v>24.4</v>
      </c>
      <c r="AH54" s="84" t="str">
        <f>CONCATENATE("a'(",AD54,")=")</f>
        <v>a'(3)=</v>
      </c>
      <c r="AI54" s="84">
        <f>2*AI52/2*AE55</f>
        <v>43.415999999999997</v>
      </c>
      <c r="AJ54" s="84" t="str">
        <f>CONCATENATE("A(",AD53,")=")</f>
        <v>A(2)=</v>
      </c>
      <c r="AK54" s="84">
        <f>VLOOKUP(AD53,STN_TABLE,3,FALSE)</f>
        <v>77.141999999999996</v>
      </c>
      <c r="AL54" t="str">
        <f>CONCATENATE("A(",AD54,")=")</f>
        <v>A(3)=</v>
      </c>
      <c r="AM54">
        <f>AI54+AK54</f>
        <v>120.55799999999999</v>
      </c>
      <c r="AO54" s="68" t="str">
        <f>AA54</f>
        <v>A(3)=</v>
      </c>
      <c r="AP54" s="68" t="e">
        <f>VLOOKUP(AO54,Rise_Results,2,FALSE)</f>
        <v>#N/A</v>
      </c>
      <c r="AQ54" s="76">
        <f>N54</f>
        <v>120.59399999999999</v>
      </c>
      <c r="AR54" s="76">
        <f>IF(OR(AB54&lt;=0,AB55&lt;=0),1/0,AB54)</f>
        <v>120.62699999999998</v>
      </c>
      <c r="AS54" s="76">
        <f>AM54</f>
        <v>120.55799999999999</v>
      </c>
      <c r="AT54">
        <f>IFERROR(AP54,IFERROR(AQ54,IFERROR(AR54,AS54)))</f>
        <v>120.59399999999999</v>
      </c>
      <c r="AU54" s="81"/>
    </row>
    <row r="55" spans="1:47" x14ac:dyDescent="0.25">
      <c r="A55" s="84">
        <f>A54+1</f>
        <v>6</v>
      </c>
      <c r="B55" s="84">
        <f t="shared" si="11"/>
        <v>3</v>
      </c>
      <c r="F55" s="82">
        <f>SUM(F52:F54)</f>
        <v>70.98</v>
      </c>
      <c r="H55" s="82">
        <f>SUM(H52:H54)</f>
        <v>143.06</v>
      </c>
      <c r="I55" s="84" t="str">
        <f>CONCATENATE("m'(",C54,")=")</f>
        <v>m'(3)=</v>
      </c>
      <c r="J55" s="84">
        <f>2*(J52*(WLS))/3*H55</f>
        <v>309.00960000000003</v>
      </c>
      <c r="K55" s="84" t="str">
        <f>CONCATENATE("M(",C52,")=")</f>
        <v>M(1)=</v>
      </c>
      <c r="L55" s="84">
        <f>VLOOKUP(C52,STN_TABLE,4,FALSE)</f>
        <v>33.6312</v>
      </c>
      <c r="M55" t="str">
        <f>CONCATENATE("M(",C54,")=")</f>
        <v>M(3)=</v>
      </c>
      <c r="N55">
        <f>J55+L55</f>
        <v>342.64080000000001</v>
      </c>
      <c r="O55" s="99">
        <f>O54+1</f>
        <v>8</v>
      </c>
      <c r="P55" s="99">
        <f t="shared" si="10"/>
        <v>5</v>
      </c>
      <c r="T55" s="89">
        <f>SUM(T52:T54)</f>
        <v>144.94999999999999</v>
      </c>
      <c r="V55" s="82">
        <f>SUM(V52:V54)</f>
        <v>145.51</v>
      </c>
      <c r="W55" s="84" t="str">
        <f>CONCATENATE("m'(",Q53,")=")</f>
        <v>m'(3)=</v>
      </c>
      <c r="X55" s="84">
        <f>(2*(X52^2)/24*V55)+(X54*Q52*WLS)</f>
        <v>195.83369999999996</v>
      </c>
      <c r="Y55" s="84" t="str">
        <f>CONCATENATE("M(",Q52,")=")</f>
        <v>M(2)=</v>
      </c>
      <c r="Z55" s="84">
        <f>VLOOKUP(Q52,STN_TABLE,4,FALSE)</f>
        <v>146.72880000000001</v>
      </c>
      <c r="AA55" t="str">
        <f>CONCATENATE("M(",Q53,")=")</f>
        <v>M(3)=</v>
      </c>
      <c r="AB55">
        <f>X55+Z55</f>
        <v>342.5625</v>
      </c>
      <c r="AE55" s="89">
        <f>SUM(AE53:AE54)</f>
        <v>24.119999999999997</v>
      </c>
      <c r="AG55" s="89">
        <f>SUM(AG53:AG54)</f>
        <v>36.32</v>
      </c>
      <c r="AH55" s="84" t="str">
        <f>CONCATENATE("m'(",AD54,")=")</f>
        <v>m'(3)=</v>
      </c>
      <c r="AI55" s="84">
        <f>(2*(AI52^2)/6*AG55)+(AI54*AD53*WLS)</f>
        <v>195.52319999999997</v>
      </c>
      <c r="AJ55" s="84" t="str">
        <f>CONCATENATE("M(",AD53,")=")</f>
        <v>M(2)=</v>
      </c>
      <c r="AK55" s="84">
        <f>VLOOKUP(AD53,STN_TABLE,4,FALSE)</f>
        <v>146.72880000000001</v>
      </c>
      <c r="AL55" t="str">
        <f>CONCATENATE("M(",AD54,")=")</f>
        <v>M(3)=</v>
      </c>
      <c r="AM55">
        <f>AI55+AK55</f>
        <v>342.25199999999995</v>
      </c>
      <c r="AO55" s="82" t="str">
        <f>AA55</f>
        <v>M(3)=</v>
      </c>
      <c r="AP55" s="82" t="e">
        <f>VLOOKUP(AO55,Rise_Results,2,FALSE)</f>
        <v>#N/A</v>
      </c>
      <c r="AQ55" s="82">
        <f>N55</f>
        <v>342.64080000000001</v>
      </c>
      <c r="AR55" s="82">
        <f>IF(OR(AB54&lt;=0,AB55&lt;=0),1/0,AB55)</f>
        <v>342.5625</v>
      </c>
      <c r="AS55" s="82">
        <f>AM55</f>
        <v>342.25199999999995</v>
      </c>
      <c r="AT55">
        <f>IFERROR(AP55,IFERROR(AQ55,IFERROR(AR55,AS55)))</f>
        <v>342.64080000000001</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11.92</v>
      </c>
      <c r="E57" s="102">
        <v>1</v>
      </c>
      <c r="F57" s="68">
        <f>D57*E57</f>
        <v>11.92</v>
      </c>
      <c r="G57" s="69">
        <f>C57</f>
        <v>2</v>
      </c>
      <c r="H57" s="69">
        <f>F57*G57</f>
        <v>23.84</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12.2</v>
      </c>
      <c r="S57" s="69">
        <v>5</v>
      </c>
      <c r="T57" s="68">
        <f>R57*S57</f>
        <v>61</v>
      </c>
      <c r="U57" s="79">
        <v>3</v>
      </c>
      <c r="V57" s="68">
        <f>R57*U57</f>
        <v>36.599999999999994</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12.2</v>
      </c>
      <c r="E58" s="81">
        <v>4</v>
      </c>
      <c r="F58" s="76">
        <f>D58*E58</f>
        <v>48.8</v>
      </c>
      <c r="G58" s="77">
        <f>C58</f>
        <v>3</v>
      </c>
      <c r="H58" s="77">
        <f>F58*G58</f>
        <v>146.39999999999998</v>
      </c>
      <c r="I58" s="512" t="s">
        <v>97</v>
      </c>
      <c r="J58" s="513"/>
      <c r="K58" s="78" t="s">
        <v>98</v>
      </c>
      <c r="L58" s="78"/>
      <c r="M58" s="7" t="s">
        <v>99</v>
      </c>
      <c r="N58" s="7"/>
      <c r="O58" s="99">
        <f>O57+1</f>
        <v>7</v>
      </c>
      <c r="P58" s="99">
        <f t="shared" si="10"/>
        <v>4</v>
      </c>
      <c r="Q58" s="76">
        <f>P58</f>
        <v>4</v>
      </c>
      <c r="R58" s="77">
        <f>VLOOKUP(Q58,STN_TABLE,2,FALSE)</f>
        <v>12.25</v>
      </c>
      <c r="S58" s="77">
        <v>8</v>
      </c>
      <c r="T58" s="76">
        <f>R58*S58</f>
        <v>98</v>
      </c>
      <c r="U58" s="80">
        <v>10</v>
      </c>
      <c r="V58" s="76">
        <f>R58*U58</f>
        <v>122.5</v>
      </c>
      <c r="W58" s="78" t="s">
        <v>97</v>
      </c>
      <c r="X58" s="78"/>
      <c r="Y58" s="78" t="s">
        <v>98</v>
      </c>
      <c r="Z58" s="78"/>
      <c r="AA58" s="7" t="s">
        <v>99</v>
      </c>
      <c r="AB58" s="7"/>
      <c r="AC58" s="99">
        <f>AC53+1</f>
        <v>6</v>
      </c>
      <c r="AD58" s="95">
        <f>VLOOKUP(AC58,STN_TABLE_2,2,FALSE)</f>
        <v>3</v>
      </c>
      <c r="AE58" s="68">
        <f>VLOOKUP(AD58,STN_TABLE,2,FALSE)</f>
        <v>12.2</v>
      </c>
      <c r="AF58" s="68">
        <v>1</v>
      </c>
      <c r="AG58" s="69">
        <f>AE58*AF58</f>
        <v>12.2</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12.25</v>
      </c>
      <c r="E59" s="92">
        <v>1</v>
      </c>
      <c r="F59" s="82">
        <f>D59*E59</f>
        <v>12.25</v>
      </c>
      <c r="G59" s="83">
        <f>C59</f>
        <v>4</v>
      </c>
      <c r="H59" s="83">
        <f>F59*G59</f>
        <v>49</v>
      </c>
      <c r="I59" s="84" t="str">
        <f>CONCATENATE("a'(",C59,")=")</f>
        <v>a'(4)=</v>
      </c>
      <c r="J59" s="84">
        <f>2*J57/3*F60</f>
        <v>87.563999999999993</v>
      </c>
      <c r="K59" s="84" t="str">
        <f>CONCATENATE("A(",C57,")=")</f>
        <v>A(2)=</v>
      </c>
      <c r="L59" s="84">
        <f>VLOOKUP(C57,STN_TABLE,3,FALSE)</f>
        <v>77.141999999999996</v>
      </c>
      <c r="M59" t="str">
        <f>CONCATENATE("A(",C59,")=")</f>
        <v>A(4)=</v>
      </c>
      <c r="N59">
        <f>J59+L59</f>
        <v>164.70599999999999</v>
      </c>
      <c r="O59" s="99">
        <f>O58+1</f>
        <v>8</v>
      </c>
      <c r="P59" s="99">
        <f t="shared" si="10"/>
        <v>5</v>
      </c>
      <c r="Q59" s="82">
        <f>IF(P59-P58=P58-P57,P59,IF(P60-P58=P58-P57,P60,IF(P59-P58=P58-P56,P59,IF(P60-P58=P58-P56,P60,"-"))))</f>
        <v>5</v>
      </c>
      <c r="R59" s="83">
        <f>VLOOKUP(Q59,STN_TABLE,2,FALSE)</f>
        <v>12.25</v>
      </c>
      <c r="S59" s="83">
        <v>-1</v>
      </c>
      <c r="T59" s="82">
        <f>R59*S59</f>
        <v>-12.25</v>
      </c>
      <c r="U59" s="88">
        <v>-1</v>
      </c>
      <c r="V59" s="82">
        <f>R59*U59</f>
        <v>-12.25</v>
      </c>
      <c r="W59" s="84" t="str">
        <f>CONCATENATE("a'(",Q58,")=")</f>
        <v>a'(4)=</v>
      </c>
      <c r="X59" s="84">
        <f>2*X57/12*T60</f>
        <v>44.024999999999999</v>
      </c>
      <c r="Y59" s="84" t="str">
        <f>CONCATENATE("A(",Q57,")=")</f>
        <v>A(3)=</v>
      </c>
      <c r="Z59" s="84">
        <f>VLOOKUP(Q57,STN_TABLE,3,FALSE)</f>
        <v>120.59399999999999</v>
      </c>
      <c r="AA59" t="str">
        <f>CONCATENATE("A(",Q58,")=")</f>
        <v>A(4)=</v>
      </c>
      <c r="AB59">
        <f>X59+Z59</f>
        <v>164.619</v>
      </c>
      <c r="AC59" s="99">
        <f>AC58+1</f>
        <v>7</v>
      </c>
      <c r="AD59" s="100">
        <f>VLOOKUP(AC59,STN_TABLE_2,2,FALSE)</f>
        <v>4</v>
      </c>
      <c r="AE59" s="82">
        <f>VLOOKUP(AD59,STN_TABLE,2,FALSE)</f>
        <v>12.25</v>
      </c>
      <c r="AF59" s="82">
        <v>2</v>
      </c>
      <c r="AG59" s="83">
        <f>AE59*AF59</f>
        <v>24.5</v>
      </c>
      <c r="AH59" s="84" t="str">
        <f>CONCATENATE("a'(",AD59,")=")</f>
        <v>a'(4)=</v>
      </c>
      <c r="AI59" s="84">
        <f>2*AI57/2*AE60</f>
        <v>44.01</v>
      </c>
      <c r="AJ59" s="84" t="str">
        <f>CONCATENATE("A(",AD58,")=")</f>
        <v>A(3)=</v>
      </c>
      <c r="AK59" s="84">
        <f>VLOOKUP(AD58,STN_TABLE,3,FALSE)</f>
        <v>120.59399999999999</v>
      </c>
      <c r="AL59" t="str">
        <f>CONCATENATE("A(",AD59,")=")</f>
        <v>A(4)=</v>
      </c>
      <c r="AM59">
        <f>AI59+AK59</f>
        <v>164.60399999999998</v>
      </c>
      <c r="AO59" s="68" t="str">
        <f>AA59</f>
        <v>A(4)=</v>
      </c>
      <c r="AP59" s="68" t="e">
        <f>VLOOKUP(AO59,Rise_Results,2,FALSE)</f>
        <v>#N/A</v>
      </c>
      <c r="AQ59" s="76">
        <f>N59</f>
        <v>164.70599999999999</v>
      </c>
      <c r="AR59" s="76">
        <f>IF(OR(AB59&lt;=0,AB60&lt;=0),1/0,AB59)</f>
        <v>164.619</v>
      </c>
      <c r="AS59" s="76">
        <f>AM59</f>
        <v>164.60399999999998</v>
      </c>
      <c r="AT59">
        <f>IFERROR(AP59,IFERROR(AQ59,IFERROR(AR59,AS59)))</f>
        <v>164.70599999999999</v>
      </c>
      <c r="AU59" s="81"/>
    </row>
    <row r="60" spans="1:47" x14ac:dyDescent="0.25">
      <c r="A60" s="84">
        <f>A59+1</f>
        <v>7</v>
      </c>
      <c r="B60" s="84">
        <f t="shared" si="11"/>
        <v>4</v>
      </c>
      <c r="F60" s="82">
        <f>SUM(F57:F59)</f>
        <v>72.97</v>
      </c>
      <c r="H60" s="82">
        <f>SUM(H57:H59)</f>
        <v>219.23999999999998</v>
      </c>
      <c r="I60" s="84" t="str">
        <f>CONCATENATE("m'(",C59,")=")</f>
        <v>m'(4)=</v>
      </c>
      <c r="J60" s="84">
        <f>2*(J57*(WLS))/3*H60</f>
        <v>473.55840000000001</v>
      </c>
      <c r="K60" s="84" t="str">
        <f>CONCATENATE("M(",C57,")=")</f>
        <v>M(2)=</v>
      </c>
      <c r="L60" s="84">
        <f>VLOOKUP(C57,STN_TABLE,4,FALSE)</f>
        <v>146.72880000000001</v>
      </c>
      <c r="M60" t="str">
        <f>CONCATENATE("M(",C59,")=")</f>
        <v>M(4)=</v>
      </c>
      <c r="N60">
        <f>J60+L60</f>
        <v>620.28719999999998</v>
      </c>
      <c r="O60" s="99">
        <f>O59+1</f>
        <v>9</v>
      </c>
      <c r="P60" s="99">
        <f t="shared" si="10"/>
        <v>5.6111111111111107</v>
      </c>
      <c r="T60" s="89">
        <f>SUM(T57:T59)</f>
        <v>146.75</v>
      </c>
      <c r="V60" s="82">
        <f>SUM(V57:V59)</f>
        <v>146.85</v>
      </c>
      <c r="W60" s="84" t="str">
        <f>CONCATENATE("m'(",Q58,")=")</f>
        <v>m'(4)=</v>
      </c>
      <c r="X60" s="84">
        <f>(2*(X57^2)/24*V60)+(X59*Q57*WLS)</f>
        <v>277.3845</v>
      </c>
      <c r="Y60" s="84" t="str">
        <f>CONCATENATE("M(",Q57,")=")</f>
        <v>M(3)=</v>
      </c>
      <c r="Z60" s="84">
        <f>VLOOKUP(Q57,STN_TABLE,4,FALSE)</f>
        <v>342.64080000000001</v>
      </c>
      <c r="AA60" t="str">
        <f>CONCATENATE("M(",Q58,")=")</f>
        <v>M(4)=</v>
      </c>
      <c r="AB60">
        <f>X60+Z60</f>
        <v>620.02530000000002</v>
      </c>
      <c r="AE60" s="89">
        <f>SUM(AE58:AE59)</f>
        <v>24.45</v>
      </c>
      <c r="AG60" s="89">
        <f>SUM(AG58:AG59)</f>
        <v>36.700000000000003</v>
      </c>
      <c r="AH60" s="84" t="str">
        <f>CONCATENATE("m'(",AD59,")=")</f>
        <v>m'(4)=</v>
      </c>
      <c r="AI60" s="84">
        <f>(2*(AI57^2)/6*AG60)+(AI59*AD58*WLS)</f>
        <v>277.29000000000002</v>
      </c>
      <c r="AJ60" s="84" t="str">
        <f>CONCATENATE("M(",AD58,")=")</f>
        <v>M(3)=</v>
      </c>
      <c r="AK60" s="84">
        <f>VLOOKUP(AD57,STN_TABLE,4,FALSE)</f>
        <v>0</v>
      </c>
      <c r="AL60" t="str">
        <f>CONCATENATE("M(",AD59,")=")</f>
        <v>M(4)=</v>
      </c>
      <c r="AM60">
        <f>AI60+AK60</f>
        <v>277.29000000000002</v>
      </c>
      <c r="AO60" s="82" t="str">
        <f>AA60</f>
        <v>M(4)=</v>
      </c>
      <c r="AP60" s="82" t="e">
        <f>VLOOKUP(AO60,Rise_Results,2,FALSE)</f>
        <v>#N/A</v>
      </c>
      <c r="AQ60" s="82">
        <f>N60</f>
        <v>620.28719999999998</v>
      </c>
      <c r="AR60" s="82">
        <f>IF(OR(AB59&lt;=0,AB60&lt;=0),1/0,AB60)</f>
        <v>620.02530000000002</v>
      </c>
      <c r="AS60" s="82">
        <f>AM60</f>
        <v>277.29000000000002</v>
      </c>
      <c r="AT60">
        <f>IFERROR(AP60,IFERROR(AQ60,IFERROR(AR60,AS60)))</f>
        <v>620.28719999999998</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12.2</v>
      </c>
      <c r="E62" s="102">
        <v>1</v>
      </c>
      <c r="F62" s="68">
        <f>D62*E62</f>
        <v>12.2</v>
      </c>
      <c r="G62" s="69">
        <f>C62</f>
        <v>3</v>
      </c>
      <c r="H62" s="69">
        <f>F62*G62</f>
        <v>36.599999999999994</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12.25</v>
      </c>
      <c r="S62" s="69">
        <v>5</v>
      </c>
      <c r="T62" s="68">
        <f>R62*S62</f>
        <v>61.25</v>
      </c>
      <c r="U62" s="79">
        <v>3</v>
      </c>
      <c r="V62" s="68">
        <f>R62*U62</f>
        <v>36.75</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12.25</v>
      </c>
      <c r="E63" s="81">
        <v>4</v>
      </c>
      <c r="F63" s="76">
        <f>D63*E63</f>
        <v>49</v>
      </c>
      <c r="G63" s="77">
        <f>C63</f>
        <v>4</v>
      </c>
      <c r="H63" s="77">
        <f>F63*G63</f>
        <v>196</v>
      </c>
      <c r="I63" s="512" t="s">
        <v>97</v>
      </c>
      <c r="J63" s="513"/>
      <c r="K63" s="78" t="s">
        <v>98</v>
      </c>
      <c r="L63" s="78"/>
      <c r="M63" s="7" t="s">
        <v>99</v>
      </c>
      <c r="N63" s="7"/>
      <c r="O63" s="99">
        <f>O62+1</f>
        <v>8</v>
      </c>
      <c r="P63" s="99">
        <f t="shared" si="10"/>
        <v>5</v>
      </c>
      <c r="Q63" s="76">
        <f>P63</f>
        <v>5</v>
      </c>
      <c r="R63" s="77">
        <f>VLOOKUP(Q63,STN_TABLE,2,FALSE)</f>
        <v>12.25</v>
      </c>
      <c r="S63" s="77">
        <v>8</v>
      </c>
      <c r="T63" s="76">
        <f>R63*S63</f>
        <v>98</v>
      </c>
      <c r="U63" s="80">
        <v>10</v>
      </c>
      <c r="V63" s="76">
        <f>R63*U63</f>
        <v>122.5</v>
      </c>
      <c r="W63" s="513" t="s">
        <v>97</v>
      </c>
      <c r="X63" s="513"/>
      <c r="Y63" s="513" t="s">
        <v>98</v>
      </c>
      <c r="Z63" s="513"/>
      <c r="AA63" s="511" t="s">
        <v>99</v>
      </c>
      <c r="AB63" s="511"/>
      <c r="AC63" s="99">
        <f>AC58+1</f>
        <v>7</v>
      </c>
      <c r="AD63" s="95">
        <f>VLOOKUP(AC63,STN_TABLE_2,2,FALSE)</f>
        <v>4</v>
      </c>
      <c r="AE63" s="68">
        <f>VLOOKUP(AD63,STN_TABLE,2,FALSE)</f>
        <v>12.25</v>
      </c>
      <c r="AF63" s="68">
        <v>1</v>
      </c>
      <c r="AG63" s="69">
        <f>AE63*AF63</f>
        <v>12.25</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12.25</v>
      </c>
      <c r="E64" s="92">
        <v>1</v>
      </c>
      <c r="F64" s="82">
        <f>D64*E64</f>
        <v>12.25</v>
      </c>
      <c r="G64" s="83">
        <f>C64</f>
        <v>5</v>
      </c>
      <c r="H64" s="83">
        <f>F64*G64</f>
        <v>61.25</v>
      </c>
      <c r="I64" s="84" t="str">
        <f>CONCATENATE("a'(",C64,")=")</f>
        <v>a'(5)=</v>
      </c>
      <c r="J64" s="84">
        <f>2*J62/3*F65</f>
        <v>88.14</v>
      </c>
      <c r="K64" s="84" t="str">
        <f>CONCATENATE("A(",C62,")=")</f>
        <v>A(3)=</v>
      </c>
      <c r="L64" s="84">
        <f>VLOOKUP(C62,STN_TABLE,3,FALSE)</f>
        <v>120.59399999999999</v>
      </c>
      <c r="M64" t="str">
        <f>CONCATENATE("A(",C64,")=")</f>
        <v>A(5)=</v>
      </c>
      <c r="N64">
        <f>J64+L64</f>
        <v>208.73399999999998</v>
      </c>
      <c r="O64" s="99">
        <f>O63+1</f>
        <v>9</v>
      </c>
      <c r="P64" s="99">
        <f t="shared" si="10"/>
        <v>5.6111111111111107</v>
      </c>
      <c r="Q64" s="82">
        <f>IF(P64-P63=P63-P62,P64,IF(P65-P63=P63-P62,P65,IF(P64-P63=P63-P61,P64,IF(P65-P63=P63-P61,P65,"-"))))</f>
        <v>6</v>
      </c>
      <c r="R64" s="83">
        <f>VLOOKUP(Q64,STN_TABLE,2,FALSE)</f>
        <v>12.25</v>
      </c>
      <c r="S64" s="83">
        <v>-1</v>
      </c>
      <c r="T64" s="82">
        <f>R64*S64</f>
        <v>-12.25</v>
      </c>
      <c r="U64" s="88">
        <v>-1</v>
      </c>
      <c r="V64" s="82">
        <f>R64*U64</f>
        <v>-12.25</v>
      </c>
      <c r="W64" s="84" t="str">
        <f>CONCATENATE("a'(",Q63,")=")</f>
        <v>a'(5)=</v>
      </c>
      <c r="X64" s="84">
        <f>2*X62/12*T65</f>
        <v>44.1</v>
      </c>
      <c r="Y64" s="84" t="str">
        <f>CONCATENATE("A(",Q62,")=")</f>
        <v>A(4)=</v>
      </c>
      <c r="Z64" s="84">
        <f>VLOOKUP(Q62,STN_TABLE,3,FALSE)</f>
        <v>164.70599999999999</v>
      </c>
      <c r="AA64" t="str">
        <f>CONCATENATE("A(",Q63,")=")</f>
        <v>A(5)=</v>
      </c>
      <c r="AB64">
        <f>X64+Z64</f>
        <v>208.80599999999998</v>
      </c>
      <c r="AC64" s="99">
        <f>AC63+1</f>
        <v>8</v>
      </c>
      <c r="AD64" s="100">
        <f>VLOOKUP(AC64,STN_TABLE_2,2,FALSE)</f>
        <v>5</v>
      </c>
      <c r="AE64" s="82">
        <f>VLOOKUP(AD64,STN_TABLE,2,FALSE)</f>
        <v>12.25</v>
      </c>
      <c r="AF64" s="82">
        <v>2</v>
      </c>
      <c r="AG64" s="83">
        <f>AE64*AF64</f>
        <v>24.5</v>
      </c>
      <c r="AH64" s="84" t="str">
        <f>CONCATENATE("a'(",AD64,")=")</f>
        <v>a'(5)=</v>
      </c>
      <c r="AI64" s="84">
        <f>2*AI62/2*AE65</f>
        <v>44.1</v>
      </c>
      <c r="AJ64" s="84" t="str">
        <f>CONCATENATE("A(",AD63,")=")</f>
        <v>A(4)=</v>
      </c>
      <c r="AK64" s="84">
        <f>VLOOKUP(AD63,STN_TABLE,3,FALSE)</f>
        <v>164.70599999999999</v>
      </c>
      <c r="AL64" t="str">
        <f>CONCATENATE("A(",AD64,")=")</f>
        <v>A(5)=</v>
      </c>
      <c r="AM64">
        <f>AI64+AK64</f>
        <v>208.80599999999998</v>
      </c>
      <c r="AO64" s="68" t="str">
        <f>AA64</f>
        <v>A(5)=</v>
      </c>
      <c r="AP64" s="68" t="e">
        <f>VLOOKUP(AO64,Rise_Results,2,FALSE)</f>
        <v>#N/A</v>
      </c>
      <c r="AQ64" s="76">
        <f>N64</f>
        <v>208.73399999999998</v>
      </c>
      <c r="AR64" s="76">
        <f>IF(OR(AB64&lt;=0,AB65&lt;=0),1/0,AB64)</f>
        <v>208.80599999999998</v>
      </c>
      <c r="AS64" s="76">
        <f>AM64</f>
        <v>208.80599999999998</v>
      </c>
      <c r="AT64">
        <f>IFERROR(AP64,IFERROR(AQ64,IFERROR(AR64,AS64)))</f>
        <v>208.73399999999998</v>
      </c>
      <c r="AU64" s="81"/>
    </row>
    <row r="65" spans="1:47" x14ac:dyDescent="0.25">
      <c r="A65" s="84">
        <f>A64+1</f>
        <v>8</v>
      </c>
      <c r="B65" s="84">
        <f t="shared" si="11"/>
        <v>5</v>
      </c>
      <c r="F65" s="82">
        <f>SUM(F62:F64)</f>
        <v>73.45</v>
      </c>
      <c r="H65" s="82">
        <f>SUM(H62:H64)</f>
        <v>293.85000000000002</v>
      </c>
      <c r="I65" s="84" t="str">
        <f>CONCATENATE("m'(",C64,")=")</f>
        <v>m'(5)=</v>
      </c>
      <c r="J65" s="84">
        <f>2*(J62*(WLS))/3*H65</f>
        <v>634.71600000000012</v>
      </c>
      <c r="K65" s="84" t="str">
        <f>CONCATENATE("M(",C62,")=")</f>
        <v>M(3)=</v>
      </c>
      <c r="L65" s="84">
        <f>VLOOKUP(C62,STN_TABLE,4,FALSE)</f>
        <v>342.64080000000001</v>
      </c>
      <c r="M65" t="str">
        <f>CONCATENATE("M(",C64,")=")</f>
        <v>M(5)=</v>
      </c>
      <c r="N65">
        <f>J65+L65</f>
        <v>977.35680000000013</v>
      </c>
      <c r="O65" s="99">
        <f>O64+1</f>
        <v>10</v>
      </c>
      <c r="P65" s="99">
        <f t="shared" si="10"/>
        <v>6</v>
      </c>
      <c r="T65" s="89">
        <f>SUM(T62:T64)</f>
        <v>147</v>
      </c>
      <c r="V65" s="82">
        <f>SUM(V62:V64)</f>
        <v>147</v>
      </c>
      <c r="W65" s="84" t="str">
        <f>CONCATENATE("m'(",Q63,")=")</f>
        <v>m'(5)=</v>
      </c>
      <c r="X65" s="84">
        <f>(2*(X62^2)/24*V65)+(X64*Q62*WLS)</f>
        <v>357.21000000000004</v>
      </c>
      <c r="Y65" s="84" t="str">
        <f>CONCATENATE("M(",Q62,")=")</f>
        <v>M(4)=</v>
      </c>
      <c r="Z65" s="84">
        <f>VLOOKUP(Q62,STN_TABLE,4,FALSE)</f>
        <v>620.28719999999998</v>
      </c>
      <c r="AA65" t="str">
        <f>CONCATENATE("M(",Q63,")=")</f>
        <v>M(5)=</v>
      </c>
      <c r="AB65">
        <f>X65+Z65</f>
        <v>977.49720000000002</v>
      </c>
      <c r="AE65" s="89">
        <f>SUM(AE63:AE64)</f>
        <v>24.5</v>
      </c>
      <c r="AG65" s="89">
        <f>SUM(AG63:AG64)</f>
        <v>36.75</v>
      </c>
      <c r="AH65" s="84" t="str">
        <f>CONCATENATE("m'(",AD64,")=")</f>
        <v>m'(5)=</v>
      </c>
      <c r="AI65" s="84">
        <f>(2*(AI62^2)/6*AG65)+(AI64*AD63*WLS)</f>
        <v>357.21000000000004</v>
      </c>
      <c r="AJ65" s="84" t="str">
        <f>CONCATENATE("M(",AD63,")=")</f>
        <v>M(4)=</v>
      </c>
      <c r="AK65" s="84">
        <f>VLOOKUP(AD63,STN_TABLE,4,FALSE)</f>
        <v>620.28719999999998</v>
      </c>
      <c r="AL65" t="str">
        <f>CONCATENATE("M(",AD64,")=")</f>
        <v>M(5)=</v>
      </c>
      <c r="AM65">
        <f>AI65+AK65</f>
        <v>977.49720000000002</v>
      </c>
      <c r="AO65" s="82" t="str">
        <f>AA65</f>
        <v>M(5)=</v>
      </c>
      <c r="AP65" s="82" t="e">
        <f>VLOOKUP(AO65,Rise_Results,2,FALSE)</f>
        <v>#N/A</v>
      </c>
      <c r="AQ65" s="82">
        <f>N65</f>
        <v>977.35680000000013</v>
      </c>
      <c r="AR65" s="82">
        <f>IF(OR(AB64&lt;=0,AB65&lt;=0),1/0,AB65)</f>
        <v>977.49720000000002</v>
      </c>
      <c r="AS65" s="82">
        <f>AM65</f>
        <v>977.49720000000002</v>
      </c>
      <c r="AT65">
        <f>IFERROR(AP65,IFERROR(AQ65,IFERROR(AR65,AS65)))</f>
        <v>977.35680000000013</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12.25</v>
      </c>
      <c r="S68" s="77">
        <v>8</v>
      </c>
      <c r="T68" s="76">
        <f>R68*S68</f>
        <v>98</v>
      </c>
      <c r="U68" s="80">
        <v>10</v>
      </c>
      <c r="V68" s="76">
        <f>R68*U68</f>
        <v>122.5</v>
      </c>
      <c r="W68" s="513" t="s">
        <v>97</v>
      </c>
      <c r="X68" s="513"/>
      <c r="Y68" s="513" t="s">
        <v>98</v>
      </c>
      <c r="Z68" s="513"/>
      <c r="AA68" s="511" t="s">
        <v>99</v>
      </c>
      <c r="AB68" s="511"/>
      <c r="AC68" s="99">
        <f>AC63+1</f>
        <v>8</v>
      </c>
      <c r="AD68" s="95">
        <f>VLOOKUP(AC68,STN_TABLE_2,2,FALSE)</f>
        <v>5</v>
      </c>
      <c r="AE68" s="68">
        <f>VLOOKUP(AD68,STN_TABLE,2,FALSE)</f>
        <v>12.25</v>
      </c>
      <c r="AF68" s="68">
        <v>1</v>
      </c>
      <c r="AG68" s="69">
        <f>AE68*AF68</f>
        <v>12.25</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12.25</v>
      </c>
      <c r="E69" s="92">
        <v>1</v>
      </c>
      <c r="F69" s="82">
        <f>D69*E69</f>
        <v>12.25</v>
      </c>
      <c r="G69" s="83">
        <f>C69</f>
        <v>5.6111111111111107</v>
      </c>
      <c r="H69" s="83">
        <f>F69*G69</f>
        <v>68.7361111111111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12.25</v>
      </c>
      <c r="AF69" s="82">
        <v>2</v>
      </c>
      <c r="AG69" s="83">
        <f>AE69*AF69</f>
        <v>24.5</v>
      </c>
      <c r="AH69" s="84" t="str">
        <f>CONCATENATE("a'(",AD69,")=")</f>
        <v>a'(5.61111111111111)=</v>
      </c>
      <c r="AI69" s="84">
        <f>2*AI67/2*AE70</f>
        <v>26.949999999999985</v>
      </c>
      <c r="AJ69" s="84" t="str">
        <f>CONCATENATE("A(",AD68,")=")</f>
        <v>A(5)=</v>
      </c>
      <c r="AK69" s="84">
        <f>VLOOKUP(AD68,STN_TABLE,3,FALSE)</f>
        <v>208.73399999999998</v>
      </c>
      <c r="AL69" t="str">
        <f>CONCATENATE("A(",AD69,")=")</f>
        <v>A(5.61111111111111)=</v>
      </c>
      <c r="AM69">
        <f>AI69+AK69</f>
        <v>235.68399999999997</v>
      </c>
      <c r="AO69" s="68" t="str">
        <f>AA69</f>
        <v>A(5.61111111111111)=</v>
      </c>
      <c r="AP69" s="68" t="e">
        <f>VLOOKUP(AO69,Rise_Results,2,FALSE)</f>
        <v>#N/A</v>
      </c>
      <c r="AQ69" s="76" t="e">
        <f>N69</f>
        <v>#N/A</v>
      </c>
      <c r="AR69" s="76" t="e">
        <f>IF(OR(AB69&lt;=0,AB70&lt;=0),1/0,AB69)</f>
        <v>#VALUE!</v>
      </c>
      <c r="AS69" s="76">
        <f>AM69</f>
        <v>235.68399999999997</v>
      </c>
      <c r="AT69">
        <f>IFERROR(AP69,IFERROR(AQ69,IFERROR(AR69,AS69)))</f>
        <v>235.68399999999997</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24.5</v>
      </c>
      <c r="AG70" s="89">
        <f>SUM(AG68:AG69)</f>
        <v>36.75</v>
      </c>
      <c r="AH70" s="84" t="str">
        <f>CONCATENATE("m'(",AD69,")=")</f>
        <v>m'(5.61111111111111)=</v>
      </c>
      <c r="AI70" s="84">
        <f>(2*(AI67^2)/6*AG70)+(AI69*AD68*WLS)</f>
        <v>257.37249999999983</v>
      </c>
      <c r="AJ70" s="84" t="str">
        <f>CONCATENATE("M(",AD68,")=")</f>
        <v>M(5)=</v>
      </c>
      <c r="AK70" s="84">
        <f>VLOOKUP(AD68,STN_TABLE,4,FALSE)</f>
        <v>977.35680000000013</v>
      </c>
      <c r="AL70" t="str">
        <f>CONCATENATE("M(",AD69,")=")</f>
        <v>M(5.61111111111111)=</v>
      </c>
      <c r="AM70">
        <f>AI70+AK70</f>
        <v>1234.7293</v>
      </c>
      <c r="AO70" s="82" t="str">
        <f>AA70</f>
        <v>M(5.61111111111111)=</v>
      </c>
      <c r="AP70" s="82" t="e">
        <f>VLOOKUP(AO70,Rise_Results,2,FALSE)</f>
        <v>#N/A</v>
      </c>
      <c r="AQ70" s="82" t="e">
        <f>N70</f>
        <v>#N/A</v>
      </c>
      <c r="AR70" s="82" t="e">
        <f>IF(OR(AB69&lt;=0,AB70&lt;=0),1/0,AB70)</f>
        <v>#VALUE!</v>
      </c>
      <c r="AS70" s="82">
        <f>AM70</f>
        <v>1234.7293</v>
      </c>
      <c r="AT70">
        <f>IFERROR(AP70,IFERROR(AQ70,IFERROR(AR70,AS70)))</f>
        <v>1234.7293</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12.25</v>
      </c>
      <c r="E72" s="102">
        <v>1</v>
      </c>
      <c r="F72" s="68">
        <f>D72*E72</f>
        <v>12.25</v>
      </c>
      <c r="G72" s="69">
        <f>C72</f>
        <v>4</v>
      </c>
      <c r="H72" s="69">
        <f>F72*G72</f>
        <v>49</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12.25</v>
      </c>
      <c r="S72" s="69">
        <v>5</v>
      </c>
      <c r="T72" s="68">
        <f>R72*S72</f>
        <v>61.25</v>
      </c>
      <c r="U72" s="79">
        <v>3</v>
      </c>
      <c r="V72" s="68">
        <f>R72*U72</f>
        <v>36.75</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12.25</v>
      </c>
      <c r="E73" s="81">
        <v>4</v>
      </c>
      <c r="F73" s="76">
        <f>D73*E73</f>
        <v>49</v>
      </c>
      <c r="G73" s="77">
        <f>C73</f>
        <v>5</v>
      </c>
      <c r="H73" s="77">
        <f>F73*G73</f>
        <v>245</v>
      </c>
      <c r="I73" s="512" t="s">
        <v>97</v>
      </c>
      <c r="J73" s="513"/>
      <c r="K73" s="78" t="s">
        <v>98</v>
      </c>
      <c r="L73" s="78"/>
      <c r="M73" s="7" t="s">
        <v>99</v>
      </c>
      <c r="N73" s="7"/>
      <c r="O73" s="99">
        <f>O72+1</f>
        <v>10</v>
      </c>
      <c r="P73" s="99">
        <f t="shared" si="23"/>
        <v>6</v>
      </c>
      <c r="Q73" s="76">
        <f>P73</f>
        <v>6</v>
      </c>
      <c r="R73" s="77">
        <f>VLOOKUP(Q73,STN_TABLE,2,FALSE)</f>
        <v>12.25</v>
      </c>
      <c r="S73" s="77">
        <v>8</v>
      </c>
      <c r="T73" s="76">
        <f>R73*S73</f>
        <v>98</v>
      </c>
      <c r="U73" s="80">
        <v>10</v>
      </c>
      <c r="V73" s="76">
        <f>R73*U73</f>
        <v>122.5</v>
      </c>
      <c r="W73" s="513" t="s">
        <v>97</v>
      </c>
      <c r="X73" s="513"/>
      <c r="Y73" s="513" t="s">
        <v>98</v>
      </c>
      <c r="Z73" s="513"/>
      <c r="AA73" s="511" t="s">
        <v>99</v>
      </c>
      <c r="AB73" s="511"/>
      <c r="AC73" s="99">
        <f>AC68+1</f>
        <v>9</v>
      </c>
      <c r="AD73" s="95">
        <f>VLOOKUP(AC73,STN_TABLE_2,2,FALSE)</f>
        <v>5.6111111111111107</v>
      </c>
      <c r="AE73" s="68">
        <f>VLOOKUP(AD73,STN_TABLE,2,FALSE)</f>
        <v>12.25</v>
      </c>
      <c r="AF73" s="68">
        <v>1</v>
      </c>
      <c r="AG73" s="69">
        <f>AE73*AF73</f>
        <v>12.25</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12.25</v>
      </c>
      <c r="E74" s="92">
        <v>1</v>
      </c>
      <c r="F74" s="82">
        <f>D74*E74</f>
        <v>12.25</v>
      </c>
      <c r="G74" s="83">
        <f>C74</f>
        <v>6</v>
      </c>
      <c r="H74" s="83">
        <f>F74*G74</f>
        <v>73.5</v>
      </c>
      <c r="I74" s="84" t="str">
        <f>CONCATENATE("a'(",C74,")=")</f>
        <v>a'(6)=</v>
      </c>
      <c r="J74" s="84">
        <f>2*J72/3*F75</f>
        <v>88.2</v>
      </c>
      <c r="K74" s="84" t="str">
        <f>CONCATENATE("A(",C72,")=")</f>
        <v>A(4)=</v>
      </c>
      <c r="L74" s="84">
        <f>VLOOKUP(C72,STN_TABLE,3,FALSE)</f>
        <v>164.70599999999999</v>
      </c>
      <c r="M74" t="str">
        <f>CONCATENATE("A(",C74,")=")</f>
        <v>A(6)=</v>
      </c>
      <c r="N74">
        <f>J74+L74</f>
        <v>252.90600000000001</v>
      </c>
      <c r="O74" s="99">
        <f>O73+1</f>
        <v>11</v>
      </c>
      <c r="P74" s="99">
        <f t="shared" si="23"/>
        <v>7</v>
      </c>
      <c r="Q74" s="82">
        <f>IF(P74-P73=P73-P72,P74,IF(P75-P73=P73-P72,P75,IF(P74-P73=P73-P71,P74,IF(P75-P73=P73-P71,P75,"-"))))</f>
        <v>7</v>
      </c>
      <c r="R74" s="83">
        <f>VLOOKUP(Q74,STN_TABLE,2,FALSE)</f>
        <v>12.25</v>
      </c>
      <c r="S74" s="83">
        <v>-1</v>
      </c>
      <c r="T74" s="82">
        <f>R74*S74</f>
        <v>-12.25</v>
      </c>
      <c r="U74" s="88">
        <v>-1</v>
      </c>
      <c r="V74" s="82">
        <f>R74*U74</f>
        <v>-12.25</v>
      </c>
      <c r="W74" s="84" t="str">
        <f>CONCATENATE("a'(",Q73,")=")</f>
        <v>a'(6)=</v>
      </c>
      <c r="X74" s="84">
        <f>2*X72/12*T75</f>
        <v>44.1</v>
      </c>
      <c r="Y74" s="84" t="str">
        <f>CONCATENATE("A(",Q72,")=")</f>
        <v>A(5)=</v>
      </c>
      <c r="Z74" s="84">
        <f>VLOOKUP(Q72,STN_TABLE,3,FALSE)</f>
        <v>208.73399999999998</v>
      </c>
      <c r="AA74" t="str">
        <f>CONCATENATE("A(",Q73,")=")</f>
        <v>A(6)=</v>
      </c>
      <c r="AB74">
        <f>X74+Z74</f>
        <v>252.83399999999997</v>
      </c>
      <c r="AC74" s="99">
        <f>AC73+1</f>
        <v>10</v>
      </c>
      <c r="AD74" s="100">
        <f>VLOOKUP(AC74,STN_TABLE_2,2,FALSE)</f>
        <v>6</v>
      </c>
      <c r="AE74" s="82">
        <f>VLOOKUP(AD74,STN_TABLE,2,FALSE)</f>
        <v>12.25</v>
      </c>
      <c r="AF74" s="82">
        <v>2</v>
      </c>
      <c r="AG74" s="83">
        <f>AE74*AF74</f>
        <v>24.5</v>
      </c>
      <c r="AH74" s="84" t="str">
        <f>CONCATENATE("a'(",AD74,")=")</f>
        <v>a'(6)=</v>
      </c>
      <c r="AI74" s="84">
        <f>2*AI72/2*AE75</f>
        <v>17.150000000000016</v>
      </c>
      <c r="AJ74" s="84" t="str">
        <f>CONCATENATE("A(",AD73,")=")</f>
        <v>A(5.61111111111111)=</v>
      </c>
      <c r="AK74" s="84">
        <f>VLOOKUP(AD73,STN_TABLE,3,FALSE)</f>
        <v>235.68399999999997</v>
      </c>
      <c r="AL74" t="str">
        <f>CONCATENATE("A(",AD74,")=")</f>
        <v>A(6)=</v>
      </c>
      <c r="AM74">
        <f>AI74+AK74</f>
        <v>252.83399999999997</v>
      </c>
      <c r="AO74" s="68" t="str">
        <f>AA74</f>
        <v>A(6)=</v>
      </c>
      <c r="AP74" s="68" t="e">
        <f>VLOOKUP(AO74,Rise_Results,2,FALSE)</f>
        <v>#N/A</v>
      </c>
      <c r="AQ74" s="76">
        <f>N74</f>
        <v>252.90600000000001</v>
      </c>
      <c r="AR74" s="76">
        <f>IF(OR(AB74&lt;=0,AB75&lt;=0),1/0,AB74)</f>
        <v>252.83399999999997</v>
      </c>
      <c r="AS74" s="76">
        <f>AM74</f>
        <v>252.83399999999997</v>
      </c>
      <c r="AT74">
        <f>IFERROR(AP74,IFERROR(AQ74,IFERROR(AR74,AS74)))</f>
        <v>252.90600000000001</v>
      </c>
      <c r="AU74" s="81"/>
    </row>
    <row r="75" spans="1:47" x14ac:dyDescent="0.25">
      <c r="A75" s="84">
        <f>A74+1</f>
        <v>10</v>
      </c>
      <c r="B75" s="84">
        <f t="shared" si="27"/>
        <v>6</v>
      </c>
      <c r="F75" s="82">
        <f>SUM(F72:F74)</f>
        <v>73.5</v>
      </c>
      <c r="H75" s="82">
        <f>SUM(H72:H74)</f>
        <v>367.5</v>
      </c>
      <c r="I75" s="84" t="str">
        <f>CONCATENATE("m'(",C74,")=")</f>
        <v>m'(6)=</v>
      </c>
      <c r="J75" s="84">
        <f>2*(J72*(WLS))/3*H75</f>
        <v>793.80000000000007</v>
      </c>
      <c r="K75" s="84" t="str">
        <f>CONCATENATE("M(",C72,")=")</f>
        <v>M(4)=</v>
      </c>
      <c r="L75" s="84">
        <f>VLOOKUP(C72,STN_TABLE,4,FALSE)</f>
        <v>620.28719999999998</v>
      </c>
      <c r="M75" t="str">
        <f>CONCATENATE("M(",C74,")=")</f>
        <v>M(6)=</v>
      </c>
      <c r="N75">
        <f>J75+L75</f>
        <v>1414.0871999999999</v>
      </c>
      <c r="O75" s="99">
        <f>O74+1</f>
        <v>12</v>
      </c>
      <c r="P75" s="99">
        <f t="shared" si="23"/>
        <v>7.8833333333333329</v>
      </c>
      <c r="T75" s="89">
        <f>SUM(T72:T74)</f>
        <v>147</v>
      </c>
      <c r="V75" s="82">
        <f>SUM(V72:V74)</f>
        <v>147</v>
      </c>
      <c r="W75" s="84" t="str">
        <f>CONCATENATE("m'(",Q73,")=")</f>
        <v>m'(6)=</v>
      </c>
      <c r="X75" s="84">
        <f>(2*(X72^2)/24*V75)+(X74*Q72*WLS)</f>
        <v>436.59000000000003</v>
      </c>
      <c r="Y75" s="84" t="str">
        <f>CONCATENATE("M(",Q72,")=")</f>
        <v>M(5)=</v>
      </c>
      <c r="Z75" s="84">
        <f>VLOOKUP(Q72,STN_TABLE,4,FALSE)</f>
        <v>977.35680000000013</v>
      </c>
      <c r="AA75" t="str">
        <f>CONCATENATE("M(",Q73,")=")</f>
        <v>M(6)=</v>
      </c>
      <c r="AB75">
        <f>X75+Z75</f>
        <v>1413.9468000000002</v>
      </c>
      <c r="AE75" s="89">
        <f>SUM(AE73:AE74)</f>
        <v>24.5</v>
      </c>
      <c r="AG75" s="89">
        <f>SUM(AG73:AG74)</f>
        <v>36.75</v>
      </c>
      <c r="AH75" s="84" t="str">
        <f>CONCATENATE("m'(",AD74,")=")</f>
        <v>m'(6)=</v>
      </c>
      <c r="AI75" s="84">
        <f>(2*(AI72^2)/6*AG75)+(AI74*AD73*WLS)</f>
        <v>179.21750000000017</v>
      </c>
      <c r="AJ75" s="84" t="str">
        <f>CONCATENATE("M(",AD73,")=")</f>
        <v>M(5.61111111111111)=</v>
      </c>
      <c r="AK75" s="84">
        <f>VLOOKUP(AD73,STN_TABLE,4,FALSE)</f>
        <v>1234.7293</v>
      </c>
      <c r="AL75" t="str">
        <f>CONCATENATE("M(",AD74,")=")</f>
        <v>M(6)=</v>
      </c>
      <c r="AM75">
        <f>AI75+AK75</f>
        <v>1413.9468000000002</v>
      </c>
      <c r="AO75" s="82" t="str">
        <f>AA75</f>
        <v>M(6)=</v>
      </c>
      <c r="AP75" s="82" t="e">
        <f>VLOOKUP(AO75,Rise_Results,2,FALSE)</f>
        <v>#N/A</v>
      </c>
      <c r="AQ75" s="82">
        <f>N75</f>
        <v>1414.0871999999999</v>
      </c>
      <c r="AR75" s="82">
        <f>IF(OR(AB74&lt;=0,AB75&lt;=0),1/0,AB75)</f>
        <v>1413.9468000000002</v>
      </c>
      <c r="AS75" s="82">
        <f>AM75</f>
        <v>1413.9468000000002</v>
      </c>
      <c r="AT75">
        <f>IFERROR(AP75,IFERROR(AQ75,IFERROR(AR75,AS75)))</f>
        <v>1414.0871999999999</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12.25</v>
      </c>
      <c r="E77" s="102">
        <v>1</v>
      </c>
      <c r="F77" s="68">
        <f>D77*E77</f>
        <v>12.25</v>
      </c>
      <c r="G77" s="69">
        <f>C77</f>
        <v>5</v>
      </c>
      <c r="H77" s="69">
        <f>F77*G77</f>
        <v>61.25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12.25</v>
      </c>
      <c r="E78" s="81">
        <v>4</v>
      </c>
      <c r="F78" s="76">
        <f>D78*E78</f>
        <v>49</v>
      </c>
      <c r="G78" s="77">
        <f>C78</f>
        <v>6</v>
      </c>
      <c r="H78" s="77">
        <f>F78*G78</f>
        <v>294</v>
      </c>
      <c r="I78" s="512" t="s">
        <v>97</v>
      </c>
      <c r="J78" s="513"/>
      <c r="K78" s="78" t="s">
        <v>98</v>
      </c>
      <c r="L78" s="78"/>
      <c r="M78" s="7" t="s">
        <v>99</v>
      </c>
      <c r="N78" s="7"/>
      <c r="O78" s="99">
        <f>O77+1</f>
        <v>11</v>
      </c>
      <c r="P78" s="99">
        <f t="shared" si="23"/>
        <v>7</v>
      </c>
      <c r="Q78" s="76">
        <f>P78</f>
        <v>7</v>
      </c>
      <c r="R78" s="77">
        <f>VLOOKUP(Q78,STN_TABLE,2,FALSE)</f>
        <v>12.25</v>
      </c>
      <c r="S78" s="77">
        <v>8</v>
      </c>
      <c r="T78" s="76">
        <f>R78*S78</f>
        <v>98</v>
      </c>
      <c r="U78" s="80">
        <v>10</v>
      </c>
      <c r="V78" s="76">
        <f>R78*U78</f>
        <v>122.5</v>
      </c>
      <c r="W78" s="513" t="s">
        <v>97</v>
      </c>
      <c r="X78" s="513"/>
      <c r="Y78" s="513" t="s">
        <v>98</v>
      </c>
      <c r="Z78" s="513"/>
      <c r="AA78" s="511" t="s">
        <v>99</v>
      </c>
      <c r="AB78" s="511"/>
      <c r="AC78" s="99">
        <f>AC73+1</f>
        <v>10</v>
      </c>
      <c r="AD78" s="95">
        <f>VLOOKUP(AC78,STN_TABLE_2,2,FALSE)</f>
        <v>6</v>
      </c>
      <c r="AE78" s="68">
        <f>VLOOKUP(AD78,STN_TABLE,2,FALSE)</f>
        <v>12.25</v>
      </c>
      <c r="AF78" s="68">
        <v>1</v>
      </c>
      <c r="AG78" s="69">
        <f>AE78*AF78</f>
        <v>12.25</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12.25</v>
      </c>
      <c r="E79" s="92">
        <v>1</v>
      </c>
      <c r="F79" s="82">
        <f>D79*E79</f>
        <v>12.25</v>
      </c>
      <c r="G79" s="83">
        <f>C79</f>
        <v>7</v>
      </c>
      <c r="H79" s="83">
        <f>F79*G79</f>
        <v>85.75</v>
      </c>
      <c r="I79" s="84" t="str">
        <f>CONCATENATE("a'(",C79,")=")</f>
        <v>a'(7)=</v>
      </c>
      <c r="J79" s="84">
        <f>2*J77/3*F80</f>
        <v>88.2</v>
      </c>
      <c r="K79" s="84" t="str">
        <f>CONCATENATE("A(",C77,")=")</f>
        <v>A(5)=</v>
      </c>
      <c r="L79" s="84">
        <f>VLOOKUP(C77,STN_TABLE,3,FALSE)</f>
        <v>208.73399999999998</v>
      </c>
      <c r="M79" t="str">
        <f>CONCATENATE("A(",C79,")=")</f>
        <v>A(7)=</v>
      </c>
      <c r="N79">
        <f>J79+L79</f>
        <v>296.93399999999997</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12.25</v>
      </c>
      <c r="AF79" s="82">
        <v>2</v>
      </c>
      <c r="AG79" s="83">
        <f>AE79*AF79</f>
        <v>24.5</v>
      </c>
      <c r="AH79" s="84" t="str">
        <f>CONCATENATE("a'(",AD79,")=")</f>
        <v>a'(7)=</v>
      </c>
      <c r="AI79" s="84">
        <f>2*AI77/2*AE80</f>
        <v>44.1</v>
      </c>
      <c r="AJ79" s="84" t="str">
        <f>CONCATENATE("A(",AD78,")=")</f>
        <v>A(6)=</v>
      </c>
      <c r="AK79" s="84">
        <f>VLOOKUP(AD78,STN_TABLE,3,FALSE)</f>
        <v>252.90600000000001</v>
      </c>
      <c r="AL79" t="str">
        <f>CONCATENATE("A(",AD79,")=")</f>
        <v>A(7)=</v>
      </c>
      <c r="AM79">
        <f>AI79+AK79</f>
        <v>297.00600000000003</v>
      </c>
      <c r="AO79" s="68" t="str">
        <f>AA79</f>
        <v>A(7)=</v>
      </c>
      <c r="AP79" s="68" t="e">
        <f>VLOOKUP(AO79,Rise_Results,2,FALSE)</f>
        <v>#N/A</v>
      </c>
      <c r="AQ79" s="76">
        <f>N79</f>
        <v>296.93399999999997</v>
      </c>
      <c r="AR79" s="76" t="e">
        <f>IF(OR(AB79&lt;=0,AB80&lt;=0),1/0,AB79)</f>
        <v>#VALUE!</v>
      </c>
      <c r="AS79" s="76">
        <f>AM79</f>
        <v>297.00600000000003</v>
      </c>
      <c r="AT79">
        <f>IFERROR(AP79,IFERROR(AQ79,IFERROR(AR79,AS79)))</f>
        <v>296.93399999999997</v>
      </c>
      <c r="AU79" s="81"/>
    </row>
    <row r="80" spans="1:47" x14ac:dyDescent="0.25">
      <c r="A80" s="84">
        <f>A79+1</f>
        <v>11</v>
      </c>
      <c r="B80" s="84">
        <f t="shared" si="27"/>
        <v>7</v>
      </c>
      <c r="F80" s="82">
        <f>SUM(F77:F79)</f>
        <v>73.5</v>
      </c>
      <c r="H80" s="82">
        <f>SUM(H77:H79)</f>
        <v>441</v>
      </c>
      <c r="I80" s="84" t="str">
        <f>CONCATENATE("m'(",C79,")=")</f>
        <v>m'(7)=</v>
      </c>
      <c r="J80" s="84">
        <f>2*(J77*(WLS))/3*H80</f>
        <v>952.56000000000006</v>
      </c>
      <c r="K80" s="84" t="str">
        <f>CONCATENATE("M(",C77,")=")</f>
        <v>M(5)=</v>
      </c>
      <c r="L80" s="84">
        <f>VLOOKUP(C77,STN_TABLE,4,FALSE)</f>
        <v>977.35680000000013</v>
      </c>
      <c r="M80" t="str">
        <f>CONCATENATE("M(",C79,")=")</f>
        <v>M(7)=</v>
      </c>
      <c r="N80">
        <f>J80+L80</f>
        <v>1929.9168000000002</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24.5</v>
      </c>
      <c r="AG80" s="89">
        <f>SUM(AG78:AG79)</f>
        <v>36.75</v>
      </c>
      <c r="AH80" s="84" t="str">
        <f>CONCATENATE("m'(",AD79,")=")</f>
        <v>m'(7)=</v>
      </c>
      <c r="AI80" s="84">
        <f>(2*(AI77^2)/6*AG80)+(AI79*AD78*WLS)</f>
        <v>515.97</v>
      </c>
      <c r="AJ80" s="84" t="str">
        <f>CONCATENATE("M(",AD78,")=")</f>
        <v>M(6)=</v>
      </c>
      <c r="AK80" s="84">
        <f>VLOOKUP(AD78,STN_TABLE,4,FALSE)</f>
        <v>1414.0871999999999</v>
      </c>
      <c r="AL80" t="str">
        <f>CONCATENATE("M(",AD79,")=")</f>
        <v>M(7)=</v>
      </c>
      <c r="AM80">
        <f>AI80+AK80</f>
        <v>1930.0572</v>
      </c>
      <c r="AO80" s="82" t="str">
        <f>AA80</f>
        <v>M(7)=</v>
      </c>
      <c r="AP80" s="82" t="e">
        <f>VLOOKUP(AO80,Rise_Results,2,FALSE)</f>
        <v>#N/A</v>
      </c>
      <c r="AQ80" s="82">
        <f>N80</f>
        <v>1929.9168000000002</v>
      </c>
      <c r="AR80" s="82" t="e">
        <f>IF(OR(AB79&lt;=0,AB80&lt;=0),1/0,AB80)</f>
        <v>#VALUE!</v>
      </c>
      <c r="AS80" s="82">
        <f>AM80</f>
        <v>1930.0572</v>
      </c>
      <c r="AT80">
        <f>IFERROR(AP80,IFERROR(AQ80,IFERROR(AR80,AS80)))</f>
        <v>1929.9168000000002</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12.25</v>
      </c>
      <c r="AF83" s="68">
        <v>1</v>
      </c>
      <c r="AG83" s="69">
        <f>AE83*AF83</f>
        <v>12.25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38.954999999999977</v>
      </c>
      <c r="AJ84" s="84" t="str">
        <f>CONCATENATE("A(",AD83,")=")</f>
        <v>A(7)=</v>
      </c>
      <c r="AK84" s="84">
        <f>VLOOKUP(AD83,STN_TABLE,3,FALSE)</f>
        <v>296.93399999999997</v>
      </c>
      <c r="AL84" t="str">
        <f>CONCATENATE("A(",AD84,")=")</f>
        <v>A(7.88333333333333)=</v>
      </c>
      <c r="AM84">
        <f>AI84+AK84</f>
        <v>335.88899999999995</v>
      </c>
      <c r="AO84" s="68" t="str">
        <f>AA84</f>
        <v>A(7.88333333333333)=</v>
      </c>
      <c r="AP84" s="68" t="e">
        <f>VLOOKUP(AO84,Rise_Results,2,FALSE)</f>
        <v>#N/A</v>
      </c>
      <c r="AQ84" s="76" t="e">
        <f>N84</f>
        <v>#N/A</v>
      </c>
      <c r="AR84" s="76" t="e">
        <f>IF(OR(AB84&lt;=0,AB85&lt;=0),1/0,AB84)</f>
        <v>#VALUE!</v>
      </c>
      <c r="AS84" s="76">
        <f>AM84</f>
        <v>335.88899999999995</v>
      </c>
      <c r="AT84">
        <f>IFERROR(AP84,IFERROR(AQ84,IFERROR(AR84,AS84)))</f>
        <v>335.88899999999995</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24.5</v>
      </c>
      <c r="AG85" s="89">
        <f>SUM(AG83:AG84)</f>
        <v>36.75</v>
      </c>
      <c r="AH85" s="84" t="str">
        <f>CONCATENATE("m'(",AD84,")=")</f>
        <v>m'(7.88333333333333)=</v>
      </c>
      <c r="AI85" s="84">
        <f>(2*(AI82^2)/6*AG85)+(AI84*AD83*WLS)</f>
        <v>521.80222499999968</v>
      </c>
      <c r="AJ85" s="84" t="str">
        <f>CONCATENATE("M(",AD83,")=")</f>
        <v>M(7)=</v>
      </c>
      <c r="AK85" s="84">
        <f>VLOOKUP(AD83,STN_TABLE,4,FALSE)</f>
        <v>1929.9168000000002</v>
      </c>
      <c r="AL85" t="str">
        <f>CONCATENATE("M(",AD84,")=")</f>
        <v>M(7.88333333333333)=</v>
      </c>
      <c r="AM85">
        <f>AI85+AK85</f>
        <v>2451.7190249999999</v>
      </c>
      <c r="AO85" s="82" t="str">
        <f>AA85</f>
        <v>M(7.88333333333333)=</v>
      </c>
      <c r="AP85" s="82" t="e">
        <f>VLOOKUP(AO85,Rise_Results,2,FALSE)</f>
        <v>#N/A</v>
      </c>
      <c r="AQ85" s="82" t="e">
        <f>N85</f>
        <v>#N/A</v>
      </c>
      <c r="AR85" s="82" t="e">
        <f>IF(OR(AB84&lt;=0,AB85&lt;=0),1/0,AB85)</f>
        <v>#VALUE!</v>
      </c>
      <c r="AS85" s="82">
        <f>AM85</f>
        <v>2451.7190249999999</v>
      </c>
      <c r="AT85">
        <f>IFERROR(AP85,IFERROR(AQ85,IFERROR(AR85,AS85)))</f>
        <v>2451.7190249999999</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335.88899999999995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2451.7190249999999</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11</v>
      </c>
      <c r="E1" s="511" t="s">
        <v>91</v>
      </c>
      <c r="F1" s="511"/>
      <c r="G1" t="str">
        <f>VLOOKUP(Station_No,RISE_CALC,2,FALSE)</f>
        <v>-</v>
      </c>
      <c r="L1" s="511" t="s">
        <v>92</v>
      </c>
      <c r="M1" s="511"/>
      <c r="N1">
        <v>14</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8.6</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10.65</v>
      </c>
      <c r="D5" s="81">
        <f t="shared" ref="D5:D28" si="4">IFERROR(VLOOKUP(CONCATENATE("A(",B5,")="),RESULT_TABLE,6,FALSE)," ")</f>
        <v>17.486999999999998</v>
      </c>
      <c r="E5" s="77">
        <f t="shared" ref="E5:E28" si="5">IFERROR(VLOOKUP(CONCATENATE("M(",B5,")="),RESULT_TABLE,6,FALSE)," ")</f>
        <v>8.145900000000001</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11.62</v>
      </c>
      <c r="D6" s="81">
        <f t="shared" si="4"/>
        <v>37.692</v>
      </c>
      <c r="E6" s="77">
        <f t="shared" si="5"/>
        <v>35.553600000000003</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12.04</v>
      </c>
      <c r="D7" s="81">
        <f t="shared" si="4"/>
        <v>58.98899999999999</v>
      </c>
      <c r="E7" s="77">
        <f t="shared" si="5"/>
        <v>83.600099999999998</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12.21</v>
      </c>
      <c r="D8" s="81">
        <f t="shared" si="4"/>
        <v>80.885999999999996</v>
      </c>
      <c r="E8" s="77">
        <f t="shared" si="5"/>
        <v>152.49600000000001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12.25</v>
      </c>
      <c r="D9" s="81">
        <f t="shared" si="4"/>
        <v>124.94400000000002</v>
      </c>
      <c r="E9" s="77">
        <f t="shared" si="5"/>
        <v>351.02160000000003</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12.25</v>
      </c>
      <c r="D10" s="81">
        <f t="shared" si="4"/>
        <v>169.03800000000001</v>
      </c>
      <c r="E10" s="77">
        <f t="shared" si="5"/>
        <v>628.60320000000013</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12.25</v>
      </c>
      <c r="D11" s="81">
        <f t="shared" si="4"/>
        <v>213.14400000000001</v>
      </c>
      <c r="E11" s="77">
        <f t="shared" si="5"/>
        <v>986.06160000000011</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12.25</v>
      </c>
      <c r="D12" s="81">
        <f t="shared" si="4"/>
        <v>240.09399999999999</v>
      </c>
      <c r="E12" s="77">
        <f t="shared" si="5"/>
        <v>1243.4340999999999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12.25</v>
      </c>
      <c r="D13" s="81">
        <f t="shared" si="4"/>
        <v>257.238</v>
      </c>
      <c r="E13" s="77">
        <f t="shared" si="5"/>
        <v>1422.4032000000002</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12.25</v>
      </c>
      <c r="D14" s="81">
        <f t="shared" si="4"/>
        <v>301.34399999999999</v>
      </c>
      <c r="E14" s="77">
        <f t="shared" si="5"/>
        <v>1938.6216000000002</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340.29899999999998</v>
      </c>
      <c r="E15" s="77">
        <f t="shared" si="5"/>
        <v>2460.4238249999999</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8.6</v>
      </c>
      <c r="S32" s="69">
        <v>5</v>
      </c>
      <c r="T32" s="68">
        <f>R32*S32</f>
        <v>43</v>
      </c>
      <c r="U32" s="79">
        <v>3</v>
      </c>
      <c r="V32" s="68">
        <f>R32*U32</f>
        <v>25.799999999999997</v>
      </c>
      <c r="W32" t="s">
        <v>93</v>
      </c>
      <c r="X32" s="70">
        <f>IF(AND(Q34-Q33=Q33-Q32,NOT(AND(Q32=0,Q33=0)),NOT(AND(Q33=0,Q34=0))),WLS*(Q34-Q33),"#NA")</f>
        <v>0.9</v>
      </c>
      <c r="AD32" s="93"/>
      <c r="AH32" s="6" t="s">
        <v>93</v>
      </c>
      <c r="AI32" s="70">
        <f>WLS*(AD34-AD33)</f>
        <v>0.9</v>
      </c>
    </row>
    <row r="33" spans="1:47" x14ac:dyDescent="0.25">
      <c r="Q33" s="76">
        <f>B5</f>
        <v>0.5</v>
      </c>
      <c r="R33" s="77">
        <f>VLOOKUP(Q33,STN_TABLE,2,FALSE)</f>
        <v>10.65</v>
      </c>
      <c r="S33" s="77">
        <v>8</v>
      </c>
      <c r="T33" s="76">
        <f>R33*S33</f>
        <v>85.2</v>
      </c>
      <c r="U33" s="80">
        <v>10</v>
      </c>
      <c r="V33" s="76">
        <f>R33*U33</f>
        <v>106.5</v>
      </c>
      <c r="W33" s="512" t="s">
        <v>97</v>
      </c>
      <c r="X33" s="513"/>
      <c r="Y33" s="513" t="s">
        <v>98</v>
      </c>
      <c r="Z33" s="513"/>
      <c r="AA33" s="511" t="s">
        <v>99</v>
      </c>
      <c r="AB33" s="511"/>
      <c r="AC33" s="94">
        <v>1</v>
      </c>
      <c r="AD33" s="95">
        <f>VLOOKUP(AC33,STN_TABLE_2,2,FALSE)</f>
        <v>0</v>
      </c>
      <c r="AE33" s="68">
        <f>VLOOKUP(AD33,STN_TABLE,2,FALSE)</f>
        <v>8.6</v>
      </c>
      <c r="AF33" s="68">
        <v>1</v>
      </c>
      <c r="AG33" s="69">
        <f>AE33*AF33</f>
        <v>8.6</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11.62</v>
      </c>
      <c r="S34" s="83">
        <v>-1</v>
      </c>
      <c r="T34" s="82">
        <f>R34*S34</f>
        <v>-11.62</v>
      </c>
      <c r="U34" s="88">
        <v>-1</v>
      </c>
      <c r="V34" s="82">
        <f>R34*U34</f>
        <v>-11.62</v>
      </c>
      <c r="W34" s="84" t="str">
        <f>CONCATENATE("a'(",Q33,")=")</f>
        <v>a'(0.5)=</v>
      </c>
      <c r="X34" s="84">
        <f>2*X32/12*T35</f>
        <v>17.486999999999998</v>
      </c>
      <c r="Y34" s="84" t="str">
        <f>CONCATENATE("A(",Q32,")=")</f>
        <v>A(0)=</v>
      </c>
      <c r="Z34" s="84">
        <f>VLOOKUP(Q32,STN_TABLE,3,FALSE)</f>
        <v>0</v>
      </c>
      <c r="AA34" t="str">
        <f>CONCATENATE("A(",Q33,")=")</f>
        <v>A(0.5)=</v>
      </c>
      <c r="AB34">
        <f>X34+Z34</f>
        <v>17.486999999999998</v>
      </c>
      <c r="AC34" s="99">
        <f>AC33+1</f>
        <v>2</v>
      </c>
      <c r="AD34" s="100">
        <f>VLOOKUP(AC34,STN_TABLE_2,2,FALSE)</f>
        <v>0.5</v>
      </c>
      <c r="AE34" s="82">
        <f>VLOOKUP(AD34,STN_TABLE,2,FALSE)</f>
        <v>10.65</v>
      </c>
      <c r="AF34" s="82">
        <v>2</v>
      </c>
      <c r="AG34" s="83">
        <f>AE34*AF34</f>
        <v>21.3</v>
      </c>
      <c r="AH34" s="84" t="str">
        <f>CONCATENATE("a'(",AD34,")=")</f>
        <v>a'(0.5)=</v>
      </c>
      <c r="AI34" s="84">
        <f>2*AI32/2*AE35</f>
        <v>17.324999999999999</v>
      </c>
      <c r="AJ34" s="84" t="str">
        <f>CONCATENATE("A(",AD33,")=")</f>
        <v>A(0)=</v>
      </c>
      <c r="AK34" s="84">
        <f>VLOOKUP(AD33,STN_TABLE,3,FALSE)</f>
        <v>0</v>
      </c>
      <c r="AL34" t="str">
        <f>CONCATENATE("A(",AD34,")=")</f>
        <v>A(0.5)=</v>
      </c>
      <c r="AM34">
        <f>AI34+AK34</f>
        <v>17.324999999999999</v>
      </c>
      <c r="AO34" s="68" t="str">
        <f>AA34</f>
        <v>A(0.5)=</v>
      </c>
      <c r="AP34" s="79" t="e">
        <f>VLOOKUP(AO34,Rise_Results,2,FALSE)</f>
        <v>#N/A</v>
      </c>
      <c r="AQ34" s="76" t="s">
        <v>117</v>
      </c>
      <c r="AR34" s="76">
        <f>IF(OR(AB34&lt;=0,AB35&lt;=0),1/0,AB34)</f>
        <v>17.486999999999998</v>
      </c>
      <c r="AS34" s="76">
        <f>AM34</f>
        <v>17.324999999999999</v>
      </c>
      <c r="AT34" s="80">
        <f>IFERROR(AP34,IFERROR(AR34,AS34))</f>
        <v>17.486999999999998</v>
      </c>
    </row>
    <row r="35" spans="1:47" x14ac:dyDescent="0.25">
      <c r="A35" s="101"/>
      <c r="T35" s="89">
        <f>SUM(T32:T34)</f>
        <v>116.57999999999998</v>
      </c>
      <c r="V35" s="82">
        <f>SUM(V32:V34)</f>
        <v>120.68</v>
      </c>
      <c r="W35" s="84" t="str">
        <f>CONCATENATE("m'(",Q33,")=")</f>
        <v>m'(0.5)=</v>
      </c>
      <c r="X35" s="84">
        <f>(2*(X32^2)/24*V35)</f>
        <v>8.145900000000001</v>
      </c>
      <c r="Y35" s="84" t="str">
        <f>CONCATENATE("M(",Q32,")=")</f>
        <v>M(0)=</v>
      </c>
      <c r="Z35" s="84">
        <f>VLOOKUP(Q32,STN_TABLE,4,FALSE)</f>
        <v>0</v>
      </c>
      <c r="AA35" t="str">
        <f>CONCATENATE("M(",Q33,")=")</f>
        <v>M(0.5)=</v>
      </c>
      <c r="AB35">
        <f>X35+Z35</f>
        <v>8.145900000000001</v>
      </c>
      <c r="AE35" s="89">
        <f>SUM(AE33:AE34)</f>
        <v>19.25</v>
      </c>
      <c r="AG35" s="89">
        <f>SUM(AG33:AG34)</f>
        <v>29.9</v>
      </c>
      <c r="AH35" s="84" t="str">
        <f>CONCATENATE("m'(",AD34,")=")</f>
        <v>m'(0.5)=</v>
      </c>
      <c r="AI35" s="84">
        <f>(2*(AI32^2)/6*AG35)+(AI34*AD33*WLS)</f>
        <v>8.0730000000000004</v>
      </c>
      <c r="AJ35" s="84" t="str">
        <f>CONCATENATE("M(",AD33,")=")</f>
        <v>M(0)=</v>
      </c>
      <c r="AK35" s="84">
        <f>VLOOKUP(AD33,STN_TABLE,4,FALSE)</f>
        <v>0</v>
      </c>
      <c r="AL35" t="str">
        <f>CONCATENATE("M(",AD34,")=")</f>
        <v>M(0.5)=</v>
      </c>
      <c r="AM35">
        <f>AI35+AK35</f>
        <v>8.0730000000000004</v>
      </c>
      <c r="AO35" s="82" t="str">
        <f>AA35</f>
        <v>M(0.5)=</v>
      </c>
      <c r="AP35" s="88" t="e">
        <f>VLOOKUP(AO35,Rise_Results,2,FALSE)</f>
        <v>#N/A</v>
      </c>
      <c r="AQ35" s="82" t="s">
        <v>117</v>
      </c>
      <c r="AR35" s="82">
        <f>IF(OR(AB34&lt;=0,AB35&lt;=0),1/0,AB35)</f>
        <v>8.145900000000001</v>
      </c>
      <c r="AS35" s="82">
        <f>AM35</f>
        <v>8.0730000000000004</v>
      </c>
      <c r="AT35" s="80">
        <f>IFERROR(AP35,IFERROR(AR35,AS35))</f>
        <v>8.145900000000001</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8.6</v>
      </c>
      <c r="E37" s="102">
        <v>1</v>
      </c>
      <c r="F37" s="68">
        <f>D37*E37</f>
        <v>8.6</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10.65</v>
      </c>
      <c r="S37" s="69">
        <v>5</v>
      </c>
      <c r="T37" s="68">
        <f>R37*S37</f>
        <v>53.25</v>
      </c>
      <c r="U37" s="79">
        <v>3</v>
      </c>
      <c r="V37" s="68">
        <f>R37*U37</f>
        <v>31.950000000000003</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10.65</v>
      </c>
      <c r="E38" s="81">
        <v>4</v>
      </c>
      <c r="F38" s="76">
        <f>D38*E38</f>
        <v>42.6</v>
      </c>
      <c r="G38" s="77">
        <f>C38</f>
        <v>0.5</v>
      </c>
      <c r="H38" s="77">
        <f>F38*G38</f>
        <v>21.3</v>
      </c>
      <c r="I38" s="513" t="s">
        <v>97</v>
      </c>
      <c r="J38" s="513"/>
      <c r="K38" s="78" t="s">
        <v>98</v>
      </c>
      <c r="L38" s="78"/>
      <c r="M38" s="7" t="s">
        <v>99</v>
      </c>
      <c r="N38" s="7"/>
      <c r="O38" s="99">
        <f>O37+1</f>
        <v>3</v>
      </c>
      <c r="P38" s="99">
        <f t="shared" si="10"/>
        <v>1</v>
      </c>
      <c r="Q38" s="76">
        <f>P38</f>
        <v>1</v>
      </c>
      <c r="R38" s="77">
        <f>VLOOKUP(Q38,STN_TABLE,2,FALSE)</f>
        <v>11.62</v>
      </c>
      <c r="S38" s="77">
        <v>8</v>
      </c>
      <c r="T38" s="76">
        <f>R38*S38</f>
        <v>92.96</v>
      </c>
      <c r="U38" s="80">
        <v>10</v>
      </c>
      <c r="V38" s="76">
        <f>R38*U38</f>
        <v>116.19999999999999</v>
      </c>
      <c r="W38" s="513" t="s">
        <v>97</v>
      </c>
      <c r="X38" s="513"/>
      <c r="Y38" s="513" t="s">
        <v>98</v>
      </c>
      <c r="Z38" s="513"/>
      <c r="AA38" s="511" t="s">
        <v>99</v>
      </c>
      <c r="AB38" s="511"/>
      <c r="AC38" s="99">
        <f>AC33+1</f>
        <v>2</v>
      </c>
      <c r="AD38" s="95">
        <f>VLOOKUP(AC38,STN_TABLE_2,2,FALSE)</f>
        <v>0.5</v>
      </c>
      <c r="AE38" s="68">
        <f>VLOOKUP(AD38,STN_TABLE,2,FALSE)</f>
        <v>10.65</v>
      </c>
      <c r="AF38" s="68">
        <v>1</v>
      </c>
      <c r="AG38" s="69">
        <f>AE38*AF38</f>
        <v>10.65</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11.62</v>
      </c>
      <c r="E39" s="92">
        <v>1</v>
      </c>
      <c r="F39" s="82">
        <f>D39*E39</f>
        <v>11.62</v>
      </c>
      <c r="G39" s="83">
        <f>C39</f>
        <v>1</v>
      </c>
      <c r="H39" s="83">
        <f>F39*G39</f>
        <v>11.62</v>
      </c>
      <c r="I39" s="84" t="str">
        <f>CONCATENATE("a'(",C39,")=")</f>
        <v>a'(1)=</v>
      </c>
      <c r="J39" s="84">
        <f>2*J37/3*F40</f>
        <v>37.692</v>
      </c>
      <c r="K39" s="84" t="str">
        <f>CONCATENATE("A(",C37,")=")</f>
        <v>A(0)=</v>
      </c>
      <c r="L39" s="84">
        <f>VLOOKUP(C37,STN_TABLE,3,FALSE)</f>
        <v>0</v>
      </c>
      <c r="M39" t="str">
        <f>CONCATENATE("A(",C39,")=")</f>
        <v>A(1)=</v>
      </c>
      <c r="N39">
        <f>J39+L39</f>
        <v>37.692</v>
      </c>
      <c r="O39" s="99">
        <f>O38+1</f>
        <v>4</v>
      </c>
      <c r="P39" s="99">
        <f t="shared" si="10"/>
        <v>1.5</v>
      </c>
      <c r="Q39" s="82">
        <f>IF(P39-P38=P38-P37,P39,IF(P40-P38=P38-P37,P40,IF(P39-P38=P38-P36,P39,IF(P40-P38=P38-P36,P40,"-"))))</f>
        <v>1.5</v>
      </c>
      <c r="R39" s="83">
        <f>VLOOKUP(Q39,STN_TABLE,2,FALSE)</f>
        <v>12.04</v>
      </c>
      <c r="S39" s="83">
        <v>-1</v>
      </c>
      <c r="T39" s="82">
        <f>R39*S39</f>
        <v>-12.04</v>
      </c>
      <c r="U39" s="88">
        <v>-1</v>
      </c>
      <c r="V39" s="82">
        <f>R39*U39</f>
        <v>-12.04</v>
      </c>
      <c r="W39" s="84" t="str">
        <f>CONCATENATE("a'(",Q38,")=")</f>
        <v>a'(1)=</v>
      </c>
      <c r="X39" s="84">
        <f>2*X37/12*T40</f>
        <v>20.125499999999999</v>
      </c>
      <c r="Y39" s="84" t="str">
        <f>CONCATENATE("A(",Q37,")=")</f>
        <v>A(0.5)=</v>
      </c>
      <c r="Z39" s="84">
        <f>VLOOKUP(Q37,STN_TABLE,3,FALSE)</f>
        <v>17.486999999999998</v>
      </c>
      <c r="AA39" t="str">
        <f>CONCATENATE("A(",Q38,")=")</f>
        <v>A(1)=</v>
      </c>
      <c r="AB39">
        <f>X39+Z39</f>
        <v>37.612499999999997</v>
      </c>
      <c r="AC39" s="99">
        <f>AC38+1</f>
        <v>3</v>
      </c>
      <c r="AD39" s="100">
        <f>VLOOKUP(AC39,STN_TABLE_2,2,FALSE)</f>
        <v>1</v>
      </c>
      <c r="AE39" s="82">
        <f>VLOOKUP(AD39,STN_TABLE,2,FALSE)</f>
        <v>11.62</v>
      </c>
      <c r="AF39" s="82">
        <v>2</v>
      </c>
      <c r="AG39" s="83">
        <f>AE39*AF39</f>
        <v>23.24</v>
      </c>
      <c r="AH39" s="84" t="str">
        <f>CONCATENATE("a'(",AD39,")=")</f>
        <v>a'(1)=</v>
      </c>
      <c r="AI39" s="84">
        <f>2*AI37/2*AE40</f>
        <v>20.042999999999999</v>
      </c>
      <c r="AJ39" s="84" t="str">
        <f>CONCATENATE("A(",AD38,")=")</f>
        <v>A(0.5)=</v>
      </c>
      <c r="AK39" s="84">
        <f>VLOOKUP(AD38,STN_TABLE,3,FALSE)</f>
        <v>17.486999999999998</v>
      </c>
      <c r="AL39" t="str">
        <f>CONCATENATE("A(",AD39,")=")</f>
        <v>A(1)=</v>
      </c>
      <c r="AM39">
        <f>AI39+AK39</f>
        <v>37.53</v>
      </c>
      <c r="AO39" s="68" t="str">
        <f>AA39</f>
        <v>A(1)=</v>
      </c>
      <c r="AP39" s="68" t="e">
        <f>VLOOKUP(AO39,Rise_Results,2,FALSE)</f>
        <v>#N/A</v>
      </c>
      <c r="AQ39" s="76">
        <f>N39</f>
        <v>37.692</v>
      </c>
      <c r="AR39" s="76">
        <f>IF(OR(AB39&lt;=0,AB40&lt;=0),1/0,AB39)</f>
        <v>37.612499999999997</v>
      </c>
      <c r="AS39" s="76">
        <f>AM39</f>
        <v>37.53</v>
      </c>
      <c r="AT39">
        <f>IFERROR(AP39,IFERROR(AQ39,IFERROR(AR39,AS39)))</f>
        <v>37.692</v>
      </c>
    </row>
    <row r="40" spans="1:47" x14ac:dyDescent="0.25">
      <c r="A40">
        <v>4</v>
      </c>
      <c r="F40" s="82">
        <f>SUM(F37:F39)</f>
        <v>62.82</v>
      </c>
      <c r="H40" s="82">
        <f>SUM(H37:H39)</f>
        <v>32.92</v>
      </c>
      <c r="I40" s="84" t="str">
        <f>CONCATENATE("m'(",C39,")=")</f>
        <v>m'(1)=</v>
      </c>
      <c r="J40" s="84">
        <f>2*(J37*(WLS))/3*H40</f>
        <v>35.553600000000003</v>
      </c>
      <c r="K40" s="84" t="str">
        <f>CONCATENATE("M(",C37,")=")</f>
        <v>M(0)=</v>
      </c>
      <c r="L40" s="84">
        <f>VLOOKUP(C37,STN_TABLE,4,FALSE)</f>
        <v>0</v>
      </c>
      <c r="M40" t="str">
        <f>CONCATENATE("M(",C39,")=")</f>
        <v>M(1)=</v>
      </c>
      <c r="N40">
        <f>J40+L40</f>
        <v>35.553600000000003</v>
      </c>
      <c r="O40" s="99">
        <f>O39+1</f>
        <v>5</v>
      </c>
      <c r="P40" s="99">
        <f t="shared" si="10"/>
        <v>2</v>
      </c>
      <c r="T40" s="89">
        <f>SUM(T37:T39)</f>
        <v>134.16999999999999</v>
      </c>
      <c r="V40" s="82">
        <f>SUM(V37:V39)</f>
        <v>136.10999999999999</v>
      </c>
      <c r="W40" s="84" t="str">
        <f>CONCATENATE("m'(",Q38,")=")</f>
        <v>m'(1)=</v>
      </c>
      <c r="X40" s="84">
        <f>(2*(X37^2)/24*V40)+(X39*Q37*WLS)</f>
        <v>27.300374999999995</v>
      </c>
      <c r="Y40" s="84" t="str">
        <f>CONCATENATE("M(",Q37,")=")</f>
        <v>M(0.5)=</v>
      </c>
      <c r="Z40" s="84">
        <f>VLOOKUP(Q37,STN_TABLE,4,FALSE)</f>
        <v>8.145900000000001</v>
      </c>
      <c r="AA40" t="str">
        <f>CONCATENATE("M(",Q38,")=")</f>
        <v>M(1)=</v>
      </c>
      <c r="AB40">
        <f>X40+Z40</f>
        <v>35.446275</v>
      </c>
      <c r="AE40" s="89">
        <f>SUM(AE38:AE39)</f>
        <v>22.27</v>
      </c>
      <c r="AG40" s="89">
        <f>SUM(AG38:AG39)</f>
        <v>33.89</v>
      </c>
      <c r="AH40" s="84" t="str">
        <f>CONCATENATE("m'(",AD39,")=")</f>
        <v>m'(1)=</v>
      </c>
      <c r="AI40" s="84">
        <f>(2*(AI37^2)/6*AG40)+(AI39*AD38*WLS)</f>
        <v>27.189</v>
      </c>
      <c r="AJ40" s="84" t="str">
        <f>CONCATENATE("M(",AD38,")=")</f>
        <v>M(0.5)=</v>
      </c>
      <c r="AK40" s="84">
        <f>VLOOKUP(AD38,STN_TABLE,4,FALSE)</f>
        <v>8.145900000000001</v>
      </c>
      <c r="AL40" t="str">
        <f>CONCATENATE("M(",AD39,")=")</f>
        <v>M(1)=</v>
      </c>
      <c r="AM40">
        <f>AI40+AK40</f>
        <v>35.334900000000005</v>
      </c>
      <c r="AO40" s="82" t="str">
        <f>AA40</f>
        <v>M(1)=</v>
      </c>
      <c r="AP40" s="82" t="e">
        <f>VLOOKUP(AO40,Rise_Results,2,FALSE)</f>
        <v>#N/A</v>
      </c>
      <c r="AQ40" s="82">
        <f>N40</f>
        <v>35.553600000000003</v>
      </c>
      <c r="AR40" s="82">
        <f>IF(OR(AB39&lt;=0,AB40&lt;=0),1/0,AB40)</f>
        <v>35.446275</v>
      </c>
      <c r="AS40" s="82">
        <f>AM40</f>
        <v>35.334900000000005</v>
      </c>
      <c r="AT40">
        <f>IFERROR(AP40,IFERROR(AQ40,IFERROR(AR40,AS40)))</f>
        <v>35.553600000000003</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10.65</v>
      </c>
      <c r="E42" s="102">
        <v>1</v>
      </c>
      <c r="F42" s="68">
        <f>D42*E42</f>
        <v>10.65</v>
      </c>
      <c r="G42" s="69">
        <f>C42</f>
        <v>0.5</v>
      </c>
      <c r="H42" s="69">
        <f>F42*G42</f>
        <v>5.3250000000000002</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11.62</v>
      </c>
      <c r="S42" s="69">
        <v>5</v>
      </c>
      <c r="T42" s="68">
        <f>R42*S42</f>
        <v>58.099999999999994</v>
      </c>
      <c r="U42" s="79">
        <v>3</v>
      </c>
      <c r="V42" s="68">
        <f>R42*U42</f>
        <v>34.86</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11.62</v>
      </c>
      <c r="E43" s="81">
        <v>4</v>
      </c>
      <c r="F43" s="76">
        <f>D43*E43</f>
        <v>46.48</v>
      </c>
      <c r="G43" s="77">
        <f>C43</f>
        <v>1</v>
      </c>
      <c r="H43" s="77">
        <f>F43*G43</f>
        <v>46.48</v>
      </c>
      <c r="I43" s="513" t="s">
        <v>97</v>
      </c>
      <c r="J43" s="513"/>
      <c r="K43" s="78" t="s">
        <v>98</v>
      </c>
      <c r="L43" s="78"/>
      <c r="M43" s="7" t="s">
        <v>99</v>
      </c>
      <c r="N43" s="7"/>
      <c r="O43" s="99">
        <f>O42+1</f>
        <v>4</v>
      </c>
      <c r="P43" s="99">
        <f t="shared" si="10"/>
        <v>1.5</v>
      </c>
      <c r="Q43" s="76">
        <f>P43</f>
        <v>1.5</v>
      </c>
      <c r="R43" s="77">
        <f>VLOOKUP(Q43,STN_TABLE,2,FALSE)</f>
        <v>12.04</v>
      </c>
      <c r="S43" s="77">
        <v>8</v>
      </c>
      <c r="T43" s="76">
        <f>R43*S43</f>
        <v>96.32</v>
      </c>
      <c r="U43" s="80">
        <v>10</v>
      </c>
      <c r="V43" s="76">
        <f>R43*U43</f>
        <v>120.39999999999999</v>
      </c>
      <c r="W43" s="513" t="s">
        <v>97</v>
      </c>
      <c r="X43" s="513"/>
      <c r="Y43" s="513" t="s">
        <v>98</v>
      </c>
      <c r="Z43" s="513"/>
      <c r="AA43" s="511" t="s">
        <v>99</v>
      </c>
      <c r="AB43" s="511"/>
      <c r="AC43" s="99">
        <f>AC38+1</f>
        <v>3</v>
      </c>
      <c r="AD43" s="95">
        <f>VLOOKUP(AC43,STN_TABLE_2,2,FALSE)</f>
        <v>1</v>
      </c>
      <c r="AE43" s="68">
        <f>VLOOKUP(AD43,STN_TABLE,2,FALSE)</f>
        <v>11.62</v>
      </c>
      <c r="AF43" s="68">
        <v>1</v>
      </c>
      <c r="AG43" s="69">
        <f>AE43*AF43</f>
        <v>11.62</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12.04</v>
      </c>
      <c r="E44" s="92">
        <v>1</v>
      </c>
      <c r="F44" s="82">
        <f>D44*E44</f>
        <v>12.04</v>
      </c>
      <c r="G44" s="83">
        <f>C44</f>
        <v>1.5</v>
      </c>
      <c r="H44" s="83">
        <f>F44*G44</f>
        <v>18.059999999999999</v>
      </c>
      <c r="I44" s="84" t="str">
        <f>CONCATENATE("a'(",C44,")=")</f>
        <v>a'(1.5)=</v>
      </c>
      <c r="J44" s="84">
        <f>2*J42/3*F45</f>
        <v>41.501999999999988</v>
      </c>
      <c r="K44" s="84" t="str">
        <f>CONCATENATE("A(",C42,")=")</f>
        <v>A(0.5)=</v>
      </c>
      <c r="L44" s="84">
        <f>VLOOKUP(C42,STN_TABLE,3,FALSE)</f>
        <v>17.486999999999998</v>
      </c>
      <c r="M44" t="str">
        <f>CONCATENATE("A(",C44,")=")</f>
        <v>A(1.5)=</v>
      </c>
      <c r="N44">
        <f>J44+L44</f>
        <v>58.98899999999999</v>
      </c>
      <c r="O44" s="99">
        <f>O43+1</f>
        <v>5</v>
      </c>
      <c r="P44" s="99">
        <f t="shared" si="10"/>
        <v>2</v>
      </c>
      <c r="Q44" s="82">
        <f>IF(P44-P43=P43-P42,P44,IF(P45-P43=P43-P42,P45,IF(P44-P43=P43-P41,P44,IF(P45-P43=P43-P41,P45,"-"))))</f>
        <v>2</v>
      </c>
      <c r="R44" s="83">
        <f>VLOOKUP(Q44,STN_TABLE,2,FALSE)</f>
        <v>12.21</v>
      </c>
      <c r="S44" s="83">
        <v>-1</v>
      </c>
      <c r="T44" s="82">
        <f>R44*S44</f>
        <v>-12.21</v>
      </c>
      <c r="U44" s="88">
        <v>-1</v>
      </c>
      <c r="V44" s="82">
        <f>R44*U44</f>
        <v>-12.21</v>
      </c>
      <c r="W44" s="84" t="str">
        <f>CONCATENATE("a'(",Q43,")=")</f>
        <v>a'(1.5)=</v>
      </c>
      <c r="X44" s="84">
        <f>2*X42/12*T45</f>
        <v>21.331499999999995</v>
      </c>
      <c r="Y44" s="84" t="str">
        <f>CONCATENATE("A(",Q42,")=")</f>
        <v>A(1)=</v>
      </c>
      <c r="Z44" s="84">
        <f>VLOOKUP(Q42,STN_TABLE,3,FALSE)</f>
        <v>37.692</v>
      </c>
      <c r="AA44" t="str">
        <f>CONCATENATE("A(",Q43,")=")</f>
        <v>A(1.5)=</v>
      </c>
      <c r="AB44">
        <f>X44+Z44</f>
        <v>59.023499999999999</v>
      </c>
      <c r="AC44" s="99">
        <f>AC43+1</f>
        <v>4</v>
      </c>
      <c r="AD44" s="100">
        <f>VLOOKUP(AC44,STN_TABLE_2,2,FALSE)</f>
        <v>1.5</v>
      </c>
      <c r="AE44" s="82">
        <f>VLOOKUP(AD44,STN_TABLE,2,FALSE)</f>
        <v>12.04</v>
      </c>
      <c r="AF44" s="82">
        <v>2</v>
      </c>
      <c r="AG44" s="83">
        <f>AE44*AF44</f>
        <v>24.08</v>
      </c>
      <c r="AH44" s="84" t="str">
        <f>CONCATENATE("a'(",AD44,")=")</f>
        <v>a'(1.5)=</v>
      </c>
      <c r="AI44" s="84">
        <f>2*AI42/2*AE45</f>
        <v>21.293999999999997</v>
      </c>
      <c r="AJ44" s="84" t="str">
        <f>CONCATENATE("A(",AD43,")=")</f>
        <v>A(1)=</v>
      </c>
      <c r="AK44" s="84">
        <f>VLOOKUP(AD43,STN_TABLE,3,FALSE)</f>
        <v>37.692</v>
      </c>
      <c r="AL44" t="str">
        <f>CONCATENATE("A(",AD44,")=")</f>
        <v>A(1.5)=</v>
      </c>
      <c r="AM44">
        <f>AI44+AK44</f>
        <v>58.985999999999997</v>
      </c>
      <c r="AO44" s="68" t="str">
        <f>AA44</f>
        <v>A(1.5)=</v>
      </c>
      <c r="AP44" s="68" t="e">
        <f>VLOOKUP(AO44,Rise_Results,2,FALSE)</f>
        <v>#N/A</v>
      </c>
      <c r="AQ44" s="76">
        <f>N44</f>
        <v>58.98899999999999</v>
      </c>
      <c r="AR44" s="76">
        <f>IF(OR(AB44&lt;=0,AB45&lt;=0),1/0,AB44)</f>
        <v>59.023499999999999</v>
      </c>
      <c r="AS44" s="76">
        <f>AM44</f>
        <v>58.985999999999997</v>
      </c>
      <c r="AT44">
        <f>IFERROR(AP44,IFERROR(AQ44,IFERROR(AR44,AS44)))</f>
        <v>58.98899999999999</v>
      </c>
      <c r="AU44" s="81"/>
    </row>
    <row r="45" spans="1:47" x14ac:dyDescent="0.25">
      <c r="A45" s="94">
        <f>A44+1</f>
        <v>4</v>
      </c>
      <c r="B45" s="94">
        <f t="shared" si="11"/>
        <v>1.5</v>
      </c>
      <c r="F45" s="82">
        <f>SUM(F42:F44)</f>
        <v>69.169999999999987</v>
      </c>
      <c r="H45" s="82">
        <f>SUM(H42:H44)</f>
        <v>69.864999999999995</v>
      </c>
      <c r="I45" s="84" t="str">
        <f>CONCATENATE("m'(",C44,")=")</f>
        <v>m'(1.5)=</v>
      </c>
      <c r="J45" s="84">
        <f>2*(J42*(WLS))/3*H45</f>
        <v>75.4542</v>
      </c>
      <c r="K45" s="84" t="str">
        <f>CONCATENATE("M(",C42,")=")</f>
        <v>M(0.5)=</v>
      </c>
      <c r="L45" s="84">
        <f>VLOOKUP(C42,STN_TABLE,4,FALSE)</f>
        <v>8.145900000000001</v>
      </c>
      <c r="M45" t="str">
        <f>CONCATENATE("M(",C44,")=")</f>
        <v>M(1.5)=</v>
      </c>
      <c r="N45">
        <f>J45+L45</f>
        <v>83.600099999999998</v>
      </c>
      <c r="O45" s="99">
        <f>O44+1</f>
        <v>6</v>
      </c>
      <c r="P45" s="99">
        <f t="shared" si="10"/>
        <v>3</v>
      </c>
      <c r="T45" s="89">
        <f>SUM(T42:T44)</f>
        <v>142.20999999999998</v>
      </c>
      <c r="V45" s="82">
        <f>SUM(V42:V44)</f>
        <v>143.04999999999998</v>
      </c>
      <c r="W45" s="84" t="str">
        <f>CONCATENATE("m'(",Q43,")=")</f>
        <v>m'(1.5)=</v>
      </c>
      <c r="X45" s="84">
        <f>(2*(X42^2)/24*V45)+(X44*Q42*WLS)</f>
        <v>48.05257499999999</v>
      </c>
      <c r="Y45" s="84" t="str">
        <f>CONCATENATE("M(",Q42,")=")</f>
        <v>M(1)=</v>
      </c>
      <c r="Z45" s="84">
        <f>VLOOKUP(Q42,STN_TABLE,4,FALSE)</f>
        <v>35.553600000000003</v>
      </c>
      <c r="AA45" t="str">
        <f>CONCATENATE("M(",Q43,")=")</f>
        <v>M(1.5)=</v>
      </c>
      <c r="AB45">
        <f>X45+Z45</f>
        <v>83.606174999999993</v>
      </c>
      <c r="AE45" s="89">
        <f>SUM(AE43:AE44)</f>
        <v>23.659999999999997</v>
      </c>
      <c r="AG45" s="89">
        <f>SUM(AG43:AG44)</f>
        <v>35.699999999999996</v>
      </c>
      <c r="AH45" s="84" t="str">
        <f>CONCATENATE("m'(",AD44,")=")</f>
        <v>m'(1.5)=</v>
      </c>
      <c r="AI45" s="84">
        <f>(2*(AI42^2)/6*AG45)+(AI44*AD43*WLS)</f>
        <v>47.968199999999996</v>
      </c>
      <c r="AJ45" s="84" t="str">
        <f>CONCATENATE("M(",AD43,")=")</f>
        <v>M(1)=</v>
      </c>
      <c r="AK45" s="84">
        <f>VLOOKUP(AD43,STN_TABLE,4,FALSE)</f>
        <v>35.553600000000003</v>
      </c>
      <c r="AL45" t="str">
        <f>CONCATENATE("M(",AD44,")=")</f>
        <v>M(1.5)=</v>
      </c>
      <c r="AM45">
        <f>AI45+AK45</f>
        <v>83.521799999999999</v>
      </c>
      <c r="AO45" s="82" t="str">
        <f>AA45</f>
        <v>M(1.5)=</v>
      </c>
      <c r="AP45" s="82" t="e">
        <f>VLOOKUP(AO45,Rise_Results,2,FALSE)</f>
        <v>#N/A</v>
      </c>
      <c r="AQ45" s="82">
        <f>N45</f>
        <v>83.600099999999998</v>
      </c>
      <c r="AR45" s="82">
        <f>IF(OR(AB44&lt;=0,AB45&lt;=0),1/0,AB45)</f>
        <v>83.606174999999993</v>
      </c>
      <c r="AS45" s="82">
        <f>AM45</f>
        <v>83.521799999999999</v>
      </c>
      <c r="AT45">
        <f>IFERROR(AP45,IFERROR(AQ45,IFERROR(AR45,AS45)))</f>
        <v>83.600099999999998</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11.62</v>
      </c>
      <c r="E47" s="102">
        <v>1</v>
      </c>
      <c r="F47" s="68">
        <f>D47*E47</f>
        <v>11.62</v>
      </c>
      <c r="G47" s="69">
        <f>C47</f>
        <v>1</v>
      </c>
      <c r="H47" s="69">
        <f>F47*G47</f>
        <v>11.62</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11.62</v>
      </c>
      <c r="S47" s="69">
        <v>5</v>
      </c>
      <c r="T47" s="68">
        <f>R47*S47</f>
        <v>58.099999999999994</v>
      </c>
      <c r="U47" s="79">
        <v>3</v>
      </c>
      <c r="V47" s="68">
        <f>R47*U47</f>
        <v>34.86</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12.04</v>
      </c>
      <c r="E48" s="81">
        <v>4</v>
      </c>
      <c r="F48" s="76">
        <f>D48*E48</f>
        <v>48.16</v>
      </c>
      <c r="G48" s="77">
        <f>C48</f>
        <v>1.5</v>
      </c>
      <c r="H48" s="77">
        <f>F48*G48</f>
        <v>72.239999999999995</v>
      </c>
      <c r="I48" s="513" t="s">
        <v>97</v>
      </c>
      <c r="J48" s="513"/>
      <c r="K48" s="78" t="s">
        <v>98</v>
      </c>
      <c r="L48" s="78"/>
      <c r="M48" s="7" t="s">
        <v>99</v>
      </c>
      <c r="N48" s="7"/>
      <c r="O48" s="99">
        <f>O47+1</f>
        <v>5</v>
      </c>
      <c r="P48" s="99">
        <f t="shared" si="10"/>
        <v>2</v>
      </c>
      <c r="Q48" s="76">
        <f>P48</f>
        <v>2</v>
      </c>
      <c r="R48" s="77">
        <f>VLOOKUP(Q48,STN_TABLE,2,FALSE)</f>
        <v>12.21</v>
      </c>
      <c r="S48" s="77">
        <v>8</v>
      </c>
      <c r="T48" s="76">
        <f>R48*S48</f>
        <v>97.68</v>
      </c>
      <c r="U48" s="80">
        <v>10</v>
      </c>
      <c r="V48" s="76">
        <f>R48*U48</f>
        <v>122.10000000000001</v>
      </c>
      <c r="W48" s="513" t="s">
        <v>97</v>
      </c>
      <c r="X48" s="513"/>
      <c r="Y48" s="513" t="s">
        <v>98</v>
      </c>
      <c r="Z48" s="513"/>
      <c r="AA48" s="511" t="s">
        <v>99</v>
      </c>
      <c r="AB48" s="511"/>
      <c r="AC48" s="99">
        <f>AC43+1</f>
        <v>4</v>
      </c>
      <c r="AD48" s="95">
        <f>VLOOKUP(AC48,STN_TABLE_2,2,FALSE)</f>
        <v>1.5</v>
      </c>
      <c r="AE48" s="68">
        <f>VLOOKUP(AD48,STN_TABLE,2,FALSE)</f>
        <v>12.04</v>
      </c>
      <c r="AF48" s="68">
        <v>1</v>
      </c>
      <c r="AG48" s="69">
        <f>AE48*AF48</f>
        <v>12.04</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12.21</v>
      </c>
      <c r="E49" s="92">
        <v>1</v>
      </c>
      <c r="F49" s="82">
        <f>D49*E49</f>
        <v>12.21</v>
      </c>
      <c r="G49" s="83">
        <f>C49</f>
        <v>2</v>
      </c>
      <c r="H49" s="83">
        <f>F49*G49</f>
        <v>24.42</v>
      </c>
      <c r="I49" s="84" t="str">
        <f>CONCATENATE("a'(",C49,")=")</f>
        <v>a'(2)=</v>
      </c>
      <c r="J49" s="84">
        <f>2*J47/3*F50</f>
        <v>43.193999999999996</v>
      </c>
      <c r="K49" s="84" t="str">
        <f>CONCATENATE("A(",C47,")=")</f>
        <v>A(1)=</v>
      </c>
      <c r="L49" s="84">
        <f>VLOOKUP(C47,STN_TABLE,3,FALSE)</f>
        <v>37.692</v>
      </c>
      <c r="M49" t="str">
        <f>CONCATENATE("A(",C49,")=")</f>
        <v>A(2)=</v>
      </c>
      <c r="N49">
        <f>J49+L49</f>
        <v>80.885999999999996</v>
      </c>
      <c r="O49" s="99">
        <f>O48+1</f>
        <v>6</v>
      </c>
      <c r="P49" s="99">
        <f t="shared" si="10"/>
        <v>3</v>
      </c>
      <c r="Q49" s="82">
        <f>IF(P49-P48=P48-P47,P49,IF(P50-P48=P48-P47,P50,IF(P49-P48=P48-P46,P49,IF(P50-P48=P48-P46,P50,"-"))))</f>
        <v>3</v>
      </c>
      <c r="R49" s="83">
        <f>VLOOKUP(Q49,STN_TABLE,2,FALSE)</f>
        <v>12.25</v>
      </c>
      <c r="S49" s="83">
        <v>-1</v>
      </c>
      <c r="T49" s="82">
        <f>R49*S49</f>
        <v>-12.25</v>
      </c>
      <c r="U49" s="88">
        <v>-1</v>
      </c>
      <c r="V49" s="82">
        <f>R49*U49</f>
        <v>-12.25</v>
      </c>
      <c r="W49" s="84" t="str">
        <f>CONCATENATE("a'(",Q48,")=")</f>
        <v>a'(2)=</v>
      </c>
      <c r="X49" s="84">
        <f>2*X47/12*T50</f>
        <v>43.058999999999997</v>
      </c>
      <c r="Y49" s="84" t="str">
        <f>CONCATENATE("A(",Q47,")=")</f>
        <v>A(1)=</v>
      </c>
      <c r="Z49" s="84">
        <f>VLOOKUP(Q47,STN_TABLE,3,FALSE)</f>
        <v>37.692</v>
      </c>
      <c r="AA49" t="str">
        <f>CONCATENATE("A(",Q48,")=")</f>
        <v>A(2)=</v>
      </c>
      <c r="AB49">
        <f>X49+Z49</f>
        <v>80.751000000000005</v>
      </c>
      <c r="AC49" s="99">
        <f>AC48+1</f>
        <v>5</v>
      </c>
      <c r="AD49" s="100">
        <f>VLOOKUP(AC49,STN_TABLE_2,2,FALSE)</f>
        <v>2</v>
      </c>
      <c r="AE49" s="82">
        <f>VLOOKUP(AD49,STN_TABLE,2,FALSE)</f>
        <v>12.21</v>
      </c>
      <c r="AF49" s="82">
        <v>2</v>
      </c>
      <c r="AG49" s="83">
        <f>AE49*AF49</f>
        <v>24.42</v>
      </c>
      <c r="AH49" s="84" t="str">
        <f>CONCATENATE("a'(",AD49,")=")</f>
        <v>a'(2)=</v>
      </c>
      <c r="AI49" s="84">
        <f>2*AI47/2*AE50</f>
        <v>21.824999999999999</v>
      </c>
      <c r="AJ49" s="84" t="str">
        <f>CONCATENATE("A(",AD48,")=")</f>
        <v>A(1.5)=</v>
      </c>
      <c r="AK49" s="84">
        <f>VLOOKUP(AD48,STN_TABLE,3,FALSE)</f>
        <v>58.98899999999999</v>
      </c>
      <c r="AL49" t="str">
        <f>CONCATENATE("A(",AD49,")=")</f>
        <v>A(2)=</v>
      </c>
      <c r="AM49">
        <f>AI49+AK49</f>
        <v>80.813999999999993</v>
      </c>
      <c r="AO49" s="68" t="str">
        <f>AA49</f>
        <v>A(2)=</v>
      </c>
      <c r="AP49" s="68" t="e">
        <f>VLOOKUP(AO49,Rise_Results,2,FALSE)</f>
        <v>#N/A</v>
      </c>
      <c r="AQ49" s="76">
        <f>N49</f>
        <v>80.885999999999996</v>
      </c>
      <c r="AR49" s="76">
        <f>IF(OR(AB49&lt;=0,AB50&lt;=0),1/0,AB49)</f>
        <v>80.751000000000005</v>
      </c>
      <c r="AS49" s="76">
        <f>AM49</f>
        <v>80.813999999999993</v>
      </c>
      <c r="AT49">
        <f>IFERROR(AP49,IFERROR(AQ49,IFERROR(AR49,AS49)))</f>
        <v>80.885999999999996</v>
      </c>
      <c r="AU49" s="81"/>
    </row>
    <row r="50" spans="1:47" x14ac:dyDescent="0.25">
      <c r="A50" s="84">
        <f>A49+1</f>
        <v>5</v>
      </c>
      <c r="B50" s="84">
        <f t="shared" si="11"/>
        <v>2</v>
      </c>
      <c r="F50" s="82">
        <f>SUM(F47:F49)</f>
        <v>71.989999999999995</v>
      </c>
      <c r="H50" s="82">
        <f>SUM(H47:H49)</f>
        <v>108.28</v>
      </c>
      <c r="I50" s="84" t="str">
        <f>CONCATENATE("m'(",C49,")=")</f>
        <v>m'(2)=</v>
      </c>
      <c r="J50" s="84">
        <f>2*(J47*(WLS))/3*H50</f>
        <v>116.94240000000001</v>
      </c>
      <c r="K50" s="84" t="str">
        <f>CONCATENATE("M(",C47,")=")</f>
        <v>M(1)=</v>
      </c>
      <c r="L50" s="84">
        <f>VLOOKUP(C47,STN_TABLE,4,FALSE)</f>
        <v>35.553600000000003</v>
      </c>
      <c r="M50" t="str">
        <f>CONCATENATE("M(",C49,")=")</f>
        <v>M(2)=</v>
      </c>
      <c r="N50">
        <f>J50+L50</f>
        <v>152.49600000000001</v>
      </c>
      <c r="O50" s="99">
        <f>O49+1</f>
        <v>7</v>
      </c>
      <c r="P50" s="99">
        <f t="shared" si="10"/>
        <v>4</v>
      </c>
      <c r="T50" s="89">
        <f>SUM(T47:T49)</f>
        <v>143.53</v>
      </c>
      <c r="V50" s="82">
        <f>SUM(V47:V49)</f>
        <v>144.71</v>
      </c>
      <c r="W50" s="84" t="str">
        <f>CONCATENATE("m'(",Q48,")=")</f>
        <v>m'(2)=</v>
      </c>
      <c r="X50" s="84">
        <f>(2*(X47^2)/24*V50)+(X49*Q47*WLS)</f>
        <v>116.5779</v>
      </c>
      <c r="Y50" s="84" t="str">
        <f>CONCATENATE("M(",Q47,")=")</f>
        <v>M(1)=</v>
      </c>
      <c r="Z50" s="84">
        <f>VLOOKUP(Q47,STN_TABLE,4,FALSE)</f>
        <v>35.553600000000003</v>
      </c>
      <c r="AA50" t="str">
        <f>CONCATENATE("M(",Q48,")=")</f>
        <v>M(2)=</v>
      </c>
      <c r="AB50">
        <f>X50+Z50</f>
        <v>152.13150000000002</v>
      </c>
      <c r="AE50" s="89">
        <f>SUM(AE48:AE49)</f>
        <v>24.25</v>
      </c>
      <c r="AG50" s="89">
        <f>SUM(AG48:AG49)</f>
        <v>36.46</v>
      </c>
      <c r="AH50" s="84" t="str">
        <f>CONCATENATE("m'(",AD49,")=")</f>
        <v>m'(2)=</v>
      </c>
      <c r="AI50" s="84">
        <f>(2*(AI47^2)/6*AG50)+(AI49*AD48*WLS)</f>
        <v>68.771699999999996</v>
      </c>
      <c r="AJ50" s="84" t="str">
        <f>CONCATENATE("M(",AD48,")=")</f>
        <v>M(1.5)=</v>
      </c>
      <c r="AK50" s="84">
        <f>VLOOKUP(AD48,STN_TABLE,4,FALSE)</f>
        <v>83.600099999999998</v>
      </c>
      <c r="AL50" t="str">
        <f>CONCATENATE("M(",AD49,")=")</f>
        <v>M(2)=</v>
      </c>
      <c r="AM50">
        <f>AI50+AK50</f>
        <v>152.37180000000001</v>
      </c>
      <c r="AO50" s="82" t="str">
        <f>AA50</f>
        <v>M(2)=</v>
      </c>
      <c r="AP50" s="82" t="e">
        <f>VLOOKUP(AO50,Rise_Results,2,FALSE)</f>
        <v>#N/A</v>
      </c>
      <c r="AQ50" s="82">
        <f>N50</f>
        <v>152.49600000000001</v>
      </c>
      <c r="AR50" s="82">
        <f>IF(OR(AB49&lt;=0,AB50&lt;=0),1/0,AB50)</f>
        <v>152.13150000000002</v>
      </c>
      <c r="AS50" s="82">
        <f>AM50</f>
        <v>152.37180000000001</v>
      </c>
      <c r="AT50">
        <f>IFERROR(AP50,IFERROR(AQ50,IFERROR(AR50,AS50)))</f>
        <v>152.49600000000001</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11.62</v>
      </c>
      <c r="E52" s="102">
        <v>1</v>
      </c>
      <c r="F52" s="68">
        <f>D52*E52</f>
        <v>11.62</v>
      </c>
      <c r="G52" s="69">
        <f>C52</f>
        <v>1</v>
      </c>
      <c r="H52" s="69">
        <f>F52*G52</f>
        <v>11.62</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12.21</v>
      </c>
      <c r="S52" s="69">
        <v>5</v>
      </c>
      <c r="T52" s="68">
        <f>R52*S52</f>
        <v>61.050000000000004</v>
      </c>
      <c r="U52" s="79">
        <v>3</v>
      </c>
      <c r="V52" s="68">
        <f>R52*U52</f>
        <v>36.630000000000003</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12.21</v>
      </c>
      <c r="E53" s="81">
        <v>4</v>
      </c>
      <c r="F53" s="76">
        <f>D53*E53</f>
        <v>48.84</v>
      </c>
      <c r="G53" s="77">
        <f>C53</f>
        <v>2</v>
      </c>
      <c r="H53" s="77">
        <f>F53*G53</f>
        <v>97.68</v>
      </c>
      <c r="I53" s="512" t="s">
        <v>97</v>
      </c>
      <c r="J53" s="513"/>
      <c r="K53" s="78" t="s">
        <v>98</v>
      </c>
      <c r="L53" s="78"/>
      <c r="M53" s="7" t="s">
        <v>99</v>
      </c>
      <c r="N53" s="7"/>
      <c r="O53" s="99">
        <f>O52+1</f>
        <v>6</v>
      </c>
      <c r="P53" s="99">
        <f t="shared" si="10"/>
        <v>3</v>
      </c>
      <c r="Q53" s="76">
        <f>P53</f>
        <v>3</v>
      </c>
      <c r="R53" s="77">
        <f>VLOOKUP(Q53,STN_TABLE,2,FALSE)</f>
        <v>12.25</v>
      </c>
      <c r="S53" s="77">
        <v>8</v>
      </c>
      <c r="T53" s="76">
        <f>R53*S53</f>
        <v>98</v>
      </c>
      <c r="U53" s="80">
        <v>10</v>
      </c>
      <c r="V53" s="76">
        <f>R53*U53</f>
        <v>122.5</v>
      </c>
      <c r="W53" s="513" t="s">
        <v>97</v>
      </c>
      <c r="X53" s="513"/>
      <c r="Y53" s="513" t="s">
        <v>98</v>
      </c>
      <c r="Z53" s="513"/>
      <c r="AA53" s="511" t="s">
        <v>99</v>
      </c>
      <c r="AB53" s="511"/>
      <c r="AC53" s="99">
        <f>AC48+1</f>
        <v>5</v>
      </c>
      <c r="AD53" s="95">
        <f>VLOOKUP(AC53,STN_TABLE_2,2,FALSE)</f>
        <v>2</v>
      </c>
      <c r="AE53" s="68">
        <f>VLOOKUP(AD53,STN_TABLE,2,FALSE)</f>
        <v>12.21</v>
      </c>
      <c r="AF53" s="68">
        <v>1</v>
      </c>
      <c r="AG53" s="69">
        <f>AE53*AF53</f>
        <v>12.21</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12.25</v>
      </c>
      <c r="E54" s="92">
        <v>1</v>
      </c>
      <c r="F54" s="82">
        <f>D54*E54</f>
        <v>12.25</v>
      </c>
      <c r="G54" s="83">
        <f>C54</f>
        <v>3</v>
      </c>
      <c r="H54" s="83">
        <f>F54*G54</f>
        <v>36.75</v>
      </c>
      <c r="I54" s="84" t="str">
        <f>CONCATENATE("a'(",C54,")=")</f>
        <v>a'(3)=</v>
      </c>
      <c r="J54" s="84">
        <f>2*J52/3*F55</f>
        <v>87.25200000000001</v>
      </c>
      <c r="K54" s="84" t="str">
        <f>CONCATENATE("A(",C52,")=")</f>
        <v>A(1)=</v>
      </c>
      <c r="L54" s="84">
        <f>VLOOKUP(C52,STN_TABLE,3,FALSE)</f>
        <v>37.692</v>
      </c>
      <c r="M54" t="str">
        <f>CONCATENATE("A(",C54,")=")</f>
        <v>A(3)=</v>
      </c>
      <c r="N54">
        <f>J54+L54</f>
        <v>124.94400000000002</v>
      </c>
      <c r="O54" s="99">
        <f>O53+1</f>
        <v>7</v>
      </c>
      <c r="P54" s="99">
        <f t="shared" si="10"/>
        <v>4</v>
      </c>
      <c r="Q54" s="82">
        <f>IF(P54-P53=P53-P52,P54,IF(P55-P53=P53-P52,P55,IF(P54-P53=P53-P51,P54,IF(P55-P53=P53-P51,P55,"-"))))</f>
        <v>4</v>
      </c>
      <c r="R54" s="83">
        <f>VLOOKUP(Q54,STN_TABLE,2,FALSE)</f>
        <v>12.25</v>
      </c>
      <c r="S54" s="83">
        <v>-1</v>
      </c>
      <c r="T54" s="82">
        <f>R54*S54</f>
        <v>-12.25</v>
      </c>
      <c r="U54" s="88">
        <v>-1</v>
      </c>
      <c r="V54" s="82">
        <f>R54*U54</f>
        <v>-12.25</v>
      </c>
      <c r="W54" s="84" t="str">
        <f>CONCATENATE("a'(",Q53,")=")</f>
        <v>a'(3)=</v>
      </c>
      <c r="X54" s="84">
        <f>2*X52/12*T55</f>
        <v>44.04</v>
      </c>
      <c r="Y54" s="84" t="str">
        <f>CONCATENATE("A(",Q52,")=")</f>
        <v>A(2)=</v>
      </c>
      <c r="Z54" s="84">
        <f>VLOOKUP(Q52,STN_TABLE,3,FALSE)</f>
        <v>80.885999999999996</v>
      </c>
      <c r="AA54" t="str">
        <f>CONCATENATE("A(",Q53,")=")</f>
        <v>A(3)=</v>
      </c>
      <c r="AB54">
        <f>X54+Z54</f>
        <v>124.92599999999999</v>
      </c>
      <c r="AC54" s="99">
        <f>AC53+1</f>
        <v>6</v>
      </c>
      <c r="AD54" s="100">
        <f>VLOOKUP(AC54,STN_TABLE_2,2,FALSE)</f>
        <v>3</v>
      </c>
      <c r="AE54" s="82">
        <f>VLOOKUP(AD54,STN_TABLE,2,FALSE)</f>
        <v>12.25</v>
      </c>
      <c r="AF54" s="82">
        <v>2</v>
      </c>
      <c r="AG54" s="83">
        <f>AE54*AF54</f>
        <v>24.5</v>
      </c>
      <c r="AH54" s="84" t="str">
        <f>CONCATENATE("a'(",AD54,")=")</f>
        <v>a'(3)=</v>
      </c>
      <c r="AI54" s="84">
        <f>2*AI52/2*AE55</f>
        <v>44.028000000000006</v>
      </c>
      <c r="AJ54" s="84" t="str">
        <f>CONCATENATE("A(",AD53,")=")</f>
        <v>A(2)=</v>
      </c>
      <c r="AK54" s="84">
        <f>VLOOKUP(AD53,STN_TABLE,3,FALSE)</f>
        <v>80.885999999999996</v>
      </c>
      <c r="AL54" t="str">
        <f>CONCATENATE("A(",AD54,")=")</f>
        <v>A(3)=</v>
      </c>
      <c r="AM54">
        <f>AI54+AK54</f>
        <v>124.914</v>
      </c>
      <c r="AO54" s="68" t="str">
        <f>AA54</f>
        <v>A(3)=</v>
      </c>
      <c r="AP54" s="68" t="e">
        <f>VLOOKUP(AO54,Rise_Results,2,FALSE)</f>
        <v>#N/A</v>
      </c>
      <c r="AQ54" s="76">
        <f>N54</f>
        <v>124.94400000000002</v>
      </c>
      <c r="AR54" s="76">
        <f>IF(OR(AB54&lt;=0,AB55&lt;=0),1/0,AB54)</f>
        <v>124.92599999999999</v>
      </c>
      <c r="AS54" s="76">
        <f>AM54</f>
        <v>124.914</v>
      </c>
      <c r="AT54">
        <f>IFERROR(AP54,IFERROR(AQ54,IFERROR(AR54,AS54)))</f>
        <v>124.94400000000002</v>
      </c>
      <c r="AU54" s="81"/>
    </row>
    <row r="55" spans="1:47" x14ac:dyDescent="0.25">
      <c r="A55" s="84">
        <f>A54+1</f>
        <v>6</v>
      </c>
      <c r="B55" s="84">
        <f t="shared" si="11"/>
        <v>3</v>
      </c>
      <c r="F55" s="82">
        <f>SUM(F52:F54)</f>
        <v>72.710000000000008</v>
      </c>
      <c r="H55" s="82">
        <f>SUM(H52:H54)</f>
        <v>146.05000000000001</v>
      </c>
      <c r="I55" s="84" t="str">
        <f>CONCATENATE("m'(",C54,")=")</f>
        <v>m'(3)=</v>
      </c>
      <c r="J55" s="84">
        <f>2*(J52*(WLS))/3*H55</f>
        <v>315.46800000000002</v>
      </c>
      <c r="K55" s="84" t="str">
        <f>CONCATENATE("M(",C52,")=")</f>
        <v>M(1)=</v>
      </c>
      <c r="L55" s="84">
        <f>VLOOKUP(C52,STN_TABLE,4,FALSE)</f>
        <v>35.553600000000003</v>
      </c>
      <c r="M55" t="str">
        <f>CONCATENATE("M(",C54,")=")</f>
        <v>M(3)=</v>
      </c>
      <c r="N55">
        <f>J55+L55</f>
        <v>351.02160000000003</v>
      </c>
      <c r="O55" s="99">
        <f>O54+1</f>
        <v>8</v>
      </c>
      <c r="P55" s="99">
        <f t="shared" si="10"/>
        <v>5</v>
      </c>
      <c r="T55" s="89">
        <f>SUM(T52:T54)</f>
        <v>146.80000000000001</v>
      </c>
      <c r="V55" s="82">
        <f>SUM(V52:V54)</f>
        <v>146.88</v>
      </c>
      <c r="W55" s="84" t="str">
        <f>CONCATENATE("m'(",Q53,")=")</f>
        <v>m'(3)=</v>
      </c>
      <c r="X55" s="84">
        <f>(2*(X52^2)/24*V55)+(X54*Q52*WLS)</f>
        <v>198.20160000000001</v>
      </c>
      <c r="Y55" s="84" t="str">
        <f>CONCATENATE("M(",Q52,")=")</f>
        <v>M(2)=</v>
      </c>
      <c r="Z55" s="84">
        <f>VLOOKUP(Q52,STN_TABLE,4,FALSE)</f>
        <v>152.49600000000001</v>
      </c>
      <c r="AA55" t="str">
        <f>CONCATENATE("M(",Q53,")=")</f>
        <v>M(3)=</v>
      </c>
      <c r="AB55">
        <f>X55+Z55</f>
        <v>350.69760000000002</v>
      </c>
      <c r="AE55" s="89">
        <f>SUM(AE53:AE54)</f>
        <v>24.46</v>
      </c>
      <c r="AG55" s="89">
        <f>SUM(AG53:AG54)</f>
        <v>36.71</v>
      </c>
      <c r="AH55" s="84" t="str">
        <f>CONCATENATE("m'(",AD54,")=")</f>
        <v>m'(3)=</v>
      </c>
      <c r="AI55" s="84">
        <f>(2*(AI52^2)/6*AG55)+(AI54*AD53*WLS)</f>
        <v>198.14760000000004</v>
      </c>
      <c r="AJ55" s="84" t="str">
        <f>CONCATENATE("M(",AD53,")=")</f>
        <v>M(2)=</v>
      </c>
      <c r="AK55" s="84">
        <f>VLOOKUP(AD53,STN_TABLE,4,FALSE)</f>
        <v>152.49600000000001</v>
      </c>
      <c r="AL55" t="str">
        <f>CONCATENATE("M(",AD54,")=")</f>
        <v>M(3)=</v>
      </c>
      <c r="AM55">
        <f>AI55+AK55</f>
        <v>350.64360000000005</v>
      </c>
      <c r="AO55" s="82" t="str">
        <f>AA55</f>
        <v>M(3)=</v>
      </c>
      <c r="AP55" s="82" t="e">
        <f>VLOOKUP(AO55,Rise_Results,2,FALSE)</f>
        <v>#N/A</v>
      </c>
      <c r="AQ55" s="82">
        <f>N55</f>
        <v>351.02160000000003</v>
      </c>
      <c r="AR55" s="82">
        <f>IF(OR(AB54&lt;=0,AB55&lt;=0),1/0,AB55)</f>
        <v>350.69760000000002</v>
      </c>
      <c r="AS55" s="82">
        <f>AM55</f>
        <v>350.64360000000005</v>
      </c>
      <c r="AT55">
        <f>IFERROR(AP55,IFERROR(AQ55,IFERROR(AR55,AS55)))</f>
        <v>351.02160000000003</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12.21</v>
      </c>
      <c r="E57" s="102">
        <v>1</v>
      </c>
      <c r="F57" s="68">
        <f>D57*E57</f>
        <v>12.21</v>
      </c>
      <c r="G57" s="69">
        <f>C57</f>
        <v>2</v>
      </c>
      <c r="H57" s="69">
        <f>F57*G57</f>
        <v>24.42</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12.25</v>
      </c>
      <c r="S57" s="69">
        <v>5</v>
      </c>
      <c r="T57" s="68">
        <f>R57*S57</f>
        <v>61.25</v>
      </c>
      <c r="U57" s="79">
        <v>3</v>
      </c>
      <c r="V57" s="68">
        <f>R57*U57</f>
        <v>36.75</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12.25</v>
      </c>
      <c r="E58" s="81">
        <v>4</v>
      </c>
      <c r="F58" s="76">
        <f>D58*E58</f>
        <v>49</v>
      </c>
      <c r="G58" s="77">
        <f>C58</f>
        <v>3</v>
      </c>
      <c r="H58" s="77">
        <f>F58*G58</f>
        <v>147</v>
      </c>
      <c r="I58" s="512" t="s">
        <v>97</v>
      </c>
      <c r="J58" s="513"/>
      <c r="K58" s="78" t="s">
        <v>98</v>
      </c>
      <c r="L58" s="78"/>
      <c r="M58" s="7" t="s">
        <v>99</v>
      </c>
      <c r="N58" s="7"/>
      <c r="O58" s="99">
        <f>O57+1</f>
        <v>7</v>
      </c>
      <c r="P58" s="99">
        <f t="shared" si="10"/>
        <v>4</v>
      </c>
      <c r="Q58" s="76">
        <f>P58</f>
        <v>4</v>
      </c>
      <c r="R58" s="77">
        <f>VLOOKUP(Q58,STN_TABLE,2,FALSE)</f>
        <v>12.25</v>
      </c>
      <c r="S58" s="77">
        <v>8</v>
      </c>
      <c r="T58" s="76">
        <f>R58*S58</f>
        <v>98</v>
      </c>
      <c r="U58" s="80">
        <v>10</v>
      </c>
      <c r="V58" s="76">
        <f>R58*U58</f>
        <v>122.5</v>
      </c>
      <c r="W58" s="78" t="s">
        <v>97</v>
      </c>
      <c r="X58" s="78"/>
      <c r="Y58" s="78" t="s">
        <v>98</v>
      </c>
      <c r="Z58" s="78"/>
      <c r="AA58" s="7" t="s">
        <v>99</v>
      </c>
      <c r="AB58" s="7"/>
      <c r="AC58" s="99">
        <f>AC53+1</f>
        <v>6</v>
      </c>
      <c r="AD58" s="95">
        <f>VLOOKUP(AC58,STN_TABLE_2,2,FALSE)</f>
        <v>3</v>
      </c>
      <c r="AE58" s="68">
        <f>VLOOKUP(AD58,STN_TABLE,2,FALSE)</f>
        <v>12.25</v>
      </c>
      <c r="AF58" s="68">
        <v>1</v>
      </c>
      <c r="AG58" s="69">
        <f>AE58*AF58</f>
        <v>12.25</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12.25</v>
      </c>
      <c r="E59" s="92">
        <v>1</v>
      </c>
      <c r="F59" s="82">
        <f>D59*E59</f>
        <v>12.25</v>
      </c>
      <c r="G59" s="83">
        <f>C59</f>
        <v>4</v>
      </c>
      <c r="H59" s="83">
        <f>F59*G59</f>
        <v>49</v>
      </c>
      <c r="I59" s="84" t="str">
        <f>CONCATENATE("a'(",C59,")=")</f>
        <v>a'(4)=</v>
      </c>
      <c r="J59" s="84">
        <f>2*J57/3*F60</f>
        <v>88.152000000000001</v>
      </c>
      <c r="K59" s="84" t="str">
        <f>CONCATENATE("A(",C57,")=")</f>
        <v>A(2)=</v>
      </c>
      <c r="L59" s="84">
        <f>VLOOKUP(C57,STN_TABLE,3,FALSE)</f>
        <v>80.885999999999996</v>
      </c>
      <c r="M59" t="str">
        <f>CONCATENATE("A(",C59,")=")</f>
        <v>A(4)=</v>
      </c>
      <c r="N59">
        <f>J59+L59</f>
        <v>169.03800000000001</v>
      </c>
      <c r="O59" s="99">
        <f>O58+1</f>
        <v>8</v>
      </c>
      <c r="P59" s="99">
        <f t="shared" si="10"/>
        <v>5</v>
      </c>
      <c r="Q59" s="82">
        <f>IF(P59-P58=P58-P57,P59,IF(P60-P58=P58-P57,P60,IF(P59-P58=P58-P56,P59,IF(P60-P58=P58-P56,P60,"-"))))</f>
        <v>5</v>
      </c>
      <c r="R59" s="83">
        <f>VLOOKUP(Q59,STN_TABLE,2,FALSE)</f>
        <v>12.25</v>
      </c>
      <c r="S59" s="83">
        <v>-1</v>
      </c>
      <c r="T59" s="82">
        <f>R59*S59</f>
        <v>-12.25</v>
      </c>
      <c r="U59" s="88">
        <v>-1</v>
      </c>
      <c r="V59" s="82">
        <f>R59*U59</f>
        <v>-12.25</v>
      </c>
      <c r="W59" s="84" t="str">
        <f>CONCATENATE("a'(",Q58,")=")</f>
        <v>a'(4)=</v>
      </c>
      <c r="X59" s="84">
        <f>2*X57/12*T60</f>
        <v>44.1</v>
      </c>
      <c r="Y59" s="84" t="str">
        <f>CONCATENATE("A(",Q57,")=")</f>
        <v>A(3)=</v>
      </c>
      <c r="Z59" s="84">
        <f>VLOOKUP(Q57,STN_TABLE,3,FALSE)</f>
        <v>124.94400000000002</v>
      </c>
      <c r="AA59" t="str">
        <f>CONCATENATE("A(",Q58,")=")</f>
        <v>A(4)=</v>
      </c>
      <c r="AB59">
        <f>X59+Z59</f>
        <v>169.04400000000001</v>
      </c>
      <c r="AC59" s="99">
        <f>AC58+1</f>
        <v>7</v>
      </c>
      <c r="AD59" s="100">
        <f>VLOOKUP(AC59,STN_TABLE_2,2,FALSE)</f>
        <v>4</v>
      </c>
      <c r="AE59" s="82">
        <f>VLOOKUP(AD59,STN_TABLE,2,FALSE)</f>
        <v>12.25</v>
      </c>
      <c r="AF59" s="82">
        <v>2</v>
      </c>
      <c r="AG59" s="83">
        <f>AE59*AF59</f>
        <v>24.5</v>
      </c>
      <c r="AH59" s="84" t="str">
        <f>CONCATENATE("a'(",AD59,")=")</f>
        <v>a'(4)=</v>
      </c>
      <c r="AI59" s="84">
        <f>2*AI57/2*AE60</f>
        <v>44.1</v>
      </c>
      <c r="AJ59" s="84" t="str">
        <f>CONCATENATE("A(",AD58,")=")</f>
        <v>A(3)=</v>
      </c>
      <c r="AK59" s="84">
        <f>VLOOKUP(AD58,STN_TABLE,3,FALSE)</f>
        <v>124.94400000000002</v>
      </c>
      <c r="AL59" t="str">
        <f>CONCATENATE("A(",AD59,")=")</f>
        <v>A(4)=</v>
      </c>
      <c r="AM59">
        <f>AI59+AK59</f>
        <v>169.04400000000001</v>
      </c>
      <c r="AO59" s="68" t="str">
        <f>AA59</f>
        <v>A(4)=</v>
      </c>
      <c r="AP59" s="68" t="e">
        <f>VLOOKUP(AO59,Rise_Results,2,FALSE)</f>
        <v>#N/A</v>
      </c>
      <c r="AQ59" s="76">
        <f>N59</f>
        <v>169.03800000000001</v>
      </c>
      <c r="AR59" s="76">
        <f>IF(OR(AB59&lt;=0,AB60&lt;=0),1/0,AB59)</f>
        <v>169.04400000000001</v>
      </c>
      <c r="AS59" s="76">
        <f>AM59</f>
        <v>169.04400000000001</v>
      </c>
      <c r="AT59">
        <f>IFERROR(AP59,IFERROR(AQ59,IFERROR(AR59,AS59)))</f>
        <v>169.03800000000001</v>
      </c>
      <c r="AU59" s="81"/>
    </row>
    <row r="60" spans="1:47" x14ac:dyDescent="0.25">
      <c r="A60" s="84">
        <f>A59+1</f>
        <v>7</v>
      </c>
      <c r="B60" s="84">
        <f t="shared" si="11"/>
        <v>4</v>
      </c>
      <c r="F60" s="82">
        <f>SUM(F57:F59)</f>
        <v>73.460000000000008</v>
      </c>
      <c r="H60" s="82">
        <f>SUM(H57:H59)</f>
        <v>220.42000000000002</v>
      </c>
      <c r="I60" s="84" t="str">
        <f>CONCATENATE("m'(",C59,")=")</f>
        <v>m'(4)=</v>
      </c>
      <c r="J60" s="84">
        <f>2*(J57*(WLS))/3*H60</f>
        <v>476.10720000000009</v>
      </c>
      <c r="K60" s="84" t="str">
        <f>CONCATENATE("M(",C57,")=")</f>
        <v>M(2)=</v>
      </c>
      <c r="L60" s="84">
        <f>VLOOKUP(C57,STN_TABLE,4,FALSE)</f>
        <v>152.49600000000001</v>
      </c>
      <c r="M60" t="str">
        <f>CONCATENATE("M(",C59,")=")</f>
        <v>M(4)=</v>
      </c>
      <c r="N60">
        <f>J60+L60</f>
        <v>628.60320000000013</v>
      </c>
      <c r="O60" s="99">
        <f>O59+1</f>
        <v>9</v>
      </c>
      <c r="P60" s="99">
        <f t="shared" si="10"/>
        <v>5.6111111111111107</v>
      </c>
      <c r="T60" s="89">
        <f>SUM(T57:T59)</f>
        <v>147</v>
      </c>
      <c r="V60" s="82">
        <f>SUM(V57:V59)</f>
        <v>147</v>
      </c>
      <c r="W60" s="84" t="str">
        <f>CONCATENATE("m'(",Q58,")=")</f>
        <v>m'(4)=</v>
      </c>
      <c r="X60" s="84">
        <f>(2*(X57^2)/24*V60)+(X59*Q57*WLS)</f>
        <v>277.83000000000004</v>
      </c>
      <c r="Y60" s="84" t="str">
        <f>CONCATENATE("M(",Q57,")=")</f>
        <v>M(3)=</v>
      </c>
      <c r="Z60" s="84">
        <f>VLOOKUP(Q57,STN_TABLE,4,FALSE)</f>
        <v>351.02160000000003</v>
      </c>
      <c r="AA60" t="str">
        <f>CONCATENATE("M(",Q58,")=")</f>
        <v>M(4)=</v>
      </c>
      <c r="AB60">
        <f>X60+Z60</f>
        <v>628.85160000000008</v>
      </c>
      <c r="AE60" s="89">
        <f>SUM(AE58:AE59)</f>
        <v>24.5</v>
      </c>
      <c r="AG60" s="89">
        <f>SUM(AG58:AG59)</f>
        <v>36.75</v>
      </c>
      <c r="AH60" s="84" t="str">
        <f>CONCATENATE("m'(",AD59,")=")</f>
        <v>m'(4)=</v>
      </c>
      <c r="AI60" s="84">
        <f>(2*(AI57^2)/6*AG60)+(AI59*AD58*WLS)</f>
        <v>277.83000000000004</v>
      </c>
      <c r="AJ60" s="84" t="str">
        <f>CONCATENATE("M(",AD58,")=")</f>
        <v>M(3)=</v>
      </c>
      <c r="AK60" s="84">
        <f>VLOOKUP(AD57,STN_TABLE,4,FALSE)</f>
        <v>0</v>
      </c>
      <c r="AL60" t="str">
        <f>CONCATENATE("M(",AD59,")=")</f>
        <v>M(4)=</v>
      </c>
      <c r="AM60">
        <f>AI60+AK60</f>
        <v>277.83000000000004</v>
      </c>
      <c r="AO60" s="82" t="str">
        <f>AA60</f>
        <v>M(4)=</v>
      </c>
      <c r="AP60" s="82" t="e">
        <f>VLOOKUP(AO60,Rise_Results,2,FALSE)</f>
        <v>#N/A</v>
      </c>
      <c r="AQ60" s="82">
        <f>N60</f>
        <v>628.60320000000013</v>
      </c>
      <c r="AR60" s="82">
        <f>IF(OR(AB59&lt;=0,AB60&lt;=0),1/0,AB60)</f>
        <v>628.85160000000008</v>
      </c>
      <c r="AS60" s="82">
        <f>AM60</f>
        <v>277.83000000000004</v>
      </c>
      <c r="AT60">
        <f>IFERROR(AP60,IFERROR(AQ60,IFERROR(AR60,AS60)))</f>
        <v>628.60320000000013</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12.25</v>
      </c>
      <c r="E62" s="102">
        <v>1</v>
      </c>
      <c r="F62" s="68">
        <f>D62*E62</f>
        <v>12.25</v>
      </c>
      <c r="G62" s="69">
        <f>C62</f>
        <v>3</v>
      </c>
      <c r="H62" s="69">
        <f>F62*G62</f>
        <v>36.75</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12.25</v>
      </c>
      <c r="S62" s="69">
        <v>5</v>
      </c>
      <c r="T62" s="68">
        <f>R62*S62</f>
        <v>61.25</v>
      </c>
      <c r="U62" s="79">
        <v>3</v>
      </c>
      <c r="V62" s="68">
        <f>R62*U62</f>
        <v>36.75</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12.25</v>
      </c>
      <c r="E63" s="81">
        <v>4</v>
      </c>
      <c r="F63" s="76">
        <f>D63*E63</f>
        <v>49</v>
      </c>
      <c r="G63" s="77">
        <f>C63</f>
        <v>4</v>
      </c>
      <c r="H63" s="77">
        <f>F63*G63</f>
        <v>196</v>
      </c>
      <c r="I63" s="512" t="s">
        <v>97</v>
      </c>
      <c r="J63" s="513"/>
      <c r="K63" s="78" t="s">
        <v>98</v>
      </c>
      <c r="L63" s="78"/>
      <c r="M63" s="7" t="s">
        <v>99</v>
      </c>
      <c r="N63" s="7"/>
      <c r="O63" s="99">
        <f>O62+1</f>
        <v>8</v>
      </c>
      <c r="P63" s="99">
        <f t="shared" si="10"/>
        <v>5</v>
      </c>
      <c r="Q63" s="76">
        <f>P63</f>
        <v>5</v>
      </c>
      <c r="R63" s="77">
        <f>VLOOKUP(Q63,STN_TABLE,2,FALSE)</f>
        <v>12.25</v>
      </c>
      <c r="S63" s="77">
        <v>8</v>
      </c>
      <c r="T63" s="76">
        <f>R63*S63</f>
        <v>98</v>
      </c>
      <c r="U63" s="80">
        <v>10</v>
      </c>
      <c r="V63" s="76">
        <f>R63*U63</f>
        <v>122.5</v>
      </c>
      <c r="W63" s="513" t="s">
        <v>97</v>
      </c>
      <c r="X63" s="513"/>
      <c r="Y63" s="513" t="s">
        <v>98</v>
      </c>
      <c r="Z63" s="513"/>
      <c r="AA63" s="511" t="s">
        <v>99</v>
      </c>
      <c r="AB63" s="511"/>
      <c r="AC63" s="99">
        <f>AC58+1</f>
        <v>7</v>
      </c>
      <c r="AD63" s="95">
        <f>VLOOKUP(AC63,STN_TABLE_2,2,FALSE)</f>
        <v>4</v>
      </c>
      <c r="AE63" s="68">
        <f>VLOOKUP(AD63,STN_TABLE,2,FALSE)</f>
        <v>12.25</v>
      </c>
      <c r="AF63" s="68">
        <v>1</v>
      </c>
      <c r="AG63" s="69">
        <f>AE63*AF63</f>
        <v>12.25</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12.25</v>
      </c>
      <c r="E64" s="92">
        <v>1</v>
      </c>
      <c r="F64" s="82">
        <f>D64*E64</f>
        <v>12.25</v>
      </c>
      <c r="G64" s="83">
        <f>C64</f>
        <v>5</v>
      </c>
      <c r="H64" s="83">
        <f>F64*G64</f>
        <v>61.25</v>
      </c>
      <c r="I64" s="84" t="str">
        <f>CONCATENATE("a'(",C64,")=")</f>
        <v>a'(5)=</v>
      </c>
      <c r="J64" s="84">
        <f>2*J62/3*F65</f>
        <v>88.2</v>
      </c>
      <c r="K64" s="84" t="str">
        <f>CONCATENATE("A(",C62,")=")</f>
        <v>A(3)=</v>
      </c>
      <c r="L64" s="84">
        <f>VLOOKUP(C62,STN_TABLE,3,FALSE)</f>
        <v>124.94400000000002</v>
      </c>
      <c r="M64" t="str">
        <f>CONCATENATE("A(",C64,")=")</f>
        <v>A(5)=</v>
      </c>
      <c r="N64">
        <f>J64+L64</f>
        <v>213.14400000000001</v>
      </c>
      <c r="O64" s="99">
        <f>O63+1</f>
        <v>9</v>
      </c>
      <c r="P64" s="99">
        <f t="shared" si="10"/>
        <v>5.6111111111111107</v>
      </c>
      <c r="Q64" s="82">
        <f>IF(P64-P63=P63-P62,P64,IF(P65-P63=P63-P62,P65,IF(P64-P63=P63-P61,P64,IF(P65-P63=P63-P61,P65,"-"))))</f>
        <v>6</v>
      </c>
      <c r="R64" s="83">
        <f>VLOOKUP(Q64,STN_TABLE,2,FALSE)</f>
        <v>12.25</v>
      </c>
      <c r="S64" s="83">
        <v>-1</v>
      </c>
      <c r="T64" s="82">
        <f>R64*S64</f>
        <v>-12.25</v>
      </c>
      <c r="U64" s="88">
        <v>-1</v>
      </c>
      <c r="V64" s="82">
        <f>R64*U64</f>
        <v>-12.25</v>
      </c>
      <c r="W64" s="84" t="str">
        <f>CONCATENATE("a'(",Q63,")=")</f>
        <v>a'(5)=</v>
      </c>
      <c r="X64" s="84">
        <f>2*X62/12*T65</f>
        <v>44.1</v>
      </c>
      <c r="Y64" s="84" t="str">
        <f>CONCATENATE("A(",Q62,")=")</f>
        <v>A(4)=</v>
      </c>
      <c r="Z64" s="84">
        <f>VLOOKUP(Q62,STN_TABLE,3,FALSE)</f>
        <v>169.03800000000001</v>
      </c>
      <c r="AA64" t="str">
        <f>CONCATENATE("A(",Q63,")=")</f>
        <v>A(5)=</v>
      </c>
      <c r="AB64">
        <f>X64+Z64</f>
        <v>213.13800000000001</v>
      </c>
      <c r="AC64" s="99">
        <f>AC63+1</f>
        <v>8</v>
      </c>
      <c r="AD64" s="100">
        <f>VLOOKUP(AC64,STN_TABLE_2,2,FALSE)</f>
        <v>5</v>
      </c>
      <c r="AE64" s="82">
        <f>VLOOKUP(AD64,STN_TABLE,2,FALSE)</f>
        <v>12.25</v>
      </c>
      <c r="AF64" s="82">
        <v>2</v>
      </c>
      <c r="AG64" s="83">
        <f>AE64*AF64</f>
        <v>24.5</v>
      </c>
      <c r="AH64" s="84" t="str">
        <f>CONCATENATE("a'(",AD64,")=")</f>
        <v>a'(5)=</v>
      </c>
      <c r="AI64" s="84">
        <f>2*AI62/2*AE65</f>
        <v>44.1</v>
      </c>
      <c r="AJ64" s="84" t="str">
        <f>CONCATENATE("A(",AD63,")=")</f>
        <v>A(4)=</v>
      </c>
      <c r="AK64" s="84">
        <f>VLOOKUP(AD63,STN_TABLE,3,FALSE)</f>
        <v>169.03800000000001</v>
      </c>
      <c r="AL64" t="str">
        <f>CONCATENATE("A(",AD64,")=")</f>
        <v>A(5)=</v>
      </c>
      <c r="AM64">
        <f>AI64+AK64</f>
        <v>213.13800000000001</v>
      </c>
      <c r="AO64" s="68" t="str">
        <f>AA64</f>
        <v>A(5)=</v>
      </c>
      <c r="AP64" s="68" t="e">
        <f>VLOOKUP(AO64,Rise_Results,2,FALSE)</f>
        <v>#N/A</v>
      </c>
      <c r="AQ64" s="76">
        <f>N64</f>
        <v>213.14400000000001</v>
      </c>
      <c r="AR64" s="76">
        <f>IF(OR(AB64&lt;=0,AB65&lt;=0),1/0,AB64)</f>
        <v>213.13800000000001</v>
      </c>
      <c r="AS64" s="76">
        <f>AM64</f>
        <v>213.13800000000001</v>
      </c>
      <c r="AT64">
        <f>IFERROR(AP64,IFERROR(AQ64,IFERROR(AR64,AS64)))</f>
        <v>213.14400000000001</v>
      </c>
      <c r="AU64" s="81"/>
    </row>
    <row r="65" spans="1:47" x14ac:dyDescent="0.25">
      <c r="A65" s="84">
        <f>A64+1</f>
        <v>8</v>
      </c>
      <c r="B65" s="84">
        <f t="shared" si="11"/>
        <v>5</v>
      </c>
      <c r="F65" s="82">
        <f>SUM(F62:F64)</f>
        <v>73.5</v>
      </c>
      <c r="H65" s="82">
        <f>SUM(H62:H64)</f>
        <v>294</v>
      </c>
      <c r="I65" s="84" t="str">
        <f>CONCATENATE("m'(",C64,")=")</f>
        <v>m'(5)=</v>
      </c>
      <c r="J65" s="84">
        <f>2*(J62*(WLS))/3*H65</f>
        <v>635.04000000000008</v>
      </c>
      <c r="K65" s="84" t="str">
        <f>CONCATENATE("M(",C62,")=")</f>
        <v>M(3)=</v>
      </c>
      <c r="L65" s="84">
        <f>VLOOKUP(C62,STN_TABLE,4,FALSE)</f>
        <v>351.02160000000003</v>
      </c>
      <c r="M65" t="str">
        <f>CONCATENATE("M(",C64,")=")</f>
        <v>M(5)=</v>
      </c>
      <c r="N65">
        <f>J65+L65</f>
        <v>986.06160000000011</v>
      </c>
      <c r="O65" s="99">
        <f>O64+1</f>
        <v>10</v>
      </c>
      <c r="P65" s="99">
        <f t="shared" si="10"/>
        <v>6</v>
      </c>
      <c r="T65" s="89">
        <f>SUM(T62:T64)</f>
        <v>147</v>
      </c>
      <c r="V65" s="82">
        <f>SUM(V62:V64)</f>
        <v>147</v>
      </c>
      <c r="W65" s="84" t="str">
        <f>CONCATENATE("m'(",Q63,")=")</f>
        <v>m'(5)=</v>
      </c>
      <c r="X65" s="84">
        <f>(2*(X62^2)/24*V65)+(X64*Q62*WLS)</f>
        <v>357.21000000000004</v>
      </c>
      <c r="Y65" s="84" t="str">
        <f>CONCATENATE("M(",Q62,")=")</f>
        <v>M(4)=</v>
      </c>
      <c r="Z65" s="84">
        <f>VLOOKUP(Q62,STN_TABLE,4,FALSE)</f>
        <v>628.60320000000013</v>
      </c>
      <c r="AA65" t="str">
        <f>CONCATENATE("M(",Q63,")=")</f>
        <v>M(5)=</v>
      </c>
      <c r="AB65">
        <f>X65+Z65</f>
        <v>985.81320000000017</v>
      </c>
      <c r="AE65" s="89">
        <f>SUM(AE63:AE64)</f>
        <v>24.5</v>
      </c>
      <c r="AG65" s="89">
        <f>SUM(AG63:AG64)</f>
        <v>36.75</v>
      </c>
      <c r="AH65" s="84" t="str">
        <f>CONCATENATE("m'(",AD64,")=")</f>
        <v>m'(5)=</v>
      </c>
      <c r="AI65" s="84">
        <f>(2*(AI62^2)/6*AG65)+(AI64*AD63*WLS)</f>
        <v>357.21000000000004</v>
      </c>
      <c r="AJ65" s="84" t="str">
        <f>CONCATENATE("M(",AD63,")=")</f>
        <v>M(4)=</v>
      </c>
      <c r="AK65" s="84">
        <f>VLOOKUP(AD63,STN_TABLE,4,FALSE)</f>
        <v>628.60320000000013</v>
      </c>
      <c r="AL65" t="str">
        <f>CONCATENATE("M(",AD64,")=")</f>
        <v>M(5)=</v>
      </c>
      <c r="AM65">
        <f>AI65+AK65</f>
        <v>985.81320000000017</v>
      </c>
      <c r="AO65" s="82" t="str">
        <f>AA65</f>
        <v>M(5)=</v>
      </c>
      <c r="AP65" s="82" t="e">
        <f>VLOOKUP(AO65,Rise_Results,2,FALSE)</f>
        <v>#N/A</v>
      </c>
      <c r="AQ65" s="82">
        <f>N65</f>
        <v>986.06160000000011</v>
      </c>
      <c r="AR65" s="82">
        <f>IF(OR(AB64&lt;=0,AB65&lt;=0),1/0,AB65)</f>
        <v>985.81320000000017</v>
      </c>
      <c r="AS65" s="82">
        <f>AM65</f>
        <v>985.81320000000017</v>
      </c>
      <c r="AT65">
        <f>IFERROR(AP65,IFERROR(AQ65,IFERROR(AR65,AS65)))</f>
        <v>986.06160000000011</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12.25</v>
      </c>
      <c r="S68" s="77">
        <v>8</v>
      </c>
      <c r="T68" s="76">
        <f>R68*S68</f>
        <v>98</v>
      </c>
      <c r="U68" s="80">
        <v>10</v>
      </c>
      <c r="V68" s="76">
        <f>R68*U68</f>
        <v>122.5</v>
      </c>
      <c r="W68" s="513" t="s">
        <v>97</v>
      </c>
      <c r="X68" s="513"/>
      <c r="Y68" s="513" t="s">
        <v>98</v>
      </c>
      <c r="Z68" s="513"/>
      <c r="AA68" s="511" t="s">
        <v>99</v>
      </c>
      <c r="AB68" s="511"/>
      <c r="AC68" s="99">
        <f>AC63+1</f>
        <v>8</v>
      </c>
      <c r="AD68" s="95">
        <f>VLOOKUP(AC68,STN_TABLE_2,2,FALSE)</f>
        <v>5</v>
      </c>
      <c r="AE68" s="68">
        <f>VLOOKUP(AD68,STN_TABLE,2,FALSE)</f>
        <v>12.25</v>
      </c>
      <c r="AF68" s="68">
        <v>1</v>
      </c>
      <c r="AG68" s="69">
        <f>AE68*AF68</f>
        <v>12.25</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12.25</v>
      </c>
      <c r="E69" s="92">
        <v>1</v>
      </c>
      <c r="F69" s="82">
        <f>D69*E69</f>
        <v>12.25</v>
      </c>
      <c r="G69" s="83">
        <f>C69</f>
        <v>5.6111111111111107</v>
      </c>
      <c r="H69" s="83">
        <f>F69*G69</f>
        <v>68.7361111111111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12.25</v>
      </c>
      <c r="AF69" s="82">
        <v>2</v>
      </c>
      <c r="AG69" s="83">
        <f>AE69*AF69</f>
        <v>24.5</v>
      </c>
      <c r="AH69" s="84" t="str">
        <f>CONCATENATE("a'(",AD69,")=")</f>
        <v>a'(5.61111111111111)=</v>
      </c>
      <c r="AI69" s="84">
        <f>2*AI67/2*AE70</f>
        <v>26.949999999999985</v>
      </c>
      <c r="AJ69" s="84" t="str">
        <f>CONCATENATE("A(",AD68,")=")</f>
        <v>A(5)=</v>
      </c>
      <c r="AK69" s="84">
        <f>VLOOKUP(AD68,STN_TABLE,3,FALSE)</f>
        <v>213.14400000000001</v>
      </c>
      <c r="AL69" t="str">
        <f>CONCATENATE("A(",AD69,")=")</f>
        <v>A(5.61111111111111)=</v>
      </c>
      <c r="AM69">
        <f>AI69+AK69</f>
        <v>240.09399999999999</v>
      </c>
      <c r="AO69" s="68" t="str">
        <f>AA69</f>
        <v>A(5.61111111111111)=</v>
      </c>
      <c r="AP69" s="68" t="e">
        <f>VLOOKUP(AO69,Rise_Results,2,FALSE)</f>
        <v>#N/A</v>
      </c>
      <c r="AQ69" s="76" t="e">
        <f>N69</f>
        <v>#N/A</v>
      </c>
      <c r="AR69" s="76" t="e">
        <f>IF(OR(AB69&lt;=0,AB70&lt;=0),1/0,AB69)</f>
        <v>#VALUE!</v>
      </c>
      <c r="AS69" s="76">
        <f>AM69</f>
        <v>240.09399999999999</v>
      </c>
      <c r="AT69">
        <f>IFERROR(AP69,IFERROR(AQ69,IFERROR(AR69,AS69)))</f>
        <v>240.09399999999999</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24.5</v>
      </c>
      <c r="AG70" s="89">
        <f>SUM(AG68:AG69)</f>
        <v>36.75</v>
      </c>
      <c r="AH70" s="84" t="str">
        <f>CONCATENATE("m'(",AD69,")=")</f>
        <v>m'(5.61111111111111)=</v>
      </c>
      <c r="AI70" s="84">
        <f>(2*(AI67^2)/6*AG70)+(AI69*AD68*WLS)</f>
        <v>257.37249999999983</v>
      </c>
      <c r="AJ70" s="84" t="str">
        <f>CONCATENATE("M(",AD68,")=")</f>
        <v>M(5)=</v>
      </c>
      <c r="AK70" s="84">
        <f>VLOOKUP(AD68,STN_TABLE,4,FALSE)</f>
        <v>986.06160000000011</v>
      </c>
      <c r="AL70" t="str">
        <f>CONCATENATE("M(",AD69,")=")</f>
        <v>M(5.61111111111111)=</v>
      </c>
      <c r="AM70">
        <f>AI70+AK70</f>
        <v>1243.4340999999999</v>
      </c>
      <c r="AO70" s="82" t="str">
        <f>AA70</f>
        <v>M(5.61111111111111)=</v>
      </c>
      <c r="AP70" s="82" t="e">
        <f>VLOOKUP(AO70,Rise_Results,2,FALSE)</f>
        <v>#N/A</v>
      </c>
      <c r="AQ70" s="82" t="e">
        <f>N70</f>
        <v>#N/A</v>
      </c>
      <c r="AR70" s="82" t="e">
        <f>IF(OR(AB69&lt;=0,AB70&lt;=0),1/0,AB70)</f>
        <v>#VALUE!</v>
      </c>
      <c r="AS70" s="82">
        <f>AM70</f>
        <v>1243.4340999999999</v>
      </c>
      <c r="AT70">
        <f>IFERROR(AP70,IFERROR(AQ70,IFERROR(AR70,AS70)))</f>
        <v>1243.4340999999999</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12.25</v>
      </c>
      <c r="E72" s="102">
        <v>1</v>
      </c>
      <c r="F72" s="68">
        <f>D72*E72</f>
        <v>12.25</v>
      </c>
      <c r="G72" s="69">
        <f>C72</f>
        <v>4</v>
      </c>
      <c r="H72" s="69">
        <f>F72*G72</f>
        <v>49</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12.25</v>
      </c>
      <c r="S72" s="69">
        <v>5</v>
      </c>
      <c r="T72" s="68">
        <f>R72*S72</f>
        <v>61.25</v>
      </c>
      <c r="U72" s="79">
        <v>3</v>
      </c>
      <c r="V72" s="68">
        <f>R72*U72</f>
        <v>36.75</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12.25</v>
      </c>
      <c r="E73" s="81">
        <v>4</v>
      </c>
      <c r="F73" s="76">
        <f>D73*E73</f>
        <v>49</v>
      </c>
      <c r="G73" s="77">
        <f>C73</f>
        <v>5</v>
      </c>
      <c r="H73" s="77">
        <f>F73*G73</f>
        <v>245</v>
      </c>
      <c r="I73" s="512" t="s">
        <v>97</v>
      </c>
      <c r="J73" s="513"/>
      <c r="K73" s="78" t="s">
        <v>98</v>
      </c>
      <c r="L73" s="78"/>
      <c r="M73" s="7" t="s">
        <v>99</v>
      </c>
      <c r="N73" s="7"/>
      <c r="O73" s="99">
        <f>O72+1</f>
        <v>10</v>
      </c>
      <c r="P73" s="99">
        <f t="shared" si="23"/>
        <v>6</v>
      </c>
      <c r="Q73" s="76">
        <f>P73</f>
        <v>6</v>
      </c>
      <c r="R73" s="77">
        <f>VLOOKUP(Q73,STN_TABLE,2,FALSE)</f>
        <v>12.25</v>
      </c>
      <c r="S73" s="77">
        <v>8</v>
      </c>
      <c r="T73" s="76">
        <f>R73*S73</f>
        <v>98</v>
      </c>
      <c r="U73" s="80">
        <v>10</v>
      </c>
      <c r="V73" s="76">
        <f>R73*U73</f>
        <v>122.5</v>
      </c>
      <c r="W73" s="513" t="s">
        <v>97</v>
      </c>
      <c r="X73" s="513"/>
      <c r="Y73" s="513" t="s">
        <v>98</v>
      </c>
      <c r="Z73" s="513"/>
      <c r="AA73" s="511" t="s">
        <v>99</v>
      </c>
      <c r="AB73" s="511"/>
      <c r="AC73" s="99">
        <f>AC68+1</f>
        <v>9</v>
      </c>
      <c r="AD73" s="95">
        <f>VLOOKUP(AC73,STN_TABLE_2,2,FALSE)</f>
        <v>5.6111111111111107</v>
      </c>
      <c r="AE73" s="68">
        <f>VLOOKUP(AD73,STN_TABLE,2,FALSE)</f>
        <v>12.25</v>
      </c>
      <c r="AF73" s="68">
        <v>1</v>
      </c>
      <c r="AG73" s="69">
        <f>AE73*AF73</f>
        <v>12.25</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12.25</v>
      </c>
      <c r="E74" s="92">
        <v>1</v>
      </c>
      <c r="F74" s="82">
        <f>D74*E74</f>
        <v>12.25</v>
      </c>
      <c r="G74" s="83">
        <f>C74</f>
        <v>6</v>
      </c>
      <c r="H74" s="83">
        <f>F74*G74</f>
        <v>73.5</v>
      </c>
      <c r="I74" s="84" t="str">
        <f>CONCATENATE("a'(",C74,")=")</f>
        <v>a'(6)=</v>
      </c>
      <c r="J74" s="84">
        <f>2*J72/3*F75</f>
        <v>88.2</v>
      </c>
      <c r="K74" s="84" t="str">
        <f>CONCATENATE("A(",C72,")=")</f>
        <v>A(4)=</v>
      </c>
      <c r="L74" s="84">
        <f>VLOOKUP(C72,STN_TABLE,3,FALSE)</f>
        <v>169.03800000000001</v>
      </c>
      <c r="M74" t="str">
        <f>CONCATENATE("A(",C74,")=")</f>
        <v>A(6)=</v>
      </c>
      <c r="N74">
        <f>J74+L74</f>
        <v>257.238</v>
      </c>
      <c r="O74" s="99">
        <f>O73+1</f>
        <v>11</v>
      </c>
      <c r="P74" s="99">
        <f t="shared" si="23"/>
        <v>7</v>
      </c>
      <c r="Q74" s="82">
        <f>IF(P74-P73=P73-P72,P74,IF(P75-P73=P73-P72,P75,IF(P74-P73=P73-P71,P74,IF(P75-P73=P73-P71,P75,"-"))))</f>
        <v>7</v>
      </c>
      <c r="R74" s="83">
        <f>VLOOKUP(Q74,STN_TABLE,2,FALSE)</f>
        <v>12.25</v>
      </c>
      <c r="S74" s="83">
        <v>-1</v>
      </c>
      <c r="T74" s="82">
        <f>R74*S74</f>
        <v>-12.25</v>
      </c>
      <c r="U74" s="88">
        <v>-1</v>
      </c>
      <c r="V74" s="82">
        <f>R74*U74</f>
        <v>-12.25</v>
      </c>
      <c r="W74" s="84" t="str">
        <f>CONCATENATE("a'(",Q73,")=")</f>
        <v>a'(6)=</v>
      </c>
      <c r="X74" s="84">
        <f>2*X72/12*T75</f>
        <v>44.1</v>
      </c>
      <c r="Y74" s="84" t="str">
        <f>CONCATENATE("A(",Q72,")=")</f>
        <v>A(5)=</v>
      </c>
      <c r="Z74" s="84">
        <f>VLOOKUP(Q72,STN_TABLE,3,FALSE)</f>
        <v>213.14400000000001</v>
      </c>
      <c r="AA74" t="str">
        <f>CONCATENATE("A(",Q73,")=")</f>
        <v>A(6)=</v>
      </c>
      <c r="AB74">
        <f>X74+Z74</f>
        <v>257.24400000000003</v>
      </c>
      <c r="AC74" s="99">
        <f>AC73+1</f>
        <v>10</v>
      </c>
      <c r="AD74" s="100">
        <f>VLOOKUP(AC74,STN_TABLE_2,2,FALSE)</f>
        <v>6</v>
      </c>
      <c r="AE74" s="82">
        <f>VLOOKUP(AD74,STN_TABLE,2,FALSE)</f>
        <v>12.25</v>
      </c>
      <c r="AF74" s="82">
        <v>2</v>
      </c>
      <c r="AG74" s="83">
        <f>AE74*AF74</f>
        <v>24.5</v>
      </c>
      <c r="AH74" s="84" t="str">
        <f>CONCATENATE("a'(",AD74,")=")</f>
        <v>a'(6)=</v>
      </c>
      <c r="AI74" s="84">
        <f>2*AI72/2*AE75</f>
        <v>17.150000000000016</v>
      </c>
      <c r="AJ74" s="84" t="str">
        <f>CONCATENATE("A(",AD73,")=")</f>
        <v>A(5.61111111111111)=</v>
      </c>
      <c r="AK74" s="84">
        <f>VLOOKUP(AD73,STN_TABLE,3,FALSE)</f>
        <v>240.09399999999999</v>
      </c>
      <c r="AL74" t="str">
        <f>CONCATENATE("A(",AD74,")=")</f>
        <v>A(6)=</v>
      </c>
      <c r="AM74">
        <f>AI74+AK74</f>
        <v>257.24400000000003</v>
      </c>
      <c r="AO74" s="68" t="str">
        <f>AA74</f>
        <v>A(6)=</v>
      </c>
      <c r="AP74" s="68" t="e">
        <f>VLOOKUP(AO74,Rise_Results,2,FALSE)</f>
        <v>#N/A</v>
      </c>
      <c r="AQ74" s="76">
        <f>N74</f>
        <v>257.238</v>
      </c>
      <c r="AR74" s="76">
        <f>IF(OR(AB74&lt;=0,AB75&lt;=0),1/0,AB74)</f>
        <v>257.24400000000003</v>
      </c>
      <c r="AS74" s="76">
        <f>AM74</f>
        <v>257.24400000000003</v>
      </c>
      <c r="AT74">
        <f>IFERROR(AP74,IFERROR(AQ74,IFERROR(AR74,AS74)))</f>
        <v>257.238</v>
      </c>
      <c r="AU74" s="81"/>
    </row>
    <row r="75" spans="1:47" x14ac:dyDescent="0.25">
      <c r="A75" s="84">
        <f>A74+1</f>
        <v>10</v>
      </c>
      <c r="B75" s="84">
        <f t="shared" si="27"/>
        <v>6</v>
      </c>
      <c r="F75" s="82">
        <f>SUM(F72:F74)</f>
        <v>73.5</v>
      </c>
      <c r="H75" s="82">
        <f>SUM(H72:H74)</f>
        <v>367.5</v>
      </c>
      <c r="I75" s="84" t="str">
        <f>CONCATENATE("m'(",C74,")=")</f>
        <v>m'(6)=</v>
      </c>
      <c r="J75" s="84">
        <f>2*(J72*(WLS))/3*H75</f>
        <v>793.80000000000007</v>
      </c>
      <c r="K75" s="84" t="str">
        <f>CONCATENATE("M(",C72,")=")</f>
        <v>M(4)=</v>
      </c>
      <c r="L75" s="84">
        <f>VLOOKUP(C72,STN_TABLE,4,FALSE)</f>
        <v>628.60320000000013</v>
      </c>
      <c r="M75" t="str">
        <f>CONCATENATE("M(",C74,")=")</f>
        <v>M(6)=</v>
      </c>
      <c r="N75">
        <f>J75+L75</f>
        <v>1422.4032000000002</v>
      </c>
      <c r="O75" s="99">
        <f>O74+1</f>
        <v>12</v>
      </c>
      <c r="P75" s="99">
        <f t="shared" si="23"/>
        <v>7.8833333333333329</v>
      </c>
      <c r="T75" s="89">
        <f>SUM(T72:T74)</f>
        <v>147</v>
      </c>
      <c r="V75" s="82">
        <f>SUM(V72:V74)</f>
        <v>147</v>
      </c>
      <c r="W75" s="84" t="str">
        <f>CONCATENATE("m'(",Q73,")=")</f>
        <v>m'(6)=</v>
      </c>
      <c r="X75" s="84">
        <f>(2*(X72^2)/24*V75)+(X74*Q72*WLS)</f>
        <v>436.59000000000003</v>
      </c>
      <c r="Y75" s="84" t="str">
        <f>CONCATENATE("M(",Q72,")=")</f>
        <v>M(5)=</v>
      </c>
      <c r="Z75" s="84">
        <f>VLOOKUP(Q72,STN_TABLE,4,FALSE)</f>
        <v>986.06160000000011</v>
      </c>
      <c r="AA75" t="str">
        <f>CONCATENATE("M(",Q73,")=")</f>
        <v>M(6)=</v>
      </c>
      <c r="AB75">
        <f>X75+Z75</f>
        <v>1422.6516000000001</v>
      </c>
      <c r="AE75" s="89">
        <f>SUM(AE73:AE74)</f>
        <v>24.5</v>
      </c>
      <c r="AG75" s="89">
        <f>SUM(AG73:AG74)</f>
        <v>36.75</v>
      </c>
      <c r="AH75" s="84" t="str">
        <f>CONCATENATE("m'(",AD74,")=")</f>
        <v>m'(6)=</v>
      </c>
      <c r="AI75" s="84">
        <f>(2*(AI72^2)/6*AG75)+(AI74*AD73*WLS)</f>
        <v>179.21750000000017</v>
      </c>
      <c r="AJ75" s="84" t="str">
        <f>CONCATENATE("M(",AD73,")=")</f>
        <v>M(5.61111111111111)=</v>
      </c>
      <c r="AK75" s="84">
        <f>VLOOKUP(AD73,STN_TABLE,4,FALSE)</f>
        <v>1243.4340999999999</v>
      </c>
      <c r="AL75" t="str">
        <f>CONCATENATE("M(",AD74,")=")</f>
        <v>M(6)=</v>
      </c>
      <c r="AM75">
        <f>AI75+AK75</f>
        <v>1422.6516000000001</v>
      </c>
      <c r="AO75" s="82" t="str">
        <f>AA75</f>
        <v>M(6)=</v>
      </c>
      <c r="AP75" s="82" t="e">
        <f>VLOOKUP(AO75,Rise_Results,2,FALSE)</f>
        <v>#N/A</v>
      </c>
      <c r="AQ75" s="82">
        <f>N75</f>
        <v>1422.4032000000002</v>
      </c>
      <c r="AR75" s="82">
        <f>IF(OR(AB74&lt;=0,AB75&lt;=0),1/0,AB75)</f>
        <v>1422.6516000000001</v>
      </c>
      <c r="AS75" s="82">
        <f>AM75</f>
        <v>1422.6516000000001</v>
      </c>
      <c r="AT75">
        <f>IFERROR(AP75,IFERROR(AQ75,IFERROR(AR75,AS75)))</f>
        <v>1422.4032000000002</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12.25</v>
      </c>
      <c r="E77" s="102">
        <v>1</v>
      </c>
      <c r="F77" s="68">
        <f>D77*E77</f>
        <v>12.25</v>
      </c>
      <c r="G77" s="69">
        <f>C77</f>
        <v>5</v>
      </c>
      <c r="H77" s="69">
        <f>F77*G77</f>
        <v>61.25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12.25</v>
      </c>
      <c r="E78" s="81">
        <v>4</v>
      </c>
      <c r="F78" s="76">
        <f>D78*E78</f>
        <v>49</v>
      </c>
      <c r="G78" s="77">
        <f>C78</f>
        <v>6</v>
      </c>
      <c r="H78" s="77">
        <f>F78*G78</f>
        <v>294</v>
      </c>
      <c r="I78" s="512" t="s">
        <v>97</v>
      </c>
      <c r="J78" s="513"/>
      <c r="K78" s="78" t="s">
        <v>98</v>
      </c>
      <c r="L78" s="78"/>
      <c r="M78" s="7" t="s">
        <v>99</v>
      </c>
      <c r="N78" s="7"/>
      <c r="O78" s="99">
        <f>O77+1</f>
        <v>11</v>
      </c>
      <c r="P78" s="99">
        <f t="shared" si="23"/>
        <v>7</v>
      </c>
      <c r="Q78" s="76">
        <f>P78</f>
        <v>7</v>
      </c>
      <c r="R78" s="77">
        <f>VLOOKUP(Q78,STN_TABLE,2,FALSE)</f>
        <v>12.25</v>
      </c>
      <c r="S78" s="77">
        <v>8</v>
      </c>
      <c r="T78" s="76">
        <f>R78*S78</f>
        <v>98</v>
      </c>
      <c r="U78" s="80">
        <v>10</v>
      </c>
      <c r="V78" s="76">
        <f>R78*U78</f>
        <v>122.5</v>
      </c>
      <c r="W78" s="513" t="s">
        <v>97</v>
      </c>
      <c r="X78" s="513"/>
      <c r="Y78" s="513" t="s">
        <v>98</v>
      </c>
      <c r="Z78" s="513"/>
      <c r="AA78" s="511" t="s">
        <v>99</v>
      </c>
      <c r="AB78" s="511"/>
      <c r="AC78" s="99">
        <f>AC73+1</f>
        <v>10</v>
      </c>
      <c r="AD78" s="95">
        <f>VLOOKUP(AC78,STN_TABLE_2,2,FALSE)</f>
        <v>6</v>
      </c>
      <c r="AE78" s="68">
        <f>VLOOKUP(AD78,STN_TABLE,2,FALSE)</f>
        <v>12.25</v>
      </c>
      <c r="AF78" s="68">
        <v>1</v>
      </c>
      <c r="AG78" s="69">
        <f>AE78*AF78</f>
        <v>12.25</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12.25</v>
      </c>
      <c r="E79" s="92">
        <v>1</v>
      </c>
      <c r="F79" s="82">
        <f>D79*E79</f>
        <v>12.25</v>
      </c>
      <c r="G79" s="83">
        <f>C79</f>
        <v>7</v>
      </c>
      <c r="H79" s="83">
        <f>F79*G79</f>
        <v>85.75</v>
      </c>
      <c r="I79" s="84" t="str">
        <f>CONCATENATE("a'(",C79,")=")</f>
        <v>a'(7)=</v>
      </c>
      <c r="J79" s="84">
        <f>2*J77/3*F80</f>
        <v>88.2</v>
      </c>
      <c r="K79" s="84" t="str">
        <f>CONCATENATE("A(",C77,")=")</f>
        <v>A(5)=</v>
      </c>
      <c r="L79" s="84">
        <f>VLOOKUP(C77,STN_TABLE,3,FALSE)</f>
        <v>213.14400000000001</v>
      </c>
      <c r="M79" t="str">
        <f>CONCATENATE("A(",C79,")=")</f>
        <v>A(7)=</v>
      </c>
      <c r="N79">
        <f>J79+L79</f>
        <v>301.34399999999999</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12.25</v>
      </c>
      <c r="AF79" s="82">
        <v>2</v>
      </c>
      <c r="AG79" s="83">
        <f>AE79*AF79</f>
        <v>24.5</v>
      </c>
      <c r="AH79" s="84" t="str">
        <f>CONCATENATE("a'(",AD79,")=")</f>
        <v>a'(7)=</v>
      </c>
      <c r="AI79" s="84">
        <f>2*AI77/2*AE80</f>
        <v>44.1</v>
      </c>
      <c r="AJ79" s="84" t="str">
        <f>CONCATENATE("A(",AD78,")=")</f>
        <v>A(6)=</v>
      </c>
      <c r="AK79" s="84">
        <f>VLOOKUP(AD78,STN_TABLE,3,FALSE)</f>
        <v>257.238</v>
      </c>
      <c r="AL79" t="str">
        <f>CONCATENATE("A(",AD79,")=")</f>
        <v>A(7)=</v>
      </c>
      <c r="AM79">
        <f>AI79+AK79</f>
        <v>301.33800000000002</v>
      </c>
      <c r="AO79" s="68" t="str">
        <f>AA79</f>
        <v>A(7)=</v>
      </c>
      <c r="AP79" s="68" t="e">
        <f>VLOOKUP(AO79,Rise_Results,2,FALSE)</f>
        <v>#N/A</v>
      </c>
      <c r="AQ79" s="76">
        <f>N79</f>
        <v>301.34399999999999</v>
      </c>
      <c r="AR79" s="76" t="e">
        <f>IF(OR(AB79&lt;=0,AB80&lt;=0),1/0,AB79)</f>
        <v>#VALUE!</v>
      </c>
      <c r="AS79" s="76">
        <f>AM79</f>
        <v>301.33800000000002</v>
      </c>
      <c r="AT79">
        <f>IFERROR(AP79,IFERROR(AQ79,IFERROR(AR79,AS79)))</f>
        <v>301.34399999999999</v>
      </c>
      <c r="AU79" s="81"/>
    </row>
    <row r="80" spans="1:47" x14ac:dyDescent="0.25">
      <c r="A80" s="84">
        <f>A79+1</f>
        <v>11</v>
      </c>
      <c r="B80" s="84">
        <f t="shared" si="27"/>
        <v>7</v>
      </c>
      <c r="F80" s="82">
        <f>SUM(F77:F79)</f>
        <v>73.5</v>
      </c>
      <c r="H80" s="82">
        <f>SUM(H77:H79)</f>
        <v>441</v>
      </c>
      <c r="I80" s="84" t="str">
        <f>CONCATENATE("m'(",C79,")=")</f>
        <v>m'(7)=</v>
      </c>
      <c r="J80" s="84">
        <f>2*(J77*(WLS))/3*H80</f>
        <v>952.56000000000006</v>
      </c>
      <c r="K80" s="84" t="str">
        <f>CONCATENATE("M(",C77,")=")</f>
        <v>M(5)=</v>
      </c>
      <c r="L80" s="84">
        <f>VLOOKUP(C77,STN_TABLE,4,FALSE)</f>
        <v>986.06160000000011</v>
      </c>
      <c r="M80" t="str">
        <f>CONCATENATE("M(",C79,")=")</f>
        <v>M(7)=</v>
      </c>
      <c r="N80">
        <f>J80+L80</f>
        <v>1938.6216000000002</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24.5</v>
      </c>
      <c r="AG80" s="89">
        <f>SUM(AG78:AG79)</f>
        <v>36.75</v>
      </c>
      <c r="AH80" s="84" t="str">
        <f>CONCATENATE("m'(",AD79,")=")</f>
        <v>m'(7)=</v>
      </c>
      <c r="AI80" s="84">
        <f>(2*(AI77^2)/6*AG80)+(AI79*AD78*WLS)</f>
        <v>515.97</v>
      </c>
      <c r="AJ80" s="84" t="str">
        <f>CONCATENATE("M(",AD78,")=")</f>
        <v>M(6)=</v>
      </c>
      <c r="AK80" s="84">
        <f>VLOOKUP(AD78,STN_TABLE,4,FALSE)</f>
        <v>1422.4032000000002</v>
      </c>
      <c r="AL80" t="str">
        <f>CONCATENATE("M(",AD79,")=")</f>
        <v>M(7)=</v>
      </c>
      <c r="AM80">
        <f>AI80+AK80</f>
        <v>1938.3732000000002</v>
      </c>
      <c r="AO80" s="82" t="str">
        <f>AA80</f>
        <v>M(7)=</v>
      </c>
      <c r="AP80" s="82" t="e">
        <f>VLOOKUP(AO80,Rise_Results,2,FALSE)</f>
        <v>#N/A</v>
      </c>
      <c r="AQ80" s="82">
        <f>N80</f>
        <v>1938.6216000000002</v>
      </c>
      <c r="AR80" s="82" t="e">
        <f>IF(OR(AB79&lt;=0,AB80&lt;=0),1/0,AB80)</f>
        <v>#VALUE!</v>
      </c>
      <c r="AS80" s="82">
        <f>AM80</f>
        <v>1938.3732000000002</v>
      </c>
      <c r="AT80">
        <f>IFERROR(AP80,IFERROR(AQ80,IFERROR(AR80,AS80)))</f>
        <v>1938.6216000000002</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12.25</v>
      </c>
      <c r="AF83" s="68">
        <v>1</v>
      </c>
      <c r="AG83" s="69">
        <f>AE83*AF83</f>
        <v>12.25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38.954999999999977</v>
      </c>
      <c r="AJ84" s="84" t="str">
        <f>CONCATENATE("A(",AD83,")=")</f>
        <v>A(7)=</v>
      </c>
      <c r="AK84" s="84">
        <f>VLOOKUP(AD83,STN_TABLE,3,FALSE)</f>
        <v>301.34399999999999</v>
      </c>
      <c r="AL84" t="str">
        <f>CONCATENATE("A(",AD84,")=")</f>
        <v>A(7.88333333333333)=</v>
      </c>
      <c r="AM84">
        <f>AI84+AK84</f>
        <v>340.29899999999998</v>
      </c>
      <c r="AO84" s="68" t="str">
        <f>AA84</f>
        <v>A(7.88333333333333)=</v>
      </c>
      <c r="AP84" s="68" t="e">
        <f>VLOOKUP(AO84,Rise_Results,2,FALSE)</f>
        <v>#N/A</v>
      </c>
      <c r="AQ84" s="76" t="e">
        <f>N84</f>
        <v>#N/A</v>
      </c>
      <c r="AR84" s="76" t="e">
        <f>IF(OR(AB84&lt;=0,AB85&lt;=0),1/0,AB84)</f>
        <v>#VALUE!</v>
      </c>
      <c r="AS84" s="76">
        <f>AM84</f>
        <v>340.29899999999998</v>
      </c>
      <c r="AT84">
        <f>IFERROR(AP84,IFERROR(AQ84,IFERROR(AR84,AS84)))</f>
        <v>340.29899999999998</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24.5</v>
      </c>
      <c r="AG85" s="89">
        <f>SUM(AG83:AG84)</f>
        <v>36.75</v>
      </c>
      <c r="AH85" s="84" t="str">
        <f>CONCATENATE("m'(",AD84,")=")</f>
        <v>m'(7.88333333333333)=</v>
      </c>
      <c r="AI85" s="84">
        <f>(2*(AI82^2)/6*AG85)+(AI84*AD83*WLS)</f>
        <v>521.80222499999968</v>
      </c>
      <c r="AJ85" s="84" t="str">
        <f>CONCATENATE("M(",AD83,")=")</f>
        <v>M(7)=</v>
      </c>
      <c r="AK85" s="84">
        <f>VLOOKUP(AD83,STN_TABLE,4,FALSE)</f>
        <v>1938.6216000000002</v>
      </c>
      <c r="AL85" t="str">
        <f>CONCATENATE("M(",AD84,")=")</f>
        <v>M(7.88333333333333)=</v>
      </c>
      <c r="AM85">
        <f>AI85+AK85</f>
        <v>2460.4238249999999</v>
      </c>
      <c r="AO85" s="82" t="str">
        <f>AA85</f>
        <v>M(7.88333333333333)=</v>
      </c>
      <c r="AP85" s="82" t="e">
        <f>VLOOKUP(AO85,Rise_Results,2,FALSE)</f>
        <v>#N/A</v>
      </c>
      <c r="AQ85" s="82" t="e">
        <f>N85</f>
        <v>#N/A</v>
      </c>
      <c r="AR85" s="82" t="e">
        <f>IF(OR(AB84&lt;=0,AB85&lt;=0),1/0,AB85)</f>
        <v>#VALUE!</v>
      </c>
      <c r="AS85" s="82">
        <f>AM85</f>
        <v>2460.4238249999999</v>
      </c>
      <c r="AT85">
        <f>IFERROR(AP85,IFERROR(AQ85,IFERROR(AR85,AS85)))</f>
        <v>2460.4238249999999</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340.29899999999998</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2460.4238249999999</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10</v>
      </c>
      <c r="E1" s="511" t="s">
        <v>91</v>
      </c>
      <c r="F1" s="511"/>
      <c r="G1" t="str">
        <f>VLOOKUP(Station_No,RISE_CALC,2,FALSE)</f>
        <v>-</v>
      </c>
      <c r="L1" s="511" t="s">
        <v>92</v>
      </c>
      <c r="M1" s="511"/>
      <c r="N1">
        <v>13</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8.25</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10.84</v>
      </c>
      <c r="D5" s="81">
        <f t="shared" ref="D5:D28" si="4">IFERROR(VLOOKUP(CONCATENATE("A(",B5,")="),RESULT_TABLE,6,FALSE)," ")</f>
        <v>17.4315</v>
      </c>
      <c r="E5" s="77">
        <f t="shared" ref="E5:E28" si="5">IFERROR(VLOOKUP(CONCATENATE("M(",B5,")="),RESULT_TABLE,6,FALSE)," ")</f>
        <v>8.1938250000000004</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11.76</v>
      </c>
      <c r="D6" s="81">
        <f t="shared" si="4"/>
        <v>38.021999999999998</v>
      </c>
      <c r="E6" s="77">
        <f t="shared" si="5"/>
        <v>36.115200000000002</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12.14</v>
      </c>
      <c r="D7" s="81">
        <f t="shared" si="4"/>
        <v>59.443499999999993</v>
      </c>
      <c r="E7" s="77">
        <f t="shared" si="5"/>
        <v>84.517425000000017</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12.25</v>
      </c>
      <c r="D8" s="81">
        <f t="shared" si="4"/>
        <v>81.563999999999993</v>
      </c>
      <c r="E8" s="77">
        <f t="shared" si="5"/>
        <v>153.94320000000002</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12.25</v>
      </c>
      <c r="D9" s="81">
        <f t="shared" si="4"/>
        <v>125.63399999999999</v>
      </c>
      <c r="E9" s="77">
        <f t="shared" si="5"/>
        <v>352.57679999999999</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12.25</v>
      </c>
      <c r="D10" s="81">
        <f t="shared" si="4"/>
        <v>169.76400000000001</v>
      </c>
      <c r="E10" s="77">
        <f t="shared" si="5"/>
        <v>630.22320000000002</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12.25</v>
      </c>
      <c r="D11" s="81">
        <f t="shared" si="4"/>
        <v>213.834</v>
      </c>
      <c r="E11" s="77">
        <f t="shared" si="5"/>
        <v>987.61680000000001</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12.25</v>
      </c>
      <c r="D12" s="81">
        <f t="shared" si="4"/>
        <v>240.78399999999999</v>
      </c>
      <c r="E12" s="77">
        <f t="shared" si="5"/>
        <v>1244.9892999999997</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12.25</v>
      </c>
      <c r="D13" s="81">
        <f t="shared" si="4"/>
        <v>257.964</v>
      </c>
      <c r="E13" s="77">
        <f t="shared" si="5"/>
        <v>1424.0232000000001</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12.25</v>
      </c>
      <c r="D14" s="81">
        <f t="shared" si="4"/>
        <v>302.03399999999999</v>
      </c>
      <c r="E14" s="77">
        <f t="shared" si="5"/>
        <v>1940.1768000000002</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340.98899999999998</v>
      </c>
      <c r="E15" s="77">
        <f t="shared" si="5"/>
        <v>2461.9790249999996</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8.25</v>
      </c>
      <c r="S32" s="69">
        <v>5</v>
      </c>
      <c r="T32" s="68">
        <f>R32*S32</f>
        <v>41.25</v>
      </c>
      <c r="U32" s="79">
        <v>3</v>
      </c>
      <c r="V32" s="68">
        <f>R32*U32</f>
        <v>24.75</v>
      </c>
      <c r="W32" t="s">
        <v>93</v>
      </c>
      <c r="X32" s="70">
        <f>IF(AND(Q34-Q33=Q33-Q32,NOT(AND(Q32=0,Q33=0)),NOT(AND(Q33=0,Q34=0))),WLS*(Q34-Q33),"#NA")</f>
        <v>0.9</v>
      </c>
      <c r="AD32" s="93"/>
      <c r="AH32" s="6" t="s">
        <v>93</v>
      </c>
      <c r="AI32" s="70">
        <f>WLS*(AD34-AD33)</f>
        <v>0.9</v>
      </c>
    </row>
    <row r="33" spans="1:47" x14ac:dyDescent="0.25">
      <c r="Q33" s="76">
        <f>B5</f>
        <v>0.5</v>
      </c>
      <c r="R33" s="77">
        <f>VLOOKUP(Q33,STN_TABLE,2,FALSE)</f>
        <v>10.84</v>
      </c>
      <c r="S33" s="77">
        <v>8</v>
      </c>
      <c r="T33" s="76">
        <f>R33*S33</f>
        <v>86.72</v>
      </c>
      <c r="U33" s="80">
        <v>10</v>
      </c>
      <c r="V33" s="76">
        <f>R33*U33</f>
        <v>108.4</v>
      </c>
      <c r="W33" s="512" t="s">
        <v>97</v>
      </c>
      <c r="X33" s="513"/>
      <c r="Y33" s="513" t="s">
        <v>98</v>
      </c>
      <c r="Z33" s="513"/>
      <c r="AA33" s="511" t="s">
        <v>99</v>
      </c>
      <c r="AB33" s="511"/>
      <c r="AC33" s="94">
        <v>1</v>
      </c>
      <c r="AD33" s="95">
        <f>VLOOKUP(AC33,STN_TABLE_2,2,FALSE)</f>
        <v>0</v>
      </c>
      <c r="AE33" s="68">
        <f>VLOOKUP(AD33,STN_TABLE,2,FALSE)</f>
        <v>8.25</v>
      </c>
      <c r="AF33" s="68">
        <v>1</v>
      </c>
      <c r="AG33" s="69">
        <f>AE33*AF33</f>
        <v>8.25</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11.76</v>
      </c>
      <c r="S34" s="83">
        <v>-1</v>
      </c>
      <c r="T34" s="82">
        <f>R34*S34</f>
        <v>-11.76</v>
      </c>
      <c r="U34" s="88">
        <v>-1</v>
      </c>
      <c r="V34" s="82">
        <f>R34*U34</f>
        <v>-11.76</v>
      </c>
      <c r="W34" s="84" t="str">
        <f>CONCATENATE("a'(",Q33,")=")</f>
        <v>a'(0.5)=</v>
      </c>
      <c r="X34" s="84">
        <f>2*X32/12*T35</f>
        <v>17.4315</v>
      </c>
      <c r="Y34" s="84" t="str">
        <f>CONCATENATE("A(",Q32,")=")</f>
        <v>A(0)=</v>
      </c>
      <c r="Z34" s="84">
        <f>VLOOKUP(Q32,STN_TABLE,3,FALSE)</f>
        <v>0</v>
      </c>
      <c r="AA34" t="str">
        <f>CONCATENATE("A(",Q33,")=")</f>
        <v>A(0.5)=</v>
      </c>
      <c r="AB34">
        <f>X34+Z34</f>
        <v>17.4315</v>
      </c>
      <c r="AC34" s="99">
        <f>AC33+1</f>
        <v>2</v>
      </c>
      <c r="AD34" s="100">
        <f>VLOOKUP(AC34,STN_TABLE_2,2,FALSE)</f>
        <v>0.5</v>
      </c>
      <c r="AE34" s="82">
        <f>VLOOKUP(AD34,STN_TABLE,2,FALSE)</f>
        <v>10.84</v>
      </c>
      <c r="AF34" s="82">
        <v>2</v>
      </c>
      <c r="AG34" s="83">
        <f>AE34*AF34</f>
        <v>21.68</v>
      </c>
      <c r="AH34" s="84" t="str">
        <f>CONCATENATE("a'(",AD34,")=")</f>
        <v>a'(0.5)=</v>
      </c>
      <c r="AI34" s="84">
        <f>2*AI32/2*AE35</f>
        <v>17.181000000000001</v>
      </c>
      <c r="AJ34" s="84" t="str">
        <f>CONCATENATE("A(",AD33,")=")</f>
        <v>A(0)=</v>
      </c>
      <c r="AK34" s="84">
        <f>VLOOKUP(AD33,STN_TABLE,3,FALSE)</f>
        <v>0</v>
      </c>
      <c r="AL34" t="str">
        <f>CONCATENATE("A(",AD34,")=")</f>
        <v>A(0.5)=</v>
      </c>
      <c r="AM34">
        <f>AI34+AK34</f>
        <v>17.181000000000001</v>
      </c>
      <c r="AO34" s="68" t="str">
        <f>AA34</f>
        <v>A(0.5)=</v>
      </c>
      <c r="AP34" s="79" t="e">
        <f>VLOOKUP(AO34,Rise_Results,2,FALSE)</f>
        <v>#N/A</v>
      </c>
      <c r="AQ34" s="76" t="s">
        <v>117</v>
      </c>
      <c r="AR34" s="76">
        <f>IF(OR(AB34&lt;=0,AB35&lt;=0),1/0,AB34)</f>
        <v>17.4315</v>
      </c>
      <c r="AS34" s="76">
        <f>AM34</f>
        <v>17.181000000000001</v>
      </c>
      <c r="AT34" s="80">
        <f>IFERROR(AP34,IFERROR(AR34,AS34))</f>
        <v>17.4315</v>
      </c>
    </row>
    <row r="35" spans="1:47" x14ac:dyDescent="0.25">
      <c r="A35" s="101"/>
      <c r="T35" s="89">
        <f>SUM(T32:T34)</f>
        <v>116.21</v>
      </c>
      <c r="V35" s="82">
        <f>SUM(V32:V34)</f>
        <v>121.39</v>
      </c>
      <c r="W35" s="84" t="str">
        <f>CONCATENATE("m'(",Q33,")=")</f>
        <v>m'(0.5)=</v>
      </c>
      <c r="X35" s="84">
        <f>(2*(X32^2)/24*V35)</f>
        <v>8.1938250000000004</v>
      </c>
      <c r="Y35" s="84" t="str">
        <f>CONCATENATE("M(",Q32,")=")</f>
        <v>M(0)=</v>
      </c>
      <c r="Z35" s="84">
        <f>VLOOKUP(Q32,STN_TABLE,4,FALSE)</f>
        <v>0</v>
      </c>
      <c r="AA35" t="str">
        <f>CONCATENATE("M(",Q33,")=")</f>
        <v>M(0.5)=</v>
      </c>
      <c r="AB35">
        <f>X35+Z35</f>
        <v>8.1938250000000004</v>
      </c>
      <c r="AE35" s="89">
        <f>SUM(AE33:AE34)</f>
        <v>19.09</v>
      </c>
      <c r="AG35" s="89">
        <f>SUM(AG33:AG34)</f>
        <v>29.93</v>
      </c>
      <c r="AH35" s="84" t="str">
        <f>CONCATENATE("m'(",AD34,")=")</f>
        <v>m'(0.5)=</v>
      </c>
      <c r="AI35" s="84">
        <f>(2*(AI32^2)/6*AG35)+(AI34*AD33*WLS)</f>
        <v>8.0811000000000011</v>
      </c>
      <c r="AJ35" s="84" t="str">
        <f>CONCATENATE("M(",AD33,")=")</f>
        <v>M(0)=</v>
      </c>
      <c r="AK35" s="84">
        <f>VLOOKUP(AD33,STN_TABLE,4,FALSE)</f>
        <v>0</v>
      </c>
      <c r="AL35" t="str">
        <f>CONCATENATE("M(",AD34,")=")</f>
        <v>M(0.5)=</v>
      </c>
      <c r="AM35">
        <f>AI35+AK35</f>
        <v>8.0811000000000011</v>
      </c>
      <c r="AO35" s="82" t="str">
        <f>AA35</f>
        <v>M(0.5)=</v>
      </c>
      <c r="AP35" s="88" t="e">
        <f>VLOOKUP(AO35,Rise_Results,2,FALSE)</f>
        <v>#N/A</v>
      </c>
      <c r="AQ35" s="82" t="s">
        <v>117</v>
      </c>
      <c r="AR35" s="82">
        <f>IF(OR(AB34&lt;=0,AB35&lt;=0),1/0,AB35)</f>
        <v>8.1938250000000004</v>
      </c>
      <c r="AS35" s="82">
        <f>AM35</f>
        <v>8.0811000000000011</v>
      </c>
      <c r="AT35" s="80">
        <f>IFERROR(AP35,IFERROR(AR35,AS35))</f>
        <v>8.1938250000000004</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8.25</v>
      </c>
      <c r="E37" s="102">
        <v>1</v>
      </c>
      <c r="F37" s="68">
        <f>D37*E37</f>
        <v>8.25</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10.84</v>
      </c>
      <c r="S37" s="69">
        <v>5</v>
      </c>
      <c r="T37" s="68">
        <f>R37*S37</f>
        <v>54.2</v>
      </c>
      <c r="U37" s="79">
        <v>3</v>
      </c>
      <c r="V37" s="68">
        <f>R37*U37</f>
        <v>32.519999999999996</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10.84</v>
      </c>
      <c r="E38" s="81">
        <v>4</v>
      </c>
      <c r="F38" s="76">
        <f>D38*E38</f>
        <v>43.36</v>
      </c>
      <c r="G38" s="77">
        <f>C38</f>
        <v>0.5</v>
      </c>
      <c r="H38" s="77">
        <f>F38*G38</f>
        <v>21.68</v>
      </c>
      <c r="I38" s="513" t="s">
        <v>97</v>
      </c>
      <c r="J38" s="513"/>
      <c r="K38" s="78" t="s">
        <v>98</v>
      </c>
      <c r="L38" s="78"/>
      <c r="M38" s="7" t="s">
        <v>99</v>
      </c>
      <c r="N38" s="7"/>
      <c r="O38" s="99">
        <f>O37+1</f>
        <v>3</v>
      </c>
      <c r="P38" s="99">
        <f t="shared" si="10"/>
        <v>1</v>
      </c>
      <c r="Q38" s="76">
        <f>P38</f>
        <v>1</v>
      </c>
      <c r="R38" s="77">
        <f>VLOOKUP(Q38,STN_TABLE,2,FALSE)</f>
        <v>11.76</v>
      </c>
      <c r="S38" s="77">
        <v>8</v>
      </c>
      <c r="T38" s="76">
        <f>R38*S38</f>
        <v>94.08</v>
      </c>
      <c r="U38" s="80">
        <v>10</v>
      </c>
      <c r="V38" s="76">
        <f>R38*U38</f>
        <v>117.6</v>
      </c>
      <c r="W38" s="513" t="s">
        <v>97</v>
      </c>
      <c r="X38" s="513"/>
      <c r="Y38" s="513" t="s">
        <v>98</v>
      </c>
      <c r="Z38" s="513"/>
      <c r="AA38" s="511" t="s">
        <v>99</v>
      </c>
      <c r="AB38" s="511"/>
      <c r="AC38" s="99">
        <f>AC33+1</f>
        <v>2</v>
      </c>
      <c r="AD38" s="95">
        <f>VLOOKUP(AC38,STN_TABLE_2,2,FALSE)</f>
        <v>0.5</v>
      </c>
      <c r="AE38" s="68">
        <f>VLOOKUP(AD38,STN_TABLE,2,FALSE)</f>
        <v>10.84</v>
      </c>
      <c r="AF38" s="68">
        <v>1</v>
      </c>
      <c r="AG38" s="69">
        <f>AE38*AF38</f>
        <v>10.84</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11.76</v>
      </c>
      <c r="E39" s="92">
        <v>1</v>
      </c>
      <c r="F39" s="82">
        <f>D39*E39</f>
        <v>11.76</v>
      </c>
      <c r="G39" s="83">
        <f>C39</f>
        <v>1</v>
      </c>
      <c r="H39" s="83">
        <f>F39*G39</f>
        <v>11.76</v>
      </c>
      <c r="I39" s="84" t="str">
        <f>CONCATENATE("a'(",C39,")=")</f>
        <v>a'(1)=</v>
      </c>
      <c r="J39" s="84">
        <f>2*J37/3*F40</f>
        <v>38.021999999999998</v>
      </c>
      <c r="K39" s="84" t="str">
        <f>CONCATENATE("A(",C37,")=")</f>
        <v>A(0)=</v>
      </c>
      <c r="L39" s="84">
        <f>VLOOKUP(C37,STN_TABLE,3,FALSE)</f>
        <v>0</v>
      </c>
      <c r="M39" t="str">
        <f>CONCATENATE("A(",C39,")=")</f>
        <v>A(1)=</v>
      </c>
      <c r="N39">
        <f>J39+L39</f>
        <v>38.021999999999998</v>
      </c>
      <c r="O39" s="99">
        <f>O38+1</f>
        <v>4</v>
      </c>
      <c r="P39" s="99">
        <f t="shared" si="10"/>
        <v>1.5</v>
      </c>
      <c r="Q39" s="82">
        <f>IF(P39-P38=P38-P37,P39,IF(P40-P38=P38-P37,P40,IF(P39-P38=P38-P36,P39,IF(P40-P38=P38-P36,P40,"-"))))</f>
        <v>1.5</v>
      </c>
      <c r="R39" s="83">
        <f>VLOOKUP(Q39,STN_TABLE,2,FALSE)</f>
        <v>12.14</v>
      </c>
      <c r="S39" s="83">
        <v>-1</v>
      </c>
      <c r="T39" s="82">
        <f>R39*S39</f>
        <v>-12.14</v>
      </c>
      <c r="U39" s="88">
        <v>-1</v>
      </c>
      <c r="V39" s="82">
        <f>R39*U39</f>
        <v>-12.14</v>
      </c>
      <c r="W39" s="84" t="str">
        <f>CONCATENATE("a'(",Q38,")=")</f>
        <v>a'(1)=</v>
      </c>
      <c r="X39" s="84">
        <f>2*X37/12*T40</f>
        <v>20.420999999999996</v>
      </c>
      <c r="Y39" s="84" t="str">
        <f>CONCATENATE("A(",Q37,")=")</f>
        <v>A(0.5)=</v>
      </c>
      <c r="Z39" s="84">
        <f>VLOOKUP(Q37,STN_TABLE,3,FALSE)</f>
        <v>17.4315</v>
      </c>
      <c r="AA39" t="str">
        <f>CONCATENATE("A(",Q38,")=")</f>
        <v>A(1)=</v>
      </c>
      <c r="AB39">
        <f>X39+Z39</f>
        <v>37.852499999999992</v>
      </c>
      <c r="AC39" s="99">
        <f>AC38+1</f>
        <v>3</v>
      </c>
      <c r="AD39" s="100">
        <f>VLOOKUP(AC39,STN_TABLE_2,2,FALSE)</f>
        <v>1</v>
      </c>
      <c r="AE39" s="82">
        <f>VLOOKUP(AD39,STN_TABLE,2,FALSE)</f>
        <v>11.76</v>
      </c>
      <c r="AF39" s="82">
        <v>2</v>
      </c>
      <c r="AG39" s="83">
        <f>AE39*AF39</f>
        <v>23.52</v>
      </c>
      <c r="AH39" s="84" t="str">
        <f>CONCATENATE("a'(",AD39,")=")</f>
        <v>a'(1)=</v>
      </c>
      <c r="AI39" s="84">
        <f>2*AI37/2*AE40</f>
        <v>20.340000000000003</v>
      </c>
      <c r="AJ39" s="84" t="str">
        <f>CONCATENATE("A(",AD38,")=")</f>
        <v>A(0.5)=</v>
      </c>
      <c r="AK39" s="84">
        <f>VLOOKUP(AD38,STN_TABLE,3,FALSE)</f>
        <v>17.4315</v>
      </c>
      <c r="AL39" t="str">
        <f>CONCATENATE("A(",AD39,")=")</f>
        <v>A(1)=</v>
      </c>
      <c r="AM39">
        <f>AI39+AK39</f>
        <v>37.771500000000003</v>
      </c>
      <c r="AO39" s="68" t="str">
        <f>AA39</f>
        <v>A(1)=</v>
      </c>
      <c r="AP39" s="68" t="e">
        <f>VLOOKUP(AO39,Rise_Results,2,FALSE)</f>
        <v>#N/A</v>
      </c>
      <c r="AQ39" s="76">
        <f>N39</f>
        <v>38.021999999999998</v>
      </c>
      <c r="AR39" s="76">
        <f>IF(OR(AB39&lt;=0,AB40&lt;=0),1/0,AB39)</f>
        <v>37.852499999999992</v>
      </c>
      <c r="AS39" s="76">
        <f>AM39</f>
        <v>37.771500000000003</v>
      </c>
      <c r="AT39">
        <f>IFERROR(AP39,IFERROR(AQ39,IFERROR(AR39,AS39)))</f>
        <v>38.021999999999998</v>
      </c>
    </row>
    <row r="40" spans="1:47" x14ac:dyDescent="0.25">
      <c r="A40">
        <v>4</v>
      </c>
      <c r="F40" s="82">
        <f>SUM(F37:F39)</f>
        <v>63.37</v>
      </c>
      <c r="H40" s="82">
        <f>SUM(H37:H39)</f>
        <v>33.44</v>
      </c>
      <c r="I40" s="84" t="str">
        <f>CONCATENATE("m'(",C39,")=")</f>
        <v>m'(1)=</v>
      </c>
      <c r="J40" s="84">
        <f>2*(J37*(WLS))/3*H40</f>
        <v>36.115200000000002</v>
      </c>
      <c r="K40" s="84" t="str">
        <f>CONCATENATE("M(",C37,")=")</f>
        <v>M(0)=</v>
      </c>
      <c r="L40" s="84">
        <f>VLOOKUP(C37,STN_TABLE,4,FALSE)</f>
        <v>0</v>
      </c>
      <c r="M40" t="str">
        <f>CONCATENATE("M(",C39,")=")</f>
        <v>M(1)=</v>
      </c>
      <c r="N40">
        <f>J40+L40</f>
        <v>36.115200000000002</v>
      </c>
      <c r="O40" s="99">
        <f>O39+1</f>
        <v>5</v>
      </c>
      <c r="P40" s="99">
        <f t="shared" si="10"/>
        <v>2</v>
      </c>
      <c r="T40" s="89">
        <f>SUM(T37:T39)</f>
        <v>136.13999999999999</v>
      </c>
      <c r="V40" s="82">
        <f>SUM(V37:V39)</f>
        <v>137.98000000000002</v>
      </c>
      <c r="W40" s="84" t="str">
        <f>CONCATENATE("m'(",Q38,")=")</f>
        <v>m'(1)=</v>
      </c>
      <c r="X40" s="84">
        <f>(2*(X37^2)/24*V40)+(X39*Q37*WLS)</f>
        <v>27.692550000000001</v>
      </c>
      <c r="Y40" s="84" t="str">
        <f>CONCATENATE("M(",Q37,")=")</f>
        <v>M(0.5)=</v>
      </c>
      <c r="Z40" s="84">
        <f>VLOOKUP(Q37,STN_TABLE,4,FALSE)</f>
        <v>8.1938250000000004</v>
      </c>
      <c r="AA40" t="str">
        <f>CONCATENATE("M(",Q38,")=")</f>
        <v>M(1)=</v>
      </c>
      <c r="AB40">
        <f>X40+Z40</f>
        <v>35.886375000000001</v>
      </c>
      <c r="AE40" s="89">
        <f>SUM(AE38:AE39)</f>
        <v>22.6</v>
      </c>
      <c r="AG40" s="89">
        <f>SUM(AG38:AG39)</f>
        <v>34.36</v>
      </c>
      <c r="AH40" s="84" t="str">
        <f>CONCATENATE("m'(",AD39,")=")</f>
        <v>m'(1)=</v>
      </c>
      <c r="AI40" s="84">
        <f>(2*(AI37^2)/6*AG40)+(AI39*AD38*WLS)</f>
        <v>27.583200000000005</v>
      </c>
      <c r="AJ40" s="84" t="str">
        <f>CONCATENATE("M(",AD38,")=")</f>
        <v>M(0.5)=</v>
      </c>
      <c r="AK40" s="84">
        <f>VLOOKUP(AD38,STN_TABLE,4,FALSE)</f>
        <v>8.1938250000000004</v>
      </c>
      <c r="AL40" t="str">
        <f>CONCATENATE("M(",AD39,")=")</f>
        <v>M(1)=</v>
      </c>
      <c r="AM40">
        <f>AI40+AK40</f>
        <v>35.777025000000009</v>
      </c>
      <c r="AO40" s="82" t="str">
        <f>AA40</f>
        <v>M(1)=</v>
      </c>
      <c r="AP40" s="82" t="e">
        <f>VLOOKUP(AO40,Rise_Results,2,FALSE)</f>
        <v>#N/A</v>
      </c>
      <c r="AQ40" s="82">
        <f>N40</f>
        <v>36.115200000000002</v>
      </c>
      <c r="AR40" s="82">
        <f>IF(OR(AB39&lt;=0,AB40&lt;=0),1/0,AB40)</f>
        <v>35.886375000000001</v>
      </c>
      <c r="AS40" s="82">
        <f>AM40</f>
        <v>35.777025000000009</v>
      </c>
      <c r="AT40">
        <f>IFERROR(AP40,IFERROR(AQ40,IFERROR(AR40,AS40)))</f>
        <v>36.115200000000002</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10.84</v>
      </c>
      <c r="E42" s="102">
        <v>1</v>
      </c>
      <c r="F42" s="68">
        <f>D42*E42</f>
        <v>10.84</v>
      </c>
      <c r="G42" s="69">
        <f>C42</f>
        <v>0.5</v>
      </c>
      <c r="H42" s="69">
        <f>F42*G42</f>
        <v>5.42</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11.76</v>
      </c>
      <c r="S42" s="69">
        <v>5</v>
      </c>
      <c r="T42" s="68">
        <f>R42*S42</f>
        <v>58.8</v>
      </c>
      <c r="U42" s="79">
        <v>3</v>
      </c>
      <c r="V42" s="68">
        <f>R42*U42</f>
        <v>35.28</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11.76</v>
      </c>
      <c r="E43" s="81">
        <v>4</v>
      </c>
      <c r="F43" s="76">
        <f>D43*E43</f>
        <v>47.04</v>
      </c>
      <c r="G43" s="77">
        <f>C43</f>
        <v>1</v>
      </c>
      <c r="H43" s="77">
        <f>F43*G43</f>
        <v>47.04</v>
      </c>
      <c r="I43" s="513" t="s">
        <v>97</v>
      </c>
      <c r="J43" s="513"/>
      <c r="K43" s="78" t="s">
        <v>98</v>
      </c>
      <c r="L43" s="78"/>
      <c r="M43" s="7" t="s">
        <v>99</v>
      </c>
      <c r="N43" s="7"/>
      <c r="O43" s="99">
        <f>O42+1</f>
        <v>4</v>
      </c>
      <c r="P43" s="99">
        <f t="shared" si="10"/>
        <v>1.5</v>
      </c>
      <c r="Q43" s="76">
        <f>P43</f>
        <v>1.5</v>
      </c>
      <c r="R43" s="77">
        <f>VLOOKUP(Q43,STN_TABLE,2,FALSE)</f>
        <v>12.14</v>
      </c>
      <c r="S43" s="77">
        <v>8</v>
      </c>
      <c r="T43" s="76">
        <f>R43*S43</f>
        <v>97.12</v>
      </c>
      <c r="U43" s="80">
        <v>10</v>
      </c>
      <c r="V43" s="76">
        <f>R43*U43</f>
        <v>121.4</v>
      </c>
      <c r="W43" s="513" t="s">
        <v>97</v>
      </c>
      <c r="X43" s="513"/>
      <c r="Y43" s="513" t="s">
        <v>98</v>
      </c>
      <c r="Z43" s="513"/>
      <c r="AA43" s="511" t="s">
        <v>99</v>
      </c>
      <c r="AB43" s="511"/>
      <c r="AC43" s="99">
        <f>AC38+1</f>
        <v>3</v>
      </c>
      <c r="AD43" s="95">
        <f>VLOOKUP(AC43,STN_TABLE_2,2,FALSE)</f>
        <v>1</v>
      </c>
      <c r="AE43" s="68">
        <f>VLOOKUP(AD43,STN_TABLE,2,FALSE)</f>
        <v>11.76</v>
      </c>
      <c r="AF43" s="68">
        <v>1</v>
      </c>
      <c r="AG43" s="69">
        <f>AE43*AF43</f>
        <v>11.76</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12.14</v>
      </c>
      <c r="E44" s="92">
        <v>1</v>
      </c>
      <c r="F44" s="82">
        <f>D44*E44</f>
        <v>12.14</v>
      </c>
      <c r="G44" s="83">
        <f>C44</f>
        <v>1.5</v>
      </c>
      <c r="H44" s="83">
        <f>F44*G44</f>
        <v>18.21</v>
      </c>
      <c r="I44" s="84" t="str">
        <f>CONCATENATE("a'(",C44,")=")</f>
        <v>a'(1.5)=</v>
      </c>
      <c r="J44" s="84">
        <f>2*J42/3*F45</f>
        <v>42.011999999999993</v>
      </c>
      <c r="K44" s="84" t="str">
        <f>CONCATENATE("A(",C42,")=")</f>
        <v>A(0.5)=</v>
      </c>
      <c r="L44" s="84">
        <f>VLOOKUP(C42,STN_TABLE,3,FALSE)</f>
        <v>17.4315</v>
      </c>
      <c r="M44" t="str">
        <f>CONCATENATE("A(",C44,")=")</f>
        <v>A(1.5)=</v>
      </c>
      <c r="N44">
        <f>J44+L44</f>
        <v>59.443499999999993</v>
      </c>
      <c r="O44" s="99">
        <f>O43+1</f>
        <v>5</v>
      </c>
      <c r="P44" s="99">
        <f t="shared" si="10"/>
        <v>2</v>
      </c>
      <c r="Q44" s="82">
        <f>IF(P44-P43=P43-P42,P44,IF(P45-P43=P43-P42,P45,IF(P44-P43=P43-P41,P44,IF(P45-P43=P43-P41,P45,"-"))))</f>
        <v>2</v>
      </c>
      <c r="R44" s="83">
        <f>VLOOKUP(Q44,STN_TABLE,2,FALSE)</f>
        <v>12.25</v>
      </c>
      <c r="S44" s="83">
        <v>-1</v>
      </c>
      <c r="T44" s="82">
        <f>R44*S44</f>
        <v>-12.25</v>
      </c>
      <c r="U44" s="88">
        <v>-1</v>
      </c>
      <c r="V44" s="82">
        <f>R44*U44</f>
        <v>-12.25</v>
      </c>
      <c r="W44" s="84" t="str">
        <f>CONCATENATE("a'(",Q43,")=")</f>
        <v>a'(1.5)=</v>
      </c>
      <c r="X44" s="84">
        <f>2*X42/12*T45</f>
        <v>21.550500000000003</v>
      </c>
      <c r="Y44" s="84" t="str">
        <f>CONCATENATE("A(",Q42,")=")</f>
        <v>A(1)=</v>
      </c>
      <c r="Z44" s="84">
        <f>VLOOKUP(Q42,STN_TABLE,3,FALSE)</f>
        <v>38.021999999999998</v>
      </c>
      <c r="AA44" t="str">
        <f>CONCATENATE("A(",Q43,")=")</f>
        <v>A(1.5)=</v>
      </c>
      <c r="AB44">
        <f>X44+Z44</f>
        <v>59.572500000000005</v>
      </c>
      <c r="AC44" s="99">
        <f>AC43+1</f>
        <v>4</v>
      </c>
      <c r="AD44" s="100">
        <f>VLOOKUP(AC44,STN_TABLE_2,2,FALSE)</f>
        <v>1.5</v>
      </c>
      <c r="AE44" s="82">
        <f>VLOOKUP(AD44,STN_TABLE,2,FALSE)</f>
        <v>12.14</v>
      </c>
      <c r="AF44" s="82">
        <v>2</v>
      </c>
      <c r="AG44" s="83">
        <f>AE44*AF44</f>
        <v>24.28</v>
      </c>
      <c r="AH44" s="84" t="str">
        <f>CONCATENATE("a'(",AD44,")=")</f>
        <v>a'(1.5)=</v>
      </c>
      <c r="AI44" s="84">
        <f>2*AI42/2*AE45</f>
        <v>21.509999999999998</v>
      </c>
      <c r="AJ44" s="84" t="str">
        <f>CONCATENATE("A(",AD43,")=")</f>
        <v>A(1)=</v>
      </c>
      <c r="AK44" s="84">
        <f>VLOOKUP(AD43,STN_TABLE,3,FALSE)</f>
        <v>38.021999999999998</v>
      </c>
      <c r="AL44" t="str">
        <f>CONCATENATE("A(",AD44,")=")</f>
        <v>A(1.5)=</v>
      </c>
      <c r="AM44">
        <f>AI44+AK44</f>
        <v>59.531999999999996</v>
      </c>
      <c r="AO44" s="68" t="str">
        <f>AA44</f>
        <v>A(1.5)=</v>
      </c>
      <c r="AP44" s="68" t="e">
        <f>VLOOKUP(AO44,Rise_Results,2,FALSE)</f>
        <v>#N/A</v>
      </c>
      <c r="AQ44" s="76">
        <f>N44</f>
        <v>59.443499999999993</v>
      </c>
      <c r="AR44" s="76">
        <f>IF(OR(AB44&lt;=0,AB45&lt;=0),1/0,AB44)</f>
        <v>59.572500000000005</v>
      </c>
      <c r="AS44" s="76">
        <f>AM44</f>
        <v>59.531999999999996</v>
      </c>
      <c r="AT44">
        <f>IFERROR(AP44,IFERROR(AQ44,IFERROR(AR44,AS44)))</f>
        <v>59.443499999999993</v>
      </c>
      <c r="AU44" s="81"/>
    </row>
    <row r="45" spans="1:47" x14ac:dyDescent="0.25">
      <c r="A45" s="94">
        <f>A44+1</f>
        <v>4</v>
      </c>
      <c r="B45" s="94">
        <f t="shared" si="11"/>
        <v>1.5</v>
      </c>
      <c r="F45" s="82">
        <f>SUM(F42:F44)</f>
        <v>70.02</v>
      </c>
      <c r="H45" s="82">
        <f>SUM(H42:H44)</f>
        <v>70.67</v>
      </c>
      <c r="I45" s="84" t="str">
        <f>CONCATENATE("m'(",C44,")=")</f>
        <v>m'(1.5)=</v>
      </c>
      <c r="J45" s="84">
        <f>2*(J42*(WLS))/3*H45</f>
        <v>76.323600000000013</v>
      </c>
      <c r="K45" s="84" t="str">
        <f>CONCATENATE("M(",C42,")=")</f>
        <v>M(0.5)=</v>
      </c>
      <c r="L45" s="84">
        <f>VLOOKUP(C42,STN_TABLE,4,FALSE)</f>
        <v>8.1938250000000004</v>
      </c>
      <c r="M45" t="str">
        <f>CONCATENATE("M(",C44,")=")</f>
        <v>M(1.5)=</v>
      </c>
      <c r="N45">
        <f>J45+L45</f>
        <v>84.517425000000017</v>
      </c>
      <c r="O45" s="99">
        <f>O44+1</f>
        <v>6</v>
      </c>
      <c r="P45" s="99">
        <f t="shared" si="10"/>
        <v>3</v>
      </c>
      <c r="T45" s="89">
        <f>SUM(T42:T44)</f>
        <v>143.67000000000002</v>
      </c>
      <c r="V45" s="82">
        <f>SUM(V42:V44)</f>
        <v>144.43</v>
      </c>
      <c r="W45" s="84" t="str">
        <f>CONCATENATE("m'(",Q43,")=")</f>
        <v>m'(1.5)=</v>
      </c>
      <c r="X45" s="84">
        <f>(2*(X42^2)/24*V45)+(X44*Q42*WLS)</f>
        <v>48.539925000000011</v>
      </c>
      <c r="Y45" s="84" t="str">
        <f>CONCATENATE("M(",Q42,")=")</f>
        <v>M(1)=</v>
      </c>
      <c r="Z45" s="84">
        <f>VLOOKUP(Q42,STN_TABLE,4,FALSE)</f>
        <v>36.115200000000002</v>
      </c>
      <c r="AA45" t="str">
        <f>CONCATENATE("M(",Q43,")=")</f>
        <v>M(1.5)=</v>
      </c>
      <c r="AB45">
        <f>X45+Z45</f>
        <v>84.655125000000012</v>
      </c>
      <c r="AE45" s="89">
        <f>SUM(AE43:AE44)</f>
        <v>23.9</v>
      </c>
      <c r="AG45" s="89">
        <f>SUM(AG43:AG44)</f>
        <v>36.04</v>
      </c>
      <c r="AH45" s="84" t="str">
        <f>CONCATENATE("m'(",AD44,")=")</f>
        <v>m'(1.5)=</v>
      </c>
      <c r="AI45" s="84">
        <f>(2*(AI42^2)/6*AG45)+(AI44*AD43*WLS)</f>
        <v>48.448799999999999</v>
      </c>
      <c r="AJ45" s="84" t="str">
        <f>CONCATENATE("M(",AD43,")=")</f>
        <v>M(1)=</v>
      </c>
      <c r="AK45" s="84">
        <f>VLOOKUP(AD43,STN_TABLE,4,FALSE)</f>
        <v>36.115200000000002</v>
      </c>
      <c r="AL45" t="str">
        <f>CONCATENATE("M(",AD44,")=")</f>
        <v>M(1.5)=</v>
      </c>
      <c r="AM45">
        <f>AI45+AK45</f>
        <v>84.563999999999993</v>
      </c>
      <c r="AO45" s="82" t="str">
        <f>AA45</f>
        <v>M(1.5)=</v>
      </c>
      <c r="AP45" s="82" t="e">
        <f>VLOOKUP(AO45,Rise_Results,2,FALSE)</f>
        <v>#N/A</v>
      </c>
      <c r="AQ45" s="82">
        <f>N45</f>
        <v>84.517425000000017</v>
      </c>
      <c r="AR45" s="82">
        <f>IF(OR(AB44&lt;=0,AB45&lt;=0),1/0,AB45)</f>
        <v>84.655125000000012</v>
      </c>
      <c r="AS45" s="82">
        <f>AM45</f>
        <v>84.563999999999993</v>
      </c>
      <c r="AT45">
        <f>IFERROR(AP45,IFERROR(AQ45,IFERROR(AR45,AS45)))</f>
        <v>84.517425000000017</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11.76</v>
      </c>
      <c r="E47" s="102">
        <v>1</v>
      </c>
      <c r="F47" s="68">
        <f>D47*E47</f>
        <v>11.76</v>
      </c>
      <c r="G47" s="69">
        <f>C47</f>
        <v>1</v>
      </c>
      <c r="H47" s="69">
        <f>F47*G47</f>
        <v>11.76</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11.76</v>
      </c>
      <c r="S47" s="69">
        <v>5</v>
      </c>
      <c r="T47" s="68">
        <f>R47*S47</f>
        <v>58.8</v>
      </c>
      <c r="U47" s="79">
        <v>3</v>
      </c>
      <c r="V47" s="68">
        <f>R47*U47</f>
        <v>35.28</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12.14</v>
      </c>
      <c r="E48" s="81">
        <v>4</v>
      </c>
      <c r="F48" s="76">
        <f>D48*E48</f>
        <v>48.56</v>
      </c>
      <c r="G48" s="77">
        <f>C48</f>
        <v>1.5</v>
      </c>
      <c r="H48" s="77">
        <f>F48*G48</f>
        <v>72.84</v>
      </c>
      <c r="I48" s="513" t="s">
        <v>97</v>
      </c>
      <c r="J48" s="513"/>
      <c r="K48" s="78" t="s">
        <v>98</v>
      </c>
      <c r="L48" s="78"/>
      <c r="M48" s="7" t="s">
        <v>99</v>
      </c>
      <c r="N48" s="7"/>
      <c r="O48" s="99">
        <f>O47+1</f>
        <v>5</v>
      </c>
      <c r="P48" s="99">
        <f t="shared" si="10"/>
        <v>2</v>
      </c>
      <c r="Q48" s="76">
        <f>P48</f>
        <v>2</v>
      </c>
      <c r="R48" s="77">
        <f>VLOOKUP(Q48,STN_TABLE,2,FALSE)</f>
        <v>12.25</v>
      </c>
      <c r="S48" s="77">
        <v>8</v>
      </c>
      <c r="T48" s="76">
        <f>R48*S48</f>
        <v>98</v>
      </c>
      <c r="U48" s="80">
        <v>10</v>
      </c>
      <c r="V48" s="76">
        <f>R48*U48</f>
        <v>122.5</v>
      </c>
      <c r="W48" s="513" t="s">
        <v>97</v>
      </c>
      <c r="X48" s="513"/>
      <c r="Y48" s="513" t="s">
        <v>98</v>
      </c>
      <c r="Z48" s="513"/>
      <c r="AA48" s="511" t="s">
        <v>99</v>
      </c>
      <c r="AB48" s="511"/>
      <c r="AC48" s="99">
        <f>AC43+1</f>
        <v>4</v>
      </c>
      <c r="AD48" s="95">
        <f>VLOOKUP(AC48,STN_TABLE_2,2,FALSE)</f>
        <v>1.5</v>
      </c>
      <c r="AE48" s="68">
        <f>VLOOKUP(AD48,STN_TABLE,2,FALSE)</f>
        <v>12.14</v>
      </c>
      <c r="AF48" s="68">
        <v>1</v>
      </c>
      <c r="AG48" s="69">
        <f>AE48*AF48</f>
        <v>12.14</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12.25</v>
      </c>
      <c r="E49" s="92">
        <v>1</v>
      </c>
      <c r="F49" s="82">
        <f>D49*E49</f>
        <v>12.25</v>
      </c>
      <c r="G49" s="83">
        <f>C49</f>
        <v>2</v>
      </c>
      <c r="H49" s="83">
        <f>F49*G49</f>
        <v>24.5</v>
      </c>
      <c r="I49" s="84" t="str">
        <f>CONCATENATE("a'(",C49,")=")</f>
        <v>a'(2)=</v>
      </c>
      <c r="J49" s="84">
        <f>2*J47/3*F50</f>
        <v>43.541999999999994</v>
      </c>
      <c r="K49" s="84" t="str">
        <f>CONCATENATE("A(",C47,")=")</f>
        <v>A(1)=</v>
      </c>
      <c r="L49" s="84">
        <f>VLOOKUP(C47,STN_TABLE,3,FALSE)</f>
        <v>38.021999999999998</v>
      </c>
      <c r="M49" t="str">
        <f>CONCATENATE("A(",C49,")=")</f>
        <v>A(2)=</v>
      </c>
      <c r="N49">
        <f>J49+L49</f>
        <v>81.563999999999993</v>
      </c>
      <c r="O49" s="99">
        <f>O48+1</f>
        <v>6</v>
      </c>
      <c r="P49" s="99">
        <f t="shared" si="10"/>
        <v>3</v>
      </c>
      <c r="Q49" s="82">
        <f>IF(P49-P48=P48-P47,P49,IF(P50-P48=P48-P47,P50,IF(P49-P48=P48-P46,P49,IF(P50-P48=P48-P46,P50,"-"))))</f>
        <v>3</v>
      </c>
      <c r="R49" s="83">
        <f>VLOOKUP(Q49,STN_TABLE,2,FALSE)</f>
        <v>12.25</v>
      </c>
      <c r="S49" s="83">
        <v>-1</v>
      </c>
      <c r="T49" s="82">
        <f>R49*S49</f>
        <v>-12.25</v>
      </c>
      <c r="U49" s="88">
        <v>-1</v>
      </c>
      <c r="V49" s="82">
        <f>R49*U49</f>
        <v>-12.25</v>
      </c>
      <c r="W49" s="84" t="str">
        <f>CONCATENATE("a'(",Q48,")=")</f>
        <v>a'(2)=</v>
      </c>
      <c r="X49" s="84">
        <f>2*X47/12*T50</f>
        <v>43.365000000000002</v>
      </c>
      <c r="Y49" s="84" t="str">
        <f>CONCATENATE("A(",Q47,")=")</f>
        <v>A(1)=</v>
      </c>
      <c r="Z49" s="84">
        <f>VLOOKUP(Q47,STN_TABLE,3,FALSE)</f>
        <v>38.021999999999998</v>
      </c>
      <c r="AA49" t="str">
        <f>CONCATENATE("A(",Q48,")=")</f>
        <v>A(2)=</v>
      </c>
      <c r="AB49">
        <f>X49+Z49</f>
        <v>81.387</v>
      </c>
      <c r="AC49" s="99">
        <f>AC48+1</f>
        <v>5</v>
      </c>
      <c r="AD49" s="100">
        <f>VLOOKUP(AC49,STN_TABLE_2,2,FALSE)</f>
        <v>2</v>
      </c>
      <c r="AE49" s="82">
        <f>VLOOKUP(AD49,STN_TABLE,2,FALSE)</f>
        <v>12.25</v>
      </c>
      <c r="AF49" s="82">
        <v>2</v>
      </c>
      <c r="AG49" s="83">
        <f>AE49*AF49</f>
        <v>24.5</v>
      </c>
      <c r="AH49" s="84" t="str">
        <f>CONCATENATE("a'(",AD49,")=")</f>
        <v>a'(2)=</v>
      </c>
      <c r="AI49" s="84">
        <f>2*AI47/2*AE50</f>
        <v>21.951000000000001</v>
      </c>
      <c r="AJ49" s="84" t="str">
        <f>CONCATENATE("A(",AD48,")=")</f>
        <v>A(1.5)=</v>
      </c>
      <c r="AK49" s="84">
        <f>VLOOKUP(AD48,STN_TABLE,3,FALSE)</f>
        <v>59.443499999999993</v>
      </c>
      <c r="AL49" t="str">
        <f>CONCATENATE("A(",AD49,")=")</f>
        <v>A(2)=</v>
      </c>
      <c r="AM49">
        <f>AI49+AK49</f>
        <v>81.394499999999994</v>
      </c>
      <c r="AO49" s="68" t="str">
        <f>AA49</f>
        <v>A(2)=</v>
      </c>
      <c r="AP49" s="68" t="e">
        <f>VLOOKUP(AO49,Rise_Results,2,FALSE)</f>
        <v>#N/A</v>
      </c>
      <c r="AQ49" s="76">
        <f>N49</f>
        <v>81.563999999999993</v>
      </c>
      <c r="AR49" s="76">
        <f>IF(OR(AB49&lt;=0,AB50&lt;=0),1/0,AB49)</f>
        <v>81.387</v>
      </c>
      <c r="AS49" s="76">
        <f>AM49</f>
        <v>81.394499999999994</v>
      </c>
      <c r="AT49">
        <f>IFERROR(AP49,IFERROR(AQ49,IFERROR(AR49,AS49)))</f>
        <v>81.563999999999993</v>
      </c>
      <c r="AU49" s="81"/>
    </row>
    <row r="50" spans="1:47" x14ac:dyDescent="0.25">
      <c r="A50" s="84">
        <f>A49+1</f>
        <v>5</v>
      </c>
      <c r="B50" s="84">
        <f t="shared" si="11"/>
        <v>2</v>
      </c>
      <c r="F50" s="82">
        <f>SUM(F47:F49)</f>
        <v>72.569999999999993</v>
      </c>
      <c r="H50" s="82">
        <f>SUM(H47:H49)</f>
        <v>109.10000000000001</v>
      </c>
      <c r="I50" s="84" t="str">
        <f>CONCATENATE("m'(",C49,")=")</f>
        <v>m'(2)=</v>
      </c>
      <c r="J50" s="84">
        <f>2*(J47*(WLS))/3*H50</f>
        <v>117.82800000000002</v>
      </c>
      <c r="K50" s="84" t="str">
        <f>CONCATENATE("M(",C47,")=")</f>
        <v>M(1)=</v>
      </c>
      <c r="L50" s="84">
        <f>VLOOKUP(C47,STN_TABLE,4,FALSE)</f>
        <v>36.115200000000002</v>
      </c>
      <c r="M50" t="str">
        <f>CONCATENATE("M(",C49,")=")</f>
        <v>M(2)=</v>
      </c>
      <c r="N50">
        <f>J50+L50</f>
        <v>153.94320000000002</v>
      </c>
      <c r="O50" s="99">
        <f>O49+1</f>
        <v>7</v>
      </c>
      <c r="P50" s="99">
        <f t="shared" si="10"/>
        <v>4</v>
      </c>
      <c r="T50" s="89">
        <f>SUM(T47:T49)</f>
        <v>144.55000000000001</v>
      </c>
      <c r="V50" s="82">
        <f>SUM(V47:V49)</f>
        <v>145.53</v>
      </c>
      <c r="W50" s="84" t="str">
        <f>CONCATENATE("m'(",Q48,")=")</f>
        <v>m'(2)=</v>
      </c>
      <c r="X50" s="84">
        <f>(2*(X47^2)/24*V50)+(X49*Q47*WLS)</f>
        <v>117.3501</v>
      </c>
      <c r="Y50" s="84" t="str">
        <f>CONCATENATE("M(",Q47,")=")</f>
        <v>M(1)=</v>
      </c>
      <c r="Z50" s="84">
        <f>VLOOKUP(Q47,STN_TABLE,4,FALSE)</f>
        <v>36.115200000000002</v>
      </c>
      <c r="AA50" t="str">
        <f>CONCATENATE("M(",Q48,")=")</f>
        <v>M(2)=</v>
      </c>
      <c r="AB50">
        <f>X50+Z50</f>
        <v>153.46530000000001</v>
      </c>
      <c r="AE50" s="89">
        <f>SUM(AE48:AE49)</f>
        <v>24.39</v>
      </c>
      <c r="AG50" s="89">
        <f>SUM(AG48:AG49)</f>
        <v>36.64</v>
      </c>
      <c r="AH50" s="84" t="str">
        <f>CONCATENATE("m'(",AD49,")=")</f>
        <v>m'(2)=</v>
      </c>
      <c r="AI50" s="84">
        <f>(2*(AI47^2)/6*AG50)+(AI49*AD48*WLS)</f>
        <v>69.160500000000013</v>
      </c>
      <c r="AJ50" s="84" t="str">
        <f>CONCATENATE("M(",AD48,")=")</f>
        <v>M(1.5)=</v>
      </c>
      <c r="AK50" s="84">
        <f>VLOOKUP(AD48,STN_TABLE,4,FALSE)</f>
        <v>84.517425000000017</v>
      </c>
      <c r="AL50" t="str">
        <f>CONCATENATE("M(",AD49,")=")</f>
        <v>M(2)=</v>
      </c>
      <c r="AM50">
        <f>AI50+AK50</f>
        <v>153.67792500000002</v>
      </c>
      <c r="AO50" s="82" t="str">
        <f>AA50</f>
        <v>M(2)=</v>
      </c>
      <c r="AP50" s="82" t="e">
        <f>VLOOKUP(AO50,Rise_Results,2,FALSE)</f>
        <v>#N/A</v>
      </c>
      <c r="AQ50" s="82">
        <f>N50</f>
        <v>153.94320000000002</v>
      </c>
      <c r="AR50" s="82">
        <f>IF(OR(AB49&lt;=0,AB50&lt;=0),1/0,AB50)</f>
        <v>153.46530000000001</v>
      </c>
      <c r="AS50" s="82">
        <f>AM50</f>
        <v>153.67792500000002</v>
      </c>
      <c r="AT50">
        <f>IFERROR(AP50,IFERROR(AQ50,IFERROR(AR50,AS50)))</f>
        <v>153.94320000000002</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11.76</v>
      </c>
      <c r="E52" s="102">
        <v>1</v>
      </c>
      <c r="F52" s="68">
        <f>D52*E52</f>
        <v>11.76</v>
      </c>
      <c r="G52" s="69">
        <f>C52</f>
        <v>1</v>
      </c>
      <c r="H52" s="69">
        <f>F52*G52</f>
        <v>11.76</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12.25</v>
      </c>
      <c r="S52" s="69">
        <v>5</v>
      </c>
      <c r="T52" s="68">
        <f>R52*S52</f>
        <v>61.25</v>
      </c>
      <c r="U52" s="79">
        <v>3</v>
      </c>
      <c r="V52" s="68">
        <f>R52*U52</f>
        <v>36.75</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12.25</v>
      </c>
      <c r="E53" s="81">
        <v>4</v>
      </c>
      <c r="F53" s="76">
        <f>D53*E53</f>
        <v>49</v>
      </c>
      <c r="G53" s="77">
        <f>C53</f>
        <v>2</v>
      </c>
      <c r="H53" s="77">
        <f>F53*G53</f>
        <v>98</v>
      </c>
      <c r="I53" s="512" t="s">
        <v>97</v>
      </c>
      <c r="J53" s="513"/>
      <c r="K53" s="78" t="s">
        <v>98</v>
      </c>
      <c r="L53" s="78"/>
      <c r="M53" s="7" t="s">
        <v>99</v>
      </c>
      <c r="N53" s="7"/>
      <c r="O53" s="99">
        <f>O52+1</f>
        <v>6</v>
      </c>
      <c r="P53" s="99">
        <f t="shared" si="10"/>
        <v>3</v>
      </c>
      <c r="Q53" s="76">
        <f>P53</f>
        <v>3</v>
      </c>
      <c r="R53" s="77">
        <f>VLOOKUP(Q53,STN_TABLE,2,FALSE)</f>
        <v>12.25</v>
      </c>
      <c r="S53" s="77">
        <v>8</v>
      </c>
      <c r="T53" s="76">
        <f>R53*S53</f>
        <v>98</v>
      </c>
      <c r="U53" s="80">
        <v>10</v>
      </c>
      <c r="V53" s="76">
        <f>R53*U53</f>
        <v>122.5</v>
      </c>
      <c r="W53" s="513" t="s">
        <v>97</v>
      </c>
      <c r="X53" s="513"/>
      <c r="Y53" s="513" t="s">
        <v>98</v>
      </c>
      <c r="Z53" s="513"/>
      <c r="AA53" s="511" t="s">
        <v>99</v>
      </c>
      <c r="AB53" s="511"/>
      <c r="AC53" s="99">
        <f>AC48+1</f>
        <v>5</v>
      </c>
      <c r="AD53" s="95">
        <f>VLOOKUP(AC53,STN_TABLE_2,2,FALSE)</f>
        <v>2</v>
      </c>
      <c r="AE53" s="68">
        <f>VLOOKUP(AD53,STN_TABLE,2,FALSE)</f>
        <v>12.25</v>
      </c>
      <c r="AF53" s="68">
        <v>1</v>
      </c>
      <c r="AG53" s="69">
        <f>AE53*AF53</f>
        <v>12.25</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12.25</v>
      </c>
      <c r="E54" s="92">
        <v>1</v>
      </c>
      <c r="F54" s="82">
        <f>D54*E54</f>
        <v>12.25</v>
      </c>
      <c r="G54" s="83">
        <f>C54</f>
        <v>3</v>
      </c>
      <c r="H54" s="83">
        <f>F54*G54</f>
        <v>36.75</v>
      </c>
      <c r="I54" s="84" t="str">
        <f>CONCATENATE("a'(",C54,")=")</f>
        <v>a'(3)=</v>
      </c>
      <c r="J54" s="84">
        <f>2*J52/3*F55</f>
        <v>87.611999999999981</v>
      </c>
      <c r="K54" s="84" t="str">
        <f>CONCATENATE("A(",C52,")=")</f>
        <v>A(1)=</v>
      </c>
      <c r="L54" s="84">
        <f>VLOOKUP(C52,STN_TABLE,3,FALSE)</f>
        <v>38.021999999999998</v>
      </c>
      <c r="M54" t="str">
        <f>CONCATENATE("A(",C54,")=")</f>
        <v>A(3)=</v>
      </c>
      <c r="N54">
        <f>J54+L54</f>
        <v>125.63399999999999</v>
      </c>
      <c r="O54" s="99">
        <f>O53+1</f>
        <v>7</v>
      </c>
      <c r="P54" s="99">
        <f t="shared" si="10"/>
        <v>4</v>
      </c>
      <c r="Q54" s="82">
        <f>IF(P54-P53=P53-P52,P54,IF(P55-P53=P53-P52,P55,IF(P54-P53=P53-P51,P54,IF(P55-P53=P53-P51,P55,"-"))))</f>
        <v>4</v>
      </c>
      <c r="R54" s="83">
        <f>VLOOKUP(Q54,STN_TABLE,2,FALSE)</f>
        <v>12.25</v>
      </c>
      <c r="S54" s="83">
        <v>-1</v>
      </c>
      <c r="T54" s="82">
        <f>R54*S54</f>
        <v>-12.25</v>
      </c>
      <c r="U54" s="88">
        <v>-1</v>
      </c>
      <c r="V54" s="82">
        <f>R54*U54</f>
        <v>-12.25</v>
      </c>
      <c r="W54" s="84" t="str">
        <f>CONCATENATE("a'(",Q53,")=")</f>
        <v>a'(3)=</v>
      </c>
      <c r="X54" s="84">
        <f>2*X52/12*T55</f>
        <v>44.1</v>
      </c>
      <c r="Y54" s="84" t="str">
        <f>CONCATENATE("A(",Q52,")=")</f>
        <v>A(2)=</v>
      </c>
      <c r="Z54" s="84">
        <f>VLOOKUP(Q52,STN_TABLE,3,FALSE)</f>
        <v>81.563999999999993</v>
      </c>
      <c r="AA54" t="str">
        <f>CONCATENATE("A(",Q53,")=")</f>
        <v>A(3)=</v>
      </c>
      <c r="AB54">
        <f>X54+Z54</f>
        <v>125.66399999999999</v>
      </c>
      <c r="AC54" s="99">
        <f>AC53+1</f>
        <v>6</v>
      </c>
      <c r="AD54" s="100">
        <f>VLOOKUP(AC54,STN_TABLE_2,2,FALSE)</f>
        <v>3</v>
      </c>
      <c r="AE54" s="82">
        <f>VLOOKUP(AD54,STN_TABLE,2,FALSE)</f>
        <v>12.25</v>
      </c>
      <c r="AF54" s="82">
        <v>2</v>
      </c>
      <c r="AG54" s="83">
        <f>AE54*AF54</f>
        <v>24.5</v>
      </c>
      <c r="AH54" s="84" t="str">
        <f>CONCATENATE("a'(",AD54,")=")</f>
        <v>a'(3)=</v>
      </c>
      <c r="AI54" s="84">
        <f>2*AI52/2*AE55</f>
        <v>44.1</v>
      </c>
      <c r="AJ54" s="84" t="str">
        <f>CONCATENATE("A(",AD53,")=")</f>
        <v>A(2)=</v>
      </c>
      <c r="AK54" s="84">
        <f>VLOOKUP(AD53,STN_TABLE,3,FALSE)</f>
        <v>81.563999999999993</v>
      </c>
      <c r="AL54" t="str">
        <f>CONCATENATE("A(",AD54,")=")</f>
        <v>A(3)=</v>
      </c>
      <c r="AM54">
        <f>AI54+AK54</f>
        <v>125.66399999999999</v>
      </c>
      <c r="AO54" s="68" t="str">
        <f>AA54</f>
        <v>A(3)=</v>
      </c>
      <c r="AP54" s="68" t="e">
        <f>VLOOKUP(AO54,Rise_Results,2,FALSE)</f>
        <v>#N/A</v>
      </c>
      <c r="AQ54" s="76">
        <f>N54</f>
        <v>125.63399999999999</v>
      </c>
      <c r="AR54" s="76">
        <f>IF(OR(AB54&lt;=0,AB55&lt;=0),1/0,AB54)</f>
        <v>125.66399999999999</v>
      </c>
      <c r="AS54" s="76">
        <f>AM54</f>
        <v>125.66399999999999</v>
      </c>
      <c r="AT54">
        <f>IFERROR(AP54,IFERROR(AQ54,IFERROR(AR54,AS54)))</f>
        <v>125.63399999999999</v>
      </c>
      <c r="AU54" s="81"/>
    </row>
    <row r="55" spans="1:47" x14ac:dyDescent="0.25">
      <c r="A55" s="84">
        <f>A54+1</f>
        <v>6</v>
      </c>
      <c r="B55" s="84">
        <f t="shared" si="11"/>
        <v>3</v>
      </c>
      <c r="F55" s="82">
        <f>SUM(F52:F54)</f>
        <v>73.009999999999991</v>
      </c>
      <c r="H55" s="82">
        <f>SUM(H52:H54)</f>
        <v>146.51</v>
      </c>
      <c r="I55" s="84" t="str">
        <f>CONCATENATE("m'(",C54,")=")</f>
        <v>m'(3)=</v>
      </c>
      <c r="J55" s="84">
        <f>2*(J52*(WLS))/3*H55</f>
        <v>316.46159999999998</v>
      </c>
      <c r="K55" s="84" t="str">
        <f>CONCATENATE("M(",C52,")=")</f>
        <v>M(1)=</v>
      </c>
      <c r="L55" s="84">
        <f>VLOOKUP(C52,STN_TABLE,4,FALSE)</f>
        <v>36.115200000000002</v>
      </c>
      <c r="M55" t="str">
        <f>CONCATENATE("M(",C54,")=")</f>
        <v>M(3)=</v>
      </c>
      <c r="N55">
        <f>J55+L55</f>
        <v>352.57679999999999</v>
      </c>
      <c r="O55" s="99">
        <f>O54+1</f>
        <v>8</v>
      </c>
      <c r="P55" s="99">
        <f t="shared" si="10"/>
        <v>5</v>
      </c>
      <c r="T55" s="89">
        <f>SUM(T52:T54)</f>
        <v>147</v>
      </c>
      <c r="V55" s="82">
        <f>SUM(V52:V54)</f>
        <v>147</v>
      </c>
      <c r="W55" s="84" t="str">
        <f>CONCATENATE("m'(",Q53,")=")</f>
        <v>m'(3)=</v>
      </c>
      <c r="X55" s="84">
        <f>(2*(X52^2)/24*V55)+(X54*Q52*WLS)</f>
        <v>198.45000000000002</v>
      </c>
      <c r="Y55" s="84" t="str">
        <f>CONCATENATE("M(",Q52,")=")</f>
        <v>M(2)=</v>
      </c>
      <c r="Z55" s="84">
        <f>VLOOKUP(Q52,STN_TABLE,4,FALSE)</f>
        <v>153.94320000000002</v>
      </c>
      <c r="AA55" t="str">
        <f>CONCATENATE("M(",Q53,")=")</f>
        <v>M(3)=</v>
      </c>
      <c r="AB55">
        <f>X55+Z55</f>
        <v>352.39320000000004</v>
      </c>
      <c r="AE55" s="89">
        <f>SUM(AE53:AE54)</f>
        <v>24.5</v>
      </c>
      <c r="AG55" s="89">
        <f>SUM(AG53:AG54)</f>
        <v>36.75</v>
      </c>
      <c r="AH55" s="84" t="str">
        <f>CONCATENATE("m'(",AD54,")=")</f>
        <v>m'(3)=</v>
      </c>
      <c r="AI55" s="84">
        <f>(2*(AI52^2)/6*AG55)+(AI54*AD53*WLS)</f>
        <v>198.45000000000002</v>
      </c>
      <c r="AJ55" s="84" t="str">
        <f>CONCATENATE("M(",AD53,")=")</f>
        <v>M(2)=</v>
      </c>
      <c r="AK55" s="84">
        <f>VLOOKUP(AD53,STN_TABLE,4,FALSE)</f>
        <v>153.94320000000002</v>
      </c>
      <c r="AL55" t="str">
        <f>CONCATENATE("M(",AD54,")=")</f>
        <v>M(3)=</v>
      </c>
      <c r="AM55">
        <f>AI55+AK55</f>
        <v>352.39320000000004</v>
      </c>
      <c r="AO55" s="82" t="str">
        <f>AA55</f>
        <v>M(3)=</v>
      </c>
      <c r="AP55" s="82" t="e">
        <f>VLOOKUP(AO55,Rise_Results,2,FALSE)</f>
        <v>#N/A</v>
      </c>
      <c r="AQ55" s="82">
        <f>N55</f>
        <v>352.57679999999999</v>
      </c>
      <c r="AR55" s="82">
        <f>IF(OR(AB54&lt;=0,AB55&lt;=0),1/0,AB55)</f>
        <v>352.39320000000004</v>
      </c>
      <c r="AS55" s="82">
        <f>AM55</f>
        <v>352.39320000000004</v>
      </c>
      <c r="AT55">
        <f>IFERROR(AP55,IFERROR(AQ55,IFERROR(AR55,AS55)))</f>
        <v>352.57679999999999</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12.25</v>
      </c>
      <c r="E57" s="102">
        <v>1</v>
      </c>
      <c r="F57" s="68">
        <f>D57*E57</f>
        <v>12.25</v>
      </c>
      <c r="G57" s="69">
        <f>C57</f>
        <v>2</v>
      </c>
      <c r="H57" s="69">
        <f>F57*G57</f>
        <v>24.5</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12.25</v>
      </c>
      <c r="S57" s="69">
        <v>5</v>
      </c>
      <c r="T57" s="68">
        <f>R57*S57</f>
        <v>61.25</v>
      </c>
      <c r="U57" s="79">
        <v>3</v>
      </c>
      <c r="V57" s="68">
        <f>R57*U57</f>
        <v>36.75</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12.25</v>
      </c>
      <c r="E58" s="81">
        <v>4</v>
      </c>
      <c r="F58" s="76">
        <f>D58*E58</f>
        <v>49</v>
      </c>
      <c r="G58" s="77">
        <f>C58</f>
        <v>3</v>
      </c>
      <c r="H58" s="77">
        <f>F58*G58</f>
        <v>147</v>
      </c>
      <c r="I58" s="512" t="s">
        <v>97</v>
      </c>
      <c r="J58" s="513"/>
      <c r="K58" s="78" t="s">
        <v>98</v>
      </c>
      <c r="L58" s="78"/>
      <c r="M58" s="7" t="s">
        <v>99</v>
      </c>
      <c r="N58" s="7"/>
      <c r="O58" s="99">
        <f>O57+1</f>
        <v>7</v>
      </c>
      <c r="P58" s="99">
        <f t="shared" si="10"/>
        <v>4</v>
      </c>
      <c r="Q58" s="76">
        <f>P58</f>
        <v>4</v>
      </c>
      <c r="R58" s="77">
        <f>VLOOKUP(Q58,STN_TABLE,2,FALSE)</f>
        <v>12.25</v>
      </c>
      <c r="S58" s="77">
        <v>8</v>
      </c>
      <c r="T58" s="76">
        <f>R58*S58</f>
        <v>98</v>
      </c>
      <c r="U58" s="80">
        <v>10</v>
      </c>
      <c r="V58" s="76">
        <f>R58*U58</f>
        <v>122.5</v>
      </c>
      <c r="W58" s="78" t="s">
        <v>97</v>
      </c>
      <c r="X58" s="78"/>
      <c r="Y58" s="78" t="s">
        <v>98</v>
      </c>
      <c r="Z58" s="78"/>
      <c r="AA58" s="7" t="s">
        <v>99</v>
      </c>
      <c r="AB58" s="7"/>
      <c r="AC58" s="99">
        <f>AC53+1</f>
        <v>6</v>
      </c>
      <c r="AD58" s="95">
        <f>VLOOKUP(AC58,STN_TABLE_2,2,FALSE)</f>
        <v>3</v>
      </c>
      <c r="AE58" s="68">
        <f>VLOOKUP(AD58,STN_TABLE,2,FALSE)</f>
        <v>12.25</v>
      </c>
      <c r="AF58" s="68">
        <v>1</v>
      </c>
      <c r="AG58" s="69">
        <f>AE58*AF58</f>
        <v>12.25</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12.25</v>
      </c>
      <c r="E59" s="92">
        <v>1</v>
      </c>
      <c r="F59" s="82">
        <f>D59*E59</f>
        <v>12.25</v>
      </c>
      <c r="G59" s="83">
        <f>C59</f>
        <v>4</v>
      </c>
      <c r="H59" s="83">
        <f>F59*G59</f>
        <v>49</v>
      </c>
      <c r="I59" s="84" t="str">
        <f>CONCATENATE("a'(",C59,")=")</f>
        <v>a'(4)=</v>
      </c>
      <c r="J59" s="84">
        <f>2*J57/3*F60</f>
        <v>88.2</v>
      </c>
      <c r="K59" s="84" t="str">
        <f>CONCATENATE("A(",C57,")=")</f>
        <v>A(2)=</v>
      </c>
      <c r="L59" s="84">
        <f>VLOOKUP(C57,STN_TABLE,3,FALSE)</f>
        <v>81.563999999999993</v>
      </c>
      <c r="M59" t="str">
        <f>CONCATENATE("A(",C59,")=")</f>
        <v>A(4)=</v>
      </c>
      <c r="N59">
        <f>J59+L59</f>
        <v>169.76400000000001</v>
      </c>
      <c r="O59" s="99">
        <f>O58+1</f>
        <v>8</v>
      </c>
      <c r="P59" s="99">
        <f t="shared" si="10"/>
        <v>5</v>
      </c>
      <c r="Q59" s="82">
        <f>IF(P59-P58=P58-P57,P59,IF(P60-P58=P58-P57,P60,IF(P59-P58=P58-P56,P59,IF(P60-P58=P58-P56,P60,"-"))))</f>
        <v>5</v>
      </c>
      <c r="R59" s="83">
        <f>VLOOKUP(Q59,STN_TABLE,2,FALSE)</f>
        <v>12.25</v>
      </c>
      <c r="S59" s="83">
        <v>-1</v>
      </c>
      <c r="T59" s="82">
        <f>R59*S59</f>
        <v>-12.25</v>
      </c>
      <c r="U59" s="88">
        <v>-1</v>
      </c>
      <c r="V59" s="82">
        <f>R59*U59</f>
        <v>-12.25</v>
      </c>
      <c r="W59" s="84" t="str">
        <f>CONCATENATE("a'(",Q58,")=")</f>
        <v>a'(4)=</v>
      </c>
      <c r="X59" s="84">
        <f>2*X57/12*T60</f>
        <v>44.1</v>
      </c>
      <c r="Y59" s="84" t="str">
        <f>CONCATENATE("A(",Q57,")=")</f>
        <v>A(3)=</v>
      </c>
      <c r="Z59" s="84">
        <f>VLOOKUP(Q57,STN_TABLE,3,FALSE)</f>
        <v>125.63399999999999</v>
      </c>
      <c r="AA59" t="str">
        <f>CONCATENATE("A(",Q58,")=")</f>
        <v>A(4)=</v>
      </c>
      <c r="AB59">
        <f>X59+Z59</f>
        <v>169.73399999999998</v>
      </c>
      <c r="AC59" s="99">
        <f>AC58+1</f>
        <v>7</v>
      </c>
      <c r="AD59" s="100">
        <f>VLOOKUP(AC59,STN_TABLE_2,2,FALSE)</f>
        <v>4</v>
      </c>
      <c r="AE59" s="82">
        <f>VLOOKUP(AD59,STN_TABLE,2,FALSE)</f>
        <v>12.25</v>
      </c>
      <c r="AF59" s="82">
        <v>2</v>
      </c>
      <c r="AG59" s="83">
        <f>AE59*AF59</f>
        <v>24.5</v>
      </c>
      <c r="AH59" s="84" t="str">
        <f>CONCATENATE("a'(",AD59,")=")</f>
        <v>a'(4)=</v>
      </c>
      <c r="AI59" s="84">
        <f>2*AI57/2*AE60</f>
        <v>44.1</v>
      </c>
      <c r="AJ59" s="84" t="str">
        <f>CONCATENATE("A(",AD58,")=")</f>
        <v>A(3)=</v>
      </c>
      <c r="AK59" s="84">
        <f>VLOOKUP(AD58,STN_TABLE,3,FALSE)</f>
        <v>125.63399999999999</v>
      </c>
      <c r="AL59" t="str">
        <f>CONCATENATE("A(",AD59,")=")</f>
        <v>A(4)=</v>
      </c>
      <c r="AM59">
        <f>AI59+AK59</f>
        <v>169.73399999999998</v>
      </c>
      <c r="AO59" s="68" t="str">
        <f>AA59</f>
        <v>A(4)=</v>
      </c>
      <c r="AP59" s="68" t="e">
        <f>VLOOKUP(AO59,Rise_Results,2,FALSE)</f>
        <v>#N/A</v>
      </c>
      <c r="AQ59" s="76">
        <f>N59</f>
        <v>169.76400000000001</v>
      </c>
      <c r="AR59" s="76">
        <f>IF(OR(AB59&lt;=0,AB60&lt;=0),1/0,AB59)</f>
        <v>169.73399999999998</v>
      </c>
      <c r="AS59" s="76">
        <f>AM59</f>
        <v>169.73399999999998</v>
      </c>
      <c r="AT59">
        <f>IFERROR(AP59,IFERROR(AQ59,IFERROR(AR59,AS59)))</f>
        <v>169.76400000000001</v>
      </c>
      <c r="AU59" s="81"/>
    </row>
    <row r="60" spans="1:47" x14ac:dyDescent="0.25">
      <c r="A60" s="84">
        <f>A59+1</f>
        <v>7</v>
      </c>
      <c r="B60" s="84">
        <f t="shared" si="11"/>
        <v>4</v>
      </c>
      <c r="F60" s="82">
        <f>SUM(F57:F59)</f>
        <v>73.5</v>
      </c>
      <c r="H60" s="82">
        <f>SUM(H57:H59)</f>
        <v>220.5</v>
      </c>
      <c r="I60" s="84" t="str">
        <f>CONCATENATE("m'(",C59,")=")</f>
        <v>m'(4)=</v>
      </c>
      <c r="J60" s="84">
        <f>2*(J57*(WLS))/3*H60</f>
        <v>476.28000000000003</v>
      </c>
      <c r="K60" s="84" t="str">
        <f>CONCATENATE("M(",C57,")=")</f>
        <v>M(2)=</v>
      </c>
      <c r="L60" s="84">
        <f>VLOOKUP(C57,STN_TABLE,4,FALSE)</f>
        <v>153.94320000000002</v>
      </c>
      <c r="M60" t="str">
        <f>CONCATENATE("M(",C59,")=")</f>
        <v>M(4)=</v>
      </c>
      <c r="N60">
        <f>J60+L60</f>
        <v>630.22320000000002</v>
      </c>
      <c r="O60" s="99">
        <f>O59+1</f>
        <v>9</v>
      </c>
      <c r="P60" s="99">
        <f t="shared" si="10"/>
        <v>5.6111111111111107</v>
      </c>
      <c r="T60" s="89">
        <f>SUM(T57:T59)</f>
        <v>147</v>
      </c>
      <c r="V60" s="82">
        <f>SUM(V57:V59)</f>
        <v>147</v>
      </c>
      <c r="W60" s="84" t="str">
        <f>CONCATENATE("m'(",Q58,")=")</f>
        <v>m'(4)=</v>
      </c>
      <c r="X60" s="84">
        <f>(2*(X57^2)/24*V60)+(X59*Q57*WLS)</f>
        <v>277.83000000000004</v>
      </c>
      <c r="Y60" s="84" t="str">
        <f>CONCATENATE("M(",Q57,")=")</f>
        <v>M(3)=</v>
      </c>
      <c r="Z60" s="84">
        <f>VLOOKUP(Q57,STN_TABLE,4,FALSE)</f>
        <v>352.57679999999999</v>
      </c>
      <c r="AA60" t="str">
        <f>CONCATENATE("M(",Q58,")=")</f>
        <v>M(4)=</v>
      </c>
      <c r="AB60">
        <f>X60+Z60</f>
        <v>630.40679999999998</v>
      </c>
      <c r="AE60" s="89">
        <f>SUM(AE58:AE59)</f>
        <v>24.5</v>
      </c>
      <c r="AG60" s="89">
        <f>SUM(AG58:AG59)</f>
        <v>36.75</v>
      </c>
      <c r="AH60" s="84" t="str">
        <f>CONCATENATE("m'(",AD59,")=")</f>
        <v>m'(4)=</v>
      </c>
      <c r="AI60" s="84">
        <f>(2*(AI57^2)/6*AG60)+(AI59*AD58*WLS)</f>
        <v>277.83000000000004</v>
      </c>
      <c r="AJ60" s="84" t="str">
        <f>CONCATENATE("M(",AD58,")=")</f>
        <v>M(3)=</v>
      </c>
      <c r="AK60" s="84">
        <f>VLOOKUP(AD57,STN_TABLE,4,FALSE)</f>
        <v>0</v>
      </c>
      <c r="AL60" t="str">
        <f>CONCATENATE("M(",AD59,")=")</f>
        <v>M(4)=</v>
      </c>
      <c r="AM60">
        <f>AI60+AK60</f>
        <v>277.83000000000004</v>
      </c>
      <c r="AO60" s="82" t="str">
        <f>AA60</f>
        <v>M(4)=</v>
      </c>
      <c r="AP60" s="82" t="e">
        <f>VLOOKUP(AO60,Rise_Results,2,FALSE)</f>
        <v>#N/A</v>
      </c>
      <c r="AQ60" s="82">
        <f>N60</f>
        <v>630.22320000000002</v>
      </c>
      <c r="AR60" s="82">
        <f>IF(OR(AB59&lt;=0,AB60&lt;=0),1/0,AB60)</f>
        <v>630.40679999999998</v>
      </c>
      <c r="AS60" s="82">
        <f>AM60</f>
        <v>277.83000000000004</v>
      </c>
      <c r="AT60">
        <f>IFERROR(AP60,IFERROR(AQ60,IFERROR(AR60,AS60)))</f>
        <v>630.22320000000002</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12.25</v>
      </c>
      <c r="E62" s="102">
        <v>1</v>
      </c>
      <c r="F62" s="68">
        <f>D62*E62</f>
        <v>12.25</v>
      </c>
      <c r="G62" s="69">
        <f>C62</f>
        <v>3</v>
      </c>
      <c r="H62" s="69">
        <f>F62*G62</f>
        <v>36.75</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12.25</v>
      </c>
      <c r="S62" s="69">
        <v>5</v>
      </c>
      <c r="T62" s="68">
        <f>R62*S62</f>
        <v>61.25</v>
      </c>
      <c r="U62" s="79">
        <v>3</v>
      </c>
      <c r="V62" s="68">
        <f>R62*U62</f>
        <v>36.75</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12.25</v>
      </c>
      <c r="E63" s="81">
        <v>4</v>
      </c>
      <c r="F63" s="76">
        <f>D63*E63</f>
        <v>49</v>
      </c>
      <c r="G63" s="77">
        <f>C63</f>
        <v>4</v>
      </c>
      <c r="H63" s="77">
        <f>F63*G63</f>
        <v>196</v>
      </c>
      <c r="I63" s="512" t="s">
        <v>97</v>
      </c>
      <c r="J63" s="513"/>
      <c r="K63" s="78" t="s">
        <v>98</v>
      </c>
      <c r="L63" s="78"/>
      <c r="M63" s="7" t="s">
        <v>99</v>
      </c>
      <c r="N63" s="7"/>
      <c r="O63" s="99">
        <f>O62+1</f>
        <v>8</v>
      </c>
      <c r="P63" s="99">
        <f t="shared" si="10"/>
        <v>5</v>
      </c>
      <c r="Q63" s="76">
        <f>P63</f>
        <v>5</v>
      </c>
      <c r="R63" s="77">
        <f>VLOOKUP(Q63,STN_TABLE,2,FALSE)</f>
        <v>12.25</v>
      </c>
      <c r="S63" s="77">
        <v>8</v>
      </c>
      <c r="T63" s="76">
        <f>R63*S63</f>
        <v>98</v>
      </c>
      <c r="U63" s="80">
        <v>10</v>
      </c>
      <c r="V63" s="76">
        <f>R63*U63</f>
        <v>122.5</v>
      </c>
      <c r="W63" s="513" t="s">
        <v>97</v>
      </c>
      <c r="X63" s="513"/>
      <c r="Y63" s="513" t="s">
        <v>98</v>
      </c>
      <c r="Z63" s="513"/>
      <c r="AA63" s="511" t="s">
        <v>99</v>
      </c>
      <c r="AB63" s="511"/>
      <c r="AC63" s="99">
        <f>AC58+1</f>
        <v>7</v>
      </c>
      <c r="AD63" s="95">
        <f>VLOOKUP(AC63,STN_TABLE_2,2,FALSE)</f>
        <v>4</v>
      </c>
      <c r="AE63" s="68">
        <f>VLOOKUP(AD63,STN_TABLE,2,FALSE)</f>
        <v>12.25</v>
      </c>
      <c r="AF63" s="68">
        <v>1</v>
      </c>
      <c r="AG63" s="69">
        <f>AE63*AF63</f>
        <v>12.25</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12.25</v>
      </c>
      <c r="E64" s="92">
        <v>1</v>
      </c>
      <c r="F64" s="82">
        <f>D64*E64</f>
        <v>12.25</v>
      </c>
      <c r="G64" s="83">
        <f>C64</f>
        <v>5</v>
      </c>
      <c r="H64" s="83">
        <f>F64*G64</f>
        <v>61.25</v>
      </c>
      <c r="I64" s="84" t="str">
        <f>CONCATENATE("a'(",C64,")=")</f>
        <v>a'(5)=</v>
      </c>
      <c r="J64" s="84">
        <f>2*J62/3*F65</f>
        <v>88.2</v>
      </c>
      <c r="K64" s="84" t="str">
        <f>CONCATENATE("A(",C62,")=")</f>
        <v>A(3)=</v>
      </c>
      <c r="L64" s="84">
        <f>VLOOKUP(C62,STN_TABLE,3,FALSE)</f>
        <v>125.63399999999999</v>
      </c>
      <c r="M64" t="str">
        <f>CONCATENATE("A(",C64,")=")</f>
        <v>A(5)=</v>
      </c>
      <c r="N64">
        <f>J64+L64</f>
        <v>213.834</v>
      </c>
      <c r="O64" s="99">
        <f>O63+1</f>
        <v>9</v>
      </c>
      <c r="P64" s="99">
        <f t="shared" si="10"/>
        <v>5.6111111111111107</v>
      </c>
      <c r="Q64" s="82">
        <f>IF(P64-P63=P63-P62,P64,IF(P65-P63=P63-P62,P65,IF(P64-P63=P63-P61,P64,IF(P65-P63=P63-P61,P65,"-"))))</f>
        <v>6</v>
      </c>
      <c r="R64" s="83">
        <f>VLOOKUP(Q64,STN_TABLE,2,FALSE)</f>
        <v>12.25</v>
      </c>
      <c r="S64" s="83">
        <v>-1</v>
      </c>
      <c r="T64" s="82">
        <f>R64*S64</f>
        <v>-12.25</v>
      </c>
      <c r="U64" s="88">
        <v>-1</v>
      </c>
      <c r="V64" s="82">
        <f>R64*U64</f>
        <v>-12.25</v>
      </c>
      <c r="W64" s="84" t="str">
        <f>CONCATENATE("a'(",Q63,")=")</f>
        <v>a'(5)=</v>
      </c>
      <c r="X64" s="84">
        <f>2*X62/12*T65</f>
        <v>44.1</v>
      </c>
      <c r="Y64" s="84" t="str">
        <f>CONCATENATE("A(",Q62,")=")</f>
        <v>A(4)=</v>
      </c>
      <c r="Z64" s="84">
        <f>VLOOKUP(Q62,STN_TABLE,3,FALSE)</f>
        <v>169.76400000000001</v>
      </c>
      <c r="AA64" t="str">
        <f>CONCATENATE("A(",Q63,")=")</f>
        <v>A(5)=</v>
      </c>
      <c r="AB64">
        <f>X64+Z64</f>
        <v>213.864</v>
      </c>
      <c r="AC64" s="99">
        <f>AC63+1</f>
        <v>8</v>
      </c>
      <c r="AD64" s="100">
        <f>VLOOKUP(AC64,STN_TABLE_2,2,FALSE)</f>
        <v>5</v>
      </c>
      <c r="AE64" s="82">
        <f>VLOOKUP(AD64,STN_TABLE,2,FALSE)</f>
        <v>12.25</v>
      </c>
      <c r="AF64" s="82">
        <v>2</v>
      </c>
      <c r="AG64" s="83">
        <f>AE64*AF64</f>
        <v>24.5</v>
      </c>
      <c r="AH64" s="84" t="str">
        <f>CONCATENATE("a'(",AD64,")=")</f>
        <v>a'(5)=</v>
      </c>
      <c r="AI64" s="84">
        <f>2*AI62/2*AE65</f>
        <v>44.1</v>
      </c>
      <c r="AJ64" s="84" t="str">
        <f>CONCATENATE("A(",AD63,")=")</f>
        <v>A(4)=</v>
      </c>
      <c r="AK64" s="84">
        <f>VLOOKUP(AD63,STN_TABLE,3,FALSE)</f>
        <v>169.76400000000001</v>
      </c>
      <c r="AL64" t="str">
        <f>CONCATENATE("A(",AD64,")=")</f>
        <v>A(5)=</v>
      </c>
      <c r="AM64">
        <f>AI64+AK64</f>
        <v>213.864</v>
      </c>
      <c r="AO64" s="68" t="str">
        <f>AA64</f>
        <v>A(5)=</v>
      </c>
      <c r="AP64" s="68" t="e">
        <f>VLOOKUP(AO64,Rise_Results,2,FALSE)</f>
        <v>#N/A</v>
      </c>
      <c r="AQ64" s="76">
        <f>N64</f>
        <v>213.834</v>
      </c>
      <c r="AR64" s="76">
        <f>IF(OR(AB64&lt;=0,AB65&lt;=0),1/0,AB64)</f>
        <v>213.864</v>
      </c>
      <c r="AS64" s="76">
        <f>AM64</f>
        <v>213.864</v>
      </c>
      <c r="AT64">
        <f>IFERROR(AP64,IFERROR(AQ64,IFERROR(AR64,AS64)))</f>
        <v>213.834</v>
      </c>
      <c r="AU64" s="81"/>
    </row>
    <row r="65" spans="1:47" x14ac:dyDescent="0.25">
      <c r="A65" s="84">
        <f>A64+1</f>
        <v>8</v>
      </c>
      <c r="B65" s="84">
        <f t="shared" si="11"/>
        <v>5</v>
      </c>
      <c r="F65" s="82">
        <f>SUM(F62:F64)</f>
        <v>73.5</v>
      </c>
      <c r="H65" s="82">
        <f>SUM(H62:H64)</f>
        <v>294</v>
      </c>
      <c r="I65" s="84" t="str">
        <f>CONCATENATE("m'(",C64,")=")</f>
        <v>m'(5)=</v>
      </c>
      <c r="J65" s="84">
        <f>2*(J62*(WLS))/3*H65</f>
        <v>635.04000000000008</v>
      </c>
      <c r="K65" s="84" t="str">
        <f>CONCATENATE("M(",C62,")=")</f>
        <v>M(3)=</v>
      </c>
      <c r="L65" s="84">
        <f>VLOOKUP(C62,STN_TABLE,4,FALSE)</f>
        <v>352.57679999999999</v>
      </c>
      <c r="M65" t="str">
        <f>CONCATENATE("M(",C64,")=")</f>
        <v>M(5)=</v>
      </c>
      <c r="N65">
        <f>J65+L65</f>
        <v>987.61680000000001</v>
      </c>
      <c r="O65" s="99">
        <f>O64+1</f>
        <v>10</v>
      </c>
      <c r="P65" s="99">
        <f t="shared" si="10"/>
        <v>6</v>
      </c>
      <c r="T65" s="89">
        <f>SUM(T62:T64)</f>
        <v>147</v>
      </c>
      <c r="V65" s="82">
        <f>SUM(V62:V64)</f>
        <v>147</v>
      </c>
      <c r="W65" s="84" t="str">
        <f>CONCATENATE("m'(",Q63,")=")</f>
        <v>m'(5)=</v>
      </c>
      <c r="X65" s="84">
        <f>(2*(X62^2)/24*V65)+(X64*Q62*WLS)</f>
        <v>357.21000000000004</v>
      </c>
      <c r="Y65" s="84" t="str">
        <f>CONCATENATE("M(",Q62,")=")</f>
        <v>M(4)=</v>
      </c>
      <c r="Z65" s="84">
        <f>VLOOKUP(Q62,STN_TABLE,4,FALSE)</f>
        <v>630.22320000000002</v>
      </c>
      <c r="AA65" t="str">
        <f>CONCATENATE("M(",Q63,")=")</f>
        <v>M(5)=</v>
      </c>
      <c r="AB65">
        <f>X65+Z65</f>
        <v>987.43320000000006</v>
      </c>
      <c r="AE65" s="89">
        <f>SUM(AE63:AE64)</f>
        <v>24.5</v>
      </c>
      <c r="AG65" s="89">
        <f>SUM(AG63:AG64)</f>
        <v>36.75</v>
      </c>
      <c r="AH65" s="84" t="str">
        <f>CONCATENATE("m'(",AD64,")=")</f>
        <v>m'(5)=</v>
      </c>
      <c r="AI65" s="84">
        <f>(2*(AI62^2)/6*AG65)+(AI64*AD63*WLS)</f>
        <v>357.21000000000004</v>
      </c>
      <c r="AJ65" s="84" t="str">
        <f>CONCATENATE("M(",AD63,")=")</f>
        <v>M(4)=</v>
      </c>
      <c r="AK65" s="84">
        <f>VLOOKUP(AD63,STN_TABLE,4,FALSE)</f>
        <v>630.22320000000002</v>
      </c>
      <c r="AL65" t="str">
        <f>CONCATENATE("M(",AD64,")=")</f>
        <v>M(5)=</v>
      </c>
      <c r="AM65">
        <f>AI65+AK65</f>
        <v>987.43320000000006</v>
      </c>
      <c r="AO65" s="82" t="str">
        <f>AA65</f>
        <v>M(5)=</v>
      </c>
      <c r="AP65" s="82" t="e">
        <f>VLOOKUP(AO65,Rise_Results,2,FALSE)</f>
        <v>#N/A</v>
      </c>
      <c r="AQ65" s="82">
        <f>N65</f>
        <v>987.61680000000001</v>
      </c>
      <c r="AR65" s="82">
        <f>IF(OR(AB64&lt;=0,AB65&lt;=0),1/0,AB65)</f>
        <v>987.43320000000006</v>
      </c>
      <c r="AS65" s="82">
        <f>AM65</f>
        <v>987.43320000000006</v>
      </c>
      <c r="AT65">
        <f>IFERROR(AP65,IFERROR(AQ65,IFERROR(AR65,AS65)))</f>
        <v>987.61680000000001</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12.25</v>
      </c>
      <c r="S68" s="77">
        <v>8</v>
      </c>
      <c r="T68" s="76">
        <f>R68*S68</f>
        <v>98</v>
      </c>
      <c r="U68" s="80">
        <v>10</v>
      </c>
      <c r="V68" s="76">
        <f>R68*U68</f>
        <v>122.5</v>
      </c>
      <c r="W68" s="513" t="s">
        <v>97</v>
      </c>
      <c r="X68" s="513"/>
      <c r="Y68" s="513" t="s">
        <v>98</v>
      </c>
      <c r="Z68" s="513"/>
      <c r="AA68" s="511" t="s">
        <v>99</v>
      </c>
      <c r="AB68" s="511"/>
      <c r="AC68" s="99">
        <f>AC63+1</f>
        <v>8</v>
      </c>
      <c r="AD68" s="95">
        <f>VLOOKUP(AC68,STN_TABLE_2,2,FALSE)</f>
        <v>5</v>
      </c>
      <c r="AE68" s="68">
        <f>VLOOKUP(AD68,STN_TABLE,2,FALSE)</f>
        <v>12.25</v>
      </c>
      <c r="AF68" s="68">
        <v>1</v>
      </c>
      <c r="AG68" s="69">
        <f>AE68*AF68</f>
        <v>12.25</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12.25</v>
      </c>
      <c r="E69" s="92">
        <v>1</v>
      </c>
      <c r="F69" s="82">
        <f>D69*E69</f>
        <v>12.25</v>
      </c>
      <c r="G69" s="83">
        <f>C69</f>
        <v>5.6111111111111107</v>
      </c>
      <c r="H69" s="83">
        <f>F69*G69</f>
        <v>68.7361111111111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12.25</v>
      </c>
      <c r="AF69" s="82">
        <v>2</v>
      </c>
      <c r="AG69" s="83">
        <f>AE69*AF69</f>
        <v>24.5</v>
      </c>
      <c r="AH69" s="84" t="str">
        <f>CONCATENATE("a'(",AD69,")=")</f>
        <v>a'(5.61111111111111)=</v>
      </c>
      <c r="AI69" s="84">
        <f>2*AI67/2*AE70</f>
        <v>26.949999999999985</v>
      </c>
      <c r="AJ69" s="84" t="str">
        <f>CONCATENATE("A(",AD68,")=")</f>
        <v>A(5)=</v>
      </c>
      <c r="AK69" s="84">
        <f>VLOOKUP(AD68,STN_TABLE,3,FALSE)</f>
        <v>213.834</v>
      </c>
      <c r="AL69" t="str">
        <f>CONCATENATE("A(",AD69,")=")</f>
        <v>A(5.61111111111111)=</v>
      </c>
      <c r="AM69">
        <f>AI69+AK69</f>
        <v>240.78399999999999</v>
      </c>
      <c r="AO69" s="68" t="str">
        <f>AA69</f>
        <v>A(5.61111111111111)=</v>
      </c>
      <c r="AP69" s="68" t="e">
        <f>VLOOKUP(AO69,Rise_Results,2,FALSE)</f>
        <v>#N/A</v>
      </c>
      <c r="AQ69" s="76" t="e">
        <f>N69</f>
        <v>#N/A</v>
      </c>
      <c r="AR69" s="76" t="e">
        <f>IF(OR(AB69&lt;=0,AB70&lt;=0),1/0,AB69)</f>
        <v>#VALUE!</v>
      </c>
      <c r="AS69" s="76">
        <f>AM69</f>
        <v>240.78399999999999</v>
      </c>
      <c r="AT69">
        <f>IFERROR(AP69,IFERROR(AQ69,IFERROR(AR69,AS69)))</f>
        <v>240.78399999999999</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24.5</v>
      </c>
      <c r="AG70" s="89">
        <f>SUM(AG68:AG69)</f>
        <v>36.75</v>
      </c>
      <c r="AH70" s="84" t="str">
        <f>CONCATENATE("m'(",AD69,")=")</f>
        <v>m'(5.61111111111111)=</v>
      </c>
      <c r="AI70" s="84">
        <f>(2*(AI67^2)/6*AG70)+(AI69*AD68*WLS)</f>
        <v>257.37249999999983</v>
      </c>
      <c r="AJ70" s="84" t="str">
        <f>CONCATENATE("M(",AD68,")=")</f>
        <v>M(5)=</v>
      </c>
      <c r="AK70" s="84">
        <f>VLOOKUP(AD68,STN_TABLE,4,FALSE)</f>
        <v>987.61680000000001</v>
      </c>
      <c r="AL70" t="str">
        <f>CONCATENATE("M(",AD69,")=")</f>
        <v>M(5.61111111111111)=</v>
      </c>
      <c r="AM70">
        <f>AI70+AK70</f>
        <v>1244.9892999999997</v>
      </c>
      <c r="AO70" s="82" t="str">
        <f>AA70</f>
        <v>M(5.61111111111111)=</v>
      </c>
      <c r="AP70" s="82" t="e">
        <f>VLOOKUP(AO70,Rise_Results,2,FALSE)</f>
        <v>#N/A</v>
      </c>
      <c r="AQ70" s="82" t="e">
        <f>N70</f>
        <v>#N/A</v>
      </c>
      <c r="AR70" s="82" t="e">
        <f>IF(OR(AB69&lt;=0,AB70&lt;=0),1/0,AB70)</f>
        <v>#VALUE!</v>
      </c>
      <c r="AS70" s="82">
        <f>AM70</f>
        <v>1244.9892999999997</v>
      </c>
      <c r="AT70">
        <f>IFERROR(AP70,IFERROR(AQ70,IFERROR(AR70,AS70)))</f>
        <v>1244.9892999999997</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12.25</v>
      </c>
      <c r="E72" s="102">
        <v>1</v>
      </c>
      <c r="F72" s="68">
        <f>D72*E72</f>
        <v>12.25</v>
      </c>
      <c r="G72" s="69">
        <f>C72</f>
        <v>4</v>
      </c>
      <c r="H72" s="69">
        <f>F72*G72</f>
        <v>49</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12.25</v>
      </c>
      <c r="S72" s="69">
        <v>5</v>
      </c>
      <c r="T72" s="68">
        <f>R72*S72</f>
        <v>61.25</v>
      </c>
      <c r="U72" s="79">
        <v>3</v>
      </c>
      <c r="V72" s="68">
        <f>R72*U72</f>
        <v>36.75</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12.25</v>
      </c>
      <c r="E73" s="81">
        <v>4</v>
      </c>
      <c r="F73" s="76">
        <f>D73*E73</f>
        <v>49</v>
      </c>
      <c r="G73" s="77">
        <f>C73</f>
        <v>5</v>
      </c>
      <c r="H73" s="77">
        <f>F73*G73</f>
        <v>245</v>
      </c>
      <c r="I73" s="512" t="s">
        <v>97</v>
      </c>
      <c r="J73" s="513"/>
      <c r="K73" s="78" t="s">
        <v>98</v>
      </c>
      <c r="L73" s="78"/>
      <c r="M73" s="7" t="s">
        <v>99</v>
      </c>
      <c r="N73" s="7"/>
      <c r="O73" s="99">
        <f>O72+1</f>
        <v>10</v>
      </c>
      <c r="P73" s="99">
        <f t="shared" si="23"/>
        <v>6</v>
      </c>
      <c r="Q73" s="76">
        <f>P73</f>
        <v>6</v>
      </c>
      <c r="R73" s="77">
        <f>VLOOKUP(Q73,STN_TABLE,2,FALSE)</f>
        <v>12.25</v>
      </c>
      <c r="S73" s="77">
        <v>8</v>
      </c>
      <c r="T73" s="76">
        <f>R73*S73</f>
        <v>98</v>
      </c>
      <c r="U73" s="80">
        <v>10</v>
      </c>
      <c r="V73" s="76">
        <f>R73*U73</f>
        <v>122.5</v>
      </c>
      <c r="W73" s="513" t="s">
        <v>97</v>
      </c>
      <c r="X73" s="513"/>
      <c r="Y73" s="513" t="s">
        <v>98</v>
      </c>
      <c r="Z73" s="513"/>
      <c r="AA73" s="511" t="s">
        <v>99</v>
      </c>
      <c r="AB73" s="511"/>
      <c r="AC73" s="99">
        <f>AC68+1</f>
        <v>9</v>
      </c>
      <c r="AD73" s="95">
        <f>VLOOKUP(AC73,STN_TABLE_2,2,FALSE)</f>
        <v>5.6111111111111107</v>
      </c>
      <c r="AE73" s="68">
        <f>VLOOKUP(AD73,STN_TABLE,2,FALSE)</f>
        <v>12.25</v>
      </c>
      <c r="AF73" s="68">
        <v>1</v>
      </c>
      <c r="AG73" s="69">
        <f>AE73*AF73</f>
        <v>12.25</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12.25</v>
      </c>
      <c r="E74" s="92">
        <v>1</v>
      </c>
      <c r="F74" s="82">
        <f>D74*E74</f>
        <v>12.25</v>
      </c>
      <c r="G74" s="83">
        <f>C74</f>
        <v>6</v>
      </c>
      <c r="H74" s="83">
        <f>F74*G74</f>
        <v>73.5</v>
      </c>
      <c r="I74" s="84" t="str">
        <f>CONCATENATE("a'(",C74,")=")</f>
        <v>a'(6)=</v>
      </c>
      <c r="J74" s="84">
        <f>2*J72/3*F75</f>
        <v>88.2</v>
      </c>
      <c r="K74" s="84" t="str">
        <f>CONCATENATE("A(",C72,")=")</f>
        <v>A(4)=</v>
      </c>
      <c r="L74" s="84">
        <f>VLOOKUP(C72,STN_TABLE,3,FALSE)</f>
        <v>169.76400000000001</v>
      </c>
      <c r="M74" t="str">
        <f>CONCATENATE("A(",C74,")=")</f>
        <v>A(6)=</v>
      </c>
      <c r="N74">
        <f>J74+L74</f>
        <v>257.964</v>
      </c>
      <c r="O74" s="99">
        <f>O73+1</f>
        <v>11</v>
      </c>
      <c r="P74" s="99">
        <f t="shared" si="23"/>
        <v>7</v>
      </c>
      <c r="Q74" s="82">
        <f>IF(P74-P73=P73-P72,P74,IF(P75-P73=P73-P72,P75,IF(P74-P73=P73-P71,P74,IF(P75-P73=P73-P71,P75,"-"))))</f>
        <v>7</v>
      </c>
      <c r="R74" s="83">
        <f>VLOOKUP(Q74,STN_TABLE,2,FALSE)</f>
        <v>12.25</v>
      </c>
      <c r="S74" s="83">
        <v>-1</v>
      </c>
      <c r="T74" s="82">
        <f>R74*S74</f>
        <v>-12.25</v>
      </c>
      <c r="U74" s="88">
        <v>-1</v>
      </c>
      <c r="V74" s="82">
        <f>R74*U74</f>
        <v>-12.25</v>
      </c>
      <c r="W74" s="84" t="str">
        <f>CONCATENATE("a'(",Q73,")=")</f>
        <v>a'(6)=</v>
      </c>
      <c r="X74" s="84">
        <f>2*X72/12*T75</f>
        <v>44.1</v>
      </c>
      <c r="Y74" s="84" t="str">
        <f>CONCATENATE("A(",Q72,")=")</f>
        <v>A(5)=</v>
      </c>
      <c r="Z74" s="84">
        <f>VLOOKUP(Q72,STN_TABLE,3,FALSE)</f>
        <v>213.834</v>
      </c>
      <c r="AA74" t="str">
        <f>CONCATENATE("A(",Q73,")=")</f>
        <v>A(6)=</v>
      </c>
      <c r="AB74">
        <f>X74+Z74</f>
        <v>257.93400000000003</v>
      </c>
      <c r="AC74" s="99">
        <f>AC73+1</f>
        <v>10</v>
      </c>
      <c r="AD74" s="100">
        <f>VLOOKUP(AC74,STN_TABLE_2,2,FALSE)</f>
        <v>6</v>
      </c>
      <c r="AE74" s="82">
        <f>VLOOKUP(AD74,STN_TABLE,2,FALSE)</f>
        <v>12.25</v>
      </c>
      <c r="AF74" s="82">
        <v>2</v>
      </c>
      <c r="AG74" s="83">
        <f>AE74*AF74</f>
        <v>24.5</v>
      </c>
      <c r="AH74" s="84" t="str">
        <f>CONCATENATE("a'(",AD74,")=")</f>
        <v>a'(6)=</v>
      </c>
      <c r="AI74" s="84">
        <f>2*AI72/2*AE75</f>
        <v>17.150000000000016</v>
      </c>
      <c r="AJ74" s="84" t="str">
        <f>CONCATENATE("A(",AD73,")=")</f>
        <v>A(5.61111111111111)=</v>
      </c>
      <c r="AK74" s="84">
        <f>VLOOKUP(AD73,STN_TABLE,3,FALSE)</f>
        <v>240.78399999999999</v>
      </c>
      <c r="AL74" t="str">
        <f>CONCATENATE("A(",AD74,")=")</f>
        <v>A(6)=</v>
      </c>
      <c r="AM74">
        <f>AI74+AK74</f>
        <v>257.93400000000003</v>
      </c>
      <c r="AO74" s="68" t="str">
        <f>AA74</f>
        <v>A(6)=</v>
      </c>
      <c r="AP74" s="68" t="e">
        <f>VLOOKUP(AO74,Rise_Results,2,FALSE)</f>
        <v>#N/A</v>
      </c>
      <c r="AQ74" s="76">
        <f>N74</f>
        <v>257.964</v>
      </c>
      <c r="AR74" s="76">
        <f>IF(OR(AB74&lt;=0,AB75&lt;=0),1/0,AB74)</f>
        <v>257.93400000000003</v>
      </c>
      <c r="AS74" s="76">
        <f>AM74</f>
        <v>257.93400000000003</v>
      </c>
      <c r="AT74">
        <f>IFERROR(AP74,IFERROR(AQ74,IFERROR(AR74,AS74)))</f>
        <v>257.964</v>
      </c>
      <c r="AU74" s="81"/>
    </row>
    <row r="75" spans="1:47" x14ac:dyDescent="0.25">
      <c r="A75" s="84">
        <f>A74+1</f>
        <v>10</v>
      </c>
      <c r="B75" s="84">
        <f t="shared" si="27"/>
        <v>6</v>
      </c>
      <c r="F75" s="82">
        <f>SUM(F72:F74)</f>
        <v>73.5</v>
      </c>
      <c r="H75" s="82">
        <f>SUM(H72:H74)</f>
        <v>367.5</v>
      </c>
      <c r="I75" s="84" t="str">
        <f>CONCATENATE("m'(",C74,")=")</f>
        <v>m'(6)=</v>
      </c>
      <c r="J75" s="84">
        <f>2*(J72*(WLS))/3*H75</f>
        <v>793.80000000000007</v>
      </c>
      <c r="K75" s="84" t="str">
        <f>CONCATENATE("M(",C72,")=")</f>
        <v>M(4)=</v>
      </c>
      <c r="L75" s="84">
        <f>VLOOKUP(C72,STN_TABLE,4,FALSE)</f>
        <v>630.22320000000002</v>
      </c>
      <c r="M75" t="str">
        <f>CONCATENATE("M(",C74,")=")</f>
        <v>M(6)=</v>
      </c>
      <c r="N75">
        <f>J75+L75</f>
        <v>1424.0232000000001</v>
      </c>
      <c r="O75" s="99">
        <f>O74+1</f>
        <v>12</v>
      </c>
      <c r="P75" s="99">
        <f t="shared" si="23"/>
        <v>7.8833333333333329</v>
      </c>
      <c r="T75" s="89">
        <f>SUM(T72:T74)</f>
        <v>147</v>
      </c>
      <c r="V75" s="82">
        <f>SUM(V72:V74)</f>
        <v>147</v>
      </c>
      <c r="W75" s="84" t="str">
        <f>CONCATENATE("m'(",Q73,")=")</f>
        <v>m'(6)=</v>
      </c>
      <c r="X75" s="84">
        <f>(2*(X72^2)/24*V75)+(X74*Q72*WLS)</f>
        <v>436.59000000000003</v>
      </c>
      <c r="Y75" s="84" t="str">
        <f>CONCATENATE("M(",Q72,")=")</f>
        <v>M(5)=</v>
      </c>
      <c r="Z75" s="84">
        <f>VLOOKUP(Q72,STN_TABLE,4,FALSE)</f>
        <v>987.61680000000001</v>
      </c>
      <c r="AA75" t="str">
        <f>CONCATENATE("M(",Q73,")=")</f>
        <v>M(6)=</v>
      </c>
      <c r="AB75">
        <f>X75+Z75</f>
        <v>1424.2067999999999</v>
      </c>
      <c r="AE75" s="89">
        <f>SUM(AE73:AE74)</f>
        <v>24.5</v>
      </c>
      <c r="AG75" s="89">
        <f>SUM(AG73:AG74)</f>
        <v>36.75</v>
      </c>
      <c r="AH75" s="84" t="str">
        <f>CONCATENATE("m'(",AD74,")=")</f>
        <v>m'(6)=</v>
      </c>
      <c r="AI75" s="84">
        <f>(2*(AI72^2)/6*AG75)+(AI74*AD73*WLS)</f>
        <v>179.21750000000017</v>
      </c>
      <c r="AJ75" s="84" t="str">
        <f>CONCATENATE("M(",AD73,")=")</f>
        <v>M(5.61111111111111)=</v>
      </c>
      <c r="AK75" s="84">
        <f>VLOOKUP(AD73,STN_TABLE,4,FALSE)</f>
        <v>1244.9892999999997</v>
      </c>
      <c r="AL75" t="str">
        <f>CONCATENATE("M(",AD74,")=")</f>
        <v>M(6)=</v>
      </c>
      <c r="AM75">
        <f>AI75+AK75</f>
        <v>1424.2067999999999</v>
      </c>
      <c r="AO75" s="82" t="str">
        <f>AA75</f>
        <v>M(6)=</v>
      </c>
      <c r="AP75" s="82" t="e">
        <f>VLOOKUP(AO75,Rise_Results,2,FALSE)</f>
        <v>#N/A</v>
      </c>
      <c r="AQ75" s="82">
        <f>N75</f>
        <v>1424.0232000000001</v>
      </c>
      <c r="AR75" s="82">
        <f>IF(OR(AB74&lt;=0,AB75&lt;=0),1/0,AB75)</f>
        <v>1424.2067999999999</v>
      </c>
      <c r="AS75" s="82">
        <f>AM75</f>
        <v>1424.2067999999999</v>
      </c>
      <c r="AT75">
        <f>IFERROR(AP75,IFERROR(AQ75,IFERROR(AR75,AS75)))</f>
        <v>1424.0232000000001</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12.25</v>
      </c>
      <c r="E77" s="102">
        <v>1</v>
      </c>
      <c r="F77" s="68">
        <f>D77*E77</f>
        <v>12.25</v>
      </c>
      <c r="G77" s="69">
        <f>C77</f>
        <v>5</v>
      </c>
      <c r="H77" s="69">
        <f>F77*G77</f>
        <v>61.25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12.25</v>
      </c>
      <c r="E78" s="81">
        <v>4</v>
      </c>
      <c r="F78" s="76">
        <f>D78*E78</f>
        <v>49</v>
      </c>
      <c r="G78" s="77">
        <f>C78</f>
        <v>6</v>
      </c>
      <c r="H78" s="77">
        <f>F78*G78</f>
        <v>294</v>
      </c>
      <c r="I78" s="512" t="s">
        <v>97</v>
      </c>
      <c r="J78" s="513"/>
      <c r="K78" s="78" t="s">
        <v>98</v>
      </c>
      <c r="L78" s="78"/>
      <c r="M78" s="7" t="s">
        <v>99</v>
      </c>
      <c r="N78" s="7"/>
      <c r="O78" s="99">
        <f>O77+1</f>
        <v>11</v>
      </c>
      <c r="P78" s="99">
        <f t="shared" si="23"/>
        <v>7</v>
      </c>
      <c r="Q78" s="76">
        <f>P78</f>
        <v>7</v>
      </c>
      <c r="R78" s="77">
        <f>VLOOKUP(Q78,STN_TABLE,2,FALSE)</f>
        <v>12.25</v>
      </c>
      <c r="S78" s="77">
        <v>8</v>
      </c>
      <c r="T78" s="76">
        <f>R78*S78</f>
        <v>98</v>
      </c>
      <c r="U78" s="80">
        <v>10</v>
      </c>
      <c r="V78" s="76">
        <f>R78*U78</f>
        <v>122.5</v>
      </c>
      <c r="W78" s="513" t="s">
        <v>97</v>
      </c>
      <c r="X78" s="513"/>
      <c r="Y78" s="513" t="s">
        <v>98</v>
      </c>
      <c r="Z78" s="513"/>
      <c r="AA78" s="511" t="s">
        <v>99</v>
      </c>
      <c r="AB78" s="511"/>
      <c r="AC78" s="99">
        <f>AC73+1</f>
        <v>10</v>
      </c>
      <c r="AD78" s="95">
        <f>VLOOKUP(AC78,STN_TABLE_2,2,FALSE)</f>
        <v>6</v>
      </c>
      <c r="AE78" s="68">
        <f>VLOOKUP(AD78,STN_TABLE,2,FALSE)</f>
        <v>12.25</v>
      </c>
      <c r="AF78" s="68">
        <v>1</v>
      </c>
      <c r="AG78" s="69">
        <f>AE78*AF78</f>
        <v>12.25</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12.25</v>
      </c>
      <c r="E79" s="92">
        <v>1</v>
      </c>
      <c r="F79" s="82">
        <f>D79*E79</f>
        <v>12.25</v>
      </c>
      <c r="G79" s="83">
        <f>C79</f>
        <v>7</v>
      </c>
      <c r="H79" s="83">
        <f>F79*G79</f>
        <v>85.75</v>
      </c>
      <c r="I79" s="84" t="str">
        <f>CONCATENATE("a'(",C79,")=")</f>
        <v>a'(7)=</v>
      </c>
      <c r="J79" s="84">
        <f>2*J77/3*F80</f>
        <v>88.2</v>
      </c>
      <c r="K79" s="84" t="str">
        <f>CONCATENATE("A(",C77,")=")</f>
        <v>A(5)=</v>
      </c>
      <c r="L79" s="84">
        <f>VLOOKUP(C77,STN_TABLE,3,FALSE)</f>
        <v>213.834</v>
      </c>
      <c r="M79" t="str">
        <f>CONCATENATE("A(",C79,")=")</f>
        <v>A(7)=</v>
      </c>
      <c r="N79">
        <f>J79+L79</f>
        <v>302.03399999999999</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12.25</v>
      </c>
      <c r="AF79" s="82">
        <v>2</v>
      </c>
      <c r="AG79" s="83">
        <f>AE79*AF79</f>
        <v>24.5</v>
      </c>
      <c r="AH79" s="84" t="str">
        <f>CONCATENATE("a'(",AD79,")=")</f>
        <v>a'(7)=</v>
      </c>
      <c r="AI79" s="84">
        <f>2*AI77/2*AE80</f>
        <v>44.1</v>
      </c>
      <c r="AJ79" s="84" t="str">
        <f>CONCATENATE("A(",AD78,")=")</f>
        <v>A(6)=</v>
      </c>
      <c r="AK79" s="84">
        <f>VLOOKUP(AD78,STN_TABLE,3,FALSE)</f>
        <v>257.964</v>
      </c>
      <c r="AL79" t="str">
        <f>CONCATENATE("A(",AD79,")=")</f>
        <v>A(7)=</v>
      </c>
      <c r="AM79">
        <f>AI79+AK79</f>
        <v>302.06400000000002</v>
      </c>
      <c r="AO79" s="68" t="str">
        <f>AA79</f>
        <v>A(7)=</v>
      </c>
      <c r="AP79" s="68" t="e">
        <f>VLOOKUP(AO79,Rise_Results,2,FALSE)</f>
        <v>#N/A</v>
      </c>
      <c r="AQ79" s="76">
        <f>N79</f>
        <v>302.03399999999999</v>
      </c>
      <c r="AR79" s="76" t="e">
        <f>IF(OR(AB79&lt;=0,AB80&lt;=0),1/0,AB79)</f>
        <v>#VALUE!</v>
      </c>
      <c r="AS79" s="76">
        <f>AM79</f>
        <v>302.06400000000002</v>
      </c>
      <c r="AT79">
        <f>IFERROR(AP79,IFERROR(AQ79,IFERROR(AR79,AS79)))</f>
        <v>302.03399999999999</v>
      </c>
      <c r="AU79" s="81"/>
    </row>
    <row r="80" spans="1:47" x14ac:dyDescent="0.25">
      <c r="A80" s="84">
        <f>A79+1</f>
        <v>11</v>
      </c>
      <c r="B80" s="84">
        <f t="shared" si="27"/>
        <v>7</v>
      </c>
      <c r="F80" s="82">
        <f>SUM(F77:F79)</f>
        <v>73.5</v>
      </c>
      <c r="H80" s="82">
        <f>SUM(H77:H79)</f>
        <v>441</v>
      </c>
      <c r="I80" s="84" t="str">
        <f>CONCATENATE("m'(",C79,")=")</f>
        <v>m'(7)=</v>
      </c>
      <c r="J80" s="84">
        <f>2*(J77*(WLS))/3*H80</f>
        <v>952.56000000000006</v>
      </c>
      <c r="K80" s="84" t="str">
        <f>CONCATENATE("M(",C77,")=")</f>
        <v>M(5)=</v>
      </c>
      <c r="L80" s="84">
        <f>VLOOKUP(C77,STN_TABLE,4,FALSE)</f>
        <v>987.61680000000001</v>
      </c>
      <c r="M80" t="str">
        <f>CONCATENATE("M(",C79,")=")</f>
        <v>M(7)=</v>
      </c>
      <c r="N80">
        <f>J80+L80</f>
        <v>1940.1768000000002</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24.5</v>
      </c>
      <c r="AG80" s="89">
        <f>SUM(AG78:AG79)</f>
        <v>36.75</v>
      </c>
      <c r="AH80" s="84" t="str">
        <f>CONCATENATE("m'(",AD79,")=")</f>
        <v>m'(7)=</v>
      </c>
      <c r="AI80" s="84">
        <f>(2*(AI77^2)/6*AG80)+(AI79*AD78*WLS)</f>
        <v>515.97</v>
      </c>
      <c r="AJ80" s="84" t="str">
        <f>CONCATENATE("M(",AD78,")=")</f>
        <v>M(6)=</v>
      </c>
      <c r="AK80" s="84">
        <f>VLOOKUP(AD78,STN_TABLE,4,FALSE)</f>
        <v>1424.0232000000001</v>
      </c>
      <c r="AL80" t="str">
        <f>CONCATENATE("M(",AD79,")=")</f>
        <v>M(7)=</v>
      </c>
      <c r="AM80">
        <f>AI80+AK80</f>
        <v>1939.9932000000001</v>
      </c>
      <c r="AO80" s="82" t="str">
        <f>AA80</f>
        <v>M(7)=</v>
      </c>
      <c r="AP80" s="82" t="e">
        <f>VLOOKUP(AO80,Rise_Results,2,FALSE)</f>
        <v>#N/A</v>
      </c>
      <c r="AQ80" s="82">
        <f>N80</f>
        <v>1940.1768000000002</v>
      </c>
      <c r="AR80" s="82" t="e">
        <f>IF(OR(AB79&lt;=0,AB80&lt;=0),1/0,AB80)</f>
        <v>#VALUE!</v>
      </c>
      <c r="AS80" s="82">
        <f>AM80</f>
        <v>1939.9932000000001</v>
      </c>
      <c r="AT80">
        <f>IFERROR(AP80,IFERROR(AQ80,IFERROR(AR80,AS80)))</f>
        <v>1940.1768000000002</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12.25</v>
      </c>
      <c r="AF83" s="68">
        <v>1</v>
      </c>
      <c r="AG83" s="69">
        <f>AE83*AF83</f>
        <v>12.25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38.954999999999977</v>
      </c>
      <c r="AJ84" s="84" t="str">
        <f>CONCATENATE("A(",AD83,")=")</f>
        <v>A(7)=</v>
      </c>
      <c r="AK84" s="84">
        <f>VLOOKUP(AD83,STN_TABLE,3,FALSE)</f>
        <v>302.03399999999999</v>
      </c>
      <c r="AL84" t="str">
        <f>CONCATENATE("A(",AD84,")=")</f>
        <v>A(7.88333333333333)=</v>
      </c>
      <c r="AM84">
        <f>AI84+AK84</f>
        <v>340.98899999999998</v>
      </c>
      <c r="AO84" s="68" t="str">
        <f>AA84</f>
        <v>A(7.88333333333333)=</v>
      </c>
      <c r="AP84" s="68" t="e">
        <f>VLOOKUP(AO84,Rise_Results,2,FALSE)</f>
        <v>#N/A</v>
      </c>
      <c r="AQ84" s="76" t="e">
        <f>N84</f>
        <v>#N/A</v>
      </c>
      <c r="AR84" s="76" t="e">
        <f>IF(OR(AB84&lt;=0,AB85&lt;=0),1/0,AB84)</f>
        <v>#VALUE!</v>
      </c>
      <c r="AS84" s="76">
        <f>AM84</f>
        <v>340.98899999999998</v>
      </c>
      <c r="AT84">
        <f>IFERROR(AP84,IFERROR(AQ84,IFERROR(AR84,AS84)))</f>
        <v>340.98899999999998</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24.5</v>
      </c>
      <c r="AG85" s="89">
        <f>SUM(AG83:AG84)</f>
        <v>36.75</v>
      </c>
      <c r="AH85" s="84" t="str">
        <f>CONCATENATE("m'(",AD84,")=")</f>
        <v>m'(7.88333333333333)=</v>
      </c>
      <c r="AI85" s="84">
        <f>(2*(AI82^2)/6*AG85)+(AI84*AD83*WLS)</f>
        <v>521.80222499999968</v>
      </c>
      <c r="AJ85" s="84" t="str">
        <f>CONCATENATE("M(",AD83,")=")</f>
        <v>M(7)=</v>
      </c>
      <c r="AK85" s="84">
        <f>VLOOKUP(AD83,STN_TABLE,4,FALSE)</f>
        <v>1940.1768000000002</v>
      </c>
      <c r="AL85" t="str">
        <f>CONCATENATE("M(",AD84,")=")</f>
        <v>M(7.88333333333333)=</v>
      </c>
      <c r="AM85">
        <f>AI85+AK85</f>
        <v>2461.9790249999996</v>
      </c>
      <c r="AO85" s="82" t="str">
        <f>AA85</f>
        <v>M(7.88333333333333)=</v>
      </c>
      <c r="AP85" s="82" t="e">
        <f>VLOOKUP(AO85,Rise_Results,2,FALSE)</f>
        <v>#N/A</v>
      </c>
      <c r="AQ85" s="82" t="e">
        <f>N85</f>
        <v>#N/A</v>
      </c>
      <c r="AR85" s="82" t="e">
        <f>IF(OR(AB84&lt;=0,AB85&lt;=0),1/0,AB85)</f>
        <v>#VALUE!</v>
      </c>
      <c r="AS85" s="82">
        <f>AM85</f>
        <v>2461.9790249999996</v>
      </c>
      <c r="AT85">
        <f>IFERROR(AP85,IFERROR(AQ85,IFERROR(AR85,AS85)))</f>
        <v>2461.9790249999996</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340.98899999999998</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2461.9790249999996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9</v>
      </c>
      <c r="E1" s="511" t="s">
        <v>91</v>
      </c>
      <c r="F1" s="511"/>
      <c r="G1" t="str">
        <f>VLOOKUP(Station_No,RISE_CALC,2,FALSE)</f>
        <v>-</v>
      </c>
      <c r="L1" s="511" t="s">
        <v>92</v>
      </c>
      <c r="M1" s="511"/>
      <c r="N1">
        <v>12</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7.2</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10.78</v>
      </c>
      <c r="D5" s="81">
        <f t="shared" ref="D5:D28" si="4">IFERROR(VLOOKUP(CONCATENATE("A(",B5,")="),RESULT_TABLE,6,FALSE)," ")</f>
        <v>16.577999999999999</v>
      </c>
      <c r="E5" s="77">
        <f t="shared" ref="E5:E28" si="5">IFERROR(VLOOKUP(CONCATENATE("M(",B5,")="),RESULT_TABLE,6,FALSE)," ")</f>
        <v>7.9434000000000013</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11.72</v>
      </c>
      <c r="D6" s="81">
        <f t="shared" si="4"/>
        <v>37.223999999999997</v>
      </c>
      <c r="E6" s="77">
        <f t="shared" si="5"/>
        <v>35.942400000000006</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12.12</v>
      </c>
      <c r="D7" s="81">
        <f t="shared" si="4"/>
        <v>58.445999999999998</v>
      </c>
      <c r="E7" s="77">
        <f t="shared" si="5"/>
        <v>84.02940000000001</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12.25</v>
      </c>
      <c r="D8" s="81">
        <f t="shared" si="4"/>
        <v>80.693999999999988</v>
      </c>
      <c r="E8" s="77">
        <f t="shared" si="5"/>
        <v>153.5976</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12.25</v>
      </c>
      <c r="D9" s="81">
        <f t="shared" si="4"/>
        <v>124.78799999999998</v>
      </c>
      <c r="E9" s="77">
        <f t="shared" si="5"/>
        <v>352.31760000000003</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12.25</v>
      </c>
      <c r="D10" s="81">
        <f t="shared" si="4"/>
        <v>168.89400000000001</v>
      </c>
      <c r="E10" s="77">
        <f t="shared" si="5"/>
        <v>629.87760000000003</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12.25</v>
      </c>
      <c r="D11" s="81">
        <f t="shared" si="4"/>
        <v>212.988</v>
      </c>
      <c r="E11" s="77">
        <f t="shared" si="5"/>
        <v>987.35760000000005</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12.25</v>
      </c>
      <c r="D12" s="81">
        <f t="shared" si="4"/>
        <v>239.93799999999999</v>
      </c>
      <c r="E12" s="77">
        <f t="shared" si="5"/>
        <v>1244.7300999999998</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12.25</v>
      </c>
      <c r="D13" s="81">
        <f t="shared" si="4"/>
        <v>257.09399999999999</v>
      </c>
      <c r="E13" s="77">
        <f t="shared" si="5"/>
        <v>1423.6776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12.25</v>
      </c>
      <c r="D14" s="81">
        <f t="shared" si="4"/>
        <v>301.18799999999999</v>
      </c>
      <c r="E14" s="77">
        <f t="shared" si="5"/>
        <v>1939.9176000000002</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340.14299999999997</v>
      </c>
      <c r="E15" s="77">
        <f t="shared" si="5"/>
        <v>2461.7198250000001</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7.2</v>
      </c>
      <c r="S32" s="69">
        <v>5</v>
      </c>
      <c r="T32" s="68">
        <f>R32*S32</f>
        <v>36</v>
      </c>
      <c r="U32" s="79">
        <v>3</v>
      </c>
      <c r="V32" s="68">
        <f>R32*U32</f>
        <v>21.6</v>
      </c>
      <c r="W32" t="s">
        <v>93</v>
      </c>
      <c r="X32" s="70">
        <f>IF(AND(Q34-Q33=Q33-Q32,NOT(AND(Q32=0,Q33=0)),NOT(AND(Q33=0,Q34=0))),WLS*(Q34-Q33),"#NA")</f>
        <v>0.9</v>
      </c>
      <c r="AD32" s="93"/>
      <c r="AH32" s="6" t="s">
        <v>93</v>
      </c>
      <c r="AI32" s="70">
        <f>WLS*(AD34-AD33)</f>
        <v>0.9</v>
      </c>
    </row>
    <row r="33" spans="1:47" x14ac:dyDescent="0.25">
      <c r="Q33" s="76">
        <f>B5</f>
        <v>0.5</v>
      </c>
      <c r="R33" s="77">
        <f>VLOOKUP(Q33,STN_TABLE,2,FALSE)</f>
        <v>10.78</v>
      </c>
      <c r="S33" s="77">
        <v>8</v>
      </c>
      <c r="T33" s="76">
        <f>R33*S33</f>
        <v>86.24</v>
      </c>
      <c r="U33" s="80">
        <v>10</v>
      </c>
      <c r="V33" s="76">
        <f>R33*U33</f>
        <v>107.8</v>
      </c>
      <c r="W33" s="512" t="s">
        <v>97</v>
      </c>
      <c r="X33" s="513"/>
      <c r="Y33" s="513" t="s">
        <v>98</v>
      </c>
      <c r="Z33" s="513"/>
      <c r="AA33" s="511" t="s">
        <v>99</v>
      </c>
      <c r="AB33" s="511"/>
      <c r="AC33" s="94">
        <v>1</v>
      </c>
      <c r="AD33" s="95">
        <f>VLOOKUP(AC33,STN_TABLE_2,2,FALSE)</f>
        <v>0</v>
      </c>
      <c r="AE33" s="68">
        <f>VLOOKUP(AD33,STN_TABLE,2,FALSE)</f>
        <v>7.2</v>
      </c>
      <c r="AF33" s="68">
        <v>1</v>
      </c>
      <c r="AG33" s="69">
        <f>AE33*AF33</f>
        <v>7.2</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11.72</v>
      </c>
      <c r="S34" s="83">
        <v>-1</v>
      </c>
      <c r="T34" s="82">
        <f>R34*S34</f>
        <v>-11.72</v>
      </c>
      <c r="U34" s="88">
        <v>-1</v>
      </c>
      <c r="V34" s="82">
        <f>R34*U34</f>
        <v>-11.72</v>
      </c>
      <c r="W34" s="84" t="str">
        <f>CONCATENATE("a'(",Q33,")=")</f>
        <v>a'(0.5)=</v>
      </c>
      <c r="X34" s="84">
        <f>2*X32/12*T35</f>
        <v>16.577999999999999</v>
      </c>
      <c r="Y34" s="84" t="str">
        <f>CONCATENATE("A(",Q32,")=")</f>
        <v>A(0)=</v>
      </c>
      <c r="Z34" s="84">
        <f>VLOOKUP(Q32,STN_TABLE,3,FALSE)</f>
        <v>0</v>
      </c>
      <c r="AA34" t="str">
        <f>CONCATENATE("A(",Q33,")=")</f>
        <v>A(0.5)=</v>
      </c>
      <c r="AB34">
        <f>X34+Z34</f>
        <v>16.577999999999999</v>
      </c>
      <c r="AC34" s="99">
        <f>AC33+1</f>
        <v>2</v>
      </c>
      <c r="AD34" s="100">
        <f>VLOOKUP(AC34,STN_TABLE_2,2,FALSE)</f>
        <v>0.5</v>
      </c>
      <c r="AE34" s="82">
        <f>VLOOKUP(AD34,STN_TABLE,2,FALSE)</f>
        <v>10.78</v>
      </c>
      <c r="AF34" s="82">
        <v>2</v>
      </c>
      <c r="AG34" s="83">
        <f>AE34*AF34</f>
        <v>21.56</v>
      </c>
      <c r="AH34" s="84" t="str">
        <f>CONCATENATE("a'(",AD34,")=")</f>
        <v>a'(0.5)=</v>
      </c>
      <c r="AI34" s="84">
        <f>2*AI32/2*AE35</f>
        <v>16.182000000000002</v>
      </c>
      <c r="AJ34" s="84" t="str">
        <f>CONCATENATE("A(",AD33,")=")</f>
        <v>A(0)=</v>
      </c>
      <c r="AK34" s="84">
        <f>VLOOKUP(AD33,STN_TABLE,3,FALSE)</f>
        <v>0</v>
      </c>
      <c r="AL34" t="str">
        <f>CONCATENATE("A(",AD34,")=")</f>
        <v>A(0.5)=</v>
      </c>
      <c r="AM34">
        <f>AI34+AK34</f>
        <v>16.182000000000002</v>
      </c>
      <c r="AO34" s="68" t="str">
        <f>AA34</f>
        <v>A(0.5)=</v>
      </c>
      <c r="AP34" s="79" t="e">
        <f>VLOOKUP(AO34,Rise_Results,2,FALSE)</f>
        <v>#N/A</v>
      </c>
      <c r="AQ34" s="76" t="s">
        <v>117</v>
      </c>
      <c r="AR34" s="76">
        <f>IF(OR(AB34&lt;=0,AB35&lt;=0),1/0,AB34)</f>
        <v>16.577999999999999</v>
      </c>
      <c r="AS34" s="76">
        <f>AM34</f>
        <v>16.182000000000002</v>
      </c>
      <c r="AT34" s="80">
        <f>IFERROR(AP34,IFERROR(AR34,AS34))</f>
        <v>16.577999999999999</v>
      </c>
    </row>
    <row r="35" spans="1:47" x14ac:dyDescent="0.25">
      <c r="A35" s="101"/>
      <c r="T35" s="89">
        <f>SUM(T32:T34)</f>
        <v>110.52</v>
      </c>
      <c r="V35" s="82">
        <f>SUM(V32:V34)</f>
        <v>117.68</v>
      </c>
      <c r="W35" s="84" t="str">
        <f>CONCATENATE("m'(",Q33,")=")</f>
        <v>m'(0.5)=</v>
      </c>
      <c r="X35" s="84">
        <f>(2*(X32^2)/24*V35)</f>
        <v>7.9434000000000013</v>
      </c>
      <c r="Y35" s="84" t="str">
        <f>CONCATENATE("M(",Q32,")=")</f>
        <v>M(0)=</v>
      </c>
      <c r="Z35" s="84">
        <f>VLOOKUP(Q32,STN_TABLE,4,FALSE)</f>
        <v>0</v>
      </c>
      <c r="AA35" t="str">
        <f>CONCATENATE("M(",Q33,")=")</f>
        <v>M(0.5)=</v>
      </c>
      <c r="AB35">
        <f>X35+Z35</f>
        <v>7.9434000000000013</v>
      </c>
      <c r="AE35" s="89">
        <f>SUM(AE33:AE34)</f>
        <v>17.98</v>
      </c>
      <c r="AG35" s="89">
        <f>SUM(AG33:AG34)</f>
        <v>28.759999999999998</v>
      </c>
      <c r="AH35" s="84" t="str">
        <f>CONCATENATE("m'(",AD34,")=")</f>
        <v>m'(0.5)=</v>
      </c>
      <c r="AI35" s="84">
        <f>(2*(AI32^2)/6*AG35)+(AI34*AD33*WLS)</f>
        <v>7.7652000000000001</v>
      </c>
      <c r="AJ35" s="84" t="str">
        <f>CONCATENATE("M(",AD33,")=")</f>
        <v>M(0)=</v>
      </c>
      <c r="AK35" s="84">
        <f>VLOOKUP(AD33,STN_TABLE,4,FALSE)</f>
        <v>0</v>
      </c>
      <c r="AL35" t="str">
        <f>CONCATENATE("M(",AD34,")=")</f>
        <v>M(0.5)=</v>
      </c>
      <c r="AM35">
        <f>AI35+AK35</f>
        <v>7.7652000000000001</v>
      </c>
      <c r="AO35" s="82" t="str">
        <f>AA35</f>
        <v>M(0.5)=</v>
      </c>
      <c r="AP35" s="88" t="e">
        <f>VLOOKUP(AO35,Rise_Results,2,FALSE)</f>
        <v>#N/A</v>
      </c>
      <c r="AQ35" s="82" t="s">
        <v>117</v>
      </c>
      <c r="AR35" s="82">
        <f>IF(OR(AB34&lt;=0,AB35&lt;=0),1/0,AB35)</f>
        <v>7.9434000000000013</v>
      </c>
      <c r="AS35" s="82">
        <f>AM35</f>
        <v>7.7652000000000001</v>
      </c>
      <c r="AT35" s="80">
        <f>IFERROR(AP35,IFERROR(AR35,AS35))</f>
        <v>7.9434000000000013</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7.2</v>
      </c>
      <c r="E37" s="102">
        <v>1</v>
      </c>
      <c r="F37" s="68">
        <f>D37*E37</f>
        <v>7.2</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10.78</v>
      </c>
      <c r="S37" s="69">
        <v>5</v>
      </c>
      <c r="T37" s="68">
        <f>R37*S37</f>
        <v>53.9</v>
      </c>
      <c r="U37" s="79">
        <v>3</v>
      </c>
      <c r="V37" s="68">
        <f>R37*U37</f>
        <v>32.339999999999996</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10.78</v>
      </c>
      <c r="E38" s="81">
        <v>4</v>
      </c>
      <c r="F38" s="76">
        <f>D38*E38</f>
        <v>43.12</v>
      </c>
      <c r="G38" s="77">
        <f>C38</f>
        <v>0.5</v>
      </c>
      <c r="H38" s="77">
        <f>F38*G38</f>
        <v>21.56</v>
      </c>
      <c r="I38" s="513" t="s">
        <v>97</v>
      </c>
      <c r="J38" s="513"/>
      <c r="K38" s="78" t="s">
        <v>98</v>
      </c>
      <c r="L38" s="78"/>
      <c r="M38" s="7" t="s">
        <v>99</v>
      </c>
      <c r="N38" s="7"/>
      <c r="O38" s="99">
        <f>O37+1</f>
        <v>3</v>
      </c>
      <c r="P38" s="99">
        <f t="shared" si="10"/>
        <v>1</v>
      </c>
      <c r="Q38" s="76">
        <f>P38</f>
        <v>1</v>
      </c>
      <c r="R38" s="77">
        <f>VLOOKUP(Q38,STN_TABLE,2,FALSE)</f>
        <v>11.72</v>
      </c>
      <c r="S38" s="77">
        <v>8</v>
      </c>
      <c r="T38" s="76">
        <f>R38*S38</f>
        <v>93.76</v>
      </c>
      <c r="U38" s="80">
        <v>10</v>
      </c>
      <c r="V38" s="76">
        <f>R38*U38</f>
        <v>117.2</v>
      </c>
      <c r="W38" s="513" t="s">
        <v>97</v>
      </c>
      <c r="X38" s="513"/>
      <c r="Y38" s="513" t="s">
        <v>98</v>
      </c>
      <c r="Z38" s="513"/>
      <c r="AA38" s="511" t="s">
        <v>99</v>
      </c>
      <c r="AB38" s="511"/>
      <c r="AC38" s="99">
        <f>AC33+1</f>
        <v>2</v>
      </c>
      <c r="AD38" s="95">
        <f>VLOOKUP(AC38,STN_TABLE_2,2,FALSE)</f>
        <v>0.5</v>
      </c>
      <c r="AE38" s="68">
        <f>VLOOKUP(AD38,STN_TABLE,2,FALSE)</f>
        <v>10.78</v>
      </c>
      <c r="AF38" s="68">
        <v>1</v>
      </c>
      <c r="AG38" s="69">
        <f>AE38*AF38</f>
        <v>10.78</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11.72</v>
      </c>
      <c r="E39" s="92">
        <v>1</v>
      </c>
      <c r="F39" s="82">
        <f>D39*E39</f>
        <v>11.72</v>
      </c>
      <c r="G39" s="83">
        <f>C39</f>
        <v>1</v>
      </c>
      <c r="H39" s="83">
        <f>F39*G39</f>
        <v>11.72</v>
      </c>
      <c r="I39" s="84" t="str">
        <f>CONCATENATE("a'(",C39,")=")</f>
        <v>a'(1)=</v>
      </c>
      <c r="J39" s="84">
        <f>2*J37/3*F40</f>
        <v>37.223999999999997</v>
      </c>
      <c r="K39" s="84" t="str">
        <f>CONCATENATE("A(",C37,")=")</f>
        <v>A(0)=</v>
      </c>
      <c r="L39" s="84">
        <f>VLOOKUP(C37,STN_TABLE,3,FALSE)</f>
        <v>0</v>
      </c>
      <c r="M39" t="str">
        <f>CONCATENATE("A(",C39,")=")</f>
        <v>A(1)=</v>
      </c>
      <c r="N39">
        <f>J39+L39</f>
        <v>37.223999999999997</v>
      </c>
      <c r="O39" s="99">
        <f>O38+1</f>
        <v>4</v>
      </c>
      <c r="P39" s="99">
        <f t="shared" si="10"/>
        <v>1.5</v>
      </c>
      <c r="Q39" s="82">
        <f>IF(P39-P38=P38-P37,P39,IF(P40-P38=P38-P37,P40,IF(P39-P38=P38-P36,P39,IF(P40-P38=P38-P36,P40,"-"))))</f>
        <v>1.5</v>
      </c>
      <c r="R39" s="83">
        <f>VLOOKUP(Q39,STN_TABLE,2,FALSE)</f>
        <v>12.12</v>
      </c>
      <c r="S39" s="83">
        <v>-1</v>
      </c>
      <c r="T39" s="82">
        <f>R39*S39</f>
        <v>-12.12</v>
      </c>
      <c r="U39" s="88">
        <v>-1</v>
      </c>
      <c r="V39" s="82">
        <f>R39*U39</f>
        <v>-12.12</v>
      </c>
      <c r="W39" s="84" t="str">
        <f>CONCATENATE("a'(",Q38,")=")</f>
        <v>a'(1)=</v>
      </c>
      <c r="X39" s="84">
        <f>2*X37/12*T40</f>
        <v>20.331</v>
      </c>
      <c r="Y39" s="84" t="str">
        <f>CONCATENATE("A(",Q37,")=")</f>
        <v>A(0.5)=</v>
      </c>
      <c r="Z39" s="84">
        <f>VLOOKUP(Q37,STN_TABLE,3,FALSE)</f>
        <v>16.577999999999999</v>
      </c>
      <c r="AA39" t="str">
        <f>CONCATENATE("A(",Q38,")=")</f>
        <v>A(1)=</v>
      </c>
      <c r="AB39">
        <f>X39+Z39</f>
        <v>36.908999999999999</v>
      </c>
      <c r="AC39" s="99">
        <f>AC38+1</f>
        <v>3</v>
      </c>
      <c r="AD39" s="100">
        <f>VLOOKUP(AC39,STN_TABLE_2,2,FALSE)</f>
        <v>1</v>
      </c>
      <c r="AE39" s="82">
        <f>VLOOKUP(AD39,STN_TABLE,2,FALSE)</f>
        <v>11.72</v>
      </c>
      <c r="AF39" s="82">
        <v>2</v>
      </c>
      <c r="AG39" s="83">
        <f>AE39*AF39</f>
        <v>23.44</v>
      </c>
      <c r="AH39" s="84" t="str">
        <f>CONCATENATE("a'(",AD39,")=")</f>
        <v>a'(1)=</v>
      </c>
      <c r="AI39" s="84">
        <f>2*AI37/2*AE40</f>
        <v>20.25</v>
      </c>
      <c r="AJ39" s="84" t="str">
        <f>CONCATENATE("A(",AD38,")=")</f>
        <v>A(0.5)=</v>
      </c>
      <c r="AK39" s="84">
        <f>VLOOKUP(AD38,STN_TABLE,3,FALSE)</f>
        <v>16.577999999999999</v>
      </c>
      <c r="AL39" t="str">
        <f>CONCATENATE("A(",AD39,")=")</f>
        <v>A(1)=</v>
      </c>
      <c r="AM39">
        <f>AI39+AK39</f>
        <v>36.828000000000003</v>
      </c>
      <c r="AO39" s="68" t="str">
        <f>AA39</f>
        <v>A(1)=</v>
      </c>
      <c r="AP39" s="68" t="e">
        <f>VLOOKUP(AO39,Rise_Results,2,FALSE)</f>
        <v>#N/A</v>
      </c>
      <c r="AQ39" s="76">
        <f>N39</f>
        <v>37.223999999999997</v>
      </c>
      <c r="AR39" s="76">
        <f>IF(OR(AB39&lt;=0,AB40&lt;=0),1/0,AB39)</f>
        <v>36.908999999999999</v>
      </c>
      <c r="AS39" s="76">
        <f>AM39</f>
        <v>36.828000000000003</v>
      </c>
      <c r="AT39">
        <f>IFERROR(AP39,IFERROR(AQ39,IFERROR(AR39,AS39)))</f>
        <v>37.223999999999997</v>
      </c>
    </row>
    <row r="40" spans="1:47" x14ac:dyDescent="0.25">
      <c r="A40">
        <v>4</v>
      </c>
      <c r="F40" s="82">
        <f>SUM(F37:F39)</f>
        <v>62.04</v>
      </c>
      <c r="H40" s="82">
        <f>SUM(H37:H39)</f>
        <v>33.28</v>
      </c>
      <c r="I40" s="84" t="str">
        <f>CONCATENATE("m'(",C39,")=")</f>
        <v>m'(1)=</v>
      </c>
      <c r="J40" s="84">
        <f>2*(J37*(WLS))/3*H40</f>
        <v>35.942400000000006</v>
      </c>
      <c r="K40" s="84" t="str">
        <f>CONCATENATE("M(",C37,")=")</f>
        <v>M(0)=</v>
      </c>
      <c r="L40" s="84">
        <f>VLOOKUP(C37,STN_TABLE,4,FALSE)</f>
        <v>0</v>
      </c>
      <c r="M40" t="str">
        <f>CONCATENATE("M(",C39,")=")</f>
        <v>M(1)=</v>
      </c>
      <c r="N40">
        <f>J40+L40</f>
        <v>35.942400000000006</v>
      </c>
      <c r="O40" s="99">
        <f>O39+1</f>
        <v>5</v>
      </c>
      <c r="P40" s="99">
        <f t="shared" si="10"/>
        <v>2</v>
      </c>
      <c r="T40" s="89">
        <f>SUM(T37:T39)</f>
        <v>135.54</v>
      </c>
      <c r="V40" s="82">
        <f>SUM(V37:V39)</f>
        <v>137.41999999999999</v>
      </c>
      <c r="W40" s="84" t="str">
        <f>CONCATENATE("m'(",Q38,")=")</f>
        <v>m'(1)=</v>
      </c>
      <c r="X40" s="84">
        <f>(2*(X37^2)/24*V40)+(X39*Q37*WLS)</f>
        <v>27.573749999999997</v>
      </c>
      <c r="Y40" s="84" t="str">
        <f>CONCATENATE("M(",Q37,")=")</f>
        <v>M(0.5)=</v>
      </c>
      <c r="Z40" s="84">
        <f>VLOOKUP(Q37,STN_TABLE,4,FALSE)</f>
        <v>7.9434000000000013</v>
      </c>
      <c r="AA40" t="str">
        <f>CONCATENATE("M(",Q38,")=")</f>
        <v>M(1)=</v>
      </c>
      <c r="AB40">
        <f>X40+Z40</f>
        <v>35.517150000000001</v>
      </c>
      <c r="AE40" s="89">
        <f>SUM(AE38:AE39)</f>
        <v>22.5</v>
      </c>
      <c r="AG40" s="89">
        <f>SUM(AG38:AG39)</f>
        <v>34.22</v>
      </c>
      <c r="AH40" s="84" t="str">
        <f>CONCATENATE("m'(",AD39,")=")</f>
        <v>m'(1)=</v>
      </c>
      <c r="AI40" s="84">
        <f>(2*(AI37^2)/6*AG40)+(AI39*AD38*WLS)</f>
        <v>27.464400000000001</v>
      </c>
      <c r="AJ40" s="84" t="str">
        <f>CONCATENATE("M(",AD38,")=")</f>
        <v>M(0.5)=</v>
      </c>
      <c r="AK40" s="84">
        <f>VLOOKUP(AD38,STN_TABLE,4,FALSE)</f>
        <v>7.9434000000000013</v>
      </c>
      <c r="AL40" t="str">
        <f>CONCATENATE("M(",AD39,")=")</f>
        <v>M(1)=</v>
      </c>
      <c r="AM40">
        <f>AI40+AK40</f>
        <v>35.407800000000002</v>
      </c>
      <c r="AO40" s="82" t="str">
        <f>AA40</f>
        <v>M(1)=</v>
      </c>
      <c r="AP40" s="82" t="e">
        <f>VLOOKUP(AO40,Rise_Results,2,FALSE)</f>
        <v>#N/A</v>
      </c>
      <c r="AQ40" s="82">
        <f>N40</f>
        <v>35.942400000000006</v>
      </c>
      <c r="AR40" s="82">
        <f>IF(OR(AB39&lt;=0,AB40&lt;=0),1/0,AB40)</f>
        <v>35.517150000000001</v>
      </c>
      <c r="AS40" s="82">
        <f>AM40</f>
        <v>35.407800000000002</v>
      </c>
      <c r="AT40">
        <f>IFERROR(AP40,IFERROR(AQ40,IFERROR(AR40,AS40)))</f>
        <v>35.942400000000006</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10.78</v>
      </c>
      <c r="E42" s="102">
        <v>1</v>
      </c>
      <c r="F42" s="68">
        <f>D42*E42</f>
        <v>10.78</v>
      </c>
      <c r="G42" s="69">
        <f>C42</f>
        <v>0.5</v>
      </c>
      <c r="H42" s="69">
        <f>F42*G42</f>
        <v>5.39</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11.72</v>
      </c>
      <c r="S42" s="69">
        <v>5</v>
      </c>
      <c r="T42" s="68">
        <f>R42*S42</f>
        <v>58.6</v>
      </c>
      <c r="U42" s="79">
        <v>3</v>
      </c>
      <c r="V42" s="68">
        <f>R42*U42</f>
        <v>35.160000000000004</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11.72</v>
      </c>
      <c r="E43" s="81">
        <v>4</v>
      </c>
      <c r="F43" s="76">
        <f>D43*E43</f>
        <v>46.88</v>
      </c>
      <c r="G43" s="77">
        <f>C43</f>
        <v>1</v>
      </c>
      <c r="H43" s="77">
        <f>F43*G43</f>
        <v>46.88</v>
      </c>
      <c r="I43" s="513" t="s">
        <v>97</v>
      </c>
      <c r="J43" s="513"/>
      <c r="K43" s="78" t="s">
        <v>98</v>
      </c>
      <c r="L43" s="78"/>
      <c r="M43" s="7" t="s">
        <v>99</v>
      </c>
      <c r="N43" s="7"/>
      <c r="O43" s="99">
        <f>O42+1</f>
        <v>4</v>
      </c>
      <c r="P43" s="99">
        <f t="shared" si="10"/>
        <v>1.5</v>
      </c>
      <c r="Q43" s="76">
        <f>P43</f>
        <v>1.5</v>
      </c>
      <c r="R43" s="77">
        <f>VLOOKUP(Q43,STN_TABLE,2,FALSE)</f>
        <v>12.12</v>
      </c>
      <c r="S43" s="77">
        <v>8</v>
      </c>
      <c r="T43" s="76">
        <f>R43*S43</f>
        <v>96.96</v>
      </c>
      <c r="U43" s="80">
        <v>10</v>
      </c>
      <c r="V43" s="76">
        <f>R43*U43</f>
        <v>121.19999999999999</v>
      </c>
      <c r="W43" s="513" t="s">
        <v>97</v>
      </c>
      <c r="X43" s="513"/>
      <c r="Y43" s="513" t="s">
        <v>98</v>
      </c>
      <c r="Z43" s="513"/>
      <c r="AA43" s="511" t="s">
        <v>99</v>
      </c>
      <c r="AB43" s="511"/>
      <c r="AC43" s="99">
        <f>AC38+1</f>
        <v>3</v>
      </c>
      <c r="AD43" s="95">
        <f>VLOOKUP(AC43,STN_TABLE_2,2,FALSE)</f>
        <v>1</v>
      </c>
      <c r="AE43" s="68">
        <f>VLOOKUP(AD43,STN_TABLE,2,FALSE)</f>
        <v>11.72</v>
      </c>
      <c r="AF43" s="68">
        <v>1</v>
      </c>
      <c r="AG43" s="69">
        <f>AE43*AF43</f>
        <v>11.72</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12.12</v>
      </c>
      <c r="E44" s="92">
        <v>1</v>
      </c>
      <c r="F44" s="82">
        <f>D44*E44</f>
        <v>12.12</v>
      </c>
      <c r="G44" s="83">
        <f>C44</f>
        <v>1.5</v>
      </c>
      <c r="H44" s="83">
        <f>F44*G44</f>
        <v>18.18</v>
      </c>
      <c r="I44" s="84" t="str">
        <f>CONCATENATE("a'(",C44,")=")</f>
        <v>a'(1.5)=</v>
      </c>
      <c r="J44" s="84">
        <f>2*J42/3*F45</f>
        <v>41.868000000000002</v>
      </c>
      <c r="K44" s="84" t="str">
        <f>CONCATENATE("A(",C42,")=")</f>
        <v>A(0.5)=</v>
      </c>
      <c r="L44" s="84">
        <f>VLOOKUP(C42,STN_TABLE,3,FALSE)</f>
        <v>16.577999999999999</v>
      </c>
      <c r="M44" t="str">
        <f>CONCATENATE("A(",C44,")=")</f>
        <v>A(1.5)=</v>
      </c>
      <c r="N44">
        <f>J44+L44</f>
        <v>58.445999999999998</v>
      </c>
      <c r="O44" s="99">
        <f>O43+1</f>
        <v>5</v>
      </c>
      <c r="P44" s="99">
        <f t="shared" si="10"/>
        <v>2</v>
      </c>
      <c r="Q44" s="82">
        <f>IF(P44-P43=P43-P42,P44,IF(P45-P43=P43-P42,P45,IF(P44-P43=P43-P41,P44,IF(P45-P43=P43-P41,P45,"-"))))</f>
        <v>2</v>
      </c>
      <c r="R44" s="83">
        <f>VLOOKUP(Q44,STN_TABLE,2,FALSE)</f>
        <v>12.25</v>
      </c>
      <c r="S44" s="83">
        <v>-1</v>
      </c>
      <c r="T44" s="82">
        <f>R44*S44</f>
        <v>-12.25</v>
      </c>
      <c r="U44" s="88">
        <v>-1</v>
      </c>
      <c r="V44" s="82">
        <f>R44*U44</f>
        <v>-12.25</v>
      </c>
      <c r="W44" s="84" t="str">
        <f>CONCATENATE("a'(",Q43,")=")</f>
        <v>a'(1.5)=</v>
      </c>
      <c r="X44" s="84">
        <f>2*X42/12*T45</f>
        <v>21.496500000000001</v>
      </c>
      <c r="Y44" s="84" t="str">
        <f>CONCATENATE("A(",Q42,")=")</f>
        <v>A(1)=</v>
      </c>
      <c r="Z44" s="84">
        <f>VLOOKUP(Q42,STN_TABLE,3,FALSE)</f>
        <v>37.223999999999997</v>
      </c>
      <c r="AA44" t="str">
        <f>CONCATENATE("A(",Q43,")=")</f>
        <v>A(1.5)=</v>
      </c>
      <c r="AB44">
        <f>X44+Z44</f>
        <v>58.720500000000001</v>
      </c>
      <c r="AC44" s="99">
        <f>AC43+1</f>
        <v>4</v>
      </c>
      <c r="AD44" s="100">
        <f>VLOOKUP(AC44,STN_TABLE_2,2,FALSE)</f>
        <v>1.5</v>
      </c>
      <c r="AE44" s="82">
        <f>VLOOKUP(AD44,STN_TABLE,2,FALSE)</f>
        <v>12.12</v>
      </c>
      <c r="AF44" s="82">
        <v>2</v>
      </c>
      <c r="AG44" s="83">
        <f>AE44*AF44</f>
        <v>24.24</v>
      </c>
      <c r="AH44" s="84" t="str">
        <f>CONCATENATE("a'(",AD44,")=")</f>
        <v>a'(1.5)=</v>
      </c>
      <c r="AI44" s="84">
        <f>2*AI42/2*AE45</f>
        <v>21.456</v>
      </c>
      <c r="AJ44" s="84" t="str">
        <f>CONCATENATE("A(",AD43,")=")</f>
        <v>A(1)=</v>
      </c>
      <c r="AK44" s="84">
        <f>VLOOKUP(AD43,STN_TABLE,3,FALSE)</f>
        <v>37.223999999999997</v>
      </c>
      <c r="AL44" t="str">
        <f>CONCATENATE("A(",AD44,")=")</f>
        <v>A(1.5)=</v>
      </c>
      <c r="AM44">
        <f>AI44+AK44</f>
        <v>58.679999999999993</v>
      </c>
      <c r="AO44" s="68" t="str">
        <f>AA44</f>
        <v>A(1.5)=</v>
      </c>
      <c r="AP44" s="68" t="e">
        <f>VLOOKUP(AO44,Rise_Results,2,FALSE)</f>
        <v>#N/A</v>
      </c>
      <c r="AQ44" s="76">
        <f>N44</f>
        <v>58.445999999999998</v>
      </c>
      <c r="AR44" s="76">
        <f>IF(OR(AB44&lt;=0,AB45&lt;=0),1/0,AB44)</f>
        <v>58.720500000000001</v>
      </c>
      <c r="AS44" s="76">
        <f>AM44</f>
        <v>58.679999999999993</v>
      </c>
      <c r="AT44">
        <f>IFERROR(AP44,IFERROR(AQ44,IFERROR(AR44,AS44)))</f>
        <v>58.445999999999998</v>
      </c>
      <c r="AU44" s="81"/>
    </row>
    <row r="45" spans="1:47" x14ac:dyDescent="0.25">
      <c r="A45" s="94">
        <f>A44+1</f>
        <v>4</v>
      </c>
      <c r="B45" s="94">
        <f t="shared" si="11"/>
        <v>1.5</v>
      </c>
      <c r="F45" s="82">
        <f>SUM(F42:F44)</f>
        <v>69.78</v>
      </c>
      <c r="H45" s="82">
        <f>SUM(H42:H44)</f>
        <v>70.45</v>
      </c>
      <c r="I45" s="84" t="str">
        <f>CONCATENATE("m'(",C44,")=")</f>
        <v>m'(1.5)=</v>
      </c>
      <c r="J45" s="84">
        <f>2*(J42*(WLS))/3*H45</f>
        <v>76.086000000000013</v>
      </c>
      <c r="K45" s="84" t="str">
        <f>CONCATENATE("M(",C42,")=")</f>
        <v>M(0.5)=</v>
      </c>
      <c r="L45" s="84">
        <f>VLOOKUP(C42,STN_TABLE,4,FALSE)</f>
        <v>7.9434000000000013</v>
      </c>
      <c r="M45" t="str">
        <f>CONCATENATE("M(",C44,")=")</f>
        <v>M(1.5)=</v>
      </c>
      <c r="N45">
        <f>J45+L45</f>
        <v>84.02940000000001</v>
      </c>
      <c r="O45" s="99">
        <f>O44+1</f>
        <v>6</v>
      </c>
      <c r="P45" s="99">
        <f t="shared" si="10"/>
        <v>3</v>
      </c>
      <c r="T45" s="89">
        <f>SUM(T42:T44)</f>
        <v>143.31</v>
      </c>
      <c r="V45" s="82">
        <f>SUM(V42:V44)</f>
        <v>144.10999999999999</v>
      </c>
      <c r="W45" s="84" t="str">
        <f>CONCATENATE("m'(",Q43,")=")</f>
        <v>m'(1.5)=</v>
      </c>
      <c r="X45" s="84">
        <f>(2*(X42^2)/24*V45)+(X44*Q42*WLS)</f>
        <v>48.421125000000004</v>
      </c>
      <c r="Y45" s="84" t="str">
        <f>CONCATENATE("M(",Q42,")=")</f>
        <v>M(1)=</v>
      </c>
      <c r="Z45" s="84">
        <f>VLOOKUP(Q42,STN_TABLE,4,FALSE)</f>
        <v>35.942400000000006</v>
      </c>
      <c r="AA45" t="str">
        <f>CONCATENATE("M(",Q43,")=")</f>
        <v>M(1.5)=</v>
      </c>
      <c r="AB45">
        <f>X45+Z45</f>
        <v>84.36352500000001</v>
      </c>
      <c r="AE45" s="89">
        <f>SUM(AE43:AE44)</f>
        <v>23.84</v>
      </c>
      <c r="AG45" s="89">
        <f>SUM(AG43:AG44)</f>
        <v>35.96</v>
      </c>
      <c r="AH45" s="84" t="str">
        <f>CONCATENATE("m'(",AD44,")=")</f>
        <v>m'(1.5)=</v>
      </c>
      <c r="AI45" s="84">
        <f>(2*(AI42^2)/6*AG45)+(AI44*AD43*WLS)</f>
        <v>48.330000000000005</v>
      </c>
      <c r="AJ45" s="84" t="str">
        <f>CONCATENATE("M(",AD43,")=")</f>
        <v>M(1)=</v>
      </c>
      <c r="AK45" s="84">
        <f>VLOOKUP(AD43,STN_TABLE,4,FALSE)</f>
        <v>35.942400000000006</v>
      </c>
      <c r="AL45" t="str">
        <f>CONCATENATE("M(",AD44,")=")</f>
        <v>M(1.5)=</v>
      </c>
      <c r="AM45">
        <f>AI45+AK45</f>
        <v>84.272400000000005</v>
      </c>
      <c r="AO45" s="82" t="str">
        <f>AA45</f>
        <v>M(1.5)=</v>
      </c>
      <c r="AP45" s="82" t="e">
        <f>VLOOKUP(AO45,Rise_Results,2,FALSE)</f>
        <v>#N/A</v>
      </c>
      <c r="AQ45" s="82">
        <f>N45</f>
        <v>84.02940000000001</v>
      </c>
      <c r="AR45" s="82">
        <f>IF(OR(AB44&lt;=0,AB45&lt;=0),1/0,AB45)</f>
        <v>84.36352500000001</v>
      </c>
      <c r="AS45" s="82">
        <f>AM45</f>
        <v>84.272400000000005</v>
      </c>
      <c r="AT45">
        <f>IFERROR(AP45,IFERROR(AQ45,IFERROR(AR45,AS45)))</f>
        <v>84.02940000000001</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11.72</v>
      </c>
      <c r="E47" s="102">
        <v>1</v>
      </c>
      <c r="F47" s="68">
        <f>D47*E47</f>
        <v>11.72</v>
      </c>
      <c r="G47" s="69">
        <f>C47</f>
        <v>1</v>
      </c>
      <c r="H47" s="69">
        <f>F47*G47</f>
        <v>11.72</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11.72</v>
      </c>
      <c r="S47" s="69">
        <v>5</v>
      </c>
      <c r="T47" s="68">
        <f>R47*S47</f>
        <v>58.6</v>
      </c>
      <c r="U47" s="79">
        <v>3</v>
      </c>
      <c r="V47" s="68">
        <f>R47*U47</f>
        <v>35.160000000000004</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12.12</v>
      </c>
      <c r="E48" s="81">
        <v>4</v>
      </c>
      <c r="F48" s="76">
        <f>D48*E48</f>
        <v>48.48</v>
      </c>
      <c r="G48" s="77">
        <f>C48</f>
        <v>1.5</v>
      </c>
      <c r="H48" s="77">
        <f>F48*G48</f>
        <v>72.72</v>
      </c>
      <c r="I48" s="513" t="s">
        <v>97</v>
      </c>
      <c r="J48" s="513"/>
      <c r="K48" s="78" t="s">
        <v>98</v>
      </c>
      <c r="L48" s="78"/>
      <c r="M48" s="7" t="s">
        <v>99</v>
      </c>
      <c r="N48" s="7"/>
      <c r="O48" s="99">
        <f>O47+1</f>
        <v>5</v>
      </c>
      <c r="P48" s="99">
        <f t="shared" si="10"/>
        <v>2</v>
      </c>
      <c r="Q48" s="76">
        <f>P48</f>
        <v>2</v>
      </c>
      <c r="R48" s="77">
        <f>VLOOKUP(Q48,STN_TABLE,2,FALSE)</f>
        <v>12.25</v>
      </c>
      <c r="S48" s="77">
        <v>8</v>
      </c>
      <c r="T48" s="76">
        <f>R48*S48</f>
        <v>98</v>
      </c>
      <c r="U48" s="80">
        <v>10</v>
      </c>
      <c r="V48" s="76">
        <f>R48*U48</f>
        <v>122.5</v>
      </c>
      <c r="W48" s="513" t="s">
        <v>97</v>
      </c>
      <c r="X48" s="513"/>
      <c r="Y48" s="513" t="s">
        <v>98</v>
      </c>
      <c r="Z48" s="513"/>
      <c r="AA48" s="511" t="s">
        <v>99</v>
      </c>
      <c r="AB48" s="511"/>
      <c r="AC48" s="99">
        <f>AC43+1</f>
        <v>4</v>
      </c>
      <c r="AD48" s="95">
        <f>VLOOKUP(AC48,STN_TABLE_2,2,FALSE)</f>
        <v>1.5</v>
      </c>
      <c r="AE48" s="68">
        <f>VLOOKUP(AD48,STN_TABLE,2,FALSE)</f>
        <v>12.12</v>
      </c>
      <c r="AF48" s="68">
        <v>1</v>
      </c>
      <c r="AG48" s="69">
        <f>AE48*AF48</f>
        <v>12.12</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12.25</v>
      </c>
      <c r="E49" s="92">
        <v>1</v>
      </c>
      <c r="F49" s="82">
        <f>D49*E49</f>
        <v>12.25</v>
      </c>
      <c r="G49" s="83">
        <f>C49</f>
        <v>2</v>
      </c>
      <c r="H49" s="83">
        <f>F49*G49</f>
        <v>24.5</v>
      </c>
      <c r="I49" s="84" t="str">
        <f>CONCATENATE("a'(",C49,")=")</f>
        <v>a'(2)=</v>
      </c>
      <c r="J49" s="84">
        <f>2*J47/3*F50</f>
        <v>43.469999999999992</v>
      </c>
      <c r="K49" s="84" t="str">
        <f>CONCATENATE("A(",C47,")=")</f>
        <v>A(1)=</v>
      </c>
      <c r="L49" s="84">
        <f>VLOOKUP(C47,STN_TABLE,3,FALSE)</f>
        <v>37.223999999999997</v>
      </c>
      <c r="M49" t="str">
        <f>CONCATENATE("A(",C49,")=")</f>
        <v>A(2)=</v>
      </c>
      <c r="N49">
        <f>J49+L49</f>
        <v>80.693999999999988</v>
      </c>
      <c r="O49" s="99">
        <f>O48+1</f>
        <v>6</v>
      </c>
      <c r="P49" s="99">
        <f t="shared" si="10"/>
        <v>3</v>
      </c>
      <c r="Q49" s="82">
        <f>IF(P49-P48=P48-P47,P49,IF(P50-P48=P48-P47,P50,IF(P49-P48=P48-P46,P49,IF(P50-P48=P48-P46,P50,"-"))))</f>
        <v>3</v>
      </c>
      <c r="R49" s="83">
        <f>VLOOKUP(Q49,STN_TABLE,2,FALSE)</f>
        <v>12.25</v>
      </c>
      <c r="S49" s="83">
        <v>-1</v>
      </c>
      <c r="T49" s="82">
        <f>R49*S49</f>
        <v>-12.25</v>
      </c>
      <c r="U49" s="88">
        <v>-1</v>
      </c>
      <c r="V49" s="82">
        <f>R49*U49</f>
        <v>-12.25</v>
      </c>
      <c r="W49" s="84" t="str">
        <f>CONCATENATE("a'(",Q48,")=")</f>
        <v>a'(2)=</v>
      </c>
      <c r="X49" s="84">
        <f>2*X47/12*T50</f>
        <v>43.305</v>
      </c>
      <c r="Y49" s="84" t="str">
        <f>CONCATENATE("A(",Q47,")=")</f>
        <v>A(1)=</v>
      </c>
      <c r="Z49" s="84">
        <f>VLOOKUP(Q47,STN_TABLE,3,FALSE)</f>
        <v>37.223999999999997</v>
      </c>
      <c r="AA49" t="str">
        <f>CONCATENATE("A(",Q48,")=")</f>
        <v>A(2)=</v>
      </c>
      <c r="AB49">
        <f>X49+Z49</f>
        <v>80.528999999999996</v>
      </c>
      <c r="AC49" s="99">
        <f>AC48+1</f>
        <v>5</v>
      </c>
      <c r="AD49" s="100">
        <f>VLOOKUP(AC49,STN_TABLE_2,2,FALSE)</f>
        <v>2</v>
      </c>
      <c r="AE49" s="82">
        <f>VLOOKUP(AD49,STN_TABLE,2,FALSE)</f>
        <v>12.25</v>
      </c>
      <c r="AF49" s="82">
        <v>2</v>
      </c>
      <c r="AG49" s="83">
        <f>AE49*AF49</f>
        <v>24.5</v>
      </c>
      <c r="AH49" s="84" t="str">
        <f>CONCATENATE("a'(",AD49,")=")</f>
        <v>a'(2)=</v>
      </c>
      <c r="AI49" s="84">
        <f>2*AI47/2*AE50</f>
        <v>21.933</v>
      </c>
      <c r="AJ49" s="84" t="str">
        <f>CONCATENATE("A(",AD48,")=")</f>
        <v>A(1.5)=</v>
      </c>
      <c r="AK49" s="84">
        <f>VLOOKUP(AD48,STN_TABLE,3,FALSE)</f>
        <v>58.445999999999998</v>
      </c>
      <c r="AL49" t="str">
        <f>CONCATENATE("A(",AD49,")=")</f>
        <v>A(2)=</v>
      </c>
      <c r="AM49">
        <f>AI49+AK49</f>
        <v>80.378999999999991</v>
      </c>
      <c r="AO49" s="68" t="str">
        <f>AA49</f>
        <v>A(2)=</v>
      </c>
      <c r="AP49" s="68" t="e">
        <f>VLOOKUP(AO49,Rise_Results,2,FALSE)</f>
        <v>#N/A</v>
      </c>
      <c r="AQ49" s="76">
        <f>N49</f>
        <v>80.693999999999988</v>
      </c>
      <c r="AR49" s="76">
        <f>IF(OR(AB49&lt;=0,AB50&lt;=0),1/0,AB49)</f>
        <v>80.528999999999996</v>
      </c>
      <c r="AS49" s="76">
        <f>AM49</f>
        <v>80.378999999999991</v>
      </c>
      <c r="AT49">
        <f>IFERROR(AP49,IFERROR(AQ49,IFERROR(AR49,AS49)))</f>
        <v>80.693999999999988</v>
      </c>
      <c r="AU49" s="81"/>
    </row>
    <row r="50" spans="1:47" x14ac:dyDescent="0.25">
      <c r="A50" s="84">
        <f>A49+1</f>
        <v>5</v>
      </c>
      <c r="B50" s="84">
        <f t="shared" si="11"/>
        <v>2</v>
      </c>
      <c r="F50" s="82">
        <f>SUM(F47:F49)</f>
        <v>72.449999999999989</v>
      </c>
      <c r="H50" s="82">
        <f>SUM(H47:H49)</f>
        <v>108.94</v>
      </c>
      <c r="I50" s="84" t="str">
        <f>CONCATENATE("m'(",C49,")=")</f>
        <v>m'(2)=</v>
      </c>
      <c r="J50" s="84">
        <f>2*(J47*(WLS))/3*H50</f>
        <v>117.65520000000001</v>
      </c>
      <c r="K50" s="84" t="str">
        <f>CONCATENATE("M(",C47,")=")</f>
        <v>M(1)=</v>
      </c>
      <c r="L50" s="84">
        <f>VLOOKUP(C47,STN_TABLE,4,FALSE)</f>
        <v>35.942400000000006</v>
      </c>
      <c r="M50" t="str">
        <f>CONCATENATE("M(",C49,")=")</f>
        <v>M(2)=</v>
      </c>
      <c r="N50">
        <f>J50+L50</f>
        <v>153.5976</v>
      </c>
      <c r="O50" s="99">
        <f>O49+1</f>
        <v>7</v>
      </c>
      <c r="P50" s="99">
        <f t="shared" si="10"/>
        <v>4</v>
      </c>
      <c r="T50" s="89">
        <f>SUM(T47:T49)</f>
        <v>144.35</v>
      </c>
      <c r="V50" s="82">
        <f>SUM(V47:V49)</f>
        <v>145.41</v>
      </c>
      <c r="W50" s="84" t="str">
        <f>CONCATENATE("m'(",Q48,")=")</f>
        <v>m'(2)=</v>
      </c>
      <c r="X50" s="84">
        <f>(2*(X47^2)/24*V50)+(X49*Q47*WLS)</f>
        <v>117.2097</v>
      </c>
      <c r="Y50" s="84" t="str">
        <f>CONCATENATE("M(",Q47,")=")</f>
        <v>M(1)=</v>
      </c>
      <c r="Z50" s="84">
        <f>VLOOKUP(Q47,STN_TABLE,4,FALSE)</f>
        <v>35.942400000000006</v>
      </c>
      <c r="AA50" t="str">
        <f>CONCATENATE("M(",Q48,")=")</f>
        <v>M(2)=</v>
      </c>
      <c r="AB50">
        <f>X50+Z50</f>
        <v>153.15210000000002</v>
      </c>
      <c r="AE50" s="89">
        <f>SUM(AE48:AE49)</f>
        <v>24.369999999999997</v>
      </c>
      <c r="AG50" s="89">
        <f>SUM(AG48:AG49)</f>
        <v>36.619999999999997</v>
      </c>
      <c r="AH50" s="84" t="str">
        <f>CONCATENATE("m'(",AD49,")=")</f>
        <v>m'(2)=</v>
      </c>
      <c r="AI50" s="84">
        <f>(2*(AI47^2)/6*AG50)+(AI49*AD48*WLS)</f>
        <v>69.106500000000011</v>
      </c>
      <c r="AJ50" s="84" t="str">
        <f>CONCATENATE("M(",AD48,")=")</f>
        <v>M(1.5)=</v>
      </c>
      <c r="AK50" s="84">
        <f>VLOOKUP(AD48,STN_TABLE,4,FALSE)</f>
        <v>84.02940000000001</v>
      </c>
      <c r="AL50" t="str">
        <f>CONCATENATE("M(",AD49,")=")</f>
        <v>M(2)=</v>
      </c>
      <c r="AM50">
        <f>AI50+AK50</f>
        <v>153.13590000000002</v>
      </c>
      <c r="AO50" s="82" t="str">
        <f>AA50</f>
        <v>M(2)=</v>
      </c>
      <c r="AP50" s="82" t="e">
        <f>VLOOKUP(AO50,Rise_Results,2,FALSE)</f>
        <v>#N/A</v>
      </c>
      <c r="AQ50" s="82">
        <f>N50</f>
        <v>153.5976</v>
      </c>
      <c r="AR50" s="82">
        <f>IF(OR(AB49&lt;=0,AB50&lt;=0),1/0,AB50)</f>
        <v>153.15210000000002</v>
      </c>
      <c r="AS50" s="82">
        <f>AM50</f>
        <v>153.13590000000002</v>
      </c>
      <c r="AT50">
        <f>IFERROR(AP50,IFERROR(AQ50,IFERROR(AR50,AS50)))</f>
        <v>153.5976</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11.72</v>
      </c>
      <c r="E52" s="102">
        <v>1</v>
      </c>
      <c r="F52" s="68">
        <f>D52*E52</f>
        <v>11.72</v>
      </c>
      <c r="G52" s="69">
        <f>C52</f>
        <v>1</v>
      </c>
      <c r="H52" s="69">
        <f>F52*G52</f>
        <v>11.72</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12.25</v>
      </c>
      <c r="S52" s="69">
        <v>5</v>
      </c>
      <c r="T52" s="68">
        <f>R52*S52</f>
        <v>61.25</v>
      </c>
      <c r="U52" s="79">
        <v>3</v>
      </c>
      <c r="V52" s="68">
        <f>R52*U52</f>
        <v>36.75</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12.25</v>
      </c>
      <c r="E53" s="81">
        <v>4</v>
      </c>
      <c r="F53" s="76">
        <f>D53*E53</f>
        <v>49</v>
      </c>
      <c r="G53" s="77">
        <f>C53</f>
        <v>2</v>
      </c>
      <c r="H53" s="77">
        <f>F53*G53</f>
        <v>98</v>
      </c>
      <c r="I53" s="512" t="s">
        <v>97</v>
      </c>
      <c r="J53" s="513"/>
      <c r="K53" s="78" t="s">
        <v>98</v>
      </c>
      <c r="L53" s="78"/>
      <c r="M53" s="7" t="s">
        <v>99</v>
      </c>
      <c r="N53" s="7"/>
      <c r="O53" s="99">
        <f>O52+1</f>
        <v>6</v>
      </c>
      <c r="P53" s="99">
        <f t="shared" si="10"/>
        <v>3</v>
      </c>
      <c r="Q53" s="76">
        <f>P53</f>
        <v>3</v>
      </c>
      <c r="R53" s="77">
        <f>VLOOKUP(Q53,STN_TABLE,2,FALSE)</f>
        <v>12.25</v>
      </c>
      <c r="S53" s="77">
        <v>8</v>
      </c>
      <c r="T53" s="76">
        <f>R53*S53</f>
        <v>98</v>
      </c>
      <c r="U53" s="80">
        <v>10</v>
      </c>
      <c r="V53" s="76">
        <f>R53*U53</f>
        <v>122.5</v>
      </c>
      <c r="W53" s="513" t="s">
        <v>97</v>
      </c>
      <c r="X53" s="513"/>
      <c r="Y53" s="513" t="s">
        <v>98</v>
      </c>
      <c r="Z53" s="513"/>
      <c r="AA53" s="511" t="s">
        <v>99</v>
      </c>
      <c r="AB53" s="511"/>
      <c r="AC53" s="99">
        <f>AC48+1</f>
        <v>5</v>
      </c>
      <c r="AD53" s="95">
        <f>VLOOKUP(AC53,STN_TABLE_2,2,FALSE)</f>
        <v>2</v>
      </c>
      <c r="AE53" s="68">
        <f>VLOOKUP(AD53,STN_TABLE,2,FALSE)</f>
        <v>12.25</v>
      </c>
      <c r="AF53" s="68">
        <v>1</v>
      </c>
      <c r="AG53" s="69">
        <f>AE53*AF53</f>
        <v>12.25</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12.25</v>
      </c>
      <c r="E54" s="92">
        <v>1</v>
      </c>
      <c r="F54" s="82">
        <f>D54*E54</f>
        <v>12.25</v>
      </c>
      <c r="G54" s="83">
        <f>C54</f>
        <v>3</v>
      </c>
      <c r="H54" s="83">
        <f>F54*G54</f>
        <v>36.75</v>
      </c>
      <c r="I54" s="84" t="str">
        <f>CONCATENATE("a'(",C54,")=")</f>
        <v>a'(3)=</v>
      </c>
      <c r="J54" s="84">
        <f>2*J52/3*F55</f>
        <v>87.563999999999993</v>
      </c>
      <c r="K54" s="84" t="str">
        <f>CONCATENATE("A(",C52,")=")</f>
        <v>A(1)=</v>
      </c>
      <c r="L54" s="84">
        <f>VLOOKUP(C52,STN_TABLE,3,FALSE)</f>
        <v>37.223999999999997</v>
      </c>
      <c r="M54" t="str">
        <f>CONCATENATE("A(",C54,")=")</f>
        <v>A(3)=</v>
      </c>
      <c r="N54">
        <f>J54+L54</f>
        <v>124.78799999999998</v>
      </c>
      <c r="O54" s="99">
        <f>O53+1</f>
        <v>7</v>
      </c>
      <c r="P54" s="99">
        <f t="shared" si="10"/>
        <v>4</v>
      </c>
      <c r="Q54" s="82">
        <f>IF(P54-P53=P53-P52,P54,IF(P55-P53=P53-P52,P55,IF(P54-P53=P53-P51,P54,IF(P55-P53=P53-P51,P55,"-"))))</f>
        <v>4</v>
      </c>
      <c r="R54" s="83">
        <f>VLOOKUP(Q54,STN_TABLE,2,FALSE)</f>
        <v>12.25</v>
      </c>
      <c r="S54" s="83">
        <v>-1</v>
      </c>
      <c r="T54" s="82">
        <f>R54*S54</f>
        <v>-12.25</v>
      </c>
      <c r="U54" s="88">
        <v>-1</v>
      </c>
      <c r="V54" s="82">
        <f>R54*U54</f>
        <v>-12.25</v>
      </c>
      <c r="W54" s="84" t="str">
        <f>CONCATENATE("a'(",Q53,")=")</f>
        <v>a'(3)=</v>
      </c>
      <c r="X54" s="84">
        <f>2*X52/12*T55</f>
        <v>44.1</v>
      </c>
      <c r="Y54" s="84" t="str">
        <f>CONCATENATE("A(",Q52,")=")</f>
        <v>A(2)=</v>
      </c>
      <c r="Z54" s="84">
        <f>VLOOKUP(Q52,STN_TABLE,3,FALSE)</f>
        <v>80.693999999999988</v>
      </c>
      <c r="AA54" t="str">
        <f>CONCATENATE("A(",Q53,")=")</f>
        <v>A(3)=</v>
      </c>
      <c r="AB54">
        <f>X54+Z54</f>
        <v>124.79399999999998</v>
      </c>
      <c r="AC54" s="99">
        <f>AC53+1</f>
        <v>6</v>
      </c>
      <c r="AD54" s="100">
        <f>VLOOKUP(AC54,STN_TABLE_2,2,FALSE)</f>
        <v>3</v>
      </c>
      <c r="AE54" s="82">
        <f>VLOOKUP(AD54,STN_TABLE,2,FALSE)</f>
        <v>12.25</v>
      </c>
      <c r="AF54" s="82">
        <v>2</v>
      </c>
      <c r="AG54" s="83">
        <f>AE54*AF54</f>
        <v>24.5</v>
      </c>
      <c r="AH54" s="84" t="str">
        <f>CONCATENATE("a'(",AD54,")=")</f>
        <v>a'(3)=</v>
      </c>
      <c r="AI54" s="84">
        <f>2*AI52/2*AE55</f>
        <v>44.1</v>
      </c>
      <c r="AJ54" s="84" t="str">
        <f>CONCATENATE("A(",AD53,")=")</f>
        <v>A(2)=</v>
      </c>
      <c r="AK54" s="84">
        <f>VLOOKUP(AD53,STN_TABLE,3,FALSE)</f>
        <v>80.693999999999988</v>
      </c>
      <c r="AL54" t="str">
        <f>CONCATENATE("A(",AD54,")=")</f>
        <v>A(3)=</v>
      </c>
      <c r="AM54">
        <f>AI54+AK54</f>
        <v>124.79399999999998</v>
      </c>
      <c r="AO54" s="68" t="str">
        <f>AA54</f>
        <v>A(3)=</v>
      </c>
      <c r="AP54" s="68" t="e">
        <f>VLOOKUP(AO54,Rise_Results,2,FALSE)</f>
        <v>#N/A</v>
      </c>
      <c r="AQ54" s="76">
        <f>N54</f>
        <v>124.78799999999998</v>
      </c>
      <c r="AR54" s="76">
        <f>IF(OR(AB54&lt;=0,AB55&lt;=0),1/0,AB54)</f>
        <v>124.79399999999998</v>
      </c>
      <c r="AS54" s="76">
        <f>AM54</f>
        <v>124.79399999999998</v>
      </c>
      <c r="AT54">
        <f>IFERROR(AP54,IFERROR(AQ54,IFERROR(AR54,AS54)))</f>
        <v>124.78799999999998</v>
      </c>
      <c r="AU54" s="81"/>
    </row>
    <row r="55" spans="1:47" x14ac:dyDescent="0.25">
      <c r="A55" s="84">
        <f>A54+1</f>
        <v>6</v>
      </c>
      <c r="B55" s="84">
        <f t="shared" si="11"/>
        <v>3</v>
      </c>
      <c r="F55" s="82">
        <f>SUM(F52:F54)</f>
        <v>72.97</v>
      </c>
      <c r="H55" s="82">
        <f>SUM(H52:H54)</f>
        <v>146.47</v>
      </c>
      <c r="I55" s="84" t="str">
        <f>CONCATENATE("m'(",C54,")=")</f>
        <v>m'(3)=</v>
      </c>
      <c r="J55" s="84">
        <f>2*(J52*(WLS))/3*H55</f>
        <v>316.37520000000001</v>
      </c>
      <c r="K55" s="84" t="str">
        <f>CONCATENATE("M(",C52,")=")</f>
        <v>M(1)=</v>
      </c>
      <c r="L55" s="84">
        <f>VLOOKUP(C52,STN_TABLE,4,FALSE)</f>
        <v>35.942400000000006</v>
      </c>
      <c r="M55" t="str">
        <f>CONCATENATE("M(",C54,")=")</f>
        <v>M(3)=</v>
      </c>
      <c r="N55">
        <f>J55+L55</f>
        <v>352.31760000000003</v>
      </c>
      <c r="O55" s="99">
        <f>O54+1</f>
        <v>8</v>
      </c>
      <c r="P55" s="99">
        <f t="shared" si="10"/>
        <v>5</v>
      </c>
      <c r="T55" s="89">
        <f>SUM(T52:T54)</f>
        <v>147</v>
      </c>
      <c r="V55" s="82">
        <f>SUM(V52:V54)</f>
        <v>147</v>
      </c>
      <c r="W55" s="84" t="str">
        <f>CONCATENATE("m'(",Q53,")=")</f>
        <v>m'(3)=</v>
      </c>
      <c r="X55" s="84">
        <f>(2*(X52^2)/24*V55)+(X54*Q52*WLS)</f>
        <v>198.45000000000002</v>
      </c>
      <c r="Y55" s="84" t="str">
        <f>CONCATENATE("M(",Q52,")=")</f>
        <v>M(2)=</v>
      </c>
      <c r="Z55" s="84">
        <f>VLOOKUP(Q52,STN_TABLE,4,FALSE)</f>
        <v>153.5976</v>
      </c>
      <c r="AA55" t="str">
        <f>CONCATENATE("M(",Q53,")=")</f>
        <v>M(3)=</v>
      </c>
      <c r="AB55">
        <f>X55+Z55</f>
        <v>352.04759999999999</v>
      </c>
      <c r="AE55" s="89">
        <f>SUM(AE53:AE54)</f>
        <v>24.5</v>
      </c>
      <c r="AG55" s="89">
        <f>SUM(AG53:AG54)</f>
        <v>36.75</v>
      </c>
      <c r="AH55" s="84" t="str">
        <f>CONCATENATE("m'(",AD54,")=")</f>
        <v>m'(3)=</v>
      </c>
      <c r="AI55" s="84">
        <f>(2*(AI52^2)/6*AG55)+(AI54*AD53*WLS)</f>
        <v>198.45000000000002</v>
      </c>
      <c r="AJ55" s="84" t="str">
        <f>CONCATENATE("M(",AD53,")=")</f>
        <v>M(2)=</v>
      </c>
      <c r="AK55" s="84">
        <f>VLOOKUP(AD53,STN_TABLE,4,FALSE)</f>
        <v>153.5976</v>
      </c>
      <c r="AL55" t="str">
        <f>CONCATENATE("M(",AD54,")=")</f>
        <v>M(3)=</v>
      </c>
      <c r="AM55">
        <f>AI55+AK55</f>
        <v>352.04759999999999</v>
      </c>
      <c r="AO55" s="82" t="str">
        <f>AA55</f>
        <v>M(3)=</v>
      </c>
      <c r="AP55" s="82" t="e">
        <f>VLOOKUP(AO55,Rise_Results,2,FALSE)</f>
        <v>#N/A</v>
      </c>
      <c r="AQ55" s="82">
        <f>N55</f>
        <v>352.31760000000003</v>
      </c>
      <c r="AR55" s="82">
        <f>IF(OR(AB54&lt;=0,AB55&lt;=0),1/0,AB55)</f>
        <v>352.04759999999999</v>
      </c>
      <c r="AS55" s="82">
        <f>AM55</f>
        <v>352.04759999999999</v>
      </c>
      <c r="AT55">
        <f>IFERROR(AP55,IFERROR(AQ55,IFERROR(AR55,AS55)))</f>
        <v>352.31760000000003</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12.25</v>
      </c>
      <c r="E57" s="102">
        <v>1</v>
      </c>
      <c r="F57" s="68">
        <f>D57*E57</f>
        <v>12.25</v>
      </c>
      <c r="G57" s="69">
        <f>C57</f>
        <v>2</v>
      </c>
      <c r="H57" s="69">
        <f>F57*G57</f>
        <v>24.5</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12.25</v>
      </c>
      <c r="S57" s="69">
        <v>5</v>
      </c>
      <c r="T57" s="68">
        <f>R57*S57</f>
        <v>61.25</v>
      </c>
      <c r="U57" s="79">
        <v>3</v>
      </c>
      <c r="V57" s="68">
        <f>R57*U57</f>
        <v>36.75</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12.25</v>
      </c>
      <c r="E58" s="81">
        <v>4</v>
      </c>
      <c r="F58" s="76">
        <f>D58*E58</f>
        <v>49</v>
      </c>
      <c r="G58" s="77">
        <f>C58</f>
        <v>3</v>
      </c>
      <c r="H58" s="77">
        <f>F58*G58</f>
        <v>147</v>
      </c>
      <c r="I58" s="512" t="s">
        <v>97</v>
      </c>
      <c r="J58" s="513"/>
      <c r="K58" s="78" t="s">
        <v>98</v>
      </c>
      <c r="L58" s="78"/>
      <c r="M58" s="7" t="s">
        <v>99</v>
      </c>
      <c r="N58" s="7"/>
      <c r="O58" s="99">
        <f>O57+1</f>
        <v>7</v>
      </c>
      <c r="P58" s="99">
        <f t="shared" si="10"/>
        <v>4</v>
      </c>
      <c r="Q58" s="76">
        <f>P58</f>
        <v>4</v>
      </c>
      <c r="R58" s="77">
        <f>VLOOKUP(Q58,STN_TABLE,2,FALSE)</f>
        <v>12.25</v>
      </c>
      <c r="S58" s="77">
        <v>8</v>
      </c>
      <c r="T58" s="76">
        <f>R58*S58</f>
        <v>98</v>
      </c>
      <c r="U58" s="80">
        <v>10</v>
      </c>
      <c r="V58" s="76">
        <f>R58*U58</f>
        <v>122.5</v>
      </c>
      <c r="W58" s="78" t="s">
        <v>97</v>
      </c>
      <c r="X58" s="78"/>
      <c r="Y58" s="78" t="s">
        <v>98</v>
      </c>
      <c r="Z58" s="78"/>
      <c r="AA58" s="7" t="s">
        <v>99</v>
      </c>
      <c r="AB58" s="7"/>
      <c r="AC58" s="99">
        <f>AC53+1</f>
        <v>6</v>
      </c>
      <c r="AD58" s="95">
        <f>VLOOKUP(AC58,STN_TABLE_2,2,FALSE)</f>
        <v>3</v>
      </c>
      <c r="AE58" s="68">
        <f>VLOOKUP(AD58,STN_TABLE,2,FALSE)</f>
        <v>12.25</v>
      </c>
      <c r="AF58" s="68">
        <v>1</v>
      </c>
      <c r="AG58" s="69">
        <f>AE58*AF58</f>
        <v>12.25</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12.25</v>
      </c>
      <c r="E59" s="92">
        <v>1</v>
      </c>
      <c r="F59" s="82">
        <f>D59*E59</f>
        <v>12.25</v>
      </c>
      <c r="G59" s="83">
        <f>C59</f>
        <v>4</v>
      </c>
      <c r="H59" s="83">
        <f>F59*G59</f>
        <v>49</v>
      </c>
      <c r="I59" s="84" t="str">
        <f>CONCATENATE("a'(",C59,")=")</f>
        <v>a'(4)=</v>
      </c>
      <c r="J59" s="84">
        <f>2*J57/3*F60</f>
        <v>88.2</v>
      </c>
      <c r="K59" s="84" t="str">
        <f>CONCATENATE("A(",C57,")=")</f>
        <v>A(2)=</v>
      </c>
      <c r="L59" s="84">
        <f>VLOOKUP(C57,STN_TABLE,3,FALSE)</f>
        <v>80.693999999999988</v>
      </c>
      <c r="M59" t="str">
        <f>CONCATENATE("A(",C59,")=")</f>
        <v>A(4)=</v>
      </c>
      <c r="N59">
        <f>J59+L59</f>
        <v>168.89400000000001</v>
      </c>
      <c r="O59" s="99">
        <f>O58+1</f>
        <v>8</v>
      </c>
      <c r="P59" s="99">
        <f t="shared" si="10"/>
        <v>5</v>
      </c>
      <c r="Q59" s="82">
        <f>IF(P59-P58=P58-P57,P59,IF(P60-P58=P58-P57,P60,IF(P59-P58=P58-P56,P59,IF(P60-P58=P58-P56,P60,"-"))))</f>
        <v>5</v>
      </c>
      <c r="R59" s="83">
        <f>VLOOKUP(Q59,STN_TABLE,2,FALSE)</f>
        <v>12.25</v>
      </c>
      <c r="S59" s="83">
        <v>-1</v>
      </c>
      <c r="T59" s="82">
        <f>R59*S59</f>
        <v>-12.25</v>
      </c>
      <c r="U59" s="88">
        <v>-1</v>
      </c>
      <c r="V59" s="82">
        <f>R59*U59</f>
        <v>-12.25</v>
      </c>
      <c r="W59" s="84" t="str">
        <f>CONCATENATE("a'(",Q58,")=")</f>
        <v>a'(4)=</v>
      </c>
      <c r="X59" s="84">
        <f>2*X57/12*T60</f>
        <v>44.1</v>
      </c>
      <c r="Y59" s="84" t="str">
        <f>CONCATENATE("A(",Q57,")=")</f>
        <v>A(3)=</v>
      </c>
      <c r="Z59" s="84">
        <f>VLOOKUP(Q57,STN_TABLE,3,FALSE)</f>
        <v>124.78799999999998</v>
      </c>
      <c r="AA59" t="str">
        <f>CONCATENATE("A(",Q58,")=")</f>
        <v>A(4)=</v>
      </c>
      <c r="AB59">
        <f>X59+Z59</f>
        <v>168.88799999999998</v>
      </c>
      <c r="AC59" s="99">
        <f>AC58+1</f>
        <v>7</v>
      </c>
      <c r="AD59" s="100">
        <f>VLOOKUP(AC59,STN_TABLE_2,2,FALSE)</f>
        <v>4</v>
      </c>
      <c r="AE59" s="82">
        <f>VLOOKUP(AD59,STN_TABLE,2,FALSE)</f>
        <v>12.25</v>
      </c>
      <c r="AF59" s="82">
        <v>2</v>
      </c>
      <c r="AG59" s="83">
        <f>AE59*AF59</f>
        <v>24.5</v>
      </c>
      <c r="AH59" s="84" t="str">
        <f>CONCATENATE("a'(",AD59,")=")</f>
        <v>a'(4)=</v>
      </c>
      <c r="AI59" s="84">
        <f>2*AI57/2*AE60</f>
        <v>44.1</v>
      </c>
      <c r="AJ59" s="84" t="str">
        <f>CONCATENATE("A(",AD58,")=")</f>
        <v>A(3)=</v>
      </c>
      <c r="AK59" s="84">
        <f>VLOOKUP(AD58,STN_TABLE,3,FALSE)</f>
        <v>124.78799999999998</v>
      </c>
      <c r="AL59" t="str">
        <f>CONCATENATE("A(",AD59,")=")</f>
        <v>A(4)=</v>
      </c>
      <c r="AM59">
        <f>AI59+AK59</f>
        <v>168.88799999999998</v>
      </c>
      <c r="AO59" s="68" t="str">
        <f>AA59</f>
        <v>A(4)=</v>
      </c>
      <c r="AP59" s="68" t="e">
        <f>VLOOKUP(AO59,Rise_Results,2,FALSE)</f>
        <v>#N/A</v>
      </c>
      <c r="AQ59" s="76">
        <f>N59</f>
        <v>168.89400000000001</v>
      </c>
      <c r="AR59" s="76">
        <f>IF(OR(AB59&lt;=0,AB60&lt;=0),1/0,AB59)</f>
        <v>168.88799999999998</v>
      </c>
      <c r="AS59" s="76">
        <f>AM59</f>
        <v>168.88799999999998</v>
      </c>
      <c r="AT59">
        <f>IFERROR(AP59,IFERROR(AQ59,IFERROR(AR59,AS59)))</f>
        <v>168.89400000000001</v>
      </c>
      <c r="AU59" s="81"/>
    </row>
    <row r="60" spans="1:47" x14ac:dyDescent="0.25">
      <c r="A60" s="84">
        <f>A59+1</f>
        <v>7</v>
      </c>
      <c r="B60" s="84">
        <f t="shared" si="11"/>
        <v>4</v>
      </c>
      <c r="F60" s="82">
        <f>SUM(F57:F59)</f>
        <v>73.5</v>
      </c>
      <c r="H60" s="82">
        <f>SUM(H57:H59)</f>
        <v>220.5</v>
      </c>
      <c r="I60" s="84" t="str">
        <f>CONCATENATE("m'(",C59,")=")</f>
        <v>m'(4)=</v>
      </c>
      <c r="J60" s="84">
        <f>2*(J57*(WLS))/3*H60</f>
        <v>476.28000000000003</v>
      </c>
      <c r="K60" s="84" t="str">
        <f>CONCATENATE("M(",C57,")=")</f>
        <v>M(2)=</v>
      </c>
      <c r="L60" s="84">
        <f>VLOOKUP(C57,STN_TABLE,4,FALSE)</f>
        <v>153.5976</v>
      </c>
      <c r="M60" t="str">
        <f>CONCATENATE("M(",C59,")=")</f>
        <v>M(4)=</v>
      </c>
      <c r="N60">
        <f>J60+L60</f>
        <v>629.87760000000003</v>
      </c>
      <c r="O60" s="99">
        <f>O59+1</f>
        <v>9</v>
      </c>
      <c r="P60" s="99">
        <f t="shared" si="10"/>
        <v>5.6111111111111107</v>
      </c>
      <c r="T60" s="89">
        <f>SUM(T57:T59)</f>
        <v>147</v>
      </c>
      <c r="V60" s="82">
        <f>SUM(V57:V59)</f>
        <v>147</v>
      </c>
      <c r="W60" s="84" t="str">
        <f>CONCATENATE("m'(",Q58,")=")</f>
        <v>m'(4)=</v>
      </c>
      <c r="X60" s="84">
        <f>(2*(X57^2)/24*V60)+(X59*Q57*WLS)</f>
        <v>277.83000000000004</v>
      </c>
      <c r="Y60" s="84" t="str">
        <f>CONCATENATE("M(",Q57,")=")</f>
        <v>M(3)=</v>
      </c>
      <c r="Z60" s="84">
        <f>VLOOKUP(Q57,STN_TABLE,4,FALSE)</f>
        <v>352.31760000000003</v>
      </c>
      <c r="AA60" t="str">
        <f>CONCATENATE("M(",Q58,")=")</f>
        <v>M(4)=</v>
      </c>
      <c r="AB60">
        <f>X60+Z60</f>
        <v>630.14760000000001</v>
      </c>
      <c r="AE60" s="89">
        <f>SUM(AE58:AE59)</f>
        <v>24.5</v>
      </c>
      <c r="AG60" s="89">
        <f>SUM(AG58:AG59)</f>
        <v>36.75</v>
      </c>
      <c r="AH60" s="84" t="str">
        <f>CONCATENATE("m'(",AD59,")=")</f>
        <v>m'(4)=</v>
      </c>
      <c r="AI60" s="84">
        <f>(2*(AI57^2)/6*AG60)+(AI59*AD58*WLS)</f>
        <v>277.83000000000004</v>
      </c>
      <c r="AJ60" s="84" t="str">
        <f>CONCATENATE("M(",AD58,")=")</f>
        <v>M(3)=</v>
      </c>
      <c r="AK60" s="84">
        <f>VLOOKUP(AD57,STN_TABLE,4,FALSE)</f>
        <v>0</v>
      </c>
      <c r="AL60" t="str">
        <f>CONCATENATE("M(",AD59,")=")</f>
        <v>M(4)=</v>
      </c>
      <c r="AM60">
        <f>AI60+AK60</f>
        <v>277.83000000000004</v>
      </c>
      <c r="AO60" s="82" t="str">
        <f>AA60</f>
        <v>M(4)=</v>
      </c>
      <c r="AP60" s="82" t="e">
        <f>VLOOKUP(AO60,Rise_Results,2,FALSE)</f>
        <v>#N/A</v>
      </c>
      <c r="AQ60" s="82">
        <f>N60</f>
        <v>629.87760000000003</v>
      </c>
      <c r="AR60" s="82">
        <f>IF(OR(AB59&lt;=0,AB60&lt;=0),1/0,AB60)</f>
        <v>630.14760000000001</v>
      </c>
      <c r="AS60" s="82">
        <f>AM60</f>
        <v>277.83000000000004</v>
      </c>
      <c r="AT60">
        <f>IFERROR(AP60,IFERROR(AQ60,IFERROR(AR60,AS60)))</f>
        <v>629.87760000000003</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12.25</v>
      </c>
      <c r="E62" s="102">
        <v>1</v>
      </c>
      <c r="F62" s="68">
        <f>D62*E62</f>
        <v>12.25</v>
      </c>
      <c r="G62" s="69">
        <f>C62</f>
        <v>3</v>
      </c>
      <c r="H62" s="69">
        <f>F62*G62</f>
        <v>36.75</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12.25</v>
      </c>
      <c r="S62" s="69">
        <v>5</v>
      </c>
      <c r="T62" s="68">
        <f>R62*S62</f>
        <v>61.25</v>
      </c>
      <c r="U62" s="79">
        <v>3</v>
      </c>
      <c r="V62" s="68">
        <f>R62*U62</f>
        <v>36.75</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12.25</v>
      </c>
      <c r="E63" s="81">
        <v>4</v>
      </c>
      <c r="F63" s="76">
        <f>D63*E63</f>
        <v>49</v>
      </c>
      <c r="G63" s="77">
        <f>C63</f>
        <v>4</v>
      </c>
      <c r="H63" s="77">
        <f>F63*G63</f>
        <v>196</v>
      </c>
      <c r="I63" s="512" t="s">
        <v>97</v>
      </c>
      <c r="J63" s="513"/>
      <c r="K63" s="78" t="s">
        <v>98</v>
      </c>
      <c r="L63" s="78"/>
      <c r="M63" s="7" t="s">
        <v>99</v>
      </c>
      <c r="N63" s="7"/>
      <c r="O63" s="99">
        <f>O62+1</f>
        <v>8</v>
      </c>
      <c r="P63" s="99">
        <f t="shared" si="10"/>
        <v>5</v>
      </c>
      <c r="Q63" s="76">
        <f>P63</f>
        <v>5</v>
      </c>
      <c r="R63" s="77">
        <f>VLOOKUP(Q63,STN_TABLE,2,FALSE)</f>
        <v>12.25</v>
      </c>
      <c r="S63" s="77">
        <v>8</v>
      </c>
      <c r="T63" s="76">
        <f>R63*S63</f>
        <v>98</v>
      </c>
      <c r="U63" s="80">
        <v>10</v>
      </c>
      <c r="V63" s="76">
        <f>R63*U63</f>
        <v>122.5</v>
      </c>
      <c r="W63" s="513" t="s">
        <v>97</v>
      </c>
      <c r="X63" s="513"/>
      <c r="Y63" s="513" t="s">
        <v>98</v>
      </c>
      <c r="Z63" s="513"/>
      <c r="AA63" s="511" t="s">
        <v>99</v>
      </c>
      <c r="AB63" s="511"/>
      <c r="AC63" s="99">
        <f>AC58+1</f>
        <v>7</v>
      </c>
      <c r="AD63" s="95">
        <f>VLOOKUP(AC63,STN_TABLE_2,2,FALSE)</f>
        <v>4</v>
      </c>
      <c r="AE63" s="68">
        <f>VLOOKUP(AD63,STN_TABLE,2,FALSE)</f>
        <v>12.25</v>
      </c>
      <c r="AF63" s="68">
        <v>1</v>
      </c>
      <c r="AG63" s="69">
        <f>AE63*AF63</f>
        <v>12.25</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12.25</v>
      </c>
      <c r="E64" s="92">
        <v>1</v>
      </c>
      <c r="F64" s="82">
        <f>D64*E64</f>
        <v>12.25</v>
      </c>
      <c r="G64" s="83">
        <f>C64</f>
        <v>5</v>
      </c>
      <c r="H64" s="83">
        <f>F64*G64</f>
        <v>61.25</v>
      </c>
      <c r="I64" s="84" t="str">
        <f>CONCATENATE("a'(",C64,")=")</f>
        <v>a'(5)=</v>
      </c>
      <c r="J64" s="84">
        <f>2*J62/3*F65</f>
        <v>88.2</v>
      </c>
      <c r="K64" s="84" t="str">
        <f>CONCATENATE("A(",C62,")=")</f>
        <v>A(3)=</v>
      </c>
      <c r="L64" s="84">
        <f>VLOOKUP(C62,STN_TABLE,3,FALSE)</f>
        <v>124.78799999999998</v>
      </c>
      <c r="M64" t="str">
        <f>CONCATENATE("A(",C64,")=")</f>
        <v>A(5)=</v>
      </c>
      <c r="N64">
        <f>J64+L64</f>
        <v>212.988</v>
      </c>
      <c r="O64" s="99">
        <f>O63+1</f>
        <v>9</v>
      </c>
      <c r="P64" s="99">
        <f t="shared" si="10"/>
        <v>5.6111111111111107</v>
      </c>
      <c r="Q64" s="82">
        <f>IF(P64-P63=P63-P62,P64,IF(P65-P63=P63-P62,P65,IF(P64-P63=P63-P61,P64,IF(P65-P63=P63-P61,P65,"-"))))</f>
        <v>6</v>
      </c>
      <c r="R64" s="83">
        <f>VLOOKUP(Q64,STN_TABLE,2,FALSE)</f>
        <v>12.25</v>
      </c>
      <c r="S64" s="83">
        <v>-1</v>
      </c>
      <c r="T64" s="82">
        <f>R64*S64</f>
        <v>-12.25</v>
      </c>
      <c r="U64" s="88">
        <v>-1</v>
      </c>
      <c r="V64" s="82">
        <f>R64*U64</f>
        <v>-12.25</v>
      </c>
      <c r="W64" s="84" t="str">
        <f>CONCATENATE("a'(",Q63,")=")</f>
        <v>a'(5)=</v>
      </c>
      <c r="X64" s="84">
        <f>2*X62/12*T65</f>
        <v>44.1</v>
      </c>
      <c r="Y64" s="84" t="str">
        <f>CONCATENATE("A(",Q62,")=")</f>
        <v>A(4)=</v>
      </c>
      <c r="Z64" s="84">
        <f>VLOOKUP(Q62,STN_TABLE,3,FALSE)</f>
        <v>168.89400000000001</v>
      </c>
      <c r="AA64" t="str">
        <f>CONCATENATE("A(",Q63,")=")</f>
        <v>A(5)=</v>
      </c>
      <c r="AB64">
        <f>X64+Z64</f>
        <v>212.994</v>
      </c>
      <c r="AC64" s="99">
        <f>AC63+1</f>
        <v>8</v>
      </c>
      <c r="AD64" s="100">
        <f>VLOOKUP(AC64,STN_TABLE_2,2,FALSE)</f>
        <v>5</v>
      </c>
      <c r="AE64" s="82">
        <f>VLOOKUP(AD64,STN_TABLE,2,FALSE)</f>
        <v>12.25</v>
      </c>
      <c r="AF64" s="82">
        <v>2</v>
      </c>
      <c r="AG64" s="83">
        <f>AE64*AF64</f>
        <v>24.5</v>
      </c>
      <c r="AH64" s="84" t="str">
        <f>CONCATENATE("a'(",AD64,")=")</f>
        <v>a'(5)=</v>
      </c>
      <c r="AI64" s="84">
        <f>2*AI62/2*AE65</f>
        <v>44.1</v>
      </c>
      <c r="AJ64" s="84" t="str">
        <f>CONCATENATE("A(",AD63,")=")</f>
        <v>A(4)=</v>
      </c>
      <c r="AK64" s="84">
        <f>VLOOKUP(AD63,STN_TABLE,3,FALSE)</f>
        <v>168.89400000000001</v>
      </c>
      <c r="AL64" t="str">
        <f>CONCATENATE("A(",AD64,")=")</f>
        <v>A(5)=</v>
      </c>
      <c r="AM64">
        <f>AI64+AK64</f>
        <v>212.994</v>
      </c>
      <c r="AO64" s="68" t="str">
        <f>AA64</f>
        <v>A(5)=</v>
      </c>
      <c r="AP64" s="68" t="e">
        <f>VLOOKUP(AO64,Rise_Results,2,FALSE)</f>
        <v>#N/A</v>
      </c>
      <c r="AQ64" s="76">
        <f>N64</f>
        <v>212.988</v>
      </c>
      <c r="AR64" s="76">
        <f>IF(OR(AB64&lt;=0,AB65&lt;=0),1/0,AB64)</f>
        <v>212.994</v>
      </c>
      <c r="AS64" s="76">
        <f>AM64</f>
        <v>212.994</v>
      </c>
      <c r="AT64">
        <f>IFERROR(AP64,IFERROR(AQ64,IFERROR(AR64,AS64)))</f>
        <v>212.988</v>
      </c>
      <c r="AU64" s="81"/>
    </row>
    <row r="65" spans="1:47" x14ac:dyDescent="0.25">
      <c r="A65" s="84">
        <f>A64+1</f>
        <v>8</v>
      </c>
      <c r="B65" s="84">
        <f t="shared" si="11"/>
        <v>5</v>
      </c>
      <c r="F65" s="82">
        <f>SUM(F62:F64)</f>
        <v>73.5</v>
      </c>
      <c r="H65" s="82">
        <f>SUM(H62:H64)</f>
        <v>294</v>
      </c>
      <c r="I65" s="84" t="str">
        <f>CONCATENATE("m'(",C64,")=")</f>
        <v>m'(5)=</v>
      </c>
      <c r="J65" s="84">
        <f>2*(J62*(WLS))/3*H65</f>
        <v>635.04000000000008</v>
      </c>
      <c r="K65" s="84" t="str">
        <f>CONCATENATE("M(",C62,")=")</f>
        <v>M(3)=</v>
      </c>
      <c r="L65" s="84">
        <f>VLOOKUP(C62,STN_TABLE,4,FALSE)</f>
        <v>352.31760000000003</v>
      </c>
      <c r="M65" t="str">
        <f>CONCATENATE("M(",C64,")=")</f>
        <v>M(5)=</v>
      </c>
      <c r="N65">
        <f>J65+L65</f>
        <v>987.35760000000005</v>
      </c>
      <c r="O65" s="99">
        <f>O64+1</f>
        <v>10</v>
      </c>
      <c r="P65" s="99">
        <f t="shared" si="10"/>
        <v>6</v>
      </c>
      <c r="T65" s="89">
        <f>SUM(T62:T64)</f>
        <v>147</v>
      </c>
      <c r="V65" s="82">
        <f>SUM(V62:V64)</f>
        <v>147</v>
      </c>
      <c r="W65" s="84" t="str">
        <f>CONCATENATE("m'(",Q63,")=")</f>
        <v>m'(5)=</v>
      </c>
      <c r="X65" s="84">
        <f>(2*(X62^2)/24*V65)+(X64*Q62*WLS)</f>
        <v>357.21000000000004</v>
      </c>
      <c r="Y65" s="84" t="str">
        <f>CONCATENATE("M(",Q62,")=")</f>
        <v>M(4)=</v>
      </c>
      <c r="Z65" s="84">
        <f>VLOOKUP(Q62,STN_TABLE,4,FALSE)</f>
        <v>629.87760000000003</v>
      </c>
      <c r="AA65" t="str">
        <f>CONCATENATE("M(",Q63,")=")</f>
        <v>M(5)=</v>
      </c>
      <c r="AB65">
        <f>X65+Z65</f>
        <v>987.08760000000007</v>
      </c>
      <c r="AE65" s="89">
        <f>SUM(AE63:AE64)</f>
        <v>24.5</v>
      </c>
      <c r="AG65" s="89">
        <f>SUM(AG63:AG64)</f>
        <v>36.75</v>
      </c>
      <c r="AH65" s="84" t="str">
        <f>CONCATENATE("m'(",AD64,")=")</f>
        <v>m'(5)=</v>
      </c>
      <c r="AI65" s="84">
        <f>(2*(AI62^2)/6*AG65)+(AI64*AD63*WLS)</f>
        <v>357.21000000000004</v>
      </c>
      <c r="AJ65" s="84" t="str">
        <f>CONCATENATE("M(",AD63,")=")</f>
        <v>M(4)=</v>
      </c>
      <c r="AK65" s="84">
        <f>VLOOKUP(AD63,STN_TABLE,4,FALSE)</f>
        <v>629.87760000000003</v>
      </c>
      <c r="AL65" t="str">
        <f>CONCATENATE("M(",AD64,")=")</f>
        <v>M(5)=</v>
      </c>
      <c r="AM65">
        <f>AI65+AK65</f>
        <v>987.08760000000007</v>
      </c>
      <c r="AO65" s="82" t="str">
        <f>AA65</f>
        <v>M(5)=</v>
      </c>
      <c r="AP65" s="82" t="e">
        <f>VLOOKUP(AO65,Rise_Results,2,FALSE)</f>
        <v>#N/A</v>
      </c>
      <c r="AQ65" s="82">
        <f>N65</f>
        <v>987.35760000000005</v>
      </c>
      <c r="AR65" s="82">
        <f>IF(OR(AB64&lt;=0,AB65&lt;=0),1/0,AB65)</f>
        <v>987.08760000000007</v>
      </c>
      <c r="AS65" s="82">
        <f>AM65</f>
        <v>987.08760000000007</v>
      </c>
      <c r="AT65">
        <f>IFERROR(AP65,IFERROR(AQ65,IFERROR(AR65,AS65)))</f>
        <v>987.35760000000005</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12.25</v>
      </c>
      <c r="S68" s="77">
        <v>8</v>
      </c>
      <c r="T68" s="76">
        <f>R68*S68</f>
        <v>98</v>
      </c>
      <c r="U68" s="80">
        <v>10</v>
      </c>
      <c r="V68" s="76">
        <f>R68*U68</f>
        <v>122.5</v>
      </c>
      <c r="W68" s="513" t="s">
        <v>97</v>
      </c>
      <c r="X68" s="513"/>
      <c r="Y68" s="513" t="s">
        <v>98</v>
      </c>
      <c r="Z68" s="513"/>
      <c r="AA68" s="511" t="s">
        <v>99</v>
      </c>
      <c r="AB68" s="511"/>
      <c r="AC68" s="99">
        <f>AC63+1</f>
        <v>8</v>
      </c>
      <c r="AD68" s="95">
        <f>VLOOKUP(AC68,STN_TABLE_2,2,FALSE)</f>
        <v>5</v>
      </c>
      <c r="AE68" s="68">
        <f>VLOOKUP(AD68,STN_TABLE,2,FALSE)</f>
        <v>12.25</v>
      </c>
      <c r="AF68" s="68">
        <v>1</v>
      </c>
      <c r="AG68" s="69">
        <f>AE68*AF68</f>
        <v>12.25</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12.25</v>
      </c>
      <c r="E69" s="92">
        <v>1</v>
      </c>
      <c r="F69" s="82">
        <f>D69*E69</f>
        <v>12.25</v>
      </c>
      <c r="G69" s="83">
        <f>C69</f>
        <v>5.6111111111111107</v>
      </c>
      <c r="H69" s="83">
        <f>F69*G69</f>
        <v>68.7361111111111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12.25</v>
      </c>
      <c r="AF69" s="82">
        <v>2</v>
      </c>
      <c r="AG69" s="83">
        <f>AE69*AF69</f>
        <v>24.5</v>
      </c>
      <c r="AH69" s="84" t="str">
        <f>CONCATENATE("a'(",AD69,")=")</f>
        <v>a'(5.61111111111111)=</v>
      </c>
      <c r="AI69" s="84">
        <f>2*AI67/2*AE70</f>
        <v>26.949999999999985</v>
      </c>
      <c r="AJ69" s="84" t="str">
        <f>CONCATENATE("A(",AD68,")=")</f>
        <v>A(5)=</v>
      </c>
      <c r="AK69" s="84">
        <f>VLOOKUP(AD68,STN_TABLE,3,FALSE)</f>
        <v>212.988</v>
      </c>
      <c r="AL69" t="str">
        <f>CONCATENATE("A(",AD69,")=")</f>
        <v>A(5.61111111111111)=</v>
      </c>
      <c r="AM69">
        <f>AI69+AK69</f>
        <v>239.93799999999999</v>
      </c>
      <c r="AO69" s="68" t="str">
        <f>AA69</f>
        <v>A(5.61111111111111)=</v>
      </c>
      <c r="AP69" s="68" t="e">
        <f>VLOOKUP(AO69,Rise_Results,2,FALSE)</f>
        <v>#N/A</v>
      </c>
      <c r="AQ69" s="76" t="e">
        <f>N69</f>
        <v>#N/A</v>
      </c>
      <c r="AR69" s="76" t="e">
        <f>IF(OR(AB69&lt;=0,AB70&lt;=0),1/0,AB69)</f>
        <v>#VALUE!</v>
      </c>
      <c r="AS69" s="76">
        <f>AM69</f>
        <v>239.93799999999999</v>
      </c>
      <c r="AT69">
        <f>IFERROR(AP69,IFERROR(AQ69,IFERROR(AR69,AS69)))</f>
        <v>239.93799999999999</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24.5</v>
      </c>
      <c r="AG70" s="89">
        <f>SUM(AG68:AG69)</f>
        <v>36.75</v>
      </c>
      <c r="AH70" s="84" t="str">
        <f>CONCATENATE("m'(",AD69,")=")</f>
        <v>m'(5.61111111111111)=</v>
      </c>
      <c r="AI70" s="84">
        <f>(2*(AI67^2)/6*AG70)+(AI69*AD68*WLS)</f>
        <v>257.37249999999983</v>
      </c>
      <c r="AJ70" s="84" t="str">
        <f>CONCATENATE("M(",AD68,")=")</f>
        <v>M(5)=</v>
      </c>
      <c r="AK70" s="84">
        <f>VLOOKUP(AD68,STN_TABLE,4,FALSE)</f>
        <v>987.35760000000005</v>
      </c>
      <c r="AL70" t="str">
        <f>CONCATENATE("M(",AD69,")=")</f>
        <v>M(5.61111111111111)=</v>
      </c>
      <c r="AM70">
        <f>AI70+AK70</f>
        <v>1244.7300999999998</v>
      </c>
      <c r="AO70" s="82" t="str">
        <f>AA70</f>
        <v>M(5.61111111111111)=</v>
      </c>
      <c r="AP70" s="82" t="e">
        <f>VLOOKUP(AO70,Rise_Results,2,FALSE)</f>
        <v>#N/A</v>
      </c>
      <c r="AQ70" s="82" t="e">
        <f>N70</f>
        <v>#N/A</v>
      </c>
      <c r="AR70" s="82" t="e">
        <f>IF(OR(AB69&lt;=0,AB70&lt;=0),1/0,AB70)</f>
        <v>#VALUE!</v>
      </c>
      <c r="AS70" s="82">
        <f>AM70</f>
        <v>1244.7300999999998</v>
      </c>
      <c r="AT70">
        <f>IFERROR(AP70,IFERROR(AQ70,IFERROR(AR70,AS70)))</f>
        <v>1244.7300999999998</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12.25</v>
      </c>
      <c r="E72" s="102">
        <v>1</v>
      </c>
      <c r="F72" s="68">
        <f>D72*E72</f>
        <v>12.25</v>
      </c>
      <c r="G72" s="69">
        <f>C72</f>
        <v>4</v>
      </c>
      <c r="H72" s="69">
        <f>F72*G72</f>
        <v>49</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12.25</v>
      </c>
      <c r="S72" s="69">
        <v>5</v>
      </c>
      <c r="T72" s="68">
        <f>R72*S72</f>
        <v>61.25</v>
      </c>
      <c r="U72" s="79">
        <v>3</v>
      </c>
      <c r="V72" s="68">
        <f>R72*U72</f>
        <v>36.75</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12.25</v>
      </c>
      <c r="E73" s="81">
        <v>4</v>
      </c>
      <c r="F73" s="76">
        <f>D73*E73</f>
        <v>49</v>
      </c>
      <c r="G73" s="77">
        <f>C73</f>
        <v>5</v>
      </c>
      <c r="H73" s="77">
        <f>F73*G73</f>
        <v>245</v>
      </c>
      <c r="I73" s="512" t="s">
        <v>97</v>
      </c>
      <c r="J73" s="513"/>
      <c r="K73" s="78" t="s">
        <v>98</v>
      </c>
      <c r="L73" s="78"/>
      <c r="M73" s="7" t="s">
        <v>99</v>
      </c>
      <c r="N73" s="7"/>
      <c r="O73" s="99">
        <f>O72+1</f>
        <v>10</v>
      </c>
      <c r="P73" s="99">
        <f t="shared" si="23"/>
        <v>6</v>
      </c>
      <c r="Q73" s="76">
        <f>P73</f>
        <v>6</v>
      </c>
      <c r="R73" s="77">
        <f>VLOOKUP(Q73,STN_TABLE,2,FALSE)</f>
        <v>12.25</v>
      </c>
      <c r="S73" s="77">
        <v>8</v>
      </c>
      <c r="T73" s="76">
        <f>R73*S73</f>
        <v>98</v>
      </c>
      <c r="U73" s="80">
        <v>10</v>
      </c>
      <c r="V73" s="76">
        <f>R73*U73</f>
        <v>122.5</v>
      </c>
      <c r="W73" s="513" t="s">
        <v>97</v>
      </c>
      <c r="X73" s="513"/>
      <c r="Y73" s="513" t="s">
        <v>98</v>
      </c>
      <c r="Z73" s="513"/>
      <c r="AA73" s="511" t="s">
        <v>99</v>
      </c>
      <c r="AB73" s="511"/>
      <c r="AC73" s="99">
        <f>AC68+1</f>
        <v>9</v>
      </c>
      <c r="AD73" s="95">
        <f>VLOOKUP(AC73,STN_TABLE_2,2,FALSE)</f>
        <v>5.6111111111111107</v>
      </c>
      <c r="AE73" s="68">
        <f>VLOOKUP(AD73,STN_TABLE,2,FALSE)</f>
        <v>12.25</v>
      </c>
      <c r="AF73" s="68">
        <v>1</v>
      </c>
      <c r="AG73" s="69">
        <f>AE73*AF73</f>
        <v>12.25</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12.25</v>
      </c>
      <c r="E74" s="92">
        <v>1</v>
      </c>
      <c r="F74" s="82">
        <f>D74*E74</f>
        <v>12.25</v>
      </c>
      <c r="G74" s="83">
        <f>C74</f>
        <v>6</v>
      </c>
      <c r="H74" s="83">
        <f>F74*G74</f>
        <v>73.5</v>
      </c>
      <c r="I74" s="84" t="str">
        <f>CONCATENATE("a'(",C74,")=")</f>
        <v>a'(6)=</v>
      </c>
      <c r="J74" s="84">
        <f>2*J72/3*F75</f>
        <v>88.2</v>
      </c>
      <c r="K74" s="84" t="str">
        <f>CONCATENATE("A(",C72,")=")</f>
        <v>A(4)=</v>
      </c>
      <c r="L74" s="84">
        <f>VLOOKUP(C72,STN_TABLE,3,FALSE)</f>
        <v>168.89400000000001</v>
      </c>
      <c r="M74" t="str">
        <f>CONCATENATE("A(",C74,")=")</f>
        <v>A(6)=</v>
      </c>
      <c r="N74">
        <f>J74+L74</f>
        <v>257.09399999999999</v>
      </c>
      <c r="O74" s="99">
        <f>O73+1</f>
        <v>11</v>
      </c>
      <c r="P74" s="99">
        <f t="shared" si="23"/>
        <v>7</v>
      </c>
      <c r="Q74" s="82">
        <f>IF(P74-P73=P73-P72,P74,IF(P75-P73=P73-P72,P75,IF(P74-P73=P73-P71,P74,IF(P75-P73=P73-P71,P75,"-"))))</f>
        <v>7</v>
      </c>
      <c r="R74" s="83">
        <f>VLOOKUP(Q74,STN_TABLE,2,FALSE)</f>
        <v>12.25</v>
      </c>
      <c r="S74" s="83">
        <v>-1</v>
      </c>
      <c r="T74" s="82">
        <f>R74*S74</f>
        <v>-12.25</v>
      </c>
      <c r="U74" s="88">
        <v>-1</v>
      </c>
      <c r="V74" s="82">
        <f>R74*U74</f>
        <v>-12.25</v>
      </c>
      <c r="W74" s="84" t="str">
        <f>CONCATENATE("a'(",Q73,")=")</f>
        <v>a'(6)=</v>
      </c>
      <c r="X74" s="84">
        <f>2*X72/12*T75</f>
        <v>44.1</v>
      </c>
      <c r="Y74" s="84" t="str">
        <f>CONCATENATE("A(",Q72,")=")</f>
        <v>A(5)=</v>
      </c>
      <c r="Z74" s="84">
        <f>VLOOKUP(Q72,STN_TABLE,3,FALSE)</f>
        <v>212.988</v>
      </c>
      <c r="AA74" t="str">
        <f>CONCATENATE("A(",Q73,")=")</f>
        <v>A(6)=</v>
      </c>
      <c r="AB74">
        <f>X74+Z74</f>
        <v>257.08800000000002</v>
      </c>
      <c r="AC74" s="99">
        <f>AC73+1</f>
        <v>10</v>
      </c>
      <c r="AD74" s="100">
        <f>VLOOKUP(AC74,STN_TABLE_2,2,FALSE)</f>
        <v>6</v>
      </c>
      <c r="AE74" s="82">
        <f>VLOOKUP(AD74,STN_TABLE,2,FALSE)</f>
        <v>12.25</v>
      </c>
      <c r="AF74" s="82">
        <v>2</v>
      </c>
      <c r="AG74" s="83">
        <f>AE74*AF74</f>
        <v>24.5</v>
      </c>
      <c r="AH74" s="84" t="str">
        <f>CONCATENATE("a'(",AD74,")=")</f>
        <v>a'(6)=</v>
      </c>
      <c r="AI74" s="84">
        <f>2*AI72/2*AE75</f>
        <v>17.150000000000016</v>
      </c>
      <c r="AJ74" s="84" t="str">
        <f>CONCATENATE("A(",AD73,")=")</f>
        <v>A(5.61111111111111)=</v>
      </c>
      <c r="AK74" s="84">
        <f>VLOOKUP(AD73,STN_TABLE,3,FALSE)</f>
        <v>239.93799999999999</v>
      </c>
      <c r="AL74" t="str">
        <f>CONCATENATE("A(",AD74,")=")</f>
        <v>A(6)=</v>
      </c>
      <c r="AM74">
        <f>AI74+AK74</f>
        <v>257.08800000000002</v>
      </c>
      <c r="AO74" s="68" t="str">
        <f>AA74</f>
        <v>A(6)=</v>
      </c>
      <c r="AP74" s="68" t="e">
        <f>VLOOKUP(AO74,Rise_Results,2,FALSE)</f>
        <v>#N/A</v>
      </c>
      <c r="AQ74" s="76">
        <f>N74</f>
        <v>257.09399999999999</v>
      </c>
      <c r="AR74" s="76">
        <f>IF(OR(AB74&lt;=0,AB75&lt;=0),1/0,AB74)</f>
        <v>257.08800000000002</v>
      </c>
      <c r="AS74" s="76">
        <f>AM74</f>
        <v>257.08800000000002</v>
      </c>
      <c r="AT74">
        <f>IFERROR(AP74,IFERROR(AQ74,IFERROR(AR74,AS74)))</f>
        <v>257.09399999999999</v>
      </c>
      <c r="AU74" s="81"/>
    </row>
    <row r="75" spans="1:47" x14ac:dyDescent="0.25">
      <c r="A75" s="84">
        <f>A74+1</f>
        <v>10</v>
      </c>
      <c r="B75" s="84">
        <f t="shared" si="27"/>
        <v>6</v>
      </c>
      <c r="F75" s="82">
        <f>SUM(F72:F74)</f>
        <v>73.5</v>
      </c>
      <c r="H75" s="82">
        <f>SUM(H72:H74)</f>
        <v>367.5</v>
      </c>
      <c r="I75" s="84" t="str">
        <f>CONCATENATE("m'(",C74,")=")</f>
        <v>m'(6)=</v>
      </c>
      <c r="J75" s="84">
        <f>2*(J72*(WLS))/3*H75</f>
        <v>793.80000000000007</v>
      </c>
      <c r="K75" s="84" t="str">
        <f>CONCATENATE("M(",C72,")=")</f>
        <v>M(4)=</v>
      </c>
      <c r="L75" s="84">
        <f>VLOOKUP(C72,STN_TABLE,4,FALSE)</f>
        <v>629.87760000000003</v>
      </c>
      <c r="M75" t="str">
        <f>CONCATENATE("M(",C74,")=")</f>
        <v>M(6)=</v>
      </c>
      <c r="N75">
        <f>J75+L75</f>
        <v>1423.6776</v>
      </c>
      <c r="O75" s="99">
        <f>O74+1</f>
        <v>12</v>
      </c>
      <c r="P75" s="99">
        <f t="shared" si="23"/>
        <v>7.8833333333333329</v>
      </c>
      <c r="T75" s="89">
        <f>SUM(T72:T74)</f>
        <v>147</v>
      </c>
      <c r="V75" s="82">
        <f>SUM(V72:V74)</f>
        <v>147</v>
      </c>
      <c r="W75" s="84" t="str">
        <f>CONCATENATE("m'(",Q73,")=")</f>
        <v>m'(6)=</v>
      </c>
      <c r="X75" s="84">
        <f>(2*(X72^2)/24*V75)+(X74*Q72*WLS)</f>
        <v>436.59000000000003</v>
      </c>
      <c r="Y75" s="84" t="str">
        <f>CONCATENATE("M(",Q72,")=")</f>
        <v>M(5)=</v>
      </c>
      <c r="Z75" s="84">
        <f>VLOOKUP(Q72,STN_TABLE,4,FALSE)</f>
        <v>987.35760000000005</v>
      </c>
      <c r="AA75" t="str">
        <f>CONCATENATE("M(",Q73,")=")</f>
        <v>M(6)=</v>
      </c>
      <c r="AB75">
        <f>X75+Z75</f>
        <v>1423.9476</v>
      </c>
      <c r="AE75" s="89">
        <f>SUM(AE73:AE74)</f>
        <v>24.5</v>
      </c>
      <c r="AG75" s="89">
        <f>SUM(AG73:AG74)</f>
        <v>36.75</v>
      </c>
      <c r="AH75" s="84" t="str">
        <f>CONCATENATE("m'(",AD74,")=")</f>
        <v>m'(6)=</v>
      </c>
      <c r="AI75" s="84">
        <f>(2*(AI72^2)/6*AG75)+(AI74*AD73*WLS)</f>
        <v>179.21750000000017</v>
      </c>
      <c r="AJ75" s="84" t="str">
        <f>CONCATENATE("M(",AD73,")=")</f>
        <v>M(5.61111111111111)=</v>
      </c>
      <c r="AK75" s="84">
        <f>VLOOKUP(AD73,STN_TABLE,4,FALSE)</f>
        <v>1244.7300999999998</v>
      </c>
      <c r="AL75" t="str">
        <f>CONCATENATE("M(",AD74,")=")</f>
        <v>M(6)=</v>
      </c>
      <c r="AM75">
        <f>AI75+AK75</f>
        <v>1423.9476</v>
      </c>
      <c r="AO75" s="82" t="str">
        <f>AA75</f>
        <v>M(6)=</v>
      </c>
      <c r="AP75" s="82" t="e">
        <f>VLOOKUP(AO75,Rise_Results,2,FALSE)</f>
        <v>#N/A</v>
      </c>
      <c r="AQ75" s="82">
        <f>N75</f>
        <v>1423.6776</v>
      </c>
      <c r="AR75" s="82">
        <f>IF(OR(AB74&lt;=0,AB75&lt;=0),1/0,AB75)</f>
        <v>1423.9476</v>
      </c>
      <c r="AS75" s="82">
        <f>AM75</f>
        <v>1423.9476</v>
      </c>
      <c r="AT75">
        <f>IFERROR(AP75,IFERROR(AQ75,IFERROR(AR75,AS75)))</f>
        <v>1423.6776</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12.25</v>
      </c>
      <c r="E77" s="102">
        <v>1</v>
      </c>
      <c r="F77" s="68">
        <f>D77*E77</f>
        <v>12.25</v>
      </c>
      <c r="G77" s="69">
        <f>C77</f>
        <v>5</v>
      </c>
      <c r="H77" s="69">
        <f>F77*G77</f>
        <v>61.25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12.25</v>
      </c>
      <c r="E78" s="81">
        <v>4</v>
      </c>
      <c r="F78" s="76">
        <f>D78*E78</f>
        <v>49</v>
      </c>
      <c r="G78" s="77">
        <f>C78</f>
        <v>6</v>
      </c>
      <c r="H78" s="77">
        <f>F78*G78</f>
        <v>294</v>
      </c>
      <c r="I78" s="512" t="s">
        <v>97</v>
      </c>
      <c r="J78" s="513"/>
      <c r="K78" s="78" t="s">
        <v>98</v>
      </c>
      <c r="L78" s="78"/>
      <c r="M78" s="7" t="s">
        <v>99</v>
      </c>
      <c r="N78" s="7"/>
      <c r="O78" s="99">
        <f>O77+1</f>
        <v>11</v>
      </c>
      <c r="P78" s="99">
        <f t="shared" si="23"/>
        <v>7</v>
      </c>
      <c r="Q78" s="76">
        <f>P78</f>
        <v>7</v>
      </c>
      <c r="R78" s="77">
        <f>VLOOKUP(Q78,STN_TABLE,2,FALSE)</f>
        <v>12.25</v>
      </c>
      <c r="S78" s="77">
        <v>8</v>
      </c>
      <c r="T78" s="76">
        <f>R78*S78</f>
        <v>98</v>
      </c>
      <c r="U78" s="80">
        <v>10</v>
      </c>
      <c r="V78" s="76">
        <f>R78*U78</f>
        <v>122.5</v>
      </c>
      <c r="W78" s="513" t="s">
        <v>97</v>
      </c>
      <c r="X78" s="513"/>
      <c r="Y78" s="513" t="s">
        <v>98</v>
      </c>
      <c r="Z78" s="513"/>
      <c r="AA78" s="511" t="s">
        <v>99</v>
      </c>
      <c r="AB78" s="511"/>
      <c r="AC78" s="99">
        <f>AC73+1</f>
        <v>10</v>
      </c>
      <c r="AD78" s="95">
        <f>VLOOKUP(AC78,STN_TABLE_2,2,FALSE)</f>
        <v>6</v>
      </c>
      <c r="AE78" s="68">
        <f>VLOOKUP(AD78,STN_TABLE,2,FALSE)</f>
        <v>12.25</v>
      </c>
      <c r="AF78" s="68">
        <v>1</v>
      </c>
      <c r="AG78" s="69">
        <f>AE78*AF78</f>
        <v>12.25</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12.25</v>
      </c>
      <c r="E79" s="92">
        <v>1</v>
      </c>
      <c r="F79" s="82">
        <f>D79*E79</f>
        <v>12.25</v>
      </c>
      <c r="G79" s="83">
        <f>C79</f>
        <v>7</v>
      </c>
      <c r="H79" s="83">
        <f>F79*G79</f>
        <v>85.75</v>
      </c>
      <c r="I79" s="84" t="str">
        <f>CONCATENATE("a'(",C79,")=")</f>
        <v>a'(7)=</v>
      </c>
      <c r="J79" s="84">
        <f>2*J77/3*F80</f>
        <v>88.2</v>
      </c>
      <c r="K79" s="84" t="str">
        <f>CONCATENATE("A(",C77,")=")</f>
        <v>A(5)=</v>
      </c>
      <c r="L79" s="84">
        <f>VLOOKUP(C77,STN_TABLE,3,FALSE)</f>
        <v>212.988</v>
      </c>
      <c r="M79" t="str">
        <f>CONCATENATE("A(",C79,")=")</f>
        <v>A(7)=</v>
      </c>
      <c r="N79">
        <f>J79+L79</f>
        <v>301.18799999999999</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12.25</v>
      </c>
      <c r="AF79" s="82">
        <v>2</v>
      </c>
      <c r="AG79" s="83">
        <f>AE79*AF79</f>
        <v>24.5</v>
      </c>
      <c r="AH79" s="84" t="str">
        <f>CONCATENATE("a'(",AD79,")=")</f>
        <v>a'(7)=</v>
      </c>
      <c r="AI79" s="84">
        <f>2*AI77/2*AE80</f>
        <v>44.1</v>
      </c>
      <c r="AJ79" s="84" t="str">
        <f>CONCATENATE("A(",AD78,")=")</f>
        <v>A(6)=</v>
      </c>
      <c r="AK79" s="84">
        <f>VLOOKUP(AD78,STN_TABLE,3,FALSE)</f>
        <v>257.09399999999999</v>
      </c>
      <c r="AL79" t="str">
        <f>CONCATENATE("A(",AD79,")=")</f>
        <v>A(7)=</v>
      </c>
      <c r="AM79">
        <f>AI79+AK79</f>
        <v>301.19400000000002</v>
      </c>
      <c r="AO79" s="68" t="str">
        <f>AA79</f>
        <v>A(7)=</v>
      </c>
      <c r="AP79" s="68" t="e">
        <f>VLOOKUP(AO79,Rise_Results,2,FALSE)</f>
        <v>#N/A</v>
      </c>
      <c r="AQ79" s="76">
        <f>N79</f>
        <v>301.18799999999999</v>
      </c>
      <c r="AR79" s="76" t="e">
        <f>IF(OR(AB79&lt;=0,AB80&lt;=0),1/0,AB79)</f>
        <v>#VALUE!</v>
      </c>
      <c r="AS79" s="76">
        <f>AM79</f>
        <v>301.19400000000002</v>
      </c>
      <c r="AT79">
        <f>IFERROR(AP79,IFERROR(AQ79,IFERROR(AR79,AS79)))</f>
        <v>301.18799999999999</v>
      </c>
      <c r="AU79" s="81"/>
    </row>
    <row r="80" spans="1:47" x14ac:dyDescent="0.25">
      <c r="A80" s="84">
        <f>A79+1</f>
        <v>11</v>
      </c>
      <c r="B80" s="84">
        <f t="shared" si="27"/>
        <v>7</v>
      </c>
      <c r="F80" s="82">
        <f>SUM(F77:F79)</f>
        <v>73.5</v>
      </c>
      <c r="H80" s="82">
        <f>SUM(H77:H79)</f>
        <v>441</v>
      </c>
      <c r="I80" s="84" t="str">
        <f>CONCATENATE("m'(",C79,")=")</f>
        <v>m'(7)=</v>
      </c>
      <c r="J80" s="84">
        <f>2*(J77*(WLS))/3*H80</f>
        <v>952.56000000000006</v>
      </c>
      <c r="K80" s="84" t="str">
        <f>CONCATENATE("M(",C77,")=")</f>
        <v>M(5)=</v>
      </c>
      <c r="L80" s="84">
        <f>VLOOKUP(C77,STN_TABLE,4,FALSE)</f>
        <v>987.35760000000005</v>
      </c>
      <c r="M80" t="str">
        <f>CONCATENATE("M(",C79,")=")</f>
        <v>M(7)=</v>
      </c>
      <c r="N80">
        <f>J80+L80</f>
        <v>1939.9176000000002</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24.5</v>
      </c>
      <c r="AG80" s="89">
        <f>SUM(AG78:AG79)</f>
        <v>36.75</v>
      </c>
      <c r="AH80" s="84" t="str">
        <f>CONCATENATE("m'(",AD79,")=")</f>
        <v>m'(7)=</v>
      </c>
      <c r="AI80" s="84">
        <f>(2*(AI77^2)/6*AG80)+(AI79*AD78*WLS)</f>
        <v>515.97</v>
      </c>
      <c r="AJ80" s="84" t="str">
        <f>CONCATENATE("M(",AD78,")=")</f>
        <v>M(6)=</v>
      </c>
      <c r="AK80" s="84">
        <f>VLOOKUP(AD78,STN_TABLE,4,FALSE)</f>
        <v>1423.6776</v>
      </c>
      <c r="AL80" t="str">
        <f>CONCATENATE("M(",AD79,")=")</f>
        <v>M(7)=</v>
      </c>
      <c r="AM80">
        <f>AI80+AK80</f>
        <v>1939.6476</v>
      </c>
      <c r="AO80" s="82" t="str">
        <f>AA80</f>
        <v>M(7)=</v>
      </c>
      <c r="AP80" s="82" t="e">
        <f>VLOOKUP(AO80,Rise_Results,2,FALSE)</f>
        <v>#N/A</v>
      </c>
      <c r="AQ80" s="82">
        <f>N80</f>
        <v>1939.9176000000002</v>
      </c>
      <c r="AR80" s="82" t="e">
        <f>IF(OR(AB79&lt;=0,AB80&lt;=0),1/0,AB80)</f>
        <v>#VALUE!</v>
      </c>
      <c r="AS80" s="82">
        <f>AM80</f>
        <v>1939.6476</v>
      </c>
      <c r="AT80">
        <f>IFERROR(AP80,IFERROR(AQ80,IFERROR(AR80,AS80)))</f>
        <v>1939.9176000000002</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12.25</v>
      </c>
      <c r="AF83" s="68">
        <v>1</v>
      </c>
      <c r="AG83" s="69">
        <f>AE83*AF83</f>
        <v>12.25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38.954999999999977</v>
      </c>
      <c r="AJ84" s="84" t="str">
        <f>CONCATENATE("A(",AD83,")=")</f>
        <v>A(7)=</v>
      </c>
      <c r="AK84" s="84">
        <f>VLOOKUP(AD83,STN_TABLE,3,FALSE)</f>
        <v>301.18799999999999</v>
      </c>
      <c r="AL84" t="str">
        <f>CONCATENATE("A(",AD84,")=")</f>
        <v>A(7.88333333333333)=</v>
      </c>
      <c r="AM84">
        <f>AI84+AK84</f>
        <v>340.14299999999997</v>
      </c>
      <c r="AO84" s="68" t="str">
        <f>AA84</f>
        <v>A(7.88333333333333)=</v>
      </c>
      <c r="AP84" s="68" t="e">
        <f>VLOOKUP(AO84,Rise_Results,2,FALSE)</f>
        <v>#N/A</v>
      </c>
      <c r="AQ84" s="76" t="e">
        <f>N84</f>
        <v>#N/A</v>
      </c>
      <c r="AR84" s="76" t="e">
        <f>IF(OR(AB84&lt;=0,AB85&lt;=0),1/0,AB84)</f>
        <v>#VALUE!</v>
      </c>
      <c r="AS84" s="76">
        <f>AM84</f>
        <v>340.14299999999997</v>
      </c>
      <c r="AT84">
        <f>IFERROR(AP84,IFERROR(AQ84,IFERROR(AR84,AS84)))</f>
        <v>340.14299999999997</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24.5</v>
      </c>
      <c r="AG85" s="89">
        <f>SUM(AG83:AG84)</f>
        <v>36.75</v>
      </c>
      <c r="AH85" s="84" t="str">
        <f>CONCATENATE("m'(",AD84,")=")</f>
        <v>m'(7.88333333333333)=</v>
      </c>
      <c r="AI85" s="84">
        <f>(2*(AI82^2)/6*AG85)+(AI84*AD83*WLS)</f>
        <v>521.80222499999968</v>
      </c>
      <c r="AJ85" s="84" t="str">
        <f>CONCATENATE("M(",AD83,")=")</f>
        <v>M(7)=</v>
      </c>
      <c r="AK85" s="84">
        <f>VLOOKUP(AD83,STN_TABLE,4,FALSE)</f>
        <v>1939.9176000000002</v>
      </c>
      <c r="AL85" t="str">
        <f>CONCATENATE("M(",AD84,")=")</f>
        <v>M(7.88333333333333)=</v>
      </c>
      <c r="AM85">
        <f>AI85+AK85</f>
        <v>2461.7198250000001</v>
      </c>
      <c r="AO85" s="82" t="str">
        <f>AA85</f>
        <v>M(7.88333333333333)=</v>
      </c>
      <c r="AP85" s="82" t="e">
        <f>VLOOKUP(AO85,Rise_Results,2,FALSE)</f>
        <v>#N/A</v>
      </c>
      <c r="AQ85" s="82" t="e">
        <f>N85</f>
        <v>#N/A</v>
      </c>
      <c r="AR85" s="82" t="e">
        <f>IF(OR(AB84&lt;=0,AB85&lt;=0),1/0,AB85)</f>
        <v>#VALUE!</v>
      </c>
      <c r="AS85" s="82">
        <f>AM85</f>
        <v>2461.7198250000001</v>
      </c>
      <c r="AT85">
        <f>IFERROR(AP85,IFERROR(AQ85,IFERROR(AR85,AS85)))</f>
        <v>2461.7198250000001</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340.14299999999997</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2461.7198250000001</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8</v>
      </c>
      <c r="E1" s="511" t="s">
        <v>91</v>
      </c>
      <c r="F1" s="511"/>
      <c r="G1" t="str">
        <f>VLOOKUP(Station_No,RISE_CALC,2,FALSE)</f>
        <v>-</v>
      </c>
      <c r="L1" s="511" t="s">
        <v>92</v>
      </c>
      <c r="M1" s="511"/>
      <c r="N1">
        <v>11</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5.9</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10.16</v>
      </c>
      <c r="D5" s="81">
        <f t="shared" ref="D5:D28" si="4">IFERROR(VLOOKUP(CONCATENATE("A(",B5,")="),RESULT_TABLE,6,FALSE)," ")</f>
        <v>14.9145</v>
      </c>
      <c r="E5" s="77">
        <f t="shared" ref="E5:E28" si="5">IFERROR(VLOOKUP(CONCATENATE("M(",B5,")="),RESULT_TABLE,6,FALSE)," ")</f>
        <v>7.2866250000000008</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11.35</v>
      </c>
      <c r="D6" s="81">
        <f t="shared" si="4"/>
        <v>34.734000000000002</v>
      </c>
      <c r="E6" s="77">
        <f t="shared" si="5"/>
        <v>34.203600000000002</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11.9</v>
      </c>
      <c r="D7" s="81">
        <f t="shared" si="4"/>
        <v>55.390500000000003</v>
      </c>
      <c r="E7" s="77">
        <f t="shared" si="5"/>
        <v>81.083025000000006</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12.18</v>
      </c>
      <c r="D8" s="81">
        <f t="shared" si="4"/>
        <v>77.412000000000006</v>
      </c>
      <c r="E8" s="77">
        <f t="shared" si="5"/>
        <v>149.88240000000002</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12.25</v>
      </c>
      <c r="D9" s="81">
        <f t="shared" si="4"/>
        <v>121.518</v>
      </c>
      <c r="E9" s="77">
        <f t="shared" si="5"/>
        <v>348.57</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12.25</v>
      </c>
      <c r="D10" s="81">
        <f t="shared" si="4"/>
        <v>165.52800000000002</v>
      </c>
      <c r="E10" s="77">
        <f t="shared" si="5"/>
        <v>625.86000000000013</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12.25</v>
      </c>
      <c r="D11" s="81">
        <f t="shared" si="4"/>
        <v>209.71800000000002</v>
      </c>
      <c r="E11" s="77">
        <f t="shared" si="5"/>
        <v>983.61000000000013</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12.25</v>
      </c>
      <c r="D12" s="81">
        <f t="shared" si="4"/>
        <v>236.66800000000001</v>
      </c>
      <c r="E12" s="77">
        <f t="shared" si="5"/>
        <v>1240.9825000000001</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12.25</v>
      </c>
      <c r="D13" s="81">
        <f t="shared" si="4"/>
        <v>253.72800000000001</v>
      </c>
      <c r="E13" s="77">
        <f t="shared" si="5"/>
        <v>1419.6600000000003</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12.25</v>
      </c>
      <c r="D14" s="81">
        <f t="shared" si="4"/>
        <v>297.91800000000001</v>
      </c>
      <c r="E14" s="77">
        <f t="shared" si="5"/>
        <v>1936.17</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336.87299999999999</v>
      </c>
      <c r="E15" s="77">
        <f t="shared" si="5"/>
        <v>2457.9722249999995</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5.9</v>
      </c>
      <c r="S32" s="69">
        <v>5</v>
      </c>
      <c r="T32" s="68">
        <f>R32*S32</f>
        <v>29.5</v>
      </c>
      <c r="U32" s="79">
        <v>3</v>
      </c>
      <c r="V32" s="68">
        <f>R32*U32</f>
        <v>17.700000000000003</v>
      </c>
      <c r="W32" t="s">
        <v>93</v>
      </c>
      <c r="X32" s="70">
        <f>IF(AND(Q34-Q33=Q33-Q32,NOT(AND(Q32=0,Q33=0)),NOT(AND(Q33=0,Q34=0))),WLS*(Q34-Q33),"#NA")</f>
        <v>0.9</v>
      </c>
      <c r="AD32" s="93"/>
      <c r="AH32" s="6" t="s">
        <v>93</v>
      </c>
      <c r="AI32" s="70">
        <f>WLS*(AD34-AD33)</f>
        <v>0.9</v>
      </c>
    </row>
    <row r="33" spans="1:47" x14ac:dyDescent="0.25">
      <c r="Q33" s="76">
        <f>B5</f>
        <v>0.5</v>
      </c>
      <c r="R33" s="77">
        <f>VLOOKUP(Q33,STN_TABLE,2,FALSE)</f>
        <v>10.16</v>
      </c>
      <c r="S33" s="77">
        <v>8</v>
      </c>
      <c r="T33" s="76">
        <f>R33*S33</f>
        <v>81.28</v>
      </c>
      <c r="U33" s="80">
        <v>10</v>
      </c>
      <c r="V33" s="76">
        <f>R33*U33</f>
        <v>101.6</v>
      </c>
      <c r="W33" s="512" t="s">
        <v>97</v>
      </c>
      <c r="X33" s="513"/>
      <c r="Y33" s="513" t="s">
        <v>98</v>
      </c>
      <c r="Z33" s="513"/>
      <c r="AA33" s="511" t="s">
        <v>99</v>
      </c>
      <c r="AB33" s="511"/>
      <c r="AC33" s="94">
        <v>1</v>
      </c>
      <c r="AD33" s="95">
        <f>VLOOKUP(AC33,STN_TABLE_2,2,FALSE)</f>
        <v>0</v>
      </c>
      <c r="AE33" s="68">
        <f>VLOOKUP(AD33,STN_TABLE,2,FALSE)</f>
        <v>5.9</v>
      </c>
      <c r="AF33" s="68">
        <v>1</v>
      </c>
      <c r="AG33" s="69">
        <f>AE33*AF33</f>
        <v>5.9</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11.35</v>
      </c>
      <c r="S34" s="83">
        <v>-1</v>
      </c>
      <c r="T34" s="82">
        <f>R34*S34</f>
        <v>-11.35</v>
      </c>
      <c r="U34" s="88">
        <v>-1</v>
      </c>
      <c r="V34" s="82">
        <f>R34*U34</f>
        <v>-11.35</v>
      </c>
      <c r="W34" s="84" t="str">
        <f>CONCATENATE("a'(",Q33,")=")</f>
        <v>a'(0.5)=</v>
      </c>
      <c r="X34" s="84">
        <f>2*X32/12*T35</f>
        <v>14.9145</v>
      </c>
      <c r="Y34" s="84" t="str">
        <f>CONCATENATE("A(",Q32,")=")</f>
        <v>A(0)=</v>
      </c>
      <c r="Z34" s="84">
        <f>VLOOKUP(Q32,STN_TABLE,3,FALSE)</f>
        <v>0</v>
      </c>
      <c r="AA34" t="str">
        <f>CONCATENATE("A(",Q33,")=")</f>
        <v>A(0.5)=</v>
      </c>
      <c r="AB34">
        <f>X34+Z34</f>
        <v>14.9145</v>
      </c>
      <c r="AC34" s="99">
        <f>AC33+1</f>
        <v>2</v>
      </c>
      <c r="AD34" s="100">
        <f>VLOOKUP(AC34,STN_TABLE_2,2,FALSE)</f>
        <v>0.5</v>
      </c>
      <c r="AE34" s="82">
        <f>VLOOKUP(AD34,STN_TABLE,2,FALSE)</f>
        <v>10.16</v>
      </c>
      <c r="AF34" s="82">
        <v>2</v>
      </c>
      <c r="AG34" s="83">
        <f>AE34*AF34</f>
        <v>20.32</v>
      </c>
      <c r="AH34" s="84" t="str">
        <f>CONCATENATE("a'(",AD34,")=")</f>
        <v>a'(0.5)=</v>
      </c>
      <c r="AI34" s="84">
        <f>2*AI32/2*AE35</f>
        <v>14.454000000000002</v>
      </c>
      <c r="AJ34" s="84" t="str">
        <f>CONCATENATE("A(",AD33,")=")</f>
        <v>A(0)=</v>
      </c>
      <c r="AK34" s="84">
        <f>VLOOKUP(AD33,STN_TABLE,3,FALSE)</f>
        <v>0</v>
      </c>
      <c r="AL34" t="str">
        <f>CONCATENATE("A(",AD34,")=")</f>
        <v>A(0.5)=</v>
      </c>
      <c r="AM34">
        <f>AI34+AK34</f>
        <v>14.454000000000002</v>
      </c>
      <c r="AO34" s="68" t="str">
        <f>AA34</f>
        <v>A(0.5)=</v>
      </c>
      <c r="AP34" s="79" t="e">
        <f>VLOOKUP(AO34,Rise_Results,2,FALSE)</f>
        <v>#N/A</v>
      </c>
      <c r="AQ34" s="76" t="s">
        <v>117</v>
      </c>
      <c r="AR34" s="76">
        <f>IF(OR(AB34&lt;=0,AB35&lt;=0),1/0,AB34)</f>
        <v>14.9145</v>
      </c>
      <c r="AS34" s="76">
        <f>AM34</f>
        <v>14.454000000000002</v>
      </c>
      <c r="AT34" s="80">
        <f>IFERROR(AP34,IFERROR(AR34,AS34))</f>
        <v>14.9145</v>
      </c>
    </row>
    <row r="35" spans="1:47" x14ac:dyDescent="0.25">
      <c r="A35" s="101"/>
      <c r="T35" s="89">
        <f>SUM(T32:T34)</f>
        <v>99.43</v>
      </c>
      <c r="V35" s="82">
        <f>SUM(V32:V34)</f>
        <v>107.95</v>
      </c>
      <c r="W35" s="84" t="str">
        <f>CONCATENATE("m'(",Q33,")=")</f>
        <v>m'(0.5)=</v>
      </c>
      <c r="X35" s="84">
        <f>(2*(X32^2)/24*V35)</f>
        <v>7.2866250000000008</v>
      </c>
      <c r="Y35" s="84" t="str">
        <f>CONCATENATE("M(",Q32,")=")</f>
        <v>M(0)=</v>
      </c>
      <c r="Z35" s="84">
        <f>VLOOKUP(Q32,STN_TABLE,4,FALSE)</f>
        <v>0</v>
      </c>
      <c r="AA35" t="str">
        <f>CONCATENATE("M(",Q33,")=")</f>
        <v>M(0.5)=</v>
      </c>
      <c r="AB35">
        <f>X35+Z35</f>
        <v>7.2866250000000008</v>
      </c>
      <c r="AE35" s="89">
        <f>SUM(AE33:AE34)</f>
        <v>16.060000000000002</v>
      </c>
      <c r="AG35" s="89">
        <f>SUM(AG33:AG34)</f>
        <v>26.22</v>
      </c>
      <c r="AH35" s="84" t="str">
        <f>CONCATENATE("m'(",AD34,")=")</f>
        <v>m'(0.5)=</v>
      </c>
      <c r="AI35" s="84">
        <f>(2*(AI32^2)/6*AG35)+(AI34*AD33*WLS)</f>
        <v>7.0794000000000006</v>
      </c>
      <c r="AJ35" s="84" t="str">
        <f>CONCATENATE("M(",AD33,")=")</f>
        <v>M(0)=</v>
      </c>
      <c r="AK35" s="84">
        <f>VLOOKUP(AD33,STN_TABLE,4,FALSE)</f>
        <v>0</v>
      </c>
      <c r="AL35" t="str">
        <f>CONCATENATE("M(",AD34,")=")</f>
        <v>M(0.5)=</v>
      </c>
      <c r="AM35">
        <f>AI35+AK35</f>
        <v>7.0794000000000006</v>
      </c>
      <c r="AO35" s="82" t="str">
        <f>AA35</f>
        <v>M(0.5)=</v>
      </c>
      <c r="AP35" s="88" t="e">
        <f>VLOOKUP(AO35,Rise_Results,2,FALSE)</f>
        <v>#N/A</v>
      </c>
      <c r="AQ35" s="82" t="s">
        <v>117</v>
      </c>
      <c r="AR35" s="82">
        <f>IF(OR(AB34&lt;=0,AB35&lt;=0),1/0,AB35)</f>
        <v>7.2866250000000008</v>
      </c>
      <c r="AS35" s="82">
        <f>AM35</f>
        <v>7.0794000000000006</v>
      </c>
      <c r="AT35" s="80">
        <f>IFERROR(AP35,IFERROR(AR35,AS35))</f>
        <v>7.2866250000000008</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5.9</v>
      </c>
      <c r="E37" s="102">
        <v>1</v>
      </c>
      <c r="F37" s="68">
        <f>D37*E37</f>
        <v>5.9</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10.16</v>
      </c>
      <c r="S37" s="69">
        <v>5</v>
      </c>
      <c r="T37" s="68">
        <f>R37*S37</f>
        <v>50.8</v>
      </c>
      <c r="U37" s="79">
        <v>3</v>
      </c>
      <c r="V37" s="68">
        <f>R37*U37</f>
        <v>30.48</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10.16</v>
      </c>
      <c r="E38" s="81">
        <v>4</v>
      </c>
      <c r="F38" s="76">
        <f>D38*E38</f>
        <v>40.64</v>
      </c>
      <c r="G38" s="77">
        <f>C38</f>
        <v>0.5</v>
      </c>
      <c r="H38" s="77">
        <f>F38*G38</f>
        <v>20.32</v>
      </c>
      <c r="I38" s="513" t="s">
        <v>97</v>
      </c>
      <c r="J38" s="513"/>
      <c r="K38" s="78" t="s">
        <v>98</v>
      </c>
      <c r="L38" s="78"/>
      <c r="M38" s="7" t="s">
        <v>99</v>
      </c>
      <c r="N38" s="7"/>
      <c r="O38" s="99">
        <f>O37+1</f>
        <v>3</v>
      </c>
      <c r="P38" s="99">
        <f t="shared" si="10"/>
        <v>1</v>
      </c>
      <c r="Q38" s="76">
        <f>P38</f>
        <v>1</v>
      </c>
      <c r="R38" s="77">
        <f>VLOOKUP(Q38,STN_TABLE,2,FALSE)</f>
        <v>11.35</v>
      </c>
      <c r="S38" s="77">
        <v>8</v>
      </c>
      <c r="T38" s="76">
        <f>R38*S38</f>
        <v>90.8</v>
      </c>
      <c r="U38" s="80">
        <v>10</v>
      </c>
      <c r="V38" s="76">
        <f>R38*U38</f>
        <v>113.5</v>
      </c>
      <c r="W38" s="513" t="s">
        <v>97</v>
      </c>
      <c r="X38" s="513"/>
      <c r="Y38" s="513" t="s">
        <v>98</v>
      </c>
      <c r="Z38" s="513"/>
      <c r="AA38" s="511" t="s">
        <v>99</v>
      </c>
      <c r="AB38" s="511"/>
      <c r="AC38" s="99">
        <f>AC33+1</f>
        <v>2</v>
      </c>
      <c r="AD38" s="95">
        <f>VLOOKUP(AC38,STN_TABLE_2,2,FALSE)</f>
        <v>0.5</v>
      </c>
      <c r="AE38" s="68">
        <f>VLOOKUP(AD38,STN_TABLE,2,FALSE)</f>
        <v>10.16</v>
      </c>
      <c r="AF38" s="68">
        <v>1</v>
      </c>
      <c r="AG38" s="69">
        <f>AE38*AF38</f>
        <v>10.16</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11.35</v>
      </c>
      <c r="E39" s="92">
        <v>1</v>
      </c>
      <c r="F39" s="82">
        <f>D39*E39</f>
        <v>11.35</v>
      </c>
      <c r="G39" s="83">
        <f>C39</f>
        <v>1</v>
      </c>
      <c r="H39" s="83">
        <f>F39*G39</f>
        <v>11.35</v>
      </c>
      <c r="I39" s="84" t="str">
        <f>CONCATENATE("a'(",C39,")=")</f>
        <v>a'(1)=</v>
      </c>
      <c r="J39" s="84">
        <f>2*J37/3*F40</f>
        <v>34.734000000000002</v>
      </c>
      <c r="K39" s="84" t="str">
        <f>CONCATENATE("A(",C37,")=")</f>
        <v>A(0)=</v>
      </c>
      <c r="L39" s="84">
        <f>VLOOKUP(C37,STN_TABLE,3,FALSE)</f>
        <v>0</v>
      </c>
      <c r="M39" t="str">
        <f>CONCATENATE("A(",C39,")=")</f>
        <v>A(1)=</v>
      </c>
      <c r="N39">
        <f>J39+L39</f>
        <v>34.734000000000002</v>
      </c>
      <c r="O39" s="99">
        <f>O38+1</f>
        <v>4</v>
      </c>
      <c r="P39" s="99">
        <f t="shared" si="10"/>
        <v>1.5</v>
      </c>
      <c r="Q39" s="82">
        <f>IF(P39-P38=P38-P37,P39,IF(P40-P38=P38-P37,P40,IF(P39-P38=P38-P36,P39,IF(P40-P38=P38-P36,P40,"-"))))</f>
        <v>1.5</v>
      </c>
      <c r="R39" s="83">
        <f>VLOOKUP(Q39,STN_TABLE,2,FALSE)</f>
        <v>11.9</v>
      </c>
      <c r="S39" s="83">
        <v>-1</v>
      </c>
      <c r="T39" s="82">
        <f>R39*S39</f>
        <v>-11.9</v>
      </c>
      <c r="U39" s="88">
        <v>-1</v>
      </c>
      <c r="V39" s="82">
        <f>R39*U39</f>
        <v>-11.9</v>
      </c>
      <c r="W39" s="84" t="str">
        <f>CONCATENATE("a'(",Q38,")=")</f>
        <v>a'(1)=</v>
      </c>
      <c r="X39" s="84">
        <f>2*X37/12*T40</f>
        <v>19.454999999999998</v>
      </c>
      <c r="Y39" s="84" t="str">
        <f>CONCATENATE("A(",Q37,")=")</f>
        <v>A(0.5)=</v>
      </c>
      <c r="Z39" s="84">
        <f>VLOOKUP(Q37,STN_TABLE,3,FALSE)</f>
        <v>14.9145</v>
      </c>
      <c r="AA39" t="str">
        <f>CONCATENATE("A(",Q38,")=")</f>
        <v>A(1)=</v>
      </c>
      <c r="AB39">
        <f>X39+Z39</f>
        <v>34.369500000000002</v>
      </c>
      <c r="AC39" s="99">
        <f>AC38+1</f>
        <v>3</v>
      </c>
      <c r="AD39" s="100">
        <f>VLOOKUP(AC39,STN_TABLE_2,2,FALSE)</f>
        <v>1</v>
      </c>
      <c r="AE39" s="82">
        <f>VLOOKUP(AD39,STN_TABLE,2,FALSE)</f>
        <v>11.35</v>
      </c>
      <c r="AF39" s="82">
        <v>2</v>
      </c>
      <c r="AG39" s="83">
        <f>AE39*AF39</f>
        <v>22.7</v>
      </c>
      <c r="AH39" s="84" t="str">
        <f>CONCATENATE("a'(",AD39,")=")</f>
        <v>a'(1)=</v>
      </c>
      <c r="AI39" s="84">
        <f>2*AI37/2*AE40</f>
        <v>19.358999999999998</v>
      </c>
      <c r="AJ39" s="84" t="str">
        <f>CONCATENATE("A(",AD38,")=")</f>
        <v>A(0.5)=</v>
      </c>
      <c r="AK39" s="84">
        <f>VLOOKUP(AD38,STN_TABLE,3,FALSE)</f>
        <v>14.9145</v>
      </c>
      <c r="AL39" t="str">
        <f>CONCATENATE("A(",AD39,")=")</f>
        <v>A(1)=</v>
      </c>
      <c r="AM39">
        <f>AI39+AK39</f>
        <v>34.273499999999999</v>
      </c>
      <c r="AO39" s="68" t="str">
        <f>AA39</f>
        <v>A(1)=</v>
      </c>
      <c r="AP39" s="68" t="e">
        <f>VLOOKUP(AO39,Rise_Results,2,FALSE)</f>
        <v>#N/A</v>
      </c>
      <c r="AQ39" s="76">
        <f>N39</f>
        <v>34.734000000000002</v>
      </c>
      <c r="AR39" s="76">
        <f>IF(OR(AB39&lt;=0,AB40&lt;=0),1/0,AB39)</f>
        <v>34.369500000000002</v>
      </c>
      <c r="AS39" s="76">
        <f>AM39</f>
        <v>34.273499999999999</v>
      </c>
      <c r="AT39">
        <f>IFERROR(AP39,IFERROR(AQ39,IFERROR(AR39,AS39)))</f>
        <v>34.734000000000002</v>
      </c>
    </row>
    <row r="40" spans="1:47" x14ac:dyDescent="0.25">
      <c r="A40">
        <v>4</v>
      </c>
      <c r="F40" s="82">
        <f>SUM(F37:F39)</f>
        <v>57.89</v>
      </c>
      <c r="H40" s="82">
        <f>SUM(H37:H39)</f>
        <v>31.67</v>
      </c>
      <c r="I40" s="84" t="str">
        <f>CONCATENATE("m'(",C39,")=")</f>
        <v>m'(1)=</v>
      </c>
      <c r="J40" s="84">
        <f>2*(J37*(WLS))/3*H40</f>
        <v>34.203600000000002</v>
      </c>
      <c r="K40" s="84" t="str">
        <f>CONCATENATE("M(",C37,")=")</f>
        <v>M(0)=</v>
      </c>
      <c r="L40" s="84">
        <f>VLOOKUP(C37,STN_TABLE,4,FALSE)</f>
        <v>0</v>
      </c>
      <c r="M40" t="str">
        <f>CONCATENATE("M(",C39,")=")</f>
        <v>M(1)=</v>
      </c>
      <c r="N40">
        <f>J40+L40</f>
        <v>34.203600000000002</v>
      </c>
      <c r="O40" s="99">
        <f>O39+1</f>
        <v>5</v>
      </c>
      <c r="P40" s="99">
        <f t="shared" si="10"/>
        <v>2</v>
      </c>
      <c r="T40" s="89">
        <f>SUM(T37:T39)</f>
        <v>129.69999999999999</v>
      </c>
      <c r="V40" s="82">
        <f>SUM(V37:V39)</f>
        <v>132.07999999999998</v>
      </c>
      <c r="W40" s="84" t="str">
        <f>CONCATENATE("m'(",Q38,")=")</f>
        <v>m'(1)=</v>
      </c>
      <c r="X40" s="84">
        <f>(2*(X37^2)/24*V40)+(X39*Q37*WLS)</f>
        <v>26.424900000000001</v>
      </c>
      <c r="Y40" s="84" t="str">
        <f>CONCATENATE("M(",Q37,")=")</f>
        <v>M(0.5)=</v>
      </c>
      <c r="Z40" s="84">
        <f>VLOOKUP(Q37,STN_TABLE,4,FALSE)</f>
        <v>7.2866250000000008</v>
      </c>
      <c r="AA40" t="str">
        <f>CONCATENATE("M(",Q38,")=")</f>
        <v>M(1)=</v>
      </c>
      <c r="AB40">
        <f>X40+Z40</f>
        <v>33.711525000000002</v>
      </c>
      <c r="AE40" s="89">
        <f>SUM(AE38:AE39)</f>
        <v>21.509999999999998</v>
      </c>
      <c r="AG40" s="89">
        <f>SUM(AG38:AG39)</f>
        <v>32.86</v>
      </c>
      <c r="AH40" s="84" t="str">
        <f>CONCATENATE("m'(",AD39,")=")</f>
        <v>m'(1)=</v>
      </c>
      <c r="AI40" s="84">
        <f>(2*(AI37^2)/6*AG40)+(AI39*AD38*WLS)</f>
        <v>26.295299999999997</v>
      </c>
      <c r="AJ40" s="84" t="str">
        <f>CONCATENATE("M(",AD38,")=")</f>
        <v>M(0.5)=</v>
      </c>
      <c r="AK40" s="84">
        <f>VLOOKUP(AD38,STN_TABLE,4,FALSE)</f>
        <v>7.2866250000000008</v>
      </c>
      <c r="AL40" t="str">
        <f>CONCATENATE("M(",AD39,")=")</f>
        <v>M(1)=</v>
      </c>
      <c r="AM40">
        <f>AI40+AK40</f>
        <v>33.581924999999998</v>
      </c>
      <c r="AO40" s="82" t="str">
        <f>AA40</f>
        <v>M(1)=</v>
      </c>
      <c r="AP40" s="82" t="e">
        <f>VLOOKUP(AO40,Rise_Results,2,FALSE)</f>
        <v>#N/A</v>
      </c>
      <c r="AQ40" s="82">
        <f>N40</f>
        <v>34.203600000000002</v>
      </c>
      <c r="AR40" s="82">
        <f>IF(OR(AB39&lt;=0,AB40&lt;=0),1/0,AB40)</f>
        <v>33.711525000000002</v>
      </c>
      <c r="AS40" s="82">
        <f>AM40</f>
        <v>33.581924999999998</v>
      </c>
      <c r="AT40">
        <f>IFERROR(AP40,IFERROR(AQ40,IFERROR(AR40,AS40)))</f>
        <v>34.203600000000002</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10.16</v>
      </c>
      <c r="E42" s="102">
        <v>1</v>
      </c>
      <c r="F42" s="68">
        <f>D42*E42</f>
        <v>10.16</v>
      </c>
      <c r="G42" s="69">
        <f>C42</f>
        <v>0.5</v>
      </c>
      <c r="H42" s="69">
        <f>F42*G42</f>
        <v>5.08</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11.35</v>
      </c>
      <c r="S42" s="69">
        <v>5</v>
      </c>
      <c r="T42" s="68">
        <f>R42*S42</f>
        <v>56.75</v>
      </c>
      <c r="U42" s="79">
        <v>3</v>
      </c>
      <c r="V42" s="68">
        <f>R42*U42</f>
        <v>34.049999999999997</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11.35</v>
      </c>
      <c r="E43" s="81">
        <v>4</v>
      </c>
      <c r="F43" s="76">
        <f>D43*E43</f>
        <v>45.4</v>
      </c>
      <c r="G43" s="77">
        <f>C43</f>
        <v>1</v>
      </c>
      <c r="H43" s="77">
        <f>F43*G43</f>
        <v>45.4</v>
      </c>
      <c r="I43" s="513" t="s">
        <v>97</v>
      </c>
      <c r="J43" s="513"/>
      <c r="K43" s="78" t="s">
        <v>98</v>
      </c>
      <c r="L43" s="78"/>
      <c r="M43" s="7" t="s">
        <v>99</v>
      </c>
      <c r="N43" s="7"/>
      <c r="O43" s="99">
        <f>O42+1</f>
        <v>4</v>
      </c>
      <c r="P43" s="99">
        <f t="shared" si="10"/>
        <v>1.5</v>
      </c>
      <c r="Q43" s="76">
        <f>P43</f>
        <v>1.5</v>
      </c>
      <c r="R43" s="77">
        <f>VLOOKUP(Q43,STN_TABLE,2,FALSE)</f>
        <v>11.9</v>
      </c>
      <c r="S43" s="77">
        <v>8</v>
      </c>
      <c r="T43" s="76">
        <f>R43*S43</f>
        <v>95.2</v>
      </c>
      <c r="U43" s="80">
        <v>10</v>
      </c>
      <c r="V43" s="76">
        <f>R43*U43</f>
        <v>119</v>
      </c>
      <c r="W43" s="513" t="s">
        <v>97</v>
      </c>
      <c r="X43" s="513"/>
      <c r="Y43" s="513" t="s">
        <v>98</v>
      </c>
      <c r="Z43" s="513"/>
      <c r="AA43" s="511" t="s">
        <v>99</v>
      </c>
      <c r="AB43" s="511"/>
      <c r="AC43" s="99">
        <f>AC38+1</f>
        <v>3</v>
      </c>
      <c r="AD43" s="95">
        <f>VLOOKUP(AC43,STN_TABLE_2,2,FALSE)</f>
        <v>1</v>
      </c>
      <c r="AE43" s="68">
        <f>VLOOKUP(AD43,STN_TABLE,2,FALSE)</f>
        <v>11.35</v>
      </c>
      <c r="AF43" s="68">
        <v>1</v>
      </c>
      <c r="AG43" s="69">
        <f>AE43*AF43</f>
        <v>11.35</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11.9</v>
      </c>
      <c r="E44" s="92">
        <v>1</v>
      </c>
      <c r="F44" s="82">
        <f>D44*E44</f>
        <v>11.9</v>
      </c>
      <c r="G44" s="83">
        <f>C44</f>
        <v>1.5</v>
      </c>
      <c r="H44" s="83">
        <f>F44*G44</f>
        <v>17.850000000000001</v>
      </c>
      <c r="I44" s="84" t="str">
        <f>CONCATENATE("a'(",C44,")=")</f>
        <v>a'(1.5)=</v>
      </c>
      <c r="J44" s="84">
        <f>2*J42/3*F45</f>
        <v>40.476000000000006</v>
      </c>
      <c r="K44" s="84" t="str">
        <f>CONCATENATE("A(",C42,")=")</f>
        <v>A(0.5)=</v>
      </c>
      <c r="L44" s="84">
        <f>VLOOKUP(C42,STN_TABLE,3,FALSE)</f>
        <v>14.9145</v>
      </c>
      <c r="M44" t="str">
        <f>CONCATENATE("A(",C44,")=")</f>
        <v>A(1.5)=</v>
      </c>
      <c r="N44">
        <f>J44+L44</f>
        <v>55.390500000000003</v>
      </c>
      <c r="O44" s="99">
        <f>O43+1</f>
        <v>5</v>
      </c>
      <c r="P44" s="99">
        <f t="shared" si="10"/>
        <v>2</v>
      </c>
      <c r="Q44" s="82">
        <f>IF(P44-P43=P43-P42,P44,IF(P45-P43=P43-P42,P45,IF(P44-P43=P43-P41,P44,IF(P45-P43=P43-P41,P45,"-"))))</f>
        <v>2</v>
      </c>
      <c r="R44" s="83">
        <f>VLOOKUP(Q44,STN_TABLE,2,FALSE)</f>
        <v>12.18</v>
      </c>
      <c r="S44" s="83">
        <v>-1</v>
      </c>
      <c r="T44" s="82">
        <f>R44*S44</f>
        <v>-12.18</v>
      </c>
      <c r="U44" s="88">
        <v>-1</v>
      </c>
      <c r="V44" s="82">
        <f>R44*U44</f>
        <v>-12.18</v>
      </c>
      <c r="W44" s="84" t="str">
        <f>CONCATENATE("a'(",Q43,")=")</f>
        <v>a'(1.5)=</v>
      </c>
      <c r="X44" s="84">
        <f>2*X42/12*T45</f>
        <v>20.965499999999995</v>
      </c>
      <c r="Y44" s="84" t="str">
        <f>CONCATENATE("A(",Q42,")=")</f>
        <v>A(1)=</v>
      </c>
      <c r="Z44" s="84">
        <f>VLOOKUP(Q42,STN_TABLE,3,FALSE)</f>
        <v>34.734000000000002</v>
      </c>
      <c r="AA44" t="str">
        <f>CONCATENATE("A(",Q43,")=")</f>
        <v>A(1.5)=</v>
      </c>
      <c r="AB44">
        <f>X44+Z44</f>
        <v>55.6995</v>
      </c>
      <c r="AC44" s="99">
        <f>AC43+1</f>
        <v>4</v>
      </c>
      <c r="AD44" s="100">
        <f>VLOOKUP(AC44,STN_TABLE_2,2,FALSE)</f>
        <v>1.5</v>
      </c>
      <c r="AE44" s="82">
        <f>VLOOKUP(AD44,STN_TABLE,2,FALSE)</f>
        <v>11.9</v>
      </c>
      <c r="AF44" s="82">
        <v>2</v>
      </c>
      <c r="AG44" s="83">
        <f>AE44*AF44</f>
        <v>23.8</v>
      </c>
      <c r="AH44" s="84" t="str">
        <f>CONCATENATE("a'(",AD44,")=")</f>
        <v>a'(1.5)=</v>
      </c>
      <c r="AI44" s="84">
        <f>2*AI42/2*AE45</f>
        <v>20.925000000000001</v>
      </c>
      <c r="AJ44" s="84" t="str">
        <f>CONCATENATE("A(",AD43,")=")</f>
        <v>A(1)=</v>
      </c>
      <c r="AK44" s="84">
        <f>VLOOKUP(AD43,STN_TABLE,3,FALSE)</f>
        <v>34.734000000000002</v>
      </c>
      <c r="AL44" t="str">
        <f>CONCATENATE("A(",AD44,")=")</f>
        <v>A(1.5)=</v>
      </c>
      <c r="AM44">
        <f>AI44+AK44</f>
        <v>55.659000000000006</v>
      </c>
      <c r="AO44" s="68" t="str">
        <f>AA44</f>
        <v>A(1.5)=</v>
      </c>
      <c r="AP44" s="68" t="e">
        <f>VLOOKUP(AO44,Rise_Results,2,FALSE)</f>
        <v>#N/A</v>
      </c>
      <c r="AQ44" s="76">
        <f>N44</f>
        <v>55.390500000000003</v>
      </c>
      <c r="AR44" s="76">
        <f>IF(OR(AB44&lt;=0,AB45&lt;=0),1/0,AB44)</f>
        <v>55.6995</v>
      </c>
      <c r="AS44" s="76">
        <f>AM44</f>
        <v>55.659000000000006</v>
      </c>
      <c r="AT44">
        <f>IFERROR(AP44,IFERROR(AQ44,IFERROR(AR44,AS44)))</f>
        <v>55.390500000000003</v>
      </c>
      <c r="AU44" s="81"/>
    </row>
    <row r="45" spans="1:47" x14ac:dyDescent="0.25">
      <c r="A45" s="94">
        <f>A44+1</f>
        <v>4</v>
      </c>
      <c r="B45" s="94">
        <f t="shared" si="11"/>
        <v>1.5</v>
      </c>
      <c r="F45" s="82">
        <f>SUM(F42:F44)</f>
        <v>67.460000000000008</v>
      </c>
      <c r="H45" s="82">
        <f>SUM(H42:H44)</f>
        <v>68.33</v>
      </c>
      <c r="I45" s="84" t="str">
        <f>CONCATENATE("m'(",C44,")=")</f>
        <v>m'(1.5)=</v>
      </c>
      <c r="J45" s="84">
        <f>2*(J42*(WLS))/3*H45</f>
        <v>73.796400000000006</v>
      </c>
      <c r="K45" s="84" t="str">
        <f>CONCATENATE("M(",C42,")=")</f>
        <v>M(0.5)=</v>
      </c>
      <c r="L45" s="84">
        <f>VLOOKUP(C42,STN_TABLE,4,FALSE)</f>
        <v>7.2866250000000008</v>
      </c>
      <c r="M45" t="str">
        <f>CONCATENATE("M(",C44,")=")</f>
        <v>M(1.5)=</v>
      </c>
      <c r="N45">
        <f>J45+L45</f>
        <v>81.083025000000006</v>
      </c>
      <c r="O45" s="99">
        <f>O44+1</f>
        <v>6</v>
      </c>
      <c r="P45" s="99">
        <f t="shared" si="10"/>
        <v>3</v>
      </c>
      <c r="T45" s="89">
        <f>SUM(T42:T44)</f>
        <v>139.76999999999998</v>
      </c>
      <c r="V45" s="82">
        <f>SUM(V42:V44)</f>
        <v>140.87</v>
      </c>
      <c r="W45" s="84" t="str">
        <f>CONCATENATE("m'(",Q43,")=")</f>
        <v>m'(1.5)=</v>
      </c>
      <c r="X45" s="84">
        <f>(2*(X42^2)/24*V45)+(X44*Q42*WLS)</f>
        <v>47.246624999999987</v>
      </c>
      <c r="Y45" s="84" t="str">
        <f>CONCATENATE("M(",Q42,")=")</f>
        <v>M(1)=</v>
      </c>
      <c r="Z45" s="84">
        <f>VLOOKUP(Q42,STN_TABLE,4,FALSE)</f>
        <v>34.203600000000002</v>
      </c>
      <c r="AA45" t="str">
        <f>CONCATENATE("M(",Q43,")=")</f>
        <v>M(1.5)=</v>
      </c>
      <c r="AB45">
        <f>X45+Z45</f>
        <v>81.450224999999989</v>
      </c>
      <c r="AE45" s="89">
        <f>SUM(AE43:AE44)</f>
        <v>23.25</v>
      </c>
      <c r="AG45" s="89">
        <f>SUM(AG43:AG44)</f>
        <v>35.15</v>
      </c>
      <c r="AH45" s="84" t="str">
        <f>CONCATENATE("m'(",AD44,")=")</f>
        <v>m'(1.5)=</v>
      </c>
      <c r="AI45" s="84">
        <f>(2*(AI42^2)/6*AG45)+(AI44*AD43*WLS)</f>
        <v>47.155500000000004</v>
      </c>
      <c r="AJ45" s="84" t="str">
        <f>CONCATENATE("M(",AD43,")=")</f>
        <v>M(1)=</v>
      </c>
      <c r="AK45" s="84">
        <f>VLOOKUP(AD43,STN_TABLE,4,FALSE)</f>
        <v>34.203600000000002</v>
      </c>
      <c r="AL45" t="str">
        <f>CONCATENATE("M(",AD44,")=")</f>
        <v>M(1.5)=</v>
      </c>
      <c r="AM45">
        <f>AI45+AK45</f>
        <v>81.359100000000012</v>
      </c>
      <c r="AO45" s="82" t="str">
        <f>AA45</f>
        <v>M(1.5)=</v>
      </c>
      <c r="AP45" s="82" t="e">
        <f>VLOOKUP(AO45,Rise_Results,2,FALSE)</f>
        <v>#N/A</v>
      </c>
      <c r="AQ45" s="82">
        <f>N45</f>
        <v>81.083025000000006</v>
      </c>
      <c r="AR45" s="82">
        <f>IF(OR(AB44&lt;=0,AB45&lt;=0),1/0,AB45)</f>
        <v>81.450224999999989</v>
      </c>
      <c r="AS45" s="82">
        <f>AM45</f>
        <v>81.359100000000012</v>
      </c>
      <c r="AT45">
        <f>IFERROR(AP45,IFERROR(AQ45,IFERROR(AR45,AS45)))</f>
        <v>81.083025000000006</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11.35</v>
      </c>
      <c r="E47" s="102">
        <v>1</v>
      </c>
      <c r="F47" s="68">
        <f>D47*E47</f>
        <v>11.35</v>
      </c>
      <c r="G47" s="69">
        <f>C47</f>
        <v>1</v>
      </c>
      <c r="H47" s="69">
        <f>F47*G47</f>
        <v>11.35</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11.35</v>
      </c>
      <c r="S47" s="69">
        <v>5</v>
      </c>
      <c r="T47" s="68">
        <f>R47*S47</f>
        <v>56.75</v>
      </c>
      <c r="U47" s="79">
        <v>3</v>
      </c>
      <c r="V47" s="68">
        <f>R47*U47</f>
        <v>34.049999999999997</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11.9</v>
      </c>
      <c r="E48" s="81">
        <v>4</v>
      </c>
      <c r="F48" s="76">
        <f>D48*E48</f>
        <v>47.6</v>
      </c>
      <c r="G48" s="77">
        <f>C48</f>
        <v>1.5</v>
      </c>
      <c r="H48" s="77">
        <f>F48*G48</f>
        <v>71.400000000000006</v>
      </c>
      <c r="I48" s="513" t="s">
        <v>97</v>
      </c>
      <c r="J48" s="513"/>
      <c r="K48" s="78" t="s">
        <v>98</v>
      </c>
      <c r="L48" s="78"/>
      <c r="M48" s="7" t="s">
        <v>99</v>
      </c>
      <c r="N48" s="7"/>
      <c r="O48" s="99">
        <f>O47+1</f>
        <v>5</v>
      </c>
      <c r="P48" s="99">
        <f t="shared" si="10"/>
        <v>2</v>
      </c>
      <c r="Q48" s="76">
        <f>P48</f>
        <v>2</v>
      </c>
      <c r="R48" s="77">
        <f>VLOOKUP(Q48,STN_TABLE,2,FALSE)</f>
        <v>12.18</v>
      </c>
      <c r="S48" s="77">
        <v>8</v>
      </c>
      <c r="T48" s="76">
        <f>R48*S48</f>
        <v>97.44</v>
      </c>
      <c r="U48" s="80">
        <v>10</v>
      </c>
      <c r="V48" s="76">
        <f>R48*U48</f>
        <v>121.8</v>
      </c>
      <c r="W48" s="513" t="s">
        <v>97</v>
      </c>
      <c r="X48" s="513"/>
      <c r="Y48" s="513" t="s">
        <v>98</v>
      </c>
      <c r="Z48" s="513"/>
      <c r="AA48" s="511" t="s">
        <v>99</v>
      </c>
      <c r="AB48" s="511"/>
      <c r="AC48" s="99">
        <f>AC43+1</f>
        <v>4</v>
      </c>
      <c r="AD48" s="95">
        <f>VLOOKUP(AC48,STN_TABLE_2,2,FALSE)</f>
        <v>1.5</v>
      </c>
      <c r="AE48" s="68">
        <f>VLOOKUP(AD48,STN_TABLE,2,FALSE)</f>
        <v>11.9</v>
      </c>
      <c r="AF48" s="68">
        <v>1</v>
      </c>
      <c r="AG48" s="69">
        <f>AE48*AF48</f>
        <v>11.9</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12.18</v>
      </c>
      <c r="E49" s="92">
        <v>1</v>
      </c>
      <c r="F49" s="82">
        <f>D49*E49</f>
        <v>12.18</v>
      </c>
      <c r="G49" s="83">
        <f>C49</f>
        <v>2</v>
      </c>
      <c r="H49" s="83">
        <f>F49*G49</f>
        <v>24.36</v>
      </c>
      <c r="I49" s="84" t="str">
        <f>CONCATENATE("a'(",C49,")=")</f>
        <v>a'(2)=</v>
      </c>
      <c r="J49" s="84">
        <f>2*J47/3*F50</f>
        <v>42.677999999999997</v>
      </c>
      <c r="K49" s="84" t="str">
        <f>CONCATENATE("A(",C47,")=")</f>
        <v>A(1)=</v>
      </c>
      <c r="L49" s="84">
        <f>VLOOKUP(C47,STN_TABLE,3,FALSE)</f>
        <v>34.734000000000002</v>
      </c>
      <c r="M49" t="str">
        <f>CONCATENATE("A(",C49,")=")</f>
        <v>A(2)=</v>
      </c>
      <c r="N49">
        <f>J49+L49</f>
        <v>77.412000000000006</v>
      </c>
      <c r="O49" s="99">
        <f>O48+1</f>
        <v>6</v>
      </c>
      <c r="P49" s="99">
        <f t="shared" si="10"/>
        <v>3</v>
      </c>
      <c r="Q49" s="82">
        <f>IF(P49-P48=P48-P47,P49,IF(P50-P48=P48-P47,P50,IF(P49-P48=P48-P46,P49,IF(P50-P48=P48-P46,P50,"-"))))</f>
        <v>3</v>
      </c>
      <c r="R49" s="83">
        <f>VLOOKUP(Q49,STN_TABLE,2,FALSE)</f>
        <v>12.25</v>
      </c>
      <c r="S49" s="83">
        <v>-1</v>
      </c>
      <c r="T49" s="82">
        <f>R49*S49</f>
        <v>-12.25</v>
      </c>
      <c r="U49" s="88">
        <v>-1</v>
      </c>
      <c r="V49" s="82">
        <f>R49*U49</f>
        <v>-12.25</v>
      </c>
      <c r="W49" s="84" t="str">
        <f>CONCATENATE("a'(",Q48,")=")</f>
        <v>a'(2)=</v>
      </c>
      <c r="X49" s="84">
        <f>2*X47/12*T50</f>
        <v>42.582000000000001</v>
      </c>
      <c r="Y49" s="84" t="str">
        <f>CONCATENATE("A(",Q47,")=")</f>
        <v>A(1)=</v>
      </c>
      <c r="Z49" s="84">
        <f>VLOOKUP(Q47,STN_TABLE,3,FALSE)</f>
        <v>34.734000000000002</v>
      </c>
      <c r="AA49" t="str">
        <f>CONCATENATE("A(",Q48,")=")</f>
        <v>A(2)=</v>
      </c>
      <c r="AB49">
        <f>X49+Z49</f>
        <v>77.316000000000003</v>
      </c>
      <c r="AC49" s="99">
        <f>AC48+1</f>
        <v>5</v>
      </c>
      <c r="AD49" s="100">
        <f>VLOOKUP(AC49,STN_TABLE_2,2,FALSE)</f>
        <v>2</v>
      </c>
      <c r="AE49" s="82">
        <f>VLOOKUP(AD49,STN_TABLE,2,FALSE)</f>
        <v>12.18</v>
      </c>
      <c r="AF49" s="82">
        <v>2</v>
      </c>
      <c r="AG49" s="83">
        <f>AE49*AF49</f>
        <v>24.36</v>
      </c>
      <c r="AH49" s="84" t="str">
        <f>CONCATENATE("a'(",AD49,")=")</f>
        <v>a'(2)=</v>
      </c>
      <c r="AI49" s="84">
        <f>2*AI47/2*AE50</f>
        <v>21.672000000000001</v>
      </c>
      <c r="AJ49" s="84" t="str">
        <f>CONCATENATE("A(",AD48,")=")</f>
        <v>A(1.5)=</v>
      </c>
      <c r="AK49" s="84">
        <f>VLOOKUP(AD48,STN_TABLE,3,FALSE)</f>
        <v>55.390500000000003</v>
      </c>
      <c r="AL49" t="str">
        <f>CONCATENATE("A(",AD49,")=")</f>
        <v>A(2)=</v>
      </c>
      <c r="AM49">
        <f>AI49+AK49</f>
        <v>77.0625</v>
      </c>
      <c r="AO49" s="68" t="str">
        <f>AA49</f>
        <v>A(2)=</v>
      </c>
      <c r="AP49" s="68" t="e">
        <f>VLOOKUP(AO49,Rise_Results,2,FALSE)</f>
        <v>#N/A</v>
      </c>
      <c r="AQ49" s="76">
        <f>N49</f>
        <v>77.412000000000006</v>
      </c>
      <c r="AR49" s="76">
        <f>IF(OR(AB49&lt;=0,AB50&lt;=0),1/0,AB49)</f>
        <v>77.316000000000003</v>
      </c>
      <c r="AS49" s="76">
        <f>AM49</f>
        <v>77.0625</v>
      </c>
      <c r="AT49">
        <f>IFERROR(AP49,IFERROR(AQ49,IFERROR(AR49,AS49)))</f>
        <v>77.412000000000006</v>
      </c>
      <c r="AU49" s="81"/>
    </row>
    <row r="50" spans="1:47" x14ac:dyDescent="0.25">
      <c r="A50" s="84">
        <f>A49+1</f>
        <v>5</v>
      </c>
      <c r="B50" s="84">
        <f t="shared" si="11"/>
        <v>2</v>
      </c>
      <c r="F50" s="82">
        <f>SUM(F47:F49)</f>
        <v>71.13</v>
      </c>
      <c r="H50" s="82">
        <f>SUM(H47:H49)</f>
        <v>107.11</v>
      </c>
      <c r="I50" s="84" t="str">
        <f>CONCATENATE("m'(",C49,")=")</f>
        <v>m'(2)=</v>
      </c>
      <c r="J50" s="84">
        <f>2*(J47*(WLS))/3*H50</f>
        <v>115.67880000000001</v>
      </c>
      <c r="K50" s="84" t="str">
        <f>CONCATENATE("M(",C47,")=")</f>
        <v>M(1)=</v>
      </c>
      <c r="L50" s="84">
        <f>VLOOKUP(C47,STN_TABLE,4,FALSE)</f>
        <v>34.203600000000002</v>
      </c>
      <c r="M50" t="str">
        <f>CONCATENATE("M(",C49,")=")</f>
        <v>M(2)=</v>
      </c>
      <c r="N50">
        <f>J50+L50</f>
        <v>149.88240000000002</v>
      </c>
      <c r="O50" s="99">
        <f>O49+1</f>
        <v>7</v>
      </c>
      <c r="P50" s="99">
        <f t="shared" si="10"/>
        <v>4</v>
      </c>
      <c r="T50" s="89">
        <f>SUM(T47:T49)</f>
        <v>141.94</v>
      </c>
      <c r="V50" s="82">
        <f>SUM(V47:V49)</f>
        <v>143.6</v>
      </c>
      <c r="W50" s="84" t="str">
        <f>CONCATENATE("m'(",Q48,")=")</f>
        <v>m'(2)=</v>
      </c>
      <c r="X50" s="84">
        <f>(2*(X47^2)/24*V50)+(X49*Q47*WLS)</f>
        <v>115.4196</v>
      </c>
      <c r="Y50" s="84" t="str">
        <f>CONCATENATE("M(",Q47,")=")</f>
        <v>M(1)=</v>
      </c>
      <c r="Z50" s="84">
        <f>VLOOKUP(Q47,STN_TABLE,4,FALSE)</f>
        <v>34.203600000000002</v>
      </c>
      <c r="AA50" t="str">
        <f>CONCATENATE("M(",Q48,")=")</f>
        <v>M(2)=</v>
      </c>
      <c r="AB50">
        <f>X50+Z50</f>
        <v>149.6232</v>
      </c>
      <c r="AE50" s="89">
        <f>SUM(AE48:AE49)</f>
        <v>24.08</v>
      </c>
      <c r="AG50" s="89">
        <f>SUM(AG48:AG49)</f>
        <v>36.26</v>
      </c>
      <c r="AH50" s="84" t="str">
        <f>CONCATENATE("m'(",AD49,")=")</f>
        <v>m'(2)=</v>
      </c>
      <c r="AI50" s="84">
        <f>(2*(AI47^2)/6*AG50)+(AI49*AD48*WLS)</f>
        <v>68.304600000000008</v>
      </c>
      <c r="AJ50" s="84" t="str">
        <f>CONCATENATE("M(",AD48,")=")</f>
        <v>M(1.5)=</v>
      </c>
      <c r="AK50" s="84">
        <f>VLOOKUP(AD48,STN_TABLE,4,FALSE)</f>
        <v>81.083025000000006</v>
      </c>
      <c r="AL50" t="str">
        <f>CONCATENATE("M(",AD49,")=")</f>
        <v>M(2)=</v>
      </c>
      <c r="AM50">
        <f>AI50+AK50</f>
        <v>149.38762500000001</v>
      </c>
      <c r="AO50" s="82" t="str">
        <f>AA50</f>
        <v>M(2)=</v>
      </c>
      <c r="AP50" s="82" t="e">
        <f>VLOOKUP(AO50,Rise_Results,2,FALSE)</f>
        <v>#N/A</v>
      </c>
      <c r="AQ50" s="82">
        <f>N50</f>
        <v>149.88240000000002</v>
      </c>
      <c r="AR50" s="82">
        <f>IF(OR(AB49&lt;=0,AB50&lt;=0),1/0,AB50)</f>
        <v>149.6232</v>
      </c>
      <c r="AS50" s="82">
        <f>AM50</f>
        <v>149.38762500000001</v>
      </c>
      <c r="AT50">
        <f>IFERROR(AP50,IFERROR(AQ50,IFERROR(AR50,AS50)))</f>
        <v>149.88240000000002</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11.35</v>
      </c>
      <c r="E52" s="102">
        <v>1</v>
      </c>
      <c r="F52" s="68">
        <f>D52*E52</f>
        <v>11.35</v>
      </c>
      <c r="G52" s="69">
        <f>C52</f>
        <v>1</v>
      </c>
      <c r="H52" s="69">
        <f>F52*G52</f>
        <v>11.35</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12.18</v>
      </c>
      <c r="S52" s="69">
        <v>5</v>
      </c>
      <c r="T52" s="68">
        <f>R52*S52</f>
        <v>60.9</v>
      </c>
      <c r="U52" s="79">
        <v>3</v>
      </c>
      <c r="V52" s="68">
        <f>R52*U52</f>
        <v>36.54</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12.18</v>
      </c>
      <c r="E53" s="81">
        <v>4</v>
      </c>
      <c r="F53" s="76">
        <f>D53*E53</f>
        <v>48.72</v>
      </c>
      <c r="G53" s="77">
        <f>C53</f>
        <v>2</v>
      </c>
      <c r="H53" s="77">
        <f>F53*G53</f>
        <v>97.44</v>
      </c>
      <c r="I53" s="512" t="s">
        <v>97</v>
      </c>
      <c r="J53" s="513"/>
      <c r="K53" s="78" t="s">
        <v>98</v>
      </c>
      <c r="L53" s="78"/>
      <c r="M53" s="7" t="s">
        <v>99</v>
      </c>
      <c r="N53" s="7"/>
      <c r="O53" s="99">
        <f>O52+1</f>
        <v>6</v>
      </c>
      <c r="P53" s="99">
        <f t="shared" si="10"/>
        <v>3</v>
      </c>
      <c r="Q53" s="76">
        <f>P53</f>
        <v>3</v>
      </c>
      <c r="R53" s="77">
        <f>VLOOKUP(Q53,STN_TABLE,2,FALSE)</f>
        <v>12.25</v>
      </c>
      <c r="S53" s="77">
        <v>8</v>
      </c>
      <c r="T53" s="76">
        <f>R53*S53</f>
        <v>98</v>
      </c>
      <c r="U53" s="80">
        <v>10</v>
      </c>
      <c r="V53" s="76">
        <f>R53*U53</f>
        <v>122.5</v>
      </c>
      <c r="W53" s="513" t="s">
        <v>97</v>
      </c>
      <c r="X53" s="513"/>
      <c r="Y53" s="513" t="s">
        <v>98</v>
      </c>
      <c r="Z53" s="513"/>
      <c r="AA53" s="511" t="s">
        <v>99</v>
      </c>
      <c r="AB53" s="511"/>
      <c r="AC53" s="99">
        <f>AC48+1</f>
        <v>5</v>
      </c>
      <c r="AD53" s="95">
        <f>VLOOKUP(AC53,STN_TABLE_2,2,FALSE)</f>
        <v>2</v>
      </c>
      <c r="AE53" s="68">
        <f>VLOOKUP(AD53,STN_TABLE,2,FALSE)</f>
        <v>12.18</v>
      </c>
      <c r="AF53" s="68">
        <v>1</v>
      </c>
      <c r="AG53" s="69">
        <f>AE53*AF53</f>
        <v>12.18</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12.25</v>
      </c>
      <c r="E54" s="92">
        <v>1</v>
      </c>
      <c r="F54" s="82">
        <f>D54*E54</f>
        <v>12.25</v>
      </c>
      <c r="G54" s="83">
        <f>C54</f>
        <v>3</v>
      </c>
      <c r="H54" s="83">
        <f>F54*G54</f>
        <v>36.75</v>
      </c>
      <c r="I54" s="84" t="str">
        <f>CONCATENATE("a'(",C54,")=")</f>
        <v>a'(3)=</v>
      </c>
      <c r="J54" s="84">
        <f>2*J52/3*F55</f>
        <v>86.783999999999992</v>
      </c>
      <c r="K54" s="84" t="str">
        <f>CONCATENATE("A(",C52,")=")</f>
        <v>A(1)=</v>
      </c>
      <c r="L54" s="84">
        <f>VLOOKUP(C52,STN_TABLE,3,FALSE)</f>
        <v>34.734000000000002</v>
      </c>
      <c r="M54" t="str">
        <f>CONCATENATE("A(",C54,")=")</f>
        <v>A(3)=</v>
      </c>
      <c r="N54">
        <f>J54+L54</f>
        <v>121.518</v>
      </c>
      <c r="O54" s="99">
        <f>O53+1</f>
        <v>7</v>
      </c>
      <c r="P54" s="99">
        <f t="shared" si="10"/>
        <v>4</v>
      </c>
      <c r="Q54" s="82">
        <f>IF(P54-P53=P53-P52,P54,IF(P55-P53=P53-P52,P55,IF(P54-P53=P53-P51,P54,IF(P55-P53=P53-P51,P55,"-"))))</f>
        <v>4</v>
      </c>
      <c r="R54" s="83">
        <f>VLOOKUP(Q54,STN_TABLE,2,FALSE)</f>
        <v>12.25</v>
      </c>
      <c r="S54" s="83">
        <v>-1</v>
      </c>
      <c r="T54" s="82">
        <f>R54*S54</f>
        <v>-12.25</v>
      </c>
      <c r="U54" s="88">
        <v>-1</v>
      </c>
      <c r="V54" s="82">
        <f>R54*U54</f>
        <v>-12.25</v>
      </c>
      <c r="W54" s="84" t="str">
        <f>CONCATENATE("a'(",Q53,")=")</f>
        <v>a'(3)=</v>
      </c>
      <c r="X54" s="84">
        <f>2*X52/12*T55</f>
        <v>43.994999999999997</v>
      </c>
      <c r="Y54" s="84" t="str">
        <f>CONCATENATE("A(",Q52,")=")</f>
        <v>A(2)=</v>
      </c>
      <c r="Z54" s="84">
        <f>VLOOKUP(Q52,STN_TABLE,3,FALSE)</f>
        <v>77.412000000000006</v>
      </c>
      <c r="AA54" t="str">
        <f>CONCATENATE("A(",Q53,")=")</f>
        <v>A(3)=</v>
      </c>
      <c r="AB54">
        <f>X54+Z54</f>
        <v>121.40700000000001</v>
      </c>
      <c r="AC54" s="99">
        <f>AC53+1</f>
        <v>6</v>
      </c>
      <c r="AD54" s="100">
        <f>VLOOKUP(AC54,STN_TABLE_2,2,FALSE)</f>
        <v>3</v>
      </c>
      <c r="AE54" s="82">
        <f>VLOOKUP(AD54,STN_TABLE,2,FALSE)</f>
        <v>12.25</v>
      </c>
      <c r="AF54" s="82">
        <v>2</v>
      </c>
      <c r="AG54" s="83">
        <f>AE54*AF54</f>
        <v>24.5</v>
      </c>
      <c r="AH54" s="84" t="str">
        <f>CONCATENATE("a'(",AD54,")=")</f>
        <v>a'(3)=</v>
      </c>
      <c r="AI54" s="84">
        <f>2*AI52/2*AE55</f>
        <v>43.974000000000004</v>
      </c>
      <c r="AJ54" s="84" t="str">
        <f>CONCATENATE("A(",AD53,")=")</f>
        <v>A(2)=</v>
      </c>
      <c r="AK54" s="84">
        <f>VLOOKUP(AD53,STN_TABLE,3,FALSE)</f>
        <v>77.412000000000006</v>
      </c>
      <c r="AL54" t="str">
        <f>CONCATENATE("A(",AD54,")=")</f>
        <v>A(3)=</v>
      </c>
      <c r="AM54">
        <f>AI54+AK54</f>
        <v>121.38600000000001</v>
      </c>
      <c r="AO54" s="68" t="str">
        <f>AA54</f>
        <v>A(3)=</v>
      </c>
      <c r="AP54" s="68" t="e">
        <f>VLOOKUP(AO54,Rise_Results,2,FALSE)</f>
        <v>#N/A</v>
      </c>
      <c r="AQ54" s="76">
        <f>N54</f>
        <v>121.518</v>
      </c>
      <c r="AR54" s="76">
        <f>IF(OR(AB54&lt;=0,AB55&lt;=0),1/0,AB54)</f>
        <v>121.40700000000001</v>
      </c>
      <c r="AS54" s="76">
        <f>AM54</f>
        <v>121.38600000000001</v>
      </c>
      <c r="AT54">
        <f>IFERROR(AP54,IFERROR(AQ54,IFERROR(AR54,AS54)))</f>
        <v>121.518</v>
      </c>
      <c r="AU54" s="81"/>
    </row>
    <row r="55" spans="1:47" x14ac:dyDescent="0.25">
      <c r="A55" s="84">
        <f>A54+1</f>
        <v>6</v>
      </c>
      <c r="B55" s="84">
        <f t="shared" si="11"/>
        <v>3</v>
      </c>
      <c r="F55" s="82">
        <f>SUM(F52:F54)</f>
        <v>72.319999999999993</v>
      </c>
      <c r="H55" s="82">
        <f>SUM(H52:H54)</f>
        <v>145.54</v>
      </c>
      <c r="I55" s="84" t="str">
        <f>CONCATENATE("m'(",C54,")=")</f>
        <v>m'(3)=</v>
      </c>
      <c r="J55" s="84">
        <f>2*(J52*(WLS))/3*H55</f>
        <v>314.3664</v>
      </c>
      <c r="K55" s="84" t="str">
        <f>CONCATENATE("M(",C52,")=")</f>
        <v>M(1)=</v>
      </c>
      <c r="L55" s="84">
        <f>VLOOKUP(C52,STN_TABLE,4,FALSE)</f>
        <v>34.203600000000002</v>
      </c>
      <c r="M55" t="str">
        <f>CONCATENATE("M(",C54,")=")</f>
        <v>M(3)=</v>
      </c>
      <c r="N55">
        <f>J55+L55</f>
        <v>348.57</v>
      </c>
      <c r="O55" s="99">
        <f>O54+1</f>
        <v>8</v>
      </c>
      <c r="P55" s="99">
        <f t="shared" si="10"/>
        <v>5</v>
      </c>
      <c r="T55" s="89">
        <f>SUM(T52:T54)</f>
        <v>146.65</v>
      </c>
      <c r="V55" s="82">
        <f>SUM(V52:V54)</f>
        <v>146.79</v>
      </c>
      <c r="W55" s="84" t="str">
        <f>CONCATENATE("m'(",Q53,")=")</f>
        <v>m'(3)=</v>
      </c>
      <c r="X55" s="84">
        <f>(2*(X52^2)/24*V55)+(X54*Q52*WLS)</f>
        <v>198.0153</v>
      </c>
      <c r="Y55" s="84" t="str">
        <f>CONCATENATE("M(",Q52,")=")</f>
        <v>M(2)=</v>
      </c>
      <c r="Z55" s="84">
        <f>VLOOKUP(Q52,STN_TABLE,4,FALSE)</f>
        <v>149.88240000000002</v>
      </c>
      <c r="AA55" t="str">
        <f>CONCATENATE("M(",Q53,")=")</f>
        <v>M(3)=</v>
      </c>
      <c r="AB55">
        <f>X55+Z55</f>
        <v>347.89769999999999</v>
      </c>
      <c r="AE55" s="89">
        <f>SUM(AE53:AE54)</f>
        <v>24.43</v>
      </c>
      <c r="AG55" s="89">
        <f>SUM(AG53:AG54)</f>
        <v>36.68</v>
      </c>
      <c r="AH55" s="84" t="str">
        <f>CONCATENATE("m'(",AD54,")=")</f>
        <v>m'(3)=</v>
      </c>
      <c r="AI55" s="84">
        <f>(2*(AI52^2)/6*AG55)+(AI54*AD53*WLS)</f>
        <v>197.92080000000004</v>
      </c>
      <c r="AJ55" s="84" t="str">
        <f>CONCATENATE("M(",AD53,")=")</f>
        <v>M(2)=</v>
      </c>
      <c r="AK55" s="84">
        <f>VLOOKUP(AD53,STN_TABLE,4,FALSE)</f>
        <v>149.88240000000002</v>
      </c>
      <c r="AL55" t="str">
        <f>CONCATENATE("M(",AD54,")=")</f>
        <v>M(3)=</v>
      </c>
      <c r="AM55">
        <f>AI55+AK55</f>
        <v>347.80320000000006</v>
      </c>
      <c r="AO55" s="82" t="str">
        <f>AA55</f>
        <v>M(3)=</v>
      </c>
      <c r="AP55" s="82" t="e">
        <f>VLOOKUP(AO55,Rise_Results,2,FALSE)</f>
        <v>#N/A</v>
      </c>
      <c r="AQ55" s="82">
        <f>N55</f>
        <v>348.57</v>
      </c>
      <c r="AR55" s="82">
        <f>IF(OR(AB54&lt;=0,AB55&lt;=0),1/0,AB55)</f>
        <v>347.89769999999999</v>
      </c>
      <c r="AS55" s="82">
        <f>AM55</f>
        <v>347.80320000000006</v>
      </c>
      <c r="AT55">
        <f>IFERROR(AP55,IFERROR(AQ55,IFERROR(AR55,AS55)))</f>
        <v>348.57</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12.18</v>
      </c>
      <c r="E57" s="102">
        <v>1</v>
      </c>
      <c r="F57" s="68">
        <f>D57*E57</f>
        <v>12.18</v>
      </c>
      <c r="G57" s="69">
        <f>C57</f>
        <v>2</v>
      </c>
      <c r="H57" s="69">
        <f>F57*G57</f>
        <v>24.36</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12.25</v>
      </c>
      <c r="S57" s="69">
        <v>5</v>
      </c>
      <c r="T57" s="68">
        <f>R57*S57</f>
        <v>61.25</v>
      </c>
      <c r="U57" s="79">
        <v>3</v>
      </c>
      <c r="V57" s="68">
        <f>R57*U57</f>
        <v>36.75</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12.25</v>
      </c>
      <c r="E58" s="81">
        <v>4</v>
      </c>
      <c r="F58" s="76">
        <f>D58*E58</f>
        <v>49</v>
      </c>
      <c r="G58" s="77">
        <f>C58</f>
        <v>3</v>
      </c>
      <c r="H58" s="77">
        <f>F58*G58</f>
        <v>147</v>
      </c>
      <c r="I58" s="512" t="s">
        <v>97</v>
      </c>
      <c r="J58" s="513"/>
      <c r="K58" s="78" t="s">
        <v>98</v>
      </c>
      <c r="L58" s="78"/>
      <c r="M58" s="7" t="s">
        <v>99</v>
      </c>
      <c r="N58" s="7"/>
      <c r="O58" s="99">
        <f>O57+1</f>
        <v>7</v>
      </c>
      <c r="P58" s="99">
        <f t="shared" si="10"/>
        <v>4</v>
      </c>
      <c r="Q58" s="76">
        <f>P58</f>
        <v>4</v>
      </c>
      <c r="R58" s="77">
        <f>VLOOKUP(Q58,STN_TABLE,2,FALSE)</f>
        <v>12.25</v>
      </c>
      <c r="S58" s="77">
        <v>8</v>
      </c>
      <c r="T58" s="76">
        <f>R58*S58</f>
        <v>98</v>
      </c>
      <c r="U58" s="80">
        <v>10</v>
      </c>
      <c r="V58" s="76">
        <f>R58*U58</f>
        <v>122.5</v>
      </c>
      <c r="W58" s="78" t="s">
        <v>97</v>
      </c>
      <c r="X58" s="78"/>
      <c r="Y58" s="78" t="s">
        <v>98</v>
      </c>
      <c r="Z58" s="78"/>
      <c r="AA58" s="7" t="s">
        <v>99</v>
      </c>
      <c r="AB58" s="7"/>
      <c r="AC58" s="99">
        <f>AC53+1</f>
        <v>6</v>
      </c>
      <c r="AD58" s="95">
        <f>VLOOKUP(AC58,STN_TABLE_2,2,FALSE)</f>
        <v>3</v>
      </c>
      <c r="AE58" s="68">
        <f>VLOOKUP(AD58,STN_TABLE,2,FALSE)</f>
        <v>12.25</v>
      </c>
      <c r="AF58" s="68">
        <v>1</v>
      </c>
      <c r="AG58" s="69">
        <f>AE58*AF58</f>
        <v>12.25</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12.25</v>
      </c>
      <c r="E59" s="92">
        <v>1</v>
      </c>
      <c r="F59" s="82">
        <f>D59*E59</f>
        <v>12.25</v>
      </c>
      <c r="G59" s="83">
        <f>C59</f>
        <v>4</v>
      </c>
      <c r="H59" s="83">
        <f>F59*G59</f>
        <v>49</v>
      </c>
      <c r="I59" s="84" t="str">
        <f>CONCATENATE("a'(",C59,")=")</f>
        <v>a'(4)=</v>
      </c>
      <c r="J59" s="84">
        <f>2*J57/3*F60</f>
        <v>88.116</v>
      </c>
      <c r="K59" s="84" t="str">
        <f>CONCATENATE("A(",C57,")=")</f>
        <v>A(2)=</v>
      </c>
      <c r="L59" s="84">
        <f>VLOOKUP(C57,STN_TABLE,3,FALSE)</f>
        <v>77.412000000000006</v>
      </c>
      <c r="M59" t="str">
        <f>CONCATENATE("A(",C59,")=")</f>
        <v>A(4)=</v>
      </c>
      <c r="N59">
        <f>J59+L59</f>
        <v>165.52800000000002</v>
      </c>
      <c r="O59" s="99">
        <f>O58+1</f>
        <v>8</v>
      </c>
      <c r="P59" s="99">
        <f t="shared" si="10"/>
        <v>5</v>
      </c>
      <c r="Q59" s="82">
        <f>IF(P59-P58=P58-P57,P59,IF(P60-P58=P58-P57,P60,IF(P59-P58=P58-P56,P59,IF(P60-P58=P58-P56,P60,"-"))))</f>
        <v>5</v>
      </c>
      <c r="R59" s="83">
        <f>VLOOKUP(Q59,STN_TABLE,2,FALSE)</f>
        <v>12.25</v>
      </c>
      <c r="S59" s="83">
        <v>-1</v>
      </c>
      <c r="T59" s="82">
        <f>R59*S59</f>
        <v>-12.25</v>
      </c>
      <c r="U59" s="88">
        <v>-1</v>
      </c>
      <c r="V59" s="82">
        <f>R59*U59</f>
        <v>-12.25</v>
      </c>
      <c r="W59" s="84" t="str">
        <f>CONCATENATE("a'(",Q58,")=")</f>
        <v>a'(4)=</v>
      </c>
      <c r="X59" s="84">
        <f>2*X57/12*T60</f>
        <v>44.1</v>
      </c>
      <c r="Y59" s="84" t="str">
        <f>CONCATENATE("A(",Q57,")=")</f>
        <v>A(3)=</v>
      </c>
      <c r="Z59" s="84">
        <f>VLOOKUP(Q57,STN_TABLE,3,FALSE)</f>
        <v>121.518</v>
      </c>
      <c r="AA59" t="str">
        <f>CONCATENATE("A(",Q58,")=")</f>
        <v>A(4)=</v>
      </c>
      <c r="AB59">
        <f>X59+Z59</f>
        <v>165.61799999999999</v>
      </c>
      <c r="AC59" s="99">
        <f>AC58+1</f>
        <v>7</v>
      </c>
      <c r="AD59" s="100">
        <f>VLOOKUP(AC59,STN_TABLE_2,2,FALSE)</f>
        <v>4</v>
      </c>
      <c r="AE59" s="82">
        <f>VLOOKUP(AD59,STN_TABLE,2,FALSE)</f>
        <v>12.25</v>
      </c>
      <c r="AF59" s="82">
        <v>2</v>
      </c>
      <c r="AG59" s="83">
        <f>AE59*AF59</f>
        <v>24.5</v>
      </c>
      <c r="AH59" s="84" t="str">
        <f>CONCATENATE("a'(",AD59,")=")</f>
        <v>a'(4)=</v>
      </c>
      <c r="AI59" s="84">
        <f>2*AI57/2*AE60</f>
        <v>44.1</v>
      </c>
      <c r="AJ59" s="84" t="str">
        <f>CONCATENATE("A(",AD58,")=")</f>
        <v>A(3)=</v>
      </c>
      <c r="AK59" s="84">
        <f>VLOOKUP(AD58,STN_TABLE,3,FALSE)</f>
        <v>121.518</v>
      </c>
      <c r="AL59" t="str">
        <f>CONCATENATE("A(",AD59,")=")</f>
        <v>A(4)=</v>
      </c>
      <c r="AM59">
        <f>AI59+AK59</f>
        <v>165.61799999999999</v>
      </c>
      <c r="AO59" s="68" t="str">
        <f>AA59</f>
        <v>A(4)=</v>
      </c>
      <c r="AP59" s="68" t="e">
        <f>VLOOKUP(AO59,Rise_Results,2,FALSE)</f>
        <v>#N/A</v>
      </c>
      <c r="AQ59" s="76">
        <f>N59</f>
        <v>165.52800000000002</v>
      </c>
      <c r="AR59" s="76">
        <f>IF(OR(AB59&lt;=0,AB60&lt;=0),1/0,AB59)</f>
        <v>165.61799999999999</v>
      </c>
      <c r="AS59" s="76">
        <f>AM59</f>
        <v>165.61799999999999</v>
      </c>
      <c r="AT59">
        <f>IFERROR(AP59,IFERROR(AQ59,IFERROR(AR59,AS59)))</f>
        <v>165.52800000000002</v>
      </c>
      <c r="AU59" s="81"/>
    </row>
    <row r="60" spans="1:47" x14ac:dyDescent="0.25">
      <c r="A60" s="84">
        <f>A59+1</f>
        <v>7</v>
      </c>
      <c r="B60" s="84">
        <f t="shared" si="11"/>
        <v>4</v>
      </c>
      <c r="F60" s="82">
        <f>SUM(F57:F59)</f>
        <v>73.430000000000007</v>
      </c>
      <c r="H60" s="82">
        <f>SUM(H57:H59)</f>
        <v>220.36</v>
      </c>
      <c r="I60" s="84" t="str">
        <f>CONCATENATE("m'(",C59,")=")</f>
        <v>m'(4)=</v>
      </c>
      <c r="J60" s="84">
        <f>2*(J57*(WLS))/3*H60</f>
        <v>475.97760000000005</v>
      </c>
      <c r="K60" s="84" t="str">
        <f>CONCATENATE("M(",C57,")=")</f>
        <v>M(2)=</v>
      </c>
      <c r="L60" s="84">
        <f>VLOOKUP(C57,STN_TABLE,4,FALSE)</f>
        <v>149.88240000000002</v>
      </c>
      <c r="M60" t="str">
        <f>CONCATENATE("M(",C59,")=")</f>
        <v>M(4)=</v>
      </c>
      <c r="N60">
        <f>J60+L60</f>
        <v>625.86000000000013</v>
      </c>
      <c r="O60" s="99">
        <f>O59+1</f>
        <v>9</v>
      </c>
      <c r="P60" s="99">
        <f t="shared" si="10"/>
        <v>5.6111111111111107</v>
      </c>
      <c r="T60" s="89">
        <f>SUM(T57:T59)</f>
        <v>147</v>
      </c>
      <c r="V60" s="82">
        <f>SUM(V57:V59)</f>
        <v>147</v>
      </c>
      <c r="W60" s="84" t="str">
        <f>CONCATENATE("m'(",Q58,")=")</f>
        <v>m'(4)=</v>
      </c>
      <c r="X60" s="84">
        <f>(2*(X57^2)/24*V60)+(X59*Q57*WLS)</f>
        <v>277.83000000000004</v>
      </c>
      <c r="Y60" s="84" t="str">
        <f>CONCATENATE("M(",Q57,")=")</f>
        <v>M(3)=</v>
      </c>
      <c r="Z60" s="84">
        <f>VLOOKUP(Q57,STN_TABLE,4,FALSE)</f>
        <v>348.57</v>
      </c>
      <c r="AA60" t="str">
        <f>CONCATENATE("M(",Q58,")=")</f>
        <v>M(4)=</v>
      </c>
      <c r="AB60">
        <f>X60+Z60</f>
        <v>626.40000000000009</v>
      </c>
      <c r="AE60" s="89">
        <f>SUM(AE58:AE59)</f>
        <v>24.5</v>
      </c>
      <c r="AG60" s="89">
        <f>SUM(AG58:AG59)</f>
        <v>36.75</v>
      </c>
      <c r="AH60" s="84" t="str">
        <f>CONCATENATE("m'(",AD59,")=")</f>
        <v>m'(4)=</v>
      </c>
      <c r="AI60" s="84">
        <f>(2*(AI57^2)/6*AG60)+(AI59*AD58*WLS)</f>
        <v>277.83000000000004</v>
      </c>
      <c r="AJ60" s="84" t="str">
        <f>CONCATENATE("M(",AD58,")=")</f>
        <v>M(3)=</v>
      </c>
      <c r="AK60" s="84">
        <f>VLOOKUP(AD57,STN_TABLE,4,FALSE)</f>
        <v>0</v>
      </c>
      <c r="AL60" t="str">
        <f>CONCATENATE("M(",AD59,")=")</f>
        <v>M(4)=</v>
      </c>
      <c r="AM60">
        <f>AI60+AK60</f>
        <v>277.83000000000004</v>
      </c>
      <c r="AO60" s="82" t="str">
        <f>AA60</f>
        <v>M(4)=</v>
      </c>
      <c r="AP60" s="82" t="e">
        <f>VLOOKUP(AO60,Rise_Results,2,FALSE)</f>
        <v>#N/A</v>
      </c>
      <c r="AQ60" s="82">
        <f>N60</f>
        <v>625.86000000000013</v>
      </c>
      <c r="AR60" s="82">
        <f>IF(OR(AB59&lt;=0,AB60&lt;=0),1/0,AB60)</f>
        <v>626.40000000000009</v>
      </c>
      <c r="AS60" s="82">
        <f>AM60</f>
        <v>277.83000000000004</v>
      </c>
      <c r="AT60">
        <f>IFERROR(AP60,IFERROR(AQ60,IFERROR(AR60,AS60)))</f>
        <v>625.86000000000013</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12.25</v>
      </c>
      <c r="E62" s="102">
        <v>1</v>
      </c>
      <c r="F62" s="68">
        <f>D62*E62</f>
        <v>12.25</v>
      </c>
      <c r="G62" s="69">
        <f>C62</f>
        <v>3</v>
      </c>
      <c r="H62" s="69">
        <f>F62*G62</f>
        <v>36.75</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12.25</v>
      </c>
      <c r="S62" s="69">
        <v>5</v>
      </c>
      <c r="T62" s="68">
        <f>R62*S62</f>
        <v>61.25</v>
      </c>
      <c r="U62" s="79">
        <v>3</v>
      </c>
      <c r="V62" s="68">
        <f>R62*U62</f>
        <v>36.75</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12.25</v>
      </c>
      <c r="E63" s="81">
        <v>4</v>
      </c>
      <c r="F63" s="76">
        <f>D63*E63</f>
        <v>49</v>
      </c>
      <c r="G63" s="77">
        <f>C63</f>
        <v>4</v>
      </c>
      <c r="H63" s="77">
        <f>F63*G63</f>
        <v>196</v>
      </c>
      <c r="I63" s="512" t="s">
        <v>97</v>
      </c>
      <c r="J63" s="513"/>
      <c r="K63" s="78" t="s">
        <v>98</v>
      </c>
      <c r="L63" s="78"/>
      <c r="M63" s="7" t="s">
        <v>99</v>
      </c>
      <c r="N63" s="7"/>
      <c r="O63" s="99">
        <f>O62+1</f>
        <v>8</v>
      </c>
      <c r="P63" s="99">
        <f t="shared" si="10"/>
        <v>5</v>
      </c>
      <c r="Q63" s="76">
        <f>P63</f>
        <v>5</v>
      </c>
      <c r="R63" s="77">
        <f>VLOOKUP(Q63,STN_TABLE,2,FALSE)</f>
        <v>12.25</v>
      </c>
      <c r="S63" s="77">
        <v>8</v>
      </c>
      <c r="T63" s="76">
        <f>R63*S63</f>
        <v>98</v>
      </c>
      <c r="U63" s="80">
        <v>10</v>
      </c>
      <c r="V63" s="76">
        <f>R63*U63</f>
        <v>122.5</v>
      </c>
      <c r="W63" s="513" t="s">
        <v>97</v>
      </c>
      <c r="X63" s="513"/>
      <c r="Y63" s="513" t="s">
        <v>98</v>
      </c>
      <c r="Z63" s="513"/>
      <c r="AA63" s="511" t="s">
        <v>99</v>
      </c>
      <c r="AB63" s="511"/>
      <c r="AC63" s="99">
        <f>AC58+1</f>
        <v>7</v>
      </c>
      <c r="AD63" s="95">
        <f>VLOOKUP(AC63,STN_TABLE_2,2,FALSE)</f>
        <v>4</v>
      </c>
      <c r="AE63" s="68">
        <f>VLOOKUP(AD63,STN_TABLE,2,FALSE)</f>
        <v>12.25</v>
      </c>
      <c r="AF63" s="68">
        <v>1</v>
      </c>
      <c r="AG63" s="69">
        <f>AE63*AF63</f>
        <v>12.25</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12.25</v>
      </c>
      <c r="E64" s="92">
        <v>1</v>
      </c>
      <c r="F64" s="82">
        <f>D64*E64</f>
        <v>12.25</v>
      </c>
      <c r="G64" s="83">
        <f>C64</f>
        <v>5</v>
      </c>
      <c r="H64" s="83">
        <f>F64*G64</f>
        <v>61.25</v>
      </c>
      <c r="I64" s="84" t="str">
        <f>CONCATENATE("a'(",C64,")=")</f>
        <v>a'(5)=</v>
      </c>
      <c r="J64" s="84">
        <f>2*J62/3*F65</f>
        <v>88.2</v>
      </c>
      <c r="K64" s="84" t="str">
        <f>CONCATENATE("A(",C62,")=")</f>
        <v>A(3)=</v>
      </c>
      <c r="L64" s="84">
        <f>VLOOKUP(C62,STN_TABLE,3,FALSE)</f>
        <v>121.518</v>
      </c>
      <c r="M64" t="str">
        <f>CONCATENATE("A(",C64,")=")</f>
        <v>A(5)=</v>
      </c>
      <c r="N64">
        <f>J64+L64</f>
        <v>209.71800000000002</v>
      </c>
      <c r="O64" s="99">
        <f>O63+1</f>
        <v>9</v>
      </c>
      <c r="P64" s="99">
        <f t="shared" si="10"/>
        <v>5.6111111111111107</v>
      </c>
      <c r="Q64" s="82">
        <f>IF(P64-P63=P63-P62,P64,IF(P65-P63=P63-P62,P65,IF(P64-P63=P63-P61,P64,IF(P65-P63=P63-P61,P65,"-"))))</f>
        <v>6</v>
      </c>
      <c r="R64" s="83">
        <f>VLOOKUP(Q64,STN_TABLE,2,FALSE)</f>
        <v>12.25</v>
      </c>
      <c r="S64" s="83">
        <v>-1</v>
      </c>
      <c r="T64" s="82">
        <f>R64*S64</f>
        <v>-12.25</v>
      </c>
      <c r="U64" s="88">
        <v>-1</v>
      </c>
      <c r="V64" s="82">
        <f>R64*U64</f>
        <v>-12.25</v>
      </c>
      <c r="W64" s="84" t="str">
        <f>CONCATENATE("a'(",Q63,")=")</f>
        <v>a'(5)=</v>
      </c>
      <c r="X64" s="84">
        <f>2*X62/12*T65</f>
        <v>44.1</v>
      </c>
      <c r="Y64" s="84" t="str">
        <f>CONCATENATE("A(",Q62,")=")</f>
        <v>A(4)=</v>
      </c>
      <c r="Z64" s="84">
        <f>VLOOKUP(Q62,STN_TABLE,3,FALSE)</f>
        <v>165.52800000000002</v>
      </c>
      <c r="AA64" t="str">
        <f>CONCATENATE("A(",Q63,")=")</f>
        <v>A(5)=</v>
      </c>
      <c r="AB64">
        <f>X64+Z64</f>
        <v>209.62800000000001</v>
      </c>
      <c r="AC64" s="99">
        <f>AC63+1</f>
        <v>8</v>
      </c>
      <c r="AD64" s="100">
        <f>VLOOKUP(AC64,STN_TABLE_2,2,FALSE)</f>
        <v>5</v>
      </c>
      <c r="AE64" s="82">
        <f>VLOOKUP(AD64,STN_TABLE,2,FALSE)</f>
        <v>12.25</v>
      </c>
      <c r="AF64" s="82">
        <v>2</v>
      </c>
      <c r="AG64" s="83">
        <f>AE64*AF64</f>
        <v>24.5</v>
      </c>
      <c r="AH64" s="84" t="str">
        <f>CONCATENATE("a'(",AD64,")=")</f>
        <v>a'(5)=</v>
      </c>
      <c r="AI64" s="84">
        <f>2*AI62/2*AE65</f>
        <v>44.1</v>
      </c>
      <c r="AJ64" s="84" t="str">
        <f>CONCATENATE("A(",AD63,")=")</f>
        <v>A(4)=</v>
      </c>
      <c r="AK64" s="84">
        <f>VLOOKUP(AD63,STN_TABLE,3,FALSE)</f>
        <v>165.52800000000002</v>
      </c>
      <c r="AL64" t="str">
        <f>CONCATENATE("A(",AD64,")=")</f>
        <v>A(5)=</v>
      </c>
      <c r="AM64">
        <f>AI64+AK64</f>
        <v>209.62800000000001</v>
      </c>
      <c r="AO64" s="68" t="str">
        <f>AA64</f>
        <v>A(5)=</v>
      </c>
      <c r="AP64" s="68" t="e">
        <f>VLOOKUP(AO64,Rise_Results,2,FALSE)</f>
        <v>#N/A</v>
      </c>
      <c r="AQ64" s="76">
        <f>N64</f>
        <v>209.71800000000002</v>
      </c>
      <c r="AR64" s="76">
        <f>IF(OR(AB64&lt;=0,AB65&lt;=0),1/0,AB64)</f>
        <v>209.62800000000001</v>
      </c>
      <c r="AS64" s="76">
        <f>AM64</f>
        <v>209.62800000000001</v>
      </c>
      <c r="AT64">
        <f>IFERROR(AP64,IFERROR(AQ64,IFERROR(AR64,AS64)))</f>
        <v>209.71800000000002</v>
      </c>
      <c r="AU64" s="81"/>
    </row>
    <row r="65" spans="1:47" x14ac:dyDescent="0.25">
      <c r="A65" s="84">
        <f>A64+1</f>
        <v>8</v>
      </c>
      <c r="B65" s="84">
        <f t="shared" si="11"/>
        <v>5</v>
      </c>
      <c r="F65" s="82">
        <f>SUM(F62:F64)</f>
        <v>73.5</v>
      </c>
      <c r="H65" s="82">
        <f>SUM(H62:H64)</f>
        <v>294</v>
      </c>
      <c r="I65" s="84" t="str">
        <f>CONCATENATE("m'(",C64,")=")</f>
        <v>m'(5)=</v>
      </c>
      <c r="J65" s="84">
        <f>2*(J62*(WLS))/3*H65</f>
        <v>635.04000000000008</v>
      </c>
      <c r="K65" s="84" t="str">
        <f>CONCATENATE("M(",C62,")=")</f>
        <v>M(3)=</v>
      </c>
      <c r="L65" s="84">
        <f>VLOOKUP(C62,STN_TABLE,4,FALSE)</f>
        <v>348.57</v>
      </c>
      <c r="M65" t="str">
        <f>CONCATENATE("M(",C64,")=")</f>
        <v>M(5)=</v>
      </c>
      <c r="N65">
        <f>J65+L65</f>
        <v>983.61000000000013</v>
      </c>
      <c r="O65" s="99">
        <f>O64+1</f>
        <v>10</v>
      </c>
      <c r="P65" s="99">
        <f t="shared" si="10"/>
        <v>6</v>
      </c>
      <c r="T65" s="89">
        <f>SUM(T62:T64)</f>
        <v>147</v>
      </c>
      <c r="V65" s="82">
        <f>SUM(V62:V64)</f>
        <v>147</v>
      </c>
      <c r="W65" s="84" t="str">
        <f>CONCATENATE("m'(",Q63,")=")</f>
        <v>m'(5)=</v>
      </c>
      <c r="X65" s="84">
        <f>(2*(X62^2)/24*V65)+(X64*Q62*WLS)</f>
        <v>357.21000000000004</v>
      </c>
      <c r="Y65" s="84" t="str">
        <f>CONCATENATE("M(",Q62,")=")</f>
        <v>M(4)=</v>
      </c>
      <c r="Z65" s="84">
        <f>VLOOKUP(Q62,STN_TABLE,4,FALSE)</f>
        <v>625.86000000000013</v>
      </c>
      <c r="AA65" t="str">
        <f>CONCATENATE("M(",Q63,")=")</f>
        <v>M(5)=</v>
      </c>
      <c r="AB65">
        <f>X65+Z65</f>
        <v>983.07000000000016</v>
      </c>
      <c r="AE65" s="89">
        <f>SUM(AE63:AE64)</f>
        <v>24.5</v>
      </c>
      <c r="AG65" s="89">
        <f>SUM(AG63:AG64)</f>
        <v>36.75</v>
      </c>
      <c r="AH65" s="84" t="str">
        <f>CONCATENATE("m'(",AD64,")=")</f>
        <v>m'(5)=</v>
      </c>
      <c r="AI65" s="84">
        <f>(2*(AI62^2)/6*AG65)+(AI64*AD63*WLS)</f>
        <v>357.21000000000004</v>
      </c>
      <c r="AJ65" s="84" t="str">
        <f>CONCATENATE("M(",AD63,")=")</f>
        <v>M(4)=</v>
      </c>
      <c r="AK65" s="84">
        <f>VLOOKUP(AD63,STN_TABLE,4,FALSE)</f>
        <v>625.86000000000013</v>
      </c>
      <c r="AL65" t="str">
        <f>CONCATENATE("M(",AD64,")=")</f>
        <v>M(5)=</v>
      </c>
      <c r="AM65">
        <f>AI65+AK65</f>
        <v>983.07000000000016</v>
      </c>
      <c r="AO65" s="82" t="str">
        <f>AA65</f>
        <v>M(5)=</v>
      </c>
      <c r="AP65" s="82" t="e">
        <f>VLOOKUP(AO65,Rise_Results,2,FALSE)</f>
        <v>#N/A</v>
      </c>
      <c r="AQ65" s="82">
        <f>N65</f>
        <v>983.61000000000013</v>
      </c>
      <c r="AR65" s="82">
        <f>IF(OR(AB64&lt;=0,AB65&lt;=0),1/0,AB65)</f>
        <v>983.07000000000016</v>
      </c>
      <c r="AS65" s="82">
        <f>AM65</f>
        <v>983.07000000000016</v>
      </c>
      <c r="AT65">
        <f>IFERROR(AP65,IFERROR(AQ65,IFERROR(AR65,AS65)))</f>
        <v>983.61000000000013</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12.25</v>
      </c>
      <c r="S68" s="77">
        <v>8</v>
      </c>
      <c r="T68" s="76">
        <f>R68*S68</f>
        <v>98</v>
      </c>
      <c r="U68" s="80">
        <v>10</v>
      </c>
      <c r="V68" s="76">
        <f>R68*U68</f>
        <v>122.5</v>
      </c>
      <c r="W68" s="513" t="s">
        <v>97</v>
      </c>
      <c r="X68" s="513"/>
      <c r="Y68" s="513" t="s">
        <v>98</v>
      </c>
      <c r="Z68" s="513"/>
      <c r="AA68" s="511" t="s">
        <v>99</v>
      </c>
      <c r="AB68" s="511"/>
      <c r="AC68" s="99">
        <f>AC63+1</f>
        <v>8</v>
      </c>
      <c r="AD68" s="95">
        <f>VLOOKUP(AC68,STN_TABLE_2,2,FALSE)</f>
        <v>5</v>
      </c>
      <c r="AE68" s="68">
        <f>VLOOKUP(AD68,STN_TABLE,2,FALSE)</f>
        <v>12.25</v>
      </c>
      <c r="AF68" s="68">
        <v>1</v>
      </c>
      <c r="AG68" s="69">
        <f>AE68*AF68</f>
        <v>12.25</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12.25</v>
      </c>
      <c r="E69" s="92">
        <v>1</v>
      </c>
      <c r="F69" s="82">
        <f>D69*E69</f>
        <v>12.25</v>
      </c>
      <c r="G69" s="83">
        <f>C69</f>
        <v>5.6111111111111107</v>
      </c>
      <c r="H69" s="83">
        <f>F69*G69</f>
        <v>68.7361111111111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12.25</v>
      </c>
      <c r="AF69" s="82">
        <v>2</v>
      </c>
      <c r="AG69" s="83">
        <f>AE69*AF69</f>
        <v>24.5</v>
      </c>
      <c r="AH69" s="84" t="str">
        <f>CONCATENATE("a'(",AD69,")=")</f>
        <v>a'(5.61111111111111)=</v>
      </c>
      <c r="AI69" s="84">
        <f>2*AI67/2*AE70</f>
        <v>26.949999999999985</v>
      </c>
      <c r="AJ69" s="84" t="str">
        <f>CONCATENATE("A(",AD68,")=")</f>
        <v>A(5)=</v>
      </c>
      <c r="AK69" s="84">
        <f>VLOOKUP(AD68,STN_TABLE,3,FALSE)</f>
        <v>209.71800000000002</v>
      </c>
      <c r="AL69" t="str">
        <f>CONCATENATE("A(",AD69,")=")</f>
        <v>A(5.61111111111111)=</v>
      </c>
      <c r="AM69">
        <f>AI69+AK69</f>
        <v>236.66800000000001</v>
      </c>
      <c r="AO69" s="68" t="str">
        <f>AA69</f>
        <v>A(5.61111111111111)=</v>
      </c>
      <c r="AP69" s="68" t="e">
        <f>VLOOKUP(AO69,Rise_Results,2,FALSE)</f>
        <v>#N/A</v>
      </c>
      <c r="AQ69" s="76" t="e">
        <f>N69</f>
        <v>#N/A</v>
      </c>
      <c r="AR69" s="76" t="e">
        <f>IF(OR(AB69&lt;=0,AB70&lt;=0),1/0,AB69)</f>
        <v>#VALUE!</v>
      </c>
      <c r="AS69" s="76">
        <f>AM69</f>
        <v>236.66800000000001</v>
      </c>
      <c r="AT69">
        <f>IFERROR(AP69,IFERROR(AQ69,IFERROR(AR69,AS69)))</f>
        <v>236.66800000000001</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24.5</v>
      </c>
      <c r="AG70" s="89">
        <f>SUM(AG68:AG69)</f>
        <v>36.75</v>
      </c>
      <c r="AH70" s="84" t="str">
        <f>CONCATENATE("m'(",AD69,")=")</f>
        <v>m'(5.61111111111111)=</v>
      </c>
      <c r="AI70" s="84">
        <f>(2*(AI67^2)/6*AG70)+(AI69*AD68*WLS)</f>
        <v>257.37249999999983</v>
      </c>
      <c r="AJ70" s="84" t="str">
        <f>CONCATENATE("M(",AD68,")=")</f>
        <v>M(5)=</v>
      </c>
      <c r="AK70" s="84">
        <f>VLOOKUP(AD68,STN_TABLE,4,FALSE)</f>
        <v>983.61000000000013</v>
      </c>
      <c r="AL70" t="str">
        <f>CONCATENATE("M(",AD69,")=")</f>
        <v>M(5.61111111111111)=</v>
      </c>
      <c r="AM70">
        <f>AI70+AK70</f>
        <v>1240.9825000000001</v>
      </c>
      <c r="AO70" s="82" t="str">
        <f>AA70</f>
        <v>M(5.61111111111111)=</v>
      </c>
      <c r="AP70" s="82" t="e">
        <f>VLOOKUP(AO70,Rise_Results,2,FALSE)</f>
        <v>#N/A</v>
      </c>
      <c r="AQ70" s="82" t="e">
        <f>N70</f>
        <v>#N/A</v>
      </c>
      <c r="AR70" s="82" t="e">
        <f>IF(OR(AB69&lt;=0,AB70&lt;=0),1/0,AB70)</f>
        <v>#VALUE!</v>
      </c>
      <c r="AS70" s="82">
        <f>AM70</f>
        <v>1240.9825000000001</v>
      </c>
      <c r="AT70">
        <f>IFERROR(AP70,IFERROR(AQ70,IFERROR(AR70,AS70)))</f>
        <v>1240.9825000000001</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12.25</v>
      </c>
      <c r="E72" s="102">
        <v>1</v>
      </c>
      <c r="F72" s="68">
        <f>D72*E72</f>
        <v>12.25</v>
      </c>
      <c r="G72" s="69">
        <f>C72</f>
        <v>4</v>
      </c>
      <c r="H72" s="69">
        <f>F72*G72</f>
        <v>49</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12.25</v>
      </c>
      <c r="S72" s="69">
        <v>5</v>
      </c>
      <c r="T72" s="68">
        <f>R72*S72</f>
        <v>61.25</v>
      </c>
      <c r="U72" s="79">
        <v>3</v>
      </c>
      <c r="V72" s="68">
        <f>R72*U72</f>
        <v>36.75</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12.25</v>
      </c>
      <c r="E73" s="81">
        <v>4</v>
      </c>
      <c r="F73" s="76">
        <f>D73*E73</f>
        <v>49</v>
      </c>
      <c r="G73" s="77">
        <f>C73</f>
        <v>5</v>
      </c>
      <c r="H73" s="77">
        <f>F73*G73</f>
        <v>245</v>
      </c>
      <c r="I73" s="512" t="s">
        <v>97</v>
      </c>
      <c r="J73" s="513"/>
      <c r="K73" s="78" t="s">
        <v>98</v>
      </c>
      <c r="L73" s="78"/>
      <c r="M73" s="7" t="s">
        <v>99</v>
      </c>
      <c r="N73" s="7"/>
      <c r="O73" s="99">
        <f>O72+1</f>
        <v>10</v>
      </c>
      <c r="P73" s="99">
        <f t="shared" si="23"/>
        <v>6</v>
      </c>
      <c r="Q73" s="76">
        <f>P73</f>
        <v>6</v>
      </c>
      <c r="R73" s="77">
        <f>VLOOKUP(Q73,STN_TABLE,2,FALSE)</f>
        <v>12.25</v>
      </c>
      <c r="S73" s="77">
        <v>8</v>
      </c>
      <c r="T73" s="76">
        <f>R73*S73</f>
        <v>98</v>
      </c>
      <c r="U73" s="80">
        <v>10</v>
      </c>
      <c r="V73" s="76">
        <f>R73*U73</f>
        <v>122.5</v>
      </c>
      <c r="W73" s="513" t="s">
        <v>97</v>
      </c>
      <c r="X73" s="513"/>
      <c r="Y73" s="513" t="s">
        <v>98</v>
      </c>
      <c r="Z73" s="513"/>
      <c r="AA73" s="511" t="s">
        <v>99</v>
      </c>
      <c r="AB73" s="511"/>
      <c r="AC73" s="99">
        <f>AC68+1</f>
        <v>9</v>
      </c>
      <c r="AD73" s="95">
        <f>VLOOKUP(AC73,STN_TABLE_2,2,FALSE)</f>
        <v>5.6111111111111107</v>
      </c>
      <c r="AE73" s="68">
        <f>VLOOKUP(AD73,STN_TABLE,2,FALSE)</f>
        <v>12.25</v>
      </c>
      <c r="AF73" s="68">
        <v>1</v>
      </c>
      <c r="AG73" s="69">
        <f>AE73*AF73</f>
        <v>12.25</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12.25</v>
      </c>
      <c r="E74" s="92">
        <v>1</v>
      </c>
      <c r="F74" s="82">
        <f>D74*E74</f>
        <v>12.25</v>
      </c>
      <c r="G74" s="83">
        <f>C74</f>
        <v>6</v>
      </c>
      <c r="H74" s="83">
        <f>F74*G74</f>
        <v>73.5</v>
      </c>
      <c r="I74" s="84" t="str">
        <f>CONCATENATE("a'(",C74,")=")</f>
        <v>a'(6)=</v>
      </c>
      <c r="J74" s="84">
        <f>2*J72/3*F75</f>
        <v>88.2</v>
      </c>
      <c r="K74" s="84" t="str">
        <f>CONCATENATE("A(",C72,")=")</f>
        <v>A(4)=</v>
      </c>
      <c r="L74" s="84">
        <f>VLOOKUP(C72,STN_TABLE,3,FALSE)</f>
        <v>165.52800000000002</v>
      </c>
      <c r="M74" t="str">
        <f>CONCATENATE("A(",C74,")=")</f>
        <v>A(6)=</v>
      </c>
      <c r="N74">
        <f>J74+L74</f>
        <v>253.72800000000001</v>
      </c>
      <c r="O74" s="99">
        <f>O73+1</f>
        <v>11</v>
      </c>
      <c r="P74" s="99">
        <f t="shared" si="23"/>
        <v>7</v>
      </c>
      <c r="Q74" s="82">
        <f>IF(P74-P73=P73-P72,P74,IF(P75-P73=P73-P72,P75,IF(P74-P73=P73-P71,P74,IF(P75-P73=P73-P71,P75,"-"))))</f>
        <v>7</v>
      </c>
      <c r="R74" s="83">
        <f>VLOOKUP(Q74,STN_TABLE,2,FALSE)</f>
        <v>12.25</v>
      </c>
      <c r="S74" s="83">
        <v>-1</v>
      </c>
      <c r="T74" s="82">
        <f>R74*S74</f>
        <v>-12.25</v>
      </c>
      <c r="U74" s="88">
        <v>-1</v>
      </c>
      <c r="V74" s="82">
        <f>R74*U74</f>
        <v>-12.25</v>
      </c>
      <c r="W74" s="84" t="str">
        <f>CONCATENATE("a'(",Q73,")=")</f>
        <v>a'(6)=</v>
      </c>
      <c r="X74" s="84">
        <f>2*X72/12*T75</f>
        <v>44.1</v>
      </c>
      <c r="Y74" s="84" t="str">
        <f>CONCATENATE("A(",Q72,")=")</f>
        <v>A(5)=</v>
      </c>
      <c r="Z74" s="84">
        <f>VLOOKUP(Q72,STN_TABLE,3,FALSE)</f>
        <v>209.71800000000002</v>
      </c>
      <c r="AA74" t="str">
        <f>CONCATENATE("A(",Q73,")=")</f>
        <v>A(6)=</v>
      </c>
      <c r="AB74">
        <f>X74+Z74</f>
        <v>253.81800000000001</v>
      </c>
      <c r="AC74" s="99">
        <f>AC73+1</f>
        <v>10</v>
      </c>
      <c r="AD74" s="100">
        <f>VLOOKUP(AC74,STN_TABLE_2,2,FALSE)</f>
        <v>6</v>
      </c>
      <c r="AE74" s="82">
        <f>VLOOKUP(AD74,STN_TABLE,2,FALSE)</f>
        <v>12.25</v>
      </c>
      <c r="AF74" s="82">
        <v>2</v>
      </c>
      <c r="AG74" s="83">
        <f>AE74*AF74</f>
        <v>24.5</v>
      </c>
      <c r="AH74" s="84" t="str">
        <f>CONCATENATE("a'(",AD74,")=")</f>
        <v>a'(6)=</v>
      </c>
      <c r="AI74" s="84">
        <f>2*AI72/2*AE75</f>
        <v>17.150000000000016</v>
      </c>
      <c r="AJ74" s="84" t="str">
        <f>CONCATENATE("A(",AD73,")=")</f>
        <v>A(5.61111111111111)=</v>
      </c>
      <c r="AK74" s="84">
        <f>VLOOKUP(AD73,STN_TABLE,3,FALSE)</f>
        <v>236.66800000000001</v>
      </c>
      <c r="AL74" t="str">
        <f>CONCATENATE("A(",AD74,")=")</f>
        <v>A(6)=</v>
      </c>
      <c r="AM74">
        <f>AI74+AK74</f>
        <v>253.81800000000001</v>
      </c>
      <c r="AO74" s="68" t="str">
        <f>AA74</f>
        <v>A(6)=</v>
      </c>
      <c r="AP74" s="68" t="e">
        <f>VLOOKUP(AO74,Rise_Results,2,FALSE)</f>
        <v>#N/A</v>
      </c>
      <c r="AQ74" s="76">
        <f>N74</f>
        <v>253.72800000000001</v>
      </c>
      <c r="AR74" s="76">
        <f>IF(OR(AB74&lt;=0,AB75&lt;=0),1/0,AB74)</f>
        <v>253.81800000000001</v>
      </c>
      <c r="AS74" s="76">
        <f>AM74</f>
        <v>253.81800000000001</v>
      </c>
      <c r="AT74">
        <f>IFERROR(AP74,IFERROR(AQ74,IFERROR(AR74,AS74)))</f>
        <v>253.72800000000001</v>
      </c>
      <c r="AU74" s="81"/>
    </row>
    <row r="75" spans="1:47" x14ac:dyDescent="0.25">
      <c r="A75" s="84">
        <f>A74+1</f>
        <v>10</v>
      </c>
      <c r="B75" s="84">
        <f t="shared" si="27"/>
        <v>6</v>
      </c>
      <c r="F75" s="82">
        <f>SUM(F72:F74)</f>
        <v>73.5</v>
      </c>
      <c r="H75" s="82">
        <f>SUM(H72:H74)</f>
        <v>367.5</v>
      </c>
      <c r="I75" s="84" t="str">
        <f>CONCATENATE("m'(",C74,")=")</f>
        <v>m'(6)=</v>
      </c>
      <c r="J75" s="84">
        <f>2*(J72*(WLS))/3*H75</f>
        <v>793.80000000000007</v>
      </c>
      <c r="K75" s="84" t="str">
        <f>CONCATENATE("M(",C72,")=")</f>
        <v>M(4)=</v>
      </c>
      <c r="L75" s="84">
        <f>VLOOKUP(C72,STN_TABLE,4,FALSE)</f>
        <v>625.86000000000013</v>
      </c>
      <c r="M75" t="str">
        <f>CONCATENATE("M(",C74,")=")</f>
        <v>M(6)=</v>
      </c>
      <c r="N75">
        <f>J75+L75</f>
        <v>1419.6600000000003</v>
      </c>
      <c r="O75" s="99">
        <f>O74+1</f>
        <v>12</v>
      </c>
      <c r="P75" s="99">
        <f t="shared" si="23"/>
        <v>7.8833333333333329</v>
      </c>
      <c r="T75" s="89">
        <f>SUM(T72:T74)</f>
        <v>147</v>
      </c>
      <c r="V75" s="82">
        <f>SUM(V72:V74)</f>
        <v>147</v>
      </c>
      <c r="W75" s="84" t="str">
        <f>CONCATENATE("m'(",Q73,")=")</f>
        <v>m'(6)=</v>
      </c>
      <c r="X75" s="84">
        <f>(2*(X72^2)/24*V75)+(X74*Q72*WLS)</f>
        <v>436.59000000000003</v>
      </c>
      <c r="Y75" s="84" t="str">
        <f>CONCATENATE("M(",Q72,")=")</f>
        <v>M(5)=</v>
      </c>
      <c r="Z75" s="84">
        <f>VLOOKUP(Q72,STN_TABLE,4,FALSE)</f>
        <v>983.61000000000013</v>
      </c>
      <c r="AA75" t="str">
        <f>CONCATENATE("M(",Q73,")=")</f>
        <v>M(6)=</v>
      </c>
      <c r="AB75">
        <f>X75+Z75</f>
        <v>1420.2000000000003</v>
      </c>
      <c r="AE75" s="89">
        <f>SUM(AE73:AE74)</f>
        <v>24.5</v>
      </c>
      <c r="AG75" s="89">
        <f>SUM(AG73:AG74)</f>
        <v>36.75</v>
      </c>
      <c r="AH75" s="84" t="str">
        <f>CONCATENATE("m'(",AD74,")=")</f>
        <v>m'(6)=</v>
      </c>
      <c r="AI75" s="84">
        <f>(2*(AI72^2)/6*AG75)+(AI74*AD73*WLS)</f>
        <v>179.21750000000017</v>
      </c>
      <c r="AJ75" s="84" t="str">
        <f>CONCATENATE("M(",AD73,")=")</f>
        <v>M(5.61111111111111)=</v>
      </c>
      <c r="AK75" s="84">
        <f>VLOOKUP(AD73,STN_TABLE,4,FALSE)</f>
        <v>1240.9825000000001</v>
      </c>
      <c r="AL75" t="str">
        <f>CONCATENATE("M(",AD74,")=")</f>
        <v>M(6)=</v>
      </c>
      <c r="AM75">
        <f>AI75+AK75</f>
        <v>1420.2000000000003</v>
      </c>
      <c r="AO75" s="82" t="str">
        <f>AA75</f>
        <v>M(6)=</v>
      </c>
      <c r="AP75" s="82" t="e">
        <f>VLOOKUP(AO75,Rise_Results,2,FALSE)</f>
        <v>#N/A</v>
      </c>
      <c r="AQ75" s="82">
        <f>N75</f>
        <v>1419.6600000000003</v>
      </c>
      <c r="AR75" s="82">
        <f>IF(OR(AB74&lt;=0,AB75&lt;=0),1/0,AB75)</f>
        <v>1420.2000000000003</v>
      </c>
      <c r="AS75" s="82">
        <f>AM75</f>
        <v>1420.2000000000003</v>
      </c>
      <c r="AT75">
        <f>IFERROR(AP75,IFERROR(AQ75,IFERROR(AR75,AS75)))</f>
        <v>1419.6600000000003</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12.25</v>
      </c>
      <c r="E77" s="102">
        <v>1</v>
      </c>
      <c r="F77" s="68">
        <f>D77*E77</f>
        <v>12.25</v>
      </c>
      <c r="G77" s="69">
        <f>C77</f>
        <v>5</v>
      </c>
      <c r="H77" s="69">
        <f>F77*G77</f>
        <v>61.25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12.25</v>
      </c>
      <c r="E78" s="81">
        <v>4</v>
      </c>
      <c r="F78" s="76">
        <f>D78*E78</f>
        <v>49</v>
      </c>
      <c r="G78" s="77">
        <f>C78</f>
        <v>6</v>
      </c>
      <c r="H78" s="77">
        <f>F78*G78</f>
        <v>294</v>
      </c>
      <c r="I78" s="512" t="s">
        <v>97</v>
      </c>
      <c r="J78" s="513"/>
      <c r="K78" s="78" t="s">
        <v>98</v>
      </c>
      <c r="L78" s="78"/>
      <c r="M78" s="7" t="s">
        <v>99</v>
      </c>
      <c r="N78" s="7"/>
      <c r="O78" s="99">
        <f>O77+1</f>
        <v>11</v>
      </c>
      <c r="P78" s="99">
        <f t="shared" si="23"/>
        <v>7</v>
      </c>
      <c r="Q78" s="76">
        <f>P78</f>
        <v>7</v>
      </c>
      <c r="R78" s="77">
        <f>VLOOKUP(Q78,STN_TABLE,2,FALSE)</f>
        <v>12.25</v>
      </c>
      <c r="S78" s="77">
        <v>8</v>
      </c>
      <c r="T78" s="76">
        <f>R78*S78</f>
        <v>98</v>
      </c>
      <c r="U78" s="80">
        <v>10</v>
      </c>
      <c r="V78" s="76">
        <f>R78*U78</f>
        <v>122.5</v>
      </c>
      <c r="W78" s="513" t="s">
        <v>97</v>
      </c>
      <c r="X78" s="513"/>
      <c r="Y78" s="513" t="s">
        <v>98</v>
      </c>
      <c r="Z78" s="513"/>
      <c r="AA78" s="511" t="s">
        <v>99</v>
      </c>
      <c r="AB78" s="511"/>
      <c r="AC78" s="99">
        <f>AC73+1</f>
        <v>10</v>
      </c>
      <c r="AD78" s="95">
        <f>VLOOKUP(AC78,STN_TABLE_2,2,FALSE)</f>
        <v>6</v>
      </c>
      <c r="AE78" s="68">
        <f>VLOOKUP(AD78,STN_TABLE,2,FALSE)</f>
        <v>12.25</v>
      </c>
      <c r="AF78" s="68">
        <v>1</v>
      </c>
      <c r="AG78" s="69">
        <f>AE78*AF78</f>
        <v>12.25</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12.25</v>
      </c>
      <c r="E79" s="92">
        <v>1</v>
      </c>
      <c r="F79" s="82">
        <f>D79*E79</f>
        <v>12.25</v>
      </c>
      <c r="G79" s="83">
        <f>C79</f>
        <v>7</v>
      </c>
      <c r="H79" s="83">
        <f>F79*G79</f>
        <v>85.75</v>
      </c>
      <c r="I79" s="84" t="str">
        <f>CONCATENATE("a'(",C79,")=")</f>
        <v>a'(7)=</v>
      </c>
      <c r="J79" s="84">
        <f>2*J77/3*F80</f>
        <v>88.2</v>
      </c>
      <c r="K79" s="84" t="str">
        <f>CONCATENATE("A(",C77,")=")</f>
        <v>A(5)=</v>
      </c>
      <c r="L79" s="84">
        <f>VLOOKUP(C77,STN_TABLE,3,FALSE)</f>
        <v>209.71800000000002</v>
      </c>
      <c r="M79" t="str">
        <f>CONCATENATE("A(",C79,")=")</f>
        <v>A(7)=</v>
      </c>
      <c r="N79">
        <f>J79+L79</f>
        <v>297.91800000000001</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12.25</v>
      </c>
      <c r="AF79" s="82">
        <v>2</v>
      </c>
      <c r="AG79" s="83">
        <f>AE79*AF79</f>
        <v>24.5</v>
      </c>
      <c r="AH79" s="84" t="str">
        <f>CONCATENATE("a'(",AD79,")=")</f>
        <v>a'(7)=</v>
      </c>
      <c r="AI79" s="84">
        <f>2*AI77/2*AE80</f>
        <v>44.1</v>
      </c>
      <c r="AJ79" s="84" t="str">
        <f>CONCATENATE("A(",AD78,")=")</f>
        <v>A(6)=</v>
      </c>
      <c r="AK79" s="84">
        <f>VLOOKUP(AD78,STN_TABLE,3,FALSE)</f>
        <v>253.72800000000001</v>
      </c>
      <c r="AL79" t="str">
        <f>CONCATENATE("A(",AD79,")=")</f>
        <v>A(7)=</v>
      </c>
      <c r="AM79">
        <f>AI79+AK79</f>
        <v>297.82800000000003</v>
      </c>
      <c r="AO79" s="68" t="str">
        <f>AA79</f>
        <v>A(7)=</v>
      </c>
      <c r="AP79" s="68" t="e">
        <f>VLOOKUP(AO79,Rise_Results,2,FALSE)</f>
        <v>#N/A</v>
      </c>
      <c r="AQ79" s="76">
        <f>N79</f>
        <v>297.91800000000001</v>
      </c>
      <c r="AR79" s="76" t="e">
        <f>IF(OR(AB79&lt;=0,AB80&lt;=0),1/0,AB79)</f>
        <v>#VALUE!</v>
      </c>
      <c r="AS79" s="76">
        <f>AM79</f>
        <v>297.82800000000003</v>
      </c>
      <c r="AT79">
        <f>IFERROR(AP79,IFERROR(AQ79,IFERROR(AR79,AS79)))</f>
        <v>297.91800000000001</v>
      </c>
      <c r="AU79" s="81"/>
    </row>
    <row r="80" spans="1:47" x14ac:dyDescent="0.25">
      <c r="A80" s="84">
        <f>A79+1</f>
        <v>11</v>
      </c>
      <c r="B80" s="84">
        <f t="shared" si="27"/>
        <v>7</v>
      </c>
      <c r="F80" s="82">
        <f>SUM(F77:F79)</f>
        <v>73.5</v>
      </c>
      <c r="H80" s="82">
        <f>SUM(H77:H79)</f>
        <v>441</v>
      </c>
      <c r="I80" s="84" t="str">
        <f>CONCATENATE("m'(",C79,")=")</f>
        <v>m'(7)=</v>
      </c>
      <c r="J80" s="84">
        <f>2*(J77*(WLS))/3*H80</f>
        <v>952.56000000000006</v>
      </c>
      <c r="K80" s="84" t="str">
        <f>CONCATENATE("M(",C77,")=")</f>
        <v>M(5)=</v>
      </c>
      <c r="L80" s="84">
        <f>VLOOKUP(C77,STN_TABLE,4,FALSE)</f>
        <v>983.61000000000013</v>
      </c>
      <c r="M80" t="str">
        <f>CONCATENATE("M(",C79,")=")</f>
        <v>M(7)=</v>
      </c>
      <c r="N80">
        <f>J80+L80</f>
        <v>1936.17</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24.5</v>
      </c>
      <c r="AG80" s="89">
        <f>SUM(AG78:AG79)</f>
        <v>36.75</v>
      </c>
      <c r="AH80" s="84" t="str">
        <f>CONCATENATE("m'(",AD79,")=")</f>
        <v>m'(7)=</v>
      </c>
      <c r="AI80" s="84">
        <f>(2*(AI77^2)/6*AG80)+(AI79*AD78*WLS)</f>
        <v>515.97</v>
      </c>
      <c r="AJ80" s="84" t="str">
        <f>CONCATENATE("M(",AD78,")=")</f>
        <v>M(6)=</v>
      </c>
      <c r="AK80" s="84">
        <f>VLOOKUP(AD78,STN_TABLE,4,FALSE)</f>
        <v>1419.6600000000003</v>
      </c>
      <c r="AL80" t="str">
        <f>CONCATENATE("M(",AD79,")=")</f>
        <v>M(7)=</v>
      </c>
      <c r="AM80">
        <f>AI80+AK80</f>
        <v>1935.6300000000003</v>
      </c>
      <c r="AO80" s="82" t="str">
        <f>AA80</f>
        <v>M(7)=</v>
      </c>
      <c r="AP80" s="82" t="e">
        <f>VLOOKUP(AO80,Rise_Results,2,FALSE)</f>
        <v>#N/A</v>
      </c>
      <c r="AQ80" s="82">
        <f>N80</f>
        <v>1936.17</v>
      </c>
      <c r="AR80" s="82" t="e">
        <f>IF(OR(AB79&lt;=0,AB80&lt;=0),1/0,AB80)</f>
        <v>#VALUE!</v>
      </c>
      <c r="AS80" s="82">
        <f>AM80</f>
        <v>1935.6300000000003</v>
      </c>
      <c r="AT80">
        <f>IFERROR(AP80,IFERROR(AQ80,IFERROR(AR80,AS80)))</f>
        <v>1936.17</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12.25</v>
      </c>
      <c r="AF83" s="68">
        <v>1</v>
      </c>
      <c r="AG83" s="69">
        <f>AE83*AF83</f>
        <v>12.25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38.954999999999977</v>
      </c>
      <c r="AJ84" s="84" t="str">
        <f>CONCATENATE("A(",AD83,")=")</f>
        <v>A(7)=</v>
      </c>
      <c r="AK84" s="84">
        <f>VLOOKUP(AD83,STN_TABLE,3,FALSE)</f>
        <v>297.91800000000001</v>
      </c>
      <c r="AL84" t="str">
        <f>CONCATENATE("A(",AD84,")=")</f>
        <v>A(7.88333333333333)=</v>
      </c>
      <c r="AM84">
        <f>AI84+AK84</f>
        <v>336.87299999999999</v>
      </c>
      <c r="AO84" s="68" t="str">
        <f>AA84</f>
        <v>A(7.88333333333333)=</v>
      </c>
      <c r="AP84" s="68" t="e">
        <f>VLOOKUP(AO84,Rise_Results,2,FALSE)</f>
        <v>#N/A</v>
      </c>
      <c r="AQ84" s="76" t="e">
        <f>N84</f>
        <v>#N/A</v>
      </c>
      <c r="AR84" s="76" t="e">
        <f>IF(OR(AB84&lt;=0,AB85&lt;=0),1/0,AB84)</f>
        <v>#VALUE!</v>
      </c>
      <c r="AS84" s="76">
        <f>AM84</f>
        <v>336.87299999999999</v>
      </c>
      <c r="AT84">
        <f>IFERROR(AP84,IFERROR(AQ84,IFERROR(AR84,AS84)))</f>
        <v>336.87299999999999</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24.5</v>
      </c>
      <c r="AG85" s="89">
        <f>SUM(AG83:AG84)</f>
        <v>36.75</v>
      </c>
      <c r="AH85" s="84" t="str">
        <f>CONCATENATE("m'(",AD84,")=")</f>
        <v>m'(7.88333333333333)=</v>
      </c>
      <c r="AI85" s="84">
        <f>(2*(AI82^2)/6*AG85)+(AI84*AD83*WLS)</f>
        <v>521.80222499999968</v>
      </c>
      <c r="AJ85" s="84" t="str">
        <f>CONCATENATE("M(",AD83,")=")</f>
        <v>M(7)=</v>
      </c>
      <c r="AK85" s="84">
        <f>VLOOKUP(AD83,STN_TABLE,4,FALSE)</f>
        <v>1936.17</v>
      </c>
      <c r="AL85" t="str">
        <f>CONCATENATE("M(",AD84,")=")</f>
        <v>M(7.88333333333333)=</v>
      </c>
      <c r="AM85">
        <f>AI85+AK85</f>
        <v>2457.9722249999995</v>
      </c>
      <c r="AO85" s="82" t="str">
        <f>AA85</f>
        <v>M(7.88333333333333)=</v>
      </c>
      <c r="AP85" s="82" t="e">
        <f>VLOOKUP(AO85,Rise_Results,2,FALSE)</f>
        <v>#N/A</v>
      </c>
      <c r="AQ85" s="82" t="e">
        <f>N85</f>
        <v>#N/A</v>
      </c>
      <c r="AR85" s="82" t="e">
        <f>IF(OR(AB84&lt;=0,AB85&lt;=0),1/0,AB85)</f>
        <v>#VALUE!</v>
      </c>
      <c r="AS85" s="82">
        <f>AM85</f>
        <v>2457.9722249999995</v>
      </c>
      <c r="AT85">
        <f>IFERROR(AP85,IFERROR(AQ85,IFERROR(AR85,AS85)))</f>
        <v>2457.9722249999995</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336.87299999999999</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2457.9722249999995</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7</v>
      </c>
      <c r="E1" s="511" t="s">
        <v>91</v>
      </c>
      <c r="F1" s="511"/>
      <c r="G1" t="str">
        <f>VLOOKUP(Station_No,RISE_CALC,2,FALSE)</f>
        <v>-</v>
      </c>
      <c r="L1" s="511" t="s">
        <v>92</v>
      </c>
      <c r="M1" s="511"/>
      <c r="N1">
        <v>10</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3.71</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8.58</v>
      </c>
      <c r="D5" s="81">
        <f t="shared" ref="D5:D28" si="4">IFERROR(VLOOKUP(CONCATENATE("A(",B5,")="),RESULT_TABLE,6,FALSE)," ")</f>
        <v>11.539499999999999</v>
      </c>
      <c r="E5" s="77">
        <f t="shared" ref="E5:E28" si="5">IFERROR(VLOOKUP(CONCATENATE("M(",B5,")="),RESULT_TABLE,6,FALSE)," ")</f>
        <v>5.8502249999999991</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10.26</v>
      </c>
      <c r="D6" s="81">
        <f t="shared" si="4"/>
        <v>28.973999999999997</v>
      </c>
      <c r="E6" s="77">
        <f t="shared" si="5"/>
        <v>29.613600000000005</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11.25</v>
      </c>
      <c r="D7" s="81">
        <f t="shared" si="4"/>
        <v>48.061499999999995</v>
      </c>
      <c r="E7" s="77">
        <f t="shared" si="5"/>
        <v>73.031624999999991</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11.86</v>
      </c>
      <c r="D8" s="81">
        <f t="shared" si="4"/>
        <v>69.245999999999995</v>
      </c>
      <c r="E8" s="77">
        <f t="shared" si="5"/>
        <v>139.21200000000002</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12.25</v>
      </c>
      <c r="D9" s="81">
        <f t="shared" si="4"/>
        <v>112.91399999999999</v>
      </c>
      <c r="E9" s="77">
        <f t="shared" si="5"/>
        <v>336.096</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12.25</v>
      </c>
      <c r="D10" s="81">
        <f t="shared" si="4"/>
        <v>156.97800000000001</v>
      </c>
      <c r="E10" s="77">
        <f t="shared" si="5"/>
        <v>613.80720000000008</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12.25</v>
      </c>
      <c r="D11" s="81">
        <f t="shared" si="4"/>
        <v>201.11399999999998</v>
      </c>
      <c r="E11" s="77">
        <f t="shared" si="5"/>
        <v>971.13600000000008</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12.25</v>
      </c>
      <c r="D12" s="81">
        <f t="shared" si="4"/>
        <v>228.06399999999996</v>
      </c>
      <c r="E12" s="77">
        <f t="shared" si="5"/>
        <v>1228.5084999999999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12.25</v>
      </c>
      <c r="D13" s="81">
        <f t="shared" si="4"/>
        <v>245.178</v>
      </c>
      <c r="E13" s="77">
        <f t="shared" si="5"/>
        <v>1407.6072000000001</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12.25</v>
      </c>
      <c r="D14" s="81">
        <f t="shared" si="4"/>
        <v>289.31399999999996</v>
      </c>
      <c r="E14" s="77">
        <f t="shared" si="5"/>
        <v>1923.6960000000001</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328.26899999999995</v>
      </c>
      <c r="E15" s="77">
        <f t="shared" si="5"/>
        <v>2445.4982249999998</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3.71</v>
      </c>
      <c r="S32" s="69">
        <v>5</v>
      </c>
      <c r="T32" s="68">
        <f>R32*S32</f>
        <v>18.55</v>
      </c>
      <c r="U32" s="79">
        <v>3</v>
      </c>
      <c r="V32" s="68">
        <f>R32*U32</f>
        <v>11.129999999999999</v>
      </c>
      <c r="W32" t="s">
        <v>93</v>
      </c>
      <c r="X32" s="70">
        <f>IF(AND(Q34-Q33=Q33-Q32,NOT(AND(Q32=0,Q33=0)),NOT(AND(Q33=0,Q34=0))),WLS*(Q34-Q33),"#NA")</f>
        <v>0.9</v>
      </c>
      <c r="AD32" s="93"/>
      <c r="AH32" s="6" t="s">
        <v>93</v>
      </c>
      <c r="AI32" s="70">
        <f>WLS*(AD34-AD33)</f>
        <v>0.9</v>
      </c>
    </row>
    <row r="33" spans="1:47" x14ac:dyDescent="0.25">
      <c r="Q33" s="76">
        <f>B5</f>
        <v>0.5</v>
      </c>
      <c r="R33" s="77">
        <f>VLOOKUP(Q33,STN_TABLE,2,FALSE)</f>
        <v>8.58</v>
      </c>
      <c r="S33" s="77">
        <v>8</v>
      </c>
      <c r="T33" s="76">
        <f>R33*S33</f>
        <v>68.64</v>
      </c>
      <c r="U33" s="80">
        <v>10</v>
      </c>
      <c r="V33" s="76">
        <f>R33*U33</f>
        <v>85.8</v>
      </c>
      <c r="W33" s="512" t="s">
        <v>97</v>
      </c>
      <c r="X33" s="513"/>
      <c r="Y33" s="513" t="s">
        <v>98</v>
      </c>
      <c r="Z33" s="513"/>
      <c r="AA33" s="511" t="s">
        <v>99</v>
      </c>
      <c r="AB33" s="511"/>
      <c r="AC33" s="94">
        <v>1</v>
      </c>
      <c r="AD33" s="95">
        <f>VLOOKUP(AC33,STN_TABLE_2,2,FALSE)</f>
        <v>0</v>
      </c>
      <c r="AE33" s="68">
        <f>VLOOKUP(AD33,STN_TABLE,2,FALSE)</f>
        <v>3.71</v>
      </c>
      <c r="AF33" s="68">
        <v>1</v>
      </c>
      <c r="AG33" s="69">
        <f>AE33*AF33</f>
        <v>3.71</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10.26</v>
      </c>
      <c r="S34" s="83">
        <v>-1</v>
      </c>
      <c r="T34" s="82">
        <f>R34*S34</f>
        <v>-10.26</v>
      </c>
      <c r="U34" s="88">
        <v>-1</v>
      </c>
      <c r="V34" s="82">
        <f>R34*U34</f>
        <v>-10.26</v>
      </c>
      <c r="W34" s="84" t="str">
        <f>CONCATENATE("a'(",Q33,")=")</f>
        <v>a'(0.5)=</v>
      </c>
      <c r="X34" s="84">
        <f>2*X32/12*T35</f>
        <v>11.539499999999999</v>
      </c>
      <c r="Y34" s="84" t="str">
        <f>CONCATENATE("A(",Q32,")=")</f>
        <v>A(0)=</v>
      </c>
      <c r="Z34" s="84">
        <f>VLOOKUP(Q32,STN_TABLE,3,FALSE)</f>
        <v>0</v>
      </c>
      <c r="AA34" t="str">
        <f>CONCATENATE("A(",Q33,")=")</f>
        <v>A(0.5)=</v>
      </c>
      <c r="AB34">
        <f>X34+Z34</f>
        <v>11.539499999999999</v>
      </c>
      <c r="AC34" s="99">
        <f>AC33+1</f>
        <v>2</v>
      </c>
      <c r="AD34" s="100">
        <f>VLOOKUP(AC34,STN_TABLE_2,2,FALSE)</f>
        <v>0.5</v>
      </c>
      <c r="AE34" s="82">
        <f>VLOOKUP(AD34,STN_TABLE,2,FALSE)</f>
        <v>8.58</v>
      </c>
      <c r="AF34" s="82">
        <v>2</v>
      </c>
      <c r="AG34" s="83">
        <f>AE34*AF34</f>
        <v>17.16</v>
      </c>
      <c r="AH34" s="84" t="str">
        <f>CONCATENATE("a'(",AD34,")=")</f>
        <v>a'(0.5)=</v>
      </c>
      <c r="AI34" s="84">
        <f>2*AI32/2*AE35</f>
        <v>11.061</v>
      </c>
      <c r="AJ34" s="84" t="str">
        <f>CONCATENATE("A(",AD33,")=")</f>
        <v>A(0)=</v>
      </c>
      <c r="AK34" s="84">
        <f>VLOOKUP(AD33,STN_TABLE,3,FALSE)</f>
        <v>0</v>
      </c>
      <c r="AL34" t="str">
        <f>CONCATENATE("A(",AD34,")=")</f>
        <v>A(0.5)=</v>
      </c>
      <c r="AM34">
        <f>AI34+AK34</f>
        <v>11.061</v>
      </c>
      <c r="AO34" s="68" t="str">
        <f>AA34</f>
        <v>A(0.5)=</v>
      </c>
      <c r="AP34" s="79" t="e">
        <f>VLOOKUP(AO34,Rise_Results,2,FALSE)</f>
        <v>#N/A</v>
      </c>
      <c r="AQ34" s="76" t="s">
        <v>117</v>
      </c>
      <c r="AR34" s="76">
        <f>IF(OR(AB34&lt;=0,AB35&lt;=0),1/0,AB34)</f>
        <v>11.539499999999999</v>
      </c>
      <c r="AS34" s="76">
        <f>AM34</f>
        <v>11.061</v>
      </c>
      <c r="AT34" s="80">
        <f>IFERROR(AP34,IFERROR(AR34,AS34))</f>
        <v>11.539499999999999</v>
      </c>
    </row>
    <row r="35" spans="1:47" x14ac:dyDescent="0.25">
      <c r="A35" s="101"/>
      <c r="T35" s="89">
        <f>SUM(T32:T34)</f>
        <v>76.929999999999993</v>
      </c>
      <c r="V35" s="82">
        <f>SUM(V32:V34)</f>
        <v>86.669999999999987</v>
      </c>
      <c r="W35" s="84" t="str">
        <f>CONCATENATE("m'(",Q33,")=")</f>
        <v>m'(0.5)=</v>
      </c>
      <c r="X35" s="84">
        <f>(2*(X32^2)/24*V35)</f>
        <v>5.8502249999999991</v>
      </c>
      <c r="Y35" s="84" t="str">
        <f>CONCATENATE("M(",Q32,")=")</f>
        <v>M(0)=</v>
      </c>
      <c r="Z35" s="84">
        <f>VLOOKUP(Q32,STN_TABLE,4,FALSE)</f>
        <v>0</v>
      </c>
      <c r="AA35" t="str">
        <f>CONCATENATE("M(",Q33,")=")</f>
        <v>M(0.5)=</v>
      </c>
      <c r="AB35">
        <f>X35+Z35</f>
        <v>5.8502249999999991</v>
      </c>
      <c r="AE35" s="89">
        <f>SUM(AE33:AE34)</f>
        <v>12.29</v>
      </c>
      <c r="AG35" s="89">
        <f>SUM(AG33:AG34)</f>
        <v>20.87</v>
      </c>
      <c r="AH35" s="84" t="str">
        <f>CONCATENATE("m'(",AD34,")=")</f>
        <v>m'(0.5)=</v>
      </c>
      <c r="AI35" s="84">
        <f>(2*(AI32^2)/6*AG35)+(AI34*AD33*WLS)</f>
        <v>5.6349000000000009</v>
      </c>
      <c r="AJ35" s="84" t="str">
        <f>CONCATENATE("M(",AD33,")=")</f>
        <v>M(0)=</v>
      </c>
      <c r="AK35" s="84">
        <f>VLOOKUP(AD33,STN_TABLE,4,FALSE)</f>
        <v>0</v>
      </c>
      <c r="AL35" t="str">
        <f>CONCATENATE("M(",AD34,")=")</f>
        <v>M(0.5)=</v>
      </c>
      <c r="AM35">
        <f>AI35+AK35</f>
        <v>5.6349000000000009</v>
      </c>
      <c r="AO35" s="82" t="str">
        <f>AA35</f>
        <v>M(0.5)=</v>
      </c>
      <c r="AP35" s="88" t="e">
        <f>VLOOKUP(AO35,Rise_Results,2,FALSE)</f>
        <v>#N/A</v>
      </c>
      <c r="AQ35" s="82" t="s">
        <v>117</v>
      </c>
      <c r="AR35" s="82">
        <f>IF(OR(AB34&lt;=0,AB35&lt;=0),1/0,AB35)</f>
        <v>5.8502249999999991</v>
      </c>
      <c r="AS35" s="82">
        <f>AM35</f>
        <v>5.6349000000000009</v>
      </c>
      <c r="AT35" s="80">
        <f>IFERROR(AP35,IFERROR(AR35,AS35))</f>
        <v>5.8502249999999991</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3.71</v>
      </c>
      <c r="E37" s="102">
        <v>1</v>
      </c>
      <c r="F37" s="68">
        <f>D37*E37</f>
        <v>3.71</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8.58</v>
      </c>
      <c r="S37" s="69">
        <v>5</v>
      </c>
      <c r="T37" s="68">
        <f>R37*S37</f>
        <v>42.9</v>
      </c>
      <c r="U37" s="79">
        <v>3</v>
      </c>
      <c r="V37" s="68">
        <f>R37*U37</f>
        <v>25.740000000000002</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8.58</v>
      </c>
      <c r="E38" s="81">
        <v>4</v>
      </c>
      <c r="F38" s="76">
        <f>D38*E38</f>
        <v>34.32</v>
      </c>
      <c r="G38" s="77">
        <f>C38</f>
        <v>0.5</v>
      </c>
      <c r="H38" s="77">
        <f>F38*G38</f>
        <v>17.16</v>
      </c>
      <c r="I38" s="513" t="s">
        <v>97</v>
      </c>
      <c r="J38" s="513"/>
      <c r="K38" s="78" t="s">
        <v>98</v>
      </c>
      <c r="L38" s="78"/>
      <c r="M38" s="7" t="s">
        <v>99</v>
      </c>
      <c r="N38" s="7"/>
      <c r="O38" s="99">
        <f>O37+1</f>
        <v>3</v>
      </c>
      <c r="P38" s="99">
        <f t="shared" si="10"/>
        <v>1</v>
      </c>
      <c r="Q38" s="76">
        <f>P38</f>
        <v>1</v>
      </c>
      <c r="R38" s="77">
        <f>VLOOKUP(Q38,STN_TABLE,2,FALSE)</f>
        <v>10.26</v>
      </c>
      <c r="S38" s="77">
        <v>8</v>
      </c>
      <c r="T38" s="76">
        <f>R38*S38</f>
        <v>82.08</v>
      </c>
      <c r="U38" s="80">
        <v>10</v>
      </c>
      <c r="V38" s="76">
        <f>R38*U38</f>
        <v>102.6</v>
      </c>
      <c r="W38" s="513" t="s">
        <v>97</v>
      </c>
      <c r="X38" s="513"/>
      <c r="Y38" s="513" t="s">
        <v>98</v>
      </c>
      <c r="Z38" s="513"/>
      <c r="AA38" s="511" t="s">
        <v>99</v>
      </c>
      <c r="AB38" s="511"/>
      <c r="AC38" s="99">
        <f>AC33+1</f>
        <v>2</v>
      </c>
      <c r="AD38" s="95">
        <f>VLOOKUP(AC38,STN_TABLE_2,2,FALSE)</f>
        <v>0.5</v>
      </c>
      <c r="AE38" s="68">
        <f>VLOOKUP(AD38,STN_TABLE,2,FALSE)</f>
        <v>8.58</v>
      </c>
      <c r="AF38" s="68">
        <v>1</v>
      </c>
      <c r="AG38" s="69">
        <f>AE38*AF38</f>
        <v>8.58</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10.26</v>
      </c>
      <c r="E39" s="92">
        <v>1</v>
      </c>
      <c r="F39" s="82">
        <f>D39*E39</f>
        <v>10.26</v>
      </c>
      <c r="G39" s="83">
        <f>C39</f>
        <v>1</v>
      </c>
      <c r="H39" s="83">
        <f>F39*G39</f>
        <v>10.26</v>
      </c>
      <c r="I39" s="84" t="str">
        <f>CONCATENATE("a'(",C39,")=")</f>
        <v>a'(1)=</v>
      </c>
      <c r="J39" s="84">
        <f>2*J37/3*F40</f>
        <v>28.973999999999997</v>
      </c>
      <c r="K39" s="84" t="str">
        <f>CONCATENATE("A(",C37,")=")</f>
        <v>A(0)=</v>
      </c>
      <c r="L39" s="84">
        <f>VLOOKUP(C37,STN_TABLE,3,FALSE)</f>
        <v>0</v>
      </c>
      <c r="M39" t="str">
        <f>CONCATENATE("A(",C39,")=")</f>
        <v>A(1)=</v>
      </c>
      <c r="N39">
        <f>J39+L39</f>
        <v>28.973999999999997</v>
      </c>
      <c r="O39" s="99">
        <f>O38+1</f>
        <v>4</v>
      </c>
      <c r="P39" s="99">
        <f t="shared" si="10"/>
        <v>1.5</v>
      </c>
      <c r="Q39" s="82">
        <f>IF(P39-P38=P38-P37,P39,IF(P40-P38=P38-P37,P40,IF(P39-P38=P38-P36,P39,IF(P40-P38=P38-P36,P40,"-"))))</f>
        <v>1.5</v>
      </c>
      <c r="R39" s="83">
        <f>VLOOKUP(Q39,STN_TABLE,2,FALSE)</f>
        <v>11.25</v>
      </c>
      <c r="S39" s="83">
        <v>-1</v>
      </c>
      <c r="T39" s="82">
        <f>R39*S39</f>
        <v>-11.25</v>
      </c>
      <c r="U39" s="88">
        <v>-1</v>
      </c>
      <c r="V39" s="82">
        <f>R39*U39</f>
        <v>-11.25</v>
      </c>
      <c r="W39" s="84" t="str">
        <f>CONCATENATE("a'(",Q38,")=")</f>
        <v>a'(1)=</v>
      </c>
      <c r="X39" s="84">
        <f>2*X37/12*T40</f>
        <v>17.059499999999996</v>
      </c>
      <c r="Y39" s="84" t="str">
        <f>CONCATENATE("A(",Q37,")=")</f>
        <v>A(0.5)=</v>
      </c>
      <c r="Z39" s="84">
        <f>VLOOKUP(Q37,STN_TABLE,3,FALSE)</f>
        <v>11.539499999999999</v>
      </c>
      <c r="AA39" t="str">
        <f>CONCATENATE("A(",Q38,")=")</f>
        <v>A(1)=</v>
      </c>
      <c r="AB39">
        <f>X39+Z39</f>
        <v>28.598999999999997</v>
      </c>
      <c r="AC39" s="99">
        <f>AC38+1</f>
        <v>3</v>
      </c>
      <c r="AD39" s="100">
        <f>VLOOKUP(AC39,STN_TABLE_2,2,FALSE)</f>
        <v>1</v>
      </c>
      <c r="AE39" s="82">
        <f>VLOOKUP(AD39,STN_TABLE,2,FALSE)</f>
        <v>10.26</v>
      </c>
      <c r="AF39" s="82">
        <v>2</v>
      </c>
      <c r="AG39" s="83">
        <f>AE39*AF39</f>
        <v>20.52</v>
      </c>
      <c r="AH39" s="84" t="str">
        <f>CONCATENATE("a'(",AD39,")=")</f>
        <v>a'(1)=</v>
      </c>
      <c r="AI39" s="84">
        <f>2*AI37/2*AE40</f>
        <v>16.956</v>
      </c>
      <c r="AJ39" s="84" t="str">
        <f>CONCATENATE("A(",AD38,")=")</f>
        <v>A(0.5)=</v>
      </c>
      <c r="AK39" s="84">
        <f>VLOOKUP(AD38,STN_TABLE,3,FALSE)</f>
        <v>11.539499999999999</v>
      </c>
      <c r="AL39" t="str">
        <f>CONCATENATE("A(",AD39,")=")</f>
        <v>A(1)=</v>
      </c>
      <c r="AM39">
        <f>AI39+AK39</f>
        <v>28.4955</v>
      </c>
      <c r="AO39" s="68" t="str">
        <f>AA39</f>
        <v>A(1)=</v>
      </c>
      <c r="AP39" s="68" t="e">
        <f>VLOOKUP(AO39,Rise_Results,2,FALSE)</f>
        <v>#N/A</v>
      </c>
      <c r="AQ39" s="76">
        <f>N39</f>
        <v>28.973999999999997</v>
      </c>
      <c r="AR39" s="76">
        <f>IF(OR(AB39&lt;=0,AB40&lt;=0),1/0,AB39)</f>
        <v>28.598999999999997</v>
      </c>
      <c r="AS39" s="76">
        <f>AM39</f>
        <v>28.4955</v>
      </c>
      <c r="AT39">
        <f>IFERROR(AP39,IFERROR(AQ39,IFERROR(AR39,AS39)))</f>
        <v>28.973999999999997</v>
      </c>
    </row>
    <row r="40" spans="1:47" x14ac:dyDescent="0.25">
      <c r="A40">
        <v>4</v>
      </c>
      <c r="F40" s="82">
        <f>SUM(F37:F39)</f>
        <v>48.29</v>
      </c>
      <c r="H40" s="82">
        <f>SUM(H37:H39)</f>
        <v>27.42</v>
      </c>
      <c r="I40" s="84" t="str">
        <f>CONCATENATE("m'(",C39,")=")</f>
        <v>m'(1)=</v>
      </c>
      <c r="J40" s="84">
        <f>2*(J37*(WLS))/3*H40</f>
        <v>29.613600000000005</v>
      </c>
      <c r="K40" s="84" t="str">
        <f>CONCATENATE("M(",C37,")=")</f>
        <v>M(0)=</v>
      </c>
      <c r="L40" s="84">
        <f>VLOOKUP(C37,STN_TABLE,4,FALSE)</f>
        <v>0</v>
      </c>
      <c r="M40" t="str">
        <f>CONCATENATE("M(",C39,")=")</f>
        <v>M(1)=</v>
      </c>
      <c r="N40">
        <f>J40+L40</f>
        <v>29.613600000000005</v>
      </c>
      <c r="O40" s="99">
        <f>O39+1</f>
        <v>5</v>
      </c>
      <c r="P40" s="99">
        <f t="shared" si="10"/>
        <v>2</v>
      </c>
      <c r="T40" s="89">
        <f>SUM(T37:T39)</f>
        <v>113.72999999999999</v>
      </c>
      <c r="V40" s="82">
        <f>SUM(V37:V39)</f>
        <v>117.09</v>
      </c>
      <c r="W40" s="84" t="str">
        <f>CONCATENATE("m'(",Q38,")=")</f>
        <v>m'(1)=</v>
      </c>
      <c r="X40" s="84">
        <f>(2*(X37^2)/24*V40)+(X39*Q37*WLS)</f>
        <v>23.257124999999998</v>
      </c>
      <c r="Y40" s="84" t="str">
        <f>CONCATENATE("M(",Q37,")=")</f>
        <v>M(0.5)=</v>
      </c>
      <c r="Z40" s="84">
        <f>VLOOKUP(Q37,STN_TABLE,4,FALSE)</f>
        <v>5.8502249999999991</v>
      </c>
      <c r="AA40" t="str">
        <f>CONCATENATE("M(",Q38,")=")</f>
        <v>M(1)=</v>
      </c>
      <c r="AB40">
        <f>X40+Z40</f>
        <v>29.107349999999997</v>
      </c>
      <c r="AE40" s="89">
        <f>SUM(AE38:AE39)</f>
        <v>18.84</v>
      </c>
      <c r="AG40" s="89">
        <f>SUM(AG38:AG39)</f>
        <v>29.1</v>
      </c>
      <c r="AH40" s="84" t="str">
        <f>CONCATENATE("m'(",AD39,")=")</f>
        <v>m'(1)=</v>
      </c>
      <c r="AI40" s="84">
        <f>(2*(AI37^2)/6*AG40)+(AI39*AD38*WLS)</f>
        <v>23.117400000000004</v>
      </c>
      <c r="AJ40" s="84" t="str">
        <f>CONCATENATE("M(",AD38,")=")</f>
        <v>M(0.5)=</v>
      </c>
      <c r="AK40" s="84">
        <f>VLOOKUP(AD38,STN_TABLE,4,FALSE)</f>
        <v>5.8502249999999991</v>
      </c>
      <c r="AL40" t="str">
        <f>CONCATENATE("M(",AD39,")=")</f>
        <v>M(1)=</v>
      </c>
      <c r="AM40">
        <f>AI40+AK40</f>
        <v>28.967625000000002</v>
      </c>
      <c r="AO40" s="82" t="str">
        <f>AA40</f>
        <v>M(1)=</v>
      </c>
      <c r="AP40" s="82" t="e">
        <f>VLOOKUP(AO40,Rise_Results,2,FALSE)</f>
        <v>#N/A</v>
      </c>
      <c r="AQ40" s="82">
        <f>N40</f>
        <v>29.613600000000005</v>
      </c>
      <c r="AR40" s="82">
        <f>IF(OR(AB39&lt;=0,AB40&lt;=0),1/0,AB40)</f>
        <v>29.107349999999997</v>
      </c>
      <c r="AS40" s="82">
        <f>AM40</f>
        <v>28.967625000000002</v>
      </c>
      <c r="AT40">
        <f>IFERROR(AP40,IFERROR(AQ40,IFERROR(AR40,AS40)))</f>
        <v>29.613600000000005</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8.58</v>
      </c>
      <c r="E42" s="102">
        <v>1</v>
      </c>
      <c r="F42" s="68">
        <f>D42*E42</f>
        <v>8.58</v>
      </c>
      <c r="G42" s="69">
        <f>C42</f>
        <v>0.5</v>
      </c>
      <c r="H42" s="69">
        <f>F42*G42</f>
        <v>4.29</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10.26</v>
      </c>
      <c r="S42" s="69">
        <v>5</v>
      </c>
      <c r="T42" s="68">
        <f>R42*S42</f>
        <v>51.3</v>
      </c>
      <c r="U42" s="79">
        <v>3</v>
      </c>
      <c r="V42" s="68">
        <f>R42*U42</f>
        <v>30.78</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10.26</v>
      </c>
      <c r="E43" s="81">
        <v>4</v>
      </c>
      <c r="F43" s="76">
        <f>D43*E43</f>
        <v>41.04</v>
      </c>
      <c r="G43" s="77">
        <f>C43</f>
        <v>1</v>
      </c>
      <c r="H43" s="77">
        <f>F43*G43</f>
        <v>41.04</v>
      </c>
      <c r="I43" s="513" t="s">
        <v>97</v>
      </c>
      <c r="J43" s="513"/>
      <c r="K43" s="78" t="s">
        <v>98</v>
      </c>
      <c r="L43" s="78"/>
      <c r="M43" s="7" t="s">
        <v>99</v>
      </c>
      <c r="N43" s="7"/>
      <c r="O43" s="99">
        <f>O42+1</f>
        <v>4</v>
      </c>
      <c r="P43" s="99">
        <f t="shared" si="10"/>
        <v>1.5</v>
      </c>
      <c r="Q43" s="76">
        <f>P43</f>
        <v>1.5</v>
      </c>
      <c r="R43" s="77">
        <f>VLOOKUP(Q43,STN_TABLE,2,FALSE)</f>
        <v>11.25</v>
      </c>
      <c r="S43" s="77">
        <v>8</v>
      </c>
      <c r="T43" s="76">
        <f>R43*S43</f>
        <v>90</v>
      </c>
      <c r="U43" s="80">
        <v>10</v>
      </c>
      <c r="V43" s="76">
        <f>R43*U43</f>
        <v>112.5</v>
      </c>
      <c r="W43" s="513" t="s">
        <v>97</v>
      </c>
      <c r="X43" s="513"/>
      <c r="Y43" s="513" t="s">
        <v>98</v>
      </c>
      <c r="Z43" s="513"/>
      <c r="AA43" s="511" t="s">
        <v>99</v>
      </c>
      <c r="AB43" s="511"/>
      <c r="AC43" s="99">
        <f>AC38+1</f>
        <v>3</v>
      </c>
      <c r="AD43" s="95">
        <f>VLOOKUP(AC43,STN_TABLE_2,2,FALSE)</f>
        <v>1</v>
      </c>
      <c r="AE43" s="68">
        <f>VLOOKUP(AD43,STN_TABLE,2,FALSE)</f>
        <v>10.26</v>
      </c>
      <c r="AF43" s="68">
        <v>1</v>
      </c>
      <c r="AG43" s="69">
        <f>AE43*AF43</f>
        <v>10.26</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11.25</v>
      </c>
      <c r="E44" s="92">
        <v>1</v>
      </c>
      <c r="F44" s="82">
        <f>D44*E44</f>
        <v>11.25</v>
      </c>
      <c r="G44" s="83">
        <f>C44</f>
        <v>1.5</v>
      </c>
      <c r="H44" s="83">
        <f>F44*G44</f>
        <v>16.875</v>
      </c>
      <c r="I44" s="84" t="str">
        <f>CONCATENATE("a'(",C44,")=")</f>
        <v>a'(1.5)=</v>
      </c>
      <c r="J44" s="84">
        <f>2*J42/3*F45</f>
        <v>36.521999999999998</v>
      </c>
      <c r="K44" s="84" t="str">
        <f>CONCATENATE("A(",C42,")=")</f>
        <v>A(0.5)=</v>
      </c>
      <c r="L44" s="84">
        <f>VLOOKUP(C42,STN_TABLE,3,FALSE)</f>
        <v>11.539499999999999</v>
      </c>
      <c r="M44" t="str">
        <f>CONCATENATE("A(",C44,")=")</f>
        <v>A(1.5)=</v>
      </c>
      <c r="N44">
        <f>J44+L44</f>
        <v>48.061499999999995</v>
      </c>
      <c r="O44" s="99">
        <f>O43+1</f>
        <v>5</v>
      </c>
      <c r="P44" s="99">
        <f t="shared" si="10"/>
        <v>2</v>
      </c>
      <c r="Q44" s="82">
        <f>IF(P44-P43=P43-P42,P44,IF(P45-P43=P43-P42,P45,IF(P44-P43=P43-P41,P44,IF(P45-P43=P43-P41,P45,"-"))))</f>
        <v>2</v>
      </c>
      <c r="R44" s="83">
        <f>VLOOKUP(Q44,STN_TABLE,2,FALSE)</f>
        <v>11.86</v>
      </c>
      <c r="S44" s="83">
        <v>-1</v>
      </c>
      <c r="T44" s="82">
        <f>R44*S44</f>
        <v>-11.86</v>
      </c>
      <c r="U44" s="88">
        <v>-1</v>
      </c>
      <c r="V44" s="82">
        <f>R44*U44</f>
        <v>-11.86</v>
      </c>
      <c r="W44" s="84" t="str">
        <f>CONCATENATE("a'(",Q43,")=")</f>
        <v>a'(1.5)=</v>
      </c>
      <c r="X44" s="84">
        <f>2*X42/12*T45</f>
        <v>19.416</v>
      </c>
      <c r="Y44" s="84" t="str">
        <f>CONCATENATE("A(",Q42,")=")</f>
        <v>A(1)=</v>
      </c>
      <c r="Z44" s="84">
        <f>VLOOKUP(Q42,STN_TABLE,3,FALSE)</f>
        <v>28.973999999999997</v>
      </c>
      <c r="AA44" t="str">
        <f>CONCATENATE("A(",Q43,")=")</f>
        <v>A(1.5)=</v>
      </c>
      <c r="AB44">
        <f>X44+Z44</f>
        <v>48.39</v>
      </c>
      <c r="AC44" s="99">
        <f>AC43+1</f>
        <v>4</v>
      </c>
      <c r="AD44" s="100">
        <f>VLOOKUP(AC44,STN_TABLE_2,2,FALSE)</f>
        <v>1.5</v>
      </c>
      <c r="AE44" s="82">
        <f>VLOOKUP(AD44,STN_TABLE,2,FALSE)</f>
        <v>11.25</v>
      </c>
      <c r="AF44" s="82">
        <v>2</v>
      </c>
      <c r="AG44" s="83">
        <f>AE44*AF44</f>
        <v>22.5</v>
      </c>
      <c r="AH44" s="84" t="str">
        <f>CONCATENATE("a'(",AD44,")=")</f>
        <v>a'(1.5)=</v>
      </c>
      <c r="AI44" s="84">
        <f>2*AI42/2*AE45</f>
        <v>19.358999999999998</v>
      </c>
      <c r="AJ44" s="84" t="str">
        <f>CONCATENATE("A(",AD43,")=")</f>
        <v>A(1)=</v>
      </c>
      <c r="AK44" s="84">
        <f>VLOOKUP(AD43,STN_TABLE,3,FALSE)</f>
        <v>28.973999999999997</v>
      </c>
      <c r="AL44" t="str">
        <f>CONCATENATE("A(",AD44,")=")</f>
        <v>A(1.5)=</v>
      </c>
      <c r="AM44">
        <f>AI44+AK44</f>
        <v>48.332999999999998</v>
      </c>
      <c r="AO44" s="68" t="str">
        <f>AA44</f>
        <v>A(1.5)=</v>
      </c>
      <c r="AP44" s="68" t="e">
        <f>VLOOKUP(AO44,Rise_Results,2,FALSE)</f>
        <v>#N/A</v>
      </c>
      <c r="AQ44" s="76">
        <f>N44</f>
        <v>48.061499999999995</v>
      </c>
      <c r="AR44" s="76">
        <f>IF(OR(AB44&lt;=0,AB45&lt;=0),1/0,AB44)</f>
        <v>48.39</v>
      </c>
      <c r="AS44" s="76">
        <f>AM44</f>
        <v>48.332999999999998</v>
      </c>
      <c r="AT44">
        <f>IFERROR(AP44,IFERROR(AQ44,IFERROR(AR44,AS44)))</f>
        <v>48.061499999999995</v>
      </c>
      <c r="AU44" s="81"/>
    </row>
    <row r="45" spans="1:47" x14ac:dyDescent="0.25">
      <c r="A45" s="94">
        <f>A44+1</f>
        <v>4</v>
      </c>
      <c r="B45" s="94">
        <f t="shared" si="11"/>
        <v>1.5</v>
      </c>
      <c r="F45" s="82">
        <f>SUM(F42:F44)</f>
        <v>60.87</v>
      </c>
      <c r="H45" s="82">
        <f>SUM(H42:H44)</f>
        <v>62.204999999999998</v>
      </c>
      <c r="I45" s="84" t="str">
        <f>CONCATENATE("m'(",C44,")=")</f>
        <v>m'(1.5)=</v>
      </c>
      <c r="J45" s="84">
        <f>2*(J42*(WLS))/3*H45</f>
        <v>67.181399999999996</v>
      </c>
      <c r="K45" s="84" t="str">
        <f>CONCATENATE("M(",C42,")=")</f>
        <v>M(0.5)=</v>
      </c>
      <c r="L45" s="84">
        <f>VLOOKUP(C42,STN_TABLE,4,FALSE)</f>
        <v>5.8502249999999991</v>
      </c>
      <c r="M45" t="str">
        <f>CONCATENATE("M(",C44,")=")</f>
        <v>M(1.5)=</v>
      </c>
      <c r="N45">
        <f>J45+L45</f>
        <v>73.031624999999991</v>
      </c>
      <c r="O45" s="99">
        <f>O44+1</f>
        <v>6</v>
      </c>
      <c r="P45" s="99">
        <f t="shared" si="10"/>
        <v>3</v>
      </c>
      <c r="T45" s="89">
        <f>SUM(T42:T44)</f>
        <v>129.44</v>
      </c>
      <c r="V45" s="82">
        <f>SUM(V42:V44)</f>
        <v>131.42000000000002</v>
      </c>
      <c r="W45" s="84" t="str">
        <f>CONCATENATE("m'(",Q43,")=")</f>
        <v>m'(1.5)=</v>
      </c>
      <c r="X45" s="84">
        <f>(2*(X42^2)/24*V45)+(X44*Q42*WLS)</f>
        <v>43.819649999999996</v>
      </c>
      <c r="Y45" s="84" t="str">
        <f>CONCATENATE("M(",Q42,")=")</f>
        <v>M(1)=</v>
      </c>
      <c r="Z45" s="84">
        <f>VLOOKUP(Q42,STN_TABLE,4,FALSE)</f>
        <v>29.613600000000005</v>
      </c>
      <c r="AA45" t="str">
        <f>CONCATENATE("M(",Q43,")=")</f>
        <v>M(1.5)=</v>
      </c>
      <c r="AB45">
        <f>X45+Z45</f>
        <v>73.433250000000001</v>
      </c>
      <c r="AE45" s="89">
        <f>SUM(AE43:AE44)</f>
        <v>21.509999999999998</v>
      </c>
      <c r="AG45" s="89">
        <f>SUM(AG43:AG44)</f>
        <v>32.76</v>
      </c>
      <c r="AH45" s="84" t="str">
        <f>CONCATENATE("m'(",AD44,")=")</f>
        <v>m'(1.5)=</v>
      </c>
      <c r="AI45" s="84">
        <f>(2*(AI42^2)/6*AG45)+(AI44*AD43*WLS)</f>
        <v>43.691399999999994</v>
      </c>
      <c r="AJ45" s="84" t="str">
        <f>CONCATENATE("M(",AD43,")=")</f>
        <v>M(1)=</v>
      </c>
      <c r="AK45" s="84">
        <f>VLOOKUP(AD43,STN_TABLE,4,FALSE)</f>
        <v>29.613600000000005</v>
      </c>
      <c r="AL45" t="str">
        <f>CONCATENATE("M(",AD44,")=")</f>
        <v>M(1.5)=</v>
      </c>
      <c r="AM45">
        <f>AI45+AK45</f>
        <v>73.305000000000007</v>
      </c>
      <c r="AO45" s="82" t="str">
        <f>AA45</f>
        <v>M(1.5)=</v>
      </c>
      <c r="AP45" s="82" t="e">
        <f>VLOOKUP(AO45,Rise_Results,2,FALSE)</f>
        <v>#N/A</v>
      </c>
      <c r="AQ45" s="82">
        <f>N45</f>
        <v>73.031624999999991</v>
      </c>
      <c r="AR45" s="82">
        <f>IF(OR(AB44&lt;=0,AB45&lt;=0),1/0,AB45)</f>
        <v>73.433250000000001</v>
      </c>
      <c r="AS45" s="82">
        <f>AM45</f>
        <v>73.305000000000007</v>
      </c>
      <c r="AT45">
        <f>IFERROR(AP45,IFERROR(AQ45,IFERROR(AR45,AS45)))</f>
        <v>73.031624999999991</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10.26</v>
      </c>
      <c r="E47" s="102">
        <v>1</v>
      </c>
      <c r="F47" s="68">
        <f>D47*E47</f>
        <v>10.26</v>
      </c>
      <c r="G47" s="69">
        <f>C47</f>
        <v>1</v>
      </c>
      <c r="H47" s="69">
        <f>F47*G47</f>
        <v>10.26</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10.26</v>
      </c>
      <c r="S47" s="69">
        <v>5</v>
      </c>
      <c r="T47" s="68">
        <f>R47*S47</f>
        <v>51.3</v>
      </c>
      <c r="U47" s="79">
        <v>3</v>
      </c>
      <c r="V47" s="68">
        <f>R47*U47</f>
        <v>30.78</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11.25</v>
      </c>
      <c r="E48" s="81">
        <v>4</v>
      </c>
      <c r="F48" s="76">
        <f>D48*E48</f>
        <v>45</v>
      </c>
      <c r="G48" s="77">
        <f>C48</f>
        <v>1.5</v>
      </c>
      <c r="H48" s="77">
        <f>F48*G48</f>
        <v>67.5</v>
      </c>
      <c r="I48" s="513" t="s">
        <v>97</v>
      </c>
      <c r="J48" s="513"/>
      <c r="K48" s="78" t="s">
        <v>98</v>
      </c>
      <c r="L48" s="78"/>
      <c r="M48" s="7" t="s">
        <v>99</v>
      </c>
      <c r="N48" s="7"/>
      <c r="O48" s="99">
        <f>O47+1</f>
        <v>5</v>
      </c>
      <c r="P48" s="99">
        <f t="shared" si="10"/>
        <v>2</v>
      </c>
      <c r="Q48" s="76">
        <f>P48</f>
        <v>2</v>
      </c>
      <c r="R48" s="77">
        <f>VLOOKUP(Q48,STN_TABLE,2,FALSE)</f>
        <v>11.86</v>
      </c>
      <c r="S48" s="77">
        <v>8</v>
      </c>
      <c r="T48" s="76">
        <f>R48*S48</f>
        <v>94.88</v>
      </c>
      <c r="U48" s="80">
        <v>10</v>
      </c>
      <c r="V48" s="76">
        <f>R48*U48</f>
        <v>118.6</v>
      </c>
      <c r="W48" s="513" t="s">
        <v>97</v>
      </c>
      <c r="X48" s="513"/>
      <c r="Y48" s="513" t="s">
        <v>98</v>
      </c>
      <c r="Z48" s="513"/>
      <c r="AA48" s="511" t="s">
        <v>99</v>
      </c>
      <c r="AB48" s="511"/>
      <c r="AC48" s="99">
        <f>AC43+1</f>
        <v>4</v>
      </c>
      <c r="AD48" s="95">
        <f>VLOOKUP(AC48,STN_TABLE_2,2,FALSE)</f>
        <v>1.5</v>
      </c>
      <c r="AE48" s="68">
        <f>VLOOKUP(AD48,STN_TABLE,2,FALSE)</f>
        <v>11.25</v>
      </c>
      <c r="AF48" s="68">
        <v>1</v>
      </c>
      <c r="AG48" s="69">
        <f>AE48*AF48</f>
        <v>11.25</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11.86</v>
      </c>
      <c r="E49" s="92">
        <v>1</v>
      </c>
      <c r="F49" s="82">
        <f>D49*E49</f>
        <v>11.86</v>
      </c>
      <c r="G49" s="83">
        <f>C49</f>
        <v>2</v>
      </c>
      <c r="H49" s="83">
        <f>F49*G49</f>
        <v>23.72</v>
      </c>
      <c r="I49" s="84" t="str">
        <f>CONCATENATE("a'(",C49,")=")</f>
        <v>a'(2)=</v>
      </c>
      <c r="J49" s="84">
        <f>2*J47/3*F50</f>
        <v>40.271999999999998</v>
      </c>
      <c r="K49" s="84" t="str">
        <f>CONCATENATE("A(",C47,")=")</f>
        <v>A(1)=</v>
      </c>
      <c r="L49" s="84">
        <f>VLOOKUP(C47,STN_TABLE,3,FALSE)</f>
        <v>28.973999999999997</v>
      </c>
      <c r="M49" t="str">
        <f>CONCATENATE("A(",C49,")=")</f>
        <v>A(2)=</v>
      </c>
      <c r="N49">
        <f>J49+L49</f>
        <v>69.245999999999995</v>
      </c>
      <c r="O49" s="99">
        <f>O48+1</f>
        <v>6</v>
      </c>
      <c r="P49" s="99">
        <f t="shared" si="10"/>
        <v>3</v>
      </c>
      <c r="Q49" s="82">
        <f>IF(P49-P48=P48-P47,P49,IF(P50-P48=P48-P47,P50,IF(P49-P48=P48-P46,P49,IF(P50-P48=P48-P46,P50,"-"))))</f>
        <v>3</v>
      </c>
      <c r="R49" s="83">
        <f>VLOOKUP(Q49,STN_TABLE,2,FALSE)</f>
        <v>12.25</v>
      </c>
      <c r="S49" s="83">
        <v>-1</v>
      </c>
      <c r="T49" s="82">
        <f>R49*S49</f>
        <v>-12.25</v>
      </c>
      <c r="U49" s="88">
        <v>-1</v>
      </c>
      <c r="V49" s="82">
        <f>R49*U49</f>
        <v>-12.25</v>
      </c>
      <c r="W49" s="84" t="str">
        <f>CONCATENATE("a'(",Q48,")=")</f>
        <v>a'(2)=</v>
      </c>
      <c r="X49" s="84">
        <f>2*X47/12*T50</f>
        <v>40.179000000000002</v>
      </c>
      <c r="Y49" s="84" t="str">
        <f>CONCATENATE("A(",Q47,")=")</f>
        <v>A(1)=</v>
      </c>
      <c r="Z49" s="84">
        <f>VLOOKUP(Q47,STN_TABLE,3,FALSE)</f>
        <v>28.973999999999997</v>
      </c>
      <c r="AA49" t="str">
        <f>CONCATENATE("A(",Q48,")=")</f>
        <v>A(2)=</v>
      </c>
      <c r="AB49">
        <f>X49+Z49</f>
        <v>69.152999999999992</v>
      </c>
      <c r="AC49" s="99">
        <f>AC48+1</f>
        <v>5</v>
      </c>
      <c r="AD49" s="100">
        <f>VLOOKUP(AC49,STN_TABLE_2,2,FALSE)</f>
        <v>2</v>
      </c>
      <c r="AE49" s="82">
        <f>VLOOKUP(AD49,STN_TABLE,2,FALSE)</f>
        <v>11.86</v>
      </c>
      <c r="AF49" s="82">
        <v>2</v>
      </c>
      <c r="AG49" s="83">
        <f>AE49*AF49</f>
        <v>23.72</v>
      </c>
      <c r="AH49" s="84" t="str">
        <f>CONCATENATE("a'(",AD49,")=")</f>
        <v>a'(2)=</v>
      </c>
      <c r="AI49" s="84">
        <f>2*AI47/2*AE50</f>
        <v>20.798999999999999</v>
      </c>
      <c r="AJ49" s="84" t="str">
        <f>CONCATENATE("A(",AD48,")=")</f>
        <v>A(1.5)=</v>
      </c>
      <c r="AK49" s="84">
        <f>VLOOKUP(AD48,STN_TABLE,3,FALSE)</f>
        <v>48.061499999999995</v>
      </c>
      <c r="AL49" t="str">
        <f>CONCATENATE("A(",AD49,")=")</f>
        <v>A(2)=</v>
      </c>
      <c r="AM49">
        <f>AI49+AK49</f>
        <v>68.860500000000002</v>
      </c>
      <c r="AO49" s="68" t="str">
        <f>AA49</f>
        <v>A(2)=</v>
      </c>
      <c r="AP49" s="68" t="e">
        <f>VLOOKUP(AO49,Rise_Results,2,FALSE)</f>
        <v>#N/A</v>
      </c>
      <c r="AQ49" s="76">
        <f>N49</f>
        <v>69.245999999999995</v>
      </c>
      <c r="AR49" s="76">
        <f>IF(OR(AB49&lt;=0,AB50&lt;=0),1/0,AB49)</f>
        <v>69.152999999999992</v>
      </c>
      <c r="AS49" s="76">
        <f>AM49</f>
        <v>68.860500000000002</v>
      </c>
      <c r="AT49">
        <f>IFERROR(AP49,IFERROR(AQ49,IFERROR(AR49,AS49)))</f>
        <v>69.245999999999995</v>
      </c>
      <c r="AU49" s="81"/>
    </row>
    <row r="50" spans="1:47" x14ac:dyDescent="0.25">
      <c r="A50" s="84">
        <f>A49+1</f>
        <v>5</v>
      </c>
      <c r="B50" s="84">
        <f t="shared" si="11"/>
        <v>2</v>
      </c>
      <c r="F50" s="82">
        <f>SUM(F47:F49)</f>
        <v>67.12</v>
      </c>
      <c r="H50" s="82">
        <f>SUM(H47:H49)</f>
        <v>101.48</v>
      </c>
      <c r="I50" s="84" t="str">
        <f>CONCATENATE("m'(",C49,")=")</f>
        <v>m'(2)=</v>
      </c>
      <c r="J50" s="84">
        <f>2*(J47*(WLS))/3*H50</f>
        <v>109.59840000000001</v>
      </c>
      <c r="K50" s="84" t="str">
        <f>CONCATENATE("M(",C47,")=")</f>
        <v>M(1)=</v>
      </c>
      <c r="L50" s="84">
        <f>VLOOKUP(C47,STN_TABLE,4,FALSE)</f>
        <v>29.613600000000005</v>
      </c>
      <c r="M50" t="str">
        <f>CONCATENATE("M(",C49,")=")</f>
        <v>M(2)=</v>
      </c>
      <c r="N50">
        <f>J50+L50</f>
        <v>139.21200000000002</v>
      </c>
      <c r="O50" s="99">
        <f>O49+1</f>
        <v>7</v>
      </c>
      <c r="P50" s="99">
        <f t="shared" si="10"/>
        <v>4</v>
      </c>
      <c r="T50" s="89">
        <f>SUM(T47:T49)</f>
        <v>133.93</v>
      </c>
      <c r="V50" s="82">
        <f>SUM(V47:V49)</f>
        <v>137.13</v>
      </c>
      <c r="W50" s="84" t="str">
        <f>CONCATENATE("m'(",Q48,")=")</f>
        <v>m'(2)=</v>
      </c>
      <c r="X50" s="84">
        <f>(2*(X47^2)/24*V50)+(X49*Q47*WLS)</f>
        <v>109.34730000000002</v>
      </c>
      <c r="Y50" s="84" t="str">
        <f>CONCATENATE("M(",Q47,")=")</f>
        <v>M(1)=</v>
      </c>
      <c r="Z50" s="84">
        <f>VLOOKUP(Q47,STN_TABLE,4,FALSE)</f>
        <v>29.613600000000005</v>
      </c>
      <c r="AA50" t="str">
        <f>CONCATENATE("M(",Q48,")=")</f>
        <v>M(2)=</v>
      </c>
      <c r="AB50">
        <f>X50+Z50</f>
        <v>138.96090000000004</v>
      </c>
      <c r="AE50" s="89">
        <f>SUM(AE48:AE49)</f>
        <v>23.11</v>
      </c>
      <c r="AG50" s="89">
        <f>SUM(AG48:AG49)</f>
        <v>34.97</v>
      </c>
      <c r="AH50" s="84" t="str">
        <f>CONCATENATE("m'(",AD49,")=")</f>
        <v>m'(2)=</v>
      </c>
      <c r="AI50" s="84">
        <f>(2*(AI47^2)/6*AG50)+(AI49*AD48*WLS)</f>
        <v>65.599199999999996</v>
      </c>
      <c r="AJ50" s="84" t="str">
        <f>CONCATENATE("M(",AD48,")=")</f>
        <v>M(1.5)=</v>
      </c>
      <c r="AK50" s="84">
        <f>VLOOKUP(AD48,STN_TABLE,4,FALSE)</f>
        <v>73.031624999999991</v>
      </c>
      <c r="AL50" t="str">
        <f>CONCATENATE("M(",AD49,")=")</f>
        <v>M(2)=</v>
      </c>
      <c r="AM50">
        <f>AI50+AK50</f>
        <v>138.63082499999999</v>
      </c>
      <c r="AO50" s="82" t="str">
        <f>AA50</f>
        <v>M(2)=</v>
      </c>
      <c r="AP50" s="82" t="e">
        <f>VLOOKUP(AO50,Rise_Results,2,FALSE)</f>
        <v>#N/A</v>
      </c>
      <c r="AQ50" s="82">
        <f>N50</f>
        <v>139.21200000000002</v>
      </c>
      <c r="AR50" s="82">
        <f>IF(OR(AB49&lt;=0,AB50&lt;=0),1/0,AB50)</f>
        <v>138.96090000000004</v>
      </c>
      <c r="AS50" s="82">
        <f>AM50</f>
        <v>138.63082499999999</v>
      </c>
      <c r="AT50">
        <f>IFERROR(AP50,IFERROR(AQ50,IFERROR(AR50,AS50)))</f>
        <v>139.21200000000002</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10.26</v>
      </c>
      <c r="E52" s="102">
        <v>1</v>
      </c>
      <c r="F52" s="68">
        <f>D52*E52</f>
        <v>10.26</v>
      </c>
      <c r="G52" s="69">
        <f>C52</f>
        <v>1</v>
      </c>
      <c r="H52" s="69">
        <f>F52*G52</f>
        <v>10.26</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11.86</v>
      </c>
      <c r="S52" s="69">
        <v>5</v>
      </c>
      <c r="T52" s="68">
        <f>R52*S52</f>
        <v>59.3</v>
      </c>
      <c r="U52" s="79">
        <v>3</v>
      </c>
      <c r="V52" s="68">
        <f>R52*U52</f>
        <v>35.58</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11.86</v>
      </c>
      <c r="E53" s="81">
        <v>4</v>
      </c>
      <c r="F53" s="76">
        <f>D53*E53</f>
        <v>47.44</v>
      </c>
      <c r="G53" s="77">
        <f>C53</f>
        <v>2</v>
      </c>
      <c r="H53" s="77">
        <f>F53*G53</f>
        <v>94.88</v>
      </c>
      <c r="I53" s="512" t="s">
        <v>97</v>
      </c>
      <c r="J53" s="513"/>
      <c r="K53" s="78" t="s">
        <v>98</v>
      </c>
      <c r="L53" s="78"/>
      <c r="M53" s="7" t="s">
        <v>99</v>
      </c>
      <c r="N53" s="7"/>
      <c r="O53" s="99">
        <f>O52+1</f>
        <v>6</v>
      </c>
      <c r="P53" s="99">
        <f t="shared" si="10"/>
        <v>3</v>
      </c>
      <c r="Q53" s="76">
        <f>P53</f>
        <v>3</v>
      </c>
      <c r="R53" s="77">
        <f>VLOOKUP(Q53,STN_TABLE,2,FALSE)</f>
        <v>12.25</v>
      </c>
      <c r="S53" s="77">
        <v>8</v>
      </c>
      <c r="T53" s="76">
        <f>R53*S53</f>
        <v>98</v>
      </c>
      <c r="U53" s="80">
        <v>10</v>
      </c>
      <c r="V53" s="76">
        <f>R53*U53</f>
        <v>122.5</v>
      </c>
      <c r="W53" s="513" t="s">
        <v>97</v>
      </c>
      <c r="X53" s="513"/>
      <c r="Y53" s="513" t="s">
        <v>98</v>
      </c>
      <c r="Z53" s="513"/>
      <c r="AA53" s="511" t="s">
        <v>99</v>
      </c>
      <c r="AB53" s="511"/>
      <c r="AC53" s="99">
        <f>AC48+1</f>
        <v>5</v>
      </c>
      <c r="AD53" s="95">
        <f>VLOOKUP(AC53,STN_TABLE_2,2,FALSE)</f>
        <v>2</v>
      </c>
      <c r="AE53" s="68">
        <f>VLOOKUP(AD53,STN_TABLE,2,FALSE)</f>
        <v>11.86</v>
      </c>
      <c r="AF53" s="68">
        <v>1</v>
      </c>
      <c r="AG53" s="69">
        <f>AE53*AF53</f>
        <v>11.86</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12.25</v>
      </c>
      <c r="E54" s="92">
        <v>1</v>
      </c>
      <c r="F54" s="82">
        <f>D54*E54</f>
        <v>12.25</v>
      </c>
      <c r="G54" s="83">
        <f>C54</f>
        <v>3</v>
      </c>
      <c r="H54" s="83">
        <f>F54*G54</f>
        <v>36.75</v>
      </c>
      <c r="I54" s="84" t="str">
        <f>CONCATENATE("a'(",C54,")=")</f>
        <v>a'(3)=</v>
      </c>
      <c r="J54" s="84">
        <f>2*J52/3*F55</f>
        <v>83.939999999999984</v>
      </c>
      <c r="K54" s="84" t="str">
        <f>CONCATENATE("A(",C52,")=")</f>
        <v>A(1)=</v>
      </c>
      <c r="L54" s="84">
        <f>VLOOKUP(C52,STN_TABLE,3,FALSE)</f>
        <v>28.973999999999997</v>
      </c>
      <c r="M54" t="str">
        <f>CONCATENATE("A(",C54,")=")</f>
        <v>A(3)=</v>
      </c>
      <c r="N54">
        <f>J54+L54</f>
        <v>112.91399999999999</v>
      </c>
      <c r="O54" s="99">
        <f>O53+1</f>
        <v>7</v>
      </c>
      <c r="P54" s="99">
        <f t="shared" si="10"/>
        <v>4</v>
      </c>
      <c r="Q54" s="82">
        <f>IF(P54-P53=P53-P52,P54,IF(P55-P53=P53-P52,P55,IF(P54-P53=P53-P51,P54,IF(P55-P53=P53-P51,P55,"-"))))</f>
        <v>4</v>
      </c>
      <c r="R54" s="83">
        <f>VLOOKUP(Q54,STN_TABLE,2,FALSE)</f>
        <v>12.25</v>
      </c>
      <c r="S54" s="83">
        <v>-1</v>
      </c>
      <c r="T54" s="82">
        <f>R54*S54</f>
        <v>-12.25</v>
      </c>
      <c r="U54" s="88">
        <v>-1</v>
      </c>
      <c r="V54" s="82">
        <f>R54*U54</f>
        <v>-12.25</v>
      </c>
      <c r="W54" s="84" t="str">
        <f>CONCATENATE("a'(",Q53,")=")</f>
        <v>a'(3)=</v>
      </c>
      <c r="X54" s="84">
        <f>2*X52/12*T55</f>
        <v>43.515000000000001</v>
      </c>
      <c r="Y54" s="84" t="str">
        <f>CONCATENATE("A(",Q52,")=")</f>
        <v>A(2)=</v>
      </c>
      <c r="Z54" s="84">
        <f>VLOOKUP(Q52,STN_TABLE,3,FALSE)</f>
        <v>69.245999999999995</v>
      </c>
      <c r="AA54" t="str">
        <f>CONCATENATE("A(",Q53,")=")</f>
        <v>A(3)=</v>
      </c>
      <c r="AB54">
        <f>X54+Z54</f>
        <v>112.761</v>
      </c>
      <c r="AC54" s="99">
        <f>AC53+1</f>
        <v>6</v>
      </c>
      <c r="AD54" s="100">
        <f>VLOOKUP(AC54,STN_TABLE_2,2,FALSE)</f>
        <v>3</v>
      </c>
      <c r="AE54" s="82">
        <f>VLOOKUP(AD54,STN_TABLE,2,FALSE)</f>
        <v>12.25</v>
      </c>
      <c r="AF54" s="82">
        <v>2</v>
      </c>
      <c r="AG54" s="83">
        <f>AE54*AF54</f>
        <v>24.5</v>
      </c>
      <c r="AH54" s="84" t="str">
        <f>CONCATENATE("a'(",AD54,")=")</f>
        <v>a'(3)=</v>
      </c>
      <c r="AI54" s="84">
        <f>2*AI52/2*AE55</f>
        <v>43.398000000000003</v>
      </c>
      <c r="AJ54" s="84" t="str">
        <f>CONCATENATE("A(",AD53,")=")</f>
        <v>A(2)=</v>
      </c>
      <c r="AK54" s="84">
        <f>VLOOKUP(AD53,STN_TABLE,3,FALSE)</f>
        <v>69.245999999999995</v>
      </c>
      <c r="AL54" t="str">
        <f>CONCATENATE("A(",AD54,")=")</f>
        <v>A(3)=</v>
      </c>
      <c r="AM54">
        <f>AI54+AK54</f>
        <v>112.64400000000001</v>
      </c>
      <c r="AO54" s="68" t="str">
        <f>AA54</f>
        <v>A(3)=</v>
      </c>
      <c r="AP54" s="68" t="e">
        <f>VLOOKUP(AO54,Rise_Results,2,FALSE)</f>
        <v>#N/A</v>
      </c>
      <c r="AQ54" s="76">
        <f>N54</f>
        <v>112.91399999999999</v>
      </c>
      <c r="AR54" s="76">
        <f>IF(OR(AB54&lt;=0,AB55&lt;=0),1/0,AB54)</f>
        <v>112.761</v>
      </c>
      <c r="AS54" s="76">
        <f>AM54</f>
        <v>112.64400000000001</v>
      </c>
      <c r="AT54">
        <f>IFERROR(AP54,IFERROR(AQ54,IFERROR(AR54,AS54)))</f>
        <v>112.91399999999999</v>
      </c>
      <c r="AU54" s="81"/>
    </row>
    <row r="55" spans="1:47" x14ac:dyDescent="0.25">
      <c r="A55" s="84">
        <f>A54+1</f>
        <v>6</v>
      </c>
      <c r="B55" s="84">
        <f t="shared" si="11"/>
        <v>3</v>
      </c>
      <c r="F55" s="82">
        <f>SUM(F52:F54)</f>
        <v>69.949999999999989</v>
      </c>
      <c r="H55" s="82">
        <f>SUM(H52:H54)</f>
        <v>141.88999999999999</v>
      </c>
      <c r="I55" s="84" t="str">
        <f>CONCATENATE("m'(",C54,")=")</f>
        <v>m'(3)=</v>
      </c>
      <c r="J55" s="84">
        <f>2*(J52*(WLS))/3*H55</f>
        <v>306.48239999999998</v>
      </c>
      <c r="K55" s="84" t="str">
        <f>CONCATENATE("M(",C52,")=")</f>
        <v>M(1)=</v>
      </c>
      <c r="L55" s="84">
        <f>VLOOKUP(C52,STN_TABLE,4,FALSE)</f>
        <v>29.613600000000005</v>
      </c>
      <c r="M55" t="str">
        <f>CONCATENATE("M(",C54,")=")</f>
        <v>M(3)=</v>
      </c>
      <c r="N55">
        <f>J55+L55</f>
        <v>336.096</v>
      </c>
      <c r="O55" s="99">
        <f>O54+1</f>
        <v>8</v>
      </c>
      <c r="P55" s="99">
        <f t="shared" si="10"/>
        <v>5</v>
      </c>
      <c r="T55" s="89">
        <f>SUM(T52:T54)</f>
        <v>145.05000000000001</v>
      </c>
      <c r="V55" s="82">
        <f>SUM(V52:V54)</f>
        <v>145.82999999999998</v>
      </c>
      <c r="W55" s="84" t="str">
        <f>CONCATENATE("m'(",Q53,")=")</f>
        <v>m'(3)=</v>
      </c>
      <c r="X55" s="84">
        <f>(2*(X52^2)/24*V55)+(X54*Q52*WLS)</f>
        <v>196.02809999999999</v>
      </c>
      <c r="Y55" s="84" t="str">
        <f>CONCATENATE("M(",Q52,")=")</f>
        <v>M(2)=</v>
      </c>
      <c r="Z55" s="84">
        <f>VLOOKUP(Q52,STN_TABLE,4,FALSE)</f>
        <v>139.21200000000002</v>
      </c>
      <c r="AA55" t="str">
        <f>CONCATENATE("M(",Q53,")=")</f>
        <v>M(3)=</v>
      </c>
      <c r="AB55">
        <f>X55+Z55</f>
        <v>335.24009999999998</v>
      </c>
      <c r="AE55" s="89">
        <f>SUM(AE53:AE54)</f>
        <v>24.11</v>
      </c>
      <c r="AG55" s="89">
        <f>SUM(AG53:AG54)</f>
        <v>36.36</v>
      </c>
      <c r="AH55" s="84" t="str">
        <f>CONCATENATE("m'(",AD54,")=")</f>
        <v>m'(3)=</v>
      </c>
      <c r="AI55" s="84">
        <f>(2*(AI52^2)/6*AG55)+(AI54*AD53*WLS)</f>
        <v>195.50160000000002</v>
      </c>
      <c r="AJ55" s="84" t="str">
        <f>CONCATENATE("M(",AD53,")=")</f>
        <v>M(2)=</v>
      </c>
      <c r="AK55" s="84">
        <f>VLOOKUP(AD53,STN_TABLE,4,FALSE)</f>
        <v>139.21200000000002</v>
      </c>
      <c r="AL55" t="str">
        <f>CONCATENATE("M(",AD54,")=")</f>
        <v>M(3)=</v>
      </c>
      <c r="AM55">
        <f>AI55+AK55</f>
        <v>334.71360000000004</v>
      </c>
      <c r="AO55" s="82" t="str">
        <f>AA55</f>
        <v>M(3)=</v>
      </c>
      <c r="AP55" s="82" t="e">
        <f>VLOOKUP(AO55,Rise_Results,2,FALSE)</f>
        <v>#N/A</v>
      </c>
      <c r="AQ55" s="82">
        <f>N55</f>
        <v>336.096</v>
      </c>
      <c r="AR55" s="82">
        <f>IF(OR(AB54&lt;=0,AB55&lt;=0),1/0,AB55)</f>
        <v>335.24009999999998</v>
      </c>
      <c r="AS55" s="82">
        <f>AM55</f>
        <v>334.71360000000004</v>
      </c>
      <c r="AT55">
        <f>IFERROR(AP55,IFERROR(AQ55,IFERROR(AR55,AS55)))</f>
        <v>336.096</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11.86</v>
      </c>
      <c r="E57" s="102">
        <v>1</v>
      </c>
      <c r="F57" s="68">
        <f>D57*E57</f>
        <v>11.86</v>
      </c>
      <c r="G57" s="69">
        <f>C57</f>
        <v>2</v>
      </c>
      <c r="H57" s="69">
        <f>F57*G57</f>
        <v>23.72</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12.25</v>
      </c>
      <c r="S57" s="69">
        <v>5</v>
      </c>
      <c r="T57" s="68">
        <f>R57*S57</f>
        <v>61.25</v>
      </c>
      <c r="U57" s="79">
        <v>3</v>
      </c>
      <c r="V57" s="68">
        <f>R57*U57</f>
        <v>36.75</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12.25</v>
      </c>
      <c r="E58" s="81">
        <v>4</v>
      </c>
      <c r="F58" s="76">
        <f>D58*E58</f>
        <v>49</v>
      </c>
      <c r="G58" s="77">
        <f>C58</f>
        <v>3</v>
      </c>
      <c r="H58" s="77">
        <f>F58*G58</f>
        <v>147</v>
      </c>
      <c r="I58" s="512" t="s">
        <v>97</v>
      </c>
      <c r="J58" s="513"/>
      <c r="K58" s="78" t="s">
        <v>98</v>
      </c>
      <c r="L58" s="78"/>
      <c r="M58" s="7" t="s">
        <v>99</v>
      </c>
      <c r="N58" s="7"/>
      <c r="O58" s="99">
        <f>O57+1</f>
        <v>7</v>
      </c>
      <c r="P58" s="99">
        <f t="shared" si="10"/>
        <v>4</v>
      </c>
      <c r="Q58" s="76">
        <f>P58</f>
        <v>4</v>
      </c>
      <c r="R58" s="77">
        <f>VLOOKUP(Q58,STN_TABLE,2,FALSE)</f>
        <v>12.25</v>
      </c>
      <c r="S58" s="77">
        <v>8</v>
      </c>
      <c r="T58" s="76">
        <f>R58*S58</f>
        <v>98</v>
      </c>
      <c r="U58" s="80">
        <v>10</v>
      </c>
      <c r="V58" s="76">
        <f>R58*U58</f>
        <v>122.5</v>
      </c>
      <c r="W58" s="78" t="s">
        <v>97</v>
      </c>
      <c r="X58" s="78"/>
      <c r="Y58" s="78" t="s">
        <v>98</v>
      </c>
      <c r="Z58" s="78"/>
      <c r="AA58" s="7" t="s">
        <v>99</v>
      </c>
      <c r="AB58" s="7"/>
      <c r="AC58" s="99">
        <f>AC53+1</f>
        <v>6</v>
      </c>
      <c r="AD58" s="95">
        <f>VLOOKUP(AC58,STN_TABLE_2,2,FALSE)</f>
        <v>3</v>
      </c>
      <c r="AE58" s="68">
        <f>VLOOKUP(AD58,STN_TABLE,2,FALSE)</f>
        <v>12.25</v>
      </c>
      <c r="AF58" s="68">
        <v>1</v>
      </c>
      <c r="AG58" s="69">
        <f>AE58*AF58</f>
        <v>12.25</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12.25</v>
      </c>
      <c r="E59" s="92">
        <v>1</v>
      </c>
      <c r="F59" s="82">
        <f>D59*E59</f>
        <v>12.25</v>
      </c>
      <c r="G59" s="83">
        <f>C59</f>
        <v>4</v>
      </c>
      <c r="H59" s="83">
        <f>F59*G59</f>
        <v>49</v>
      </c>
      <c r="I59" s="84" t="str">
        <f>CONCATENATE("a'(",C59,")=")</f>
        <v>a'(4)=</v>
      </c>
      <c r="J59" s="84">
        <f>2*J57/3*F60</f>
        <v>87.731999999999999</v>
      </c>
      <c r="K59" s="84" t="str">
        <f>CONCATENATE("A(",C57,")=")</f>
        <v>A(2)=</v>
      </c>
      <c r="L59" s="84">
        <f>VLOOKUP(C57,STN_TABLE,3,FALSE)</f>
        <v>69.245999999999995</v>
      </c>
      <c r="M59" t="str">
        <f>CONCATENATE("A(",C59,")=")</f>
        <v>A(4)=</v>
      </c>
      <c r="N59">
        <f>J59+L59</f>
        <v>156.97800000000001</v>
      </c>
      <c r="O59" s="99">
        <f>O58+1</f>
        <v>8</v>
      </c>
      <c r="P59" s="99">
        <f t="shared" si="10"/>
        <v>5</v>
      </c>
      <c r="Q59" s="82">
        <f>IF(P59-P58=P58-P57,P59,IF(P60-P58=P58-P57,P60,IF(P59-P58=P58-P56,P59,IF(P60-P58=P58-P56,P60,"-"))))</f>
        <v>5</v>
      </c>
      <c r="R59" s="83">
        <f>VLOOKUP(Q59,STN_TABLE,2,FALSE)</f>
        <v>12.25</v>
      </c>
      <c r="S59" s="83">
        <v>-1</v>
      </c>
      <c r="T59" s="82">
        <f>R59*S59</f>
        <v>-12.25</v>
      </c>
      <c r="U59" s="88">
        <v>-1</v>
      </c>
      <c r="V59" s="82">
        <f>R59*U59</f>
        <v>-12.25</v>
      </c>
      <c r="W59" s="84" t="str">
        <f>CONCATENATE("a'(",Q58,")=")</f>
        <v>a'(4)=</v>
      </c>
      <c r="X59" s="84">
        <f>2*X57/12*T60</f>
        <v>44.1</v>
      </c>
      <c r="Y59" s="84" t="str">
        <f>CONCATENATE("A(",Q57,")=")</f>
        <v>A(3)=</v>
      </c>
      <c r="Z59" s="84">
        <f>VLOOKUP(Q57,STN_TABLE,3,FALSE)</f>
        <v>112.91399999999999</v>
      </c>
      <c r="AA59" t="str">
        <f>CONCATENATE("A(",Q58,")=")</f>
        <v>A(4)=</v>
      </c>
      <c r="AB59">
        <f>X59+Z59</f>
        <v>157.01399999999998</v>
      </c>
      <c r="AC59" s="99">
        <f>AC58+1</f>
        <v>7</v>
      </c>
      <c r="AD59" s="100">
        <f>VLOOKUP(AC59,STN_TABLE_2,2,FALSE)</f>
        <v>4</v>
      </c>
      <c r="AE59" s="82">
        <f>VLOOKUP(AD59,STN_TABLE,2,FALSE)</f>
        <v>12.25</v>
      </c>
      <c r="AF59" s="82">
        <v>2</v>
      </c>
      <c r="AG59" s="83">
        <f>AE59*AF59</f>
        <v>24.5</v>
      </c>
      <c r="AH59" s="84" t="str">
        <f>CONCATENATE("a'(",AD59,")=")</f>
        <v>a'(4)=</v>
      </c>
      <c r="AI59" s="84">
        <f>2*AI57/2*AE60</f>
        <v>44.1</v>
      </c>
      <c r="AJ59" s="84" t="str">
        <f>CONCATENATE("A(",AD58,")=")</f>
        <v>A(3)=</v>
      </c>
      <c r="AK59" s="84">
        <f>VLOOKUP(AD58,STN_TABLE,3,FALSE)</f>
        <v>112.91399999999999</v>
      </c>
      <c r="AL59" t="str">
        <f>CONCATENATE("A(",AD59,")=")</f>
        <v>A(4)=</v>
      </c>
      <c r="AM59">
        <f>AI59+AK59</f>
        <v>157.01399999999998</v>
      </c>
      <c r="AO59" s="68" t="str">
        <f>AA59</f>
        <v>A(4)=</v>
      </c>
      <c r="AP59" s="68" t="e">
        <f>VLOOKUP(AO59,Rise_Results,2,FALSE)</f>
        <v>#N/A</v>
      </c>
      <c r="AQ59" s="76">
        <f>N59</f>
        <v>156.97800000000001</v>
      </c>
      <c r="AR59" s="76">
        <f>IF(OR(AB59&lt;=0,AB60&lt;=0),1/0,AB59)</f>
        <v>157.01399999999998</v>
      </c>
      <c r="AS59" s="76">
        <f>AM59</f>
        <v>157.01399999999998</v>
      </c>
      <c r="AT59">
        <f>IFERROR(AP59,IFERROR(AQ59,IFERROR(AR59,AS59)))</f>
        <v>156.97800000000001</v>
      </c>
      <c r="AU59" s="81"/>
    </row>
    <row r="60" spans="1:47" x14ac:dyDescent="0.25">
      <c r="A60" s="84">
        <f>A59+1</f>
        <v>7</v>
      </c>
      <c r="B60" s="84">
        <f t="shared" si="11"/>
        <v>4</v>
      </c>
      <c r="F60" s="82">
        <f>SUM(F57:F59)</f>
        <v>73.11</v>
      </c>
      <c r="H60" s="82">
        <f>SUM(H57:H59)</f>
        <v>219.72</v>
      </c>
      <c r="I60" s="84" t="str">
        <f>CONCATENATE("m'(",C59,")=")</f>
        <v>m'(4)=</v>
      </c>
      <c r="J60" s="84">
        <f>2*(J57*(WLS))/3*H60</f>
        <v>474.59520000000003</v>
      </c>
      <c r="K60" s="84" t="str">
        <f>CONCATENATE("M(",C57,")=")</f>
        <v>M(2)=</v>
      </c>
      <c r="L60" s="84">
        <f>VLOOKUP(C57,STN_TABLE,4,FALSE)</f>
        <v>139.21200000000002</v>
      </c>
      <c r="M60" t="str">
        <f>CONCATENATE("M(",C59,")=")</f>
        <v>M(4)=</v>
      </c>
      <c r="N60">
        <f>J60+L60</f>
        <v>613.80720000000008</v>
      </c>
      <c r="O60" s="99">
        <f>O59+1</f>
        <v>9</v>
      </c>
      <c r="P60" s="99">
        <f t="shared" si="10"/>
        <v>5.6111111111111107</v>
      </c>
      <c r="T60" s="89">
        <f>SUM(T57:T59)</f>
        <v>147</v>
      </c>
      <c r="V60" s="82">
        <f>SUM(V57:V59)</f>
        <v>147</v>
      </c>
      <c r="W60" s="84" t="str">
        <f>CONCATENATE("m'(",Q58,")=")</f>
        <v>m'(4)=</v>
      </c>
      <c r="X60" s="84">
        <f>(2*(X57^2)/24*V60)+(X59*Q57*WLS)</f>
        <v>277.83000000000004</v>
      </c>
      <c r="Y60" s="84" t="str">
        <f>CONCATENATE("M(",Q57,")=")</f>
        <v>M(3)=</v>
      </c>
      <c r="Z60" s="84">
        <f>VLOOKUP(Q57,STN_TABLE,4,FALSE)</f>
        <v>336.096</v>
      </c>
      <c r="AA60" t="str">
        <f>CONCATENATE("M(",Q58,")=")</f>
        <v>M(4)=</v>
      </c>
      <c r="AB60">
        <f>X60+Z60</f>
        <v>613.92600000000004</v>
      </c>
      <c r="AE60" s="89">
        <f>SUM(AE58:AE59)</f>
        <v>24.5</v>
      </c>
      <c r="AG60" s="89">
        <f>SUM(AG58:AG59)</f>
        <v>36.75</v>
      </c>
      <c r="AH60" s="84" t="str">
        <f>CONCATENATE("m'(",AD59,")=")</f>
        <v>m'(4)=</v>
      </c>
      <c r="AI60" s="84">
        <f>(2*(AI57^2)/6*AG60)+(AI59*AD58*WLS)</f>
        <v>277.83000000000004</v>
      </c>
      <c r="AJ60" s="84" t="str">
        <f>CONCATENATE("M(",AD58,")=")</f>
        <v>M(3)=</v>
      </c>
      <c r="AK60" s="84">
        <f>VLOOKUP(AD57,STN_TABLE,4,FALSE)</f>
        <v>0</v>
      </c>
      <c r="AL60" t="str">
        <f>CONCATENATE("M(",AD59,")=")</f>
        <v>M(4)=</v>
      </c>
      <c r="AM60">
        <f>AI60+AK60</f>
        <v>277.83000000000004</v>
      </c>
      <c r="AO60" s="82" t="str">
        <f>AA60</f>
        <v>M(4)=</v>
      </c>
      <c r="AP60" s="82" t="e">
        <f>VLOOKUP(AO60,Rise_Results,2,FALSE)</f>
        <v>#N/A</v>
      </c>
      <c r="AQ60" s="82">
        <f>N60</f>
        <v>613.80720000000008</v>
      </c>
      <c r="AR60" s="82">
        <f>IF(OR(AB59&lt;=0,AB60&lt;=0),1/0,AB60)</f>
        <v>613.92600000000004</v>
      </c>
      <c r="AS60" s="82">
        <f>AM60</f>
        <v>277.83000000000004</v>
      </c>
      <c r="AT60">
        <f>IFERROR(AP60,IFERROR(AQ60,IFERROR(AR60,AS60)))</f>
        <v>613.80720000000008</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12.25</v>
      </c>
      <c r="E62" s="102">
        <v>1</v>
      </c>
      <c r="F62" s="68">
        <f>D62*E62</f>
        <v>12.25</v>
      </c>
      <c r="G62" s="69">
        <f>C62</f>
        <v>3</v>
      </c>
      <c r="H62" s="69">
        <f>F62*G62</f>
        <v>36.75</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12.25</v>
      </c>
      <c r="S62" s="69">
        <v>5</v>
      </c>
      <c r="T62" s="68">
        <f>R62*S62</f>
        <v>61.25</v>
      </c>
      <c r="U62" s="79">
        <v>3</v>
      </c>
      <c r="V62" s="68">
        <f>R62*U62</f>
        <v>36.75</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12.25</v>
      </c>
      <c r="E63" s="81">
        <v>4</v>
      </c>
      <c r="F63" s="76">
        <f>D63*E63</f>
        <v>49</v>
      </c>
      <c r="G63" s="77">
        <f>C63</f>
        <v>4</v>
      </c>
      <c r="H63" s="77">
        <f>F63*G63</f>
        <v>196</v>
      </c>
      <c r="I63" s="512" t="s">
        <v>97</v>
      </c>
      <c r="J63" s="513"/>
      <c r="K63" s="78" t="s">
        <v>98</v>
      </c>
      <c r="L63" s="78"/>
      <c r="M63" s="7" t="s">
        <v>99</v>
      </c>
      <c r="N63" s="7"/>
      <c r="O63" s="99">
        <f>O62+1</f>
        <v>8</v>
      </c>
      <c r="P63" s="99">
        <f t="shared" si="10"/>
        <v>5</v>
      </c>
      <c r="Q63" s="76">
        <f>P63</f>
        <v>5</v>
      </c>
      <c r="R63" s="77">
        <f>VLOOKUP(Q63,STN_TABLE,2,FALSE)</f>
        <v>12.25</v>
      </c>
      <c r="S63" s="77">
        <v>8</v>
      </c>
      <c r="T63" s="76">
        <f>R63*S63</f>
        <v>98</v>
      </c>
      <c r="U63" s="80">
        <v>10</v>
      </c>
      <c r="V63" s="76">
        <f>R63*U63</f>
        <v>122.5</v>
      </c>
      <c r="W63" s="513" t="s">
        <v>97</v>
      </c>
      <c r="X63" s="513"/>
      <c r="Y63" s="513" t="s">
        <v>98</v>
      </c>
      <c r="Z63" s="513"/>
      <c r="AA63" s="511" t="s">
        <v>99</v>
      </c>
      <c r="AB63" s="511"/>
      <c r="AC63" s="99">
        <f>AC58+1</f>
        <v>7</v>
      </c>
      <c r="AD63" s="95">
        <f>VLOOKUP(AC63,STN_TABLE_2,2,FALSE)</f>
        <v>4</v>
      </c>
      <c r="AE63" s="68">
        <f>VLOOKUP(AD63,STN_TABLE,2,FALSE)</f>
        <v>12.25</v>
      </c>
      <c r="AF63" s="68">
        <v>1</v>
      </c>
      <c r="AG63" s="69">
        <f>AE63*AF63</f>
        <v>12.25</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12.25</v>
      </c>
      <c r="E64" s="92">
        <v>1</v>
      </c>
      <c r="F64" s="82">
        <f>D64*E64</f>
        <v>12.25</v>
      </c>
      <c r="G64" s="83">
        <f>C64</f>
        <v>5</v>
      </c>
      <c r="H64" s="83">
        <f>F64*G64</f>
        <v>61.25</v>
      </c>
      <c r="I64" s="84" t="str">
        <f>CONCATENATE("a'(",C64,")=")</f>
        <v>a'(5)=</v>
      </c>
      <c r="J64" s="84">
        <f>2*J62/3*F65</f>
        <v>88.2</v>
      </c>
      <c r="K64" s="84" t="str">
        <f>CONCATENATE("A(",C62,")=")</f>
        <v>A(3)=</v>
      </c>
      <c r="L64" s="84">
        <f>VLOOKUP(C62,STN_TABLE,3,FALSE)</f>
        <v>112.91399999999999</v>
      </c>
      <c r="M64" t="str">
        <f>CONCATENATE("A(",C64,")=")</f>
        <v>A(5)=</v>
      </c>
      <c r="N64">
        <f>J64+L64</f>
        <v>201.11399999999998</v>
      </c>
      <c r="O64" s="99">
        <f>O63+1</f>
        <v>9</v>
      </c>
      <c r="P64" s="99">
        <f t="shared" si="10"/>
        <v>5.6111111111111107</v>
      </c>
      <c r="Q64" s="82">
        <f>IF(P64-P63=P63-P62,P64,IF(P65-P63=P63-P62,P65,IF(P64-P63=P63-P61,P64,IF(P65-P63=P63-P61,P65,"-"))))</f>
        <v>6</v>
      </c>
      <c r="R64" s="83">
        <f>VLOOKUP(Q64,STN_TABLE,2,FALSE)</f>
        <v>12.25</v>
      </c>
      <c r="S64" s="83">
        <v>-1</v>
      </c>
      <c r="T64" s="82">
        <f>R64*S64</f>
        <v>-12.25</v>
      </c>
      <c r="U64" s="88">
        <v>-1</v>
      </c>
      <c r="V64" s="82">
        <f>R64*U64</f>
        <v>-12.25</v>
      </c>
      <c r="W64" s="84" t="str">
        <f>CONCATENATE("a'(",Q63,")=")</f>
        <v>a'(5)=</v>
      </c>
      <c r="X64" s="84">
        <f>2*X62/12*T65</f>
        <v>44.1</v>
      </c>
      <c r="Y64" s="84" t="str">
        <f>CONCATENATE("A(",Q62,")=")</f>
        <v>A(4)=</v>
      </c>
      <c r="Z64" s="84">
        <f>VLOOKUP(Q62,STN_TABLE,3,FALSE)</f>
        <v>156.97800000000001</v>
      </c>
      <c r="AA64" t="str">
        <f>CONCATENATE("A(",Q63,")=")</f>
        <v>A(5)=</v>
      </c>
      <c r="AB64">
        <f>X64+Z64</f>
        <v>201.078</v>
      </c>
      <c r="AC64" s="99">
        <f>AC63+1</f>
        <v>8</v>
      </c>
      <c r="AD64" s="100">
        <f>VLOOKUP(AC64,STN_TABLE_2,2,FALSE)</f>
        <v>5</v>
      </c>
      <c r="AE64" s="82">
        <f>VLOOKUP(AD64,STN_TABLE,2,FALSE)</f>
        <v>12.25</v>
      </c>
      <c r="AF64" s="82">
        <v>2</v>
      </c>
      <c r="AG64" s="83">
        <f>AE64*AF64</f>
        <v>24.5</v>
      </c>
      <c r="AH64" s="84" t="str">
        <f>CONCATENATE("a'(",AD64,")=")</f>
        <v>a'(5)=</v>
      </c>
      <c r="AI64" s="84">
        <f>2*AI62/2*AE65</f>
        <v>44.1</v>
      </c>
      <c r="AJ64" s="84" t="str">
        <f>CONCATENATE("A(",AD63,")=")</f>
        <v>A(4)=</v>
      </c>
      <c r="AK64" s="84">
        <f>VLOOKUP(AD63,STN_TABLE,3,FALSE)</f>
        <v>156.97800000000001</v>
      </c>
      <c r="AL64" t="str">
        <f>CONCATENATE("A(",AD64,")=")</f>
        <v>A(5)=</v>
      </c>
      <c r="AM64">
        <f>AI64+AK64</f>
        <v>201.078</v>
      </c>
      <c r="AO64" s="68" t="str">
        <f>AA64</f>
        <v>A(5)=</v>
      </c>
      <c r="AP64" s="68" t="e">
        <f>VLOOKUP(AO64,Rise_Results,2,FALSE)</f>
        <v>#N/A</v>
      </c>
      <c r="AQ64" s="76">
        <f>N64</f>
        <v>201.11399999999998</v>
      </c>
      <c r="AR64" s="76">
        <f>IF(OR(AB64&lt;=0,AB65&lt;=0),1/0,AB64)</f>
        <v>201.078</v>
      </c>
      <c r="AS64" s="76">
        <f>AM64</f>
        <v>201.078</v>
      </c>
      <c r="AT64">
        <f>IFERROR(AP64,IFERROR(AQ64,IFERROR(AR64,AS64)))</f>
        <v>201.11399999999998</v>
      </c>
      <c r="AU64" s="81"/>
    </row>
    <row r="65" spans="1:47" x14ac:dyDescent="0.25">
      <c r="A65" s="84">
        <f>A64+1</f>
        <v>8</v>
      </c>
      <c r="B65" s="84">
        <f t="shared" si="11"/>
        <v>5</v>
      </c>
      <c r="F65" s="82">
        <f>SUM(F62:F64)</f>
        <v>73.5</v>
      </c>
      <c r="H65" s="82">
        <f>SUM(H62:H64)</f>
        <v>294</v>
      </c>
      <c r="I65" s="84" t="str">
        <f>CONCATENATE("m'(",C64,")=")</f>
        <v>m'(5)=</v>
      </c>
      <c r="J65" s="84">
        <f>2*(J62*(WLS))/3*H65</f>
        <v>635.04000000000008</v>
      </c>
      <c r="K65" s="84" t="str">
        <f>CONCATENATE("M(",C62,")=")</f>
        <v>M(3)=</v>
      </c>
      <c r="L65" s="84">
        <f>VLOOKUP(C62,STN_TABLE,4,FALSE)</f>
        <v>336.096</v>
      </c>
      <c r="M65" t="str">
        <f>CONCATENATE("M(",C64,")=")</f>
        <v>M(5)=</v>
      </c>
      <c r="N65">
        <f>J65+L65</f>
        <v>971.13600000000008</v>
      </c>
      <c r="O65" s="99">
        <f>O64+1</f>
        <v>10</v>
      </c>
      <c r="P65" s="99">
        <f t="shared" si="10"/>
        <v>6</v>
      </c>
      <c r="T65" s="89">
        <f>SUM(T62:T64)</f>
        <v>147</v>
      </c>
      <c r="V65" s="82">
        <f>SUM(V62:V64)</f>
        <v>147</v>
      </c>
      <c r="W65" s="84" t="str">
        <f>CONCATENATE("m'(",Q63,")=")</f>
        <v>m'(5)=</v>
      </c>
      <c r="X65" s="84">
        <f>(2*(X62^2)/24*V65)+(X64*Q62*WLS)</f>
        <v>357.21000000000004</v>
      </c>
      <c r="Y65" s="84" t="str">
        <f>CONCATENATE("M(",Q62,")=")</f>
        <v>M(4)=</v>
      </c>
      <c r="Z65" s="84">
        <f>VLOOKUP(Q62,STN_TABLE,4,FALSE)</f>
        <v>613.80720000000008</v>
      </c>
      <c r="AA65" t="str">
        <f>CONCATENATE("M(",Q63,")=")</f>
        <v>M(5)=</v>
      </c>
      <c r="AB65">
        <f>X65+Z65</f>
        <v>971.01720000000012</v>
      </c>
      <c r="AE65" s="89">
        <f>SUM(AE63:AE64)</f>
        <v>24.5</v>
      </c>
      <c r="AG65" s="89">
        <f>SUM(AG63:AG64)</f>
        <v>36.75</v>
      </c>
      <c r="AH65" s="84" t="str">
        <f>CONCATENATE("m'(",AD64,")=")</f>
        <v>m'(5)=</v>
      </c>
      <c r="AI65" s="84">
        <f>(2*(AI62^2)/6*AG65)+(AI64*AD63*WLS)</f>
        <v>357.21000000000004</v>
      </c>
      <c r="AJ65" s="84" t="str">
        <f>CONCATENATE("M(",AD63,")=")</f>
        <v>M(4)=</v>
      </c>
      <c r="AK65" s="84">
        <f>VLOOKUP(AD63,STN_TABLE,4,FALSE)</f>
        <v>613.80720000000008</v>
      </c>
      <c r="AL65" t="str">
        <f>CONCATENATE("M(",AD64,")=")</f>
        <v>M(5)=</v>
      </c>
      <c r="AM65">
        <f>AI65+AK65</f>
        <v>971.01720000000012</v>
      </c>
      <c r="AO65" s="82" t="str">
        <f>AA65</f>
        <v>M(5)=</v>
      </c>
      <c r="AP65" s="82" t="e">
        <f>VLOOKUP(AO65,Rise_Results,2,FALSE)</f>
        <v>#N/A</v>
      </c>
      <c r="AQ65" s="82">
        <f>N65</f>
        <v>971.13600000000008</v>
      </c>
      <c r="AR65" s="82">
        <f>IF(OR(AB64&lt;=0,AB65&lt;=0),1/0,AB65)</f>
        <v>971.01720000000012</v>
      </c>
      <c r="AS65" s="82">
        <f>AM65</f>
        <v>971.01720000000012</v>
      </c>
      <c r="AT65">
        <f>IFERROR(AP65,IFERROR(AQ65,IFERROR(AR65,AS65)))</f>
        <v>971.13600000000008</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12.25</v>
      </c>
      <c r="S68" s="77">
        <v>8</v>
      </c>
      <c r="T68" s="76">
        <f>R68*S68</f>
        <v>98</v>
      </c>
      <c r="U68" s="80">
        <v>10</v>
      </c>
      <c r="V68" s="76">
        <f>R68*U68</f>
        <v>122.5</v>
      </c>
      <c r="W68" s="513" t="s">
        <v>97</v>
      </c>
      <c r="X68" s="513"/>
      <c r="Y68" s="513" t="s">
        <v>98</v>
      </c>
      <c r="Z68" s="513"/>
      <c r="AA68" s="511" t="s">
        <v>99</v>
      </c>
      <c r="AB68" s="511"/>
      <c r="AC68" s="99">
        <f>AC63+1</f>
        <v>8</v>
      </c>
      <c r="AD68" s="95">
        <f>VLOOKUP(AC68,STN_TABLE_2,2,FALSE)</f>
        <v>5</v>
      </c>
      <c r="AE68" s="68">
        <f>VLOOKUP(AD68,STN_TABLE,2,FALSE)</f>
        <v>12.25</v>
      </c>
      <c r="AF68" s="68">
        <v>1</v>
      </c>
      <c r="AG68" s="69">
        <f>AE68*AF68</f>
        <v>12.25</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12.25</v>
      </c>
      <c r="E69" s="92">
        <v>1</v>
      </c>
      <c r="F69" s="82">
        <f>D69*E69</f>
        <v>12.25</v>
      </c>
      <c r="G69" s="83">
        <f>C69</f>
        <v>5.6111111111111107</v>
      </c>
      <c r="H69" s="83">
        <f>F69*G69</f>
        <v>68.7361111111111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12.25</v>
      </c>
      <c r="AF69" s="82">
        <v>2</v>
      </c>
      <c r="AG69" s="83">
        <f>AE69*AF69</f>
        <v>24.5</v>
      </c>
      <c r="AH69" s="84" t="str">
        <f>CONCATENATE("a'(",AD69,")=")</f>
        <v>a'(5.61111111111111)=</v>
      </c>
      <c r="AI69" s="84">
        <f>2*AI67/2*AE70</f>
        <v>26.949999999999985</v>
      </c>
      <c r="AJ69" s="84" t="str">
        <f>CONCATENATE("A(",AD68,")=")</f>
        <v>A(5)=</v>
      </c>
      <c r="AK69" s="84">
        <f>VLOOKUP(AD68,STN_TABLE,3,FALSE)</f>
        <v>201.11399999999998</v>
      </c>
      <c r="AL69" t="str">
        <f>CONCATENATE("A(",AD69,")=")</f>
        <v>A(5.61111111111111)=</v>
      </c>
      <c r="AM69">
        <f>AI69+AK69</f>
        <v>228.06399999999996</v>
      </c>
      <c r="AO69" s="68" t="str">
        <f>AA69</f>
        <v>A(5.61111111111111)=</v>
      </c>
      <c r="AP69" s="68" t="e">
        <f>VLOOKUP(AO69,Rise_Results,2,FALSE)</f>
        <v>#N/A</v>
      </c>
      <c r="AQ69" s="76" t="e">
        <f>N69</f>
        <v>#N/A</v>
      </c>
      <c r="AR69" s="76" t="e">
        <f>IF(OR(AB69&lt;=0,AB70&lt;=0),1/0,AB69)</f>
        <v>#VALUE!</v>
      </c>
      <c r="AS69" s="76">
        <f>AM69</f>
        <v>228.06399999999996</v>
      </c>
      <c r="AT69">
        <f>IFERROR(AP69,IFERROR(AQ69,IFERROR(AR69,AS69)))</f>
        <v>228.06399999999996</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24.5</v>
      </c>
      <c r="AG70" s="89">
        <f>SUM(AG68:AG69)</f>
        <v>36.75</v>
      </c>
      <c r="AH70" s="84" t="str">
        <f>CONCATENATE("m'(",AD69,")=")</f>
        <v>m'(5.61111111111111)=</v>
      </c>
      <c r="AI70" s="84">
        <f>(2*(AI67^2)/6*AG70)+(AI69*AD68*WLS)</f>
        <v>257.37249999999983</v>
      </c>
      <c r="AJ70" s="84" t="str">
        <f>CONCATENATE("M(",AD68,")=")</f>
        <v>M(5)=</v>
      </c>
      <c r="AK70" s="84">
        <f>VLOOKUP(AD68,STN_TABLE,4,FALSE)</f>
        <v>971.13600000000008</v>
      </c>
      <c r="AL70" t="str">
        <f>CONCATENATE("M(",AD69,")=")</f>
        <v>M(5.61111111111111)=</v>
      </c>
      <c r="AM70">
        <f>AI70+AK70</f>
        <v>1228.5084999999999</v>
      </c>
      <c r="AO70" s="82" t="str">
        <f>AA70</f>
        <v>M(5.61111111111111)=</v>
      </c>
      <c r="AP70" s="82" t="e">
        <f>VLOOKUP(AO70,Rise_Results,2,FALSE)</f>
        <v>#N/A</v>
      </c>
      <c r="AQ70" s="82" t="e">
        <f>N70</f>
        <v>#N/A</v>
      </c>
      <c r="AR70" s="82" t="e">
        <f>IF(OR(AB69&lt;=0,AB70&lt;=0),1/0,AB70)</f>
        <v>#VALUE!</v>
      </c>
      <c r="AS70" s="82">
        <f>AM70</f>
        <v>1228.5084999999999</v>
      </c>
      <c r="AT70">
        <f>IFERROR(AP70,IFERROR(AQ70,IFERROR(AR70,AS70)))</f>
        <v>1228.5084999999999</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12.25</v>
      </c>
      <c r="E72" s="102">
        <v>1</v>
      </c>
      <c r="F72" s="68">
        <f>D72*E72</f>
        <v>12.25</v>
      </c>
      <c r="G72" s="69">
        <f>C72</f>
        <v>4</v>
      </c>
      <c r="H72" s="69">
        <f>F72*G72</f>
        <v>49</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12.25</v>
      </c>
      <c r="S72" s="69">
        <v>5</v>
      </c>
      <c r="T72" s="68">
        <f>R72*S72</f>
        <v>61.25</v>
      </c>
      <c r="U72" s="79">
        <v>3</v>
      </c>
      <c r="V72" s="68">
        <f>R72*U72</f>
        <v>36.75</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12.25</v>
      </c>
      <c r="E73" s="81">
        <v>4</v>
      </c>
      <c r="F73" s="76">
        <f>D73*E73</f>
        <v>49</v>
      </c>
      <c r="G73" s="77">
        <f>C73</f>
        <v>5</v>
      </c>
      <c r="H73" s="77">
        <f>F73*G73</f>
        <v>245</v>
      </c>
      <c r="I73" s="512" t="s">
        <v>97</v>
      </c>
      <c r="J73" s="513"/>
      <c r="K73" s="78" t="s">
        <v>98</v>
      </c>
      <c r="L73" s="78"/>
      <c r="M73" s="7" t="s">
        <v>99</v>
      </c>
      <c r="N73" s="7"/>
      <c r="O73" s="99">
        <f>O72+1</f>
        <v>10</v>
      </c>
      <c r="P73" s="99">
        <f t="shared" si="23"/>
        <v>6</v>
      </c>
      <c r="Q73" s="76">
        <f>P73</f>
        <v>6</v>
      </c>
      <c r="R73" s="77">
        <f>VLOOKUP(Q73,STN_TABLE,2,FALSE)</f>
        <v>12.25</v>
      </c>
      <c r="S73" s="77">
        <v>8</v>
      </c>
      <c r="T73" s="76">
        <f>R73*S73</f>
        <v>98</v>
      </c>
      <c r="U73" s="80">
        <v>10</v>
      </c>
      <c r="V73" s="76">
        <f>R73*U73</f>
        <v>122.5</v>
      </c>
      <c r="W73" s="513" t="s">
        <v>97</v>
      </c>
      <c r="X73" s="513"/>
      <c r="Y73" s="513" t="s">
        <v>98</v>
      </c>
      <c r="Z73" s="513"/>
      <c r="AA73" s="511" t="s">
        <v>99</v>
      </c>
      <c r="AB73" s="511"/>
      <c r="AC73" s="99">
        <f>AC68+1</f>
        <v>9</v>
      </c>
      <c r="AD73" s="95">
        <f>VLOOKUP(AC73,STN_TABLE_2,2,FALSE)</f>
        <v>5.6111111111111107</v>
      </c>
      <c r="AE73" s="68">
        <f>VLOOKUP(AD73,STN_TABLE,2,FALSE)</f>
        <v>12.25</v>
      </c>
      <c r="AF73" s="68">
        <v>1</v>
      </c>
      <c r="AG73" s="69">
        <f>AE73*AF73</f>
        <v>12.25</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12.25</v>
      </c>
      <c r="E74" s="92">
        <v>1</v>
      </c>
      <c r="F74" s="82">
        <f>D74*E74</f>
        <v>12.25</v>
      </c>
      <c r="G74" s="83">
        <f>C74</f>
        <v>6</v>
      </c>
      <c r="H74" s="83">
        <f>F74*G74</f>
        <v>73.5</v>
      </c>
      <c r="I74" s="84" t="str">
        <f>CONCATENATE("a'(",C74,")=")</f>
        <v>a'(6)=</v>
      </c>
      <c r="J74" s="84">
        <f>2*J72/3*F75</f>
        <v>88.2</v>
      </c>
      <c r="K74" s="84" t="str">
        <f>CONCATENATE("A(",C72,")=")</f>
        <v>A(4)=</v>
      </c>
      <c r="L74" s="84">
        <f>VLOOKUP(C72,STN_TABLE,3,FALSE)</f>
        <v>156.97800000000001</v>
      </c>
      <c r="M74" t="str">
        <f>CONCATENATE("A(",C74,")=")</f>
        <v>A(6)=</v>
      </c>
      <c r="N74">
        <f>J74+L74</f>
        <v>245.178</v>
      </c>
      <c r="O74" s="99">
        <f>O73+1</f>
        <v>11</v>
      </c>
      <c r="P74" s="99">
        <f t="shared" si="23"/>
        <v>7</v>
      </c>
      <c r="Q74" s="82">
        <f>IF(P74-P73=P73-P72,P74,IF(P75-P73=P73-P72,P75,IF(P74-P73=P73-P71,P74,IF(P75-P73=P73-P71,P75,"-"))))</f>
        <v>7</v>
      </c>
      <c r="R74" s="83">
        <f>VLOOKUP(Q74,STN_TABLE,2,FALSE)</f>
        <v>12.25</v>
      </c>
      <c r="S74" s="83">
        <v>-1</v>
      </c>
      <c r="T74" s="82">
        <f>R74*S74</f>
        <v>-12.25</v>
      </c>
      <c r="U74" s="88">
        <v>-1</v>
      </c>
      <c r="V74" s="82">
        <f>R74*U74</f>
        <v>-12.25</v>
      </c>
      <c r="W74" s="84" t="str">
        <f>CONCATENATE("a'(",Q73,")=")</f>
        <v>a'(6)=</v>
      </c>
      <c r="X74" s="84">
        <f>2*X72/12*T75</f>
        <v>44.1</v>
      </c>
      <c r="Y74" s="84" t="str">
        <f>CONCATENATE("A(",Q72,")=")</f>
        <v>A(5)=</v>
      </c>
      <c r="Z74" s="84">
        <f>VLOOKUP(Q72,STN_TABLE,3,FALSE)</f>
        <v>201.11399999999998</v>
      </c>
      <c r="AA74" t="str">
        <f>CONCATENATE("A(",Q73,")=")</f>
        <v>A(6)=</v>
      </c>
      <c r="AB74">
        <f>X74+Z74</f>
        <v>245.21399999999997</v>
      </c>
      <c r="AC74" s="99">
        <f>AC73+1</f>
        <v>10</v>
      </c>
      <c r="AD74" s="100">
        <f>VLOOKUP(AC74,STN_TABLE_2,2,FALSE)</f>
        <v>6</v>
      </c>
      <c r="AE74" s="82">
        <f>VLOOKUP(AD74,STN_TABLE,2,FALSE)</f>
        <v>12.25</v>
      </c>
      <c r="AF74" s="82">
        <v>2</v>
      </c>
      <c r="AG74" s="83">
        <f>AE74*AF74</f>
        <v>24.5</v>
      </c>
      <c r="AH74" s="84" t="str">
        <f>CONCATENATE("a'(",AD74,")=")</f>
        <v>a'(6)=</v>
      </c>
      <c r="AI74" s="84">
        <f>2*AI72/2*AE75</f>
        <v>17.150000000000016</v>
      </c>
      <c r="AJ74" s="84" t="str">
        <f>CONCATENATE("A(",AD73,")=")</f>
        <v>A(5.61111111111111)=</v>
      </c>
      <c r="AK74" s="84">
        <f>VLOOKUP(AD73,STN_TABLE,3,FALSE)</f>
        <v>228.06399999999996</v>
      </c>
      <c r="AL74" t="str">
        <f>CONCATENATE("A(",AD74,")=")</f>
        <v>A(6)=</v>
      </c>
      <c r="AM74">
        <f>AI74+AK74</f>
        <v>245.21399999999997</v>
      </c>
      <c r="AO74" s="68" t="str">
        <f>AA74</f>
        <v>A(6)=</v>
      </c>
      <c r="AP74" s="68" t="e">
        <f>VLOOKUP(AO74,Rise_Results,2,FALSE)</f>
        <v>#N/A</v>
      </c>
      <c r="AQ74" s="76">
        <f>N74</f>
        <v>245.178</v>
      </c>
      <c r="AR74" s="76">
        <f>IF(OR(AB74&lt;=0,AB75&lt;=0),1/0,AB74)</f>
        <v>245.21399999999997</v>
      </c>
      <c r="AS74" s="76">
        <f>AM74</f>
        <v>245.21399999999997</v>
      </c>
      <c r="AT74">
        <f>IFERROR(AP74,IFERROR(AQ74,IFERROR(AR74,AS74)))</f>
        <v>245.178</v>
      </c>
      <c r="AU74" s="81"/>
    </row>
    <row r="75" spans="1:47" x14ac:dyDescent="0.25">
      <c r="A75" s="84">
        <f>A74+1</f>
        <v>10</v>
      </c>
      <c r="B75" s="84">
        <f t="shared" si="27"/>
        <v>6</v>
      </c>
      <c r="F75" s="82">
        <f>SUM(F72:F74)</f>
        <v>73.5</v>
      </c>
      <c r="H75" s="82">
        <f>SUM(H72:H74)</f>
        <v>367.5</v>
      </c>
      <c r="I75" s="84" t="str">
        <f>CONCATENATE("m'(",C74,")=")</f>
        <v>m'(6)=</v>
      </c>
      <c r="J75" s="84">
        <f>2*(J72*(WLS))/3*H75</f>
        <v>793.80000000000007</v>
      </c>
      <c r="K75" s="84" t="str">
        <f>CONCATENATE("M(",C72,")=")</f>
        <v>M(4)=</v>
      </c>
      <c r="L75" s="84">
        <f>VLOOKUP(C72,STN_TABLE,4,FALSE)</f>
        <v>613.80720000000008</v>
      </c>
      <c r="M75" t="str">
        <f>CONCATENATE("M(",C74,")=")</f>
        <v>M(6)=</v>
      </c>
      <c r="N75">
        <f>J75+L75</f>
        <v>1407.6072000000001</v>
      </c>
      <c r="O75" s="99">
        <f>O74+1</f>
        <v>12</v>
      </c>
      <c r="P75" s="99">
        <f t="shared" si="23"/>
        <v>7.8833333333333329</v>
      </c>
      <c r="T75" s="89">
        <f>SUM(T72:T74)</f>
        <v>147</v>
      </c>
      <c r="V75" s="82">
        <f>SUM(V72:V74)</f>
        <v>147</v>
      </c>
      <c r="W75" s="84" t="str">
        <f>CONCATENATE("m'(",Q73,")=")</f>
        <v>m'(6)=</v>
      </c>
      <c r="X75" s="84">
        <f>(2*(X72^2)/24*V75)+(X74*Q72*WLS)</f>
        <v>436.59000000000003</v>
      </c>
      <c r="Y75" s="84" t="str">
        <f>CONCATENATE("M(",Q72,")=")</f>
        <v>M(5)=</v>
      </c>
      <c r="Z75" s="84">
        <f>VLOOKUP(Q72,STN_TABLE,4,FALSE)</f>
        <v>971.13600000000008</v>
      </c>
      <c r="AA75" t="str">
        <f>CONCATENATE("M(",Q73,")=")</f>
        <v>M(6)=</v>
      </c>
      <c r="AB75">
        <f>X75+Z75</f>
        <v>1407.7260000000001</v>
      </c>
      <c r="AE75" s="89">
        <f>SUM(AE73:AE74)</f>
        <v>24.5</v>
      </c>
      <c r="AG75" s="89">
        <f>SUM(AG73:AG74)</f>
        <v>36.75</v>
      </c>
      <c r="AH75" s="84" t="str">
        <f>CONCATENATE("m'(",AD74,")=")</f>
        <v>m'(6)=</v>
      </c>
      <c r="AI75" s="84">
        <f>(2*(AI72^2)/6*AG75)+(AI74*AD73*WLS)</f>
        <v>179.21750000000017</v>
      </c>
      <c r="AJ75" s="84" t="str">
        <f>CONCATENATE("M(",AD73,")=")</f>
        <v>M(5.61111111111111)=</v>
      </c>
      <c r="AK75" s="84">
        <f>VLOOKUP(AD73,STN_TABLE,4,FALSE)</f>
        <v>1228.5084999999999</v>
      </c>
      <c r="AL75" t="str">
        <f>CONCATENATE("M(",AD74,")=")</f>
        <v>M(6)=</v>
      </c>
      <c r="AM75">
        <f>AI75+AK75</f>
        <v>1407.7260000000001</v>
      </c>
      <c r="AO75" s="82" t="str">
        <f>AA75</f>
        <v>M(6)=</v>
      </c>
      <c r="AP75" s="82" t="e">
        <f>VLOOKUP(AO75,Rise_Results,2,FALSE)</f>
        <v>#N/A</v>
      </c>
      <c r="AQ75" s="82">
        <f>N75</f>
        <v>1407.6072000000001</v>
      </c>
      <c r="AR75" s="82">
        <f>IF(OR(AB74&lt;=0,AB75&lt;=0),1/0,AB75)</f>
        <v>1407.7260000000001</v>
      </c>
      <c r="AS75" s="82">
        <f>AM75</f>
        <v>1407.7260000000001</v>
      </c>
      <c r="AT75">
        <f>IFERROR(AP75,IFERROR(AQ75,IFERROR(AR75,AS75)))</f>
        <v>1407.6072000000001</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12.25</v>
      </c>
      <c r="E77" s="102">
        <v>1</v>
      </c>
      <c r="F77" s="68">
        <f>D77*E77</f>
        <v>12.25</v>
      </c>
      <c r="G77" s="69">
        <f>C77</f>
        <v>5</v>
      </c>
      <c r="H77" s="69">
        <f>F77*G77</f>
        <v>61.25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12.25</v>
      </c>
      <c r="E78" s="81">
        <v>4</v>
      </c>
      <c r="F78" s="76">
        <f>D78*E78</f>
        <v>49</v>
      </c>
      <c r="G78" s="77">
        <f>C78</f>
        <v>6</v>
      </c>
      <c r="H78" s="77">
        <f>F78*G78</f>
        <v>294</v>
      </c>
      <c r="I78" s="512" t="s">
        <v>97</v>
      </c>
      <c r="J78" s="513"/>
      <c r="K78" s="78" t="s">
        <v>98</v>
      </c>
      <c r="L78" s="78"/>
      <c r="M78" s="7" t="s">
        <v>99</v>
      </c>
      <c r="N78" s="7"/>
      <c r="O78" s="99">
        <f>O77+1</f>
        <v>11</v>
      </c>
      <c r="P78" s="99">
        <f t="shared" si="23"/>
        <v>7</v>
      </c>
      <c r="Q78" s="76">
        <f>P78</f>
        <v>7</v>
      </c>
      <c r="R78" s="77">
        <f>VLOOKUP(Q78,STN_TABLE,2,FALSE)</f>
        <v>12.25</v>
      </c>
      <c r="S78" s="77">
        <v>8</v>
      </c>
      <c r="T78" s="76">
        <f>R78*S78</f>
        <v>98</v>
      </c>
      <c r="U78" s="80">
        <v>10</v>
      </c>
      <c r="V78" s="76">
        <f>R78*U78</f>
        <v>122.5</v>
      </c>
      <c r="W78" s="513" t="s">
        <v>97</v>
      </c>
      <c r="X78" s="513"/>
      <c r="Y78" s="513" t="s">
        <v>98</v>
      </c>
      <c r="Z78" s="513"/>
      <c r="AA78" s="511" t="s">
        <v>99</v>
      </c>
      <c r="AB78" s="511"/>
      <c r="AC78" s="99">
        <f>AC73+1</f>
        <v>10</v>
      </c>
      <c r="AD78" s="95">
        <f>VLOOKUP(AC78,STN_TABLE_2,2,FALSE)</f>
        <v>6</v>
      </c>
      <c r="AE78" s="68">
        <f>VLOOKUP(AD78,STN_TABLE,2,FALSE)</f>
        <v>12.25</v>
      </c>
      <c r="AF78" s="68">
        <v>1</v>
      </c>
      <c r="AG78" s="69">
        <f>AE78*AF78</f>
        <v>12.25</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12.25</v>
      </c>
      <c r="E79" s="92">
        <v>1</v>
      </c>
      <c r="F79" s="82">
        <f>D79*E79</f>
        <v>12.25</v>
      </c>
      <c r="G79" s="83">
        <f>C79</f>
        <v>7</v>
      </c>
      <c r="H79" s="83">
        <f>F79*G79</f>
        <v>85.75</v>
      </c>
      <c r="I79" s="84" t="str">
        <f>CONCATENATE("a'(",C79,")=")</f>
        <v>a'(7)=</v>
      </c>
      <c r="J79" s="84">
        <f>2*J77/3*F80</f>
        <v>88.2</v>
      </c>
      <c r="K79" s="84" t="str">
        <f>CONCATENATE("A(",C77,")=")</f>
        <v>A(5)=</v>
      </c>
      <c r="L79" s="84">
        <f>VLOOKUP(C77,STN_TABLE,3,FALSE)</f>
        <v>201.11399999999998</v>
      </c>
      <c r="M79" t="str">
        <f>CONCATENATE("A(",C79,")=")</f>
        <v>A(7)=</v>
      </c>
      <c r="N79">
        <f>J79+L79</f>
        <v>289.31399999999996</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12.25</v>
      </c>
      <c r="AF79" s="82">
        <v>2</v>
      </c>
      <c r="AG79" s="83">
        <f>AE79*AF79</f>
        <v>24.5</v>
      </c>
      <c r="AH79" s="84" t="str">
        <f>CONCATENATE("a'(",AD79,")=")</f>
        <v>a'(7)=</v>
      </c>
      <c r="AI79" s="84">
        <f>2*AI77/2*AE80</f>
        <v>44.1</v>
      </c>
      <c r="AJ79" s="84" t="str">
        <f>CONCATENATE("A(",AD78,")=")</f>
        <v>A(6)=</v>
      </c>
      <c r="AK79" s="84">
        <f>VLOOKUP(AD78,STN_TABLE,3,FALSE)</f>
        <v>245.178</v>
      </c>
      <c r="AL79" t="str">
        <f>CONCATENATE("A(",AD79,")=")</f>
        <v>A(7)=</v>
      </c>
      <c r="AM79">
        <f>AI79+AK79</f>
        <v>289.27800000000002</v>
      </c>
      <c r="AO79" s="68" t="str">
        <f>AA79</f>
        <v>A(7)=</v>
      </c>
      <c r="AP79" s="68" t="e">
        <f>VLOOKUP(AO79,Rise_Results,2,FALSE)</f>
        <v>#N/A</v>
      </c>
      <c r="AQ79" s="76">
        <f>N79</f>
        <v>289.31399999999996</v>
      </c>
      <c r="AR79" s="76" t="e">
        <f>IF(OR(AB79&lt;=0,AB80&lt;=0),1/0,AB79)</f>
        <v>#VALUE!</v>
      </c>
      <c r="AS79" s="76">
        <f>AM79</f>
        <v>289.27800000000002</v>
      </c>
      <c r="AT79">
        <f>IFERROR(AP79,IFERROR(AQ79,IFERROR(AR79,AS79)))</f>
        <v>289.31399999999996</v>
      </c>
      <c r="AU79" s="81"/>
    </row>
    <row r="80" spans="1:47" x14ac:dyDescent="0.25">
      <c r="A80" s="84">
        <f>A79+1</f>
        <v>11</v>
      </c>
      <c r="B80" s="84">
        <f t="shared" si="27"/>
        <v>7</v>
      </c>
      <c r="F80" s="82">
        <f>SUM(F77:F79)</f>
        <v>73.5</v>
      </c>
      <c r="H80" s="82">
        <f>SUM(H77:H79)</f>
        <v>441</v>
      </c>
      <c r="I80" s="84" t="str">
        <f>CONCATENATE("m'(",C79,")=")</f>
        <v>m'(7)=</v>
      </c>
      <c r="J80" s="84">
        <f>2*(J77*(WLS))/3*H80</f>
        <v>952.56000000000006</v>
      </c>
      <c r="K80" s="84" t="str">
        <f>CONCATENATE("M(",C77,")=")</f>
        <v>M(5)=</v>
      </c>
      <c r="L80" s="84">
        <f>VLOOKUP(C77,STN_TABLE,4,FALSE)</f>
        <v>971.13600000000008</v>
      </c>
      <c r="M80" t="str">
        <f>CONCATENATE("M(",C79,")=")</f>
        <v>M(7)=</v>
      </c>
      <c r="N80">
        <f>J80+L80</f>
        <v>1923.6960000000001</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24.5</v>
      </c>
      <c r="AG80" s="89">
        <f>SUM(AG78:AG79)</f>
        <v>36.75</v>
      </c>
      <c r="AH80" s="84" t="str">
        <f>CONCATENATE("m'(",AD79,")=")</f>
        <v>m'(7)=</v>
      </c>
      <c r="AI80" s="84">
        <f>(2*(AI77^2)/6*AG80)+(AI79*AD78*WLS)</f>
        <v>515.97</v>
      </c>
      <c r="AJ80" s="84" t="str">
        <f>CONCATENATE("M(",AD78,")=")</f>
        <v>M(6)=</v>
      </c>
      <c r="AK80" s="84">
        <f>VLOOKUP(AD78,STN_TABLE,4,FALSE)</f>
        <v>1407.6072000000001</v>
      </c>
      <c r="AL80" t="str">
        <f>CONCATENATE("M(",AD79,")=")</f>
        <v>M(7)=</v>
      </c>
      <c r="AM80">
        <f>AI80+AK80</f>
        <v>1923.5772000000002</v>
      </c>
      <c r="AO80" s="82" t="str">
        <f>AA80</f>
        <v>M(7)=</v>
      </c>
      <c r="AP80" s="82" t="e">
        <f>VLOOKUP(AO80,Rise_Results,2,FALSE)</f>
        <v>#N/A</v>
      </c>
      <c r="AQ80" s="82">
        <f>N80</f>
        <v>1923.6960000000001</v>
      </c>
      <c r="AR80" s="82" t="e">
        <f>IF(OR(AB79&lt;=0,AB80&lt;=0),1/0,AB80)</f>
        <v>#VALUE!</v>
      </c>
      <c r="AS80" s="82">
        <f>AM80</f>
        <v>1923.5772000000002</v>
      </c>
      <c r="AT80">
        <f>IFERROR(AP80,IFERROR(AQ80,IFERROR(AR80,AS80)))</f>
        <v>1923.6960000000001</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12.25</v>
      </c>
      <c r="AF83" s="68">
        <v>1</v>
      </c>
      <c r="AG83" s="69">
        <f>AE83*AF83</f>
        <v>12.25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38.954999999999977</v>
      </c>
      <c r="AJ84" s="84" t="str">
        <f>CONCATENATE("A(",AD83,")=")</f>
        <v>A(7)=</v>
      </c>
      <c r="AK84" s="84">
        <f>VLOOKUP(AD83,STN_TABLE,3,FALSE)</f>
        <v>289.31399999999996</v>
      </c>
      <c r="AL84" t="str">
        <f>CONCATENATE("A(",AD84,")=")</f>
        <v>A(7.88333333333333)=</v>
      </c>
      <c r="AM84">
        <f>AI84+AK84</f>
        <v>328.26899999999995</v>
      </c>
      <c r="AO84" s="68" t="str">
        <f>AA84</f>
        <v>A(7.88333333333333)=</v>
      </c>
      <c r="AP84" s="68" t="e">
        <f>VLOOKUP(AO84,Rise_Results,2,FALSE)</f>
        <v>#N/A</v>
      </c>
      <c r="AQ84" s="76" t="e">
        <f>N84</f>
        <v>#N/A</v>
      </c>
      <c r="AR84" s="76" t="e">
        <f>IF(OR(AB84&lt;=0,AB85&lt;=0),1/0,AB84)</f>
        <v>#VALUE!</v>
      </c>
      <c r="AS84" s="76">
        <f>AM84</f>
        <v>328.26899999999995</v>
      </c>
      <c r="AT84">
        <f>IFERROR(AP84,IFERROR(AQ84,IFERROR(AR84,AS84)))</f>
        <v>328.26899999999995</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24.5</v>
      </c>
      <c r="AG85" s="89">
        <f>SUM(AG83:AG84)</f>
        <v>36.75</v>
      </c>
      <c r="AH85" s="84" t="str">
        <f>CONCATENATE("m'(",AD84,")=")</f>
        <v>m'(7.88333333333333)=</v>
      </c>
      <c r="AI85" s="84">
        <f>(2*(AI82^2)/6*AG85)+(AI84*AD83*WLS)</f>
        <v>521.80222499999968</v>
      </c>
      <c r="AJ85" s="84" t="str">
        <f>CONCATENATE("M(",AD83,")=")</f>
        <v>M(7)=</v>
      </c>
      <c r="AK85" s="84">
        <f>VLOOKUP(AD83,STN_TABLE,4,FALSE)</f>
        <v>1923.6960000000001</v>
      </c>
      <c r="AL85" t="str">
        <f>CONCATENATE("M(",AD84,")=")</f>
        <v>M(7.88333333333333)=</v>
      </c>
      <c r="AM85">
        <f>AI85+AK85</f>
        <v>2445.4982249999998</v>
      </c>
      <c r="AO85" s="82" t="str">
        <f>AA85</f>
        <v>M(7.88333333333333)=</v>
      </c>
      <c r="AP85" s="82" t="e">
        <f>VLOOKUP(AO85,Rise_Results,2,FALSE)</f>
        <v>#N/A</v>
      </c>
      <c r="AQ85" s="82" t="e">
        <f>N85</f>
        <v>#N/A</v>
      </c>
      <c r="AR85" s="82" t="e">
        <f>IF(OR(AB84&lt;=0,AB85&lt;=0),1/0,AB85)</f>
        <v>#VALUE!</v>
      </c>
      <c r="AS85" s="82">
        <f>AM85</f>
        <v>2445.4982249999998</v>
      </c>
      <c r="AT85">
        <f>IFERROR(AP85,IFERROR(AQ85,IFERROR(AR85,AS85)))</f>
        <v>2445.4982249999998</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328.26899999999995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2445.4982249999998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6</v>
      </c>
      <c r="E1" s="511" t="s">
        <v>91</v>
      </c>
      <c r="F1" s="511"/>
      <c r="G1" t="str">
        <f>VLOOKUP(Station_No,RISE_CALC,2,FALSE)</f>
        <v>-</v>
      </c>
      <c r="L1" s="511" t="s">
        <v>92</v>
      </c>
      <c r="M1" s="511"/>
      <c r="N1">
        <v>9</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2.2000000000000002</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6.59</v>
      </c>
      <c r="D5" s="81">
        <f t="shared" ref="D5:D28" si="4">IFERROR(VLOOKUP(CONCATENATE("A(",B5,")="),RESULT_TABLE,6,FALSE)," ")</f>
        <v>8.3069999999999986</v>
      </c>
      <c r="E5" s="77">
        <f t="shared" ref="E5:E28" si="5">IFERROR(VLOOKUP(CONCATENATE("M(",B5,")="),RESULT_TABLE,6,FALSE)," ")</f>
        <v>4.3308</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8.34</v>
      </c>
      <c r="D6" s="81">
        <f t="shared" si="4"/>
        <v>22.139999999999997</v>
      </c>
      <c r="E6" s="77">
        <f t="shared" si="5"/>
        <v>23.241600000000002</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9.82</v>
      </c>
      <c r="D7" s="81">
        <f t="shared" si="4"/>
        <v>38.168999999999997</v>
      </c>
      <c r="E7" s="77">
        <f t="shared" si="5"/>
        <v>59.826600000000013</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10.92</v>
      </c>
      <c r="D8" s="81">
        <f t="shared" si="4"/>
        <v>57.263999999999996</v>
      </c>
      <c r="E8" s="77">
        <f t="shared" si="5"/>
        <v>119.46960000000001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11.97</v>
      </c>
      <c r="D9" s="81">
        <f t="shared" si="4"/>
        <v>98.927999999999997</v>
      </c>
      <c r="E9" s="77">
        <f t="shared" si="5"/>
        <v>307.51920000000007</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12.25</v>
      </c>
      <c r="D10" s="81">
        <f t="shared" si="4"/>
        <v>142.524</v>
      </c>
      <c r="E10" s="77">
        <f t="shared" si="5"/>
        <v>582.74640000000011</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12.25</v>
      </c>
      <c r="D11" s="81">
        <f t="shared" si="4"/>
        <v>186.79199999999997</v>
      </c>
      <c r="E11" s="77">
        <f t="shared" si="5"/>
        <v>940.74480000000005</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12.25</v>
      </c>
      <c r="D12" s="81">
        <f t="shared" si="4"/>
        <v>213.74199999999996</v>
      </c>
      <c r="E12" s="77">
        <f t="shared" si="5"/>
        <v>1198.1172999999999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12.25</v>
      </c>
      <c r="D13" s="81">
        <f t="shared" si="4"/>
        <v>230.72399999999999</v>
      </c>
      <c r="E13" s="77">
        <f t="shared" si="5"/>
        <v>1376.5464000000002</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12.25</v>
      </c>
      <c r="D14" s="81">
        <f t="shared" si="4"/>
        <v>274.99199999999996</v>
      </c>
      <c r="E14" s="77">
        <f t="shared" si="5"/>
        <v>1893.3048000000001</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313.94699999999995</v>
      </c>
      <c r="E15" s="77">
        <f t="shared" si="5"/>
        <v>2415.1070249999998</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2.2000000000000002</v>
      </c>
      <c r="S32" s="69">
        <v>5</v>
      </c>
      <c r="T32" s="68">
        <f>R32*S32</f>
        <v>11</v>
      </c>
      <c r="U32" s="79">
        <v>3</v>
      </c>
      <c r="V32" s="68">
        <f>R32*U32</f>
        <v>6.6000000000000005</v>
      </c>
      <c r="W32" t="s">
        <v>93</v>
      </c>
      <c r="X32" s="70">
        <f>IF(AND(Q34-Q33=Q33-Q32,NOT(AND(Q32=0,Q33=0)),NOT(AND(Q33=0,Q34=0))),WLS*(Q34-Q33),"#NA")</f>
        <v>0.9</v>
      </c>
      <c r="AD32" s="93"/>
      <c r="AH32" s="6" t="s">
        <v>93</v>
      </c>
      <c r="AI32" s="70">
        <f>WLS*(AD34-AD33)</f>
        <v>0.9</v>
      </c>
    </row>
    <row r="33" spans="1:47" x14ac:dyDescent="0.25">
      <c r="Q33" s="76">
        <f>B5</f>
        <v>0.5</v>
      </c>
      <c r="R33" s="77">
        <f>VLOOKUP(Q33,STN_TABLE,2,FALSE)</f>
        <v>6.59</v>
      </c>
      <c r="S33" s="77">
        <v>8</v>
      </c>
      <c r="T33" s="76">
        <f>R33*S33</f>
        <v>52.72</v>
      </c>
      <c r="U33" s="80">
        <v>10</v>
      </c>
      <c r="V33" s="76">
        <f>R33*U33</f>
        <v>65.900000000000006</v>
      </c>
      <c r="W33" s="512" t="s">
        <v>97</v>
      </c>
      <c r="X33" s="513"/>
      <c r="Y33" s="513" t="s">
        <v>98</v>
      </c>
      <c r="Z33" s="513"/>
      <c r="AA33" s="511" t="s">
        <v>99</v>
      </c>
      <c r="AB33" s="511"/>
      <c r="AC33" s="94">
        <v>1</v>
      </c>
      <c r="AD33" s="95">
        <f>VLOOKUP(AC33,STN_TABLE_2,2,FALSE)</f>
        <v>0</v>
      </c>
      <c r="AE33" s="68">
        <f>VLOOKUP(AD33,STN_TABLE,2,FALSE)</f>
        <v>2.2000000000000002</v>
      </c>
      <c r="AF33" s="68">
        <v>1</v>
      </c>
      <c r="AG33" s="69">
        <f>AE33*AF33</f>
        <v>2.2000000000000002</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8.34</v>
      </c>
      <c r="S34" s="83">
        <v>-1</v>
      </c>
      <c r="T34" s="82">
        <f>R34*S34</f>
        <v>-8.34</v>
      </c>
      <c r="U34" s="88">
        <v>-1</v>
      </c>
      <c r="V34" s="82">
        <f>R34*U34</f>
        <v>-8.34</v>
      </c>
      <c r="W34" s="84" t="str">
        <f>CONCATENATE("a'(",Q33,")=")</f>
        <v>a'(0.5)=</v>
      </c>
      <c r="X34" s="84">
        <f>2*X32/12*T35</f>
        <v>8.3069999999999986</v>
      </c>
      <c r="Y34" s="84" t="str">
        <f>CONCATENATE("A(",Q32,")=")</f>
        <v>A(0)=</v>
      </c>
      <c r="Z34" s="84">
        <f>VLOOKUP(Q32,STN_TABLE,3,FALSE)</f>
        <v>0</v>
      </c>
      <c r="AA34" t="str">
        <f>CONCATENATE("A(",Q33,")=")</f>
        <v>A(0.5)=</v>
      </c>
      <c r="AB34">
        <f>X34+Z34</f>
        <v>8.3069999999999986</v>
      </c>
      <c r="AC34" s="99">
        <f>AC33+1</f>
        <v>2</v>
      </c>
      <c r="AD34" s="100">
        <f>VLOOKUP(AC34,STN_TABLE_2,2,FALSE)</f>
        <v>0.5</v>
      </c>
      <c r="AE34" s="82">
        <f>VLOOKUP(AD34,STN_TABLE,2,FALSE)</f>
        <v>6.59</v>
      </c>
      <c r="AF34" s="82">
        <v>2</v>
      </c>
      <c r="AG34" s="83">
        <f>AE34*AF34</f>
        <v>13.18</v>
      </c>
      <c r="AH34" s="84" t="str">
        <f>CONCATENATE("a'(",AD34,")=")</f>
        <v>a'(0.5)=</v>
      </c>
      <c r="AI34" s="84">
        <f>2*AI32/2*AE35</f>
        <v>7.9109999999999996</v>
      </c>
      <c r="AJ34" s="84" t="str">
        <f>CONCATENATE("A(",AD33,")=")</f>
        <v>A(0)=</v>
      </c>
      <c r="AK34" s="84">
        <f>VLOOKUP(AD33,STN_TABLE,3,FALSE)</f>
        <v>0</v>
      </c>
      <c r="AL34" t="str">
        <f>CONCATENATE("A(",AD34,")=")</f>
        <v>A(0.5)=</v>
      </c>
      <c r="AM34">
        <f>AI34+AK34</f>
        <v>7.9109999999999996</v>
      </c>
      <c r="AO34" s="68" t="str">
        <f>AA34</f>
        <v>A(0.5)=</v>
      </c>
      <c r="AP34" s="79" t="e">
        <f>VLOOKUP(AO34,Rise_Results,2,FALSE)</f>
        <v>#N/A</v>
      </c>
      <c r="AQ34" s="76" t="s">
        <v>117</v>
      </c>
      <c r="AR34" s="76">
        <f>IF(OR(AB34&lt;=0,AB35&lt;=0),1/0,AB34)</f>
        <v>8.3069999999999986</v>
      </c>
      <c r="AS34" s="76">
        <f>AM34</f>
        <v>7.9109999999999996</v>
      </c>
      <c r="AT34" s="80">
        <f>IFERROR(AP34,IFERROR(AR34,AS34))</f>
        <v>8.3069999999999986</v>
      </c>
    </row>
    <row r="35" spans="1:47" x14ac:dyDescent="0.25">
      <c r="A35" s="101"/>
      <c r="T35" s="89">
        <f>SUM(T32:T34)</f>
        <v>55.379999999999995</v>
      </c>
      <c r="V35" s="82">
        <f>SUM(V32:V34)</f>
        <v>64.16</v>
      </c>
      <c r="W35" s="84" t="str">
        <f>CONCATENATE("m'(",Q33,")=")</f>
        <v>m'(0.5)=</v>
      </c>
      <c r="X35" s="84">
        <f>(2*(X32^2)/24*V35)</f>
        <v>4.3308</v>
      </c>
      <c r="Y35" s="84" t="str">
        <f>CONCATENATE("M(",Q32,")=")</f>
        <v>M(0)=</v>
      </c>
      <c r="Z35" s="84">
        <f>VLOOKUP(Q32,STN_TABLE,4,FALSE)</f>
        <v>0</v>
      </c>
      <c r="AA35" t="str">
        <f>CONCATENATE("M(",Q33,")=")</f>
        <v>M(0.5)=</v>
      </c>
      <c r="AB35">
        <f>X35+Z35</f>
        <v>4.3308</v>
      </c>
      <c r="AE35" s="89">
        <f>SUM(AE33:AE34)</f>
        <v>8.7899999999999991</v>
      </c>
      <c r="AG35" s="89">
        <f>SUM(AG33:AG34)</f>
        <v>15.379999999999999</v>
      </c>
      <c r="AH35" s="84" t="str">
        <f>CONCATENATE("m'(",AD34,")=")</f>
        <v>m'(0.5)=</v>
      </c>
      <c r="AI35" s="84">
        <f>(2*(AI32^2)/6*AG35)+(AI34*AD33*WLS)</f>
        <v>4.1525999999999996</v>
      </c>
      <c r="AJ35" s="84" t="str">
        <f>CONCATENATE("M(",AD33,")=")</f>
        <v>M(0)=</v>
      </c>
      <c r="AK35" s="84">
        <f>VLOOKUP(AD33,STN_TABLE,4,FALSE)</f>
        <v>0</v>
      </c>
      <c r="AL35" t="str">
        <f>CONCATENATE("M(",AD34,")=")</f>
        <v>M(0.5)=</v>
      </c>
      <c r="AM35">
        <f>AI35+AK35</f>
        <v>4.1525999999999996</v>
      </c>
      <c r="AO35" s="82" t="str">
        <f>AA35</f>
        <v>M(0.5)=</v>
      </c>
      <c r="AP35" s="88" t="e">
        <f>VLOOKUP(AO35,Rise_Results,2,FALSE)</f>
        <v>#N/A</v>
      </c>
      <c r="AQ35" s="82" t="s">
        <v>117</v>
      </c>
      <c r="AR35" s="82">
        <f>IF(OR(AB34&lt;=0,AB35&lt;=0),1/0,AB35)</f>
        <v>4.3308</v>
      </c>
      <c r="AS35" s="82">
        <f>AM35</f>
        <v>4.1525999999999996</v>
      </c>
      <c r="AT35" s="80">
        <f>IFERROR(AP35,IFERROR(AR35,AS35))</f>
        <v>4.3308</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2.2000000000000002</v>
      </c>
      <c r="E37" s="102">
        <v>1</v>
      </c>
      <c r="F37" s="68">
        <f>D37*E37</f>
        <v>2.2000000000000002</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6.59</v>
      </c>
      <c r="S37" s="69">
        <v>5</v>
      </c>
      <c r="T37" s="68">
        <f>R37*S37</f>
        <v>32.950000000000003</v>
      </c>
      <c r="U37" s="79">
        <v>3</v>
      </c>
      <c r="V37" s="68">
        <f>R37*U37</f>
        <v>19.77</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6.59</v>
      </c>
      <c r="E38" s="81">
        <v>4</v>
      </c>
      <c r="F38" s="76">
        <f>D38*E38</f>
        <v>26.36</v>
      </c>
      <c r="G38" s="77">
        <f>C38</f>
        <v>0.5</v>
      </c>
      <c r="H38" s="77">
        <f>F38*G38</f>
        <v>13.18</v>
      </c>
      <c r="I38" s="513" t="s">
        <v>97</v>
      </c>
      <c r="J38" s="513"/>
      <c r="K38" s="78" t="s">
        <v>98</v>
      </c>
      <c r="L38" s="78"/>
      <c r="M38" s="7" t="s">
        <v>99</v>
      </c>
      <c r="N38" s="7"/>
      <c r="O38" s="99">
        <f>O37+1</f>
        <v>3</v>
      </c>
      <c r="P38" s="99">
        <f t="shared" si="10"/>
        <v>1</v>
      </c>
      <c r="Q38" s="76">
        <f>P38</f>
        <v>1</v>
      </c>
      <c r="R38" s="77">
        <f>VLOOKUP(Q38,STN_TABLE,2,FALSE)</f>
        <v>8.34</v>
      </c>
      <c r="S38" s="77">
        <v>8</v>
      </c>
      <c r="T38" s="76">
        <f>R38*S38</f>
        <v>66.72</v>
      </c>
      <c r="U38" s="80">
        <v>10</v>
      </c>
      <c r="V38" s="76">
        <f>R38*U38</f>
        <v>83.4</v>
      </c>
      <c r="W38" s="513" t="s">
        <v>97</v>
      </c>
      <c r="X38" s="513"/>
      <c r="Y38" s="513" t="s">
        <v>98</v>
      </c>
      <c r="Z38" s="513"/>
      <c r="AA38" s="511" t="s">
        <v>99</v>
      </c>
      <c r="AB38" s="511"/>
      <c r="AC38" s="99">
        <f>AC33+1</f>
        <v>2</v>
      </c>
      <c r="AD38" s="95">
        <f>VLOOKUP(AC38,STN_TABLE_2,2,FALSE)</f>
        <v>0.5</v>
      </c>
      <c r="AE38" s="68">
        <f>VLOOKUP(AD38,STN_TABLE,2,FALSE)</f>
        <v>6.59</v>
      </c>
      <c r="AF38" s="68">
        <v>1</v>
      </c>
      <c r="AG38" s="69">
        <f>AE38*AF38</f>
        <v>6.59</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8.34</v>
      </c>
      <c r="E39" s="92">
        <v>1</v>
      </c>
      <c r="F39" s="82">
        <f>D39*E39</f>
        <v>8.34</v>
      </c>
      <c r="G39" s="83">
        <f>C39</f>
        <v>1</v>
      </c>
      <c r="H39" s="83">
        <f>F39*G39</f>
        <v>8.34</v>
      </c>
      <c r="I39" s="84" t="str">
        <f>CONCATENATE("a'(",C39,")=")</f>
        <v>a'(1)=</v>
      </c>
      <c r="J39" s="84">
        <f>2*J37/3*F40</f>
        <v>22.139999999999997</v>
      </c>
      <c r="K39" s="84" t="str">
        <f>CONCATENATE("A(",C37,")=")</f>
        <v>A(0)=</v>
      </c>
      <c r="L39" s="84">
        <f>VLOOKUP(C37,STN_TABLE,3,FALSE)</f>
        <v>0</v>
      </c>
      <c r="M39" t="str">
        <f>CONCATENATE("A(",C39,")=")</f>
        <v>A(1)=</v>
      </c>
      <c r="N39">
        <f>J39+L39</f>
        <v>22.139999999999997</v>
      </c>
      <c r="O39" s="99">
        <f>O38+1</f>
        <v>4</v>
      </c>
      <c r="P39" s="99">
        <f t="shared" si="10"/>
        <v>1.5</v>
      </c>
      <c r="Q39" s="82">
        <f>IF(P39-P38=P38-P37,P39,IF(P40-P38=P38-P37,P40,IF(P39-P38=P38-P36,P39,IF(P40-P38=P38-P36,P40,"-"))))</f>
        <v>1.5</v>
      </c>
      <c r="R39" s="83">
        <f>VLOOKUP(Q39,STN_TABLE,2,FALSE)</f>
        <v>9.82</v>
      </c>
      <c r="S39" s="83">
        <v>-1</v>
      </c>
      <c r="T39" s="82">
        <f>R39*S39</f>
        <v>-9.82</v>
      </c>
      <c r="U39" s="88">
        <v>-1</v>
      </c>
      <c r="V39" s="82">
        <f>R39*U39</f>
        <v>-9.82</v>
      </c>
      <c r="W39" s="84" t="str">
        <f>CONCATENATE("a'(",Q38,")=")</f>
        <v>a'(1)=</v>
      </c>
      <c r="X39" s="84">
        <f>2*X37/12*T40</f>
        <v>13.477499999999999</v>
      </c>
      <c r="Y39" s="84" t="str">
        <f>CONCATENATE("A(",Q37,")=")</f>
        <v>A(0.5)=</v>
      </c>
      <c r="Z39" s="84">
        <f>VLOOKUP(Q37,STN_TABLE,3,FALSE)</f>
        <v>8.3069999999999986</v>
      </c>
      <c r="AA39" t="str">
        <f>CONCATENATE("A(",Q38,")=")</f>
        <v>A(1)=</v>
      </c>
      <c r="AB39">
        <f>X39+Z39</f>
        <v>21.784499999999998</v>
      </c>
      <c r="AC39" s="99">
        <f>AC38+1</f>
        <v>3</v>
      </c>
      <c r="AD39" s="100">
        <f>VLOOKUP(AC39,STN_TABLE_2,2,FALSE)</f>
        <v>1</v>
      </c>
      <c r="AE39" s="82">
        <f>VLOOKUP(AD39,STN_TABLE,2,FALSE)</f>
        <v>8.34</v>
      </c>
      <c r="AF39" s="82">
        <v>2</v>
      </c>
      <c r="AG39" s="83">
        <f>AE39*AF39</f>
        <v>16.68</v>
      </c>
      <c r="AH39" s="84" t="str">
        <f>CONCATENATE("a'(",AD39,")=")</f>
        <v>a'(1)=</v>
      </c>
      <c r="AI39" s="84">
        <f>2*AI37/2*AE40</f>
        <v>13.436999999999999</v>
      </c>
      <c r="AJ39" s="84" t="str">
        <f>CONCATENATE("A(",AD38,")=")</f>
        <v>A(0.5)=</v>
      </c>
      <c r="AK39" s="84">
        <f>VLOOKUP(AD38,STN_TABLE,3,FALSE)</f>
        <v>8.3069999999999986</v>
      </c>
      <c r="AL39" t="str">
        <f>CONCATENATE("A(",AD39,")=")</f>
        <v>A(1)=</v>
      </c>
      <c r="AM39">
        <f>AI39+AK39</f>
        <v>21.744</v>
      </c>
      <c r="AO39" s="68" t="str">
        <f>AA39</f>
        <v>A(1)=</v>
      </c>
      <c r="AP39" s="68" t="e">
        <f>VLOOKUP(AO39,Rise_Results,2,FALSE)</f>
        <v>#N/A</v>
      </c>
      <c r="AQ39" s="76">
        <f>N39</f>
        <v>22.139999999999997</v>
      </c>
      <c r="AR39" s="76">
        <f>IF(OR(AB39&lt;=0,AB40&lt;=0),1/0,AB39)</f>
        <v>21.784499999999998</v>
      </c>
      <c r="AS39" s="76">
        <f>AM39</f>
        <v>21.744</v>
      </c>
      <c r="AT39">
        <f>IFERROR(AP39,IFERROR(AQ39,IFERROR(AR39,AS39)))</f>
        <v>22.139999999999997</v>
      </c>
    </row>
    <row r="40" spans="1:47" x14ac:dyDescent="0.25">
      <c r="A40">
        <v>4</v>
      </c>
      <c r="F40" s="82">
        <f>SUM(F37:F39)</f>
        <v>36.9</v>
      </c>
      <c r="H40" s="82">
        <f>SUM(H37:H39)</f>
        <v>21.52</v>
      </c>
      <c r="I40" s="84" t="str">
        <f>CONCATENATE("m'(",C39,")=")</f>
        <v>m'(1)=</v>
      </c>
      <c r="J40" s="84">
        <f>2*(J37*(WLS))/3*H40</f>
        <v>23.241600000000002</v>
      </c>
      <c r="K40" s="84" t="str">
        <f>CONCATENATE("M(",C37,")=")</f>
        <v>M(0)=</v>
      </c>
      <c r="L40" s="84">
        <f>VLOOKUP(C37,STN_TABLE,4,FALSE)</f>
        <v>0</v>
      </c>
      <c r="M40" t="str">
        <f>CONCATENATE("M(",C39,")=")</f>
        <v>M(1)=</v>
      </c>
      <c r="N40">
        <f>J40+L40</f>
        <v>23.241600000000002</v>
      </c>
      <c r="O40" s="99">
        <f>O39+1</f>
        <v>5</v>
      </c>
      <c r="P40" s="99">
        <f t="shared" si="10"/>
        <v>2</v>
      </c>
      <c r="T40" s="89">
        <f>SUM(T37:T39)</f>
        <v>89.85</v>
      </c>
      <c r="V40" s="82">
        <f>SUM(V37:V39)</f>
        <v>93.35</v>
      </c>
      <c r="W40" s="84" t="str">
        <f>CONCATENATE("m'(",Q38,")=")</f>
        <v>m'(1)=</v>
      </c>
      <c r="X40" s="84">
        <f>(2*(X37^2)/24*V40)+(X39*Q37*WLS)</f>
        <v>18.430875</v>
      </c>
      <c r="Y40" s="84" t="str">
        <f>CONCATENATE("M(",Q37,")=")</f>
        <v>M(0.5)=</v>
      </c>
      <c r="Z40" s="84">
        <f>VLOOKUP(Q37,STN_TABLE,4,FALSE)</f>
        <v>4.3308</v>
      </c>
      <c r="AA40" t="str">
        <f>CONCATENATE("M(",Q38,")=")</f>
        <v>M(1)=</v>
      </c>
      <c r="AB40">
        <f>X40+Z40</f>
        <v>22.761675</v>
      </c>
      <c r="AE40" s="89">
        <f>SUM(AE38:AE39)</f>
        <v>14.93</v>
      </c>
      <c r="AG40" s="89">
        <f>SUM(AG38:AG39)</f>
        <v>23.27</v>
      </c>
      <c r="AH40" s="84" t="str">
        <f>CONCATENATE("m'(",AD39,")=")</f>
        <v>m'(1)=</v>
      </c>
      <c r="AI40" s="84">
        <f>(2*(AI37^2)/6*AG40)+(AI39*AD38*WLS)</f>
        <v>18.376200000000001</v>
      </c>
      <c r="AJ40" s="84" t="str">
        <f>CONCATENATE("M(",AD38,")=")</f>
        <v>M(0.5)=</v>
      </c>
      <c r="AK40" s="84">
        <f>VLOOKUP(AD38,STN_TABLE,4,FALSE)</f>
        <v>4.3308</v>
      </c>
      <c r="AL40" t="str">
        <f>CONCATENATE("M(",AD39,")=")</f>
        <v>M(1)=</v>
      </c>
      <c r="AM40">
        <f>AI40+AK40</f>
        <v>22.707000000000001</v>
      </c>
      <c r="AO40" s="82" t="str">
        <f>AA40</f>
        <v>M(1)=</v>
      </c>
      <c r="AP40" s="82" t="e">
        <f>VLOOKUP(AO40,Rise_Results,2,FALSE)</f>
        <v>#N/A</v>
      </c>
      <c r="AQ40" s="82">
        <f>N40</f>
        <v>23.241600000000002</v>
      </c>
      <c r="AR40" s="82">
        <f>IF(OR(AB39&lt;=0,AB40&lt;=0),1/0,AB40)</f>
        <v>22.761675</v>
      </c>
      <c r="AS40" s="82">
        <f>AM40</f>
        <v>22.707000000000001</v>
      </c>
      <c r="AT40">
        <f>IFERROR(AP40,IFERROR(AQ40,IFERROR(AR40,AS40)))</f>
        <v>23.241600000000002</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6.59</v>
      </c>
      <c r="E42" s="102">
        <v>1</v>
      </c>
      <c r="F42" s="68">
        <f>D42*E42</f>
        <v>6.59</v>
      </c>
      <c r="G42" s="69">
        <f>C42</f>
        <v>0.5</v>
      </c>
      <c r="H42" s="69">
        <f>F42*G42</f>
        <v>3.2949999999999999</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8.34</v>
      </c>
      <c r="S42" s="69">
        <v>5</v>
      </c>
      <c r="T42" s="68">
        <f>R42*S42</f>
        <v>41.7</v>
      </c>
      <c r="U42" s="79">
        <v>3</v>
      </c>
      <c r="V42" s="68">
        <f>R42*U42</f>
        <v>25.02</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8.34</v>
      </c>
      <c r="E43" s="81">
        <v>4</v>
      </c>
      <c r="F43" s="76">
        <f>D43*E43</f>
        <v>33.36</v>
      </c>
      <c r="G43" s="77">
        <f>C43</f>
        <v>1</v>
      </c>
      <c r="H43" s="77">
        <f>F43*G43</f>
        <v>33.36</v>
      </c>
      <c r="I43" s="513" t="s">
        <v>97</v>
      </c>
      <c r="J43" s="513"/>
      <c r="K43" s="78" t="s">
        <v>98</v>
      </c>
      <c r="L43" s="78"/>
      <c r="M43" s="7" t="s">
        <v>99</v>
      </c>
      <c r="N43" s="7"/>
      <c r="O43" s="99">
        <f>O42+1</f>
        <v>4</v>
      </c>
      <c r="P43" s="99">
        <f t="shared" si="10"/>
        <v>1.5</v>
      </c>
      <c r="Q43" s="76">
        <f>P43</f>
        <v>1.5</v>
      </c>
      <c r="R43" s="77">
        <f>VLOOKUP(Q43,STN_TABLE,2,FALSE)</f>
        <v>9.82</v>
      </c>
      <c r="S43" s="77">
        <v>8</v>
      </c>
      <c r="T43" s="76">
        <f>R43*S43</f>
        <v>78.56</v>
      </c>
      <c r="U43" s="80">
        <v>10</v>
      </c>
      <c r="V43" s="76">
        <f>R43*U43</f>
        <v>98.2</v>
      </c>
      <c r="W43" s="513" t="s">
        <v>97</v>
      </c>
      <c r="X43" s="513"/>
      <c r="Y43" s="513" t="s">
        <v>98</v>
      </c>
      <c r="Z43" s="513"/>
      <c r="AA43" s="511" t="s">
        <v>99</v>
      </c>
      <c r="AB43" s="511"/>
      <c r="AC43" s="99">
        <f>AC38+1</f>
        <v>3</v>
      </c>
      <c r="AD43" s="95">
        <f>VLOOKUP(AC43,STN_TABLE_2,2,FALSE)</f>
        <v>1</v>
      </c>
      <c r="AE43" s="68">
        <f>VLOOKUP(AD43,STN_TABLE,2,FALSE)</f>
        <v>8.34</v>
      </c>
      <c r="AF43" s="68">
        <v>1</v>
      </c>
      <c r="AG43" s="69">
        <f>AE43*AF43</f>
        <v>8.34</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9.82</v>
      </c>
      <c r="E44" s="92">
        <v>1</v>
      </c>
      <c r="F44" s="82">
        <f>D44*E44</f>
        <v>9.82</v>
      </c>
      <c r="G44" s="83">
        <f>C44</f>
        <v>1.5</v>
      </c>
      <c r="H44" s="83">
        <f>F44*G44</f>
        <v>14.73</v>
      </c>
      <c r="I44" s="84" t="str">
        <f>CONCATENATE("a'(",C44,")=")</f>
        <v>a'(1.5)=</v>
      </c>
      <c r="J44" s="84">
        <f>2*J42/3*F45</f>
        <v>29.862000000000002</v>
      </c>
      <c r="K44" s="84" t="str">
        <f>CONCATENATE("A(",C42,")=")</f>
        <v>A(0.5)=</v>
      </c>
      <c r="L44" s="84">
        <f>VLOOKUP(C42,STN_TABLE,3,FALSE)</f>
        <v>8.3069999999999986</v>
      </c>
      <c r="M44" t="str">
        <f>CONCATENATE("A(",C44,")=")</f>
        <v>A(1.5)=</v>
      </c>
      <c r="N44">
        <f>J44+L44</f>
        <v>38.168999999999997</v>
      </c>
      <c r="O44" s="99">
        <f>O43+1</f>
        <v>5</v>
      </c>
      <c r="P44" s="99">
        <f t="shared" si="10"/>
        <v>2</v>
      </c>
      <c r="Q44" s="82">
        <f>IF(P44-P43=P43-P42,P44,IF(P45-P43=P43-P42,P45,IF(P44-P43=P43-P41,P44,IF(P45-P43=P43-P41,P45,"-"))))</f>
        <v>2</v>
      </c>
      <c r="R44" s="83">
        <f>VLOOKUP(Q44,STN_TABLE,2,FALSE)</f>
        <v>10.92</v>
      </c>
      <c r="S44" s="83">
        <v>-1</v>
      </c>
      <c r="T44" s="82">
        <f>R44*S44</f>
        <v>-10.92</v>
      </c>
      <c r="U44" s="88">
        <v>-1</v>
      </c>
      <c r="V44" s="82">
        <f>R44*U44</f>
        <v>-10.92</v>
      </c>
      <c r="W44" s="84" t="str">
        <f>CONCATENATE("a'(",Q43,")=")</f>
        <v>a'(1.5)=</v>
      </c>
      <c r="X44" s="84">
        <f>2*X42/12*T45</f>
        <v>16.401</v>
      </c>
      <c r="Y44" s="84" t="str">
        <f>CONCATENATE("A(",Q42,")=")</f>
        <v>A(1)=</v>
      </c>
      <c r="Z44" s="84">
        <f>VLOOKUP(Q42,STN_TABLE,3,FALSE)</f>
        <v>22.139999999999997</v>
      </c>
      <c r="AA44" t="str">
        <f>CONCATENATE("A(",Q43,")=")</f>
        <v>A(1.5)=</v>
      </c>
      <c r="AB44">
        <f>X44+Z44</f>
        <v>38.540999999999997</v>
      </c>
      <c r="AC44" s="99">
        <f>AC43+1</f>
        <v>4</v>
      </c>
      <c r="AD44" s="100">
        <f>VLOOKUP(AC44,STN_TABLE_2,2,FALSE)</f>
        <v>1.5</v>
      </c>
      <c r="AE44" s="82">
        <f>VLOOKUP(AD44,STN_TABLE,2,FALSE)</f>
        <v>9.82</v>
      </c>
      <c r="AF44" s="82">
        <v>2</v>
      </c>
      <c r="AG44" s="83">
        <f>AE44*AF44</f>
        <v>19.64</v>
      </c>
      <c r="AH44" s="84" t="str">
        <f>CONCATENATE("a'(",AD44,")=")</f>
        <v>a'(1.5)=</v>
      </c>
      <c r="AI44" s="84">
        <f>2*AI42/2*AE45</f>
        <v>16.344000000000001</v>
      </c>
      <c r="AJ44" s="84" t="str">
        <f>CONCATENATE("A(",AD43,")=")</f>
        <v>A(1)=</v>
      </c>
      <c r="AK44" s="84">
        <f>VLOOKUP(AD43,STN_TABLE,3,FALSE)</f>
        <v>22.139999999999997</v>
      </c>
      <c r="AL44" t="str">
        <f>CONCATENATE("A(",AD44,")=")</f>
        <v>A(1.5)=</v>
      </c>
      <c r="AM44">
        <f>AI44+AK44</f>
        <v>38.483999999999995</v>
      </c>
      <c r="AO44" s="68" t="str">
        <f>AA44</f>
        <v>A(1.5)=</v>
      </c>
      <c r="AP44" s="68" t="e">
        <f>VLOOKUP(AO44,Rise_Results,2,FALSE)</f>
        <v>#N/A</v>
      </c>
      <c r="AQ44" s="76">
        <f>N44</f>
        <v>38.168999999999997</v>
      </c>
      <c r="AR44" s="76">
        <f>IF(OR(AB44&lt;=0,AB45&lt;=0),1/0,AB44)</f>
        <v>38.540999999999997</v>
      </c>
      <c r="AS44" s="76">
        <f>AM44</f>
        <v>38.483999999999995</v>
      </c>
      <c r="AT44">
        <f>IFERROR(AP44,IFERROR(AQ44,IFERROR(AR44,AS44)))</f>
        <v>38.168999999999997</v>
      </c>
      <c r="AU44" s="81"/>
    </row>
    <row r="45" spans="1:47" x14ac:dyDescent="0.25">
      <c r="A45" s="94">
        <f>A44+1</f>
        <v>4</v>
      </c>
      <c r="B45" s="94">
        <f t="shared" si="11"/>
        <v>1.5</v>
      </c>
      <c r="F45" s="82">
        <f>SUM(F42:F44)</f>
        <v>49.77</v>
      </c>
      <c r="H45" s="82">
        <f>SUM(H42:H44)</f>
        <v>51.385000000000005</v>
      </c>
      <c r="I45" s="84" t="str">
        <f>CONCATENATE("m'(",C44,")=")</f>
        <v>m'(1.5)=</v>
      </c>
      <c r="J45" s="84">
        <f>2*(J42*(WLS))/3*H45</f>
        <v>55.49580000000001</v>
      </c>
      <c r="K45" s="84" t="str">
        <f>CONCATENATE("M(",C42,")=")</f>
        <v>M(0.5)=</v>
      </c>
      <c r="L45" s="84">
        <f>VLOOKUP(C42,STN_TABLE,4,FALSE)</f>
        <v>4.3308</v>
      </c>
      <c r="M45" t="str">
        <f>CONCATENATE("M(",C44,")=")</f>
        <v>M(1.5)=</v>
      </c>
      <c r="N45">
        <f>J45+L45</f>
        <v>59.826600000000013</v>
      </c>
      <c r="O45" s="99">
        <f>O44+1</f>
        <v>6</v>
      </c>
      <c r="P45" s="99">
        <f t="shared" si="10"/>
        <v>3</v>
      </c>
      <c r="T45" s="89">
        <f>SUM(T42:T44)</f>
        <v>109.34</v>
      </c>
      <c r="V45" s="82">
        <f>SUM(V42:V44)</f>
        <v>112.3</v>
      </c>
      <c r="W45" s="84" t="str">
        <f>CONCATENATE("m'(",Q43,")=")</f>
        <v>m'(1.5)=</v>
      </c>
      <c r="X45" s="84">
        <f>(2*(X42^2)/24*V45)+(X44*Q42*WLS)</f>
        <v>37.102049999999998</v>
      </c>
      <c r="Y45" s="84" t="str">
        <f>CONCATENATE("M(",Q42,")=")</f>
        <v>M(1)=</v>
      </c>
      <c r="Z45" s="84">
        <f>VLOOKUP(Q42,STN_TABLE,4,FALSE)</f>
        <v>23.241600000000002</v>
      </c>
      <c r="AA45" t="str">
        <f>CONCATENATE("M(",Q43,")=")</f>
        <v>M(1.5)=</v>
      </c>
      <c r="AB45">
        <f>X45+Z45</f>
        <v>60.343649999999997</v>
      </c>
      <c r="AE45" s="89">
        <f>SUM(AE43:AE44)</f>
        <v>18.16</v>
      </c>
      <c r="AG45" s="89">
        <f>SUM(AG43:AG44)</f>
        <v>27.98</v>
      </c>
      <c r="AH45" s="84" t="str">
        <f>CONCATENATE("m'(",AD44,")=")</f>
        <v>m'(1.5)=</v>
      </c>
      <c r="AI45" s="84">
        <f>(2*(AI42^2)/6*AG45)+(AI44*AD43*WLS)</f>
        <v>36.973800000000004</v>
      </c>
      <c r="AJ45" s="84" t="str">
        <f>CONCATENATE("M(",AD43,")=")</f>
        <v>M(1)=</v>
      </c>
      <c r="AK45" s="84">
        <f>VLOOKUP(AD43,STN_TABLE,4,FALSE)</f>
        <v>23.241600000000002</v>
      </c>
      <c r="AL45" t="str">
        <f>CONCATENATE("M(",AD44,")=")</f>
        <v>M(1.5)=</v>
      </c>
      <c r="AM45">
        <f>AI45+AK45</f>
        <v>60.215400000000002</v>
      </c>
      <c r="AO45" s="82" t="str">
        <f>AA45</f>
        <v>M(1.5)=</v>
      </c>
      <c r="AP45" s="82" t="e">
        <f>VLOOKUP(AO45,Rise_Results,2,FALSE)</f>
        <v>#N/A</v>
      </c>
      <c r="AQ45" s="82">
        <f>N45</f>
        <v>59.826600000000013</v>
      </c>
      <c r="AR45" s="82">
        <f>IF(OR(AB44&lt;=0,AB45&lt;=0),1/0,AB45)</f>
        <v>60.343649999999997</v>
      </c>
      <c r="AS45" s="82">
        <f>AM45</f>
        <v>60.215400000000002</v>
      </c>
      <c r="AT45">
        <f>IFERROR(AP45,IFERROR(AQ45,IFERROR(AR45,AS45)))</f>
        <v>59.826600000000013</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8.34</v>
      </c>
      <c r="E47" s="102">
        <v>1</v>
      </c>
      <c r="F47" s="68">
        <f>D47*E47</f>
        <v>8.34</v>
      </c>
      <c r="G47" s="69">
        <f>C47</f>
        <v>1</v>
      </c>
      <c r="H47" s="69">
        <f>F47*G47</f>
        <v>8.34</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8.34</v>
      </c>
      <c r="S47" s="69">
        <v>5</v>
      </c>
      <c r="T47" s="68">
        <f>R47*S47</f>
        <v>41.7</v>
      </c>
      <c r="U47" s="79">
        <v>3</v>
      </c>
      <c r="V47" s="68">
        <f>R47*U47</f>
        <v>25.02</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9.82</v>
      </c>
      <c r="E48" s="81">
        <v>4</v>
      </c>
      <c r="F48" s="76">
        <f>D48*E48</f>
        <v>39.28</v>
      </c>
      <c r="G48" s="77">
        <f>C48</f>
        <v>1.5</v>
      </c>
      <c r="H48" s="77">
        <f>F48*G48</f>
        <v>58.92</v>
      </c>
      <c r="I48" s="513" t="s">
        <v>97</v>
      </c>
      <c r="J48" s="513"/>
      <c r="K48" s="78" t="s">
        <v>98</v>
      </c>
      <c r="L48" s="78"/>
      <c r="M48" s="7" t="s">
        <v>99</v>
      </c>
      <c r="N48" s="7"/>
      <c r="O48" s="99">
        <f>O47+1</f>
        <v>5</v>
      </c>
      <c r="P48" s="99">
        <f t="shared" si="10"/>
        <v>2</v>
      </c>
      <c r="Q48" s="76">
        <f>P48</f>
        <v>2</v>
      </c>
      <c r="R48" s="77">
        <f>VLOOKUP(Q48,STN_TABLE,2,FALSE)</f>
        <v>10.92</v>
      </c>
      <c r="S48" s="77">
        <v>8</v>
      </c>
      <c r="T48" s="76">
        <f>R48*S48</f>
        <v>87.36</v>
      </c>
      <c r="U48" s="80">
        <v>10</v>
      </c>
      <c r="V48" s="76">
        <f>R48*U48</f>
        <v>109.2</v>
      </c>
      <c r="W48" s="513" t="s">
        <v>97</v>
      </c>
      <c r="X48" s="513"/>
      <c r="Y48" s="513" t="s">
        <v>98</v>
      </c>
      <c r="Z48" s="513"/>
      <c r="AA48" s="511" t="s">
        <v>99</v>
      </c>
      <c r="AB48" s="511"/>
      <c r="AC48" s="99">
        <f>AC43+1</f>
        <v>4</v>
      </c>
      <c r="AD48" s="95">
        <f>VLOOKUP(AC48,STN_TABLE_2,2,FALSE)</f>
        <v>1.5</v>
      </c>
      <c r="AE48" s="68">
        <f>VLOOKUP(AD48,STN_TABLE,2,FALSE)</f>
        <v>9.82</v>
      </c>
      <c r="AF48" s="68">
        <v>1</v>
      </c>
      <c r="AG48" s="69">
        <f>AE48*AF48</f>
        <v>9.82</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10.92</v>
      </c>
      <c r="E49" s="92">
        <v>1</v>
      </c>
      <c r="F49" s="82">
        <f>D49*E49</f>
        <v>10.92</v>
      </c>
      <c r="G49" s="83">
        <f>C49</f>
        <v>2</v>
      </c>
      <c r="H49" s="83">
        <f>F49*G49</f>
        <v>21.84</v>
      </c>
      <c r="I49" s="84" t="str">
        <f>CONCATENATE("a'(",C49,")=")</f>
        <v>a'(2)=</v>
      </c>
      <c r="J49" s="84">
        <f>2*J47/3*F50</f>
        <v>35.124000000000002</v>
      </c>
      <c r="K49" s="84" t="str">
        <f>CONCATENATE("A(",C47,")=")</f>
        <v>A(1)=</v>
      </c>
      <c r="L49" s="84">
        <f>VLOOKUP(C47,STN_TABLE,3,FALSE)</f>
        <v>22.139999999999997</v>
      </c>
      <c r="M49" t="str">
        <f>CONCATENATE("A(",C49,")=")</f>
        <v>A(2)=</v>
      </c>
      <c r="N49">
        <f>J49+L49</f>
        <v>57.263999999999996</v>
      </c>
      <c r="O49" s="99">
        <f>O48+1</f>
        <v>6</v>
      </c>
      <c r="P49" s="99">
        <f t="shared" si="10"/>
        <v>3</v>
      </c>
      <c r="Q49" s="82">
        <f>IF(P49-P48=P48-P47,P49,IF(P50-P48=P48-P47,P50,IF(P49-P48=P48-P46,P49,IF(P50-P48=P48-P46,P50,"-"))))</f>
        <v>3</v>
      </c>
      <c r="R49" s="83">
        <f>VLOOKUP(Q49,STN_TABLE,2,FALSE)</f>
        <v>11.97</v>
      </c>
      <c r="S49" s="83">
        <v>-1</v>
      </c>
      <c r="T49" s="82">
        <f>R49*S49</f>
        <v>-11.97</v>
      </c>
      <c r="U49" s="88">
        <v>-1</v>
      </c>
      <c r="V49" s="82">
        <f>R49*U49</f>
        <v>-11.97</v>
      </c>
      <c r="W49" s="84" t="str">
        <f>CONCATENATE("a'(",Q48,")=")</f>
        <v>a'(2)=</v>
      </c>
      <c r="X49" s="84">
        <f>2*X47/12*T50</f>
        <v>35.127000000000002</v>
      </c>
      <c r="Y49" s="84" t="str">
        <f>CONCATENATE("A(",Q47,")=")</f>
        <v>A(1)=</v>
      </c>
      <c r="Z49" s="84">
        <f>VLOOKUP(Q47,STN_TABLE,3,FALSE)</f>
        <v>22.139999999999997</v>
      </c>
      <c r="AA49" t="str">
        <f>CONCATENATE("A(",Q48,")=")</f>
        <v>A(2)=</v>
      </c>
      <c r="AB49">
        <f>X49+Z49</f>
        <v>57.266999999999996</v>
      </c>
      <c r="AC49" s="99">
        <f>AC48+1</f>
        <v>5</v>
      </c>
      <c r="AD49" s="100">
        <f>VLOOKUP(AC49,STN_TABLE_2,2,FALSE)</f>
        <v>2</v>
      </c>
      <c r="AE49" s="82">
        <f>VLOOKUP(AD49,STN_TABLE,2,FALSE)</f>
        <v>10.92</v>
      </c>
      <c r="AF49" s="82">
        <v>2</v>
      </c>
      <c r="AG49" s="83">
        <f>AE49*AF49</f>
        <v>21.84</v>
      </c>
      <c r="AH49" s="84" t="str">
        <f>CONCATENATE("a'(",AD49,")=")</f>
        <v>a'(2)=</v>
      </c>
      <c r="AI49" s="84">
        <f>2*AI47/2*AE50</f>
        <v>18.666000000000004</v>
      </c>
      <c r="AJ49" s="84" t="str">
        <f>CONCATENATE("A(",AD48,")=")</f>
        <v>A(1.5)=</v>
      </c>
      <c r="AK49" s="84">
        <f>VLOOKUP(AD48,STN_TABLE,3,FALSE)</f>
        <v>38.168999999999997</v>
      </c>
      <c r="AL49" t="str">
        <f>CONCATENATE("A(",AD49,")=")</f>
        <v>A(2)=</v>
      </c>
      <c r="AM49">
        <f>AI49+AK49</f>
        <v>56.835000000000001</v>
      </c>
      <c r="AO49" s="68" t="str">
        <f>AA49</f>
        <v>A(2)=</v>
      </c>
      <c r="AP49" s="68" t="e">
        <f>VLOOKUP(AO49,Rise_Results,2,FALSE)</f>
        <v>#N/A</v>
      </c>
      <c r="AQ49" s="76">
        <f>N49</f>
        <v>57.263999999999996</v>
      </c>
      <c r="AR49" s="76">
        <f>IF(OR(AB49&lt;=0,AB50&lt;=0),1/0,AB49)</f>
        <v>57.266999999999996</v>
      </c>
      <c r="AS49" s="76">
        <f>AM49</f>
        <v>56.835000000000001</v>
      </c>
      <c r="AT49">
        <f>IFERROR(AP49,IFERROR(AQ49,IFERROR(AR49,AS49)))</f>
        <v>57.263999999999996</v>
      </c>
      <c r="AU49" s="81"/>
    </row>
    <row r="50" spans="1:47" x14ac:dyDescent="0.25">
      <c r="A50" s="84">
        <f>A49+1</f>
        <v>5</v>
      </c>
      <c r="B50" s="84">
        <f t="shared" si="11"/>
        <v>2</v>
      </c>
      <c r="F50" s="82">
        <f>SUM(F47:F49)</f>
        <v>58.540000000000006</v>
      </c>
      <c r="H50" s="82">
        <f>SUM(H47:H49)</f>
        <v>89.100000000000009</v>
      </c>
      <c r="I50" s="84" t="str">
        <f>CONCATENATE("m'(",C49,")=")</f>
        <v>m'(2)=</v>
      </c>
      <c r="J50" s="84">
        <f>2*(J47*(WLS))/3*H50</f>
        <v>96.228000000000009</v>
      </c>
      <c r="K50" s="84" t="str">
        <f>CONCATENATE("M(",C47,")=")</f>
        <v>M(1)=</v>
      </c>
      <c r="L50" s="84">
        <f>VLOOKUP(C47,STN_TABLE,4,FALSE)</f>
        <v>23.241600000000002</v>
      </c>
      <c r="M50" t="str">
        <f>CONCATENATE("M(",C49,")=")</f>
        <v>M(2)=</v>
      </c>
      <c r="N50">
        <f>J50+L50</f>
        <v>119.46960000000001</v>
      </c>
      <c r="O50" s="99">
        <f>O49+1</f>
        <v>7</v>
      </c>
      <c r="P50" s="99">
        <f t="shared" si="10"/>
        <v>4</v>
      </c>
      <c r="T50" s="89">
        <f>SUM(T47:T49)</f>
        <v>117.09</v>
      </c>
      <c r="V50" s="82">
        <f>SUM(V47:V49)</f>
        <v>122.25</v>
      </c>
      <c r="W50" s="84" t="str">
        <f>CONCATENATE("m'(",Q48,")=")</f>
        <v>m'(2)=</v>
      </c>
      <c r="X50" s="84">
        <f>(2*(X47^2)/24*V50)+(X49*Q47*WLS)</f>
        <v>96.236100000000008</v>
      </c>
      <c r="Y50" s="84" t="str">
        <f>CONCATENATE("M(",Q47,")=")</f>
        <v>M(1)=</v>
      </c>
      <c r="Z50" s="84">
        <f>VLOOKUP(Q47,STN_TABLE,4,FALSE)</f>
        <v>23.241600000000002</v>
      </c>
      <c r="AA50" t="str">
        <f>CONCATENATE("M(",Q48,")=")</f>
        <v>M(2)=</v>
      </c>
      <c r="AB50">
        <f>X50+Z50</f>
        <v>119.47770000000001</v>
      </c>
      <c r="AE50" s="89">
        <f>SUM(AE48:AE49)</f>
        <v>20.740000000000002</v>
      </c>
      <c r="AG50" s="89">
        <f>SUM(AG48:AG49)</f>
        <v>31.66</v>
      </c>
      <c r="AH50" s="84" t="str">
        <f>CONCATENATE("m'(",AD49,")=")</f>
        <v>m'(2)=</v>
      </c>
      <c r="AI50" s="84">
        <f>(2*(AI47^2)/6*AG50)+(AI49*AD48*WLS)</f>
        <v>58.946400000000011</v>
      </c>
      <c r="AJ50" s="84" t="str">
        <f>CONCATENATE("M(",AD48,")=")</f>
        <v>M(1.5)=</v>
      </c>
      <c r="AK50" s="84">
        <f>VLOOKUP(AD48,STN_TABLE,4,FALSE)</f>
        <v>59.826600000000013</v>
      </c>
      <c r="AL50" t="str">
        <f>CONCATENATE("M(",AD49,")=")</f>
        <v>M(2)=</v>
      </c>
      <c r="AM50">
        <f>AI50+AK50</f>
        <v>118.77300000000002</v>
      </c>
      <c r="AO50" s="82" t="str">
        <f>AA50</f>
        <v>M(2)=</v>
      </c>
      <c r="AP50" s="82" t="e">
        <f>VLOOKUP(AO50,Rise_Results,2,FALSE)</f>
        <v>#N/A</v>
      </c>
      <c r="AQ50" s="82">
        <f>N50</f>
        <v>119.46960000000001</v>
      </c>
      <c r="AR50" s="82">
        <f>IF(OR(AB49&lt;=0,AB50&lt;=0),1/0,AB50)</f>
        <v>119.47770000000001</v>
      </c>
      <c r="AS50" s="82">
        <f>AM50</f>
        <v>118.77300000000002</v>
      </c>
      <c r="AT50">
        <f>IFERROR(AP50,IFERROR(AQ50,IFERROR(AR50,AS50)))</f>
        <v>119.46960000000001</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8.34</v>
      </c>
      <c r="E52" s="102">
        <v>1</v>
      </c>
      <c r="F52" s="68">
        <f>D52*E52</f>
        <v>8.34</v>
      </c>
      <c r="G52" s="69">
        <f>C52</f>
        <v>1</v>
      </c>
      <c r="H52" s="69">
        <f>F52*G52</f>
        <v>8.34</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10.92</v>
      </c>
      <c r="S52" s="69">
        <v>5</v>
      </c>
      <c r="T52" s="68">
        <f>R52*S52</f>
        <v>54.6</v>
      </c>
      <c r="U52" s="79">
        <v>3</v>
      </c>
      <c r="V52" s="68">
        <f>R52*U52</f>
        <v>32.76</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10.92</v>
      </c>
      <c r="E53" s="81">
        <v>4</v>
      </c>
      <c r="F53" s="76">
        <f>D53*E53</f>
        <v>43.68</v>
      </c>
      <c r="G53" s="77">
        <f>C53</f>
        <v>2</v>
      </c>
      <c r="H53" s="77">
        <f>F53*G53</f>
        <v>87.36</v>
      </c>
      <c r="I53" s="512" t="s">
        <v>97</v>
      </c>
      <c r="J53" s="513"/>
      <c r="K53" s="78" t="s">
        <v>98</v>
      </c>
      <c r="L53" s="78"/>
      <c r="M53" s="7" t="s">
        <v>99</v>
      </c>
      <c r="N53" s="7"/>
      <c r="O53" s="99">
        <f>O52+1</f>
        <v>6</v>
      </c>
      <c r="P53" s="99">
        <f t="shared" si="10"/>
        <v>3</v>
      </c>
      <c r="Q53" s="76">
        <f>P53</f>
        <v>3</v>
      </c>
      <c r="R53" s="77">
        <f>VLOOKUP(Q53,STN_TABLE,2,FALSE)</f>
        <v>11.97</v>
      </c>
      <c r="S53" s="77">
        <v>8</v>
      </c>
      <c r="T53" s="76">
        <f>R53*S53</f>
        <v>95.76</v>
      </c>
      <c r="U53" s="80">
        <v>10</v>
      </c>
      <c r="V53" s="76">
        <f>R53*U53</f>
        <v>119.7</v>
      </c>
      <c r="W53" s="513" t="s">
        <v>97</v>
      </c>
      <c r="X53" s="513"/>
      <c r="Y53" s="513" t="s">
        <v>98</v>
      </c>
      <c r="Z53" s="513"/>
      <c r="AA53" s="511" t="s">
        <v>99</v>
      </c>
      <c r="AB53" s="511"/>
      <c r="AC53" s="99">
        <f>AC48+1</f>
        <v>5</v>
      </c>
      <c r="AD53" s="95">
        <f>VLOOKUP(AC53,STN_TABLE_2,2,FALSE)</f>
        <v>2</v>
      </c>
      <c r="AE53" s="68">
        <f>VLOOKUP(AD53,STN_TABLE,2,FALSE)</f>
        <v>10.92</v>
      </c>
      <c r="AF53" s="68">
        <v>1</v>
      </c>
      <c r="AG53" s="69">
        <f>AE53*AF53</f>
        <v>10.92</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11.97</v>
      </c>
      <c r="E54" s="92">
        <v>1</v>
      </c>
      <c r="F54" s="82">
        <f>D54*E54</f>
        <v>11.97</v>
      </c>
      <c r="G54" s="83">
        <f>C54</f>
        <v>3</v>
      </c>
      <c r="H54" s="83">
        <f>F54*G54</f>
        <v>35.910000000000004</v>
      </c>
      <c r="I54" s="84" t="str">
        <f>CONCATENATE("a'(",C54,")=")</f>
        <v>a'(3)=</v>
      </c>
      <c r="J54" s="84">
        <f>2*J52/3*F55</f>
        <v>76.787999999999997</v>
      </c>
      <c r="K54" s="84" t="str">
        <f>CONCATENATE("A(",C52,")=")</f>
        <v>A(1)=</v>
      </c>
      <c r="L54" s="84">
        <f>VLOOKUP(C52,STN_TABLE,3,FALSE)</f>
        <v>22.139999999999997</v>
      </c>
      <c r="M54" t="str">
        <f>CONCATENATE("A(",C54,")=")</f>
        <v>A(3)=</v>
      </c>
      <c r="N54">
        <f>J54+L54</f>
        <v>98.927999999999997</v>
      </c>
      <c r="O54" s="99">
        <f>O53+1</f>
        <v>7</v>
      </c>
      <c r="P54" s="99">
        <f t="shared" si="10"/>
        <v>4</v>
      </c>
      <c r="Q54" s="82">
        <f>IF(P54-P53=P53-P52,P54,IF(P55-P53=P53-P52,P55,IF(P54-P53=P53-P51,P54,IF(P55-P53=P53-P51,P55,"-"))))</f>
        <v>4</v>
      </c>
      <c r="R54" s="83">
        <f>VLOOKUP(Q54,STN_TABLE,2,FALSE)</f>
        <v>12.25</v>
      </c>
      <c r="S54" s="83">
        <v>-1</v>
      </c>
      <c r="T54" s="82">
        <f>R54*S54</f>
        <v>-12.25</v>
      </c>
      <c r="U54" s="88">
        <v>-1</v>
      </c>
      <c r="V54" s="82">
        <f>R54*U54</f>
        <v>-12.25</v>
      </c>
      <c r="W54" s="84" t="str">
        <f>CONCATENATE("a'(",Q53,")=")</f>
        <v>a'(3)=</v>
      </c>
      <c r="X54" s="84">
        <f>2*X52/12*T55</f>
        <v>41.433</v>
      </c>
      <c r="Y54" s="84" t="str">
        <f>CONCATENATE("A(",Q52,")=")</f>
        <v>A(2)=</v>
      </c>
      <c r="Z54" s="84">
        <f>VLOOKUP(Q52,STN_TABLE,3,FALSE)</f>
        <v>57.263999999999996</v>
      </c>
      <c r="AA54" t="str">
        <f>CONCATENATE("A(",Q53,")=")</f>
        <v>A(3)=</v>
      </c>
      <c r="AB54">
        <f>X54+Z54</f>
        <v>98.697000000000003</v>
      </c>
      <c r="AC54" s="99">
        <f>AC53+1</f>
        <v>6</v>
      </c>
      <c r="AD54" s="100">
        <f>VLOOKUP(AC54,STN_TABLE_2,2,FALSE)</f>
        <v>3</v>
      </c>
      <c r="AE54" s="82">
        <f>VLOOKUP(AD54,STN_TABLE,2,FALSE)</f>
        <v>11.97</v>
      </c>
      <c r="AF54" s="82">
        <v>2</v>
      </c>
      <c r="AG54" s="83">
        <f>AE54*AF54</f>
        <v>23.94</v>
      </c>
      <c r="AH54" s="84" t="str">
        <f>CONCATENATE("a'(",AD54,")=")</f>
        <v>a'(3)=</v>
      </c>
      <c r="AI54" s="84">
        <f>2*AI52/2*AE55</f>
        <v>41.202000000000005</v>
      </c>
      <c r="AJ54" s="84" t="str">
        <f>CONCATENATE("A(",AD53,")=")</f>
        <v>A(2)=</v>
      </c>
      <c r="AK54" s="84">
        <f>VLOOKUP(AD53,STN_TABLE,3,FALSE)</f>
        <v>57.263999999999996</v>
      </c>
      <c r="AL54" t="str">
        <f>CONCATENATE("A(",AD54,")=")</f>
        <v>A(3)=</v>
      </c>
      <c r="AM54">
        <f>AI54+AK54</f>
        <v>98.466000000000008</v>
      </c>
      <c r="AO54" s="68" t="str">
        <f>AA54</f>
        <v>A(3)=</v>
      </c>
      <c r="AP54" s="68" t="e">
        <f>VLOOKUP(AO54,Rise_Results,2,FALSE)</f>
        <v>#N/A</v>
      </c>
      <c r="AQ54" s="76">
        <f>N54</f>
        <v>98.927999999999997</v>
      </c>
      <c r="AR54" s="76">
        <f>IF(OR(AB54&lt;=0,AB55&lt;=0),1/0,AB54)</f>
        <v>98.697000000000003</v>
      </c>
      <c r="AS54" s="76">
        <f>AM54</f>
        <v>98.466000000000008</v>
      </c>
      <c r="AT54">
        <f>IFERROR(AP54,IFERROR(AQ54,IFERROR(AR54,AS54)))</f>
        <v>98.927999999999997</v>
      </c>
      <c r="AU54" s="81"/>
    </row>
    <row r="55" spans="1:47" x14ac:dyDescent="0.25">
      <c r="A55" s="84">
        <f>A54+1</f>
        <v>6</v>
      </c>
      <c r="B55" s="84">
        <f t="shared" si="11"/>
        <v>3</v>
      </c>
      <c r="F55" s="82">
        <f>SUM(F52:F54)</f>
        <v>63.989999999999995</v>
      </c>
      <c r="H55" s="82">
        <f>SUM(H52:H54)</f>
        <v>131.61000000000001</v>
      </c>
      <c r="I55" s="84" t="str">
        <f>CONCATENATE("m'(",C54,")=")</f>
        <v>m'(3)=</v>
      </c>
      <c r="J55" s="84">
        <f>2*(J52*(WLS))/3*H55</f>
        <v>284.27760000000006</v>
      </c>
      <c r="K55" s="84" t="str">
        <f>CONCATENATE("M(",C52,")=")</f>
        <v>M(1)=</v>
      </c>
      <c r="L55" s="84">
        <f>VLOOKUP(C52,STN_TABLE,4,FALSE)</f>
        <v>23.241600000000002</v>
      </c>
      <c r="M55" t="str">
        <f>CONCATENATE("M(",C54,")=")</f>
        <v>M(3)=</v>
      </c>
      <c r="N55">
        <f>J55+L55</f>
        <v>307.51920000000007</v>
      </c>
      <c r="O55" s="99">
        <f>O54+1</f>
        <v>8</v>
      </c>
      <c r="P55" s="99">
        <f t="shared" si="10"/>
        <v>5</v>
      </c>
      <c r="T55" s="89">
        <f>SUM(T52:T54)</f>
        <v>138.11000000000001</v>
      </c>
      <c r="V55" s="82">
        <f>SUM(V52:V54)</f>
        <v>140.21</v>
      </c>
      <c r="W55" s="84" t="str">
        <f>CONCATENATE("m'(",Q53,")=")</f>
        <v>m'(3)=</v>
      </c>
      <c r="X55" s="84">
        <f>(2*(X52^2)/24*V55)+(X54*Q52*WLS)</f>
        <v>187.01550000000003</v>
      </c>
      <c r="Y55" s="84" t="str">
        <f>CONCATENATE("M(",Q52,")=")</f>
        <v>M(2)=</v>
      </c>
      <c r="Z55" s="84">
        <f>VLOOKUP(Q52,STN_TABLE,4,FALSE)</f>
        <v>119.46960000000001</v>
      </c>
      <c r="AA55" t="str">
        <f>CONCATENATE("M(",Q53,")=")</f>
        <v>M(3)=</v>
      </c>
      <c r="AB55">
        <f>X55+Z55</f>
        <v>306.48510000000005</v>
      </c>
      <c r="AE55" s="89">
        <f>SUM(AE53:AE54)</f>
        <v>22.89</v>
      </c>
      <c r="AG55" s="89">
        <f>SUM(AG53:AG54)</f>
        <v>34.86</v>
      </c>
      <c r="AH55" s="84" t="str">
        <f>CONCATENATE("m'(",AD54,")=")</f>
        <v>m'(3)=</v>
      </c>
      <c r="AI55" s="84">
        <f>(2*(AI52^2)/6*AG55)+(AI54*AD53*WLS)</f>
        <v>185.97600000000003</v>
      </c>
      <c r="AJ55" s="84" t="str">
        <f>CONCATENATE("M(",AD53,")=")</f>
        <v>M(2)=</v>
      </c>
      <c r="AK55" s="84">
        <f>VLOOKUP(AD53,STN_TABLE,4,FALSE)</f>
        <v>119.46960000000001</v>
      </c>
      <c r="AL55" t="str">
        <f>CONCATENATE("M(",AD54,")=")</f>
        <v>M(3)=</v>
      </c>
      <c r="AM55">
        <f>AI55+AK55</f>
        <v>305.44560000000001</v>
      </c>
      <c r="AO55" s="82" t="str">
        <f>AA55</f>
        <v>M(3)=</v>
      </c>
      <c r="AP55" s="82" t="e">
        <f>VLOOKUP(AO55,Rise_Results,2,FALSE)</f>
        <v>#N/A</v>
      </c>
      <c r="AQ55" s="82">
        <f>N55</f>
        <v>307.51920000000007</v>
      </c>
      <c r="AR55" s="82">
        <f>IF(OR(AB54&lt;=0,AB55&lt;=0),1/0,AB55)</f>
        <v>306.48510000000005</v>
      </c>
      <c r="AS55" s="82">
        <f>AM55</f>
        <v>305.44560000000001</v>
      </c>
      <c r="AT55">
        <f>IFERROR(AP55,IFERROR(AQ55,IFERROR(AR55,AS55)))</f>
        <v>307.51920000000007</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10.92</v>
      </c>
      <c r="E57" s="102">
        <v>1</v>
      </c>
      <c r="F57" s="68">
        <f>D57*E57</f>
        <v>10.92</v>
      </c>
      <c r="G57" s="69">
        <f>C57</f>
        <v>2</v>
      </c>
      <c r="H57" s="69">
        <f>F57*G57</f>
        <v>21.84</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11.97</v>
      </c>
      <c r="S57" s="69">
        <v>5</v>
      </c>
      <c r="T57" s="68">
        <f>R57*S57</f>
        <v>59.85</v>
      </c>
      <c r="U57" s="79">
        <v>3</v>
      </c>
      <c r="V57" s="68">
        <f>R57*U57</f>
        <v>35.910000000000004</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11.97</v>
      </c>
      <c r="E58" s="81">
        <v>4</v>
      </c>
      <c r="F58" s="76">
        <f>D58*E58</f>
        <v>47.88</v>
      </c>
      <c r="G58" s="77">
        <f>C58</f>
        <v>3</v>
      </c>
      <c r="H58" s="77">
        <f>F58*G58</f>
        <v>143.64000000000001</v>
      </c>
      <c r="I58" s="512" t="s">
        <v>97</v>
      </c>
      <c r="J58" s="513"/>
      <c r="K58" s="78" t="s">
        <v>98</v>
      </c>
      <c r="L58" s="78"/>
      <c r="M58" s="7" t="s">
        <v>99</v>
      </c>
      <c r="N58" s="7"/>
      <c r="O58" s="99">
        <f>O57+1</f>
        <v>7</v>
      </c>
      <c r="P58" s="99">
        <f t="shared" si="10"/>
        <v>4</v>
      </c>
      <c r="Q58" s="76">
        <f>P58</f>
        <v>4</v>
      </c>
      <c r="R58" s="77">
        <f>VLOOKUP(Q58,STN_TABLE,2,FALSE)</f>
        <v>12.25</v>
      </c>
      <c r="S58" s="77">
        <v>8</v>
      </c>
      <c r="T58" s="76">
        <f>R58*S58</f>
        <v>98</v>
      </c>
      <c r="U58" s="80">
        <v>10</v>
      </c>
      <c r="V58" s="76">
        <f>R58*U58</f>
        <v>122.5</v>
      </c>
      <c r="W58" s="78" t="s">
        <v>97</v>
      </c>
      <c r="X58" s="78"/>
      <c r="Y58" s="78" t="s">
        <v>98</v>
      </c>
      <c r="Z58" s="78"/>
      <c r="AA58" s="7" t="s">
        <v>99</v>
      </c>
      <c r="AB58" s="7"/>
      <c r="AC58" s="99">
        <f>AC53+1</f>
        <v>6</v>
      </c>
      <c r="AD58" s="95">
        <f>VLOOKUP(AC58,STN_TABLE_2,2,FALSE)</f>
        <v>3</v>
      </c>
      <c r="AE58" s="68">
        <f>VLOOKUP(AD58,STN_TABLE,2,FALSE)</f>
        <v>11.97</v>
      </c>
      <c r="AF58" s="68">
        <v>1</v>
      </c>
      <c r="AG58" s="69">
        <f>AE58*AF58</f>
        <v>11.97</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12.25</v>
      </c>
      <c r="E59" s="92">
        <v>1</v>
      </c>
      <c r="F59" s="82">
        <f>D59*E59</f>
        <v>12.25</v>
      </c>
      <c r="G59" s="83">
        <f>C59</f>
        <v>4</v>
      </c>
      <c r="H59" s="83">
        <f>F59*G59</f>
        <v>49</v>
      </c>
      <c r="I59" s="84" t="str">
        <f>CONCATENATE("a'(",C59,")=")</f>
        <v>a'(4)=</v>
      </c>
      <c r="J59" s="84">
        <f>2*J57/3*F60</f>
        <v>85.26</v>
      </c>
      <c r="K59" s="84" t="str">
        <f>CONCATENATE("A(",C57,")=")</f>
        <v>A(2)=</v>
      </c>
      <c r="L59" s="84">
        <f>VLOOKUP(C57,STN_TABLE,3,FALSE)</f>
        <v>57.263999999999996</v>
      </c>
      <c r="M59" t="str">
        <f>CONCATENATE("A(",C59,")=")</f>
        <v>A(4)=</v>
      </c>
      <c r="N59">
        <f>J59+L59</f>
        <v>142.524</v>
      </c>
      <c r="O59" s="99">
        <f>O58+1</f>
        <v>8</v>
      </c>
      <c r="P59" s="99">
        <f t="shared" si="10"/>
        <v>5</v>
      </c>
      <c r="Q59" s="82">
        <f>IF(P59-P58=P58-P57,P59,IF(P60-P58=P58-P57,P60,IF(P59-P58=P58-P56,P59,IF(P60-P58=P58-P56,P60,"-"))))</f>
        <v>5</v>
      </c>
      <c r="R59" s="83">
        <f>VLOOKUP(Q59,STN_TABLE,2,FALSE)</f>
        <v>12.25</v>
      </c>
      <c r="S59" s="83">
        <v>-1</v>
      </c>
      <c r="T59" s="82">
        <f>R59*S59</f>
        <v>-12.25</v>
      </c>
      <c r="U59" s="88">
        <v>-1</v>
      </c>
      <c r="V59" s="82">
        <f>R59*U59</f>
        <v>-12.25</v>
      </c>
      <c r="W59" s="84" t="str">
        <f>CONCATENATE("a'(",Q58,")=")</f>
        <v>a'(4)=</v>
      </c>
      <c r="X59" s="84">
        <f>2*X57/12*T60</f>
        <v>43.68</v>
      </c>
      <c r="Y59" s="84" t="str">
        <f>CONCATENATE("A(",Q57,")=")</f>
        <v>A(3)=</v>
      </c>
      <c r="Z59" s="84">
        <f>VLOOKUP(Q57,STN_TABLE,3,FALSE)</f>
        <v>98.927999999999997</v>
      </c>
      <c r="AA59" t="str">
        <f>CONCATENATE("A(",Q58,")=")</f>
        <v>A(4)=</v>
      </c>
      <c r="AB59">
        <f>X59+Z59</f>
        <v>142.608</v>
      </c>
      <c r="AC59" s="99">
        <f>AC58+1</f>
        <v>7</v>
      </c>
      <c r="AD59" s="100">
        <f>VLOOKUP(AC59,STN_TABLE_2,2,FALSE)</f>
        <v>4</v>
      </c>
      <c r="AE59" s="82">
        <f>VLOOKUP(AD59,STN_TABLE,2,FALSE)</f>
        <v>12.25</v>
      </c>
      <c r="AF59" s="82">
        <v>2</v>
      </c>
      <c r="AG59" s="83">
        <f>AE59*AF59</f>
        <v>24.5</v>
      </c>
      <c r="AH59" s="84" t="str">
        <f>CONCATENATE("a'(",AD59,")=")</f>
        <v>a'(4)=</v>
      </c>
      <c r="AI59" s="84">
        <f>2*AI57/2*AE60</f>
        <v>43.595999999999997</v>
      </c>
      <c r="AJ59" s="84" t="str">
        <f>CONCATENATE("A(",AD58,")=")</f>
        <v>A(3)=</v>
      </c>
      <c r="AK59" s="84">
        <f>VLOOKUP(AD58,STN_TABLE,3,FALSE)</f>
        <v>98.927999999999997</v>
      </c>
      <c r="AL59" t="str">
        <f>CONCATENATE("A(",AD59,")=")</f>
        <v>A(4)=</v>
      </c>
      <c r="AM59">
        <f>AI59+AK59</f>
        <v>142.524</v>
      </c>
      <c r="AO59" s="68" t="str">
        <f>AA59</f>
        <v>A(4)=</v>
      </c>
      <c r="AP59" s="68" t="e">
        <f>VLOOKUP(AO59,Rise_Results,2,FALSE)</f>
        <v>#N/A</v>
      </c>
      <c r="AQ59" s="76">
        <f>N59</f>
        <v>142.524</v>
      </c>
      <c r="AR59" s="76">
        <f>IF(OR(AB59&lt;=0,AB60&lt;=0),1/0,AB59)</f>
        <v>142.608</v>
      </c>
      <c r="AS59" s="76">
        <f>AM59</f>
        <v>142.524</v>
      </c>
      <c r="AT59">
        <f>IFERROR(AP59,IFERROR(AQ59,IFERROR(AR59,AS59)))</f>
        <v>142.524</v>
      </c>
      <c r="AU59" s="81"/>
    </row>
    <row r="60" spans="1:47" x14ac:dyDescent="0.25">
      <c r="A60" s="84">
        <f>A59+1</f>
        <v>7</v>
      </c>
      <c r="B60" s="84">
        <f t="shared" si="11"/>
        <v>4</v>
      </c>
      <c r="F60" s="82">
        <f>SUM(F57:F59)</f>
        <v>71.050000000000011</v>
      </c>
      <c r="H60" s="82">
        <f>SUM(H57:H59)</f>
        <v>214.48000000000002</v>
      </c>
      <c r="I60" s="84" t="str">
        <f>CONCATENATE("m'(",C59,")=")</f>
        <v>m'(4)=</v>
      </c>
      <c r="J60" s="84">
        <f>2*(J57*(WLS))/3*H60</f>
        <v>463.27680000000009</v>
      </c>
      <c r="K60" s="84" t="str">
        <f>CONCATENATE("M(",C57,")=")</f>
        <v>M(2)=</v>
      </c>
      <c r="L60" s="84">
        <f>VLOOKUP(C57,STN_TABLE,4,FALSE)</f>
        <v>119.46960000000001</v>
      </c>
      <c r="M60" t="str">
        <f>CONCATENATE("M(",C59,")=")</f>
        <v>M(4)=</v>
      </c>
      <c r="N60">
        <f>J60+L60</f>
        <v>582.74640000000011</v>
      </c>
      <c r="O60" s="99">
        <f>O59+1</f>
        <v>9</v>
      </c>
      <c r="P60" s="99">
        <f t="shared" si="10"/>
        <v>5.6111111111111107</v>
      </c>
      <c r="T60" s="89">
        <f>SUM(T57:T59)</f>
        <v>145.6</v>
      </c>
      <c r="V60" s="82">
        <f>SUM(V57:V59)</f>
        <v>146.16</v>
      </c>
      <c r="W60" s="84" t="str">
        <f>CONCATENATE("m'(",Q58,")=")</f>
        <v>m'(4)=</v>
      </c>
      <c r="X60" s="84">
        <f>(2*(X57^2)/24*V60)+(X59*Q57*WLS)</f>
        <v>275.33519999999999</v>
      </c>
      <c r="Y60" s="84" t="str">
        <f>CONCATENATE("M(",Q57,")=")</f>
        <v>M(3)=</v>
      </c>
      <c r="Z60" s="84">
        <f>VLOOKUP(Q57,STN_TABLE,4,FALSE)</f>
        <v>307.51920000000007</v>
      </c>
      <c r="AA60" t="str">
        <f>CONCATENATE("M(",Q58,")=")</f>
        <v>M(4)=</v>
      </c>
      <c r="AB60">
        <f>X60+Z60</f>
        <v>582.85440000000006</v>
      </c>
      <c r="AE60" s="89">
        <f>SUM(AE58:AE59)</f>
        <v>24.22</v>
      </c>
      <c r="AG60" s="89">
        <f>SUM(AG58:AG59)</f>
        <v>36.47</v>
      </c>
      <c r="AH60" s="84" t="str">
        <f>CONCATENATE("m'(",AD59,")=")</f>
        <v>m'(4)=</v>
      </c>
      <c r="AI60" s="84">
        <f>(2*(AI57^2)/6*AG60)+(AI59*AD58*WLS)</f>
        <v>274.80599999999998</v>
      </c>
      <c r="AJ60" s="84" t="str">
        <f>CONCATENATE("M(",AD58,")=")</f>
        <v>M(3)=</v>
      </c>
      <c r="AK60" s="84">
        <f>VLOOKUP(AD57,STN_TABLE,4,FALSE)</f>
        <v>0</v>
      </c>
      <c r="AL60" t="str">
        <f>CONCATENATE("M(",AD59,")=")</f>
        <v>M(4)=</v>
      </c>
      <c r="AM60">
        <f>AI60+AK60</f>
        <v>274.80599999999998</v>
      </c>
      <c r="AO60" s="82" t="str">
        <f>AA60</f>
        <v>M(4)=</v>
      </c>
      <c r="AP60" s="82" t="e">
        <f>VLOOKUP(AO60,Rise_Results,2,FALSE)</f>
        <v>#N/A</v>
      </c>
      <c r="AQ60" s="82">
        <f>N60</f>
        <v>582.74640000000011</v>
      </c>
      <c r="AR60" s="82">
        <f>IF(OR(AB59&lt;=0,AB60&lt;=0),1/0,AB60)</f>
        <v>582.85440000000006</v>
      </c>
      <c r="AS60" s="82">
        <f>AM60</f>
        <v>274.80599999999998</v>
      </c>
      <c r="AT60">
        <f>IFERROR(AP60,IFERROR(AQ60,IFERROR(AR60,AS60)))</f>
        <v>582.74640000000011</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11.97</v>
      </c>
      <c r="E62" s="102">
        <v>1</v>
      </c>
      <c r="F62" s="68">
        <f>D62*E62</f>
        <v>11.97</v>
      </c>
      <c r="G62" s="69">
        <f>C62</f>
        <v>3</v>
      </c>
      <c r="H62" s="69">
        <f>F62*G62</f>
        <v>35.910000000000004</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12.25</v>
      </c>
      <c r="S62" s="69">
        <v>5</v>
      </c>
      <c r="T62" s="68">
        <f>R62*S62</f>
        <v>61.25</v>
      </c>
      <c r="U62" s="79">
        <v>3</v>
      </c>
      <c r="V62" s="68">
        <f>R62*U62</f>
        <v>36.75</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12.25</v>
      </c>
      <c r="E63" s="81">
        <v>4</v>
      </c>
      <c r="F63" s="76">
        <f>D63*E63</f>
        <v>49</v>
      </c>
      <c r="G63" s="77">
        <f>C63</f>
        <v>4</v>
      </c>
      <c r="H63" s="77">
        <f>F63*G63</f>
        <v>196</v>
      </c>
      <c r="I63" s="512" t="s">
        <v>97</v>
      </c>
      <c r="J63" s="513"/>
      <c r="K63" s="78" t="s">
        <v>98</v>
      </c>
      <c r="L63" s="78"/>
      <c r="M63" s="7" t="s">
        <v>99</v>
      </c>
      <c r="N63" s="7"/>
      <c r="O63" s="99">
        <f>O62+1</f>
        <v>8</v>
      </c>
      <c r="P63" s="99">
        <f t="shared" si="10"/>
        <v>5</v>
      </c>
      <c r="Q63" s="76">
        <f>P63</f>
        <v>5</v>
      </c>
      <c r="R63" s="77">
        <f>VLOOKUP(Q63,STN_TABLE,2,FALSE)</f>
        <v>12.25</v>
      </c>
      <c r="S63" s="77">
        <v>8</v>
      </c>
      <c r="T63" s="76">
        <f>R63*S63</f>
        <v>98</v>
      </c>
      <c r="U63" s="80">
        <v>10</v>
      </c>
      <c r="V63" s="76">
        <f>R63*U63</f>
        <v>122.5</v>
      </c>
      <c r="W63" s="513" t="s">
        <v>97</v>
      </c>
      <c r="X63" s="513"/>
      <c r="Y63" s="513" t="s">
        <v>98</v>
      </c>
      <c r="Z63" s="513"/>
      <c r="AA63" s="511" t="s">
        <v>99</v>
      </c>
      <c r="AB63" s="511"/>
      <c r="AC63" s="99">
        <f>AC58+1</f>
        <v>7</v>
      </c>
      <c r="AD63" s="95">
        <f>VLOOKUP(AC63,STN_TABLE_2,2,FALSE)</f>
        <v>4</v>
      </c>
      <c r="AE63" s="68">
        <f>VLOOKUP(AD63,STN_TABLE,2,FALSE)</f>
        <v>12.25</v>
      </c>
      <c r="AF63" s="68">
        <v>1</v>
      </c>
      <c r="AG63" s="69">
        <f>AE63*AF63</f>
        <v>12.25</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12.25</v>
      </c>
      <c r="E64" s="92">
        <v>1</v>
      </c>
      <c r="F64" s="82">
        <f>D64*E64</f>
        <v>12.25</v>
      </c>
      <c r="G64" s="83">
        <f>C64</f>
        <v>5</v>
      </c>
      <c r="H64" s="83">
        <f>F64*G64</f>
        <v>61.25</v>
      </c>
      <c r="I64" s="84" t="str">
        <f>CONCATENATE("a'(",C64,")=")</f>
        <v>a'(5)=</v>
      </c>
      <c r="J64" s="84">
        <f>2*J62/3*F65</f>
        <v>87.86399999999999</v>
      </c>
      <c r="K64" s="84" t="str">
        <f>CONCATENATE("A(",C62,")=")</f>
        <v>A(3)=</v>
      </c>
      <c r="L64" s="84">
        <f>VLOOKUP(C62,STN_TABLE,3,FALSE)</f>
        <v>98.927999999999997</v>
      </c>
      <c r="M64" t="str">
        <f>CONCATENATE("A(",C64,")=")</f>
        <v>A(5)=</v>
      </c>
      <c r="N64">
        <f>J64+L64</f>
        <v>186.79199999999997</v>
      </c>
      <c r="O64" s="99">
        <f>O63+1</f>
        <v>9</v>
      </c>
      <c r="P64" s="99">
        <f t="shared" si="10"/>
        <v>5.6111111111111107</v>
      </c>
      <c r="Q64" s="82">
        <f>IF(P64-P63=P63-P62,P64,IF(P65-P63=P63-P62,P65,IF(P64-P63=P63-P61,P64,IF(P65-P63=P63-P61,P65,"-"))))</f>
        <v>6</v>
      </c>
      <c r="R64" s="83">
        <f>VLOOKUP(Q64,STN_TABLE,2,FALSE)</f>
        <v>12.25</v>
      </c>
      <c r="S64" s="83">
        <v>-1</v>
      </c>
      <c r="T64" s="82">
        <f>R64*S64</f>
        <v>-12.25</v>
      </c>
      <c r="U64" s="88">
        <v>-1</v>
      </c>
      <c r="V64" s="82">
        <f>R64*U64</f>
        <v>-12.25</v>
      </c>
      <c r="W64" s="84" t="str">
        <f>CONCATENATE("a'(",Q63,")=")</f>
        <v>a'(5)=</v>
      </c>
      <c r="X64" s="84">
        <f>2*X62/12*T65</f>
        <v>44.1</v>
      </c>
      <c r="Y64" s="84" t="str">
        <f>CONCATENATE("A(",Q62,")=")</f>
        <v>A(4)=</v>
      </c>
      <c r="Z64" s="84">
        <f>VLOOKUP(Q62,STN_TABLE,3,FALSE)</f>
        <v>142.524</v>
      </c>
      <c r="AA64" t="str">
        <f>CONCATENATE("A(",Q63,")=")</f>
        <v>A(5)=</v>
      </c>
      <c r="AB64">
        <f>X64+Z64</f>
        <v>186.624</v>
      </c>
      <c r="AC64" s="99">
        <f>AC63+1</f>
        <v>8</v>
      </c>
      <c r="AD64" s="100">
        <f>VLOOKUP(AC64,STN_TABLE_2,2,FALSE)</f>
        <v>5</v>
      </c>
      <c r="AE64" s="82">
        <f>VLOOKUP(AD64,STN_TABLE,2,FALSE)</f>
        <v>12.25</v>
      </c>
      <c r="AF64" s="82">
        <v>2</v>
      </c>
      <c r="AG64" s="83">
        <f>AE64*AF64</f>
        <v>24.5</v>
      </c>
      <c r="AH64" s="84" t="str">
        <f>CONCATENATE("a'(",AD64,")=")</f>
        <v>a'(5)=</v>
      </c>
      <c r="AI64" s="84">
        <f>2*AI62/2*AE65</f>
        <v>44.1</v>
      </c>
      <c r="AJ64" s="84" t="str">
        <f>CONCATENATE("A(",AD63,")=")</f>
        <v>A(4)=</v>
      </c>
      <c r="AK64" s="84">
        <f>VLOOKUP(AD63,STN_TABLE,3,FALSE)</f>
        <v>142.524</v>
      </c>
      <c r="AL64" t="str">
        <f>CONCATENATE("A(",AD64,")=")</f>
        <v>A(5)=</v>
      </c>
      <c r="AM64">
        <f>AI64+AK64</f>
        <v>186.624</v>
      </c>
      <c r="AO64" s="68" t="str">
        <f>AA64</f>
        <v>A(5)=</v>
      </c>
      <c r="AP64" s="68" t="e">
        <f>VLOOKUP(AO64,Rise_Results,2,FALSE)</f>
        <v>#N/A</v>
      </c>
      <c r="AQ64" s="76">
        <f>N64</f>
        <v>186.79199999999997</v>
      </c>
      <c r="AR64" s="76">
        <f>IF(OR(AB64&lt;=0,AB65&lt;=0),1/0,AB64)</f>
        <v>186.624</v>
      </c>
      <c r="AS64" s="76">
        <f>AM64</f>
        <v>186.624</v>
      </c>
      <c r="AT64">
        <f>IFERROR(AP64,IFERROR(AQ64,IFERROR(AR64,AS64)))</f>
        <v>186.79199999999997</v>
      </c>
      <c r="AU64" s="81"/>
    </row>
    <row r="65" spans="1:47" x14ac:dyDescent="0.25">
      <c r="A65" s="84">
        <f>A64+1</f>
        <v>8</v>
      </c>
      <c r="B65" s="84">
        <f t="shared" si="11"/>
        <v>5</v>
      </c>
      <c r="F65" s="82">
        <f>SUM(F62:F64)</f>
        <v>73.22</v>
      </c>
      <c r="H65" s="82">
        <f>SUM(H62:H64)</f>
        <v>293.15999999999997</v>
      </c>
      <c r="I65" s="84" t="str">
        <f>CONCATENATE("m'(",C64,")=")</f>
        <v>m'(5)=</v>
      </c>
      <c r="J65" s="84">
        <f>2*(J62*(WLS))/3*H65</f>
        <v>633.22559999999999</v>
      </c>
      <c r="K65" s="84" t="str">
        <f>CONCATENATE("M(",C62,")=")</f>
        <v>M(3)=</v>
      </c>
      <c r="L65" s="84">
        <f>VLOOKUP(C62,STN_TABLE,4,FALSE)</f>
        <v>307.51920000000007</v>
      </c>
      <c r="M65" t="str">
        <f>CONCATENATE("M(",C64,")=")</f>
        <v>M(5)=</v>
      </c>
      <c r="N65">
        <f>J65+L65</f>
        <v>940.74480000000005</v>
      </c>
      <c r="O65" s="99">
        <f>O64+1</f>
        <v>10</v>
      </c>
      <c r="P65" s="99">
        <f t="shared" si="10"/>
        <v>6</v>
      </c>
      <c r="T65" s="89">
        <f>SUM(T62:T64)</f>
        <v>147</v>
      </c>
      <c r="V65" s="82">
        <f>SUM(V62:V64)</f>
        <v>147</v>
      </c>
      <c r="W65" s="84" t="str">
        <f>CONCATENATE("m'(",Q63,")=")</f>
        <v>m'(5)=</v>
      </c>
      <c r="X65" s="84">
        <f>(2*(X62^2)/24*V65)+(X64*Q62*WLS)</f>
        <v>357.21000000000004</v>
      </c>
      <c r="Y65" s="84" t="str">
        <f>CONCATENATE("M(",Q62,")=")</f>
        <v>M(4)=</v>
      </c>
      <c r="Z65" s="84">
        <f>VLOOKUP(Q62,STN_TABLE,4,FALSE)</f>
        <v>582.74640000000011</v>
      </c>
      <c r="AA65" t="str">
        <f>CONCATENATE("M(",Q63,")=")</f>
        <v>M(5)=</v>
      </c>
      <c r="AB65">
        <f>X65+Z65</f>
        <v>939.95640000000014</v>
      </c>
      <c r="AE65" s="89">
        <f>SUM(AE63:AE64)</f>
        <v>24.5</v>
      </c>
      <c r="AG65" s="89">
        <f>SUM(AG63:AG64)</f>
        <v>36.75</v>
      </c>
      <c r="AH65" s="84" t="str">
        <f>CONCATENATE("m'(",AD64,")=")</f>
        <v>m'(5)=</v>
      </c>
      <c r="AI65" s="84">
        <f>(2*(AI62^2)/6*AG65)+(AI64*AD63*WLS)</f>
        <v>357.21000000000004</v>
      </c>
      <c r="AJ65" s="84" t="str">
        <f>CONCATENATE("M(",AD63,")=")</f>
        <v>M(4)=</v>
      </c>
      <c r="AK65" s="84">
        <f>VLOOKUP(AD63,STN_TABLE,4,FALSE)</f>
        <v>582.74640000000011</v>
      </c>
      <c r="AL65" t="str">
        <f>CONCATENATE("M(",AD64,")=")</f>
        <v>M(5)=</v>
      </c>
      <c r="AM65">
        <f>AI65+AK65</f>
        <v>939.95640000000014</v>
      </c>
      <c r="AO65" s="82" t="str">
        <f>AA65</f>
        <v>M(5)=</v>
      </c>
      <c r="AP65" s="82" t="e">
        <f>VLOOKUP(AO65,Rise_Results,2,FALSE)</f>
        <v>#N/A</v>
      </c>
      <c r="AQ65" s="82">
        <f>N65</f>
        <v>940.74480000000005</v>
      </c>
      <c r="AR65" s="82">
        <f>IF(OR(AB64&lt;=0,AB65&lt;=0),1/0,AB65)</f>
        <v>939.95640000000014</v>
      </c>
      <c r="AS65" s="82">
        <f>AM65</f>
        <v>939.95640000000014</v>
      </c>
      <c r="AT65">
        <f>IFERROR(AP65,IFERROR(AQ65,IFERROR(AR65,AS65)))</f>
        <v>940.74480000000005</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12.25</v>
      </c>
      <c r="S68" s="77">
        <v>8</v>
      </c>
      <c r="T68" s="76">
        <f>R68*S68</f>
        <v>98</v>
      </c>
      <c r="U68" s="80">
        <v>10</v>
      </c>
      <c r="V68" s="76">
        <f>R68*U68</f>
        <v>122.5</v>
      </c>
      <c r="W68" s="513" t="s">
        <v>97</v>
      </c>
      <c r="X68" s="513"/>
      <c r="Y68" s="513" t="s">
        <v>98</v>
      </c>
      <c r="Z68" s="513"/>
      <c r="AA68" s="511" t="s">
        <v>99</v>
      </c>
      <c r="AB68" s="511"/>
      <c r="AC68" s="99">
        <f>AC63+1</f>
        <v>8</v>
      </c>
      <c r="AD68" s="95">
        <f>VLOOKUP(AC68,STN_TABLE_2,2,FALSE)</f>
        <v>5</v>
      </c>
      <c r="AE68" s="68">
        <f>VLOOKUP(AD68,STN_TABLE,2,FALSE)</f>
        <v>12.25</v>
      </c>
      <c r="AF68" s="68">
        <v>1</v>
      </c>
      <c r="AG68" s="69">
        <f>AE68*AF68</f>
        <v>12.25</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12.25</v>
      </c>
      <c r="E69" s="92">
        <v>1</v>
      </c>
      <c r="F69" s="82">
        <f>D69*E69</f>
        <v>12.25</v>
      </c>
      <c r="G69" s="83">
        <f>C69</f>
        <v>5.6111111111111107</v>
      </c>
      <c r="H69" s="83">
        <f>F69*G69</f>
        <v>68.7361111111111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12.25</v>
      </c>
      <c r="AF69" s="82">
        <v>2</v>
      </c>
      <c r="AG69" s="83">
        <f>AE69*AF69</f>
        <v>24.5</v>
      </c>
      <c r="AH69" s="84" t="str">
        <f>CONCATENATE("a'(",AD69,")=")</f>
        <v>a'(5.61111111111111)=</v>
      </c>
      <c r="AI69" s="84">
        <f>2*AI67/2*AE70</f>
        <v>26.949999999999985</v>
      </c>
      <c r="AJ69" s="84" t="str">
        <f>CONCATENATE("A(",AD68,")=")</f>
        <v>A(5)=</v>
      </c>
      <c r="AK69" s="84">
        <f>VLOOKUP(AD68,STN_TABLE,3,FALSE)</f>
        <v>186.79199999999997</v>
      </c>
      <c r="AL69" t="str">
        <f>CONCATENATE("A(",AD69,")=")</f>
        <v>A(5.61111111111111)=</v>
      </c>
      <c r="AM69">
        <f>AI69+AK69</f>
        <v>213.74199999999996</v>
      </c>
      <c r="AO69" s="68" t="str">
        <f>AA69</f>
        <v>A(5.61111111111111)=</v>
      </c>
      <c r="AP69" s="68" t="e">
        <f>VLOOKUP(AO69,Rise_Results,2,FALSE)</f>
        <v>#N/A</v>
      </c>
      <c r="AQ69" s="76" t="e">
        <f>N69</f>
        <v>#N/A</v>
      </c>
      <c r="AR69" s="76" t="e">
        <f>IF(OR(AB69&lt;=0,AB70&lt;=0),1/0,AB69)</f>
        <v>#VALUE!</v>
      </c>
      <c r="AS69" s="76">
        <f>AM69</f>
        <v>213.74199999999996</v>
      </c>
      <c r="AT69">
        <f>IFERROR(AP69,IFERROR(AQ69,IFERROR(AR69,AS69)))</f>
        <v>213.74199999999996</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24.5</v>
      </c>
      <c r="AG70" s="89">
        <f>SUM(AG68:AG69)</f>
        <v>36.75</v>
      </c>
      <c r="AH70" s="84" t="str">
        <f>CONCATENATE("m'(",AD69,")=")</f>
        <v>m'(5.61111111111111)=</v>
      </c>
      <c r="AI70" s="84">
        <f>(2*(AI67^2)/6*AG70)+(AI69*AD68*WLS)</f>
        <v>257.37249999999983</v>
      </c>
      <c r="AJ70" s="84" t="str">
        <f>CONCATENATE("M(",AD68,")=")</f>
        <v>M(5)=</v>
      </c>
      <c r="AK70" s="84">
        <f>VLOOKUP(AD68,STN_TABLE,4,FALSE)</f>
        <v>940.74480000000005</v>
      </c>
      <c r="AL70" t="str">
        <f>CONCATENATE("M(",AD69,")=")</f>
        <v>M(5.61111111111111)=</v>
      </c>
      <c r="AM70">
        <f>AI70+AK70</f>
        <v>1198.1172999999999</v>
      </c>
      <c r="AO70" s="82" t="str">
        <f>AA70</f>
        <v>M(5.61111111111111)=</v>
      </c>
      <c r="AP70" s="82" t="e">
        <f>VLOOKUP(AO70,Rise_Results,2,FALSE)</f>
        <v>#N/A</v>
      </c>
      <c r="AQ70" s="82" t="e">
        <f>N70</f>
        <v>#N/A</v>
      </c>
      <c r="AR70" s="82" t="e">
        <f>IF(OR(AB69&lt;=0,AB70&lt;=0),1/0,AB70)</f>
        <v>#VALUE!</v>
      </c>
      <c r="AS70" s="82">
        <f>AM70</f>
        <v>1198.1172999999999</v>
      </c>
      <c r="AT70">
        <f>IFERROR(AP70,IFERROR(AQ70,IFERROR(AR70,AS70)))</f>
        <v>1198.1172999999999</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12.25</v>
      </c>
      <c r="E72" s="102">
        <v>1</v>
      </c>
      <c r="F72" s="68">
        <f>D72*E72</f>
        <v>12.25</v>
      </c>
      <c r="G72" s="69">
        <f>C72</f>
        <v>4</v>
      </c>
      <c r="H72" s="69">
        <f>F72*G72</f>
        <v>49</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12.25</v>
      </c>
      <c r="S72" s="69">
        <v>5</v>
      </c>
      <c r="T72" s="68">
        <f>R72*S72</f>
        <v>61.25</v>
      </c>
      <c r="U72" s="79">
        <v>3</v>
      </c>
      <c r="V72" s="68">
        <f>R72*U72</f>
        <v>36.75</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12.25</v>
      </c>
      <c r="E73" s="81">
        <v>4</v>
      </c>
      <c r="F73" s="76">
        <f>D73*E73</f>
        <v>49</v>
      </c>
      <c r="G73" s="77">
        <f>C73</f>
        <v>5</v>
      </c>
      <c r="H73" s="77">
        <f>F73*G73</f>
        <v>245</v>
      </c>
      <c r="I73" s="512" t="s">
        <v>97</v>
      </c>
      <c r="J73" s="513"/>
      <c r="K73" s="78" t="s">
        <v>98</v>
      </c>
      <c r="L73" s="78"/>
      <c r="M73" s="7" t="s">
        <v>99</v>
      </c>
      <c r="N73" s="7"/>
      <c r="O73" s="99">
        <f>O72+1</f>
        <v>10</v>
      </c>
      <c r="P73" s="99">
        <f t="shared" si="23"/>
        <v>6</v>
      </c>
      <c r="Q73" s="76">
        <f>P73</f>
        <v>6</v>
      </c>
      <c r="R73" s="77">
        <f>VLOOKUP(Q73,STN_TABLE,2,FALSE)</f>
        <v>12.25</v>
      </c>
      <c r="S73" s="77">
        <v>8</v>
      </c>
      <c r="T73" s="76">
        <f>R73*S73</f>
        <v>98</v>
      </c>
      <c r="U73" s="80">
        <v>10</v>
      </c>
      <c r="V73" s="76">
        <f>R73*U73</f>
        <v>122.5</v>
      </c>
      <c r="W73" s="513" t="s">
        <v>97</v>
      </c>
      <c r="X73" s="513"/>
      <c r="Y73" s="513" t="s">
        <v>98</v>
      </c>
      <c r="Z73" s="513"/>
      <c r="AA73" s="511" t="s">
        <v>99</v>
      </c>
      <c r="AB73" s="511"/>
      <c r="AC73" s="99">
        <f>AC68+1</f>
        <v>9</v>
      </c>
      <c r="AD73" s="95">
        <f>VLOOKUP(AC73,STN_TABLE_2,2,FALSE)</f>
        <v>5.6111111111111107</v>
      </c>
      <c r="AE73" s="68">
        <f>VLOOKUP(AD73,STN_TABLE,2,FALSE)</f>
        <v>12.25</v>
      </c>
      <c r="AF73" s="68">
        <v>1</v>
      </c>
      <c r="AG73" s="69">
        <f>AE73*AF73</f>
        <v>12.25</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12.25</v>
      </c>
      <c r="E74" s="92">
        <v>1</v>
      </c>
      <c r="F74" s="82">
        <f>D74*E74</f>
        <v>12.25</v>
      </c>
      <c r="G74" s="83">
        <f>C74</f>
        <v>6</v>
      </c>
      <c r="H74" s="83">
        <f>F74*G74</f>
        <v>73.5</v>
      </c>
      <c r="I74" s="84" t="str">
        <f>CONCATENATE("a'(",C74,")=")</f>
        <v>a'(6)=</v>
      </c>
      <c r="J74" s="84">
        <f>2*J72/3*F75</f>
        <v>88.2</v>
      </c>
      <c r="K74" s="84" t="str">
        <f>CONCATENATE("A(",C72,")=")</f>
        <v>A(4)=</v>
      </c>
      <c r="L74" s="84">
        <f>VLOOKUP(C72,STN_TABLE,3,FALSE)</f>
        <v>142.524</v>
      </c>
      <c r="M74" t="str">
        <f>CONCATENATE("A(",C74,")=")</f>
        <v>A(6)=</v>
      </c>
      <c r="N74">
        <f>J74+L74</f>
        <v>230.72399999999999</v>
      </c>
      <c r="O74" s="99">
        <f>O73+1</f>
        <v>11</v>
      </c>
      <c r="P74" s="99">
        <f t="shared" si="23"/>
        <v>7</v>
      </c>
      <c r="Q74" s="82">
        <f>IF(P74-P73=P73-P72,P74,IF(P75-P73=P73-P72,P75,IF(P74-P73=P73-P71,P74,IF(P75-P73=P73-P71,P75,"-"))))</f>
        <v>7</v>
      </c>
      <c r="R74" s="83">
        <f>VLOOKUP(Q74,STN_TABLE,2,FALSE)</f>
        <v>12.25</v>
      </c>
      <c r="S74" s="83">
        <v>-1</v>
      </c>
      <c r="T74" s="82">
        <f>R74*S74</f>
        <v>-12.25</v>
      </c>
      <c r="U74" s="88">
        <v>-1</v>
      </c>
      <c r="V74" s="82">
        <f>R74*U74</f>
        <v>-12.25</v>
      </c>
      <c r="W74" s="84" t="str">
        <f>CONCATENATE("a'(",Q73,")=")</f>
        <v>a'(6)=</v>
      </c>
      <c r="X74" s="84">
        <f>2*X72/12*T75</f>
        <v>44.1</v>
      </c>
      <c r="Y74" s="84" t="str">
        <f>CONCATENATE("A(",Q72,")=")</f>
        <v>A(5)=</v>
      </c>
      <c r="Z74" s="84">
        <f>VLOOKUP(Q72,STN_TABLE,3,FALSE)</f>
        <v>186.79199999999997</v>
      </c>
      <c r="AA74" t="str">
        <f>CONCATENATE("A(",Q73,")=")</f>
        <v>A(6)=</v>
      </c>
      <c r="AB74">
        <f>X74+Z74</f>
        <v>230.89199999999997</v>
      </c>
      <c r="AC74" s="99">
        <f>AC73+1</f>
        <v>10</v>
      </c>
      <c r="AD74" s="100">
        <f>VLOOKUP(AC74,STN_TABLE_2,2,FALSE)</f>
        <v>6</v>
      </c>
      <c r="AE74" s="82">
        <f>VLOOKUP(AD74,STN_TABLE,2,FALSE)</f>
        <v>12.25</v>
      </c>
      <c r="AF74" s="82">
        <v>2</v>
      </c>
      <c r="AG74" s="83">
        <f>AE74*AF74</f>
        <v>24.5</v>
      </c>
      <c r="AH74" s="84" t="str">
        <f>CONCATENATE("a'(",AD74,")=")</f>
        <v>a'(6)=</v>
      </c>
      <c r="AI74" s="84">
        <f>2*AI72/2*AE75</f>
        <v>17.150000000000016</v>
      </c>
      <c r="AJ74" s="84" t="str">
        <f>CONCATENATE("A(",AD73,")=")</f>
        <v>A(5.61111111111111)=</v>
      </c>
      <c r="AK74" s="84">
        <f>VLOOKUP(AD73,STN_TABLE,3,FALSE)</f>
        <v>213.74199999999996</v>
      </c>
      <c r="AL74" t="str">
        <f>CONCATENATE("A(",AD74,")=")</f>
        <v>A(6)=</v>
      </c>
      <c r="AM74">
        <f>AI74+AK74</f>
        <v>230.89199999999997</v>
      </c>
      <c r="AO74" s="68" t="str">
        <f>AA74</f>
        <v>A(6)=</v>
      </c>
      <c r="AP74" s="68" t="e">
        <f>VLOOKUP(AO74,Rise_Results,2,FALSE)</f>
        <v>#N/A</v>
      </c>
      <c r="AQ74" s="76">
        <f>N74</f>
        <v>230.72399999999999</v>
      </c>
      <c r="AR74" s="76">
        <f>IF(OR(AB74&lt;=0,AB75&lt;=0),1/0,AB74)</f>
        <v>230.89199999999997</v>
      </c>
      <c r="AS74" s="76">
        <f>AM74</f>
        <v>230.89199999999997</v>
      </c>
      <c r="AT74">
        <f>IFERROR(AP74,IFERROR(AQ74,IFERROR(AR74,AS74)))</f>
        <v>230.72399999999999</v>
      </c>
      <c r="AU74" s="81"/>
    </row>
    <row r="75" spans="1:47" x14ac:dyDescent="0.25">
      <c r="A75" s="84">
        <f>A74+1</f>
        <v>10</v>
      </c>
      <c r="B75" s="84">
        <f t="shared" si="27"/>
        <v>6</v>
      </c>
      <c r="F75" s="82">
        <f>SUM(F72:F74)</f>
        <v>73.5</v>
      </c>
      <c r="H75" s="82">
        <f>SUM(H72:H74)</f>
        <v>367.5</v>
      </c>
      <c r="I75" s="84" t="str">
        <f>CONCATENATE("m'(",C74,")=")</f>
        <v>m'(6)=</v>
      </c>
      <c r="J75" s="84">
        <f>2*(J72*(WLS))/3*H75</f>
        <v>793.80000000000007</v>
      </c>
      <c r="K75" s="84" t="str">
        <f>CONCATENATE("M(",C72,")=")</f>
        <v>M(4)=</v>
      </c>
      <c r="L75" s="84">
        <f>VLOOKUP(C72,STN_TABLE,4,FALSE)</f>
        <v>582.74640000000011</v>
      </c>
      <c r="M75" t="str">
        <f>CONCATENATE("M(",C74,")=")</f>
        <v>M(6)=</v>
      </c>
      <c r="N75">
        <f>J75+L75</f>
        <v>1376.5464000000002</v>
      </c>
      <c r="O75" s="99">
        <f>O74+1</f>
        <v>12</v>
      </c>
      <c r="P75" s="99">
        <f t="shared" si="23"/>
        <v>7.8833333333333329</v>
      </c>
      <c r="T75" s="89">
        <f>SUM(T72:T74)</f>
        <v>147</v>
      </c>
      <c r="V75" s="82">
        <f>SUM(V72:V74)</f>
        <v>147</v>
      </c>
      <c r="W75" s="84" t="str">
        <f>CONCATENATE("m'(",Q73,")=")</f>
        <v>m'(6)=</v>
      </c>
      <c r="X75" s="84">
        <f>(2*(X72^2)/24*V75)+(X74*Q72*WLS)</f>
        <v>436.59000000000003</v>
      </c>
      <c r="Y75" s="84" t="str">
        <f>CONCATENATE("M(",Q72,")=")</f>
        <v>M(5)=</v>
      </c>
      <c r="Z75" s="84">
        <f>VLOOKUP(Q72,STN_TABLE,4,FALSE)</f>
        <v>940.74480000000005</v>
      </c>
      <c r="AA75" t="str">
        <f>CONCATENATE("M(",Q73,")=")</f>
        <v>M(6)=</v>
      </c>
      <c r="AB75">
        <f>X75+Z75</f>
        <v>1377.3348000000001</v>
      </c>
      <c r="AE75" s="89">
        <f>SUM(AE73:AE74)</f>
        <v>24.5</v>
      </c>
      <c r="AG75" s="89">
        <f>SUM(AG73:AG74)</f>
        <v>36.75</v>
      </c>
      <c r="AH75" s="84" t="str">
        <f>CONCATENATE("m'(",AD74,")=")</f>
        <v>m'(6)=</v>
      </c>
      <c r="AI75" s="84">
        <f>(2*(AI72^2)/6*AG75)+(AI74*AD73*WLS)</f>
        <v>179.21750000000017</v>
      </c>
      <c r="AJ75" s="84" t="str">
        <f>CONCATENATE("M(",AD73,")=")</f>
        <v>M(5.61111111111111)=</v>
      </c>
      <c r="AK75" s="84">
        <f>VLOOKUP(AD73,STN_TABLE,4,FALSE)</f>
        <v>1198.1172999999999</v>
      </c>
      <c r="AL75" t="str">
        <f>CONCATENATE("M(",AD74,")=")</f>
        <v>M(6)=</v>
      </c>
      <c r="AM75">
        <f>AI75+AK75</f>
        <v>1377.3348000000001</v>
      </c>
      <c r="AO75" s="82" t="str">
        <f>AA75</f>
        <v>M(6)=</v>
      </c>
      <c r="AP75" s="82" t="e">
        <f>VLOOKUP(AO75,Rise_Results,2,FALSE)</f>
        <v>#N/A</v>
      </c>
      <c r="AQ75" s="82">
        <f>N75</f>
        <v>1376.5464000000002</v>
      </c>
      <c r="AR75" s="82">
        <f>IF(OR(AB74&lt;=0,AB75&lt;=0),1/0,AB75)</f>
        <v>1377.3348000000001</v>
      </c>
      <c r="AS75" s="82">
        <f>AM75</f>
        <v>1377.3348000000001</v>
      </c>
      <c r="AT75">
        <f>IFERROR(AP75,IFERROR(AQ75,IFERROR(AR75,AS75)))</f>
        <v>1376.5464000000002</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12.25</v>
      </c>
      <c r="E77" s="102">
        <v>1</v>
      </c>
      <c r="F77" s="68">
        <f>D77*E77</f>
        <v>12.25</v>
      </c>
      <c r="G77" s="69">
        <f>C77</f>
        <v>5</v>
      </c>
      <c r="H77" s="69">
        <f>F77*G77</f>
        <v>61.25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12.25</v>
      </c>
      <c r="E78" s="81">
        <v>4</v>
      </c>
      <c r="F78" s="76">
        <f>D78*E78</f>
        <v>49</v>
      </c>
      <c r="G78" s="77">
        <f>C78</f>
        <v>6</v>
      </c>
      <c r="H78" s="77">
        <f>F78*G78</f>
        <v>294</v>
      </c>
      <c r="I78" s="512" t="s">
        <v>97</v>
      </c>
      <c r="J78" s="513"/>
      <c r="K78" s="78" t="s">
        <v>98</v>
      </c>
      <c r="L78" s="78"/>
      <c r="M78" s="7" t="s">
        <v>99</v>
      </c>
      <c r="N78" s="7"/>
      <c r="O78" s="99">
        <f>O77+1</f>
        <v>11</v>
      </c>
      <c r="P78" s="99">
        <f t="shared" si="23"/>
        <v>7</v>
      </c>
      <c r="Q78" s="76">
        <f>P78</f>
        <v>7</v>
      </c>
      <c r="R78" s="77">
        <f>VLOOKUP(Q78,STN_TABLE,2,FALSE)</f>
        <v>12.25</v>
      </c>
      <c r="S78" s="77">
        <v>8</v>
      </c>
      <c r="T78" s="76">
        <f>R78*S78</f>
        <v>98</v>
      </c>
      <c r="U78" s="80">
        <v>10</v>
      </c>
      <c r="V78" s="76">
        <f>R78*U78</f>
        <v>122.5</v>
      </c>
      <c r="W78" s="513" t="s">
        <v>97</v>
      </c>
      <c r="X78" s="513"/>
      <c r="Y78" s="513" t="s">
        <v>98</v>
      </c>
      <c r="Z78" s="513"/>
      <c r="AA78" s="511" t="s">
        <v>99</v>
      </c>
      <c r="AB78" s="511"/>
      <c r="AC78" s="99">
        <f>AC73+1</f>
        <v>10</v>
      </c>
      <c r="AD78" s="95">
        <f>VLOOKUP(AC78,STN_TABLE_2,2,FALSE)</f>
        <v>6</v>
      </c>
      <c r="AE78" s="68">
        <f>VLOOKUP(AD78,STN_TABLE,2,FALSE)</f>
        <v>12.25</v>
      </c>
      <c r="AF78" s="68">
        <v>1</v>
      </c>
      <c r="AG78" s="69">
        <f>AE78*AF78</f>
        <v>12.25</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12.25</v>
      </c>
      <c r="E79" s="92">
        <v>1</v>
      </c>
      <c r="F79" s="82">
        <f>D79*E79</f>
        <v>12.25</v>
      </c>
      <c r="G79" s="83">
        <f>C79</f>
        <v>7</v>
      </c>
      <c r="H79" s="83">
        <f>F79*G79</f>
        <v>85.75</v>
      </c>
      <c r="I79" s="84" t="str">
        <f>CONCATENATE("a'(",C79,")=")</f>
        <v>a'(7)=</v>
      </c>
      <c r="J79" s="84">
        <f>2*J77/3*F80</f>
        <v>88.2</v>
      </c>
      <c r="K79" s="84" t="str">
        <f>CONCATENATE("A(",C77,")=")</f>
        <v>A(5)=</v>
      </c>
      <c r="L79" s="84">
        <f>VLOOKUP(C77,STN_TABLE,3,FALSE)</f>
        <v>186.79199999999997</v>
      </c>
      <c r="M79" t="str">
        <f>CONCATENATE("A(",C79,")=")</f>
        <v>A(7)=</v>
      </c>
      <c r="N79">
        <f>J79+L79</f>
        <v>274.99199999999996</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12.25</v>
      </c>
      <c r="AF79" s="82">
        <v>2</v>
      </c>
      <c r="AG79" s="83">
        <f>AE79*AF79</f>
        <v>24.5</v>
      </c>
      <c r="AH79" s="84" t="str">
        <f>CONCATENATE("a'(",AD79,")=")</f>
        <v>a'(7)=</v>
      </c>
      <c r="AI79" s="84">
        <f>2*AI77/2*AE80</f>
        <v>44.1</v>
      </c>
      <c r="AJ79" s="84" t="str">
        <f>CONCATENATE("A(",AD78,")=")</f>
        <v>A(6)=</v>
      </c>
      <c r="AK79" s="84">
        <f>VLOOKUP(AD78,STN_TABLE,3,FALSE)</f>
        <v>230.72399999999999</v>
      </c>
      <c r="AL79" t="str">
        <f>CONCATENATE("A(",AD79,")=")</f>
        <v>A(7)=</v>
      </c>
      <c r="AM79">
        <f>AI79+AK79</f>
        <v>274.82400000000001</v>
      </c>
      <c r="AO79" s="68" t="str">
        <f>AA79</f>
        <v>A(7)=</v>
      </c>
      <c r="AP79" s="68" t="e">
        <f>VLOOKUP(AO79,Rise_Results,2,FALSE)</f>
        <v>#N/A</v>
      </c>
      <c r="AQ79" s="76">
        <f>N79</f>
        <v>274.99199999999996</v>
      </c>
      <c r="AR79" s="76" t="e">
        <f>IF(OR(AB79&lt;=0,AB80&lt;=0),1/0,AB79)</f>
        <v>#VALUE!</v>
      </c>
      <c r="AS79" s="76">
        <f>AM79</f>
        <v>274.82400000000001</v>
      </c>
      <c r="AT79">
        <f>IFERROR(AP79,IFERROR(AQ79,IFERROR(AR79,AS79)))</f>
        <v>274.99199999999996</v>
      </c>
      <c r="AU79" s="81"/>
    </row>
    <row r="80" spans="1:47" x14ac:dyDescent="0.25">
      <c r="A80" s="84">
        <f>A79+1</f>
        <v>11</v>
      </c>
      <c r="B80" s="84">
        <f t="shared" si="27"/>
        <v>7</v>
      </c>
      <c r="F80" s="82">
        <f>SUM(F77:F79)</f>
        <v>73.5</v>
      </c>
      <c r="H80" s="82">
        <f>SUM(H77:H79)</f>
        <v>441</v>
      </c>
      <c r="I80" s="84" t="str">
        <f>CONCATENATE("m'(",C79,")=")</f>
        <v>m'(7)=</v>
      </c>
      <c r="J80" s="84">
        <f>2*(J77*(WLS))/3*H80</f>
        <v>952.56000000000006</v>
      </c>
      <c r="K80" s="84" t="str">
        <f>CONCATENATE("M(",C77,")=")</f>
        <v>M(5)=</v>
      </c>
      <c r="L80" s="84">
        <f>VLOOKUP(C77,STN_TABLE,4,FALSE)</f>
        <v>940.74480000000005</v>
      </c>
      <c r="M80" t="str">
        <f>CONCATENATE("M(",C79,")=")</f>
        <v>M(7)=</v>
      </c>
      <c r="N80">
        <f>J80+L80</f>
        <v>1893.3048000000001</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24.5</v>
      </c>
      <c r="AG80" s="89">
        <f>SUM(AG78:AG79)</f>
        <v>36.75</v>
      </c>
      <c r="AH80" s="84" t="str">
        <f>CONCATENATE("m'(",AD79,")=")</f>
        <v>m'(7)=</v>
      </c>
      <c r="AI80" s="84">
        <f>(2*(AI77^2)/6*AG80)+(AI79*AD78*WLS)</f>
        <v>515.97</v>
      </c>
      <c r="AJ80" s="84" t="str">
        <f>CONCATENATE("M(",AD78,")=")</f>
        <v>M(6)=</v>
      </c>
      <c r="AK80" s="84">
        <f>VLOOKUP(AD78,STN_TABLE,4,FALSE)</f>
        <v>1376.5464000000002</v>
      </c>
      <c r="AL80" t="str">
        <f>CONCATENATE("M(",AD79,")=")</f>
        <v>M(7)=</v>
      </c>
      <c r="AM80">
        <f>AI80+AK80</f>
        <v>1892.5164000000002</v>
      </c>
      <c r="AO80" s="82" t="str">
        <f>AA80</f>
        <v>M(7)=</v>
      </c>
      <c r="AP80" s="82" t="e">
        <f>VLOOKUP(AO80,Rise_Results,2,FALSE)</f>
        <v>#N/A</v>
      </c>
      <c r="AQ80" s="82">
        <f>N80</f>
        <v>1893.3048000000001</v>
      </c>
      <c r="AR80" s="82" t="e">
        <f>IF(OR(AB79&lt;=0,AB80&lt;=0),1/0,AB80)</f>
        <v>#VALUE!</v>
      </c>
      <c r="AS80" s="82">
        <f>AM80</f>
        <v>1892.5164000000002</v>
      </c>
      <c r="AT80">
        <f>IFERROR(AP80,IFERROR(AQ80,IFERROR(AR80,AS80)))</f>
        <v>1893.3048000000001</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12.25</v>
      </c>
      <c r="AF83" s="68">
        <v>1</v>
      </c>
      <c r="AG83" s="69">
        <f>AE83*AF83</f>
        <v>12.25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38.954999999999977</v>
      </c>
      <c r="AJ84" s="84" t="str">
        <f>CONCATENATE("A(",AD83,")=")</f>
        <v>A(7)=</v>
      </c>
      <c r="AK84" s="84">
        <f>VLOOKUP(AD83,STN_TABLE,3,FALSE)</f>
        <v>274.99199999999996</v>
      </c>
      <c r="AL84" t="str">
        <f>CONCATENATE("A(",AD84,")=")</f>
        <v>A(7.88333333333333)=</v>
      </c>
      <c r="AM84">
        <f>AI84+AK84</f>
        <v>313.94699999999995</v>
      </c>
      <c r="AO84" s="68" t="str">
        <f>AA84</f>
        <v>A(7.88333333333333)=</v>
      </c>
      <c r="AP84" s="68" t="e">
        <f>VLOOKUP(AO84,Rise_Results,2,FALSE)</f>
        <v>#N/A</v>
      </c>
      <c r="AQ84" s="76" t="e">
        <f>N84</f>
        <v>#N/A</v>
      </c>
      <c r="AR84" s="76" t="e">
        <f>IF(OR(AB84&lt;=0,AB85&lt;=0),1/0,AB84)</f>
        <v>#VALUE!</v>
      </c>
      <c r="AS84" s="76">
        <f>AM84</f>
        <v>313.94699999999995</v>
      </c>
      <c r="AT84">
        <f>IFERROR(AP84,IFERROR(AQ84,IFERROR(AR84,AS84)))</f>
        <v>313.94699999999995</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24.5</v>
      </c>
      <c r="AG85" s="89">
        <f>SUM(AG83:AG84)</f>
        <v>36.75</v>
      </c>
      <c r="AH85" s="84" t="str">
        <f>CONCATENATE("m'(",AD84,")=")</f>
        <v>m'(7.88333333333333)=</v>
      </c>
      <c r="AI85" s="84">
        <f>(2*(AI82^2)/6*AG85)+(AI84*AD83*WLS)</f>
        <v>521.80222499999968</v>
      </c>
      <c r="AJ85" s="84" t="str">
        <f>CONCATENATE("M(",AD83,")=")</f>
        <v>M(7)=</v>
      </c>
      <c r="AK85" s="84">
        <f>VLOOKUP(AD83,STN_TABLE,4,FALSE)</f>
        <v>1893.3048000000001</v>
      </c>
      <c r="AL85" t="str">
        <f>CONCATENATE("M(",AD84,")=")</f>
        <v>M(7.88333333333333)=</v>
      </c>
      <c r="AM85">
        <f>AI85+AK85</f>
        <v>2415.1070249999998</v>
      </c>
      <c r="AO85" s="82" t="str">
        <f>AA85</f>
        <v>M(7.88333333333333)=</v>
      </c>
      <c r="AP85" s="82" t="e">
        <f>VLOOKUP(AO85,Rise_Results,2,FALSE)</f>
        <v>#N/A</v>
      </c>
      <c r="AQ85" s="82" t="e">
        <f>N85</f>
        <v>#N/A</v>
      </c>
      <c r="AR85" s="82" t="e">
        <f>IF(OR(AB84&lt;=0,AB85&lt;=0),1/0,AB85)</f>
        <v>#VALUE!</v>
      </c>
      <c r="AS85" s="82">
        <f>AM85</f>
        <v>2415.1070249999998</v>
      </c>
      <c r="AT85">
        <f>IFERROR(AP85,IFERROR(AQ85,IFERROR(AR85,AS85)))</f>
        <v>2415.1070249999998</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313.94699999999995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2415.1070249999998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5</v>
      </c>
      <c r="E1" s="511" t="s">
        <v>91</v>
      </c>
      <c r="F1" s="511"/>
      <c r="G1" t="str">
        <f>VLOOKUP(Station_No,RISE_CALC,2,FALSE)</f>
        <v>-</v>
      </c>
      <c r="L1" s="511" t="s">
        <v>92</v>
      </c>
      <c r="M1" s="511"/>
      <c r="N1">
        <v>8</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1.62</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4.8099999999999996</v>
      </c>
      <c r="D5" s="81">
        <f t="shared" ref="D5:D28" si="4">IFERROR(VLOOKUP(CONCATENATE("A(",B5,")="),RESULT_TABLE,6,FALSE)," ")</f>
        <v>6.0734999999999992</v>
      </c>
      <c r="E5" s="77">
        <f t="shared" ref="E5:E28" si="5">IFERROR(VLOOKUP(CONCATENATE("M(",B5,")="),RESULT_TABLE,6,FALSE)," ")</f>
        <v>3.1637249999999995</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6.09</v>
      </c>
      <c r="D6" s="81">
        <f t="shared" si="4"/>
        <v>16.169999999999998</v>
      </c>
      <c r="E6" s="77">
        <f t="shared" si="5"/>
        <v>16.966799999999999</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7.37</v>
      </c>
      <c r="D7" s="81">
        <f t="shared" si="4"/>
        <v>27.997499999999999</v>
      </c>
      <c r="E7" s="77">
        <f t="shared" si="5"/>
        <v>44.009325000000004</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9.0299999999999994</v>
      </c>
      <c r="D8" s="81">
        <f t="shared" si="4"/>
        <v>42.93</v>
      </c>
      <c r="E8" s="77">
        <f t="shared" si="5"/>
        <v>90.806399999999996</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11.15</v>
      </c>
      <c r="D9" s="81">
        <f t="shared" si="4"/>
        <v>80.201999999999984</v>
      </c>
      <c r="E9" s="77">
        <f t="shared" si="5"/>
        <v>258.41160000000002</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11.95</v>
      </c>
      <c r="D10" s="81">
        <f t="shared" si="4"/>
        <v>121.626</v>
      </c>
      <c r="E10" s="77">
        <f t="shared" si="5"/>
        <v>522.07200000000012</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12.22</v>
      </c>
      <c r="D11" s="81">
        <f t="shared" si="4"/>
        <v>165.60599999999999</v>
      </c>
      <c r="E11" s="77">
        <f t="shared" si="5"/>
        <v>875.63160000000005</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12.25</v>
      </c>
      <c r="D12" s="81">
        <f t="shared" si="4"/>
        <v>192.52299999999997</v>
      </c>
      <c r="E12" s="77">
        <f t="shared" si="5"/>
        <v>1132.6949999999999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12.25</v>
      </c>
      <c r="D13" s="81">
        <f t="shared" si="4"/>
        <v>209.322</v>
      </c>
      <c r="E13" s="77">
        <f t="shared" si="5"/>
        <v>1311.9840000000002</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12.25</v>
      </c>
      <c r="D14" s="81">
        <f t="shared" si="4"/>
        <v>253.76999999999998</v>
      </c>
      <c r="E14" s="77">
        <f t="shared" si="5"/>
        <v>1827.8676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292.72499999999997</v>
      </c>
      <c r="E15" s="77">
        <f t="shared" si="5"/>
        <v>2349.6698249999999</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1.62</v>
      </c>
      <c r="S32" s="69">
        <v>5</v>
      </c>
      <c r="T32" s="68">
        <f>R32*S32</f>
        <v>8.1000000000000014</v>
      </c>
      <c r="U32" s="79">
        <v>3</v>
      </c>
      <c r="V32" s="68">
        <f>R32*U32</f>
        <v>4.8600000000000003</v>
      </c>
      <c r="W32" t="s">
        <v>93</v>
      </c>
      <c r="X32" s="70">
        <f>IF(AND(Q34-Q33=Q33-Q32,NOT(AND(Q32=0,Q33=0)),NOT(AND(Q33=0,Q34=0))),WLS*(Q34-Q33),"#NA")</f>
        <v>0.9</v>
      </c>
      <c r="AD32" s="93"/>
      <c r="AH32" s="6" t="s">
        <v>93</v>
      </c>
      <c r="AI32" s="70">
        <f>WLS*(AD34-AD33)</f>
        <v>0.9</v>
      </c>
    </row>
    <row r="33" spans="1:47" x14ac:dyDescent="0.25">
      <c r="Q33" s="76">
        <f>B5</f>
        <v>0.5</v>
      </c>
      <c r="R33" s="77">
        <f>VLOOKUP(Q33,STN_TABLE,2,FALSE)</f>
        <v>4.8099999999999996</v>
      </c>
      <c r="S33" s="77">
        <v>8</v>
      </c>
      <c r="T33" s="76">
        <f>R33*S33</f>
        <v>38.479999999999997</v>
      </c>
      <c r="U33" s="80">
        <v>10</v>
      </c>
      <c r="V33" s="76">
        <f>R33*U33</f>
        <v>48.099999999999994</v>
      </c>
      <c r="W33" s="512" t="s">
        <v>97</v>
      </c>
      <c r="X33" s="513"/>
      <c r="Y33" s="513" t="s">
        <v>98</v>
      </c>
      <c r="Z33" s="513"/>
      <c r="AA33" s="511" t="s">
        <v>99</v>
      </c>
      <c r="AB33" s="511"/>
      <c r="AC33" s="94">
        <v>1</v>
      </c>
      <c r="AD33" s="95">
        <f>VLOOKUP(AC33,STN_TABLE_2,2,FALSE)</f>
        <v>0</v>
      </c>
      <c r="AE33" s="68">
        <f>VLOOKUP(AD33,STN_TABLE,2,FALSE)</f>
        <v>1.62</v>
      </c>
      <c r="AF33" s="68">
        <v>1</v>
      </c>
      <c r="AG33" s="69">
        <f>AE33*AF33</f>
        <v>1.62</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6.09</v>
      </c>
      <c r="S34" s="83">
        <v>-1</v>
      </c>
      <c r="T34" s="82">
        <f>R34*S34</f>
        <v>-6.09</v>
      </c>
      <c r="U34" s="88">
        <v>-1</v>
      </c>
      <c r="V34" s="82">
        <f>R34*U34</f>
        <v>-6.09</v>
      </c>
      <c r="W34" s="84" t="str">
        <f>CONCATENATE("a'(",Q33,")=")</f>
        <v>a'(0.5)=</v>
      </c>
      <c r="X34" s="84">
        <f>2*X32/12*T35</f>
        <v>6.0734999999999992</v>
      </c>
      <c r="Y34" s="84" t="str">
        <f>CONCATENATE("A(",Q32,")=")</f>
        <v>A(0)=</v>
      </c>
      <c r="Z34" s="84">
        <f>VLOOKUP(Q32,STN_TABLE,3,FALSE)</f>
        <v>0</v>
      </c>
      <c r="AA34" t="str">
        <f>CONCATENATE("A(",Q33,")=")</f>
        <v>A(0.5)=</v>
      </c>
      <c r="AB34">
        <f>X34+Z34</f>
        <v>6.0734999999999992</v>
      </c>
      <c r="AC34" s="99">
        <f>AC33+1</f>
        <v>2</v>
      </c>
      <c r="AD34" s="100">
        <f>VLOOKUP(AC34,STN_TABLE_2,2,FALSE)</f>
        <v>0.5</v>
      </c>
      <c r="AE34" s="82">
        <f>VLOOKUP(AD34,STN_TABLE,2,FALSE)</f>
        <v>4.8099999999999996</v>
      </c>
      <c r="AF34" s="82">
        <v>2</v>
      </c>
      <c r="AG34" s="83">
        <f>AE34*AF34</f>
        <v>9.6199999999999992</v>
      </c>
      <c r="AH34" s="84" t="str">
        <f>CONCATENATE("a'(",AD34,")=")</f>
        <v>a'(0.5)=</v>
      </c>
      <c r="AI34" s="84">
        <f>2*AI32/2*AE35</f>
        <v>5.7869999999999999</v>
      </c>
      <c r="AJ34" s="84" t="str">
        <f>CONCATENATE("A(",AD33,")=")</f>
        <v>A(0)=</v>
      </c>
      <c r="AK34" s="84">
        <f>VLOOKUP(AD33,STN_TABLE,3,FALSE)</f>
        <v>0</v>
      </c>
      <c r="AL34" t="str">
        <f>CONCATENATE("A(",AD34,")=")</f>
        <v>A(0.5)=</v>
      </c>
      <c r="AM34">
        <f>AI34+AK34</f>
        <v>5.7869999999999999</v>
      </c>
      <c r="AO34" s="68" t="str">
        <f>AA34</f>
        <v>A(0.5)=</v>
      </c>
      <c r="AP34" s="79" t="e">
        <f>VLOOKUP(AO34,Rise_Results,2,FALSE)</f>
        <v>#N/A</v>
      </c>
      <c r="AQ34" s="76" t="s">
        <v>117</v>
      </c>
      <c r="AR34" s="76">
        <f>IF(OR(AB34&lt;=0,AB35&lt;=0),1/0,AB34)</f>
        <v>6.0734999999999992</v>
      </c>
      <c r="AS34" s="76">
        <f>AM34</f>
        <v>5.7869999999999999</v>
      </c>
      <c r="AT34" s="80">
        <f>IFERROR(AP34,IFERROR(AR34,AS34))</f>
        <v>6.0734999999999992</v>
      </c>
    </row>
    <row r="35" spans="1:47" x14ac:dyDescent="0.25">
      <c r="A35" s="101"/>
      <c r="T35" s="89">
        <f>SUM(T32:T34)</f>
        <v>40.489999999999995</v>
      </c>
      <c r="V35" s="82">
        <f>SUM(V32:V34)</f>
        <v>46.86999999999999</v>
      </c>
      <c r="W35" s="84" t="str">
        <f>CONCATENATE("m'(",Q33,")=")</f>
        <v>m'(0.5)=</v>
      </c>
      <c r="X35" s="84">
        <f>(2*(X32^2)/24*V35)</f>
        <v>3.1637249999999995</v>
      </c>
      <c r="Y35" s="84" t="str">
        <f>CONCATENATE("M(",Q32,")=")</f>
        <v>M(0)=</v>
      </c>
      <c r="Z35" s="84">
        <f>VLOOKUP(Q32,STN_TABLE,4,FALSE)</f>
        <v>0</v>
      </c>
      <c r="AA35" t="str">
        <f>CONCATENATE("M(",Q33,")=")</f>
        <v>M(0.5)=</v>
      </c>
      <c r="AB35">
        <f>X35+Z35</f>
        <v>3.1637249999999995</v>
      </c>
      <c r="AE35" s="89">
        <f>SUM(AE33:AE34)</f>
        <v>6.43</v>
      </c>
      <c r="AG35" s="89">
        <f>SUM(AG33:AG34)</f>
        <v>11.239999999999998</v>
      </c>
      <c r="AH35" s="84" t="str">
        <f>CONCATENATE("m'(",AD34,")=")</f>
        <v>m'(0.5)=</v>
      </c>
      <c r="AI35" s="84">
        <f>(2*(AI32^2)/6*AG35)+(AI34*AD33*WLS)</f>
        <v>3.0347999999999997</v>
      </c>
      <c r="AJ35" s="84" t="str">
        <f>CONCATENATE("M(",AD33,")=")</f>
        <v>M(0)=</v>
      </c>
      <c r="AK35" s="84">
        <f>VLOOKUP(AD33,STN_TABLE,4,FALSE)</f>
        <v>0</v>
      </c>
      <c r="AL35" t="str">
        <f>CONCATENATE("M(",AD34,")=")</f>
        <v>M(0.5)=</v>
      </c>
      <c r="AM35">
        <f>AI35+AK35</f>
        <v>3.0347999999999997</v>
      </c>
      <c r="AO35" s="82" t="str">
        <f>AA35</f>
        <v>M(0.5)=</v>
      </c>
      <c r="AP35" s="88" t="e">
        <f>VLOOKUP(AO35,Rise_Results,2,FALSE)</f>
        <v>#N/A</v>
      </c>
      <c r="AQ35" s="82" t="s">
        <v>117</v>
      </c>
      <c r="AR35" s="82">
        <f>IF(OR(AB34&lt;=0,AB35&lt;=0),1/0,AB35)</f>
        <v>3.1637249999999995</v>
      </c>
      <c r="AS35" s="82">
        <f>AM35</f>
        <v>3.0347999999999997</v>
      </c>
      <c r="AT35" s="80">
        <f>IFERROR(AP35,IFERROR(AR35,AS35))</f>
        <v>3.1637249999999995</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1.62</v>
      </c>
      <c r="E37" s="102">
        <v>1</v>
      </c>
      <c r="F37" s="68">
        <f>D37*E37</f>
        <v>1.62</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4.8099999999999996</v>
      </c>
      <c r="S37" s="69">
        <v>5</v>
      </c>
      <c r="T37" s="68">
        <f>R37*S37</f>
        <v>24.049999999999997</v>
      </c>
      <c r="U37" s="79">
        <v>3</v>
      </c>
      <c r="V37" s="68">
        <f>R37*U37</f>
        <v>14.43</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4.8099999999999996</v>
      </c>
      <c r="E38" s="81">
        <v>4</v>
      </c>
      <c r="F38" s="76">
        <f>D38*E38</f>
        <v>19.239999999999998</v>
      </c>
      <c r="G38" s="77">
        <f>C38</f>
        <v>0.5</v>
      </c>
      <c r="H38" s="77">
        <f>F38*G38</f>
        <v>9.6199999999999992</v>
      </c>
      <c r="I38" s="513" t="s">
        <v>97</v>
      </c>
      <c r="J38" s="513"/>
      <c r="K38" s="78" t="s">
        <v>98</v>
      </c>
      <c r="L38" s="78"/>
      <c r="M38" s="7" t="s">
        <v>99</v>
      </c>
      <c r="N38" s="7"/>
      <c r="O38" s="99">
        <f>O37+1</f>
        <v>3</v>
      </c>
      <c r="P38" s="99">
        <f t="shared" si="10"/>
        <v>1</v>
      </c>
      <c r="Q38" s="76">
        <f>P38</f>
        <v>1</v>
      </c>
      <c r="R38" s="77">
        <f>VLOOKUP(Q38,STN_TABLE,2,FALSE)</f>
        <v>6.09</v>
      </c>
      <c r="S38" s="77">
        <v>8</v>
      </c>
      <c r="T38" s="76">
        <f>R38*S38</f>
        <v>48.72</v>
      </c>
      <c r="U38" s="80">
        <v>10</v>
      </c>
      <c r="V38" s="76">
        <f>R38*U38</f>
        <v>60.9</v>
      </c>
      <c r="W38" s="513" t="s">
        <v>97</v>
      </c>
      <c r="X38" s="513"/>
      <c r="Y38" s="513" t="s">
        <v>98</v>
      </c>
      <c r="Z38" s="513"/>
      <c r="AA38" s="511" t="s">
        <v>99</v>
      </c>
      <c r="AB38" s="511"/>
      <c r="AC38" s="99">
        <f>AC33+1</f>
        <v>2</v>
      </c>
      <c r="AD38" s="95">
        <f>VLOOKUP(AC38,STN_TABLE_2,2,FALSE)</f>
        <v>0.5</v>
      </c>
      <c r="AE38" s="68">
        <f>VLOOKUP(AD38,STN_TABLE,2,FALSE)</f>
        <v>4.8099999999999996</v>
      </c>
      <c r="AF38" s="68">
        <v>1</v>
      </c>
      <c r="AG38" s="69">
        <f>AE38*AF38</f>
        <v>4.8099999999999996</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6.09</v>
      </c>
      <c r="E39" s="92">
        <v>1</v>
      </c>
      <c r="F39" s="82">
        <f>D39*E39</f>
        <v>6.09</v>
      </c>
      <c r="G39" s="83">
        <f>C39</f>
        <v>1</v>
      </c>
      <c r="H39" s="83">
        <f>F39*G39</f>
        <v>6.09</v>
      </c>
      <c r="I39" s="84" t="str">
        <f>CONCATENATE("a'(",C39,")=")</f>
        <v>a'(1)=</v>
      </c>
      <c r="J39" s="84">
        <f>2*J37/3*F40</f>
        <v>16.169999999999998</v>
      </c>
      <c r="K39" s="84" t="str">
        <f>CONCATENATE("A(",C37,")=")</f>
        <v>A(0)=</v>
      </c>
      <c r="L39" s="84">
        <f>VLOOKUP(C37,STN_TABLE,3,FALSE)</f>
        <v>0</v>
      </c>
      <c r="M39" t="str">
        <f>CONCATENATE("A(",C39,")=")</f>
        <v>A(1)=</v>
      </c>
      <c r="N39">
        <f>J39+L39</f>
        <v>16.169999999999998</v>
      </c>
      <c r="O39" s="99">
        <f>O38+1</f>
        <v>4</v>
      </c>
      <c r="P39" s="99">
        <f t="shared" si="10"/>
        <v>1.5</v>
      </c>
      <c r="Q39" s="82">
        <f>IF(P39-P38=P38-P37,P39,IF(P40-P38=P38-P37,P40,IF(P39-P38=P38-P36,P39,IF(P40-P38=P38-P36,P40,"-"))))</f>
        <v>1.5</v>
      </c>
      <c r="R39" s="83">
        <f>VLOOKUP(Q39,STN_TABLE,2,FALSE)</f>
        <v>7.37</v>
      </c>
      <c r="S39" s="83">
        <v>-1</v>
      </c>
      <c r="T39" s="82">
        <f>R39*S39</f>
        <v>-7.37</v>
      </c>
      <c r="U39" s="88">
        <v>-1</v>
      </c>
      <c r="V39" s="82">
        <f>R39*U39</f>
        <v>-7.37</v>
      </c>
      <c r="W39" s="84" t="str">
        <f>CONCATENATE("a'(",Q38,")=")</f>
        <v>a'(1)=</v>
      </c>
      <c r="X39" s="84">
        <f>2*X37/12*T40</f>
        <v>9.8099999999999987</v>
      </c>
      <c r="Y39" s="84" t="str">
        <f>CONCATENATE("A(",Q37,")=")</f>
        <v>A(0.5)=</v>
      </c>
      <c r="Z39" s="84">
        <f>VLOOKUP(Q37,STN_TABLE,3,FALSE)</f>
        <v>6.0734999999999992</v>
      </c>
      <c r="AA39" t="str">
        <f>CONCATENATE("A(",Q38,")=")</f>
        <v>A(1)=</v>
      </c>
      <c r="AB39">
        <f>X39+Z39</f>
        <v>15.883499999999998</v>
      </c>
      <c r="AC39" s="99">
        <f>AC38+1</f>
        <v>3</v>
      </c>
      <c r="AD39" s="100">
        <f>VLOOKUP(AC39,STN_TABLE_2,2,FALSE)</f>
        <v>1</v>
      </c>
      <c r="AE39" s="82">
        <f>VLOOKUP(AD39,STN_TABLE,2,FALSE)</f>
        <v>6.09</v>
      </c>
      <c r="AF39" s="82">
        <v>2</v>
      </c>
      <c r="AG39" s="83">
        <f>AE39*AF39</f>
        <v>12.18</v>
      </c>
      <c r="AH39" s="84" t="str">
        <f>CONCATENATE("a'(",AD39,")=")</f>
        <v>a'(1)=</v>
      </c>
      <c r="AI39" s="84">
        <f>2*AI37/2*AE40</f>
        <v>9.8099999999999987</v>
      </c>
      <c r="AJ39" s="84" t="str">
        <f>CONCATENATE("A(",AD38,")=")</f>
        <v>A(0.5)=</v>
      </c>
      <c r="AK39" s="84">
        <f>VLOOKUP(AD38,STN_TABLE,3,FALSE)</f>
        <v>6.0734999999999992</v>
      </c>
      <c r="AL39" t="str">
        <f>CONCATENATE("A(",AD39,")=")</f>
        <v>A(1)=</v>
      </c>
      <c r="AM39">
        <f>AI39+AK39</f>
        <v>15.883499999999998</v>
      </c>
      <c r="AO39" s="68" t="str">
        <f>AA39</f>
        <v>A(1)=</v>
      </c>
      <c r="AP39" s="68" t="e">
        <f>VLOOKUP(AO39,Rise_Results,2,FALSE)</f>
        <v>#N/A</v>
      </c>
      <c r="AQ39" s="76">
        <f>N39</f>
        <v>16.169999999999998</v>
      </c>
      <c r="AR39" s="76">
        <f>IF(OR(AB39&lt;=0,AB40&lt;=0),1/0,AB39)</f>
        <v>15.883499999999998</v>
      </c>
      <c r="AS39" s="76">
        <f>AM39</f>
        <v>15.883499999999998</v>
      </c>
      <c r="AT39">
        <f>IFERROR(AP39,IFERROR(AQ39,IFERROR(AR39,AS39)))</f>
        <v>16.169999999999998</v>
      </c>
    </row>
    <row r="40" spans="1:47" x14ac:dyDescent="0.25">
      <c r="A40">
        <v>4</v>
      </c>
      <c r="F40" s="82">
        <f>SUM(F37:F39)</f>
        <v>26.95</v>
      </c>
      <c r="H40" s="82">
        <f>SUM(H37:H39)</f>
        <v>15.709999999999999</v>
      </c>
      <c r="I40" s="84" t="str">
        <f>CONCATENATE("m'(",C39,")=")</f>
        <v>m'(1)=</v>
      </c>
      <c r="J40" s="84">
        <f>2*(J37*(WLS))/3*H40</f>
        <v>16.966799999999999</v>
      </c>
      <c r="K40" s="84" t="str">
        <f>CONCATENATE("M(",C37,")=")</f>
        <v>M(0)=</v>
      </c>
      <c r="L40" s="84">
        <f>VLOOKUP(C37,STN_TABLE,4,FALSE)</f>
        <v>0</v>
      </c>
      <c r="M40" t="str">
        <f>CONCATENATE("M(",C39,")=")</f>
        <v>M(1)=</v>
      </c>
      <c r="N40">
        <f>J40+L40</f>
        <v>16.966799999999999</v>
      </c>
      <c r="O40" s="99">
        <f>O39+1</f>
        <v>5</v>
      </c>
      <c r="P40" s="99">
        <f t="shared" si="10"/>
        <v>2</v>
      </c>
      <c r="T40" s="89">
        <f>SUM(T37:T39)</f>
        <v>65.399999999999991</v>
      </c>
      <c r="V40" s="82">
        <f>SUM(V37:V39)</f>
        <v>67.959999999999994</v>
      </c>
      <c r="W40" s="84" t="str">
        <f>CONCATENATE("m'(",Q38,")=")</f>
        <v>m'(1)=</v>
      </c>
      <c r="X40" s="84">
        <f>(2*(X37^2)/24*V40)+(X39*Q37*WLS)</f>
        <v>13.4163</v>
      </c>
      <c r="Y40" s="84" t="str">
        <f>CONCATENATE("M(",Q37,")=")</f>
        <v>M(0.5)=</v>
      </c>
      <c r="Z40" s="84">
        <f>VLOOKUP(Q37,STN_TABLE,4,FALSE)</f>
        <v>3.1637249999999995</v>
      </c>
      <c r="AA40" t="str">
        <f>CONCATENATE("M(",Q38,")=")</f>
        <v>M(1)=</v>
      </c>
      <c r="AB40">
        <f>X40+Z40</f>
        <v>16.580024999999999</v>
      </c>
      <c r="AE40" s="89">
        <f>SUM(AE38:AE39)</f>
        <v>10.899999999999999</v>
      </c>
      <c r="AG40" s="89">
        <f>SUM(AG38:AG39)</f>
        <v>16.989999999999998</v>
      </c>
      <c r="AH40" s="84" t="str">
        <f>CONCATENATE("m'(",AD39,")=")</f>
        <v>m'(1)=</v>
      </c>
      <c r="AI40" s="84">
        <f>(2*(AI37^2)/6*AG40)+(AI39*AD38*WLS)</f>
        <v>13.4163</v>
      </c>
      <c r="AJ40" s="84" t="str">
        <f>CONCATENATE("M(",AD38,")=")</f>
        <v>M(0.5)=</v>
      </c>
      <c r="AK40" s="84">
        <f>VLOOKUP(AD38,STN_TABLE,4,FALSE)</f>
        <v>3.1637249999999995</v>
      </c>
      <c r="AL40" t="str">
        <f>CONCATENATE("M(",AD39,")=")</f>
        <v>M(1)=</v>
      </c>
      <c r="AM40">
        <f>AI40+AK40</f>
        <v>16.580024999999999</v>
      </c>
      <c r="AO40" s="82" t="str">
        <f>AA40</f>
        <v>M(1)=</v>
      </c>
      <c r="AP40" s="82" t="e">
        <f>VLOOKUP(AO40,Rise_Results,2,FALSE)</f>
        <v>#N/A</v>
      </c>
      <c r="AQ40" s="82">
        <f>N40</f>
        <v>16.966799999999999</v>
      </c>
      <c r="AR40" s="82">
        <f>IF(OR(AB39&lt;=0,AB40&lt;=0),1/0,AB40)</f>
        <v>16.580024999999999</v>
      </c>
      <c r="AS40" s="82">
        <f>AM40</f>
        <v>16.580024999999999</v>
      </c>
      <c r="AT40">
        <f>IFERROR(AP40,IFERROR(AQ40,IFERROR(AR40,AS40)))</f>
        <v>16.966799999999999</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4.8099999999999996</v>
      </c>
      <c r="E42" s="102">
        <v>1</v>
      </c>
      <c r="F42" s="68">
        <f>D42*E42</f>
        <v>4.8099999999999996</v>
      </c>
      <c r="G42" s="69">
        <f>C42</f>
        <v>0.5</v>
      </c>
      <c r="H42" s="69">
        <f>F42*G42</f>
        <v>2.4049999999999998</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6.09</v>
      </c>
      <c r="S42" s="69">
        <v>5</v>
      </c>
      <c r="T42" s="68">
        <f>R42*S42</f>
        <v>30.45</v>
      </c>
      <c r="U42" s="79">
        <v>3</v>
      </c>
      <c r="V42" s="68">
        <f>R42*U42</f>
        <v>18.27</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6.09</v>
      </c>
      <c r="E43" s="81">
        <v>4</v>
      </c>
      <c r="F43" s="76">
        <f>D43*E43</f>
        <v>24.36</v>
      </c>
      <c r="G43" s="77">
        <f>C43</f>
        <v>1</v>
      </c>
      <c r="H43" s="77">
        <f>F43*G43</f>
        <v>24.36</v>
      </c>
      <c r="I43" s="513" t="s">
        <v>97</v>
      </c>
      <c r="J43" s="513"/>
      <c r="K43" s="78" t="s">
        <v>98</v>
      </c>
      <c r="L43" s="78"/>
      <c r="M43" s="7" t="s">
        <v>99</v>
      </c>
      <c r="N43" s="7"/>
      <c r="O43" s="99">
        <f>O42+1</f>
        <v>4</v>
      </c>
      <c r="P43" s="99">
        <f t="shared" si="10"/>
        <v>1.5</v>
      </c>
      <c r="Q43" s="76">
        <f>P43</f>
        <v>1.5</v>
      </c>
      <c r="R43" s="77">
        <f>VLOOKUP(Q43,STN_TABLE,2,FALSE)</f>
        <v>7.37</v>
      </c>
      <c r="S43" s="77">
        <v>8</v>
      </c>
      <c r="T43" s="76">
        <f>R43*S43</f>
        <v>58.96</v>
      </c>
      <c r="U43" s="80">
        <v>10</v>
      </c>
      <c r="V43" s="76">
        <f>R43*U43</f>
        <v>73.7</v>
      </c>
      <c r="W43" s="513" t="s">
        <v>97</v>
      </c>
      <c r="X43" s="513"/>
      <c r="Y43" s="513" t="s">
        <v>98</v>
      </c>
      <c r="Z43" s="513"/>
      <c r="AA43" s="511" t="s">
        <v>99</v>
      </c>
      <c r="AB43" s="511"/>
      <c r="AC43" s="99">
        <f>AC38+1</f>
        <v>3</v>
      </c>
      <c r="AD43" s="95">
        <f>VLOOKUP(AC43,STN_TABLE_2,2,FALSE)</f>
        <v>1</v>
      </c>
      <c r="AE43" s="68">
        <f>VLOOKUP(AD43,STN_TABLE,2,FALSE)</f>
        <v>6.09</v>
      </c>
      <c r="AF43" s="68">
        <v>1</v>
      </c>
      <c r="AG43" s="69">
        <f>AE43*AF43</f>
        <v>6.09</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7.37</v>
      </c>
      <c r="E44" s="92">
        <v>1</v>
      </c>
      <c r="F44" s="82">
        <f>D44*E44</f>
        <v>7.37</v>
      </c>
      <c r="G44" s="83">
        <f>C44</f>
        <v>1.5</v>
      </c>
      <c r="H44" s="83">
        <f>F44*G44</f>
        <v>11.055</v>
      </c>
      <c r="I44" s="84" t="str">
        <f>CONCATENATE("a'(",C44,")=")</f>
        <v>a'(1.5)=</v>
      </c>
      <c r="J44" s="84">
        <f>2*J42/3*F45</f>
        <v>21.923999999999999</v>
      </c>
      <c r="K44" s="84" t="str">
        <f>CONCATENATE("A(",C42,")=")</f>
        <v>A(0.5)=</v>
      </c>
      <c r="L44" s="84">
        <f>VLOOKUP(C42,STN_TABLE,3,FALSE)</f>
        <v>6.0734999999999992</v>
      </c>
      <c r="M44" t="str">
        <f>CONCATENATE("A(",C44,")=")</f>
        <v>A(1.5)=</v>
      </c>
      <c r="N44">
        <f>J44+L44</f>
        <v>27.997499999999999</v>
      </c>
      <c r="O44" s="99">
        <f>O43+1</f>
        <v>5</v>
      </c>
      <c r="P44" s="99">
        <f t="shared" si="10"/>
        <v>2</v>
      </c>
      <c r="Q44" s="82">
        <f>IF(P44-P43=P43-P42,P44,IF(P45-P43=P43-P42,P45,IF(P44-P43=P43-P41,P44,IF(P45-P43=P43-P41,P45,"-"))))</f>
        <v>2</v>
      </c>
      <c r="R44" s="83">
        <f>VLOOKUP(Q44,STN_TABLE,2,FALSE)</f>
        <v>9.0299999999999994</v>
      </c>
      <c r="S44" s="83">
        <v>-1</v>
      </c>
      <c r="T44" s="82">
        <f>R44*S44</f>
        <v>-9.0299999999999994</v>
      </c>
      <c r="U44" s="88">
        <v>-1</v>
      </c>
      <c r="V44" s="82">
        <f>R44*U44</f>
        <v>-9.0299999999999994</v>
      </c>
      <c r="W44" s="84" t="str">
        <f>CONCATENATE("a'(",Q43,")=")</f>
        <v>a'(1.5)=</v>
      </c>
      <c r="X44" s="84">
        <f>2*X42/12*T45</f>
        <v>12.056999999999999</v>
      </c>
      <c r="Y44" s="84" t="str">
        <f>CONCATENATE("A(",Q42,")=")</f>
        <v>A(1)=</v>
      </c>
      <c r="Z44" s="84">
        <f>VLOOKUP(Q42,STN_TABLE,3,FALSE)</f>
        <v>16.169999999999998</v>
      </c>
      <c r="AA44" t="str">
        <f>CONCATENATE("A(",Q43,")=")</f>
        <v>A(1.5)=</v>
      </c>
      <c r="AB44">
        <f>X44+Z44</f>
        <v>28.226999999999997</v>
      </c>
      <c r="AC44" s="99">
        <f>AC43+1</f>
        <v>4</v>
      </c>
      <c r="AD44" s="100">
        <f>VLOOKUP(AC44,STN_TABLE_2,2,FALSE)</f>
        <v>1.5</v>
      </c>
      <c r="AE44" s="82">
        <f>VLOOKUP(AD44,STN_TABLE,2,FALSE)</f>
        <v>7.37</v>
      </c>
      <c r="AF44" s="82">
        <v>2</v>
      </c>
      <c r="AG44" s="83">
        <f>AE44*AF44</f>
        <v>14.74</v>
      </c>
      <c r="AH44" s="84" t="str">
        <f>CONCATENATE("a'(",AD44,")=")</f>
        <v>a'(1.5)=</v>
      </c>
      <c r="AI44" s="84">
        <f>2*AI42/2*AE45</f>
        <v>12.114000000000001</v>
      </c>
      <c r="AJ44" s="84" t="str">
        <f>CONCATENATE("A(",AD43,")=")</f>
        <v>A(1)=</v>
      </c>
      <c r="AK44" s="84">
        <f>VLOOKUP(AD43,STN_TABLE,3,FALSE)</f>
        <v>16.169999999999998</v>
      </c>
      <c r="AL44" t="str">
        <f>CONCATENATE("A(",AD44,")=")</f>
        <v>A(1.5)=</v>
      </c>
      <c r="AM44">
        <f>AI44+AK44</f>
        <v>28.283999999999999</v>
      </c>
      <c r="AO44" s="68" t="str">
        <f>AA44</f>
        <v>A(1.5)=</v>
      </c>
      <c r="AP44" s="68" t="e">
        <f>VLOOKUP(AO44,Rise_Results,2,FALSE)</f>
        <v>#N/A</v>
      </c>
      <c r="AQ44" s="76">
        <f>N44</f>
        <v>27.997499999999999</v>
      </c>
      <c r="AR44" s="76">
        <f>IF(OR(AB44&lt;=0,AB45&lt;=0),1/0,AB44)</f>
        <v>28.226999999999997</v>
      </c>
      <c r="AS44" s="76">
        <f>AM44</f>
        <v>28.283999999999999</v>
      </c>
      <c r="AT44">
        <f>IFERROR(AP44,IFERROR(AQ44,IFERROR(AR44,AS44)))</f>
        <v>27.997499999999999</v>
      </c>
      <c r="AU44" s="81"/>
    </row>
    <row r="45" spans="1:47" x14ac:dyDescent="0.25">
      <c r="A45" s="94">
        <f>A44+1</f>
        <v>4</v>
      </c>
      <c r="B45" s="94">
        <f t="shared" si="11"/>
        <v>1.5</v>
      </c>
      <c r="F45" s="82">
        <f>SUM(F42:F44)</f>
        <v>36.54</v>
      </c>
      <c r="H45" s="82">
        <f>SUM(H42:H44)</f>
        <v>37.82</v>
      </c>
      <c r="I45" s="84" t="str">
        <f>CONCATENATE("m'(",C44,")=")</f>
        <v>m'(1.5)=</v>
      </c>
      <c r="J45" s="84">
        <f>2*(J42*(WLS))/3*H45</f>
        <v>40.845600000000005</v>
      </c>
      <c r="K45" s="84" t="str">
        <f>CONCATENATE("M(",C42,")=")</f>
        <v>M(0.5)=</v>
      </c>
      <c r="L45" s="84">
        <f>VLOOKUP(C42,STN_TABLE,4,FALSE)</f>
        <v>3.1637249999999995</v>
      </c>
      <c r="M45" t="str">
        <f>CONCATENATE("M(",C44,")=")</f>
        <v>M(1.5)=</v>
      </c>
      <c r="N45">
        <f>J45+L45</f>
        <v>44.009325000000004</v>
      </c>
      <c r="O45" s="99">
        <f>O44+1</f>
        <v>6</v>
      </c>
      <c r="P45" s="99">
        <f t="shared" si="10"/>
        <v>3</v>
      </c>
      <c r="T45" s="89">
        <f>SUM(T42:T44)</f>
        <v>80.38</v>
      </c>
      <c r="V45" s="82">
        <f>SUM(V42:V44)</f>
        <v>82.94</v>
      </c>
      <c r="W45" s="84" t="str">
        <f>CONCATENATE("m'(",Q43,")=")</f>
        <v>m'(1.5)=</v>
      </c>
      <c r="X45" s="84">
        <f>(2*(X42^2)/24*V45)+(X44*Q42*WLS)</f>
        <v>27.301049999999996</v>
      </c>
      <c r="Y45" s="84" t="str">
        <f>CONCATENATE("M(",Q42,")=")</f>
        <v>M(1)=</v>
      </c>
      <c r="Z45" s="84">
        <f>VLOOKUP(Q42,STN_TABLE,4,FALSE)</f>
        <v>16.966799999999999</v>
      </c>
      <c r="AA45" t="str">
        <f>CONCATENATE("M(",Q43,")=")</f>
        <v>M(1.5)=</v>
      </c>
      <c r="AB45">
        <f>X45+Z45</f>
        <v>44.267849999999996</v>
      </c>
      <c r="AE45" s="89">
        <f>SUM(AE43:AE44)</f>
        <v>13.46</v>
      </c>
      <c r="AG45" s="89">
        <f>SUM(AG43:AG44)</f>
        <v>20.83</v>
      </c>
      <c r="AH45" s="84" t="str">
        <f>CONCATENATE("m'(",AD44,")=")</f>
        <v>m'(1.5)=</v>
      </c>
      <c r="AI45" s="84">
        <f>(2*(AI42^2)/6*AG45)+(AI44*AD43*WLS)</f>
        <v>27.429300000000005</v>
      </c>
      <c r="AJ45" s="84" t="str">
        <f>CONCATENATE("M(",AD43,")=")</f>
        <v>M(1)=</v>
      </c>
      <c r="AK45" s="84">
        <f>VLOOKUP(AD43,STN_TABLE,4,FALSE)</f>
        <v>16.966799999999999</v>
      </c>
      <c r="AL45" t="str">
        <f>CONCATENATE("M(",AD44,")=")</f>
        <v>M(1.5)=</v>
      </c>
      <c r="AM45">
        <f>AI45+AK45</f>
        <v>44.396100000000004</v>
      </c>
      <c r="AO45" s="82" t="str">
        <f>AA45</f>
        <v>M(1.5)=</v>
      </c>
      <c r="AP45" s="82" t="e">
        <f>VLOOKUP(AO45,Rise_Results,2,FALSE)</f>
        <v>#N/A</v>
      </c>
      <c r="AQ45" s="82">
        <f>N45</f>
        <v>44.009325000000004</v>
      </c>
      <c r="AR45" s="82">
        <f>IF(OR(AB44&lt;=0,AB45&lt;=0),1/0,AB45)</f>
        <v>44.267849999999996</v>
      </c>
      <c r="AS45" s="82">
        <f>AM45</f>
        <v>44.396100000000004</v>
      </c>
      <c r="AT45">
        <f>IFERROR(AP45,IFERROR(AQ45,IFERROR(AR45,AS45)))</f>
        <v>44.009325000000004</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6.09</v>
      </c>
      <c r="E47" s="102">
        <v>1</v>
      </c>
      <c r="F47" s="68">
        <f>D47*E47</f>
        <v>6.09</v>
      </c>
      <c r="G47" s="69">
        <f>C47</f>
        <v>1</v>
      </c>
      <c r="H47" s="69">
        <f>F47*G47</f>
        <v>6.09</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6.09</v>
      </c>
      <c r="S47" s="69">
        <v>5</v>
      </c>
      <c r="T47" s="68">
        <f>R47*S47</f>
        <v>30.45</v>
      </c>
      <c r="U47" s="79">
        <v>3</v>
      </c>
      <c r="V47" s="68">
        <f>R47*U47</f>
        <v>18.27</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7.37</v>
      </c>
      <c r="E48" s="81">
        <v>4</v>
      </c>
      <c r="F48" s="76">
        <f>D48*E48</f>
        <v>29.48</v>
      </c>
      <c r="G48" s="77">
        <f>C48</f>
        <v>1.5</v>
      </c>
      <c r="H48" s="77">
        <f>F48*G48</f>
        <v>44.22</v>
      </c>
      <c r="I48" s="513" t="s">
        <v>97</v>
      </c>
      <c r="J48" s="513"/>
      <c r="K48" s="78" t="s">
        <v>98</v>
      </c>
      <c r="L48" s="78"/>
      <c r="M48" s="7" t="s">
        <v>99</v>
      </c>
      <c r="N48" s="7"/>
      <c r="O48" s="99">
        <f>O47+1</f>
        <v>5</v>
      </c>
      <c r="P48" s="99">
        <f t="shared" si="10"/>
        <v>2</v>
      </c>
      <c r="Q48" s="76">
        <f>P48</f>
        <v>2</v>
      </c>
      <c r="R48" s="77">
        <f>VLOOKUP(Q48,STN_TABLE,2,FALSE)</f>
        <v>9.0299999999999994</v>
      </c>
      <c r="S48" s="77">
        <v>8</v>
      </c>
      <c r="T48" s="76">
        <f>R48*S48</f>
        <v>72.239999999999995</v>
      </c>
      <c r="U48" s="80">
        <v>10</v>
      </c>
      <c r="V48" s="76">
        <f>R48*U48</f>
        <v>90.3</v>
      </c>
      <c r="W48" s="513" t="s">
        <v>97</v>
      </c>
      <c r="X48" s="513"/>
      <c r="Y48" s="513" t="s">
        <v>98</v>
      </c>
      <c r="Z48" s="513"/>
      <c r="AA48" s="511" t="s">
        <v>99</v>
      </c>
      <c r="AB48" s="511"/>
      <c r="AC48" s="99">
        <f>AC43+1</f>
        <v>4</v>
      </c>
      <c r="AD48" s="95">
        <f>VLOOKUP(AC48,STN_TABLE_2,2,FALSE)</f>
        <v>1.5</v>
      </c>
      <c r="AE48" s="68">
        <f>VLOOKUP(AD48,STN_TABLE,2,FALSE)</f>
        <v>7.37</v>
      </c>
      <c r="AF48" s="68">
        <v>1</v>
      </c>
      <c r="AG48" s="69">
        <f>AE48*AF48</f>
        <v>7.37</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9.0299999999999994</v>
      </c>
      <c r="E49" s="92">
        <v>1</v>
      </c>
      <c r="F49" s="82">
        <f>D49*E49</f>
        <v>9.0299999999999994</v>
      </c>
      <c r="G49" s="83">
        <f>C49</f>
        <v>2</v>
      </c>
      <c r="H49" s="83">
        <f>F49*G49</f>
        <v>18.059999999999999</v>
      </c>
      <c r="I49" s="84" t="str">
        <f>CONCATENATE("a'(",C49,")=")</f>
        <v>a'(2)=</v>
      </c>
      <c r="J49" s="84">
        <f>2*J47/3*F50</f>
        <v>26.76</v>
      </c>
      <c r="K49" s="84" t="str">
        <f>CONCATENATE("A(",C47,")=")</f>
        <v>A(1)=</v>
      </c>
      <c r="L49" s="84">
        <f>VLOOKUP(C47,STN_TABLE,3,FALSE)</f>
        <v>16.169999999999998</v>
      </c>
      <c r="M49" t="str">
        <f>CONCATENATE("A(",C49,")=")</f>
        <v>A(2)=</v>
      </c>
      <c r="N49">
        <f>J49+L49</f>
        <v>42.93</v>
      </c>
      <c r="O49" s="99">
        <f>O48+1</f>
        <v>6</v>
      </c>
      <c r="P49" s="99">
        <f t="shared" si="10"/>
        <v>3</v>
      </c>
      <c r="Q49" s="82">
        <f>IF(P49-P48=P48-P47,P49,IF(P50-P48=P48-P47,P50,IF(P49-P48=P48-P46,P49,IF(P50-P48=P48-P46,P50,"-"))))</f>
        <v>3</v>
      </c>
      <c r="R49" s="83">
        <f>VLOOKUP(Q49,STN_TABLE,2,FALSE)</f>
        <v>11.15</v>
      </c>
      <c r="S49" s="83">
        <v>-1</v>
      </c>
      <c r="T49" s="82">
        <f>R49*S49</f>
        <v>-11.15</v>
      </c>
      <c r="U49" s="88">
        <v>-1</v>
      </c>
      <c r="V49" s="82">
        <f>R49*U49</f>
        <v>-11.15</v>
      </c>
      <c r="W49" s="84" t="str">
        <f>CONCATENATE("a'(",Q48,")=")</f>
        <v>a'(2)=</v>
      </c>
      <c r="X49" s="84">
        <f>2*X47/12*T50</f>
        <v>27.461999999999996</v>
      </c>
      <c r="Y49" s="84" t="str">
        <f>CONCATENATE("A(",Q47,")=")</f>
        <v>A(1)=</v>
      </c>
      <c r="Z49" s="84">
        <f>VLOOKUP(Q47,STN_TABLE,3,FALSE)</f>
        <v>16.169999999999998</v>
      </c>
      <c r="AA49" t="str">
        <f>CONCATENATE("A(",Q48,")=")</f>
        <v>A(2)=</v>
      </c>
      <c r="AB49">
        <f>X49+Z49</f>
        <v>43.631999999999991</v>
      </c>
      <c r="AC49" s="99">
        <f>AC48+1</f>
        <v>5</v>
      </c>
      <c r="AD49" s="100">
        <f>VLOOKUP(AC49,STN_TABLE_2,2,FALSE)</f>
        <v>2</v>
      </c>
      <c r="AE49" s="82">
        <f>VLOOKUP(AD49,STN_TABLE,2,FALSE)</f>
        <v>9.0299999999999994</v>
      </c>
      <c r="AF49" s="82">
        <v>2</v>
      </c>
      <c r="AG49" s="83">
        <f>AE49*AF49</f>
        <v>18.059999999999999</v>
      </c>
      <c r="AH49" s="84" t="str">
        <f>CONCATENATE("a'(",AD49,")=")</f>
        <v>a'(2)=</v>
      </c>
      <c r="AI49" s="84">
        <f>2*AI47/2*AE50</f>
        <v>14.76</v>
      </c>
      <c r="AJ49" s="84" t="str">
        <f>CONCATENATE("A(",AD48,")=")</f>
        <v>A(1.5)=</v>
      </c>
      <c r="AK49" s="84">
        <f>VLOOKUP(AD48,STN_TABLE,3,FALSE)</f>
        <v>27.997499999999999</v>
      </c>
      <c r="AL49" t="str">
        <f>CONCATENATE("A(",AD49,")=")</f>
        <v>A(2)=</v>
      </c>
      <c r="AM49">
        <f>AI49+AK49</f>
        <v>42.7575</v>
      </c>
      <c r="AO49" s="68" t="str">
        <f>AA49</f>
        <v>A(2)=</v>
      </c>
      <c r="AP49" s="68" t="e">
        <f>VLOOKUP(AO49,Rise_Results,2,FALSE)</f>
        <v>#N/A</v>
      </c>
      <c r="AQ49" s="76">
        <f>N49</f>
        <v>42.93</v>
      </c>
      <c r="AR49" s="76">
        <f>IF(OR(AB49&lt;=0,AB50&lt;=0),1/0,AB49)</f>
        <v>43.631999999999991</v>
      </c>
      <c r="AS49" s="76">
        <f>AM49</f>
        <v>42.7575</v>
      </c>
      <c r="AT49">
        <f>IFERROR(AP49,IFERROR(AQ49,IFERROR(AR49,AS49)))</f>
        <v>42.93</v>
      </c>
      <c r="AU49" s="81"/>
    </row>
    <row r="50" spans="1:47" x14ac:dyDescent="0.25">
      <c r="A50" s="84">
        <f>A49+1</f>
        <v>5</v>
      </c>
      <c r="B50" s="84">
        <f t="shared" si="11"/>
        <v>2</v>
      </c>
      <c r="F50" s="82">
        <f>SUM(F47:F49)</f>
        <v>44.6</v>
      </c>
      <c r="H50" s="82">
        <f>SUM(H47:H49)</f>
        <v>68.37</v>
      </c>
      <c r="I50" s="84" t="str">
        <f>CONCATENATE("m'(",C49,")=")</f>
        <v>m'(2)=</v>
      </c>
      <c r="J50" s="84">
        <f>2*(J47*(WLS))/3*H50</f>
        <v>73.839600000000004</v>
      </c>
      <c r="K50" s="84" t="str">
        <f>CONCATENATE("M(",C47,")=")</f>
        <v>M(1)=</v>
      </c>
      <c r="L50" s="84">
        <f>VLOOKUP(C47,STN_TABLE,4,FALSE)</f>
        <v>16.966799999999999</v>
      </c>
      <c r="M50" t="str">
        <f>CONCATENATE("M(",C49,")=")</f>
        <v>M(2)=</v>
      </c>
      <c r="N50">
        <f>J50+L50</f>
        <v>90.806399999999996</v>
      </c>
      <c r="O50" s="99">
        <f>O49+1</f>
        <v>7</v>
      </c>
      <c r="P50" s="99">
        <f t="shared" si="10"/>
        <v>4</v>
      </c>
      <c r="T50" s="89">
        <f>SUM(T47:T49)</f>
        <v>91.539999999999992</v>
      </c>
      <c r="V50" s="82">
        <f>SUM(V47:V49)</f>
        <v>97.419999999999987</v>
      </c>
      <c r="W50" s="84" t="str">
        <f>CONCATENATE("m'(",Q48,")=")</f>
        <v>m'(2)=</v>
      </c>
      <c r="X50" s="84">
        <f>(2*(X47^2)/24*V50)+(X49*Q47*WLS)</f>
        <v>75.734999999999999</v>
      </c>
      <c r="Y50" s="84" t="str">
        <f>CONCATENATE("M(",Q47,")=")</f>
        <v>M(1)=</v>
      </c>
      <c r="Z50" s="84">
        <f>VLOOKUP(Q47,STN_TABLE,4,FALSE)</f>
        <v>16.966799999999999</v>
      </c>
      <c r="AA50" t="str">
        <f>CONCATENATE("M(",Q48,")=")</f>
        <v>M(2)=</v>
      </c>
      <c r="AB50">
        <f>X50+Z50</f>
        <v>92.701799999999992</v>
      </c>
      <c r="AE50" s="89">
        <f>SUM(AE48:AE49)</f>
        <v>16.399999999999999</v>
      </c>
      <c r="AG50" s="89">
        <f>SUM(AG48:AG49)</f>
        <v>25.43</v>
      </c>
      <c r="AH50" s="84" t="str">
        <f>CONCATENATE("m'(",AD49,")=")</f>
        <v>m'(2)=</v>
      </c>
      <c r="AI50" s="84">
        <f>(2*(AI47^2)/6*AG50)+(AI49*AD48*WLS)</f>
        <v>46.718100000000007</v>
      </c>
      <c r="AJ50" s="84" t="str">
        <f>CONCATENATE("M(",AD48,")=")</f>
        <v>M(1.5)=</v>
      </c>
      <c r="AK50" s="84">
        <f>VLOOKUP(AD48,STN_TABLE,4,FALSE)</f>
        <v>44.009325000000004</v>
      </c>
      <c r="AL50" t="str">
        <f>CONCATENATE("M(",AD49,")=")</f>
        <v>M(2)=</v>
      </c>
      <c r="AM50">
        <f>AI50+AK50</f>
        <v>90.727425000000011</v>
      </c>
      <c r="AO50" s="82" t="str">
        <f>AA50</f>
        <v>M(2)=</v>
      </c>
      <c r="AP50" s="82" t="e">
        <f>VLOOKUP(AO50,Rise_Results,2,FALSE)</f>
        <v>#N/A</v>
      </c>
      <c r="AQ50" s="82">
        <f>N50</f>
        <v>90.806399999999996</v>
      </c>
      <c r="AR50" s="82">
        <f>IF(OR(AB49&lt;=0,AB50&lt;=0),1/0,AB50)</f>
        <v>92.701799999999992</v>
      </c>
      <c r="AS50" s="82">
        <f>AM50</f>
        <v>90.727425000000011</v>
      </c>
      <c r="AT50">
        <f>IFERROR(AP50,IFERROR(AQ50,IFERROR(AR50,AS50)))</f>
        <v>90.806399999999996</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6.09</v>
      </c>
      <c r="E52" s="102">
        <v>1</v>
      </c>
      <c r="F52" s="68">
        <f>D52*E52</f>
        <v>6.09</v>
      </c>
      <c r="G52" s="69">
        <f>C52</f>
        <v>1</v>
      </c>
      <c r="H52" s="69">
        <f>F52*G52</f>
        <v>6.09</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9.0299999999999994</v>
      </c>
      <c r="S52" s="69">
        <v>5</v>
      </c>
      <c r="T52" s="68">
        <f>R52*S52</f>
        <v>45.15</v>
      </c>
      <c r="U52" s="79">
        <v>3</v>
      </c>
      <c r="V52" s="68">
        <f>R52*U52</f>
        <v>27.089999999999996</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9.0299999999999994</v>
      </c>
      <c r="E53" s="81">
        <v>4</v>
      </c>
      <c r="F53" s="76">
        <f>D53*E53</f>
        <v>36.119999999999997</v>
      </c>
      <c r="G53" s="77">
        <f>C53</f>
        <v>2</v>
      </c>
      <c r="H53" s="77">
        <f>F53*G53</f>
        <v>72.239999999999995</v>
      </c>
      <c r="I53" s="512" t="s">
        <v>97</v>
      </c>
      <c r="J53" s="513"/>
      <c r="K53" s="78" t="s">
        <v>98</v>
      </c>
      <c r="L53" s="78"/>
      <c r="M53" s="7" t="s">
        <v>99</v>
      </c>
      <c r="N53" s="7"/>
      <c r="O53" s="99">
        <f>O52+1</f>
        <v>6</v>
      </c>
      <c r="P53" s="99">
        <f t="shared" si="10"/>
        <v>3</v>
      </c>
      <c r="Q53" s="76">
        <f>P53</f>
        <v>3</v>
      </c>
      <c r="R53" s="77">
        <f>VLOOKUP(Q53,STN_TABLE,2,FALSE)</f>
        <v>11.15</v>
      </c>
      <c r="S53" s="77">
        <v>8</v>
      </c>
      <c r="T53" s="76">
        <f>R53*S53</f>
        <v>89.2</v>
      </c>
      <c r="U53" s="80">
        <v>10</v>
      </c>
      <c r="V53" s="76">
        <f>R53*U53</f>
        <v>111.5</v>
      </c>
      <c r="W53" s="513" t="s">
        <v>97</v>
      </c>
      <c r="X53" s="513"/>
      <c r="Y53" s="513" t="s">
        <v>98</v>
      </c>
      <c r="Z53" s="513"/>
      <c r="AA53" s="511" t="s">
        <v>99</v>
      </c>
      <c r="AB53" s="511"/>
      <c r="AC53" s="99">
        <f>AC48+1</f>
        <v>5</v>
      </c>
      <c r="AD53" s="95">
        <f>VLOOKUP(AC53,STN_TABLE_2,2,FALSE)</f>
        <v>2</v>
      </c>
      <c r="AE53" s="68">
        <f>VLOOKUP(AD53,STN_TABLE,2,FALSE)</f>
        <v>9.0299999999999994</v>
      </c>
      <c r="AF53" s="68">
        <v>1</v>
      </c>
      <c r="AG53" s="69">
        <f>AE53*AF53</f>
        <v>9.0299999999999994</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11.15</v>
      </c>
      <c r="E54" s="92">
        <v>1</v>
      </c>
      <c r="F54" s="82">
        <f>D54*E54</f>
        <v>11.15</v>
      </c>
      <c r="G54" s="83">
        <f>C54</f>
        <v>3</v>
      </c>
      <c r="H54" s="83">
        <f>F54*G54</f>
        <v>33.450000000000003</v>
      </c>
      <c r="I54" s="84" t="str">
        <f>CONCATENATE("a'(",C54,")=")</f>
        <v>a'(3)=</v>
      </c>
      <c r="J54" s="84">
        <f>2*J52/3*F55</f>
        <v>64.031999999999982</v>
      </c>
      <c r="K54" s="84" t="str">
        <f>CONCATENATE("A(",C52,")=")</f>
        <v>A(1)=</v>
      </c>
      <c r="L54" s="84">
        <f>VLOOKUP(C52,STN_TABLE,3,FALSE)</f>
        <v>16.169999999999998</v>
      </c>
      <c r="M54" t="str">
        <f>CONCATENATE("A(",C54,")=")</f>
        <v>A(3)=</v>
      </c>
      <c r="N54">
        <f>J54+L54</f>
        <v>80.201999999999984</v>
      </c>
      <c r="O54" s="99">
        <f>O53+1</f>
        <v>7</v>
      </c>
      <c r="P54" s="99">
        <f t="shared" si="10"/>
        <v>4</v>
      </c>
      <c r="Q54" s="82">
        <f>IF(P54-P53=P53-P52,P54,IF(P55-P53=P53-P52,P55,IF(P54-P53=P53-P51,P54,IF(P55-P53=P53-P51,P55,"-"))))</f>
        <v>4</v>
      </c>
      <c r="R54" s="83">
        <f>VLOOKUP(Q54,STN_TABLE,2,FALSE)</f>
        <v>11.95</v>
      </c>
      <c r="S54" s="83">
        <v>-1</v>
      </c>
      <c r="T54" s="82">
        <f>R54*S54</f>
        <v>-11.95</v>
      </c>
      <c r="U54" s="88">
        <v>-1</v>
      </c>
      <c r="V54" s="82">
        <f>R54*U54</f>
        <v>-11.95</v>
      </c>
      <c r="W54" s="84" t="str">
        <f>CONCATENATE("a'(",Q53,")=")</f>
        <v>a'(3)=</v>
      </c>
      <c r="X54" s="84">
        <f>2*X52/12*T55</f>
        <v>36.72</v>
      </c>
      <c r="Y54" s="84" t="str">
        <f>CONCATENATE("A(",Q52,")=")</f>
        <v>A(2)=</v>
      </c>
      <c r="Z54" s="84">
        <f>VLOOKUP(Q52,STN_TABLE,3,FALSE)</f>
        <v>42.93</v>
      </c>
      <c r="AA54" t="str">
        <f>CONCATENATE("A(",Q53,")=")</f>
        <v>A(3)=</v>
      </c>
      <c r="AB54">
        <f>X54+Z54</f>
        <v>79.650000000000006</v>
      </c>
      <c r="AC54" s="99">
        <f>AC53+1</f>
        <v>6</v>
      </c>
      <c r="AD54" s="100">
        <f>VLOOKUP(AC54,STN_TABLE_2,2,FALSE)</f>
        <v>3</v>
      </c>
      <c r="AE54" s="82">
        <f>VLOOKUP(AD54,STN_TABLE,2,FALSE)</f>
        <v>11.15</v>
      </c>
      <c r="AF54" s="82">
        <v>2</v>
      </c>
      <c r="AG54" s="83">
        <f>AE54*AF54</f>
        <v>22.3</v>
      </c>
      <c r="AH54" s="84" t="str">
        <f>CONCATENATE("a'(",AD54,")=")</f>
        <v>a'(3)=</v>
      </c>
      <c r="AI54" s="84">
        <f>2*AI52/2*AE55</f>
        <v>36.323999999999998</v>
      </c>
      <c r="AJ54" s="84" t="str">
        <f>CONCATENATE("A(",AD53,")=")</f>
        <v>A(2)=</v>
      </c>
      <c r="AK54" s="84">
        <f>VLOOKUP(AD53,STN_TABLE,3,FALSE)</f>
        <v>42.93</v>
      </c>
      <c r="AL54" t="str">
        <f>CONCATENATE("A(",AD54,")=")</f>
        <v>A(3)=</v>
      </c>
      <c r="AM54">
        <f>AI54+AK54</f>
        <v>79.253999999999991</v>
      </c>
      <c r="AO54" s="68" t="str">
        <f>AA54</f>
        <v>A(3)=</v>
      </c>
      <c r="AP54" s="68" t="e">
        <f>VLOOKUP(AO54,Rise_Results,2,FALSE)</f>
        <v>#N/A</v>
      </c>
      <c r="AQ54" s="76">
        <f>N54</f>
        <v>80.201999999999984</v>
      </c>
      <c r="AR54" s="76">
        <f>IF(OR(AB54&lt;=0,AB55&lt;=0),1/0,AB54)</f>
        <v>79.650000000000006</v>
      </c>
      <c r="AS54" s="76">
        <f>AM54</f>
        <v>79.253999999999991</v>
      </c>
      <c r="AT54">
        <f>IFERROR(AP54,IFERROR(AQ54,IFERROR(AR54,AS54)))</f>
        <v>80.201999999999984</v>
      </c>
      <c r="AU54" s="81"/>
    </row>
    <row r="55" spans="1:47" x14ac:dyDescent="0.25">
      <c r="A55" s="84">
        <f>A54+1</f>
        <v>6</v>
      </c>
      <c r="B55" s="84">
        <f t="shared" si="11"/>
        <v>3</v>
      </c>
      <c r="F55" s="82">
        <f>SUM(F52:F54)</f>
        <v>53.359999999999992</v>
      </c>
      <c r="H55" s="82">
        <f>SUM(H52:H54)</f>
        <v>111.78</v>
      </c>
      <c r="I55" s="84" t="str">
        <f>CONCATENATE("m'(",C54,")=")</f>
        <v>m'(3)=</v>
      </c>
      <c r="J55" s="84">
        <f>2*(J52*(WLS))/3*H55</f>
        <v>241.44480000000001</v>
      </c>
      <c r="K55" s="84" t="str">
        <f>CONCATENATE("M(",C52,")=")</f>
        <v>M(1)=</v>
      </c>
      <c r="L55" s="84">
        <f>VLOOKUP(C52,STN_TABLE,4,FALSE)</f>
        <v>16.966799999999999</v>
      </c>
      <c r="M55" t="str">
        <f>CONCATENATE("M(",C54,")=")</f>
        <v>M(3)=</v>
      </c>
      <c r="N55">
        <f>J55+L55</f>
        <v>258.41160000000002</v>
      </c>
      <c r="O55" s="99">
        <f>O54+1</f>
        <v>8</v>
      </c>
      <c r="P55" s="99">
        <f t="shared" si="10"/>
        <v>5</v>
      </c>
      <c r="T55" s="89">
        <f>SUM(T52:T54)</f>
        <v>122.39999999999999</v>
      </c>
      <c r="V55" s="82">
        <f>SUM(V52:V54)</f>
        <v>126.64</v>
      </c>
      <c r="W55" s="84" t="str">
        <f>CONCATENATE("m'(",Q53,")=")</f>
        <v>m'(3)=</v>
      </c>
      <c r="X55" s="84">
        <f>(2*(X52^2)/24*V55)+(X54*Q52*WLS)</f>
        <v>166.38480000000001</v>
      </c>
      <c r="Y55" s="84" t="str">
        <f>CONCATENATE("M(",Q52,")=")</f>
        <v>M(2)=</v>
      </c>
      <c r="Z55" s="84">
        <f>VLOOKUP(Q52,STN_TABLE,4,FALSE)</f>
        <v>90.806399999999996</v>
      </c>
      <c r="AA55" t="str">
        <f>CONCATENATE("M(",Q53,")=")</f>
        <v>M(3)=</v>
      </c>
      <c r="AB55">
        <f>X55+Z55</f>
        <v>257.19119999999998</v>
      </c>
      <c r="AE55" s="89">
        <f>SUM(AE53:AE54)</f>
        <v>20.18</v>
      </c>
      <c r="AG55" s="89">
        <f>SUM(AG53:AG54)</f>
        <v>31.33</v>
      </c>
      <c r="AH55" s="84" t="str">
        <f>CONCATENATE("m'(",AD54,")=")</f>
        <v>m'(3)=</v>
      </c>
      <c r="AI55" s="84">
        <f>(2*(AI52^2)/6*AG55)+(AI54*AD53*WLS)</f>
        <v>164.6028</v>
      </c>
      <c r="AJ55" s="84" t="str">
        <f>CONCATENATE("M(",AD53,")=")</f>
        <v>M(2)=</v>
      </c>
      <c r="AK55" s="84">
        <f>VLOOKUP(AD53,STN_TABLE,4,FALSE)</f>
        <v>90.806399999999996</v>
      </c>
      <c r="AL55" t="str">
        <f>CONCATENATE("M(",AD54,")=")</f>
        <v>M(3)=</v>
      </c>
      <c r="AM55">
        <f>AI55+AK55</f>
        <v>255.4092</v>
      </c>
      <c r="AO55" s="82" t="str">
        <f>AA55</f>
        <v>M(3)=</v>
      </c>
      <c r="AP55" s="82" t="e">
        <f>VLOOKUP(AO55,Rise_Results,2,FALSE)</f>
        <v>#N/A</v>
      </c>
      <c r="AQ55" s="82">
        <f>N55</f>
        <v>258.41160000000002</v>
      </c>
      <c r="AR55" s="82">
        <f>IF(OR(AB54&lt;=0,AB55&lt;=0),1/0,AB55)</f>
        <v>257.19119999999998</v>
      </c>
      <c r="AS55" s="82">
        <f>AM55</f>
        <v>255.4092</v>
      </c>
      <c r="AT55">
        <f>IFERROR(AP55,IFERROR(AQ55,IFERROR(AR55,AS55)))</f>
        <v>258.41160000000002</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9.0299999999999994</v>
      </c>
      <c r="E57" s="102">
        <v>1</v>
      </c>
      <c r="F57" s="68">
        <f>D57*E57</f>
        <v>9.0299999999999994</v>
      </c>
      <c r="G57" s="69">
        <f>C57</f>
        <v>2</v>
      </c>
      <c r="H57" s="69">
        <f>F57*G57</f>
        <v>18.059999999999999</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11.15</v>
      </c>
      <c r="S57" s="69">
        <v>5</v>
      </c>
      <c r="T57" s="68">
        <f>R57*S57</f>
        <v>55.75</v>
      </c>
      <c r="U57" s="79">
        <v>3</v>
      </c>
      <c r="V57" s="68">
        <f>R57*U57</f>
        <v>33.450000000000003</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11.15</v>
      </c>
      <c r="E58" s="81">
        <v>4</v>
      </c>
      <c r="F58" s="76">
        <f>D58*E58</f>
        <v>44.6</v>
      </c>
      <c r="G58" s="77">
        <f>C58</f>
        <v>3</v>
      </c>
      <c r="H58" s="77">
        <f>F58*G58</f>
        <v>133.80000000000001</v>
      </c>
      <c r="I58" s="512" t="s">
        <v>97</v>
      </c>
      <c r="J58" s="513"/>
      <c r="K58" s="78" t="s">
        <v>98</v>
      </c>
      <c r="L58" s="78"/>
      <c r="M58" s="7" t="s">
        <v>99</v>
      </c>
      <c r="N58" s="7"/>
      <c r="O58" s="99">
        <f>O57+1</f>
        <v>7</v>
      </c>
      <c r="P58" s="99">
        <f t="shared" si="10"/>
        <v>4</v>
      </c>
      <c r="Q58" s="76">
        <f>P58</f>
        <v>4</v>
      </c>
      <c r="R58" s="77">
        <f>VLOOKUP(Q58,STN_TABLE,2,FALSE)</f>
        <v>11.95</v>
      </c>
      <c r="S58" s="77">
        <v>8</v>
      </c>
      <c r="T58" s="76">
        <f>R58*S58</f>
        <v>95.6</v>
      </c>
      <c r="U58" s="80">
        <v>10</v>
      </c>
      <c r="V58" s="76">
        <f>R58*U58</f>
        <v>119.5</v>
      </c>
      <c r="W58" s="78" t="s">
        <v>97</v>
      </c>
      <c r="X58" s="78"/>
      <c r="Y58" s="78" t="s">
        <v>98</v>
      </c>
      <c r="Z58" s="78"/>
      <c r="AA58" s="7" t="s">
        <v>99</v>
      </c>
      <c r="AB58" s="7"/>
      <c r="AC58" s="99">
        <f>AC53+1</f>
        <v>6</v>
      </c>
      <c r="AD58" s="95">
        <f>VLOOKUP(AC58,STN_TABLE_2,2,FALSE)</f>
        <v>3</v>
      </c>
      <c r="AE58" s="68">
        <f>VLOOKUP(AD58,STN_TABLE,2,FALSE)</f>
        <v>11.15</v>
      </c>
      <c r="AF58" s="68">
        <v>1</v>
      </c>
      <c r="AG58" s="69">
        <f>AE58*AF58</f>
        <v>11.15</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11.95</v>
      </c>
      <c r="E59" s="92">
        <v>1</v>
      </c>
      <c r="F59" s="82">
        <f>D59*E59</f>
        <v>11.95</v>
      </c>
      <c r="G59" s="83">
        <f>C59</f>
        <v>4</v>
      </c>
      <c r="H59" s="83">
        <f>F59*G59</f>
        <v>47.8</v>
      </c>
      <c r="I59" s="84" t="str">
        <f>CONCATENATE("a'(",C59,")=")</f>
        <v>a'(4)=</v>
      </c>
      <c r="J59" s="84">
        <f>2*J57/3*F60</f>
        <v>78.695999999999998</v>
      </c>
      <c r="K59" s="84" t="str">
        <f>CONCATENATE("A(",C57,")=")</f>
        <v>A(2)=</v>
      </c>
      <c r="L59" s="84">
        <f>VLOOKUP(C57,STN_TABLE,3,FALSE)</f>
        <v>42.93</v>
      </c>
      <c r="M59" t="str">
        <f>CONCATENATE("A(",C59,")=")</f>
        <v>A(4)=</v>
      </c>
      <c r="N59">
        <f>J59+L59</f>
        <v>121.626</v>
      </c>
      <c r="O59" s="99">
        <f>O58+1</f>
        <v>8</v>
      </c>
      <c r="P59" s="99">
        <f t="shared" si="10"/>
        <v>5</v>
      </c>
      <c r="Q59" s="82">
        <f>IF(P59-P58=P58-P57,P59,IF(P60-P58=P58-P57,P60,IF(P59-P58=P58-P56,P59,IF(P60-P58=P58-P56,P60,"-"))))</f>
        <v>5</v>
      </c>
      <c r="R59" s="83">
        <f>VLOOKUP(Q59,STN_TABLE,2,FALSE)</f>
        <v>12.22</v>
      </c>
      <c r="S59" s="83">
        <v>-1</v>
      </c>
      <c r="T59" s="82">
        <f>R59*S59</f>
        <v>-12.22</v>
      </c>
      <c r="U59" s="88">
        <v>-1</v>
      </c>
      <c r="V59" s="82">
        <f>R59*U59</f>
        <v>-12.22</v>
      </c>
      <c r="W59" s="84" t="str">
        <f>CONCATENATE("a'(",Q58,")=")</f>
        <v>a'(4)=</v>
      </c>
      <c r="X59" s="84">
        <f>2*X57/12*T60</f>
        <v>41.738999999999997</v>
      </c>
      <c r="Y59" s="84" t="str">
        <f>CONCATENATE("A(",Q57,")=")</f>
        <v>A(3)=</v>
      </c>
      <c r="Z59" s="84">
        <f>VLOOKUP(Q57,STN_TABLE,3,FALSE)</f>
        <v>80.201999999999984</v>
      </c>
      <c r="AA59" t="str">
        <f>CONCATENATE("A(",Q58,")=")</f>
        <v>A(4)=</v>
      </c>
      <c r="AB59">
        <f>X59+Z59</f>
        <v>121.94099999999997</v>
      </c>
      <c r="AC59" s="99">
        <f>AC58+1</f>
        <v>7</v>
      </c>
      <c r="AD59" s="100">
        <f>VLOOKUP(AC59,STN_TABLE_2,2,FALSE)</f>
        <v>4</v>
      </c>
      <c r="AE59" s="82">
        <f>VLOOKUP(AD59,STN_TABLE,2,FALSE)</f>
        <v>11.95</v>
      </c>
      <c r="AF59" s="82">
        <v>2</v>
      </c>
      <c r="AG59" s="83">
        <f>AE59*AF59</f>
        <v>23.9</v>
      </c>
      <c r="AH59" s="84" t="str">
        <f>CONCATENATE("a'(",AD59,")=")</f>
        <v>a'(4)=</v>
      </c>
      <c r="AI59" s="84">
        <f>2*AI57/2*AE60</f>
        <v>41.580000000000005</v>
      </c>
      <c r="AJ59" s="84" t="str">
        <f>CONCATENATE("A(",AD58,")=")</f>
        <v>A(3)=</v>
      </c>
      <c r="AK59" s="84">
        <f>VLOOKUP(AD58,STN_TABLE,3,FALSE)</f>
        <v>80.201999999999984</v>
      </c>
      <c r="AL59" t="str">
        <f>CONCATENATE("A(",AD59,")=")</f>
        <v>A(4)=</v>
      </c>
      <c r="AM59">
        <f>AI59+AK59</f>
        <v>121.78199999999998</v>
      </c>
      <c r="AO59" s="68" t="str">
        <f>AA59</f>
        <v>A(4)=</v>
      </c>
      <c r="AP59" s="68" t="e">
        <f>VLOOKUP(AO59,Rise_Results,2,FALSE)</f>
        <v>#N/A</v>
      </c>
      <c r="AQ59" s="76">
        <f>N59</f>
        <v>121.626</v>
      </c>
      <c r="AR59" s="76">
        <f>IF(OR(AB59&lt;=0,AB60&lt;=0),1/0,AB59)</f>
        <v>121.94099999999997</v>
      </c>
      <c r="AS59" s="76">
        <f>AM59</f>
        <v>121.78199999999998</v>
      </c>
      <c r="AT59">
        <f>IFERROR(AP59,IFERROR(AQ59,IFERROR(AR59,AS59)))</f>
        <v>121.626</v>
      </c>
      <c r="AU59" s="81"/>
    </row>
    <row r="60" spans="1:47" x14ac:dyDescent="0.25">
      <c r="A60" s="84">
        <f>A59+1</f>
        <v>7</v>
      </c>
      <c r="B60" s="84">
        <f t="shared" si="11"/>
        <v>4</v>
      </c>
      <c r="F60" s="82">
        <f>SUM(F57:F59)</f>
        <v>65.58</v>
      </c>
      <c r="H60" s="82">
        <f>SUM(H57:H59)</f>
        <v>199.66000000000003</v>
      </c>
      <c r="I60" s="84" t="str">
        <f>CONCATENATE("m'(",C59,")=")</f>
        <v>m'(4)=</v>
      </c>
      <c r="J60" s="84">
        <f>2*(J57*(WLS))/3*H60</f>
        <v>431.26560000000006</v>
      </c>
      <c r="K60" s="84" t="str">
        <f>CONCATENATE("M(",C57,")=")</f>
        <v>M(2)=</v>
      </c>
      <c r="L60" s="84">
        <f>VLOOKUP(C57,STN_TABLE,4,FALSE)</f>
        <v>90.806399999999996</v>
      </c>
      <c r="M60" t="str">
        <f>CONCATENATE("M(",C59,")=")</f>
        <v>M(4)=</v>
      </c>
      <c r="N60">
        <f>J60+L60</f>
        <v>522.07200000000012</v>
      </c>
      <c r="O60" s="99">
        <f>O59+1</f>
        <v>9</v>
      </c>
      <c r="P60" s="99">
        <f t="shared" si="10"/>
        <v>5.6111111111111107</v>
      </c>
      <c r="T60" s="89">
        <f>SUM(T57:T59)</f>
        <v>139.13</v>
      </c>
      <c r="V60" s="82">
        <f>SUM(V57:V59)</f>
        <v>140.72999999999999</v>
      </c>
      <c r="W60" s="84" t="str">
        <f>CONCATENATE("m'(",Q58,")=")</f>
        <v>m'(4)=</v>
      </c>
      <c r="X60" s="84">
        <f>(2*(X57^2)/24*V60)+(X59*Q57*WLS)</f>
        <v>263.3877</v>
      </c>
      <c r="Y60" s="84" t="str">
        <f>CONCATENATE("M(",Q57,")=")</f>
        <v>M(3)=</v>
      </c>
      <c r="Z60" s="84">
        <f>VLOOKUP(Q57,STN_TABLE,4,FALSE)</f>
        <v>258.41160000000002</v>
      </c>
      <c r="AA60" t="str">
        <f>CONCATENATE("M(",Q58,")=")</f>
        <v>M(4)=</v>
      </c>
      <c r="AB60">
        <f>X60+Z60</f>
        <v>521.79930000000002</v>
      </c>
      <c r="AE60" s="89">
        <f>SUM(AE58:AE59)</f>
        <v>23.1</v>
      </c>
      <c r="AG60" s="89">
        <f>SUM(AG58:AG59)</f>
        <v>35.049999999999997</v>
      </c>
      <c r="AH60" s="84" t="str">
        <f>CONCATENATE("m'(",AD59,")=")</f>
        <v>m'(4)=</v>
      </c>
      <c r="AI60" s="84">
        <f>(2*(AI57^2)/6*AG60)+(AI59*AD58*WLS)</f>
        <v>262.38600000000002</v>
      </c>
      <c r="AJ60" s="84" t="str">
        <f>CONCATENATE("M(",AD58,")=")</f>
        <v>M(3)=</v>
      </c>
      <c r="AK60" s="84">
        <f>VLOOKUP(AD57,STN_TABLE,4,FALSE)</f>
        <v>0</v>
      </c>
      <c r="AL60" t="str">
        <f>CONCATENATE("M(",AD59,")=")</f>
        <v>M(4)=</v>
      </c>
      <c r="AM60">
        <f>AI60+AK60</f>
        <v>262.38600000000002</v>
      </c>
      <c r="AO60" s="82" t="str">
        <f>AA60</f>
        <v>M(4)=</v>
      </c>
      <c r="AP60" s="82" t="e">
        <f>VLOOKUP(AO60,Rise_Results,2,FALSE)</f>
        <v>#N/A</v>
      </c>
      <c r="AQ60" s="82">
        <f>N60</f>
        <v>522.07200000000012</v>
      </c>
      <c r="AR60" s="82">
        <f>IF(OR(AB59&lt;=0,AB60&lt;=0),1/0,AB60)</f>
        <v>521.79930000000002</v>
      </c>
      <c r="AS60" s="82">
        <f>AM60</f>
        <v>262.38600000000002</v>
      </c>
      <c r="AT60">
        <f>IFERROR(AP60,IFERROR(AQ60,IFERROR(AR60,AS60)))</f>
        <v>522.07200000000012</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11.15</v>
      </c>
      <c r="E62" s="102">
        <v>1</v>
      </c>
      <c r="F62" s="68">
        <f>D62*E62</f>
        <v>11.15</v>
      </c>
      <c r="G62" s="69">
        <f>C62</f>
        <v>3</v>
      </c>
      <c r="H62" s="69">
        <f>F62*G62</f>
        <v>33.450000000000003</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11.95</v>
      </c>
      <c r="S62" s="69">
        <v>5</v>
      </c>
      <c r="T62" s="68">
        <f>R62*S62</f>
        <v>59.75</v>
      </c>
      <c r="U62" s="79">
        <v>3</v>
      </c>
      <c r="V62" s="68">
        <f>R62*U62</f>
        <v>35.849999999999994</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11.95</v>
      </c>
      <c r="E63" s="81">
        <v>4</v>
      </c>
      <c r="F63" s="76">
        <f>D63*E63</f>
        <v>47.8</v>
      </c>
      <c r="G63" s="77">
        <f>C63</f>
        <v>4</v>
      </c>
      <c r="H63" s="77">
        <f>F63*G63</f>
        <v>191.2</v>
      </c>
      <c r="I63" s="512" t="s">
        <v>97</v>
      </c>
      <c r="J63" s="513"/>
      <c r="K63" s="78" t="s">
        <v>98</v>
      </c>
      <c r="L63" s="78"/>
      <c r="M63" s="7" t="s">
        <v>99</v>
      </c>
      <c r="N63" s="7"/>
      <c r="O63" s="99">
        <f>O62+1</f>
        <v>8</v>
      </c>
      <c r="P63" s="99">
        <f t="shared" si="10"/>
        <v>5</v>
      </c>
      <c r="Q63" s="76">
        <f>P63</f>
        <v>5</v>
      </c>
      <c r="R63" s="77">
        <f>VLOOKUP(Q63,STN_TABLE,2,FALSE)</f>
        <v>12.22</v>
      </c>
      <c r="S63" s="77">
        <v>8</v>
      </c>
      <c r="T63" s="76">
        <f>R63*S63</f>
        <v>97.76</v>
      </c>
      <c r="U63" s="80">
        <v>10</v>
      </c>
      <c r="V63" s="76">
        <f>R63*U63</f>
        <v>122.2</v>
      </c>
      <c r="W63" s="513" t="s">
        <v>97</v>
      </c>
      <c r="X63" s="513"/>
      <c r="Y63" s="513" t="s">
        <v>98</v>
      </c>
      <c r="Z63" s="513"/>
      <c r="AA63" s="511" t="s">
        <v>99</v>
      </c>
      <c r="AB63" s="511"/>
      <c r="AC63" s="99">
        <f>AC58+1</f>
        <v>7</v>
      </c>
      <c r="AD63" s="95">
        <f>VLOOKUP(AC63,STN_TABLE_2,2,FALSE)</f>
        <v>4</v>
      </c>
      <c r="AE63" s="68">
        <f>VLOOKUP(AD63,STN_TABLE,2,FALSE)</f>
        <v>11.95</v>
      </c>
      <c r="AF63" s="68">
        <v>1</v>
      </c>
      <c r="AG63" s="69">
        <f>AE63*AF63</f>
        <v>11.95</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12.22</v>
      </c>
      <c r="E64" s="92">
        <v>1</v>
      </c>
      <c r="F64" s="82">
        <f>D64*E64</f>
        <v>12.22</v>
      </c>
      <c r="G64" s="83">
        <f>C64</f>
        <v>5</v>
      </c>
      <c r="H64" s="83">
        <f>F64*G64</f>
        <v>61.1</v>
      </c>
      <c r="I64" s="84" t="str">
        <f>CONCATENATE("a'(",C64,")=")</f>
        <v>a'(5)=</v>
      </c>
      <c r="J64" s="84">
        <f>2*J62/3*F65</f>
        <v>85.403999999999996</v>
      </c>
      <c r="K64" s="84" t="str">
        <f>CONCATENATE("A(",C62,")=")</f>
        <v>A(3)=</v>
      </c>
      <c r="L64" s="84">
        <f>VLOOKUP(C62,STN_TABLE,3,FALSE)</f>
        <v>80.201999999999984</v>
      </c>
      <c r="M64" t="str">
        <f>CONCATENATE("A(",C64,")=")</f>
        <v>A(5)=</v>
      </c>
      <c r="N64">
        <f>J64+L64</f>
        <v>165.60599999999999</v>
      </c>
      <c r="O64" s="99">
        <f>O63+1</f>
        <v>9</v>
      </c>
      <c r="P64" s="99">
        <f t="shared" si="10"/>
        <v>5.6111111111111107</v>
      </c>
      <c r="Q64" s="82">
        <f>IF(P64-P63=P63-P62,P64,IF(P65-P63=P63-P62,P65,IF(P64-P63=P63-P61,P64,IF(P65-P63=P63-P61,P65,"-"))))</f>
        <v>6</v>
      </c>
      <c r="R64" s="83">
        <f>VLOOKUP(Q64,STN_TABLE,2,FALSE)</f>
        <v>12.25</v>
      </c>
      <c r="S64" s="83">
        <v>-1</v>
      </c>
      <c r="T64" s="82">
        <f>R64*S64</f>
        <v>-12.25</v>
      </c>
      <c r="U64" s="88">
        <v>-1</v>
      </c>
      <c r="V64" s="82">
        <f>R64*U64</f>
        <v>-12.25</v>
      </c>
      <c r="W64" s="84" t="str">
        <f>CONCATENATE("a'(",Q63,")=")</f>
        <v>a'(5)=</v>
      </c>
      <c r="X64" s="84">
        <f>2*X62/12*T65</f>
        <v>43.577999999999996</v>
      </c>
      <c r="Y64" s="84" t="str">
        <f>CONCATENATE("A(",Q62,")=")</f>
        <v>A(4)=</v>
      </c>
      <c r="Z64" s="84">
        <f>VLOOKUP(Q62,STN_TABLE,3,FALSE)</f>
        <v>121.626</v>
      </c>
      <c r="AA64" t="str">
        <f>CONCATENATE("A(",Q63,")=")</f>
        <v>A(5)=</v>
      </c>
      <c r="AB64">
        <f>X64+Z64</f>
        <v>165.20400000000001</v>
      </c>
      <c r="AC64" s="99">
        <f>AC63+1</f>
        <v>8</v>
      </c>
      <c r="AD64" s="100">
        <f>VLOOKUP(AC64,STN_TABLE_2,2,FALSE)</f>
        <v>5</v>
      </c>
      <c r="AE64" s="82">
        <f>VLOOKUP(AD64,STN_TABLE,2,FALSE)</f>
        <v>12.22</v>
      </c>
      <c r="AF64" s="82">
        <v>2</v>
      </c>
      <c r="AG64" s="83">
        <f>AE64*AF64</f>
        <v>24.44</v>
      </c>
      <c r="AH64" s="84" t="str">
        <f>CONCATENATE("a'(",AD64,")=")</f>
        <v>a'(5)=</v>
      </c>
      <c r="AI64" s="84">
        <f>2*AI62/2*AE65</f>
        <v>43.506000000000007</v>
      </c>
      <c r="AJ64" s="84" t="str">
        <f>CONCATENATE("A(",AD63,")=")</f>
        <v>A(4)=</v>
      </c>
      <c r="AK64" s="84">
        <f>VLOOKUP(AD63,STN_TABLE,3,FALSE)</f>
        <v>121.626</v>
      </c>
      <c r="AL64" t="str">
        <f>CONCATENATE("A(",AD64,")=")</f>
        <v>A(5)=</v>
      </c>
      <c r="AM64">
        <f>AI64+AK64</f>
        <v>165.13200000000001</v>
      </c>
      <c r="AO64" s="68" t="str">
        <f>AA64</f>
        <v>A(5)=</v>
      </c>
      <c r="AP64" s="68" t="e">
        <f>VLOOKUP(AO64,Rise_Results,2,FALSE)</f>
        <v>#N/A</v>
      </c>
      <c r="AQ64" s="76">
        <f>N64</f>
        <v>165.60599999999999</v>
      </c>
      <c r="AR64" s="76">
        <f>IF(OR(AB64&lt;=0,AB65&lt;=0),1/0,AB64)</f>
        <v>165.20400000000001</v>
      </c>
      <c r="AS64" s="76">
        <f>AM64</f>
        <v>165.13200000000001</v>
      </c>
      <c r="AT64">
        <f>IFERROR(AP64,IFERROR(AQ64,IFERROR(AR64,AS64)))</f>
        <v>165.60599999999999</v>
      </c>
      <c r="AU64" s="81"/>
    </row>
    <row r="65" spans="1:47" x14ac:dyDescent="0.25">
      <c r="A65" s="84">
        <f>A64+1</f>
        <v>8</v>
      </c>
      <c r="B65" s="84">
        <f t="shared" si="11"/>
        <v>5</v>
      </c>
      <c r="F65" s="82">
        <f>SUM(F62:F64)</f>
        <v>71.17</v>
      </c>
      <c r="H65" s="82">
        <f>SUM(H62:H64)</f>
        <v>285.75</v>
      </c>
      <c r="I65" s="84" t="str">
        <f>CONCATENATE("m'(",C64,")=")</f>
        <v>m'(5)=</v>
      </c>
      <c r="J65" s="84">
        <f>2*(J62*(WLS))/3*H65</f>
        <v>617.22</v>
      </c>
      <c r="K65" s="84" t="str">
        <f>CONCATENATE("M(",C62,")=")</f>
        <v>M(3)=</v>
      </c>
      <c r="L65" s="84">
        <f>VLOOKUP(C62,STN_TABLE,4,FALSE)</f>
        <v>258.41160000000002</v>
      </c>
      <c r="M65" t="str">
        <f>CONCATENATE("M(",C64,")=")</f>
        <v>M(5)=</v>
      </c>
      <c r="N65">
        <f>J65+L65</f>
        <v>875.63160000000005</v>
      </c>
      <c r="O65" s="99">
        <f>O64+1</f>
        <v>10</v>
      </c>
      <c r="P65" s="99">
        <f t="shared" si="10"/>
        <v>6</v>
      </c>
      <c r="T65" s="89">
        <f>SUM(T62:T64)</f>
        <v>145.26</v>
      </c>
      <c r="V65" s="82">
        <f>SUM(V62:V64)</f>
        <v>145.80000000000001</v>
      </c>
      <c r="W65" s="84" t="str">
        <f>CONCATENATE("m'(",Q63,")=")</f>
        <v>m'(5)=</v>
      </c>
      <c r="X65" s="84">
        <f>(2*(X62^2)/24*V65)+(X64*Q62*WLS)</f>
        <v>353.12759999999997</v>
      </c>
      <c r="Y65" s="84" t="str">
        <f>CONCATENATE("M(",Q62,")=")</f>
        <v>M(4)=</v>
      </c>
      <c r="Z65" s="84">
        <f>VLOOKUP(Q62,STN_TABLE,4,FALSE)</f>
        <v>522.07200000000012</v>
      </c>
      <c r="AA65" t="str">
        <f>CONCATENATE("M(",Q63,")=")</f>
        <v>M(5)=</v>
      </c>
      <c r="AB65">
        <f>X65+Z65</f>
        <v>875.19960000000015</v>
      </c>
      <c r="AE65" s="89">
        <f>SUM(AE63:AE64)</f>
        <v>24.17</v>
      </c>
      <c r="AG65" s="89">
        <f>SUM(AG63:AG64)</f>
        <v>36.39</v>
      </c>
      <c r="AH65" s="84" t="str">
        <f>CONCATENATE("m'(",AD64,")=")</f>
        <v>m'(5)=</v>
      </c>
      <c r="AI65" s="84">
        <f>(2*(AI62^2)/6*AG65)+(AI64*AD63*WLS)</f>
        <v>352.54440000000005</v>
      </c>
      <c r="AJ65" s="84" t="str">
        <f>CONCATENATE("M(",AD63,")=")</f>
        <v>M(4)=</v>
      </c>
      <c r="AK65" s="84">
        <f>VLOOKUP(AD63,STN_TABLE,4,FALSE)</f>
        <v>522.07200000000012</v>
      </c>
      <c r="AL65" t="str">
        <f>CONCATENATE("M(",AD64,")=")</f>
        <v>M(5)=</v>
      </c>
      <c r="AM65">
        <f>AI65+AK65</f>
        <v>874.61640000000011</v>
      </c>
      <c r="AO65" s="82" t="str">
        <f>AA65</f>
        <v>M(5)=</v>
      </c>
      <c r="AP65" s="82" t="e">
        <f>VLOOKUP(AO65,Rise_Results,2,FALSE)</f>
        <v>#N/A</v>
      </c>
      <c r="AQ65" s="82">
        <f>N65</f>
        <v>875.63160000000005</v>
      </c>
      <c r="AR65" s="82">
        <f>IF(OR(AB64&lt;=0,AB65&lt;=0),1/0,AB65)</f>
        <v>875.19960000000015</v>
      </c>
      <c r="AS65" s="82">
        <f>AM65</f>
        <v>874.61640000000011</v>
      </c>
      <c r="AT65">
        <f>IFERROR(AP65,IFERROR(AQ65,IFERROR(AR65,AS65)))</f>
        <v>875.63160000000005</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12.25</v>
      </c>
      <c r="S68" s="77">
        <v>8</v>
      </c>
      <c r="T68" s="76">
        <f>R68*S68</f>
        <v>98</v>
      </c>
      <c r="U68" s="80">
        <v>10</v>
      </c>
      <c r="V68" s="76">
        <f>R68*U68</f>
        <v>122.5</v>
      </c>
      <c r="W68" s="513" t="s">
        <v>97</v>
      </c>
      <c r="X68" s="513"/>
      <c r="Y68" s="513" t="s">
        <v>98</v>
      </c>
      <c r="Z68" s="513"/>
      <c r="AA68" s="511" t="s">
        <v>99</v>
      </c>
      <c r="AB68" s="511"/>
      <c r="AC68" s="99">
        <f>AC63+1</f>
        <v>8</v>
      </c>
      <c r="AD68" s="95">
        <f>VLOOKUP(AC68,STN_TABLE_2,2,FALSE)</f>
        <v>5</v>
      </c>
      <c r="AE68" s="68">
        <f>VLOOKUP(AD68,STN_TABLE,2,FALSE)</f>
        <v>12.22</v>
      </c>
      <c r="AF68" s="68">
        <v>1</v>
      </c>
      <c r="AG68" s="69">
        <f>AE68*AF68</f>
        <v>12.22</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12.25</v>
      </c>
      <c r="E69" s="92">
        <v>1</v>
      </c>
      <c r="F69" s="82">
        <f>D69*E69</f>
        <v>12.25</v>
      </c>
      <c r="G69" s="83">
        <f>C69</f>
        <v>5.6111111111111107</v>
      </c>
      <c r="H69" s="83">
        <f>F69*G69</f>
        <v>68.7361111111111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12.25</v>
      </c>
      <c r="AF69" s="82">
        <v>2</v>
      </c>
      <c r="AG69" s="83">
        <f>AE69*AF69</f>
        <v>24.5</v>
      </c>
      <c r="AH69" s="84" t="str">
        <f>CONCATENATE("a'(",AD69,")=")</f>
        <v>a'(5.61111111111111)=</v>
      </c>
      <c r="AI69" s="84">
        <f>2*AI67/2*AE70</f>
        <v>26.916999999999984</v>
      </c>
      <c r="AJ69" s="84" t="str">
        <f>CONCATENATE("A(",AD68,")=")</f>
        <v>A(5)=</v>
      </c>
      <c r="AK69" s="84">
        <f>VLOOKUP(AD68,STN_TABLE,3,FALSE)</f>
        <v>165.60599999999999</v>
      </c>
      <c r="AL69" t="str">
        <f>CONCATENATE("A(",AD69,")=")</f>
        <v>A(5.61111111111111)=</v>
      </c>
      <c r="AM69">
        <f>AI69+AK69</f>
        <v>192.52299999999997</v>
      </c>
      <c r="AO69" s="68" t="str">
        <f>AA69</f>
        <v>A(5.61111111111111)=</v>
      </c>
      <c r="AP69" s="68" t="e">
        <f>VLOOKUP(AO69,Rise_Results,2,FALSE)</f>
        <v>#N/A</v>
      </c>
      <c r="AQ69" s="76" t="e">
        <f>N69</f>
        <v>#N/A</v>
      </c>
      <c r="AR69" s="76" t="e">
        <f>IF(OR(AB69&lt;=0,AB70&lt;=0),1/0,AB69)</f>
        <v>#VALUE!</v>
      </c>
      <c r="AS69" s="76">
        <f>AM69</f>
        <v>192.52299999999997</v>
      </c>
      <c r="AT69">
        <f>IFERROR(AP69,IFERROR(AQ69,IFERROR(AR69,AS69)))</f>
        <v>192.52299999999997</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24.47</v>
      </c>
      <c r="AG70" s="89">
        <f>SUM(AG68:AG69)</f>
        <v>36.72</v>
      </c>
      <c r="AH70" s="84" t="str">
        <f>CONCATENATE("m'(",AD69,")=")</f>
        <v>m'(5.61111111111111)=</v>
      </c>
      <c r="AI70" s="84">
        <f>(2*(AI67^2)/6*AG70)+(AI69*AD68*WLS)</f>
        <v>257.06339999999983</v>
      </c>
      <c r="AJ70" s="84" t="str">
        <f>CONCATENATE("M(",AD68,")=")</f>
        <v>M(5)=</v>
      </c>
      <c r="AK70" s="84">
        <f>VLOOKUP(AD68,STN_TABLE,4,FALSE)</f>
        <v>875.63160000000005</v>
      </c>
      <c r="AL70" t="str">
        <f>CONCATENATE("M(",AD69,")=")</f>
        <v>M(5.61111111111111)=</v>
      </c>
      <c r="AM70">
        <f>AI70+AK70</f>
        <v>1132.6949999999999</v>
      </c>
      <c r="AO70" s="82" t="str">
        <f>AA70</f>
        <v>M(5.61111111111111)=</v>
      </c>
      <c r="AP70" s="82" t="e">
        <f>VLOOKUP(AO70,Rise_Results,2,FALSE)</f>
        <v>#N/A</v>
      </c>
      <c r="AQ70" s="82" t="e">
        <f>N70</f>
        <v>#N/A</v>
      </c>
      <c r="AR70" s="82" t="e">
        <f>IF(OR(AB69&lt;=0,AB70&lt;=0),1/0,AB70)</f>
        <v>#VALUE!</v>
      </c>
      <c r="AS70" s="82">
        <f>AM70</f>
        <v>1132.6949999999999</v>
      </c>
      <c r="AT70">
        <f>IFERROR(AP70,IFERROR(AQ70,IFERROR(AR70,AS70)))</f>
        <v>1132.6949999999999</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11.95</v>
      </c>
      <c r="E72" s="102">
        <v>1</v>
      </c>
      <c r="F72" s="68">
        <f>D72*E72</f>
        <v>11.95</v>
      </c>
      <c r="G72" s="69">
        <f>C72</f>
        <v>4</v>
      </c>
      <c r="H72" s="69">
        <f>F72*G72</f>
        <v>47.8</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12.22</v>
      </c>
      <c r="S72" s="69">
        <v>5</v>
      </c>
      <c r="T72" s="68">
        <f>R72*S72</f>
        <v>61.1</v>
      </c>
      <c r="U72" s="79">
        <v>3</v>
      </c>
      <c r="V72" s="68">
        <f>R72*U72</f>
        <v>36.660000000000004</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12.22</v>
      </c>
      <c r="E73" s="81">
        <v>4</v>
      </c>
      <c r="F73" s="76">
        <f>D73*E73</f>
        <v>48.88</v>
      </c>
      <c r="G73" s="77">
        <f>C73</f>
        <v>5</v>
      </c>
      <c r="H73" s="77">
        <f>F73*G73</f>
        <v>244.4</v>
      </c>
      <c r="I73" s="512" t="s">
        <v>97</v>
      </c>
      <c r="J73" s="513"/>
      <c r="K73" s="78" t="s">
        <v>98</v>
      </c>
      <c r="L73" s="78"/>
      <c r="M73" s="7" t="s">
        <v>99</v>
      </c>
      <c r="N73" s="7"/>
      <c r="O73" s="99">
        <f>O72+1</f>
        <v>10</v>
      </c>
      <c r="P73" s="99">
        <f t="shared" si="23"/>
        <v>6</v>
      </c>
      <c r="Q73" s="76">
        <f>P73</f>
        <v>6</v>
      </c>
      <c r="R73" s="77">
        <f>VLOOKUP(Q73,STN_TABLE,2,FALSE)</f>
        <v>12.25</v>
      </c>
      <c r="S73" s="77">
        <v>8</v>
      </c>
      <c r="T73" s="76">
        <f>R73*S73</f>
        <v>98</v>
      </c>
      <c r="U73" s="80">
        <v>10</v>
      </c>
      <c r="V73" s="76">
        <f>R73*U73</f>
        <v>122.5</v>
      </c>
      <c r="W73" s="513" t="s">
        <v>97</v>
      </c>
      <c r="X73" s="513"/>
      <c r="Y73" s="513" t="s">
        <v>98</v>
      </c>
      <c r="Z73" s="513"/>
      <c r="AA73" s="511" t="s">
        <v>99</v>
      </c>
      <c r="AB73" s="511"/>
      <c r="AC73" s="99">
        <f>AC68+1</f>
        <v>9</v>
      </c>
      <c r="AD73" s="95">
        <f>VLOOKUP(AC73,STN_TABLE_2,2,FALSE)</f>
        <v>5.6111111111111107</v>
      </c>
      <c r="AE73" s="68">
        <f>VLOOKUP(AD73,STN_TABLE,2,FALSE)</f>
        <v>12.25</v>
      </c>
      <c r="AF73" s="68">
        <v>1</v>
      </c>
      <c r="AG73" s="69">
        <f>AE73*AF73</f>
        <v>12.25</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12.25</v>
      </c>
      <c r="E74" s="92">
        <v>1</v>
      </c>
      <c r="F74" s="82">
        <f>D74*E74</f>
        <v>12.25</v>
      </c>
      <c r="G74" s="83">
        <f>C74</f>
        <v>6</v>
      </c>
      <c r="H74" s="83">
        <f>F74*G74</f>
        <v>73.5</v>
      </c>
      <c r="I74" s="84" t="str">
        <f>CONCATENATE("a'(",C74,")=")</f>
        <v>a'(6)=</v>
      </c>
      <c r="J74" s="84">
        <f>2*J72/3*F75</f>
        <v>87.695999999999998</v>
      </c>
      <c r="K74" s="84" t="str">
        <f>CONCATENATE("A(",C72,")=")</f>
        <v>A(4)=</v>
      </c>
      <c r="L74" s="84">
        <f>VLOOKUP(C72,STN_TABLE,3,FALSE)</f>
        <v>121.626</v>
      </c>
      <c r="M74" t="str">
        <f>CONCATENATE("A(",C74,")=")</f>
        <v>A(6)=</v>
      </c>
      <c r="N74">
        <f>J74+L74</f>
        <v>209.322</v>
      </c>
      <c r="O74" s="99">
        <f>O73+1</f>
        <v>11</v>
      </c>
      <c r="P74" s="99">
        <f t="shared" si="23"/>
        <v>7</v>
      </c>
      <c r="Q74" s="82">
        <f>IF(P74-P73=P73-P72,P74,IF(P75-P73=P73-P72,P75,IF(P74-P73=P73-P71,P74,IF(P75-P73=P73-P71,P75,"-"))))</f>
        <v>7</v>
      </c>
      <c r="R74" s="83">
        <f>VLOOKUP(Q74,STN_TABLE,2,FALSE)</f>
        <v>12.25</v>
      </c>
      <c r="S74" s="83">
        <v>-1</v>
      </c>
      <c r="T74" s="82">
        <f>R74*S74</f>
        <v>-12.25</v>
      </c>
      <c r="U74" s="88">
        <v>-1</v>
      </c>
      <c r="V74" s="82">
        <f>R74*U74</f>
        <v>-12.25</v>
      </c>
      <c r="W74" s="84" t="str">
        <f>CONCATENATE("a'(",Q73,")=")</f>
        <v>a'(6)=</v>
      </c>
      <c r="X74" s="84">
        <f>2*X72/12*T75</f>
        <v>44.055</v>
      </c>
      <c r="Y74" s="84" t="str">
        <f>CONCATENATE("A(",Q72,")=")</f>
        <v>A(5)=</v>
      </c>
      <c r="Z74" s="84">
        <f>VLOOKUP(Q72,STN_TABLE,3,FALSE)</f>
        <v>165.60599999999999</v>
      </c>
      <c r="AA74" t="str">
        <f>CONCATENATE("A(",Q73,")=")</f>
        <v>A(6)=</v>
      </c>
      <c r="AB74">
        <f>X74+Z74</f>
        <v>209.661</v>
      </c>
      <c r="AC74" s="99">
        <f>AC73+1</f>
        <v>10</v>
      </c>
      <c r="AD74" s="100">
        <f>VLOOKUP(AC74,STN_TABLE_2,2,FALSE)</f>
        <v>6</v>
      </c>
      <c r="AE74" s="82">
        <f>VLOOKUP(AD74,STN_TABLE,2,FALSE)</f>
        <v>12.25</v>
      </c>
      <c r="AF74" s="82">
        <v>2</v>
      </c>
      <c r="AG74" s="83">
        <f>AE74*AF74</f>
        <v>24.5</v>
      </c>
      <c r="AH74" s="84" t="str">
        <f>CONCATENATE("a'(",AD74,")=")</f>
        <v>a'(6)=</v>
      </c>
      <c r="AI74" s="84">
        <f>2*AI72/2*AE75</f>
        <v>17.150000000000016</v>
      </c>
      <c r="AJ74" s="84" t="str">
        <f>CONCATENATE("A(",AD73,")=")</f>
        <v>A(5.61111111111111)=</v>
      </c>
      <c r="AK74" s="84">
        <f>VLOOKUP(AD73,STN_TABLE,3,FALSE)</f>
        <v>192.52299999999997</v>
      </c>
      <c r="AL74" t="str">
        <f>CONCATENATE("A(",AD74,")=")</f>
        <v>A(6)=</v>
      </c>
      <c r="AM74">
        <f>AI74+AK74</f>
        <v>209.67299999999997</v>
      </c>
      <c r="AO74" s="68" t="str">
        <f>AA74</f>
        <v>A(6)=</v>
      </c>
      <c r="AP74" s="68" t="e">
        <f>VLOOKUP(AO74,Rise_Results,2,FALSE)</f>
        <v>#N/A</v>
      </c>
      <c r="AQ74" s="76">
        <f>N74</f>
        <v>209.322</v>
      </c>
      <c r="AR74" s="76">
        <f>IF(OR(AB74&lt;=0,AB75&lt;=0),1/0,AB74)</f>
        <v>209.661</v>
      </c>
      <c r="AS74" s="76">
        <f>AM74</f>
        <v>209.67299999999997</v>
      </c>
      <c r="AT74">
        <f>IFERROR(AP74,IFERROR(AQ74,IFERROR(AR74,AS74)))</f>
        <v>209.322</v>
      </c>
      <c r="AU74" s="81"/>
    </row>
    <row r="75" spans="1:47" x14ac:dyDescent="0.25">
      <c r="A75" s="84">
        <f>A74+1</f>
        <v>10</v>
      </c>
      <c r="B75" s="84">
        <f t="shared" si="27"/>
        <v>6</v>
      </c>
      <c r="F75" s="82">
        <f>SUM(F72:F74)</f>
        <v>73.08</v>
      </c>
      <c r="H75" s="82">
        <f>SUM(H72:H74)</f>
        <v>365.7</v>
      </c>
      <c r="I75" s="84" t="str">
        <f>CONCATENATE("m'(",C74,")=")</f>
        <v>m'(6)=</v>
      </c>
      <c r="J75" s="84">
        <f>2*(J72*(WLS))/3*H75</f>
        <v>789.91200000000003</v>
      </c>
      <c r="K75" s="84" t="str">
        <f>CONCATENATE("M(",C72,")=")</f>
        <v>M(4)=</v>
      </c>
      <c r="L75" s="84">
        <f>VLOOKUP(C72,STN_TABLE,4,FALSE)</f>
        <v>522.07200000000012</v>
      </c>
      <c r="M75" t="str">
        <f>CONCATENATE("M(",C74,")=")</f>
        <v>M(6)=</v>
      </c>
      <c r="N75">
        <f>J75+L75</f>
        <v>1311.9840000000002</v>
      </c>
      <c r="O75" s="99">
        <f>O74+1</f>
        <v>12</v>
      </c>
      <c r="P75" s="99">
        <f t="shared" si="23"/>
        <v>7.8833333333333329</v>
      </c>
      <c r="T75" s="89">
        <f>SUM(T72:T74)</f>
        <v>146.85</v>
      </c>
      <c r="V75" s="82">
        <f>SUM(V72:V74)</f>
        <v>146.91</v>
      </c>
      <c r="W75" s="84" t="str">
        <f>CONCATENATE("m'(",Q73,")=")</f>
        <v>m'(6)=</v>
      </c>
      <c r="X75" s="84">
        <f>(2*(X72^2)/24*V75)+(X74*Q72*WLS)</f>
        <v>436.16070000000002</v>
      </c>
      <c r="Y75" s="84" t="str">
        <f>CONCATENATE("M(",Q72,")=")</f>
        <v>M(5)=</v>
      </c>
      <c r="Z75" s="84">
        <f>VLOOKUP(Q72,STN_TABLE,4,FALSE)</f>
        <v>875.63160000000005</v>
      </c>
      <c r="AA75" t="str">
        <f>CONCATENATE("M(",Q73,")=")</f>
        <v>M(6)=</v>
      </c>
      <c r="AB75">
        <f>X75+Z75</f>
        <v>1311.7923000000001</v>
      </c>
      <c r="AE75" s="89">
        <f>SUM(AE73:AE74)</f>
        <v>24.5</v>
      </c>
      <c r="AG75" s="89">
        <f>SUM(AG73:AG74)</f>
        <v>36.75</v>
      </c>
      <c r="AH75" s="84" t="str">
        <f>CONCATENATE("m'(",AD74,")=")</f>
        <v>m'(6)=</v>
      </c>
      <c r="AI75" s="84">
        <f>(2*(AI72^2)/6*AG75)+(AI74*AD73*WLS)</f>
        <v>179.21750000000017</v>
      </c>
      <c r="AJ75" s="84" t="str">
        <f>CONCATENATE("M(",AD73,")=")</f>
        <v>M(5.61111111111111)=</v>
      </c>
      <c r="AK75" s="84">
        <f>VLOOKUP(AD73,STN_TABLE,4,FALSE)</f>
        <v>1132.6949999999999</v>
      </c>
      <c r="AL75" t="str">
        <f>CONCATENATE("M(",AD74,")=")</f>
        <v>M(6)=</v>
      </c>
      <c r="AM75">
        <f>AI75+AK75</f>
        <v>1311.9125000000001</v>
      </c>
      <c r="AO75" s="82" t="str">
        <f>AA75</f>
        <v>M(6)=</v>
      </c>
      <c r="AP75" s="82" t="e">
        <f>VLOOKUP(AO75,Rise_Results,2,FALSE)</f>
        <v>#N/A</v>
      </c>
      <c r="AQ75" s="82">
        <f>N75</f>
        <v>1311.9840000000002</v>
      </c>
      <c r="AR75" s="82">
        <f>IF(OR(AB74&lt;=0,AB75&lt;=0),1/0,AB75)</f>
        <v>1311.7923000000001</v>
      </c>
      <c r="AS75" s="82">
        <f>AM75</f>
        <v>1311.9125000000001</v>
      </c>
      <c r="AT75">
        <f>IFERROR(AP75,IFERROR(AQ75,IFERROR(AR75,AS75)))</f>
        <v>1311.9840000000002</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12.22</v>
      </c>
      <c r="E77" s="102">
        <v>1</v>
      </c>
      <c r="F77" s="68">
        <f>D77*E77</f>
        <v>12.22</v>
      </c>
      <c r="G77" s="69">
        <f>C77</f>
        <v>5</v>
      </c>
      <c r="H77" s="69">
        <f>F77*G77</f>
        <v>61.1</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12.25</v>
      </c>
      <c r="E78" s="81">
        <v>4</v>
      </c>
      <c r="F78" s="76">
        <f>D78*E78</f>
        <v>49</v>
      </c>
      <c r="G78" s="77">
        <f>C78</f>
        <v>6</v>
      </c>
      <c r="H78" s="77">
        <f>F78*G78</f>
        <v>294</v>
      </c>
      <c r="I78" s="512" t="s">
        <v>97</v>
      </c>
      <c r="J78" s="513"/>
      <c r="K78" s="78" t="s">
        <v>98</v>
      </c>
      <c r="L78" s="78"/>
      <c r="M78" s="7" t="s">
        <v>99</v>
      </c>
      <c r="N78" s="7"/>
      <c r="O78" s="99">
        <f>O77+1</f>
        <v>11</v>
      </c>
      <c r="P78" s="99">
        <f t="shared" si="23"/>
        <v>7</v>
      </c>
      <c r="Q78" s="76">
        <f>P78</f>
        <v>7</v>
      </c>
      <c r="R78" s="77">
        <f>VLOOKUP(Q78,STN_TABLE,2,FALSE)</f>
        <v>12.25</v>
      </c>
      <c r="S78" s="77">
        <v>8</v>
      </c>
      <c r="T78" s="76">
        <f>R78*S78</f>
        <v>98</v>
      </c>
      <c r="U78" s="80">
        <v>10</v>
      </c>
      <c r="V78" s="76">
        <f>R78*U78</f>
        <v>122.5</v>
      </c>
      <c r="W78" s="513" t="s">
        <v>97</v>
      </c>
      <c r="X78" s="513"/>
      <c r="Y78" s="513" t="s">
        <v>98</v>
      </c>
      <c r="Z78" s="513"/>
      <c r="AA78" s="511" t="s">
        <v>99</v>
      </c>
      <c r="AB78" s="511"/>
      <c r="AC78" s="99">
        <f>AC73+1</f>
        <v>10</v>
      </c>
      <c r="AD78" s="95">
        <f>VLOOKUP(AC78,STN_TABLE_2,2,FALSE)</f>
        <v>6</v>
      </c>
      <c r="AE78" s="68">
        <f>VLOOKUP(AD78,STN_TABLE,2,FALSE)</f>
        <v>12.25</v>
      </c>
      <c r="AF78" s="68">
        <v>1</v>
      </c>
      <c r="AG78" s="69">
        <f>AE78*AF78</f>
        <v>12.25</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12.25</v>
      </c>
      <c r="E79" s="92">
        <v>1</v>
      </c>
      <c r="F79" s="82">
        <f>D79*E79</f>
        <v>12.25</v>
      </c>
      <c r="G79" s="83">
        <f>C79</f>
        <v>7</v>
      </c>
      <c r="H79" s="83">
        <f>F79*G79</f>
        <v>85.75</v>
      </c>
      <c r="I79" s="84" t="str">
        <f>CONCATENATE("a'(",C79,")=")</f>
        <v>a'(7)=</v>
      </c>
      <c r="J79" s="84">
        <f>2*J77/3*F80</f>
        <v>88.164000000000001</v>
      </c>
      <c r="K79" s="84" t="str">
        <f>CONCATENATE("A(",C77,")=")</f>
        <v>A(5)=</v>
      </c>
      <c r="L79" s="84">
        <f>VLOOKUP(C77,STN_TABLE,3,FALSE)</f>
        <v>165.60599999999999</v>
      </c>
      <c r="M79" t="str">
        <f>CONCATENATE("A(",C79,")=")</f>
        <v>A(7)=</v>
      </c>
      <c r="N79">
        <f>J79+L79</f>
        <v>253.76999999999998</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12.25</v>
      </c>
      <c r="AF79" s="82">
        <v>2</v>
      </c>
      <c r="AG79" s="83">
        <f>AE79*AF79</f>
        <v>24.5</v>
      </c>
      <c r="AH79" s="84" t="str">
        <f>CONCATENATE("a'(",AD79,")=")</f>
        <v>a'(7)=</v>
      </c>
      <c r="AI79" s="84">
        <f>2*AI77/2*AE80</f>
        <v>44.1</v>
      </c>
      <c r="AJ79" s="84" t="str">
        <f>CONCATENATE("A(",AD78,")=")</f>
        <v>A(6)=</v>
      </c>
      <c r="AK79" s="84">
        <f>VLOOKUP(AD78,STN_TABLE,3,FALSE)</f>
        <v>209.322</v>
      </c>
      <c r="AL79" t="str">
        <f>CONCATENATE("A(",AD79,")=")</f>
        <v>A(7)=</v>
      </c>
      <c r="AM79">
        <f>AI79+AK79</f>
        <v>253.422</v>
      </c>
      <c r="AO79" s="68" t="str">
        <f>AA79</f>
        <v>A(7)=</v>
      </c>
      <c r="AP79" s="68" t="e">
        <f>VLOOKUP(AO79,Rise_Results,2,FALSE)</f>
        <v>#N/A</v>
      </c>
      <c r="AQ79" s="76">
        <f>N79</f>
        <v>253.76999999999998</v>
      </c>
      <c r="AR79" s="76" t="e">
        <f>IF(OR(AB79&lt;=0,AB80&lt;=0),1/0,AB79)</f>
        <v>#VALUE!</v>
      </c>
      <c r="AS79" s="76">
        <f>AM79</f>
        <v>253.422</v>
      </c>
      <c r="AT79">
        <f>IFERROR(AP79,IFERROR(AQ79,IFERROR(AR79,AS79)))</f>
        <v>253.76999999999998</v>
      </c>
      <c r="AU79" s="81"/>
    </row>
    <row r="80" spans="1:47" x14ac:dyDescent="0.25">
      <c r="A80" s="84">
        <f>A79+1</f>
        <v>11</v>
      </c>
      <c r="B80" s="84">
        <f t="shared" si="27"/>
        <v>7</v>
      </c>
      <c r="F80" s="82">
        <f>SUM(F77:F79)</f>
        <v>73.47</v>
      </c>
      <c r="H80" s="82">
        <f>SUM(H77:H79)</f>
        <v>440.85</v>
      </c>
      <c r="I80" s="84" t="str">
        <f>CONCATENATE("m'(",C79,")=")</f>
        <v>m'(7)=</v>
      </c>
      <c r="J80" s="84">
        <f>2*(J77*(WLS))/3*H80</f>
        <v>952.2360000000001</v>
      </c>
      <c r="K80" s="84" t="str">
        <f>CONCATENATE("M(",C77,")=")</f>
        <v>M(5)=</v>
      </c>
      <c r="L80" s="84">
        <f>VLOOKUP(C77,STN_TABLE,4,FALSE)</f>
        <v>875.63160000000005</v>
      </c>
      <c r="M80" t="str">
        <f>CONCATENATE("M(",C79,")=")</f>
        <v>M(7)=</v>
      </c>
      <c r="N80">
        <f>J80+L80</f>
        <v>1827.8676</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24.5</v>
      </c>
      <c r="AG80" s="89">
        <f>SUM(AG78:AG79)</f>
        <v>36.75</v>
      </c>
      <c r="AH80" s="84" t="str">
        <f>CONCATENATE("m'(",AD79,")=")</f>
        <v>m'(7)=</v>
      </c>
      <c r="AI80" s="84">
        <f>(2*(AI77^2)/6*AG80)+(AI79*AD78*WLS)</f>
        <v>515.97</v>
      </c>
      <c r="AJ80" s="84" t="str">
        <f>CONCATENATE("M(",AD78,")=")</f>
        <v>M(6)=</v>
      </c>
      <c r="AK80" s="84">
        <f>VLOOKUP(AD78,STN_TABLE,4,FALSE)</f>
        <v>1311.9840000000002</v>
      </c>
      <c r="AL80" t="str">
        <f>CONCATENATE("M(",AD79,")=")</f>
        <v>M(7)=</v>
      </c>
      <c r="AM80">
        <f>AI80+AK80</f>
        <v>1827.9540000000002</v>
      </c>
      <c r="AO80" s="82" t="str">
        <f>AA80</f>
        <v>M(7)=</v>
      </c>
      <c r="AP80" s="82" t="e">
        <f>VLOOKUP(AO80,Rise_Results,2,FALSE)</f>
        <v>#N/A</v>
      </c>
      <c r="AQ80" s="82">
        <f>N80</f>
        <v>1827.8676</v>
      </c>
      <c r="AR80" s="82" t="e">
        <f>IF(OR(AB79&lt;=0,AB80&lt;=0),1/0,AB80)</f>
        <v>#VALUE!</v>
      </c>
      <c r="AS80" s="82">
        <f>AM80</f>
        <v>1827.9540000000002</v>
      </c>
      <c r="AT80">
        <f>IFERROR(AP80,IFERROR(AQ80,IFERROR(AR80,AS80)))</f>
        <v>1827.8676</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12.25</v>
      </c>
      <c r="AF83" s="68">
        <v>1</v>
      </c>
      <c r="AG83" s="69">
        <f>AE83*AF83</f>
        <v>12.25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38.954999999999977</v>
      </c>
      <c r="AJ84" s="84" t="str">
        <f>CONCATENATE("A(",AD83,")=")</f>
        <v>A(7)=</v>
      </c>
      <c r="AK84" s="84">
        <f>VLOOKUP(AD83,STN_TABLE,3,FALSE)</f>
        <v>253.76999999999998</v>
      </c>
      <c r="AL84" t="str">
        <f>CONCATENATE("A(",AD84,")=")</f>
        <v>A(7.88333333333333)=</v>
      </c>
      <c r="AM84">
        <f>AI84+AK84</f>
        <v>292.72499999999997</v>
      </c>
      <c r="AO84" s="68" t="str">
        <f>AA84</f>
        <v>A(7.88333333333333)=</v>
      </c>
      <c r="AP84" s="68" t="e">
        <f>VLOOKUP(AO84,Rise_Results,2,FALSE)</f>
        <v>#N/A</v>
      </c>
      <c r="AQ84" s="76" t="e">
        <f>N84</f>
        <v>#N/A</v>
      </c>
      <c r="AR84" s="76" t="e">
        <f>IF(OR(AB84&lt;=0,AB85&lt;=0),1/0,AB84)</f>
        <v>#VALUE!</v>
      </c>
      <c r="AS84" s="76">
        <f>AM84</f>
        <v>292.72499999999997</v>
      </c>
      <c r="AT84">
        <f>IFERROR(AP84,IFERROR(AQ84,IFERROR(AR84,AS84)))</f>
        <v>292.72499999999997</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24.5</v>
      </c>
      <c r="AG85" s="89">
        <f>SUM(AG83:AG84)</f>
        <v>36.75</v>
      </c>
      <c r="AH85" s="84" t="str">
        <f>CONCATENATE("m'(",AD84,")=")</f>
        <v>m'(7.88333333333333)=</v>
      </c>
      <c r="AI85" s="84">
        <f>(2*(AI82^2)/6*AG85)+(AI84*AD83*WLS)</f>
        <v>521.80222499999968</v>
      </c>
      <c r="AJ85" s="84" t="str">
        <f>CONCATENATE("M(",AD83,")=")</f>
        <v>M(7)=</v>
      </c>
      <c r="AK85" s="84">
        <f>VLOOKUP(AD83,STN_TABLE,4,FALSE)</f>
        <v>1827.8676</v>
      </c>
      <c r="AL85" t="str">
        <f>CONCATENATE("M(",AD84,")=")</f>
        <v>M(7.88333333333333)=</v>
      </c>
      <c r="AM85">
        <f>AI85+AK85</f>
        <v>2349.6698249999999</v>
      </c>
      <c r="AO85" s="82" t="str">
        <f>AA85</f>
        <v>M(7.88333333333333)=</v>
      </c>
      <c r="AP85" s="82" t="e">
        <f>VLOOKUP(AO85,Rise_Results,2,FALSE)</f>
        <v>#N/A</v>
      </c>
      <c r="AQ85" s="82" t="e">
        <f>N85</f>
        <v>#N/A</v>
      </c>
      <c r="AR85" s="82" t="e">
        <f>IF(OR(AB84&lt;=0,AB85&lt;=0),1/0,AB85)</f>
        <v>#VALUE!</v>
      </c>
      <c r="AS85" s="82">
        <f>AM85</f>
        <v>2349.6698249999999</v>
      </c>
      <c r="AT85">
        <f>IFERROR(AP85,IFERROR(AQ85,IFERROR(AR85,AS85)))</f>
        <v>2349.6698249999999</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292.72499999999997</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2349.6698249999999</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4</v>
      </c>
      <c r="E1" s="511" t="s">
        <v>91</v>
      </c>
      <c r="F1" s="511"/>
      <c r="G1" t="str">
        <f>VLOOKUP(Station_No,RISE_CALC,2,FALSE)</f>
        <v>-</v>
      </c>
      <c r="L1" s="511" t="s">
        <v>92</v>
      </c>
      <c r="M1" s="511"/>
      <c r="N1">
        <v>7</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1</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3.17</v>
      </c>
      <c r="D5" s="81">
        <f t="shared" ref="D5:D28" si="4">IFERROR(VLOOKUP(CONCATENATE("A(",B5,")="),RESULT_TABLE,6,FALSE)," ")</f>
        <v>3.9420000000000002</v>
      </c>
      <c r="E5" s="77">
        <f t="shared" ref="E5:E28" si="5">IFERROR(VLOOKUP(CONCATENATE("M(",B5,")="),RESULT_TABLE,6,FALSE)," ")</f>
        <v>2.0668500000000005</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4.08</v>
      </c>
      <c r="D6" s="81">
        <f t="shared" si="4"/>
        <v>10.655999999999999</v>
      </c>
      <c r="E6" s="77">
        <f t="shared" si="5"/>
        <v>11.2536</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4.8</v>
      </c>
      <c r="D7" s="81">
        <f t="shared" si="4"/>
        <v>18.516000000000002</v>
      </c>
      <c r="E7" s="77">
        <f t="shared" si="5"/>
        <v>29.180250000000001</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5.8</v>
      </c>
      <c r="D8" s="81">
        <f t="shared" si="4"/>
        <v>28.103999999999999</v>
      </c>
      <c r="E8" s="77">
        <f t="shared" si="5"/>
        <v>59.292000000000002</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9.1999999999999993</v>
      </c>
      <c r="D9" s="81">
        <f t="shared" si="4"/>
        <v>54.432000000000002</v>
      </c>
      <c r="E9" s="77">
        <f t="shared" si="5"/>
        <v>179.90640000000002</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11.17</v>
      </c>
      <c r="D10" s="81">
        <f t="shared" si="4"/>
        <v>92.627999999999986</v>
      </c>
      <c r="E10" s="77">
        <f t="shared" si="5"/>
        <v>419.32079999999996</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11.91</v>
      </c>
      <c r="D11" s="81">
        <f t="shared" si="4"/>
        <v>133.38</v>
      </c>
      <c r="E11" s="77">
        <f t="shared" si="5"/>
        <v>754.18560000000002</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12.14</v>
      </c>
      <c r="D12" s="81">
        <f t="shared" si="4"/>
        <v>159.83499999999998</v>
      </c>
      <c r="E12" s="77">
        <f t="shared" si="5"/>
        <v>1006.8772333333333</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12.2</v>
      </c>
      <c r="D13" s="81">
        <f t="shared" si="4"/>
        <v>177.83999999999997</v>
      </c>
      <c r="E13" s="77">
        <f t="shared" si="5"/>
        <v>1188.4535999999998</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12.25</v>
      </c>
      <c r="D14" s="81">
        <f t="shared" si="4"/>
        <v>220.93199999999999</v>
      </c>
      <c r="E14" s="77">
        <f t="shared" si="5"/>
        <v>1700.4816000000001</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12.25</v>
      </c>
      <c r="D15" s="81">
        <f t="shared" si="4"/>
        <v>259.88699999999994</v>
      </c>
      <c r="E15" s="77">
        <f t="shared" si="5"/>
        <v>2222.2838249999995</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1</v>
      </c>
      <c r="S32" s="69">
        <v>5</v>
      </c>
      <c r="T32" s="68">
        <f>R32*S32</f>
        <v>5</v>
      </c>
      <c r="U32" s="79">
        <v>3</v>
      </c>
      <c r="V32" s="68">
        <f>R32*U32</f>
        <v>3</v>
      </c>
      <c r="W32" t="s">
        <v>93</v>
      </c>
      <c r="X32" s="70">
        <f>IF(AND(Q34-Q33=Q33-Q32,NOT(AND(Q32=0,Q33=0)),NOT(AND(Q33=0,Q34=0))),WLS*(Q34-Q33),"#NA")</f>
        <v>0.9</v>
      </c>
      <c r="AD32" s="93"/>
      <c r="AH32" s="6" t="s">
        <v>93</v>
      </c>
      <c r="AI32" s="70">
        <f>WLS*(AD34-AD33)</f>
        <v>0.9</v>
      </c>
    </row>
    <row r="33" spans="1:47" x14ac:dyDescent="0.25">
      <c r="Q33" s="76">
        <f>B5</f>
        <v>0.5</v>
      </c>
      <c r="R33" s="77">
        <f>VLOOKUP(Q33,STN_TABLE,2,FALSE)</f>
        <v>3.17</v>
      </c>
      <c r="S33" s="77">
        <v>8</v>
      </c>
      <c r="T33" s="76">
        <f>R33*S33</f>
        <v>25.36</v>
      </c>
      <c r="U33" s="80">
        <v>10</v>
      </c>
      <c r="V33" s="76">
        <f>R33*U33</f>
        <v>31.7</v>
      </c>
      <c r="W33" s="512" t="s">
        <v>97</v>
      </c>
      <c r="X33" s="513"/>
      <c r="Y33" s="513" t="s">
        <v>98</v>
      </c>
      <c r="Z33" s="513"/>
      <c r="AA33" s="511" t="s">
        <v>99</v>
      </c>
      <c r="AB33" s="511"/>
      <c r="AC33" s="94">
        <v>1</v>
      </c>
      <c r="AD33" s="95">
        <f>VLOOKUP(AC33,STN_TABLE_2,2,FALSE)</f>
        <v>0</v>
      </c>
      <c r="AE33" s="68">
        <f>VLOOKUP(AD33,STN_TABLE,2,FALSE)</f>
        <v>1</v>
      </c>
      <c r="AF33" s="68">
        <v>1</v>
      </c>
      <c r="AG33" s="69">
        <f>AE33*AF33</f>
        <v>1</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4.08</v>
      </c>
      <c r="S34" s="83">
        <v>-1</v>
      </c>
      <c r="T34" s="82">
        <f>R34*S34</f>
        <v>-4.08</v>
      </c>
      <c r="U34" s="88">
        <v>-1</v>
      </c>
      <c r="V34" s="82">
        <f>R34*U34</f>
        <v>-4.08</v>
      </c>
      <c r="W34" s="84" t="str">
        <f>CONCATENATE("a'(",Q33,")=")</f>
        <v>a'(0.5)=</v>
      </c>
      <c r="X34" s="84">
        <f>2*X32/12*T35</f>
        <v>3.9420000000000002</v>
      </c>
      <c r="Y34" s="84" t="str">
        <f>CONCATENATE("A(",Q32,")=")</f>
        <v>A(0)=</v>
      </c>
      <c r="Z34" s="84">
        <f>VLOOKUP(Q32,STN_TABLE,3,FALSE)</f>
        <v>0</v>
      </c>
      <c r="AA34" t="str">
        <f>CONCATENATE("A(",Q33,")=")</f>
        <v>A(0.5)=</v>
      </c>
      <c r="AB34">
        <f>X34+Z34</f>
        <v>3.9420000000000002</v>
      </c>
      <c r="AC34" s="99">
        <f>AC33+1</f>
        <v>2</v>
      </c>
      <c r="AD34" s="100">
        <f>VLOOKUP(AC34,STN_TABLE_2,2,FALSE)</f>
        <v>0.5</v>
      </c>
      <c r="AE34" s="82">
        <f>VLOOKUP(AD34,STN_TABLE,2,FALSE)</f>
        <v>3.17</v>
      </c>
      <c r="AF34" s="82">
        <v>2</v>
      </c>
      <c r="AG34" s="83">
        <f>AE34*AF34</f>
        <v>6.34</v>
      </c>
      <c r="AH34" s="84" t="str">
        <f>CONCATENATE("a'(",AD34,")=")</f>
        <v>a'(0.5)=</v>
      </c>
      <c r="AI34" s="84">
        <f>2*AI32/2*AE35</f>
        <v>3.7530000000000001</v>
      </c>
      <c r="AJ34" s="84" t="str">
        <f>CONCATENATE("A(",AD33,")=")</f>
        <v>A(0)=</v>
      </c>
      <c r="AK34" s="84">
        <f>VLOOKUP(AD33,STN_TABLE,3,FALSE)</f>
        <v>0</v>
      </c>
      <c r="AL34" t="str">
        <f>CONCATENATE("A(",AD34,")=")</f>
        <v>A(0.5)=</v>
      </c>
      <c r="AM34">
        <f>AI34+AK34</f>
        <v>3.7530000000000001</v>
      </c>
      <c r="AO34" s="68" t="str">
        <f>AA34</f>
        <v>A(0.5)=</v>
      </c>
      <c r="AP34" s="79" t="e">
        <f>VLOOKUP(AO34,Rise_Results,2,FALSE)</f>
        <v>#N/A</v>
      </c>
      <c r="AQ34" s="76" t="s">
        <v>117</v>
      </c>
      <c r="AR34" s="76">
        <f>IF(OR(AB34&lt;=0,AB35&lt;=0),1/0,AB34)</f>
        <v>3.9420000000000002</v>
      </c>
      <c r="AS34" s="76">
        <f>AM34</f>
        <v>3.7530000000000001</v>
      </c>
      <c r="AT34" s="80">
        <f>IFERROR(AP34,IFERROR(AR34,AS34))</f>
        <v>3.9420000000000002</v>
      </c>
    </row>
    <row r="35" spans="1:47" x14ac:dyDescent="0.25">
      <c r="A35" s="101"/>
      <c r="T35" s="89">
        <f>SUM(T32:T34)</f>
        <v>26.28</v>
      </c>
      <c r="V35" s="82">
        <f>SUM(V32:V34)</f>
        <v>30.620000000000005</v>
      </c>
      <c r="W35" s="84" t="str">
        <f>CONCATENATE("m'(",Q33,")=")</f>
        <v>m'(0.5)=</v>
      </c>
      <c r="X35" s="84">
        <f>(2*(X32^2)/24*V35)</f>
        <v>2.0668500000000005</v>
      </c>
      <c r="Y35" s="84" t="str">
        <f>CONCATENATE("M(",Q32,")=")</f>
        <v>M(0)=</v>
      </c>
      <c r="Z35" s="84">
        <f>VLOOKUP(Q32,STN_TABLE,4,FALSE)</f>
        <v>0</v>
      </c>
      <c r="AA35" t="str">
        <f>CONCATENATE("M(",Q33,")=")</f>
        <v>M(0.5)=</v>
      </c>
      <c r="AB35">
        <f>X35+Z35</f>
        <v>2.0668500000000005</v>
      </c>
      <c r="AE35" s="89">
        <f>SUM(AE33:AE34)</f>
        <v>4.17</v>
      </c>
      <c r="AG35" s="89">
        <f>SUM(AG33:AG34)</f>
        <v>7.34</v>
      </c>
      <c r="AH35" s="84" t="str">
        <f>CONCATENATE("m'(",AD34,")=")</f>
        <v>m'(0.5)=</v>
      </c>
      <c r="AI35" s="84">
        <f>(2*(AI32^2)/6*AG35)+(AI34*AD33*WLS)</f>
        <v>1.9818</v>
      </c>
      <c r="AJ35" s="84" t="str">
        <f>CONCATENATE("M(",AD33,")=")</f>
        <v>M(0)=</v>
      </c>
      <c r="AK35" s="84">
        <f>VLOOKUP(AD33,STN_TABLE,4,FALSE)</f>
        <v>0</v>
      </c>
      <c r="AL35" t="str">
        <f>CONCATENATE("M(",AD34,")=")</f>
        <v>M(0.5)=</v>
      </c>
      <c r="AM35">
        <f>AI35+AK35</f>
        <v>1.9818</v>
      </c>
      <c r="AO35" s="82" t="str">
        <f>AA35</f>
        <v>M(0.5)=</v>
      </c>
      <c r="AP35" s="88" t="e">
        <f>VLOOKUP(AO35,Rise_Results,2,FALSE)</f>
        <v>#N/A</v>
      </c>
      <c r="AQ35" s="82" t="s">
        <v>117</v>
      </c>
      <c r="AR35" s="82">
        <f>IF(OR(AB34&lt;=0,AB35&lt;=0),1/0,AB35)</f>
        <v>2.0668500000000005</v>
      </c>
      <c r="AS35" s="82">
        <f>AM35</f>
        <v>1.9818</v>
      </c>
      <c r="AT35" s="80">
        <f>IFERROR(AP35,IFERROR(AR35,AS35))</f>
        <v>2.0668500000000005</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1</v>
      </c>
      <c r="E37" s="102">
        <v>1</v>
      </c>
      <c r="F37" s="68">
        <f>D37*E37</f>
        <v>1</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3.17</v>
      </c>
      <c r="S37" s="69">
        <v>5</v>
      </c>
      <c r="T37" s="68">
        <f>R37*S37</f>
        <v>15.85</v>
      </c>
      <c r="U37" s="79">
        <v>3</v>
      </c>
      <c r="V37" s="68">
        <f>R37*U37</f>
        <v>9.51</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3.17</v>
      </c>
      <c r="E38" s="81">
        <v>4</v>
      </c>
      <c r="F38" s="76">
        <f>D38*E38</f>
        <v>12.68</v>
      </c>
      <c r="G38" s="77">
        <f>C38</f>
        <v>0.5</v>
      </c>
      <c r="H38" s="77">
        <f>F38*G38</f>
        <v>6.34</v>
      </c>
      <c r="I38" s="513" t="s">
        <v>97</v>
      </c>
      <c r="J38" s="513"/>
      <c r="K38" s="78" t="s">
        <v>98</v>
      </c>
      <c r="L38" s="78"/>
      <c r="M38" s="7" t="s">
        <v>99</v>
      </c>
      <c r="N38" s="7"/>
      <c r="O38" s="99">
        <f>O37+1</f>
        <v>3</v>
      </c>
      <c r="P38" s="99">
        <f t="shared" si="10"/>
        <v>1</v>
      </c>
      <c r="Q38" s="76">
        <f>P38</f>
        <v>1</v>
      </c>
      <c r="R38" s="77">
        <f>VLOOKUP(Q38,STN_TABLE,2,FALSE)</f>
        <v>4.08</v>
      </c>
      <c r="S38" s="77">
        <v>8</v>
      </c>
      <c r="T38" s="76">
        <f>R38*S38</f>
        <v>32.64</v>
      </c>
      <c r="U38" s="80">
        <v>10</v>
      </c>
      <c r="V38" s="76">
        <f>R38*U38</f>
        <v>40.799999999999997</v>
      </c>
      <c r="W38" s="513" t="s">
        <v>97</v>
      </c>
      <c r="X38" s="513"/>
      <c r="Y38" s="513" t="s">
        <v>98</v>
      </c>
      <c r="Z38" s="513"/>
      <c r="AA38" s="511" t="s">
        <v>99</v>
      </c>
      <c r="AB38" s="511"/>
      <c r="AC38" s="99">
        <f>AC33+1</f>
        <v>2</v>
      </c>
      <c r="AD38" s="95">
        <f>VLOOKUP(AC38,STN_TABLE_2,2,FALSE)</f>
        <v>0.5</v>
      </c>
      <c r="AE38" s="68">
        <f>VLOOKUP(AD38,STN_TABLE,2,FALSE)</f>
        <v>3.17</v>
      </c>
      <c r="AF38" s="68">
        <v>1</v>
      </c>
      <c r="AG38" s="69">
        <f>AE38*AF38</f>
        <v>3.17</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4.08</v>
      </c>
      <c r="E39" s="92">
        <v>1</v>
      </c>
      <c r="F39" s="82">
        <f>D39*E39</f>
        <v>4.08</v>
      </c>
      <c r="G39" s="83">
        <f>C39</f>
        <v>1</v>
      </c>
      <c r="H39" s="83">
        <f>F39*G39</f>
        <v>4.08</v>
      </c>
      <c r="I39" s="84" t="str">
        <f>CONCATENATE("a'(",C39,")=")</f>
        <v>a'(1)=</v>
      </c>
      <c r="J39" s="84">
        <f>2*J37/3*F40</f>
        <v>10.655999999999999</v>
      </c>
      <c r="K39" s="84" t="str">
        <f>CONCATENATE("A(",C37,")=")</f>
        <v>A(0)=</v>
      </c>
      <c r="L39" s="84">
        <f>VLOOKUP(C37,STN_TABLE,3,FALSE)</f>
        <v>0</v>
      </c>
      <c r="M39" t="str">
        <f>CONCATENATE("A(",C39,")=")</f>
        <v>A(1)=</v>
      </c>
      <c r="N39">
        <f>J39+L39</f>
        <v>10.655999999999999</v>
      </c>
      <c r="O39" s="99">
        <f>O38+1</f>
        <v>4</v>
      </c>
      <c r="P39" s="99">
        <f t="shared" si="10"/>
        <v>1.5</v>
      </c>
      <c r="Q39" s="82">
        <f>IF(P39-P38=P38-P37,P39,IF(P40-P38=P38-P37,P40,IF(P39-P38=P38-P36,P39,IF(P40-P38=P38-P36,P40,"-"))))</f>
        <v>1.5</v>
      </c>
      <c r="R39" s="83">
        <f>VLOOKUP(Q39,STN_TABLE,2,FALSE)</f>
        <v>4.8</v>
      </c>
      <c r="S39" s="83">
        <v>-1</v>
      </c>
      <c r="T39" s="82">
        <f>R39*S39</f>
        <v>-4.8</v>
      </c>
      <c r="U39" s="88">
        <v>-1</v>
      </c>
      <c r="V39" s="82">
        <f>R39*U39</f>
        <v>-4.8</v>
      </c>
      <c r="W39" s="84" t="str">
        <f>CONCATENATE("a'(",Q38,")=")</f>
        <v>a'(1)=</v>
      </c>
      <c r="X39" s="84">
        <f>2*X37/12*T40</f>
        <v>6.5535000000000005</v>
      </c>
      <c r="Y39" s="84" t="str">
        <f>CONCATENATE("A(",Q37,")=")</f>
        <v>A(0.5)=</v>
      </c>
      <c r="Z39" s="84">
        <f>VLOOKUP(Q37,STN_TABLE,3,FALSE)</f>
        <v>3.9420000000000002</v>
      </c>
      <c r="AA39" t="str">
        <f>CONCATENATE("A(",Q38,")=")</f>
        <v>A(1)=</v>
      </c>
      <c r="AB39">
        <f>X39+Z39</f>
        <v>10.4955</v>
      </c>
      <c r="AC39" s="99">
        <f>AC38+1</f>
        <v>3</v>
      </c>
      <c r="AD39" s="100">
        <f>VLOOKUP(AC39,STN_TABLE_2,2,FALSE)</f>
        <v>1</v>
      </c>
      <c r="AE39" s="82">
        <f>VLOOKUP(AD39,STN_TABLE,2,FALSE)</f>
        <v>4.08</v>
      </c>
      <c r="AF39" s="82">
        <v>2</v>
      </c>
      <c r="AG39" s="83">
        <f>AE39*AF39</f>
        <v>8.16</v>
      </c>
      <c r="AH39" s="84" t="str">
        <f>CONCATENATE("a'(",AD39,")=")</f>
        <v>a'(1)=</v>
      </c>
      <c r="AI39" s="84">
        <f>2*AI37/2*AE40</f>
        <v>6.5250000000000004</v>
      </c>
      <c r="AJ39" s="84" t="str">
        <f>CONCATENATE("A(",AD38,")=")</f>
        <v>A(0.5)=</v>
      </c>
      <c r="AK39" s="84">
        <f>VLOOKUP(AD38,STN_TABLE,3,FALSE)</f>
        <v>3.9420000000000002</v>
      </c>
      <c r="AL39" t="str">
        <f>CONCATENATE("A(",AD39,")=")</f>
        <v>A(1)=</v>
      </c>
      <c r="AM39">
        <f>AI39+AK39</f>
        <v>10.467000000000001</v>
      </c>
      <c r="AO39" s="68" t="str">
        <f>AA39</f>
        <v>A(1)=</v>
      </c>
      <c r="AP39" s="68" t="e">
        <f>VLOOKUP(AO39,Rise_Results,2,FALSE)</f>
        <v>#N/A</v>
      </c>
      <c r="AQ39" s="76">
        <f>N39</f>
        <v>10.655999999999999</v>
      </c>
      <c r="AR39" s="76">
        <f>IF(OR(AB39&lt;=0,AB40&lt;=0),1/0,AB39)</f>
        <v>10.4955</v>
      </c>
      <c r="AS39" s="76">
        <f>AM39</f>
        <v>10.467000000000001</v>
      </c>
      <c r="AT39">
        <f>IFERROR(AP39,IFERROR(AQ39,IFERROR(AR39,AS39)))</f>
        <v>10.655999999999999</v>
      </c>
    </row>
    <row r="40" spans="1:47" x14ac:dyDescent="0.25">
      <c r="A40">
        <v>4</v>
      </c>
      <c r="F40" s="82">
        <f>SUM(F37:F39)</f>
        <v>17.759999999999998</v>
      </c>
      <c r="H40" s="82">
        <f>SUM(H37:H39)</f>
        <v>10.42</v>
      </c>
      <c r="I40" s="84" t="str">
        <f>CONCATENATE("m'(",C39,")=")</f>
        <v>m'(1)=</v>
      </c>
      <c r="J40" s="84">
        <f>2*(J37*(WLS))/3*H40</f>
        <v>11.2536</v>
      </c>
      <c r="K40" s="84" t="str">
        <f>CONCATENATE("M(",C37,")=")</f>
        <v>M(0)=</v>
      </c>
      <c r="L40" s="84">
        <f>VLOOKUP(C37,STN_TABLE,4,FALSE)</f>
        <v>0</v>
      </c>
      <c r="M40" t="str">
        <f>CONCATENATE("M(",C39,")=")</f>
        <v>M(1)=</v>
      </c>
      <c r="N40">
        <f>J40+L40</f>
        <v>11.2536</v>
      </c>
      <c r="O40" s="99">
        <f>O39+1</f>
        <v>5</v>
      </c>
      <c r="P40" s="99">
        <f t="shared" si="10"/>
        <v>2</v>
      </c>
      <c r="T40" s="89">
        <f>SUM(T37:T39)</f>
        <v>43.690000000000005</v>
      </c>
      <c r="V40" s="82">
        <f>SUM(V37:V39)</f>
        <v>45.51</v>
      </c>
      <c r="W40" s="84" t="str">
        <f>CONCATENATE("m'(",Q38,")=")</f>
        <v>m'(1)=</v>
      </c>
      <c r="X40" s="84">
        <f>(2*(X37^2)/24*V40)+(X39*Q37*WLS)</f>
        <v>8.9700750000000014</v>
      </c>
      <c r="Y40" s="84" t="str">
        <f>CONCATENATE("M(",Q37,")=")</f>
        <v>M(0.5)=</v>
      </c>
      <c r="Z40" s="84">
        <f>VLOOKUP(Q37,STN_TABLE,4,FALSE)</f>
        <v>2.0668500000000005</v>
      </c>
      <c r="AA40" t="str">
        <f>CONCATENATE("M(",Q38,")=")</f>
        <v>M(1)=</v>
      </c>
      <c r="AB40">
        <f>X40+Z40</f>
        <v>11.036925000000002</v>
      </c>
      <c r="AE40" s="89">
        <f>SUM(AE38:AE39)</f>
        <v>7.25</v>
      </c>
      <c r="AG40" s="89">
        <f>SUM(AG38:AG39)</f>
        <v>11.33</v>
      </c>
      <c r="AH40" s="84" t="str">
        <f>CONCATENATE("m'(",AD39,")=")</f>
        <v>m'(1)=</v>
      </c>
      <c r="AI40" s="84">
        <f>(2*(AI37^2)/6*AG40)+(AI39*AD38*WLS)</f>
        <v>8.9316000000000013</v>
      </c>
      <c r="AJ40" s="84" t="str">
        <f>CONCATENATE("M(",AD38,")=")</f>
        <v>M(0.5)=</v>
      </c>
      <c r="AK40" s="84">
        <f>VLOOKUP(AD38,STN_TABLE,4,FALSE)</f>
        <v>2.0668500000000005</v>
      </c>
      <c r="AL40" t="str">
        <f>CONCATENATE("M(",AD39,")=")</f>
        <v>M(1)=</v>
      </c>
      <c r="AM40">
        <f>AI40+AK40</f>
        <v>10.998450000000002</v>
      </c>
      <c r="AO40" s="82" t="str">
        <f>AA40</f>
        <v>M(1)=</v>
      </c>
      <c r="AP40" s="82" t="e">
        <f>VLOOKUP(AO40,Rise_Results,2,FALSE)</f>
        <v>#N/A</v>
      </c>
      <c r="AQ40" s="82">
        <f>N40</f>
        <v>11.2536</v>
      </c>
      <c r="AR40" s="82">
        <f>IF(OR(AB39&lt;=0,AB40&lt;=0),1/0,AB40)</f>
        <v>11.036925000000002</v>
      </c>
      <c r="AS40" s="82">
        <f>AM40</f>
        <v>10.998450000000002</v>
      </c>
      <c r="AT40">
        <f>IFERROR(AP40,IFERROR(AQ40,IFERROR(AR40,AS40)))</f>
        <v>11.2536</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3.17</v>
      </c>
      <c r="E42" s="102">
        <v>1</v>
      </c>
      <c r="F42" s="68">
        <f>D42*E42</f>
        <v>3.17</v>
      </c>
      <c r="G42" s="69">
        <f>C42</f>
        <v>0.5</v>
      </c>
      <c r="H42" s="69">
        <f>F42*G42</f>
        <v>1.585</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4.08</v>
      </c>
      <c r="S42" s="69">
        <v>5</v>
      </c>
      <c r="T42" s="68">
        <f>R42*S42</f>
        <v>20.399999999999999</v>
      </c>
      <c r="U42" s="79">
        <v>3</v>
      </c>
      <c r="V42" s="68">
        <f>R42*U42</f>
        <v>12.24</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4.08</v>
      </c>
      <c r="E43" s="81">
        <v>4</v>
      </c>
      <c r="F43" s="76">
        <f>D43*E43</f>
        <v>16.32</v>
      </c>
      <c r="G43" s="77">
        <f>C43</f>
        <v>1</v>
      </c>
      <c r="H43" s="77">
        <f>F43*G43</f>
        <v>16.32</v>
      </c>
      <c r="I43" s="513" t="s">
        <v>97</v>
      </c>
      <c r="J43" s="513"/>
      <c r="K43" s="78" t="s">
        <v>98</v>
      </c>
      <c r="L43" s="78"/>
      <c r="M43" s="7" t="s">
        <v>99</v>
      </c>
      <c r="N43" s="7"/>
      <c r="O43" s="99">
        <f>O42+1</f>
        <v>4</v>
      </c>
      <c r="P43" s="99">
        <f t="shared" si="10"/>
        <v>1.5</v>
      </c>
      <c r="Q43" s="76">
        <f>P43</f>
        <v>1.5</v>
      </c>
      <c r="R43" s="77">
        <f>VLOOKUP(Q43,STN_TABLE,2,FALSE)</f>
        <v>4.8</v>
      </c>
      <c r="S43" s="77">
        <v>8</v>
      </c>
      <c r="T43" s="76">
        <f>R43*S43</f>
        <v>38.4</v>
      </c>
      <c r="U43" s="80">
        <v>10</v>
      </c>
      <c r="V43" s="76">
        <f>R43*U43</f>
        <v>48</v>
      </c>
      <c r="W43" s="513" t="s">
        <v>97</v>
      </c>
      <c r="X43" s="513"/>
      <c r="Y43" s="513" t="s">
        <v>98</v>
      </c>
      <c r="Z43" s="513"/>
      <c r="AA43" s="511" t="s">
        <v>99</v>
      </c>
      <c r="AB43" s="511"/>
      <c r="AC43" s="99">
        <f>AC38+1</f>
        <v>3</v>
      </c>
      <c r="AD43" s="95">
        <f>VLOOKUP(AC43,STN_TABLE_2,2,FALSE)</f>
        <v>1</v>
      </c>
      <c r="AE43" s="68">
        <f>VLOOKUP(AD43,STN_TABLE,2,FALSE)</f>
        <v>4.08</v>
      </c>
      <c r="AF43" s="68">
        <v>1</v>
      </c>
      <c r="AG43" s="69">
        <f>AE43*AF43</f>
        <v>4.08</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4.8</v>
      </c>
      <c r="E44" s="92">
        <v>1</v>
      </c>
      <c r="F44" s="82">
        <f>D44*E44</f>
        <v>4.8</v>
      </c>
      <c r="G44" s="83">
        <f>C44</f>
        <v>1.5</v>
      </c>
      <c r="H44" s="83">
        <f>F44*G44</f>
        <v>7.1999999999999993</v>
      </c>
      <c r="I44" s="84" t="str">
        <f>CONCATENATE("a'(",C44,")=")</f>
        <v>a'(1.5)=</v>
      </c>
      <c r="J44" s="84">
        <f>2*J42/3*F45</f>
        <v>14.574000000000002</v>
      </c>
      <c r="K44" s="84" t="str">
        <f>CONCATENATE("A(",C42,")=")</f>
        <v>A(0.5)=</v>
      </c>
      <c r="L44" s="84">
        <f>VLOOKUP(C42,STN_TABLE,3,FALSE)</f>
        <v>3.9420000000000002</v>
      </c>
      <c r="M44" t="str">
        <f>CONCATENATE("A(",C44,")=")</f>
        <v>A(1.5)=</v>
      </c>
      <c r="N44">
        <f>J44+L44</f>
        <v>18.516000000000002</v>
      </c>
      <c r="O44" s="99">
        <f>O43+1</f>
        <v>5</v>
      </c>
      <c r="P44" s="99">
        <f t="shared" si="10"/>
        <v>2</v>
      </c>
      <c r="Q44" s="82">
        <f>IF(P44-P43=P43-P42,P44,IF(P45-P43=P43-P42,P45,IF(P44-P43=P43-P41,P44,IF(P45-P43=P43-P41,P45,"-"))))</f>
        <v>2</v>
      </c>
      <c r="R44" s="83">
        <f>VLOOKUP(Q44,STN_TABLE,2,FALSE)</f>
        <v>5.8</v>
      </c>
      <c r="S44" s="83">
        <v>-1</v>
      </c>
      <c r="T44" s="82">
        <f>R44*S44</f>
        <v>-5.8</v>
      </c>
      <c r="U44" s="88">
        <v>-1</v>
      </c>
      <c r="V44" s="82">
        <f>R44*U44</f>
        <v>-5.8</v>
      </c>
      <c r="W44" s="84" t="str">
        <f>CONCATENATE("a'(",Q43,")=")</f>
        <v>a'(1.5)=</v>
      </c>
      <c r="X44" s="84">
        <f>2*X42/12*T45</f>
        <v>7.9499999999999993</v>
      </c>
      <c r="Y44" s="84" t="str">
        <f>CONCATENATE("A(",Q42,")=")</f>
        <v>A(1)=</v>
      </c>
      <c r="Z44" s="84">
        <f>VLOOKUP(Q42,STN_TABLE,3,FALSE)</f>
        <v>10.655999999999999</v>
      </c>
      <c r="AA44" t="str">
        <f>CONCATENATE("A(",Q43,")=")</f>
        <v>A(1.5)=</v>
      </c>
      <c r="AB44">
        <f>X44+Z44</f>
        <v>18.605999999999998</v>
      </c>
      <c r="AC44" s="99">
        <f>AC43+1</f>
        <v>4</v>
      </c>
      <c r="AD44" s="100">
        <f>VLOOKUP(AC44,STN_TABLE_2,2,FALSE)</f>
        <v>1.5</v>
      </c>
      <c r="AE44" s="82">
        <f>VLOOKUP(AD44,STN_TABLE,2,FALSE)</f>
        <v>4.8</v>
      </c>
      <c r="AF44" s="82">
        <v>2</v>
      </c>
      <c r="AG44" s="83">
        <f>AE44*AF44</f>
        <v>9.6</v>
      </c>
      <c r="AH44" s="84" t="str">
        <f>CONCATENATE("a'(",AD44,")=")</f>
        <v>a'(1.5)=</v>
      </c>
      <c r="AI44" s="84">
        <f>2*AI42/2*AE45</f>
        <v>7.9919999999999991</v>
      </c>
      <c r="AJ44" s="84" t="str">
        <f>CONCATENATE("A(",AD43,")=")</f>
        <v>A(1)=</v>
      </c>
      <c r="AK44" s="84">
        <f>VLOOKUP(AD43,STN_TABLE,3,FALSE)</f>
        <v>10.655999999999999</v>
      </c>
      <c r="AL44" t="str">
        <f>CONCATENATE("A(",AD44,")=")</f>
        <v>A(1.5)=</v>
      </c>
      <c r="AM44">
        <f>AI44+AK44</f>
        <v>18.647999999999996</v>
      </c>
      <c r="AO44" s="68" t="str">
        <f>AA44</f>
        <v>A(1.5)=</v>
      </c>
      <c r="AP44" s="68" t="e">
        <f>VLOOKUP(AO44,Rise_Results,2,FALSE)</f>
        <v>#N/A</v>
      </c>
      <c r="AQ44" s="76">
        <f>N44</f>
        <v>18.516000000000002</v>
      </c>
      <c r="AR44" s="76">
        <f>IF(OR(AB44&lt;=0,AB45&lt;=0),1/0,AB44)</f>
        <v>18.605999999999998</v>
      </c>
      <c r="AS44" s="76">
        <f>AM44</f>
        <v>18.647999999999996</v>
      </c>
      <c r="AT44">
        <f>IFERROR(AP44,IFERROR(AQ44,IFERROR(AR44,AS44)))</f>
        <v>18.516000000000002</v>
      </c>
      <c r="AU44" s="81"/>
    </row>
    <row r="45" spans="1:47" x14ac:dyDescent="0.25">
      <c r="A45" s="94">
        <f>A44+1</f>
        <v>4</v>
      </c>
      <c r="B45" s="94">
        <f t="shared" si="11"/>
        <v>1.5</v>
      </c>
      <c r="F45" s="82">
        <f>SUM(F42:F44)</f>
        <v>24.290000000000003</v>
      </c>
      <c r="H45" s="82">
        <f>SUM(H42:H44)</f>
        <v>25.105</v>
      </c>
      <c r="I45" s="84" t="str">
        <f>CONCATENATE("m'(",C44,")=")</f>
        <v>m'(1.5)=</v>
      </c>
      <c r="J45" s="84">
        <f>2*(J42*(WLS))/3*H45</f>
        <v>27.113400000000002</v>
      </c>
      <c r="K45" s="84" t="str">
        <f>CONCATENATE("M(",C42,")=")</f>
        <v>M(0.5)=</v>
      </c>
      <c r="L45" s="84">
        <f>VLOOKUP(C42,STN_TABLE,4,FALSE)</f>
        <v>2.0668500000000005</v>
      </c>
      <c r="M45" t="str">
        <f>CONCATENATE("M(",C44,")=")</f>
        <v>M(1.5)=</v>
      </c>
      <c r="N45">
        <f>J45+L45</f>
        <v>29.180250000000001</v>
      </c>
      <c r="O45" s="99">
        <f>O44+1</f>
        <v>6</v>
      </c>
      <c r="P45" s="99">
        <f t="shared" si="10"/>
        <v>3</v>
      </c>
      <c r="T45" s="89">
        <f>SUM(T42:T44)</f>
        <v>53</v>
      </c>
      <c r="V45" s="82">
        <f>SUM(V42:V44)</f>
        <v>54.440000000000005</v>
      </c>
      <c r="W45" s="84" t="str">
        <f>CONCATENATE("m'(",Q43,")=")</f>
        <v>m'(1.5)=</v>
      </c>
      <c r="X45" s="84">
        <f>(2*(X42^2)/24*V45)+(X44*Q42*WLS)</f>
        <v>17.9847</v>
      </c>
      <c r="Y45" s="84" t="str">
        <f>CONCATENATE("M(",Q42,")=")</f>
        <v>M(1)=</v>
      </c>
      <c r="Z45" s="84">
        <f>VLOOKUP(Q42,STN_TABLE,4,FALSE)</f>
        <v>11.2536</v>
      </c>
      <c r="AA45" t="str">
        <f>CONCATENATE("M(",Q43,")=")</f>
        <v>M(1.5)=</v>
      </c>
      <c r="AB45">
        <f>X45+Z45</f>
        <v>29.238300000000002</v>
      </c>
      <c r="AE45" s="89">
        <f>SUM(AE43:AE44)</f>
        <v>8.879999999999999</v>
      </c>
      <c r="AG45" s="89">
        <f>SUM(AG43:AG44)</f>
        <v>13.68</v>
      </c>
      <c r="AH45" s="84" t="str">
        <f>CONCATENATE("m'(",AD44,")=")</f>
        <v>m'(1.5)=</v>
      </c>
      <c r="AI45" s="84">
        <f>(2*(AI42^2)/6*AG45)+(AI44*AD43*WLS)</f>
        <v>18.0792</v>
      </c>
      <c r="AJ45" s="84" t="str">
        <f>CONCATENATE("M(",AD43,")=")</f>
        <v>M(1)=</v>
      </c>
      <c r="AK45" s="84">
        <f>VLOOKUP(AD43,STN_TABLE,4,FALSE)</f>
        <v>11.2536</v>
      </c>
      <c r="AL45" t="str">
        <f>CONCATENATE("M(",AD44,")=")</f>
        <v>M(1.5)=</v>
      </c>
      <c r="AM45">
        <f>AI45+AK45</f>
        <v>29.332799999999999</v>
      </c>
      <c r="AO45" s="82" t="str">
        <f>AA45</f>
        <v>M(1.5)=</v>
      </c>
      <c r="AP45" s="82" t="e">
        <f>VLOOKUP(AO45,Rise_Results,2,FALSE)</f>
        <v>#N/A</v>
      </c>
      <c r="AQ45" s="82">
        <f>N45</f>
        <v>29.180250000000001</v>
      </c>
      <c r="AR45" s="82">
        <f>IF(OR(AB44&lt;=0,AB45&lt;=0),1/0,AB45)</f>
        <v>29.238300000000002</v>
      </c>
      <c r="AS45" s="82">
        <f>AM45</f>
        <v>29.332799999999999</v>
      </c>
      <c r="AT45">
        <f>IFERROR(AP45,IFERROR(AQ45,IFERROR(AR45,AS45)))</f>
        <v>29.180250000000001</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4.08</v>
      </c>
      <c r="E47" s="102">
        <v>1</v>
      </c>
      <c r="F47" s="68">
        <f>D47*E47</f>
        <v>4.08</v>
      </c>
      <c r="G47" s="69">
        <f>C47</f>
        <v>1</v>
      </c>
      <c r="H47" s="69">
        <f>F47*G47</f>
        <v>4.08</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4.08</v>
      </c>
      <c r="S47" s="69">
        <v>5</v>
      </c>
      <c r="T47" s="68">
        <f>R47*S47</f>
        <v>20.399999999999999</v>
      </c>
      <c r="U47" s="79">
        <v>3</v>
      </c>
      <c r="V47" s="68">
        <f>R47*U47</f>
        <v>12.24</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4.8</v>
      </c>
      <c r="E48" s="81">
        <v>4</v>
      </c>
      <c r="F48" s="76">
        <f>D48*E48</f>
        <v>19.2</v>
      </c>
      <c r="G48" s="77">
        <f>C48</f>
        <v>1.5</v>
      </c>
      <c r="H48" s="77">
        <f>F48*G48</f>
        <v>28.799999999999997</v>
      </c>
      <c r="I48" s="513" t="s">
        <v>97</v>
      </c>
      <c r="J48" s="513"/>
      <c r="K48" s="78" t="s">
        <v>98</v>
      </c>
      <c r="L48" s="78"/>
      <c r="M48" s="7" t="s">
        <v>99</v>
      </c>
      <c r="N48" s="7"/>
      <c r="O48" s="99">
        <f>O47+1</f>
        <v>5</v>
      </c>
      <c r="P48" s="99">
        <f t="shared" si="10"/>
        <v>2</v>
      </c>
      <c r="Q48" s="76">
        <f>P48</f>
        <v>2</v>
      </c>
      <c r="R48" s="77">
        <f>VLOOKUP(Q48,STN_TABLE,2,FALSE)</f>
        <v>5.8</v>
      </c>
      <c r="S48" s="77">
        <v>8</v>
      </c>
      <c r="T48" s="76">
        <f>R48*S48</f>
        <v>46.4</v>
      </c>
      <c r="U48" s="80">
        <v>10</v>
      </c>
      <c r="V48" s="76">
        <f>R48*U48</f>
        <v>58</v>
      </c>
      <c r="W48" s="513" t="s">
        <v>97</v>
      </c>
      <c r="X48" s="513"/>
      <c r="Y48" s="513" t="s">
        <v>98</v>
      </c>
      <c r="Z48" s="513"/>
      <c r="AA48" s="511" t="s">
        <v>99</v>
      </c>
      <c r="AB48" s="511"/>
      <c r="AC48" s="99">
        <f>AC43+1</f>
        <v>4</v>
      </c>
      <c r="AD48" s="95">
        <f>VLOOKUP(AC48,STN_TABLE_2,2,FALSE)</f>
        <v>1.5</v>
      </c>
      <c r="AE48" s="68">
        <f>VLOOKUP(AD48,STN_TABLE,2,FALSE)</f>
        <v>4.8</v>
      </c>
      <c r="AF48" s="68">
        <v>1</v>
      </c>
      <c r="AG48" s="69">
        <f>AE48*AF48</f>
        <v>4.8</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5.8</v>
      </c>
      <c r="E49" s="92">
        <v>1</v>
      </c>
      <c r="F49" s="82">
        <f>D49*E49</f>
        <v>5.8</v>
      </c>
      <c r="G49" s="83">
        <f>C49</f>
        <v>2</v>
      </c>
      <c r="H49" s="83">
        <f>F49*G49</f>
        <v>11.6</v>
      </c>
      <c r="I49" s="84" t="str">
        <f>CONCATENATE("a'(",C49,")=")</f>
        <v>a'(2)=</v>
      </c>
      <c r="J49" s="84">
        <f>2*J47/3*F50</f>
        <v>17.448</v>
      </c>
      <c r="K49" s="84" t="str">
        <f>CONCATENATE("A(",C47,")=")</f>
        <v>A(1)=</v>
      </c>
      <c r="L49" s="84">
        <f>VLOOKUP(C47,STN_TABLE,3,FALSE)</f>
        <v>10.655999999999999</v>
      </c>
      <c r="M49" t="str">
        <f>CONCATENATE("A(",C49,")=")</f>
        <v>A(2)=</v>
      </c>
      <c r="N49">
        <f>J49+L49</f>
        <v>28.103999999999999</v>
      </c>
      <c r="O49" s="99">
        <f>O48+1</f>
        <v>6</v>
      </c>
      <c r="P49" s="99">
        <f t="shared" si="10"/>
        <v>3</v>
      </c>
      <c r="Q49" s="82">
        <f>IF(P49-P48=P48-P47,P49,IF(P50-P48=P48-P47,P50,IF(P49-P48=P48-P46,P49,IF(P50-P48=P48-P46,P50,"-"))))</f>
        <v>3</v>
      </c>
      <c r="R49" s="83">
        <f>VLOOKUP(Q49,STN_TABLE,2,FALSE)</f>
        <v>9.1999999999999993</v>
      </c>
      <c r="S49" s="83">
        <v>-1</v>
      </c>
      <c r="T49" s="82">
        <f>R49*S49</f>
        <v>-9.1999999999999993</v>
      </c>
      <c r="U49" s="88">
        <v>-1</v>
      </c>
      <c r="V49" s="82">
        <f>R49*U49</f>
        <v>-9.1999999999999993</v>
      </c>
      <c r="W49" s="84" t="str">
        <f>CONCATENATE("a'(",Q48,")=")</f>
        <v>a'(2)=</v>
      </c>
      <c r="X49" s="84">
        <f>2*X47/12*T50</f>
        <v>17.279999999999998</v>
      </c>
      <c r="Y49" s="84" t="str">
        <f>CONCATENATE("A(",Q47,")=")</f>
        <v>A(1)=</v>
      </c>
      <c r="Z49" s="84">
        <f>VLOOKUP(Q47,STN_TABLE,3,FALSE)</f>
        <v>10.655999999999999</v>
      </c>
      <c r="AA49" t="str">
        <f>CONCATENATE("A(",Q48,")=")</f>
        <v>A(2)=</v>
      </c>
      <c r="AB49">
        <f>X49+Z49</f>
        <v>27.935999999999996</v>
      </c>
      <c r="AC49" s="99">
        <f>AC48+1</f>
        <v>5</v>
      </c>
      <c r="AD49" s="100">
        <f>VLOOKUP(AC49,STN_TABLE_2,2,FALSE)</f>
        <v>2</v>
      </c>
      <c r="AE49" s="82">
        <f>VLOOKUP(AD49,STN_TABLE,2,FALSE)</f>
        <v>5.8</v>
      </c>
      <c r="AF49" s="82">
        <v>2</v>
      </c>
      <c r="AG49" s="83">
        <f>AE49*AF49</f>
        <v>11.6</v>
      </c>
      <c r="AH49" s="84" t="str">
        <f>CONCATENATE("a'(",AD49,")=")</f>
        <v>a'(2)=</v>
      </c>
      <c r="AI49" s="84">
        <f>2*AI47/2*AE50</f>
        <v>9.5399999999999991</v>
      </c>
      <c r="AJ49" s="84" t="str">
        <f>CONCATENATE("A(",AD48,")=")</f>
        <v>A(1.5)=</v>
      </c>
      <c r="AK49" s="84">
        <f>VLOOKUP(AD48,STN_TABLE,3,FALSE)</f>
        <v>18.516000000000002</v>
      </c>
      <c r="AL49" t="str">
        <f>CONCATENATE("A(",AD49,")=")</f>
        <v>A(2)=</v>
      </c>
      <c r="AM49">
        <f>AI49+AK49</f>
        <v>28.056000000000001</v>
      </c>
      <c r="AO49" s="68" t="str">
        <f>AA49</f>
        <v>A(2)=</v>
      </c>
      <c r="AP49" s="68" t="e">
        <f>VLOOKUP(AO49,Rise_Results,2,FALSE)</f>
        <v>#N/A</v>
      </c>
      <c r="AQ49" s="76">
        <f>N49</f>
        <v>28.103999999999999</v>
      </c>
      <c r="AR49" s="76">
        <f>IF(OR(AB49&lt;=0,AB50&lt;=0),1/0,AB49)</f>
        <v>27.935999999999996</v>
      </c>
      <c r="AS49" s="76">
        <f>AM49</f>
        <v>28.056000000000001</v>
      </c>
      <c r="AT49">
        <f>IFERROR(AP49,IFERROR(AQ49,IFERROR(AR49,AS49)))</f>
        <v>28.103999999999999</v>
      </c>
      <c r="AU49" s="81"/>
    </row>
    <row r="50" spans="1:47" x14ac:dyDescent="0.25">
      <c r="A50" s="84">
        <f>A49+1</f>
        <v>5</v>
      </c>
      <c r="B50" s="84">
        <f t="shared" si="11"/>
        <v>2</v>
      </c>
      <c r="F50" s="82">
        <f>SUM(F47:F49)</f>
        <v>29.080000000000002</v>
      </c>
      <c r="H50" s="82">
        <f>SUM(H47:H49)</f>
        <v>44.48</v>
      </c>
      <c r="I50" s="84" t="str">
        <f>CONCATENATE("m'(",C49,")=")</f>
        <v>m'(2)=</v>
      </c>
      <c r="J50" s="84">
        <f>2*(J47*(WLS))/3*H50</f>
        <v>48.038400000000003</v>
      </c>
      <c r="K50" s="84" t="str">
        <f>CONCATENATE("M(",C47,")=")</f>
        <v>M(1)=</v>
      </c>
      <c r="L50" s="84">
        <f>VLOOKUP(C47,STN_TABLE,4,FALSE)</f>
        <v>11.2536</v>
      </c>
      <c r="M50" t="str">
        <f>CONCATENATE("M(",C49,")=")</f>
        <v>M(2)=</v>
      </c>
      <c r="N50">
        <f>J50+L50</f>
        <v>59.292000000000002</v>
      </c>
      <c r="O50" s="99">
        <f>O49+1</f>
        <v>7</v>
      </c>
      <c r="P50" s="99">
        <f t="shared" si="10"/>
        <v>4</v>
      </c>
      <c r="T50" s="89">
        <f>SUM(T47:T49)</f>
        <v>57.599999999999994</v>
      </c>
      <c r="V50" s="82">
        <f>SUM(V47:V49)</f>
        <v>61.039999999999992</v>
      </c>
      <c r="W50" s="84" t="str">
        <f>CONCATENATE("m'(",Q48,")=")</f>
        <v>m'(2)=</v>
      </c>
      <c r="X50" s="84">
        <f>(2*(X47^2)/24*V50)+(X49*Q47*WLS)</f>
        <v>47.584799999999994</v>
      </c>
      <c r="Y50" s="84" t="str">
        <f>CONCATENATE("M(",Q47,")=")</f>
        <v>M(1)=</v>
      </c>
      <c r="Z50" s="84">
        <f>VLOOKUP(Q47,STN_TABLE,4,FALSE)</f>
        <v>11.2536</v>
      </c>
      <c r="AA50" t="str">
        <f>CONCATENATE("M(",Q48,")=")</f>
        <v>M(2)=</v>
      </c>
      <c r="AB50">
        <f>X50+Z50</f>
        <v>58.838399999999993</v>
      </c>
      <c r="AE50" s="89">
        <f>SUM(AE48:AE49)</f>
        <v>10.6</v>
      </c>
      <c r="AG50" s="89">
        <f>SUM(AG48:AG49)</f>
        <v>16.399999999999999</v>
      </c>
      <c r="AH50" s="84" t="str">
        <f>CONCATENATE("m'(",AD49,")=")</f>
        <v>m'(2)=</v>
      </c>
      <c r="AI50" s="84">
        <f>(2*(AI47^2)/6*AG50)+(AI49*AD48*WLS)</f>
        <v>30.186</v>
      </c>
      <c r="AJ50" s="84" t="str">
        <f>CONCATENATE("M(",AD48,")=")</f>
        <v>M(1.5)=</v>
      </c>
      <c r="AK50" s="84">
        <f>VLOOKUP(AD48,STN_TABLE,4,FALSE)</f>
        <v>29.180250000000001</v>
      </c>
      <c r="AL50" t="str">
        <f>CONCATENATE("M(",AD49,")=")</f>
        <v>M(2)=</v>
      </c>
      <c r="AM50">
        <f>AI50+AK50</f>
        <v>59.366250000000001</v>
      </c>
      <c r="AO50" s="82" t="str">
        <f>AA50</f>
        <v>M(2)=</v>
      </c>
      <c r="AP50" s="82" t="e">
        <f>VLOOKUP(AO50,Rise_Results,2,FALSE)</f>
        <v>#N/A</v>
      </c>
      <c r="AQ50" s="82">
        <f>N50</f>
        <v>59.292000000000002</v>
      </c>
      <c r="AR50" s="82">
        <f>IF(OR(AB49&lt;=0,AB50&lt;=0),1/0,AB50)</f>
        <v>58.838399999999993</v>
      </c>
      <c r="AS50" s="82">
        <f>AM50</f>
        <v>59.366250000000001</v>
      </c>
      <c r="AT50">
        <f>IFERROR(AP50,IFERROR(AQ50,IFERROR(AR50,AS50)))</f>
        <v>59.292000000000002</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4.08</v>
      </c>
      <c r="E52" s="102">
        <v>1</v>
      </c>
      <c r="F52" s="68">
        <f>D52*E52</f>
        <v>4.08</v>
      </c>
      <c r="G52" s="69">
        <f>C52</f>
        <v>1</v>
      </c>
      <c r="H52" s="69">
        <f>F52*G52</f>
        <v>4.08</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5.8</v>
      </c>
      <c r="S52" s="69">
        <v>5</v>
      </c>
      <c r="T52" s="68">
        <f>R52*S52</f>
        <v>29</v>
      </c>
      <c r="U52" s="79">
        <v>3</v>
      </c>
      <c r="V52" s="68">
        <f>R52*U52</f>
        <v>17.399999999999999</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5.8</v>
      </c>
      <c r="E53" s="81">
        <v>4</v>
      </c>
      <c r="F53" s="76">
        <f>D53*E53</f>
        <v>23.2</v>
      </c>
      <c r="G53" s="77">
        <f>C53</f>
        <v>2</v>
      </c>
      <c r="H53" s="77">
        <f>F53*G53</f>
        <v>46.4</v>
      </c>
      <c r="I53" s="512" t="s">
        <v>97</v>
      </c>
      <c r="J53" s="513"/>
      <c r="K53" s="78" t="s">
        <v>98</v>
      </c>
      <c r="L53" s="78"/>
      <c r="M53" s="7" t="s">
        <v>99</v>
      </c>
      <c r="N53" s="7"/>
      <c r="O53" s="99">
        <f>O52+1</f>
        <v>6</v>
      </c>
      <c r="P53" s="99">
        <f t="shared" si="10"/>
        <v>3</v>
      </c>
      <c r="Q53" s="76">
        <f>P53</f>
        <v>3</v>
      </c>
      <c r="R53" s="77">
        <f>VLOOKUP(Q53,STN_TABLE,2,FALSE)</f>
        <v>9.1999999999999993</v>
      </c>
      <c r="S53" s="77">
        <v>8</v>
      </c>
      <c r="T53" s="76">
        <f>R53*S53</f>
        <v>73.599999999999994</v>
      </c>
      <c r="U53" s="80">
        <v>10</v>
      </c>
      <c r="V53" s="76">
        <f>R53*U53</f>
        <v>92</v>
      </c>
      <c r="W53" s="513" t="s">
        <v>97</v>
      </c>
      <c r="X53" s="513"/>
      <c r="Y53" s="513" t="s">
        <v>98</v>
      </c>
      <c r="Z53" s="513"/>
      <c r="AA53" s="511" t="s">
        <v>99</v>
      </c>
      <c r="AB53" s="511"/>
      <c r="AC53" s="99">
        <f>AC48+1</f>
        <v>5</v>
      </c>
      <c r="AD53" s="95">
        <f>VLOOKUP(AC53,STN_TABLE_2,2,FALSE)</f>
        <v>2</v>
      </c>
      <c r="AE53" s="68">
        <f>VLOOKUP(AD53,STN_TABLE,2,FALSE)</f>
        <v>5.8</v>
      </c>
      <c r="AF53" s="68">
        <v>1</v>
      </c>
      <c r="AG53" s="69">
        <f>AE53*AF53</f>
        <v>5.8</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9.1999999999999993</v>
      </c>
      <c r="E54" s="92">
        <v>1</v>
      </c>
      <c r="F54" s="82">
        <f>D54*E54</f>
        <v>9.1999999999999993</v>
      </c>
      <c r="G54" s="83">
        <f>C54</f>
        <v>3</v>
      </c>
      <c r="H54" s="83">
        <f>F54*G54</f>
        <v>27.599999999999998</v>
      </c>
      <c r="I54" s="84" t="str">
        <f>CONCATENATE("a'(",C54,")=")</f>
        <v>a'(3)=</v>
      </c>
      <c r="J54" s="84">
        <f>2*J52/3*F55</f>
        <v>43.776000000000003</v>
      </c>
      <c r="K54" s="84" t="str">
        <f>CONCATENATE("A(",C52,")=")</f>
        <v>A(1)=</v>
      </c>
      <c r="L54" s="84">
        <f>VLOOKUP(C52,STN_TABLE,3,FALSE)</f>
        <v>10.655999999999999</v>
      </c>
      <c r="M54" t="str">
        <f>CONCATENATE("A(",C54,")=")</f>
        <v>A(3)=</v>
      </c>
      <c r="N54">
        <f>J54+L54</f>
        <v>54.432000000000002</v>
      </c>
      <c r="O54" s="99">
        <f>O53+1</f>
        <v>7</v>
      </c>
      <c r="P54" s="99">
        <f t="shared" si="10"/>
        <v>4</v>
      </c>
      <c r="Q54" s="82">
        <f>IF(P54-P53=P53-P52,P54,IF(P55-P53=P53-P52,P55,IF(P54-P53=P53-P51,P54,IF(P55-P53=P53-P51,P55,"-"))))</f>
        <v>4</v>
      </c>
      <c r="R54" s="83">
        <f>VLOOKUP(Q54,STN_TABLE,2,FALSE)</f>
        <v>11.17</v>
      </c>
      <c r="S54" s="83">
        <v>-1</v>
      </c>
      <c r="T54" s="82">
        <f>R54*S54</f>
        <v>-11.17</v>
      </c>
      <c r="U54" s="88">
        <v>-1</v>
      </c>
      <c r="V54" s="82">
        <f>R54*U54</f>
        <v>-11.17</v>
      </c>
      <c r="W54" s="84" t="str">
        <f>CONCATENATE("a'(",Q53,")=")</f>
        <v>a'(3)=</v>
      </c>
      <c r="X54" s="84">
        <f>2*X52/12*T55</f>
        <v>27.428999999999998</v>
      </c>
      <c r="Y54" s="84" t="str">
        <f>CONCATENATE("A(",Q52,")=")</f>
        <v>A(2)=</v>
      </c>
      <c r="Z54" s="84">
        <f>VLOOKUP(Q52,STN_TABLE,3,FALSE)</f>
        <v>28.103999999999999</v>
      </c>
      <c r="AA54" t="str">
        <f>CONCATENATE("A(",Q53,")=")</f>
        <v>A(3)=</v>
      </c>
      <c r="AB54">
        <f>X54+Z54</f>
        <v>55.533000000000001</v>
      </c>
      <c r="AC54" s="99">
        <f>AC53+1</f>
        <v>6</v>
      </c>
      <c r="AD54" s="100">
        <f>VLOOKUP(AC54,STN_TABLE_2,2,FALSE)</f>
        <v>3</v>
      </c>
      <c r="AE54" s="82">
        <f>VLOOKUP(AD54,STN_TABLE,2,FALSE)</f>
        <v>9.1999999999999993</v>
      </c>
      <c r="AF54" s="82">
        <v>2</v>
      </c>
      <c r="AG54" s="83">
        <f>AE54*AF54</f>
        <v>18.399999999999999</v>
      </c>
      <c r="AH54" s="84" t="str">
        <f>CONCATENATE("a'(",AD54,")=")</f>
        <v>a'(3)=</v>
      </c>
      <c r="AI54" s="84">
        <f>2*AI52/2*AE55</f>
        <v>27</v>
      </c>
      <c r="AJ54" s="84" t="str">
        <f>CONCATENATE("A(",AD53,")=")</f>
        <v>A(2)=</v>
      </c>
      <c r="AK54" s="84">
        <f>VLOOKUP(AD53,STN_TABLE,3,FALSE)</f>
        <v>28.103999999999999</v>
      </c>
      <c r="AL54" t="str">
        <f>CONCATENATE("A(",AD54,")=")</f>
        <v>A(3)=</v>
      </c>
      <c r="AM54">
        <f>AI54+AK54</f>
        <v>55.103999999999999</v>
      </c>
      <c r="AO54" s="68" t="str">
        <f>AA54</f>
        <v>A(3)=</v>
      </c>
      <c r="AP54" s="68" t="e">
        <f>VLOOKUP(AO54,Rise_Results,2,FALSE)</f>
        <v>#N/A</v>
      </c>
      <c r="AQ54" s="76">
        <f>N54</f>
        <v>54.432000000000002</v>
      </c>
      <c r="AR54" s="76">
        <f>IF(OR(AB54&lt;=0,AB55&lt;=0),1/0,AB54)</f>
        <v>55.533000000000001</v>
      </c>
      <c r="AS54" s="76">
        <f>AM54</f>
        <v>55.103999999999999</v>
      </c>
      <c r="AT54">
        <f>IFERROR(AP54,IFERROR(AQ54,IFERROR(AR54,AS54)))</f>
        <v>54.432000000000002</v>
      </c>
      <c r="AU54" s="81"/>
    </row>
    <row r="55" spans="1:47" x14ac:dyDescent="0.25">
      <c r="A55" s="84">
        <f>A54+1</f>
        <v>6</v>
      </c>
      <c r="B55" s="84">
        <f t="shared" si="11"/>
        <v>3</v>
      </c>
      <c r="F55" s="82">
        <f>SUM(F52:F54)</f>
        <v>36.480000000000004</v>
      </c>
      <c r="H55" s="82">
        <f>SUM(H52:H54)</f>
        <v>78.08</v>
      </c>
      <c r="I55" s="84" t="str">
        <f>CONCATENATE("m'(",C54,")=")</f>
        <v>m'(3)=</v>
      </c>
      <c r="J55" s="84">
        <f>2*(J52*(WLS))/3*H55</f>
        <v>168.65280000000001</v>
      </c>
      <c r="K55" s="84" t="str">
        <f>CONCATENATE("M(",C52,")=")</f>
        <v>M(1)=</v>
      </c>
      <c r="L55" s="84">
        <f>VLOOKUP(C52,STN_TABLE,4,FALSE)</f>
        <v>11.2536</v>
      </c>
      <c r="M55" t="str">
        <f>CONCATENATE("M(",C54,")=")</f>
        <v>M(3)=</v>
      </c>
      <c r="N55">
        <f>J55+L55</f>
        <v>179.90640000000002</v>
      </c>
      <c r="O55" s="99">
        <f>O54+1</f>
        <v>8</v>
      </c>
      <c r="P55" s="99">
        <f t="shared" si="10"/>
        <v>5</v>
      </c>
      <c r="T55" s="89">
        <f>SUM(T52:T54)</f>
        <v>91.429999999999993</v>
      </c>
      <c r="V55" s="82">
        <f>SUM(V52:V54)</f>
        <v>98.23</v>
      </c>
      <c r="W55" s="84" t="str">
        <f>CONCATENATE("m'(",Q53,")=")</f>
        <v>m'(3)=</v>
      </c>
      <c r="X55" s="84">
        <f>(2*(X52^2)/24*V55)+(X54*Q52*WLS)</f>
        <v>125.26650000000001</v>
      </c>
      <c r="Y55" s="84" t="str">
        <f>CONCATENATE("M(",Q52,")=")</f>
        <v>M(2)=</v>
      </c>
      <c r="Z55" s="84">
        <f>VLOOKUP(Q52,STN_TABLE,4,FALSE)</f>
        <v>59.292000000000002</v>
      </c>
      <c r="AA55" t="str">
        <f>CONCATENATE("M(",Q53,")=")</f>
        <v>M(3)=</v>
      </c>
      <c r="AB55">
        <f>X55+Z55</f>
        <v>184.55850000000001</v>
      </c>
      <c r="AE55" s="89">
        <f>SUM(AE53:AE54)</f>
        <v>15</v>
      </c>
      <c r="AG55" s="89">
        <f>SUM(AG53:AG54)</f>
        <v>24.2</v>
      </c>
      <c r="AH55" s="84" t="str">
        <f>CONCATENATE("m'(",AD54,")=")</f>
        <v>m'(3)=</v>
      </c>
      <c r="AI55" s="84">
        <f>(2*(AI52^2)/6*AG55)+(AI54*AD53*WLS)</f>
        <v>123.336</v>
      </c>
      <c r="AJ55" s="84" t="str">
        <f>CONCATENATE("M(",AD53,")=")</f>
        <v>M(2)=</v>
      </c>
      <c r="AK55" s="84">
        <f>VLOOKUP(AD53,STN_TABLE,4,FALSE)</f>
        <v>59.292000000000002</v>
      </c>
      <c r="AL55" t="str">
        <f>CONCATENATE("M(",AD54,")=")</f>
        <v>M(3)=</v>
      </c>
      <c r="AM55">
        <f>AI55+AK55</f>
        <v>182.62799999999999</v>
      </c>
      <c r="AO55" s="82" t="str">
        <f>AA55</f>
        <v>M(3)=</v>
      </c>
      <c r="AP55" s="82" t="e">
        <f>VLOOKUP(AO55,Rise_Results,2,FALSE)</f>
        <v>#N/A</v>
      </c>
      <c r="AQ55" s="82">
        <f>N55</f>
        <v>179.90640000000002</v>
      </c>
      <c r="AR55" s="82">
        <f>IF(OR(AB54&lt;=0,AB55&lt;=0),1/0,AB55)</f>
        <v>184.55850000000001</v>
      </c>
      <c r="AS55" s="82">
        <f>AM55</f>
        <v>182.62799999999999</v>
      </c>
      <c r="AT55">
        <f>IFERROR(AP55,IFERROR(AQ55,IFERROR(AR55,AS55)))</f>
        <v>179.90640000000002</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5.8</v>
      </c>
      <c r="E57" s="102">
        <v>1</v>
      </c>
      <c r="F57" s="68">
        <f>D57*E57</f>
        <v>5.8</v>
      </c>
      <c r="G57" s="69">
        <f>C57</f>
        <v>2</v>
      </c>
      <c r="H57" s="69">
        <f>F57*G57</f>
        <v>11.6</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9.1999999999999993</v>
      </c>
      <c r="S57" s="69">
        <v>5</v>
      </c>
      <c r="T57" s="68">
        <f>R57*S57</f>
        <v>46</v>
      </c>
      <c r="U57" s="79">
        <v>3</v>
      </c>
      <c r="V57" s="68">
        <f>R57*U57</f>
        <v>27.599999999999998</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9.1999999999999993</v>
      </c>
      <c r="E58" s="81">
        <v>4</v>
      </c>
      <c r="F58" s="76">
        <f>D58*E58</f>
        <v>36.799999999999997</v>
      </c>
      <c r="G58" s="77">
        <f>C58</f>
        <v>3</v>
      </c>
      <c r="H58" s="77">
        <f>F58*G58</f>
        <v>110.39999999999999</v>
      </c>
      <c r="I58" s="512" t="s">
        <v>97</v>
      </c>
      <c r="J58" s="513"/>
      <c r="K58" s="78" t="s">
        <v>98</v>
      </c>
      <c r="L58" s="78"/>
      <c r="M58" s="7" t="s">
        <v>99</v>
      </c>
      <c r="N58" s="7"/>
      <c r="O58" s="99">
        <f>O57+1</f>
        <v>7</v>
      </c>
      <c r="P58" s="99">
        <f t="shared" si="10"/>
        <v>4</v>
      </c>
      <c r="Q58" s="76">
        <f>P58</f>
        <v>4</v>
      </c>
      <c r="R58" s="77">
        <f>VLOOKUP(Q58,STN_TABLE,2,FALSE)</f>
        <v>11.17</v>
      </c>
      <c r="S58" s="77">
        <v>8</v>
      </c>
      <c r="T58" s="76">
        <f>R58*S58</f>
        <v>89.36</v>
      </c>
      <c r="U58" s="80">
        <v>10</v>
      </c>
      <c r="V58" s="76">
        <f>R58*U58</f>
        <v>111.7</v>
      </c>
      <c r="W58" s="78" t="s">
        <v>97</v>
      </c>
      <c r="X58" s="78"/>
      <c r="Y58" s="78" t="s">
        <v>98</v>
      </c>
      <c r="Z58" s="78"/>
      <c r="AA58" s="7" t="s">
        <v>99</v>
      </c>
      <c r="AB58" s="7"/>
      <c r="AC58" s="99">
        <f>AC53+1</f>
        <v>6</v>
      </c>
      <c r="AD58" s="95">
        <f>VLOOKUP(AC58,STN_TABLE_2,2,FALSE)</f>
        <v>3</v>
      </c>
      <c r="AE58" s="68">
        <f>VLOOKUP(AD58,STN_TABLE,2,FALSE)</f>
        <v>9.1999999999999993</v>
      </c>
      <c r="AF58" s="68">
        <v>1</v>
      </c>
      <c r="AG58" s="69">
        <f>AE58*AF58</f>
        <v>9.1999999999999993</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11.17</v>
      </c>
      <c r="E59" s="92">
        <v>1</v>
      </c>
      <c r="F59" s="82">
        <f>D59*E59</f>
        <v>11.17</v>
      </c>
      <c r="G59" s="83">
        <f>C59</f>
        <v>4</v>
      </c>
      <c r="H59" s="83">
        <f>F59*G59</f>
        <v>44.68</v>
      </c>
      <c r="I59" s="84" t="str">
        <f>CONCATENATE("a'(",C59,")=")</f>
        <v>a'(4)=</v>
      </c>
      <c r="J59" s="84">
        <f>2*J57/3*F60</f>
        <v>64.523999999999987</v>
      </c>
      <c r="K59" s="84" t="str">
        <f>CONCATENATE("A(",C57,")=")</f>
        <v>A(2)=</v>
      </c>
      <c r="L59" s="84">
        <f>VLOOKUP(C57,STN_TABLE,3,FALSE)</f>
        <v>28.103999999999999</v>
      </c>
      <c r="M59" t="str">
        <f>CONCATENATE("A(",C59,")=")</f>
        <v>A(4)=</v>
      </c>
      <c r="N59">
        <f>J59+L59</f>
        <v>92.627999999999986</v>
      </c>
      <c r="O59" s="99">
        <f>O58+1</f>
        <v>8</v>
      </c>
      <c r="P59" s="99">
        <f t="shared" si="10"/>
        <v>5</v>
      </c>
      <c r="Q59" s="82">
        <f>IF(P59-P58=P58-P57,P59,IF(P60-P58=P58-P57,P60,IF(P59-P58=P58-P56,P59,IF(P60-P58=P58-P56,P60,"-"))))</f>
        <v>5</v>
      </c>
      <c r="R59" s="83">
        <f>VLOOKUP(Q59,STN_TABLE,2,FALSE)</f>
        <v>11.91</v>
      </c>
      <c r="S59" s="83">
        <v>-1</v>
      </c>
      <c r="T59" s="82">
        <f>R59*S59</f>
        <v>-11.91</v>
      </c>
      <c r="U59" s="88">
        <v>-1</v>
      </c>
      <c r="V59" s="82">
        <f>R59*U59</f>
        <v>-11.91</v>
      </c>
      <c r="W59" s="84" t="str">
        <f>CONCATENATE("a'(",Q58,")=")</f>
        <v>a'(4)=</v>
      </c>
      <c r="X59" s="84">
        <f>2*X57/12*T60</f>
        <v>37.035000000000004</v>
      </c>
      <c r="Y59" s="84" t="str">
        <f>CONCATENATE("A(",Q57,")=")</f>
        <v>A(3)=</v>
      </c>
      <c r="Z59" s="84">
        <f>VLOOKUP(Q57,STN_TABLE,3,FALSE)</f>
        <v>54.432000000000002</v>
      </c>
      <c r="AA59" t="str">
        <f>CONCATENATE("A(",Q58,")=")</f>
        <v>A(4)=</v>
      </c>
      <c r="AB59">
        <f>X59+Z59</f>
        <v>91.467000000000013</v>
      </c>
      <c r="AC59" s="99">
        <f>AC58+1</f>
        <v>7</v>
      </c>
      <c r="AD59" s="100">
        <f>VLOOKUP(AC59,STN_TABLE_2,2,FALSE)</f>
        <v>4</v>
      </c>
      <c r="AE59" s="82">
        <f>VLOOKUP(AD59,STN_TABLE,2,FALSE)</f>
        <v>11.17</v>
      </c>
      <c r="AF59" s="82">
        <v>2</v>
      </c>
      <c r="AG59" s="83">
        <f>AE59*AF59</f>
        <v>22.34</v>
      </c>
      <c r="AH59" s="84" t="str">
        <f>CONCATENATE("a'(",AD59,")=")</f>
        <v>a'(4)=</v>
      </c>
      <c r="AI59" s="84">
        <f>2*AI57/2*AE60</f>
        <v>36.665999999999997</v>
      </c>
      <c r="AJ59" s="84" t="str">
        <f>CONCATENATE("A(",AD58,")=")</f>
        <v>A(3)=</v>
      </c>
      <c r="AK59" s="84">
        <f>VLOOKUP(AD58,STN_TABLE,3,FALSE)</f>
        <v>54.432000000000002</v>
      </c>
      <c r="AL59" t="str">
        <f>CONCATENATE("A(",AD59,")=")</f>
        <v>A(4)=</v>
      </c>
      <c r="AM59">
        <f>AI59+AK59</f>
        <v>91.097999999999999</v>
      </c>
      <c r="AO59" s="68" t="str">
        <f>AA59</f>
        <v>A(4)=</v>
      </c>
      <c r="AP59" s="68" t="e">
        <f>VLOOKUP(AO59,Rise_Results,2,FALSE)</f>
        <v>#N/A</v>
      </c>
      <c r="AQ59" s="76">
        <f>N59</f>
        <v>92.627999999999986</v>
      </c>
      <c r="AR59" s="76">
        <f>IF(OR(AB59&lt;=0,AB60&lt;=0),1/0,AB59)</f>
        <v>91.467000000000013</v>
      </c>
      <c r="AS59" s="76">
        <f>AM59</f>
        <v>91.097999999999999</v>
      </c>
      <c r="AT59">
        <f>IFERROR(AP59,IFERROR(AQ59,IFERROR(AR59,AS59)))</f>
        <v>92.627999999999986</v>
      </c>
      <c r="AU59" s="81"/>
    </row>
    <row r="60" spans="1:47" x14ac:dyDescent="0.25">
      <c r="A60" s="84">
        <f>A59+1</f>
        <v>7</v>
      </c>
      <c r="B60" s="84">
        <f t="shared" si="11"/>
        <v>4</v>
      </c>
      <c r="F60" s="82">
        <f>SUM(F57:F59)</f>
        <v>53.769999999999996</v>
      </c>
      <c r="H60" s="82">
        <f>SUM(H57:H59)</f>
        <v>166.67999999999998</v>
      </c>
      <c r="I60" s="84" t="str">
        <f>CONCATENATE("m'(",C59,")=")</f>
        <v>m'(4)=</v>
      </c>
      <c r="J60" s="84">
        <f>2*(J57*(WLS))/3*H60</f>
        <v>360.02879999999999</v>
      </c>
      <c r="K60" s="84" t="str">
        <f>CONCATENATE("M(",C57,")=")</f>
        <v>M(2)=</v>
      </c>
      <c r="L60" s="84">
        <f>VLOOKUP(C57,STN_TABLE,4,FALSE)</f>
        <v>59.292000000000002</v>
      </c>
      <c r="M60" t="str">
        <f>CONCATENATE("M(",C59,")=")</f>
        <v>M(4)=</v>
      </c>
      <c r="N60">
        <f>J60+L60</f>
        <v>419.32079999999996</v>
      </c>
      <c r="O60" s="99">
        <f>O59+1</f>
        <v>9</v>
      </c>
      <c r="P60" s="99">
        <f t="shared" si="10"/>
        <v>5.6111111111111107</v>
      </c>
      <c r="T60" s="89">
        <f>SUM(T57:T59)</f>
        <v>123.45000000000002</v>
      </c>
      <c r="V60" s="82">
        <f>SUM(V57:V59)</f>
        <v>127.39000000000001</v>
      </c>
      <c r="W60" s="84" t="str">
        <f>CONCATENATE("m'(",Q58,")=")</f>
        <v>m'(4)=</v>
      </c>
      <c r="X60" s="84">
        <f>(2*(X57^2)/24*V60)+(X59*Q57*WLS)</f>
        <v>234.38430000000005</v>
      </c>
      <c r="Y60" s="84" t="str">
        <f>CONCATENATE("M(",Q57,")=")</f>
        <v>M(3)=</v>
      </c>
      <c r="Z60" s="84">
        <f>VLOOKUP(Q57,STN_TABLE,4,FALSE)</f>
        <v>179.90640000000002</v>
      </c>
      <c r="AA60" t="str">
        <f>CONCATENATE("M(",Q58,")=")</f>
        <v>M(4)=</v>
      </c>
      <c r="AB60">
        <f>X60+Z60</f>
        <v>414.29070000000007</v>
      </c>
      <c r="AE60" s="89">
        <f>SUM(AE58:AE59)</f>
        <v>20.369999999999997</v>
      </c>
      <c r="AG60" s="89">
        <f>SUM(AG58:AG59)</f>
        <v>31.54</v>
      </c>
      <c r="AH60" s="84" t="str">
        <f>CONCATENATE("m'(",AD59,")=")</f>
        <v>m'(4)=</v>
      </c>
      <c r="AI60" s="84">
        <f>(2*(AI57^2)/6*AG60)+(AI59*AD58*WLS)</f>
        <v>232.05959999999999</v>
      </c>
      <c r="AJ60" s="84" t="str">
        <f>CONCATENATE("M(",AD58,")=")</f>
        <v>M(3)=</v>
      </c>
      <c r="AK60" s="84">
        <f>VLOOKUP(AD57,STN_TABLE,4,FALSE)</f>
        <v>0</v>
      </c>
      <c r="AL60" t="str">
        <f>CONCATENATE("M(",AD59,")=")</f>
        <v>M(4)=</v>
      </c>
      <c r="AM60">
        <f>AI60+AK60</f>
        <v>232.05959999999999</v>
      </c>
      <c r="AO60" s="82" t="str">
        <f>AA60</f>
        <v>M(4)=</v>
      </c>
      <c r="AP60" s="82" t="e">
        <f>VLOOKUP(AO60,Rise_Results,2,FALSE)</f>
        <v>#N/A</v>
      </c>
      <c r="AQ60" s="82">
        <f>N60</f>
        <v>419.32079999999996</v>
      </c>
      <c r="AR60" s="82">
        <f>IF(OR(AB59&lt;=0,AB60&lt;=0),1/0,AB60)</f>
        <v>414.29070000000007</v>
      </c>
      <c r="AS60" s="82">
        <f>AM60</f>
        <v>232.05959999999999</v>
      </c>
      <c r="AT60">
        <f>IFERROR(AP60,IFERROR(AQ60,IFERROR(AR60,AS60)))</f>
        <v>419.32079999999996</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9.1999999999999993</v>
      </c>
      <c r="E62" s="102">
        <v>1</v>
      </c>
      <c r="F62" s="68">
        <f>D62*E62</f>
        <v>9.1999999999999993</v>
      </c>
      <c r="G62" s="69">
        <f>C62</f>
        <v>3</v>
      </c>
      <c r="H62" s="69">
        <f>F62*G62</f>
        <v>27.599999999999998</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11.17</v>
      </c>
      <c r="S62" s="69">
        <v>5</v>
      </c>
      <c r="T62" s="68">
        <f>R62*S62</f>
        <v>55.85</v>
      </c>
      <c r="U62" s="79">
        <v>3</v>
      </c>
      <c r="V62" s="68">
        <f>R62*U62</f>
        <v>33.51</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11.17</v>
      </c>
      <c r="E63" s="81">
        <v>4</v>
      </c>
      <c r="F63" s="76">
        <f>D63*E63</f>
        <v>44.68</v>
      </c>
      <c r="G63" s="77">
        <f>C63</f>
        <v>4</v>
      </c>
      <c r="H63" s="77">
        <f>F63*G63</f>
        <v>178.72</v>
      </c>
      <c r="I63" s="512" t="s">
        <v>97</v>
      </c>
      <c r="J63" s="513"/>
      <c r="K63" s="78" t="s">
        <v>98</v>
      </c>
      <c r="L63" s="78"/>
      <c r="M63" s="7" t="s">
        <v>99</v>
      </c>
      <c r="N63" s="7"/>
      <c r="O63" s="99">
        <f>O62+1</f>
        <v>8</v>
      </c>
      <c r="P63" s="99">
        <f t="shared" si="10"/>
        <v>5</v>
      </c>
      <c r="Q63" s="76">
        <f>P63</f>
        <v>5</v>
      </c>
      <c r="R63" s="77">
        <f>VLOOKUP(Q63,STN_TABLE,2,FALSE)</f>
        <v>11.91</v>
      </c>
      <c r="S63" s="77">
        <v>8</v>
      </c>
      <c r="T63" s="76">
        <f>R63*S63</f>
        <v>95.28</v>
      </c>
      <c r="U63" s="80">
        <v>10</v>
      </c>
      <c r="V63" s="76">
        <f>R63*U63</f>
        <v>119.1</v>
      </c>
      <c r="W63" s="513" t="s">
        <v>97</v>
      </c>
      <c r="X63" s="513"/>
      <c r="Y63" s="513" t="s">
        <v>98</v>
      </c>
      <c r="Z63" s="513"/>
      <c r="AA63" s="511" t="s">
        <v>99</v>
      </c>
      <c r="AB63" s="511"/>
      <c r="AC63" s="99">
        <f>AC58+1</f>
        <v>7</v>
      </c>
      <c r="AD63" s="95">
        <f>VLOOKUP(AC63,STN_TABLE_2,2,FALSE)</f>
        <v>4</v>
      </c>
      <c r="AE63" s="68">
        <f>VLOOKUP(AD63,STN_TABLE,2,FALSE)</f>
        <v>11.17</v>
      </c>
      <c r="AF63" s="68">
        <v>1</v>
      </c>
      <c r="AG63" s="69">
        <f>AE63*AF63</f>
        <v>11.17</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11.91</v>
      </c>
      <c r="E64" s="92">
        <v>1</v>
      </c>
      <c r="F64" s="82">
        <f>D64*E64</f>
        <v>11.91</v>
      </c>
      <c r="G64" s="83">
        <f>C64</f>
        <v>5</v>
      </c>
      <c r="H64" s="83">
        <f>F64*G64</f>
        <v>59.55</v>
      </c>
      <c r="I64" s="84" t="str">
        <f>CONCATENATE("a'(",C64,")=")</f>
        <v>a'(5)=</v>
      </c>
      <c r="J64" s="84">
        <f>2*J62/3*F65</f>
        <v>78.947999999999993</v>
      </c>
      <c r="K64" s="84" t="str">
        <f>CONCATENATE("A(",C62,")=")</f>
        <v>A(3)=</v>
      </c>
      <c r="L64" s="84">
        <f>VLOOKUP(C62,STN_TABLE,3,FALSE)</f>
        <v>54.432000000000002</v>
      </c>
      <c r="M64" t="str">
        <f>CONCATENATE("A(",C64,")=")</f>
        <v>A(5)=</v>
      </c>
      <c r="N64">
        <f>J64+L64</f>
        <v>133.38</v>
      </c>
      <c r="O64" s="99">
        <f>O63+1</f>
        <v>9</v>
      </c>
      <c r="P64" s="99">
        <f t="shared" si="10"/>
        <v>5.6111111111111107</v>
      </c>
      <c r="Q64" s="82">
        <f>IF(P64-P63=P63-P62,P64,IF(P65-P63=P63-P62,P65,IF(P64-P63=P63-P61,P64,IF(P65-P63=P63-P61,P65,"-"))))</f>
        <v>6</v>
      </c>
      <c r="R64" s="83">
        <f>VLOOKUP(Q64,STN_TABLE,2,FALSE)</f>
        <v>12.2</v>
      </c>
      <c r="S64" s="83">
        <v>-1</v>
      </c>
      <c r="T64" s="82">
        <f>R64*S64</f>
        <v>-12.2</v>
      </c>
      <c r="U64" s="88">
        <v>-1</v>
      </c>
      <c r="V64" s="82">
        <f>R64*U64</f>
        <v>-12.2</v>
      </c>
      <c r="W64" s="84" t="str">
        <f>CONCATENATE("a'(",Q63,")=")</f>
        <v>a'(5)=</v>
      </c>
      <c r="X64" s="84">
        <f>2*X62/12*T65</f>
        <v>41.679000000000002</v>
      </c>
      <c r="Y64" s="84" t="str">
        <f>CONCATENATE("A(",Q62,")=")</f>
        <v>A(4)=</v>
      </c>
      <c r="Z64" s="84">
        <f>VLOOKUP(Q62,STN_TABLE,3,FALSE)</f>
        <v>92.627999999999986</v>
      </c>
      <c r="AA64" t="str">
        <f>CONCATENATE("A(",Q63,")=")</f>
        <v>A(5)=</v>
      </c>
      <c r="AB64">
        <f>X64+Z64</f>
        <v>134.30699999999999</v>
      </c>
      <c r="AC64" s="99">
        <f>AC63+1</f>
        <v>8</v>
      </c>
      <c r="AD64" s="100">
        <f>VLOOKUP(AC64,STN_TABLE_2,2,FALSE)</f>
        <v>5</v>
      </c>
      <c r="AE64" s="82">
        <f>VLOOKUP(AD64,STN_TABLE,2,FALSE)</f>
        <v>11.91</v>
      </c>
      <c r="AF64" s="82">
        <v>2</v>
      </c>
      <c r="AG64" s="83">
        <f>AE64*AF64</f>
        <v>23.82</v>
      </c>
      <c r="AH64" s="84" t="str">
        <f>CONCATENATE("a'(",AD64,")=")</f>
        <v>a'(5)=</v>
      </c>
      <c r="AI64" s="84">
        <f>2*AI62/2*AE65</f>
        <v>41.543999999999997</v>
      </c>
      <c r="AJ64" s="84" t="str">
        <f>CONCATENATE("A(",AD63,")=")</f>
        <v>A(4)=</v>
      </c>
      <c r="AK64" s="84">
        <f>VLOOKUP(AD63,STN_TABLE,3,FALSE)</f>
        <v>92.627999999999986</v>
      </c>
      <c r="AL64" t="str">
        <f>CONCATENATE("A(",AD64,")=")</f>
        <v>A(5)=</v>
      </c>
      <c r="AM64">
        <f>AI64+AK64</f>
        <v>134.17199999999997</v>
      </c>
      <c r="AO64" s="68" t="str">
        <f>AA64</f>
        <v>A(5)=</v>
      </c>
      <c r="AP64" s="68" t="e">
        <f>VLOOKUP(AO64,Rise_Results,2,FALSE)</f>
        <v>#N/A</v>
      </c>
      <c r="AQ64" s="76">
        <f>N64</f>
        <v>133.38</v>
      </c>
      <c r="AR64" s="76">
        <f>IF(OR(AB64&lt;=0,AB65&lt;=0),1/0,AB64)</f>
        <v>134.30699999999999</v>
      </c>
      <c r="AS64" s="76">
        <f>AM64</f>
        <v>134.17199999999997</v>
      </c>
      <c r="AT64">
        <f>IFERROR(AP64,IFERROR(AQ64,IFERROR(AR64,AS64)))</f>
        <v>133.38</v>
      </c>
      <c r="AU64" s="81"/>
    </row>
    <row r="65" spans="1:47" x14ac:dyDescent="0.25">
      <c r="A65" s="84">
        <f>A64+1</f>
        <v>8</v>
      </c>
      <c r="B65" s="84">
        <f t="shared" si="11"/>
        <v>5</v>
      </c>
      <c r="F65" s="82">
        <f>SUM(F62:F64)</f>
        <v>65.789999999999992</v>
      </c>
      <c r="H65" s="82">
        <f>SUM(H62:H64)</f>
        <v>265.87</v>
      </c>
      <c r="I65" s="84" t="str">
        <f>CONCATENATE("m'(",C64,")=")</f>
        <v>m'(5)=</v>
      </c>
      <c r="J65" s="84">
        <f>2*(J62*(WLS))/3*H65</f>
        <v>574.27920000000006</v>
      </c>
      <c r="K65" s="84" t="str">
        <f>CONCATENATE("M(",C62,")=")</f>
        <v>M(3)=</v>
      </c>
      <c r="L65" s="84">
        <f>VLOOKUP(C62,STN_TABLE,4,FALSE)</f>
        <v>179.90640000000002</v>
      </c>
      <c r="M65" t="str">
        <f>CONCATENATE("M(",C64,")=")</f>
        <v>M(5)=</v>
      </c>
      <c r="N65">
        <f>J65+L65</f>
        <v>754.18560000000002</v>
      </c>
      <c r="O65" s="99">
        <f>O64+1</f>
        <v>10</v>
      </c>
      <c r="P65" s="99">
        <f t="shared" si="10"/>
        <v>6</v>
      </c>
      <c r="T65" s="89">
        <f>SUM(T62:T64)</f>
        <v>138.93</v>
      </c>
      <c r="V65" s="82">
        <f>SUM(V62:V64)</f>
        <v>140.41</v>
      </c>
      <c r="W65" s="84" t="str">
        <f>CONCATENATE("m'(",Q63,")=")</f>
        <v>m'(5)=</v>
      </c>
      <c r="X65" s="84">
        <f>(2*(X62^2)/24*V65)+(X64*Q62*WLS)</f>
        <v>337.99950000000007</v>
      </c>
      <c r="Y65" s="84" t="str">
        <f>CONCATENATE("M(",Q62,")=")</f>
        <v>M(4)=</v>
      </c>
      <c r="Z65" s="84">
        <f>VLOOKUP(Q62,STN_TABLE,4,FALSE)</f>
        <v>419.32079999999996</v>
      </c>
      <c r="AA65" t="str">
        <f>CONCATENATE("M(",Q63,")=")</f>
        <v>M(5)=</v>
      </c>
      <c r="AB65">
        <f>X65+Z65</f>
        <v>757.32030000000009</v>
      </c>
      <c r="AE65" s="89">
        <f>SUM(AE63:AE64)</f>
        <v>23.08</v>
      </c>
      <c r="AG65" s="89">
        <f>SUM(AG63:AG64)</f>
        <v>34.99</v>
      </c>
      <c r="AH65" s="84" t="str">
        <f>CONCATENATE("m'(",AD64,")=")</f>
        <v>m'(5)=</v>
      </c>
      <c r="AI65" s="84">
        <f>(2*(AI62^2)/6*AG65)+(AI64*AD63*WLS)</f>
        <v>336.90600000000001</v>
      </c>
      <c r="AJ65" s="84" t="str">
        <f>CONCATENATE("M(",AD63,")=")</f>
        <v>M(4)=</v>
      </c>
      <c r="AK65" s="84">
        <f>VLOOKUP(AD63,STN_TABLE,4,FALSE)</f>
        <v>419.32079999999996</v>
      </c>
      <c r="AL65" t="str">
        <f>CONCATENATE("M(",AD64,")=")</f>
        <v>M(5)=</v>
      </c>
      <c r="AM65">
        <f>AI65+AK65</f>
        <v>756.22679999999991</v>
      </c>
      <c r="AO65" s="82" t="str">
        <f>AA65</f>
        <v>M(5)=</v>
      </c>
      <c r="AP65" s="82" t="e">
        <f>VLOOKUP(AO65,Rise_Results,2,FALSE)</f>
        <v>#N/A</v>
      </c>
      <c r="AQ65" s="82">
        <f>N65</f>
        <v>754.18560000000002</v>
      </c>
      <c r="AR65" s="82">
        <f>IF(OR(AB64&lt;=0,AB65&lt;=0),1/0,AB65)</f>
        <v>757.32030000000009</v>
      </c>
      <c r="AS65" s="82">
        <f>AM65</f>
        <v>756.22679999999991</v>
      </c>
      <c r="AT65">
        <f>IFERROR(AP65,IFERROR(AQ65,IFERROR(AR65,AS65)))</f>
        <v>754.18560000000002</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12.14</v>
      </c>
      <c r="S68" s="77">
        <v>8</v>
      </c>
      <c r="T68" s="76">
        <f>R68*S68</f>
        <v>97.12</v>
      </c>
      <c r="U68" s="80">
        <v>10</v>
      </c>
      <c r="V68" s="76">
        <f>R68*U68</f>
        <v>121.4</v>
      </c>
      <c r="W68" s="513" t="s">
        <v>97</v>
      </c>
      <c r="X68" s="513"/>
      <c r="Y68" s="513" t="s">
        <v>98</v>
      </c>
      <c r="Z68" s="513"/>
      <c r="AA68" s="511" t="s">
        <v>99</v>
      </c>
      <c r="AB68" s="511"/>
      <c r="AC68" s="99">
        <f>AC63+1</f>
        <v>8</v>
      </c>
      <c r="AD68" s="95">
        <f>VLOOKUP(AC68,STN_TABLE_2,2,FALSE)</f>
        <v>5</v>
      </c>
      <c r="AE68" s="68">
        <f>VLOOKUP(AD68,STN_TABLE,2,FALSE)</f>
        <v>11.91</v>
      </c>
      <c r="AF68" s="68">
        <v>1</v>
      </c>
      <c r="AG68" s="69">
        <f>AE68*AF68</f>
        <v>11.91</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12.14</v>
      </c>
      <c r="E69" s="92">
        <v>1</v>
      </c>
      <c r="F69" s="82">
        <f>D69*E69</f>
        <v>12.14</v>
      </c>
      <c r="G69" s="83">
        <f>C69</f>
        <v>5.6111111111111107</v>
      </c>
      <c r="H69" s="83">
        <f>F69*G69</f>
        <v>68.11888888888889</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12.14</v>
      </c>
      <c r="AF69" s="82">
        <v>2</v>
      </c>
      <c r="AG69" s="83">
        <f>AE69*AF69</f>
        <v>24.28</v>
      </c>
      <c r="AH69" s="84" t="str">
        <f>CONCATENATE("a'(",AD69,")=")</f>
        <v>a'(5.61111111111111)=</v>
      </c>
      <c r="AI69" s="84">
        <f>2*AI67/2*AE70</f>
        <v>26.454999999999988</v>
      </c>
      <c r="AJ69" s="84" t="str">
        <f>CONCATENATE("A(",AD68,")=")</f>
        <v>A(5)=</v>
      </c>
      <c r="AK69" s="84">
        <f>VLOOKUP(AD68,STN_TABLE,3,FALSE)</f>
        <v>133.38</v>
      </c>
      <c r="AL69" t="str">
        <f>CONCATENATE("A(",AD69,")=")</f>
        <v>A(5.61111111111111)=</v>
      </c>
      <c r="AM69">
        <f>AI69+AK69</f>
        <v>159.83499999999998</v>
      </c>
      <c r="AO69" s="68" t="str">
        <f>AA69</f>
        <v>A(5.61111111111111)=</v>
      </c>
      <c r="AP69" s="68" t="e">
        <f>VLOOKUP(AO69,Rise_Results,2,FALSE)</f>
        <v>#N/A</v>
      </c>
      <c r="AQ69" s="76" t="e">
        <f>N69</f>
        <v>#N/A</v>
      </c>
      <c r="AR69" s="76" t="e">
        <f>IF(OR(AB69&lt;=0,AB70&lt;=0),1/0,AB69)</f>
        <v>#VALUE!</v>
      </c>
      <c r="AS69" s="76">
        <f>AM69</f>
        <v>159.83499999999998</v>
      </c>
      <c r="AT69">
        <f>IFERROR(AP69,IFERROR(AQ69,IFERROR(AR69,AS69)))</f>
        <v>159.83499999999998</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24.05</v>
      </c>
      <c r="AG70" s="89">
        <f>SUM(AG68:AG69)</f>
        <v>36.19</v>
      </c>
      <c r="AH70" s="84" t="str">
        <f>CONCATENATE("m'(",AD69,")=")</f>
        <v>m'(5.61111111111111)=</v>
      </c>
      <c r="AI70" s="84">
        <f>(2*(AI67^2)/6*AG70)+(AI69*AD68*WLS)</f>
        <v>252.69163333333324</v>
      </c>
      <c r="AJ70" s="84" t="str">
        <f>CONCATENATE("M(",AD68,")=")</f>
        <v>M(5)=</v>
      </c>
      <c r="AK70" s="84">
        <f>VLOOKUP(AD68,STN_TABLE,4,FALSE)</f>
        <v>754.18560000000002</v>
      </c>
      <c r="AL70" t="str">
        <f>CONCATENATE("M(",AD69,")=")</f>
        <v>M(5.61111111111111)=</v>
      </c>
      <c r="AM70">
        <f>AI70+AK70</f>
        <v>1006.8772333333333</v>
      </c>
      <c r="AO70" s="82" t="str">
        <f>AA70</f>
        <v>M(5.61111111111111)=</v>
      </c>
      <c r="AP70" s="82" t="e">
        <f>VLOOKUP(AO70,Rise_Results,2,FALSE)</f>
        <v>#N/A</v>
      </c>
      <c r="AQ70" s="82" t="e">
        <f>N70</f>
        <v>#N/A</v>
      </c>
      <c r="AR70" s="82" t="e">
        <f>IF(OR(AB69&lt;=0,AB70&lt;=0),1/0,AB70)</f>
        <v>#VALUE!</v>
      </c>
      <c r="AS70" s="82">
        <f>AM70</f>
        <v>1006.8772333333333</v>
      </c>
      <c r="AT70">
        <f>IFERROR(AP70,IFERROR(AQ70,IFERROR(AR70,AS70)))</f>
        <v>1006.8772333333333</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11.17</v>
      </c>
      <c r="E72" s="102">
        <v>1</v>
      </c>
      <c r="F72" s="68">
        <f>D72*E72</f>
        <v>11.17</v>
      </c>
      <c r="G72" s="69">
        <f>C72</f>
        <v>4</v>
      </c>
      <c r="H72" s="69">
        <f>F72*G72</f>
        <v>44.68</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11.91</v>
      </c>
      <c r="S72" s="69">
        <v>5</v>
      </c>
      <c r="T72" s="68">
        <f>R72*S72</f>
        <v>59.55</v>
      </c>
      <c r="U72" s="79">
        <v>3</v>
      </c>
      <c r="V72" s="68">
        <f>R72*U72</f>
        <v>35.730000000000004</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11.91</v>
      </c>
      <c r="E73" s="81">
        <v>4</v>
      </c>
      <c r="F73" s="76">
        <f>D73*E73</f>
        <v>47.64</v>
      </c>
      <c r="G73" s="77">
        <f>C73</f>
        <v>5</v>
      </c>
      <c r="H73" s="77">
        <f>F73*G73</f>
        <v>238.2</v>
      </c>
      <c r="I73" s="512" t="s">
        <v>97</v>
      </c>
      <c r="J73" s="513"/>
      <c r="K73" s="78" t="s">
        <v>98</v>
      </c>
      <c r="L73" s="78"/>
      <c r="M73" s="7" t="s">
        <v>99</v>
      </c>
      <c r="N73" s="7"/>
      <c r="O73" s="99">
        <f>O72+1</f>
        <v>10</v>
      </c>
      <c r="P73" s="99">
        <f t="shared" si="23"/>
        <v>6</v>
      </c>
      <c r="Q73" s="76">
        <f>P73</f>
        <v>6</v>
      </c>
      <c r="R73" s="77">
        <f>VLOOKUP(Q73,STN_TABLE,2,FALSE)</f>
        <v>12.2</v>
      </c>
      <c r="S73" s="77">
        <v>8</v>
      </c>
      <c r="T73" s="76">
        <f>R73*S73</f>
        <v>97.6</v>
      </c>
      <c r="U73" s="80">
        <v>10</v>
      </c>
      <c r="V73" s="76">
        <f>R73*U73</f>
        <v>122</v>
      </c>
      <c r="W73" s="513" t="s">
        <v>97</v>
      </c>
      <c r="X73" s="513"/>
      <c r="Y73" s="513" t="s">
        <v>98</v>
      </c>
      <c r="Z73" s="513"/>
      <c r="AA73" s="511" t="s">
        <v>99</v>
      </c>
      <c r="AB73" s="511"/>
      <c r="AC73" s="99">
        <f>AC68+1</f>
        <v>9</v>
      </c>
      <c r="AD73" s="95">
        <f>VLOOKUP(AC73,STN_TABLE_2,2,FALSE)</f>
        <v>5.6111111111111107</v>
      </c>
      <c r="AE73" s="68">
        <f>VLOOKUP(AD73,STN_TABLE,2,FALSE)</f>
        <v>12.14</v>
      </c>
      <c r="AF73" s="68">
        <v>1</v>
      </c>
      <c r="AG73" s="69">
        <f>AE73*AF73</f>
        <v>12.14</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12.2</v>
      </c>
      <c r="E74" s="92">
        <v>1</v>
      </c>
      <c r="F74" s="82">
        <f>D74*E74</f>
        <v>12.2</v>
      </c>
      <c r="G74" s="83">
        <f>C74</f>
        <v>6</v>
      </c>
      <c r="H74" s="83">
        <f>F74*G74</f>
        <v>73.199999999999989</v>
      </c>
      <c r="I74" s="84" t="str">
        <f>CONCATENATE("a'(",C74,")=")</f>
        <v>a'(6)=</v>
      </c>
      <c r="J74" s="84">
        <f>2*J72/3*F75</f>
        <v>85.212000000000003</v>
      </c>
      <c r="K74" s="84" t="str">
        <f>CONCATENATE("A(",C72,")=")</f>
        <v>A(4)=</v>
      </c>
      <c r="L74" s="84">
        <f>VLOOKUP(C72,STN_TABLE,3,FALSE)</f>
        <v>92.627999999999986</v>
      </c>
      <c r="M74" t="str">
        <f>CONCATENATE("A(",C74,")=")</f>
        <v>A(6)=</v>
      </c>
      <c r="N74">
        <f>J74+L74</f>
        <v>177.83999999999997</v>
      </c>
      <c r="O74" s="99">
        <f>O73+1</f>
        <v>11</v>
      </c>
      <c r="P74" s="99">
        <f t="shared" si="23"/>
        <v>7</v>
      </c>
      <c r="Q74" s="82">
        <f>IF(P74-P73=P73-P72,P74,IF(P75-P73=P73-P72,P75,IF(P74-P73=P73-P71,P74,IF(P75-P73=P73-P71,P75,"-"))))</f>
        <v>7</v>
      </c>
      <c r="R74" s="83">
        <f>VLOOKUP(Q74,STN_TABLE,2,FALSE)</f>
        <v>12.25</v>
      </c>
      <c r="S74" s="83">
        <v>-1</v>
      </c>
      <c r="T74" s="82">
        <f>R74*S74</f>
        <v>-12.25</v>
      </c>
      <c r="U74" s="88">
        <v>-1</v>
      </c>
      <c r="V74" s="82">
        <f>R74*U74</f>
        <v>-12.25</v>
      </c>
      <c r="W74" s="84" t="str">
        <f>CONCATENATE("a'(",Q73,")=")</f>
        <v>a'(6)=</v>
      </c>
      <c r="X74" s="84">
        <f>2*X72/12*T75</f>
        <v>43.469999999999992</v>
      </c>
      <c r="Y74" s="84" t="str">
        <f>CONCATENATE("A(",Q72,")=")</f>
        <v>A(5)=</v>
      </c>
      <c r="Z74" s="84">
        <f>VLOOKUP(Q72,STN_TABLE,3,FALSE)</f>
        <v>133.38</v>
      </c>
      <c r="AA74" t="str">
        <f>CONCATENATE("A(",Q73,")=")</f>
        <v>A(6)=</v>
      </c>
      <c r="AB74">
        <f>X74+Z74</f>
        <v>176.85</v>
      </c>
      <c r="AC74" s="99">
        <f>AC73+1</f>
        <v>10</v>
      </c>
      <c r="AD74" s="100">
        <f>VLOOKUP(AC74,STN_TABLE_2,2,FALSE)</f>
        <v>6</v>
      </c>
      <c r="AE74" s="82">
        <f>VLOOKUP(AD74,STN_TABLE,2,FALSE)</f>
        <v>12.2</v>
      </c>
      <c r="AF74" s="82">
        <v>2</v>
      </c>
      <c r="AG74" s="83">
        <f>AE74*AF74</f>
        <v>24.4</v>
      </c>
      <c r="AH74" s="84" t="str">
        <f>CONCATENATE("a'(",AD74,")=")</f>
        <v>a'(6)=</v>
      </c>
      <c r="AI74" s="84">
        <f>2*AI72/2*AE75</f>
        <v>17.038000000000018</v>
      </c>
      <c r="AJ74" s="84" t="str">
        <f>CONCATENATE("A(",AD73,")=")</f>
        <v>A(5.61111111111111)=</v>
      </c>
      <c r="AK74" s="84">
        <f>VLOOKUP(AD73,STN_TABLE,3,FALSE)</f>
        <v>159.83499999999998</v>
      </c>
      <c r="AL74" t="str">
        <f>CONCATENATE("A(",AD74,")=")</f>
        <v>A(6)=</v>
      </c>
      <c r="AM74">
        <f>AI74+AK74</f>
        <v>176.87299999999999</v>
      </c>
      <c r="AO74" s="68" t="str">
        <f>AA74</f>
        <v>A(6)=</v>
      </c>
      <c r="AP74" s="68" t="e">
        <f>VLOOKUP(AO74,Rise_Results,2,FALSE)</f>
        <v>#N/A</v>
      </c>
      <c r="AQ74" s="76">
        <f>N74</f>
        <v>177.83999999999997</v>
      </c>
      <c r="AR74" s="76">
        <f>IF(OR(AB74&lt;=0,AB75&lt;=0),1/0,AB74)</f>
        <v>176.85</v>
      </c>
      <c r="AS74" s="76">
        <f>AM74</f>
        <v>176.87299999999999</v>
      </c>
      <c r="AT74">
        <f>IFERROR(AP74,IFERROR(AQ74,IFERROR(AR74,AS74)))</f>
        <v>177.83999999999997</v>
      </c>
      <c r="AU74" s="81"/>
    </row>
    <row r="75" spans="1:47" x14ac:dyDescent="0.25">
      <c r="A75" s="84">
        <f>A74+1</f>
        <v>10</v>
      </c>
      <c r="B75" s="84">
        <f t="shared" si="27"/>
        <v>6</v>
      </c>
      <c r="F75" s="82">
        <f>SUM(F72:F74)</f>
        <v>71.010000000000005</v>
      </c>
      <c r="H75" s="82">
        <f>SUM(H72:H74)</f>
        <v>356.08</v>
      </c>
      <c r="I75" s="84" t="str">
        <f>CONCATENATE("m'(",C74,")=")</f>
        <v>m'(6)=</v>
      </c>
      <c r="J75" s="84">
        <f>2*(J72*(WLS))/3*H75</f>
        <v>769.13279999999997</v>
      </c>
      <c r="K75" s="84" t="str">
        <f>CONCATENATE("M(",C72,")=")</f>
        <v>M(4)=</v>
      </c>
      <c r="L75" s="84">
        <f>VLOOKUP(C72,STN_TABLE,4,FALSE)</f>
        <v>419.32079999999996</v>
      </c>
      <c r="M75" t="str">
        <f>CONCATENATE("M(",C74,")=")</f>
        <v>M(6)=</v>
      </c>
      <c r="N75">
        <f>J75+L75</f>
        <v>1188.4535999999998</v>
      </c>
      <c r="O75" s="99">
        <f>O74+1</f>
        <v>12</v>
      </c>
      <c r="P75" s="99">
        <f t="shared" si="23"/>
        <v>7.8833333333333329</v>
      </c>
      <c r="T75" s="89">
        <f>SUM(T72:T74)</f>
        <v>144.89999999999998</v>
      </c>
      <c r="V75" s="82">
        <f>SUM(V72:V74)</f>
        <v>145.48000000000002</v>
      </c>
      <c r="W75" s="84" t="str">
        <f>CONCATENATE("m'(",Q73,")=")</f>
        <v>m'(6)=</v>
      </c>
      <c r="X75" s="84">
        <f>(2*(X72^2)/24*V75)+(X74*Q72*WLS)</f>
        <v>430.50959999999998</v>
      </c>
      <c r="Y75" s="84" t="str">
        <f>CONCATENATE("M(",Q72,")=")</f>
        <v>M(5)=</v>
      </c>
      <c r="Z75" s="84">
        <f>VLOOKUP(Q72,STN_TABLE,4,FALSE)</f>
        <v>754.18560000000002</v>
      </c>
      <c r="AA75" t="str">
        <f>CONCATENATE("M(",Q73,")=")</f>
        <v>M(6)=</v>
      </c>
      <c r="AB75">
        <f>X75+Z75</f>
        <v>1184.6952000000001</v>
      </c>
      <c r="AE75" s="89">
        <f>SUM(AE73:AE74)</f>
        <v>24.34</v>
      </c>
      <c r="AG75" s="89">
        <f>SUM(AG73:AG74)</f>
        <v>36.54</v>
      </c>
      <c r="AH75" s="84" t="str">
        <f>CONCATENATE("m'(",AD74,")=")</f>
        <v>m'(6)=</v>
      </c>
      <c r="AI75" s="84">
        <f>(2*(AI72^2)/6*AG75)+(AI74*AD73*WLS)</f>
        <v>178.05200000000019</v>
      </c>
      <c r="AJ75" s="84" t="str">
        <f>CONCATENATE("M(",AD73,")=")</f>
        <v>M(5.61111111111111)=</v>
      </c>
      <c r="AK75" s="84">
        <f>VLOOKUP(AD73,STN_TABLE,4,FALSE)</f>
        <v>1006.8772333333333</v>
      </c>
      <c r="AL75" t="str">
        <f>CONCATENATE("M(",AD74,")=")</f>
        <v>M(6)=</v>
      </c>
      <c r="AM75">
        <f>AI75+AK75</f>
        <v>1184.9292333333335</v>
      </c>
      <c r="AO75" s="82" t="str">
        <f>AA75</f>
        <v>M(6)=</v>
      </c>
      <c r="AP75" s="82" t="e">
        <f>VLOOKUP(AO75,Rise_Results,2,FALSE)</f>
        <v>#N/A</v>
      </c>
      <c r="AQ75" s="82">
        <f>N75</f>
        <v>1188.4535999999998</v>
      </c>
      <c r="AR75" s="82">
        <f>IF(OR(AB74&lt;=0,AB75&lt;=0),1/0,AB75)</f>
        <v>1184.6952000000001</v>
      </c>
      <c r="AS75" s="82">
        <f>AM75</f>
        <v>1184.9292333333335</v>
      </c>
      <c r="AT75">
        <f>IFERROR(AP75,IFERROR(AQ75,IFERROR(AR75,AS75)))</f>
        <v>1188.4535999999998</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11.91</v>
      </c>
      <c r="E77" s="102">
        <v>1</v>
      </c>
      <c r="F77" s="68">
        <f>D77*E77</f>
        <v>11.91</v>
      </c>
      <c r="G77" s="69">
        <f>C77</f>
        <v>5</v>
      </c>
      <c r="H77" s="69">
        <f>F77*G77</f>
        <v>59.55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12.2</v>
      </c>
      <c r="E78" s="81">
        <v>4</v>
      </c>
      <c r="F78" s="76">
        <f>D78*E78</f>
        <v>48.8</v>
      </c>
      <c r="G78" s="77">
        <f>C78</f>
        <v>6</v>
      </c>
      <c r="H78" s="77">
        <f>F78*G78</f>
        <v>292.79999999999995</v>
      </c>
      <c r="I78" s="512" t="s">
        <v>97</v>
      </c>
      <c r="J78" s="513"/>
      <c r="K78" s="78" t="s">
        <v>98</v>
      </c>
      <c r="L78" s="78"/>
      <c r="M78" s="7" t="s">
        <v>99</v>
      </c>
      <c r="N78" s="7"/>
      <c r="O78" s="99">
        <f>O77+1</f>
        <v>11</v>
      </c>
      <c r="P78" s="99">
        <f t="shared" si="23"/>
        <v>7</v>
      </c>
      <c r="Q78" s="76">
        <f>P78</f>
        <v>7</v>
      </c>
      <c r="R78" s="77">
        <f>VLOOKUP(Q78,STN_TABLE,2,FALSE)</f>
        <v>12.25</v>
      </c>
      <c r="S78" s="77">
        <v>8</v>
      </c>
      <c r="T78" s="76">
        <f>R78*S78</f>
        <v>98</v>
      </c>
      <c r="U78" s="80">
        <v>10</v>
      </c>
      <c r="V78" s="76">
        <f>R78*U78</f>
        <v>122.5</v>
      </c>
      <c r="W78" s="513" t="s">
        <v>97</v>
      </c>
      <c r="X78" s="513"/>
      <c r="Y78" s="513" t="s">
        <v>98</v>
      </c>
      <c r="Z78" s="513"/>
      <c r="AA78" s="511" t="s">
        <v>99</v>
      </c>
      <c r="AB78" s="511"/>
      <c r="AC78" s="99">
        <f>AC73+1</f>
        <v>10</v>
      </c>
      <c r="AD78" s="95">
        <f>VLOOKUP(AC78,STN_TABLE_2,2,FALSE)</f>
        <v>6</v>
      </c>
      <c r="AE78" s="68">
        <f>VLOOKUP(AD78,STN_TABLE,2,FALSE)</f>
        <v>12.2</v>
      </c>
      <c r="AF78" s="68">
        <v>1</v>
      </c>
      <c r="AG78" s="69">
        <f>AE78*AF78</f>
        <v>12.2</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12.25</v>
      </c>
      <c r="E79" s="92">
        <v>1</v>
      </c>
      <c r="F79" s="82">
        <f>D79*E79</f>
        <v>12.25</v>
      </c>
      <c r="G79" s="83">
        <f>C79</f>
        <v>7</v>
      </c>
      <c r="H79" s="83">
        <f>F79*G79</f>
        <v>85.75</v>
      </c>
      <c r="I79" s="84" t="str">
        <f>CONCATENATE("a'(",C79,")=")</f>
        <v>a'(7)=</v>
      </c>
      <c r="J79" s="84">
        <f>2*J77/3*F80</f>
        <v>87.551999999999992</v>
      </c>
      <c r="K79" s="84" t="str">
        <f>CONCATENATE("A(",C77,")=")</f>
        <v>A(5)=</v>
      </c>
      <c r="L79" s="84">
        <f>VLOOKUP(C77,STN_TABLE,3,FALSE)</f>
        <v>133.38</v>
      </c>
      <c r="M79" t="str">
        <f>CONCATENATE("A(",C79,")=")</f>
        <v>A(7)=</v>
      </c>
      <c r="N79">
        <f>J79+L79</f>
        <v>220.93199999999999</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12.25</v>
      </c>
      <c r="AF79" s="82">
        <v>2</v>
      </c>
      <c r="AG79" s="83">
        <f>AE79*AF79</f>
        <v>24.5</v>
      </c>
      <c r="AH79" s="84" t="str">
        <f>CONCATENATE("a'(",AD79,")=")</f>
        <v>a'(7)=</v>
      </c>
      <c r="AI79" s="84">
        <f>2*AI77/2*AE80</f>
        <v>44.01</v>
      </c>
      <c r="AJ79" s="84" t="str">
        <f>CONCATENATE("A(",AD78,")=")</f>
        <v>A(6)=</v>
      </c>
      <c r="AK79" s="84">
        <f>VLOOKUP(AD78,STN_TABLE,3,FALSE)</f>
        <v>177.83999999999997</v>
      </c>
      <c r="AL79" t="str">
        <f>CONCATENATE("A(",AD79,")=")</f>
        <v>A(7)=</v>
      </c>
      <c r="AM79">
        <f>AI79+AK79</f>
        <v>221.84999999999997</v>
      </c>
      <c r="AO79" s="68" t="str">
        <f>AA79</f>
        <v>A(7)=</v>
      </c>
      <c r="AP79" s="68" t="e">
        <f>VLOOKUP(AO79,Rise_Results,2,FALSE)</f>
        <v>#N/A</v>
      </c>
      <c r="AQ79" s="76">
        <f>N79</f>
        <v>220.93199999999999</v>
      </c>
      <c r="AR79" s="76" t="e">
        <f>IF(OR(AB79&lt;=0,AB80&lt;=0),1/0,AB79)</f>
        <v>#VALUE!</v>
      </c>
      <c r="AS79" s="76">
        <f>AM79</f>
        <v>221.84999999999997</v>
      </c>
      <c r="AT79">
        <f>IFERROR(AP79,IFERROR(AQ79,IFERROR(AR79,AS79)))</f>
        <v>220.93199999999999</v>
      </c>
      <c r="AU79" s="81"/>
    </row>
    <row r="80" spans="1:47" x14ac:dyDescent="0.25">
      <c r="A80" s="84">
        <f>A79+1</f>
        <v>11</v>
      </c>
      <c r="B80" s="84">
        <f t="shared" si="27"/>
        <v>7</v>
      </c>
      <c r="F80" s="82">
        <f>SUM(F77:F79)</f>
        <v>72.959999999999994</v>
      </c>
      <c r="H80" s="82">
        <f>SUM(H77:H79)</f>
        <v>438.09999999999997</v>
      </c>
      <c r="I80" s="84" t="str">
        <f>CONCATENATE("m'(",C79,")=")</f>
        <v>m'(7)=</v>
      </c>
      <c r="J80" s="84">
        <f>2*(J77*(WLS))/3*H80</f>
        <v>946.29599999999994</v>
      </c>
      <c r="K80" s="84" t="str">
        <f>CONCATENATE("M(",C77,")=")</f>
        <v>M(5)=</v>
      </c>
      <c r="L80" s="84">
        <f>VLOOKUP(C77,STN_TABLE,4,FALSE)</f>
        <v>754.18560000000002</v>
      </c>
      <c r="M80" t="str">
        <f>CONCATENATE("M(",C79,")=")</f>
        <v>M(7)=</v>
      </c>
      <c r="N80">
        <f>J80+L80</f>
        <v>1700.4816000000001</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24.45</v>
      </c>
      <c r="AG80" s="89">
        <f>SUM(AG78:AG79)</f>
        <v>36.700000000000003</v>
      </c>
      <c r="AH80" s="84" t="str">
        <f>CONCATENATE("m'(",AD79,")=")</f>
        <v>m'(7)=</v>
      </c>
      <c r="AI80" s="84">
        <f>(2*(AI77^2)/6*AG80)+(AI79*AD78*WLS)</f>
        <v>514.94399999999996</v>
      </c>
      <c r="AJ80" s="84" t="str">
        <f>CONCATENATE("M(",AD78,")=")</f>
        <v>M(6)=</v>
      </c>
      <c r="AK80" s="84">
        <f>VLOOKUP(AD78,STN_TABLE,4,FALSE)</f>
        <v>1188.4535999999998</v>
      </c>
      <c r="AL80" t="str">
        <f>CONCATENATE("M(",AD79,")=")</f>
        <v>M(7)=</v>
      </c>
      <c r="AM80">
        <f>AI80+AK80</f>
        <v>1703.3975999999998</v>
      </c>
      <c r="AO80" s="82" t="str">
        <f>AA80</f>
        <v>M(7)=</v>
      </c>
      <c r="AP80" s="82" t="e">
        <f>VLOOKUP(AO80,Rise_Results,2,FALSE)</f>
        <v>#N/A</v>
      </c>
      <c r="AQ80" s="82">
        <f>N80</f>
        <v>1700.4816000000001</v>
      </c>
      <c r="AR80" s="82" t="e">
        <f>IF(OR(AB79&lt;=0,AB80&lt;=0),1/0,AB80)</f>
        <v>#VALUE!</v>
      </c>
      <c r="AS80" s="82">
        <f>AM80</f>
        <v>1703.3975999999998</v>
      </c>
      <c r="AT80">
        <f>IFERROR(AP80,IFERROR(AQ80,IFERROR(AR80,AS80)))</f>
        <v>1700.4816000000001</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12.25</v>
      </c>
      <c r="S83" s="77">
        <v>8</v>
      </c>
      <c r="T83" s="76">
        <f>R83*S83</f>
        <v>98</v>
      </c>
      <c r="U83" s="80">
        <v>10</v>
      </c>
      <c r="V83" s="76">
        <f>R83*U83</f>
        <v>122.5</v>
      </c>
      <c r="W83" s="513" t="s">
        <v>97</v>
      </c>
      <c r="X83" s="513"/>
      <c r="Y83" s="513" t="s">
        <v>98</v>
      </c>
      <c r="Z83" s="513"/>
      <c r="AA83" s="511" t="s">
        <v>99</v>
      </c>
      <c r="AB83" s="511"/>
      <c r="AC83" s="99">
        <f>AC78+1</f>
        <v>11</v>
      </c>
      <c r="AD83" s="95">
        <f>VLOOKUP(AC83,STN_TABLE_2,2,FALSE)</f>
        <v>7</v>
      </c>
      <c r="AE83" s="68">
        <f>VLOOKUP(AD83,STN_TABLE,2,FALSE)</f>
        <v>12.25</v>
      </c>
      <c r="AF83" s="68">
        <v>1</v>
      </c>
      <c r="AG83" s="69">
        <f>AE83*AF83</f>
        <v>12.25</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12.25</v>
      </c>
      <c r="E84" s="92">
        <v>1</v>
      </c>
      <c r="F84" s="82">
        <f>D84*E84</f>
        <v>12.25</v>
      </c>
      <c r="G84" s="83">
        <f>C84</f>
        <v>7.8833333333333329</v>
      </c>
      <c r="H84" s="83">
        <f>F84*G84</f>
        <v>96.570833333333326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12.25</v>
      </c>
      <c r="AF84" s="82">
        <v>2</v>
      </c>
      <c r="AG84" s="83">
        <f>AE84*AF84</f>
        <v>24.5</v>
      </c>
      <c r="AH84" s="84" t="str">
        <f>CONCATENATE("a'(",AD84,")=")</f>
        <v>a'(7.88333333333333)=</v>
      </c>
      <c r="AI84" s="84">
        <f>2*AI82/2*AE85</f>
        <v>38.954999999999977</v>
      </c>
      <c r="AJ84" s="84" t="str">
        <f>CONCATENATE("A(",AD83,")=")</f>
        <v>A(7)=</v>
      </c>
      <c r="AK84" s="84">
        <f>VLOOKUP(AD83,STN_TABLE,3,FALSE)</f>
        <v>220.93199999999999</v>
      </c>
      <c r="AL84" t="str">
        <f>CONCATENATE("A(",AD84,")=")</f>
        <v>A(7.88333333333333)=</v>
      </c>
      <c r="AM84">
        <f>AI84+AK84</f>
        <v>259.88699999999994</v>
      </c>
      <c r="AO84" s="68" t="str">
        <f>AA84</f>
        <v>A(7.88333333333333)=</v>
      </c>
      <c r="AP84" s="68" t="e">
        <f>VLOOKUP(AO84,Rise_Results,2,FALSE)</f>
        <v>#N/A</v>
      </c>
      <c r="AQ84" s="76" t="e">
        <f>N84</f>
        <v>#N/A</v>
      </c>
      <c r="AR84" s="76" t="e">
        <f>IF(OR(AB84&lt;=0,AB85&lt;=0),1/0,AB84)</f>
        <v>#VALUE!</v>
      </c>
      <c r="AS84" s="76">
        <f>AM84</f>
        <v>259.88699999999994</v>
      </c>
      <c r="AT84">
        <f>IFERROR(AP84,IFERROR(AQ84,IFERROR(AR84,AS84)))</f>
        <v>259.88699999999994</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24.5</v>
      </c>
      <c r="AG85" s="89">
        <f>SUM(AG83:AG84)</f>
        <v>36.75</v>
      </c>
      <c r="AH85" s="84" t="str">
        <f>CONCATENATE("m'(",AD84,")=")</f>
        <v>m'(7.88333333333333)=</v>
      </c>
      <c r="AI85" s="84">
        <f>(2*(AI82^2)/6*AG85)+(AI84*AD83*WLS)</f>
        <v>521.80222499999968</v>
      </c>
      <c r="AJ85" s="84" t="str">
        <f>CONCATENATE("M(",AD83,")=")</f>
        <v>M(7)=</v>
      </c>
      <c r="AK85" s="84">
        <f>VLOOKUP(AD83,STN_TABLE,4,FALSE)</f>
        <v>1700.4816000000001</v>
      </c>
      <c r="AL85" t="str">
        <f>CONCATENATE("M(",AD84,")=")</f>
        <v>M(7.88333333333333)=</v>
      </c>
      <c r="AM85">
        <f>AI85+AK85</f>
        <v>2222.2838249999995</v>
      </c>
      <c r="AO85" s="82" t="str">
        <f>AA85</f>
        <v>M(7.88333333333333)=</v>
      </c>
      <c r="AP85" s="82" t="e">
        <f>VLOOKUP(AO85,Rise_Results,2,FALSE)</f>
        <v>#N/A</v>
      </c>
      <c r="AQ85" s="82" t="e">
        <f>N85</f>
        <v>#N/A</v>
      </c>
      <c r="AR85" s="82" t="e">
        <f>IF(OR(AB84&lt;=0,AB85&lt;=0),1/0,AB85)</f>
        <v>#VALUE!</v>
      </c>
      <c r="AS85" s="82">
        <f>AM85</f>
        <v>2222.2838249999995</v>
      </c>
      <c r="AT85">
        <f>IFERROR(AP85,IFERROR(AQ85,IFERROR(AR85,AS85)))</f>
        <v>2222.2838249999995</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12.25</v>
      </c>
      <c r="AF88" s="68">
        <v>1</v>
      </c>
      <c r="AG88" s="69">
        <f>AE88*AF88</f>
        <v>12.25</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259.88699999999994</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12.25</v>
      </c>
      <c r="AG90" s="89" t="e">
        <f>SUM(AG88:AG89)</f>
        <v>#VALUE!</v>
      </c>
      <c r="AH90" s="84" t="str">
        <f>CONCATENATE("m'(",AD89,")=")</f>
        <v>m'(  )=</v>
      </c>
      <c r="AI90" s="84" t="e">
        <f>(2*(AI87^2)/6*AG90)+(AI89*AD88*WLS)</f>
        <v>#VALUE!</v>
      </c>
      <c r="AJ90" s="84" t="str">
        <f>CONCATENATE("M(",AD88,")=")</f>
        <v>M(7.88333333333333)=</v>
      </c>
      <c r="AK90" s="84">
        <f>VLOOKUP(AD88,STN_TABLE,4,FALSE)</f>
        <v>2222.2838249999995</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3</v>
      </c>
      <c r="E1" s="511" t="s">
        <v>91</v>
      </c>
      <c r="F1" s="511"/>
      <c r="G1" t="str">
        <f>VLOOKUP(Station_No,RISE_CALC,2,FALSE)</f>
        <v>-</v>
      </c>
      <c r="L1" s="511" t="s">
        <v>92</v>
      </c>
      <c r="M1" s="511"/>
      <c r="N1">
        <v>6</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0.3</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0.5</v>
      </c>
      <c r="C5" s="81">
        <f t="shared" si="3"/>
        <v>1.67</v>
      </c>
      <c r="D5" s="81">
        <f t="shared" ref="D5:D28" si="4">IFERROR(VLOOKUP(CONCATENATE("A(",B5,")="),RESULT_TABLE,6,FALSE)," ")</f>
        <v>1.8839999999999997</v>
      </c>
      <c r="E5" s="77">
        <f t="shared" ref="E5:E28" si="5">IFERROR(VLOOKUP(CONCATENATE("M(",B5,")="),RESULT_TABLE,6,FALSE)," ")</f>
        <v>1.0327499999999998</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1</v>
      </c>
      <c r="C6" s="81">
        <f t="shared" si="3"/>
        <v>2.2999999999999998</v>
      </c>
      <c r="D6" s="81">
        <f t="shared" si="4"/>
        <v>5.5679999999999996</v>
      </c>
      <c r="E6" s="77">
        <f t="shared" si="5"/>
        <v>6.0911999999999997</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1.5</v>
      </c>
      <c r="C7" s="81">
        <f t="shared" si="3"/>
        <v>2.7</v>
      </c>
      <c r="D7" s="81">
        <f t="shared" si="4"/>
        <v>10.026</v>
      </c>
      <c r="E7" s="77">
        <f t="shared" si="5"/>
        <v>16.24455</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2</v>
      </c>
      <c r="C8" s="81">
        <f t="shared" si="3"/>
        <v>3.1</v>
      </c>
      <c r="D8" s="81">
        <f t="shared" si="4"/>
        <v>15.288</v>
      </c>
      <c r="E8" s="77">
        <f t="shared" si="5"/>
        <v>32.767200000000003</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5.7</v>
      </c>
      <c r="D9" s="81">
        <f t="shared" si="4"/>
        <v>30.047999999999995</v>
      </c>
      <c r="E9" s="77">
        <f t="shared" si="5"/>
        <v>101.56320000000001</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4</v>
      </c>
      <c r="C10" s="81">
        <f t="shared" si="3"/>
        <v>9.6999999999999993</v>
      </c>
      <c r="D10" s="81">
        <f t="shared" si="4"/>
        <v>58.007999999999996</v>
      </c>
      <c r="E10" s="77">
        <f t="shared" si="5"/>
        <v>277.71120000000002</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5</v>
      </c>
      <c r="C11" s="81">
        <f t="shared" si="3"/>
        <v>11.23</v>
      </c>
      <c r="D11" s="81">
        <f t="shared" si="4"/>
        <v>96.924000000000007</v>
      </c>
      <c r="E11" s="77">
        <f t="shared" si="5"/>
        <v>595.01520000000005</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5.6111111111111107</v>
      </c>
      <c r="C12" s="81">
        <f t="shared" si="3"/>
        <v>11.7</v>
      </c>
      <c r="D12" s="81">
        <f t="shared" si="4"/>
        <v>122.14699999999999</v>
      </c>
      <c r="E12" s="77">
        <f t="shared" si="5"/>
        <v>835.98963333333324</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6</v>
      </c>
      <c r="C13" s="81">
        <f t="shared" si="3"/>
        <v>11.93</v>
      </c>
      <c r="D13" s="81">
        <f t="shared" si="4"/>
        <v>137.86799999999999</v>
      </c>
      <c r="E13" s="77">
        <f t="shared" si="5"/>
        <v>1001.268</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7</v>
      </c>
      <c r="C14" s="81">
        <f t="shared" si="3"/>
        <v>12.21</v>
      </c>
      <c r="D14" s="81">
        <f t="shared" si="4"/>
        <v>182.316</v>
      </c>
      <c r="E14" s="77">
        <f t="shared" si="5"/>
        <v>1519.3656000000001</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7.8833333333333329</v>
      </c>
      <c r="C15" s="81">
        <f t="shared" si="3"/>
        <v>12.23</v>
      </c>
      <c r="D15" s="81">
        <f t="shared" si="4"/>
        <v>221.17559999999997</v>
      </c>
      <c r="E15" s="77">
        <f t="shared" si="5"/>
        <v>2039.8983689999998</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0.3</v>
      </c>
      <c r="S32" s="69">
        <v>5</v>
      </c>
      <c r="T32" s="68">
        <f>R32*S32</f>
        <v>1.5</v>
      </c>
      <c r="U32" s="79">
        <v>3</v>
      </c>
      <c r="V32" s="68">
        <f>R32*U32</f>
        <v>0.89999999999999991</v>
      </c>
      <c r="W32" t="s">
        <v>93</v>
      </c>
      <c r="X32" s="70">
        <f>IF(AND(Q34-Q33=Q33-Q32,NOT(AND(Q32=0,Q33=0)),NOT(AND(Q33=0,Q34=0))),WLS*(Q34-Q33),"#NA")</f>
        <v>0.9</v>
      </c>
      <c r="AD32" s="93"/>
      <c r="AH32" s="6" t="s">
        <v>93</v>
      </c>
      <c r="AI32" s="70">
        <f>WLS*(AD34-AD33)</f>
        <v>0.9</v>
      </c>
    </row>
    <row r="33" spans="1:47" x14ac:dyDescent="0.25">
      <c r="Q33" s="76">
        <f>B5</f>
        <v>0.5</v>
      </c>
      <c r="R33" s="77">
        <f>VLOOKUP(Q33,STN_TABLE,2,FALSE)</f>
        <v>1.67</v>
      </c>
      <c r="S33" s="77">
        <v>8</v>
      </c>
      <c r="T33" s="76">
        <f>R33*S33</f>
        <v>13.36</v>
      </c>
      <c r="U33" s="80">
        <v>10</v>
      </c>
      <c r="V33" s="76">
        <f>R33*U33</f>
        <v>16.7</v>
      </c>
      <c r="W33" s="512" t="s">
        <v>97</v>
      </c>
      <c r="X33" s="513"/>
      <c r="Y33" s="513" t="s">
        <v>98</v>
      </c>
      <c r="Z33" s="513"/>
      <c r="AA33" s="511" t="s">
        <v>99</v>
      </c>
      <c r="AB33" s="511"/>
      <c r="AC33" s="94">
        <v>1</v>
      </c>
      <c r="AD33" s="95">
        <f>VLOOKUP(AC33,STN_TABLE_2,2,FALSE)</f>
        <v>0</v>
      </c>
      <c r="AE33" s="68">
        <f>VLOOKUP(AD33,STN_TABLE,2,FALSE)</f>
        <v>0.3</v>
      </c>
      <c r="AF33" s="68">
        <v>1</v>
      </c>
      <c r="AG33" s="69">
        <f>AE33*AF33</f>
        <v>0.3</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2.2999999999999998</v>
      </c>
      <c r="S34" s="83">
        <v>-1</v>
      </c>
      <c r="T34" s="82">
        <f>R34*S34</f>
        <v>-2.2999999999999998</v>
      </c>
      <c r="U34" s="88">
        <v>-1</v>
      </c>
      <c r="V34" s="82">
        <f>R34*U34</f>
        <v>-2.2999999999999998</v>
      </c>
      <c r="W34" s="84" t="str">
        <f>CONCATENATE("a'(",Q33,")=")</f>
        <v>a'(0.5)=</v>
      </c>
      <c r="X34" s="84">
        <f>2*X32/12*T35</f>
        <v>1.8839999999999997</v>
      </c>
      <c r="Y34" s="84" t="str">
        <f>CONCATENATE("A(",Q32,")=")</f>
        <v>A(0)=</v>
      </c>
      <c r="Z34" s="84">
        <f>VLOOKUP(Q32,STN_TABLE,3,FALSE)</f>
        <v>0</v>
      </c>
      <c r="AA34" t="str">
        <f>CONCATENATE("A(",Q33,")=")</f>
        <v>A(0.5)=</v>
      </c>
      <c r="AB34">
        <f>X34+Z34</f>
        <v>1.8839999999999997</v>
      </c>
      <c r="AC34" s="99">
        <f>AC33+1</f>
        <v>2</v>
      </c>
      <c r="AD34" s="100">
        <f>VLOOKUP(AC34,STN_TABLE_2,2,FALSE)</f>
        <v>0.5</v>
      </c>
      <c r="AE34" s="82">
        <f>VLOOKUP(AD34,STN_TABLE,2,FALSE)</f>
        <v>1.67</v>
      </c>
      <c r="AF34" s="82">
        <v>2</v>
      </c>
      <c r="AG34" s="83">
        <f>AE34*AF34</f>
        <v>3.34</v>
      </c>
      <c r="AH34" s="84" t="str">
        <f>CONCATENATE("a'(",AD34,")=")</f>
        <v>a'(0.5)=</v>
      </c>
      <c r="AI34" s="84">
        <f>2*AI32/2*AE35</f>
        <v>1.7729999999999999</v>
      </c>
      <c r="AJ34" s="84" t="str">
        <f>CONCATENATE("A(",AD33,")=")</f>
        <v>A(0)=</v>
      </c>
      <c r="AK34" s="84">
        <f>VLOOKUP(AD33,STN_TABLE,3,FALSE)</f>
        <v>0</v>
      </c>
      <c r="AL34" t="str">
        <f>CONCATENATE("A(",AD34,")=")</f>
        <v>A(0.5)=</v>
      </c>
      <c r="AM34">
        <f>AI34+AK34</f>
        <v>1.7729999999999999</v>
      </c>
      <c r="AO34" s="68" t="str">
        <f>AA34</f>
        <v>A(0.5)=</v>
      </c>
      <c r="AP34" s="79" t="e">
        <f>VLOOKUP(AO34,Rise_Results,2,FALSE)</f>
        <v>#N/A</v>
      </c>
      <c r="AQ34" s="76" t="s">
        <v>117</v>
      </c>
      <c r="AR34" s="76">
        <f>IF(OR(AB34&lt;=0,AB35&lt;=0),1/0,AB34)</f>
        <v>1.8839999999999997</v>
      </c>
      <c r="AS34" s="76">
        <f>AM34</f>
        <v>1.7729999999999999</v>
      </c>
      <c r="AT34" s="80">
        <f>IFERROR(AP34,IFERROR(AR34,AS34))</f>
        <v>1.8839999999999997</v>
      </c>
    </row>
    <row r="35" spans="1:47" x14ac:dyDescent="0.25">
      <c r="A35" s="101"/>
      <c r="T35" s="89">
        <f>SUM(T32:T34)</f>
        <v>12.559999999999999</v>
      </c>
      <c r="V35" s="82">
        <f>SUM(V32:V34)</f>
        <v>15.299999999999997</v>
      </c>
      <c r="W35" s="84" t="str">
        <f>CONCATENATE("m'(",Q33,")=")</f>
        <v>m'(0.5)=</v>
      </c>
      <c r="X35" s="84">
        <f>(2*(X32^2)/24*V35)</f>
        <v>1.0327499999999998</v>
      </c>
      <c r="Y35" s="84" t="str">
        <f>CONCATENATE("M(",Q32,")=")</f>
        <v>M(0)=</v>
      </c>
      <c r="Z35" s="84">
        <f>VLOOKUP(Q32,STN_TABLE,4,FALSE)</f>
        <v>0</v>
      </c>
      <c r="AA35" t="str">
        <f>CONCATENATE("M(",Q33,")=")</f>
        <v>M(0.5)=</v>
      </c>
      <c r="AB35">
        <f>X35+Z35</f>
        <v>1.0327499999999998</v>
      </c>
      <c r="AE35" s="89">
        <f>SUM(AE33:AE34)</f>
        <v>1.97</v>
      </c>
      <c r="AG35" s="89">
        <f>SUM(AG33:AG34)</f>
        <v>3.6399999999999997</v>
      </c>
      <c r="AH35" s="84" t="str">
        <f>CONCATENATE("m'(",AD34,")=")</f>
        <v>m'(0.5)=</v>
      </c>
      <c r="AI35" s="84">
        <f>(2*(AI32^2)/6*AG35)+(AI34*AD33*WLS)</f>
        <v>0.98280000000000001</v>
      </c>
      <c r="AJ35" s="84" t="str">
        <f>CONCATENATE("M(",AD33,")=")</f>
        <v>M(0)=</v>
      </c>
      <c r="AK35" s="84">
        <f>VLOOKUP(AD33,STN_TABLE,4,FALSE)</f>
        <v>0</v>
      </c>
      <c r="AL35" t="str">
        <f>CONCATENATE("M(",AD34,")=")</f>
        <v>M(0.5)=</v>
      </c>
      <c r="AM35">
        <f>AI35+AK35</f>
        <v>0.98280000000000001</v>
      </c>
      <c r="AO35" s="82" t="str">
        <f>AA35</f>
        <v>M(0.5)=</v>
      </c>
      <c r="AP35" s="88" t="e">
        <f>VLOOKUP(AO35,Rise_Results,2,FALSE)</f>
        <v>#N/A</v>
      </c>
      <c r="AQ35" s="82" t="s">
        <v>117</v>
      </c>
      <c r="AR35" s="82">
        <f>IF(OR(AB34&lt;=0,AB35&lt;=0),1/0,AB35)</f>
        <v>1.0327499999999998</v>
      </c>
      <c r="AS35" s="82">
        <f>AM35</f>
        <v>0.98280000000000001</v>
      </c>
      <c r="AT35" s="80">
        <f>IFERROR(AP35,IFERROR(AR35,AS35))</f>
        <v>1.0327499999999998</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0.3</v>
      </c>
      <c r="E37" s="102">
        <v>1</v>
      </c>
      <c r="F37" s="68">
        <f>D37*E37</f>
        <v>0.3</v>
      </c>
      <c r="G37" s="69">
        <f>C37</f>
        <v>0</v>
      </c>
      <c r="H37" s="69">
        <f>F37*G37</f>
        <v>0</v>
      </c>
      <c r="I37" s="6" t="s">
        <v>93</v>
      </c>
      <c r="J37" s="70">
        <f>IF(OR(D37=0,D38=0,D39=0),"#NA",IF(AND(C39-C38=C38-C37,C38&lt;&gt;C39,C37&lt;&gt;C38,C37&lt;&gt;C39,D39&lt;&gt;0,OR(D37&lt;&gt;0,D38&lt;&gt;0)),WLS*(C39-C38),"#NA"))</f>
        <v>0.9</v>
      </c>
      <c r="O37" s="99">
        <f>O36+1</f>
        <v>2</v>
      </c>
      <c r="P37" s="99">
        <f t="shared" si="10"/>
        <v>0.5</v>
      </c>
      <c r="Q37" s="68">
        <f>IF(OR(P39-P38=P38-P37,P40-P38=P38-P37),P37,IF(OR(P39-P38=P38-P36,P40-P38=P38-P36),P36,"-"))</f>
        <v>0.5</v>
      </c>
      <c r="R37" s="69">
        <f>VLOOKUP(Q37,STN_TABLE,2,FALSE)</f>
        <v>1.67</v>
      </c>
      <c r="S37" s="69">
        <v>5</v>
      </c>
      <c r="T37" s="68">
        <f>R37*S37</f>
        <v>8.35</v>
      </c>
      <c r="U37" s="79">
        <v>3</v>
      </c>
      <c r="V37" s="68">
        <f>R37*U37</f>
        <v>5.01</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1.67</v>
      </c>
      <c r="E38" s="81">
        <v>4</v>
      </c>
      <c r="F38" s="76">
        <f>D38*E38</f>
        <v>6.68</v>
      </c>
      <c r="G38" s="77">
        <f>C38</f>
        <v>0.5</v>
      </c>
      <c r="H38" s="77">
        <f>F38*G38</f>
        <v>3.34</v>
      </c>
      <c r="I38" s="513" t="s">
        <v>97</v>
      </c>
      <c r="J38" s="513"/>
      <c r="K38" s="78" t="s">
        <v>98</v>
      </c>
      <c r="L38" s="78"/>
      <c r="M38" s="7" t="s">
        <v>99</v>
      </c>
      <c r="N38" s="7"/>
      <c r="O38" s="99">
        <f>O37+1</f>
        <v>3</v>
      </c>
      <c r="P38" s="99">
        <f t="shared" si="10"/>
        <v>1</v>
      </c>
      <c r="Q38" s="76">
        <f>P38</f>
        <v>1</v>
      </c>
      <c r="R38" s="77">
        <f>VLOOKUP(Q38,STN_TABLE,2,FALSE)</f>
        <v>2.2999999999999998</v>
      </c>
      <c r="S38" s="77">
        <v>8</v>
      </c>
      <c r="T38" s="76">
        <f>R38*S38</f>
        <v>18.399999999999999</v>
      </c>
      <c r="U38" s="80">
        <v>10</v>
      </c>
      <c r="V38" s="76">
        <f>R38*U38</f>
        <v>23</v>
      </c>
      <c r="W38" s="513" t="s">
        <v>97</v>
      </c>
      <c r="X38" s="513"/>
      <c r="Y38" s="513" t="s">
        <v>98</v>
      </c>
      <c r="Z38" s="513"/>
      <c r="AA38" s="511" t="s">
        <v>99</v>
      </c>
      <c r="AB38" s="511"/>
      <c r="AC38" s="99">
        <f>AC33+1</f>
        <v>2</v>
      </c>
      <c r="AD38" s="95">
        <f>VLOOKUP(AC38,STN_TABLE_2,2,FALSE)</f>
        <v>0.5</v>
      </c>
      <c r="AE38" s="68">
        <f>VLOOKUP(AD38,STN_TABLE,2,FALSE)</f>
        <v>1.67</v>
      </c>
      <c r="AF38" s="68">
        <v>1</v>
      </c>
      <c r="AG38" s="69">
        <f>AE38*AF38</f>
        <v>1.67</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2.2999999999999998</v>
      </c>
      <c r="E39" s="92">
        <v>1</v>
      </c>
      <c r="F39" s="82">
        <f>D39*E39</f>
        <v>2.2999999999999998</v>
      </c>
      <c r="G39" s="83">
        <f>C39</f>
        <v>1</v>
      </c>
      <c r="H39" s="83">
        <f>F39*G39</f>
        <v>2.2999999999999998</v>
      </c>
      <c r="I39" s="84" t="str">
        <f>CONCATENATE("a'(",C39,")=")</f>
        <v>a'(1)=</v>
      </c>
      <c r="J39" s="84">
        <f>2*J37/3*F40</f>
        <v>5.5679999999999996</v>
      </c>
      <c r="K39" s="84" t="str">
        <f>CONCATENATE("A(",C37,")=")</f>
        <v>A(0)=</v>
      </c>
      <c r="L39" s="84">
        <f>VLOOKUP(C37,STN_TABLE,3,FALSE)</f>
        <v>0</v>
      </c>
      <c r="M39" t="str">
        <f>CONCATENATE("A(",C39,")=")</f>
        <v>A(1)=</v>
      </c>
      <c r="N39">
        <f>J39+L39</f>
        <v>5.5679999999999996</v>
      </c>
      <c r="O39" s="99">
        <f>O38+1</f>
        <v>4</v>
      </c>
      <c r="P39" s="99">
        <f t="shared" si="10"/>
        <v>1.5</v>
      </c>
      <c r="Q39" s="82">
        <f>IF(P39-P38=P38-P37,P39,IF(P40-P38=P38-P37,P40,IF(P39-P38=P38-P36,P39,IF(P40-P38=P38-P36,P40,"-"))))</f>
        <v>1.5</v>
      </c>
      <c r="R39" s="83">
        <f>VLOOKUP(Q39,STN_TABLE,2,FALSE)</f>
        <v>2.7</v>
      </c>
      <c r="S39" s="83">
        <v>-1</v>
      </c>
      <c r="T39" s="82">
        <f>R39*S39</f>
        <v>-2.7</v>
      </c>
      <c r="U39" s="88">
        <v>-1</v>
      </c>
      <c r="V39" s="82">
        <f>R39*U39</f>
        <v>-2.7</v>
      </c>
      <c r="W39" s="84" t="str">
        <f>CONCATENATE("a'(",Q38,")=")</f>
        <v>a'(1)=</v>
      </c>
      <c r="X39" s="84">
        <f>2*X37/12*T40</f>
        <v>3.6074999999999999</v>
      </c>
      <c r="Y39" s="84" t="str">
        <f>CONCATENATE("A(",Q37,")=")</f>
        <v>A(0.5)=</v>
      </c>
      <c r="Z39" s="84">
        <f>VLOOKUP(Q37,STN_TABLE,3,FALSE)</f>
        <v>1.8839999999999997</v>
      </c>
      <c r="AA39" t="str">
        <f>CONCATENATE("A(",Q38,")=")</f>
        <v>A(1)=</v>
      </c>
      <c r="AB39">
        <f>X39+Z39</f>
        <v>5.4914999999999994</v>
      </c>
      <c r="AC39" s="99">
        <f>AC38+1</f>
        <v>3</v>
      </c>
      <c r="AD39" s="100">
        <f>VLOOKUP(AC39,STN_TABLE_2,2,FALSE)</f>
        <v>1</v>
      </c>
      <c r="AE39" s="82">
        <f>VLOOKUP(AD39,STN_TABLE,2,FALSE)</f>
        <v>2.2999999999999998</v>
      </c>
      <c r="AF39" s="82">
        <v>2</v>
      </c>
      <c r="AG39" s="83">
        <f>AE39*AF39</f>
        <v>4.5999999999999996</v>
      </c>
      <c r="AH39" s="84" t="str">
        <f>CONCATENATE("a'(",AD39,")=")</f>
        <v>a'(1)=</v>
      </c>
      <c r="AI39" s="84">
        <f>2*AI37/2*AE40</f>
        <v>3.573</v>
      </c>
      <c r="AJ39" s="84" t="str">
        <f>CONCATENATE("A(",AD38,")=")</f>
        <v>A(0.5)=</v>
      </c>
      <c r="AK39" s="84">
        <f>VLOOKUP(AD38,STN_TABLE,3,FALSE)</f>
        <v>1.8839999999999997</v>
      </c>
      <c r="AL39" t="str">
        <f>CONCATENATE("A(",AD39,")=")</f>
        <v>A(1)=</v>
      </c>
      <c r="AM39">
        <f>AI39+AK39</f>
        <v>5.4569999999999999</v>
      </c>
      <c r="AO39" s="68" t="str">
        <f>AA39</f>
        <v>A(1)=</v>
      </c>
      <c r="AP39" s="68" t="e">
        <f>VLOOKUP(AO39,Rise_Results,2,FALSE)</f>
        <v>#N/A</v>
      </c>
      <c r="AQ39" s="76">
        <f>N39</f>
        <v>5.5679999999999996</v>
      </c>
      <c r="AR39" s="76">
        <f>IF(OR(AB39&lt;=0,AB40&lt;=0),1/0,AB39)</f>
        <v>5.4914999999999994</v>
      </c>
      <c r="AS39" s="76">
        <f>AM39</f>
        <v>5.4569999999999999</v>
      </c>
      <c r="AT39">
        <f>IFERROR(AP39,IFERROR(AQ39,IFERROR(AR39,AS39)))</f>
        <v>5.5679999999999996</v>
      </c>
    </row>
    <row r="40" spans="1:47" x14ac:dyDescent="0.25">
      <c r="A40">
        <v>4</v>
      </c>
      <c r="F40" s="82">
        <f>SUM(F37:F39)</f>
        <v>9.2799999999999994</v>
      </c>
      <c r="H40" s="82">
        <f>SUM(H37:H39)</f>
        <v>5.64</v>
      </c>
      <c r="I40" s="84" t="str">
        <f>CONCATENATE("m'(",C39,")=")</f>
        <v>m'(1)=</v>
      </c>
      <c r="J40" s="84">
        <f>2*(J37*(WLS))/3*H40</f>
        <v>6.0911999999999997</v>
      </c>
      <c r="K40" s="84" t="str">
        <f>CONCATENATE("M(",C37,")=")</f>
        <v>M(0)=</v>
      </c>
      <c r="L40" s="84">
        <f>VLOOKUP(C37,STN_TABLE,4,FALSE)</f>
        <v>0</v>
      </c>
      <c r="M40" t="str">
        <f>CONCATENATE("M(",C39,")=")</f>
        <v>M(1)=</v>
      </c>
      <c r="N40">
        <f>J40+L40</f>
        <v>6.0911999999999997</v>
      </c>
      <c r="O40" s="99">
        <f>O39+1</f>
        <v>5</v>
      </c>
      <c r="P40" s="99">
        <f t="shared" si="10"/>
        <v>2</v>
      </c>
      <c r="T40" s="89">
        <f>SUM(T37:T39)</f>
        <v>24.05</v>
      </c>
      <c r="V40" s="82">
        <f>SUM(V37:V39)</f>
        <v>25.31</v>
      </c>
      <c r="W40" s="84" t="str">
        <f>CONCATENATE("m'(",Q38,")=")</f>
        <v>m'(1)=</v>
      </c>
      <c r="X40" s="84">
        <f>(2*(X37^2)/24*V40)+(X39*Q37*WLS)</f>
        <v>4.9551750000000006</v>
      </c>
      <c r="Y40" s="84" t="str">
        <f>CONCATENATE("M(",Q37,")=")</f>
        <v>M(0.5)=</v>
      </c>
      <c r="Z40" s="84">
        <f>VLOOKUP(Q37,STN_TABLE,4,FALSE)</f>
        <v>1.0327499999999998</v>
      </c>
      <c r="AA40" t="str">
        <f>CONCATENATE("M(",Q38,")=")</f>
        <v>M(1)=</v>
      </c>
      <c r="AB40">
        <f>X40+Z40</f>
        <v>5.9879250000000006</v>
      </c>
      <c r="AE40" s="89">
        <f>SUM(AE38:AE39)</f>
        <v>3.9699999999999998</v>
      </c>
      <c r="AG40" s="89">
        <f>SUM(AG38:AG39)</f>
        <v>6.27</v>
      </c>
      <c r="AH40" s="84" t="str">
        <f>CONCATENATE("m'(",AD39,")=")</f>
        <v>m'(1)=</v>
      </c>
      <c r="AI40" s="84">
        <f>(2*(AI37^2)/6*AG40)+(AI39*AD38*WLS)</f>
        <v>4.9085999999999999</v>
      </c>
      <c r="AJ40" s="84" t="str">
        <f>CONCATENATE("M(",AD38,")=")</f>
        <v>M(0.5)=</v>
      </c>
      <c r="AK40" s="84">
        <f>VLOOKUP(AD38,STN_TABLE,4,FALSE)</f>
        <v>1.0327499999999998</v>
      </c>
      <c r="AL40" t="str">
        <f>CONCATENATE("M(",AD39,")=")</f>
        <v>M(1)=</v>
      </c>
      <c r="AM40">
        <f>AI40+AK40</f>
        <v>5.9413499999999999</v>
      </c>
      <c r="AO40" s="82" t="str">
        <f>AA40</f>
        <v>M(1)=</v>
      </c>
      <c r="AP40" s="82" t="e">
        <f>VLOOKUP(AO40,Rise_Results,2,FALSE)</f>
        <v>#N/A</v>
      </c>
      <c r="AQ40" s="82">
        <f>N40</f>
        <v>6.0911999999999997</v>
      </c>
      <c r="AR40" s="82">
        <f>IF(OR(AB39&lt;=0,AB40&lt;=0),1/0,AB40)</f>
        <v>5.9879250000000006</v>
      </c>
      <c r="AS40" s="82">
        <f>AM40</f>
        <v>5.9413499999999999</v>
      </c>
      <c r="AT40">
        <f>IFERROR(AP40,IFERROR(AQ40,IFERROR(AR40,AS40)))</f>
        <v>6.0911999999999997</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1.67</v>
      </c>
      <c r="E42" s="102">
        <v>1</v>
      </c>
      <c r="F42" s="68">
        <f>D42*E42</f>
        <v>1.67</v>
      </c>
      <c r="G42" s="69">
        <f>C42</f>
        <v>0.5</v>
      </c>
      <c r="H42" s="69">
        <f>F42*G42</f>
        <v>0.83499999999999996</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2.2999999999999998</v>
      </c>
      <c r="S42" s="69">
        <v>5</v>
      </c>
      <c r="T42" s="68">
        <f>R42*S42</f>
        <v>11.5</v>
      </c>
      <c r="U42" s="79">
        <v>3</v>
      </c>
      <c r="V42" s="68">
        <f>R42*U42</f>
        <v>6.8999999999999995</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2.2999999999999998</v>
      </c>
      <c r="E43" s="81">
        <v>4</v>
      </c>
      <c r="F43" s="76">
        <f>D43*E43</f>
        <v>9.1999999999999993</v>
      </c>
      <c r="G43" s="77">
        <f>C43</f>
        <v>1</v>
      </c>
      <c r="H43" s="77">
        <f>F43*G43</f>
        <v>9.1999999999999993</v>
      </c>
      <c r="I43" s="513" t="s">
        <v>97</v>
      </c>
      <c r="J43" s="513"/>
      <c r="K43" s="78" t="s">
        <v>98</v>
      </c>
      <c r="L43" s="78"/>
      <c r="M43" s="7" t="s">
        <v>99</v>
      </c>
      <c r="N43" s="7"/>
      <c r="O43" s="99">
        <f>O42+1</f>
        <v>4</v>
      </c>
      <c r="P43" s="99">
        <f t="shared" si="10"/>
        <v>1.5</v>
      </c>
      <c r="Q43" s="76">
        <f>P43</f>
        <v>1.5</v>
      </c>
      <c r="R43" s="77">
        <f>VLOOKUP(Q43,STN_TABLE,2,FALSE)</f>
        <v>2.7</v>
      </c>
      <c r="S43" s="77">
        <v>8</v>
      </c>
      <c r="T43" s="76">
        <f>R43*S43</f>
        <v>21.6</v>
      </c>
      <c r="U43" s="80">
        <v>10</v>
      </c>
      <c r="V43" s="76">
        <f>R43*U43</f>
        <v>27</v>
      </c>
      <c r="W43" s="513" t="s">
        <v>97</v>
      </c>
      <c r="X43" s="513"/>
      <c r="Y43" s="513" t="s">
        <v>98</v>
      </c>
      <c r="Z43" s="513"/>
      <c r="AA43" s="511" t="s">
        <v>99</v>
      </c>
      <c r="AB43" s="511"/>
      <c r="AC43" s="99">
        <f>AC38+1</f>
        <v>3</v>
      </c>
      <c r="AD43" s="95">
        <f>VLOOKUP(AC43,STN_TABLE_2,2,FALSE)</f>
        <v>1</v>
      </c>
      <c r="AE43" s="68">
        <f>VLOOKUP(AD43,STN_TABLE,2,FALSE)</f>
        <v>2.2999999999999998</v>
      </c>
      <c r="AF43" s="68">
        <v>1</v>
      </c>
      <c r="AG43" s="69">
        <f>AE43*AF43</f>
        <v>2.2999999999999998</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2.7</v>
      </c>
      <c r="E44" s="92">
        <v>1</v>
      </c>
      <c r="F44" s="82">
        <f>D44*E44</f>
        <v>2.7</v>
      </c>
      <c r="G44" s="83">
        <f>C44</f>
        <v>1.5</v>
      </c>
      <c r="H44" s="83">
        <f>F44*G44</f>
        <v>4.0500000000000007</v>
      </c>
      <c r="I44" s="84" t="str">
        <f>CONCATENATE("a'(",C44,")=")</f>
        <v>a'(1.5)=</v>
      </c>
      <c r="J44" s="84">
        <f>2*J42/3*F45</f>
        <v>8.1419999999999995</v>
      </c>
      <c r="K44" s="84" t="str">
        <f>CONCATENATE("A(",C42,")=")</f>
        <v>A(0.5)=</v>
      </c>
      <c r="L44" s="84">
        <f>VLOOKUP(C42,STN_TABLE,3,FALSE)</f>
        <v>1.8839999999999997</v>
      </c>
      <c r="M44" t="str">
        <f>CONCATENATE("A(",C44,")=")</f>
        <v>A(1.5)=</v>
      </c>
      <c r="N44">
        <f>J44+L44</f>
        <v>10.026</v>
      </c>
      <c r="O44" s="99">
        <f>O43+1</f>
        <v>5</v>
      </c>
      <c r="P44" s="99">
        <f t="shared" si="10"/>
        <v>2</v>
      </c>
      <c r="Q44" s="82">
        <f>IF(P44-P43=P43-P42,P44,IF(P45-P43=P43-P42,P45,IF(P44-P43=P43-P41,P44,IF(P45-P43=P43-P41,P45,"-"))))</f>
        <v>2</v>
      </c>
      <c r="R44" s="83">
        <f>VLOOKUP(Q44,STN_TABLE,2,FALSE)</f>
        <v>3.1</v>
      </c>
      <c r="S44" s="83">
        <v>-1</v>
      </c>
      <c r="T44" s="82">
        <f>R44*S44</f>
        <v>-3.1</v>
      </c>
      <c r="U44" s="88">
        <v>-1</v>
      </c>
      <c r="V44" s="82">
        <f>R44*U44</f>
        <v>-3.1</v>
      </c>
      <c r="W44" s="84" t="str">
        <f>CONCATENATE("a'(",Q43,")=")</f>
        <v>a'(1.5)=</v>
      </c>
      <c r="X44" s="84">
        <f>2*X42/12*T45</f>
        <v>4.5</v>
      </c>
      <c r="Y44" s="84" t="str">
        <f>CONCATENATE("A(",Q42,")=")</f>
        <v>A(1)=</v>
      </c>
      <c r="Z44" s="84">
        <f>VLOOKUP(Q42,STN_TABLE,3,FALSE)</f>
        <v>5.5679999999999996</v>
      </c>
      <c r="AA44" t="str">
        <f>CONCATENATE("A(",Q43,")=")</f>
        <v>A(1.5)=</v>
      </c>
      <c r="AB44">
        <f>X44+Z44</f>
        <v>10.068</v>
      </c>
      <c r="AC44" s="99">
        <f>AC43+1</f>
        <v>4</v>
      </c>
      <c r="AD44" s="100">
        <f>VLOOKUP(AC44,STN_TABLE_2,2,FALSE)</f>
        <v>1.5</v>
      </c>
      <c r="AE44" s="82">
        <f>VLOOKUP(AD44,STN_TABLE,2,FALSE)</f>
        <v>2.7</v>
      </c>
      <c r="AF44" s="82">
        <v>2</v>
      </c>
      <c r="AG44" s="83">
        <f>AE44*AF44</f>
        <v>5.4</v>
      </c>
      <c r="AH44" s="84" t="str">
        <f>CONCATENATE("a'(",AD44,")=")</f>
        <v>a'(1.5)=</v>
      </c>
      <c r="AI44" s="84">
        <f>2*AI42/2*AE45</f>
        <v>4.5</v>
      </c>
      <c r="AJ44" s="84" t="str">
        <f>CONCATENATE("A(",AD43,")=")</f>
        <v>A(1)=</v>
      </c>
      <c r="AK44" s="84">
        <f>VLOOKUP(AD43,STN_TABLE,3,FALSE)</f>
        <v>5.5679999999999996</v>
      </c>
      <c r="AL44" t="str">
        <f>CONCATENATE("A(",AD44,")=")</f>
        <v>A(1.5)=</v>
      </c>
      <c r="AM44">
        <f>AI44+AK44</f>
        <v>10.068</v>
      </c>
      <c r="AO44" s="68" t="str">
        <f>AA44</f>
        <v>A(1.5)=</v>
      </c>
      <c r="AP44" s="68" t="e">
        <f>VLOOKUP(AO44,Rise_Results,2,FALSE)</f>
        <v>#N/A</v>
      </c>
      <c r="AQ44" s="76">
        <f>N44</f>
        <v>10.026</v>
      </c>
      <c r="AR44" s="76">
        <f>IF(OR(AB44&lt;=0,AB45&lt;=0),1/0,AB44)</f>
        <v>10.068</v>
      </c>
      <c r="AS44" s="76">
        <f>AM44</f>
        <v>10.068</v>
      </c>
      <c r="AT44">
        <f>IFERROR(AP44,IFERROR(AQ44,IFERROR(AR44,AS44)))</f>
        <v>10.026</v>
      </c>
      <c r="AU44" s="81"/>
    </row>
    <row r="45" spans="1:47" x14ac:dyDescent="0.25">
      <c r="A45" s="94">
        <f>A44+1</f>
        <v>4</v>
      </c>
      <c r="B45" s="94">
        <f t="shared" si="11"/>
        <v>1.5</v>
      </c>
      <c r="F45" s="82">
        <f>SUM(F42:F44)</f>
        <v>13.57</v>
      </c>
      <c r="H45" s="82">
        <f>SUM(H42:H44)</f>
        <v>14.085000000000001</v>
      </c>
      <c r="I45" s="84" t="str">
        <f>CONCATENATE("m'(",C44,")=")</f>
        <v>m'(1.5)=</v>
      </c>
      <c r="J45" s="84">
        <f>2*(J42*(WLS))/3*H45</f>
        <v>15.211800000000002</v>
      </c>
      <c r="K45" s="84" t="str">
        <f>CONCATENATE("M(",C42,")=")</f>
        <v>M(0.5)=</v>
      </c>
      <c r="L45" s="84">
        <f>VLOOKUP(C42,STN_TABLE,4,FALSE)</f>
        <v>1.0327499999999998</v>
      </c>
      <c r="M45" t="str">
        <f>CONCATENATE("M(",C44,")=")</f>
        <v>M(1.5)=</v>
      </c>
      <c r="N45">
        <f>J45+L45</f>
        <v>16.24455</v>
      </c>
      <c r="O45" s="99">
        <f>O44+1</f>
        <v>6</v>
      </c>
      <c r="P45" s="99">
        <f t="shared" si="10"/>
        <v>3</v>
      </c>
      <c r="T45" s="89">
        <f>SUM(T42:T44)</f>
        <v>30</v>
      </c>
      <c r="V45" s="82">
        <f>SUM(V42:V44)</f>
        <v>30.799999999999997</v>
      </c>
      <c r="W45" s="84" t="str">
        <f>CONCATENATE("m'(",Q43,")=")</f>
        <v>m'(1.5)=</v>
      </c>
      <c r="X45" s="84">
        <f>(2*(X42^2)/24*V45)+(X44*Q42*WLS)</f>
        <v>10.178999999999998</v>
      </c>
      <c r="Y45" s="84" t="str">
        <f>CONCATENATE("M(",Q42,")=")</f>
        <v>M(1)=</v>
      </c>
      <c r="Z45" s="84">
        <f>VLOOKUP(Q42,STN_TABLE,4,FALSE)</f>
        <v>6.0911999999999997</v>
      </c>
      <c r="AA45" t="str">
        <f>CONCATENATE("M(",Q43,")=")</f>
        <v>M(1.5)=</v>
      </c>
      <c r="AB45">
        <f>X45+Z45</f>
        <v>16.270199999999999</v>
      </c>
      <c r="AE45" s="89">
        <f>SUM(AE43:AE44)</f>
        <v>5</v>
      </c>
      <c r="AG45" s="89">
        <f>SUM(AG43:AG44)</f>
        <v>7.7</v>
      </c>
      <c r="AH45" s="84" t="str">
        <f>CONCATENATE("m'(",AD44,")=")</f>
        <v>m'(1.5)=</v>
      </c>
      <c r="AI45" s="84">
        <f>(2*(AI42^2)/6*AG45)+(AI44*AD43*WLS)</f>
        <v>10.179</v>
      </c>
      <c r="AJ45" s="84" t="str">
        <f>CONCATENATE("M(",AD43,")=")</f>
        <v>M(1)=</v>
      </c>
      <c r="AK45" s="84">
        <f>VLOOKUP(AD43,STN_TABLE,4,FALSE)</f>
        <v>6.0911999999999997</v>
      </c>
      <c r="AL45" t="str">
        <f>CONCATENATE("M(",AD44,")=")</f>
        <v>M(1.5)=</v>
      </c>
      <c r="AM45">
        <f>AI45+AK45</f>
        <v>16.270199999999999</v>
      </c>
      <c r="AO45" s="82" t="str">
        <f>AA45</f>
        <v>M(1.5)=</v>
      </c>
      <c r="AP45" s="82" t="e">
        <f>VLOOKUP(AO45,Rise_Results,2,FALSE)</f>
        <v>#N/A</v>
      </c>
      <c r="AQ45" s="82">
        <f>N45</f>
        <v>16.24455</v>
      </c>
      <c r="AR45" s="82">
        <f>IF(OR(AB44&lt;=0,AB45&lt;=0),1/0,AB45)</f>
        <v>16.270199999999999</v>
      </c>
      <c r="AS45" s="82">
        <f>AM45</f>
        <v>16.270199999999999</v>
      </c>
      <c r="AT45">
        <f>IFERROR(AP45,IFERROR(AQ45,IFERROR(AR45,AS45)))</f>
        <v>16.24455</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2.2999999999999998</v>
      </c>
      <c r="E47" s="102">
        <v>1</v>
      </c>
      <c r="F47" s="68">
        <f>D47*E47</f>
        <v>2.2999999999999998</v>
      </c>
      <c r="G47" s="69">
        <f>C47</f>
        <v>1</v>
      </c>
      <c r="H47" s="69">
        <f>F47*G47</f>
        <v>2.2999999999999998</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2.2999999999999998</v>
      </c>
      <c r="S47" s="69">
        <v>5</v>
      </c>
      <c r="T47" s="68">
        <f>R47*S47</f>
        <v>11.5</v>
      </c>
      <c r="U47" s="79">
        <v>3</v>
      </c>
      <c r="V47" s="68">
        <f>R47*U47</f>
        <v>6.8999999999999995</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2.7</v>
      </c>
      <c r="E48" s="81">
        <v>4</v>
      </c>
      <c r="F48" s="76">
        <f>D48*E48</f>
        <v>10.8</v>
      </c>
      <c r="G48" s="77">
        <f>C48</f>
        <v>1.5</v>
      </c>
      <c r="H48" s="77">
        <f>F48*G48</f>
        <v>16.200000000000003</v>
      </c>
      <c r="I48" s="513" t="s">
        <v>97</v>
      </c>
      <c r="J48" s="513"/>
      <c r="K48" s="78" t="s">
        <v>98</v>
      </c>
      <c r="L48" s="78"/>
      <c r="M48" s="7" t="s">
        <v>99</v>
      </c>
      <c r="N48" s="7"/>
      <c r="O48" s="99">
        <f>O47+1</f>
        <v>5</v>
      </c>
      <c r="P48" s="99">
        <f t="shared" si="10"/>
        <v>2</v>
      </c>
      <c r="Q48" s="76">
        <f>P48</f>
        <v>2</v>
      </c>
      <c r="R48" s="77">
        <f>VLOOKUP(Q48,STN_TABLE,2,FALSE)</f>
        <v>3.1</v>
      </c>
      <c r="S48" s="77">
        <v>8</v>
      </c>
      <c r="T48" s="76">
        <f>R48*S48</f>
        <v>24.8</v>
      </c>
      <c r="U48" s="80">
        <v>10</v>
      </c>
      <c r="V48" s="76">
        <f>R48*U48</f>
        <v>31</v>
      </c>
      <c r="W48" s="513" t="s">
        <v>97</v>
      </c>
      <c r="X48" s="513"/>
      <c r="Y48" s="513" t="s">
        <v>98</v>
      </c>
      <c r="Z48" s="513"/>
      <c r="AA48" s="511" t="s">
        <v>99</v>
      </c>
      <c r="AB48" s="511"/>
      <c r="AC48" s="99">
        <f>AC43+1</f>
        <v>4</v>
      </c>
      <c r="AD48" s="95">
        <f>VLOOKUP(AC48,STN_TABLE_2,2,FALSE)</f>
        <v>1.5</v>
      </c>
      <c r="AE48" s="68">
        <f>VLOOKUP(AD48,STN_TABLE,2,FALSE)</f>
        <v>2.7</v>
      </c>
      <c r="AF48" s="68">
        <v>1</v>
      </c>
      <c r="AG48" s="69">
        <f>AE48*AF48</f>
        <v>2.7</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3.1</v>
      </c>
      <c r="E49" s="92">
        <v>1</v>
      </c>
      <c r="F49" s="82">
        <f>D49*E49</f>
        <v>3.1</v>
      </c>
      <c r="G49" s="83">
        <f>C49</f>
        <v>2</v>
      </c>
      <c r="H49" s="83">
        <f>F49*G49</f>
        <v>6.2</v>
      </c>
      <c r="I49" s="84" t="str">
        <f>CONCATENATE("a'(",C49,")=")</f>
        <v>a'(2)=</v>
      </c>
      <c r="J49" s="84">
        <f>2*J47/3*F50</f>
        <v>9.7200000000000006</v>
      </c>
      <c r="K49" s="84" t="str">
        <f>CONCATENATE("A(",C47,")=")</f>
        <v>A(1)=</v>
      </c>
      <c r="L49" s="84">
        <f>VLOOKUP(C47,STN_TABLE,3,FALSE)</f>
        <v>5.5679999999999996</v>
      </c>
      <c r="M49" t="str">
        <f>CONCATENATE("A(",C49,")=")</f>
        <v>A(2)=</v>
      </c>
      <c r="N49">
        <f>J49+L49</f>
        <v>15.288</v>
      </c>
      <c r="O49" s="99">
        <f>O48+1</f>
        <v>6</v>
      </c>
      <c r="P49" s="99">
        <f t="shared" si="10"/>
        <v>3</v>
      </c>
      <c r="Q49" s="82">
        <f>IF(P49-P48=P48-P47,P49,IF(P50-P48=P48-P47,P50,IF(P49-P48=P48-P46,P49,IF(P50-P48=P48-P46,P50,"-"))))</f>
        <v>3</v>
      </c>
      <c r="R49" s="83">
        <f>VLOOKUP(Q49,STN_TABLE,2,FALSE)</f>
        <v>5.7</v>
      </c>
      <c r="S49" s="83">
        <v>-1</v>
      </c>
      <c r="T49" s="82">
        <f>R49*S49</f>
        <v>-5.7</v>
      </c>
      <c r="U49" s="88">
        <v>-1</v>
      </c>
      <c r="V49" s="82">
        <f>R49*U49</f>
        <v>-5.7</v>
      </c>
      <c r="W49" s="84" t="str">
        <f>CONCATENATE("a'(",Q48,")=")</f>
        <v>a'(2)=</v>
      </c>
      <c r="X49" s="84">
        <f>2*X47/12*T50</f>
        <v>9.18</v>
      </c>
      <c r="Y49" s="84" t="str">
        <f>CONCATENATE("A(",Q47,")=")</f>
        <v>A(1)=</v>
      </c>
      <c r="Z49" s="84">
        <f>VLOOKUP(Q47,STN_TABLE,3,FALSE)</f>
        <v>5.5679999999999996</v>
      </c>
      <c r="AA49" t="str">
        <f>CONCATENATE("A(",Q48,")=")</f>
        <v>A(2)=</v>
      </c>
      <c r="AB49">
        <f>X49+Z49</f>
        <v>14.747999999999999</v>
      </c>
      <c r="AC49" s="99">
        <f>AC48+1</f>
        <v>5</v>
      </c>
      <c r="AD49" s="100">
        <f>VLOOKUP(AC49,STN_TABLE_2,2,FALSE)</f>
        <v>2</v>
      </c>
      <c r="AE49" s="82">
        <f>VLOOKUP(AD49,STN_TABLE,2,FALSE)</f>
        <v>3.1</v>
      </c>
      <c r="AF49" s="82">
        <v>2</v>
      </c>
      <c r="AG49" s="83">
        <f>AE49*AF49</f>
        <v>6.2</v>
      </c>
      <c r="AH49" s="84" t="str">
        <f>CONCATENATE("a'(",AD49,")=")</f>
        <v>a'(2)=</v>
      </c>
      <c r="AI49" s="84">
        <f>2*AI47/2*AE50</f>
        <v>5.2200000000000006</v>
      </c>
      <c r="AJ49" s="84" t="str">
        <f>CONCATENATE("A(",AD48,")=")</f>
        <v>A(1.5)=</v>
      </c>
      <c r="AK49" s="84">
        <f>VLOOKUP(AD48,STN_TABLE,3,FALSE)</f>
        <v>10.026</v>
      </c>
      <c r="AL49" t="str">
        <f>CONCATENATE("A(",AD49,")=")</f>
        <v>A(2)=</v>
      </c>
      <c r="AM49">
        <f>AI49+AK49</f>
        <v>15.246</v>
      </c>
      <c r="AO49" s="68" t="str">
        <f>AA49</f>
        <v>A(2)=</v>
      </c>
      <c r="AP49" s="68" t="e">
        <f>VLOOKUP(AO49,Rise_Results,2,FALSE)</f>
        <v>#N/A</v>
      </c>
      <c r="AQ49" s="76">
        <f>N49</f>
        <v>15.288</v>
      </c>
      <c r="AR49" s="76">
        <f>IF(OR(AB49&lt;=0,AB50&lt;=0),1/0,AB49)</f>
        <v>14.747999999999999</v>
      </c>
      <c r="AS49" s="76">
        <f>AM49</f>
        <v>15.246</v>
      </c>
      <c r="AT49">
        <f>IFERROR(AP49,IFERROR(AQ49,IFERROR(AR49,AS49)))</f>
        <v>15.288</v>
      </c>
      <c r="AU49" s="81"/>
    </row>
    <row r="50" spans="1:47" x14ac:dyDescent="0.25">
      <c r="A50" s="84">
        <f>A49+1</f>
        <v>5</v>
      </c>
      <c r="B50" s="84">
        <f t="shared" si="11"/>
        <v>2</v>
      </c>
      <c r="F50" s="82">
        <f>SUM(F47:F49)</f>
        <v>16.200000000000003</v>
      </c>
      <c r="H50" s="82">
        <f>SUM(H47:H49)</f>
        <v>24.700000000000003</v>
      </c>
      <c r="I50" s="84" t="str">
        <f>CONCATENATE("m'(",C49,")=")</f>
        <v>m'(2)=</v>
      </c>
      <c r="J50" s="84">
        <f>2*(J47*(WLS))/3*H50</f>
        <v>26.676000000000005</v>
      </c>
      <c r="K50" s="84" t="str">
        <f>CONCATENATE("M(",C47,")=")</f>
        <v>M(1)=</v>
      </c>
      <c r="L50" s="84">
        <f>VLOOKUP(C47,STN_TABLE,4,FALSE)</f>
        <v>6.0911999999999997</v>
      </c>
      <c r="M50" t="str">
        <f>CONCATENATE("M(",C49,")=")</f>
        <v>M(2)=</v>
      </c>
      <c r="N50">
        <f>J50+L50</f>
        <v>32.767200000000003</v>
      </c>
      <c r="O50" s="99">
        <f>O49+1</f>
        <v>7</v>
      </c>
      <c r="P50" s="99">
        <f t="shared" si="10"/>
        <v>4</v>
      </c>
      <c r="T50" s="89">
        <f>SUM(T47:T49)</f>
        <v>30.599999999999998</v>
      </c>
      <c r="V50" s="82">
        <f>SUM(V47:V49)</f>
        <v>32.199999999999996</v>
      </c>
      <c r="W50" s="84" t="str">
        <f>CONCATENATE("m'(",Q48,")=")</f>
        <v>m'(2)=</v>
      </c>
      <c r="X50" s="84">
        <f>(2*(X47^2)/24*V50)+(X49*Q47*WLS)</f>
        <v>25.218</v>
      </c>
      <c r="Y50" s="84" t="str">
        <f>CONCATENATE("M(",Q47,")=")</f>
        <v>M(1)=</v>
      </c>
      <c r="Z50" s="84">
        <f>VLOOKUP(Q47,STN_TABLE,4,FALSE)</f>
        <v>6.0911999999999997</v>
      </c>
      <c r="AA50" t="str">
        <f>CONCATENATE("M(",Q48,")=")</f>
        <v>M(2)=</v>
      </c>
      <c r="AB50">
        <f>X50+Z50</f>
        <v>31.309200000000001</v>
      </c>
      <c r="AE50" s="89">
        <f>SUM(AE48:AE49)</f>
        <v>5.8000000000000007</v>
      </c>
      <c r="AG50" s="89">
        <f>SUM(AG48:AG49)</f>
        <v>8.9</v>
      </c>
      <c r="AH50" s="84" t="str">
        <f>CONCATENATE("m'(",AD49,")=")</f>
        <v>m'(2)=</v>
      </c>
      <c r="AI50" s="84">
        <f>(2*(AI47^2)/6*AG50)+(AI49*AD48*WLS)</f>
        <v>16.497</v>
      </c>
      <c r="AJ50" s="84" t="str">
        <f>CONCATENATE("M(",AD48,")=")</f>
        <v>M(1.5)=</v>
      </c>
      <c r="AK50" s="84">
        <f>VLOOKUP(AD48,STN_TABLE,4,FALSE)</f>
        <v>16.24455</v>
      </c>
      <c r="AL50" t="str">
        <f>CONCATENATE("M(",AD49,")=")</f>
        <v>M(2)=</v>
      </c>
      <c r="AM50">
        <f>AI50+AK50</f>
        <v>32.741550000000004</v>
      </c>
      <c r="AO50" s="82" t="str">
        <f>AA50</f>
        <v>M(2)=</v>
      </c>
      <c r="AP50" s="82" t="e">
        <f>VLOOKUP(AO50,Rise_Results,2,FALSE)</f>
        <v>#N/A</v>
      </c>
      <c r="AQ50" s="82">
        <f>N50</f>
        <v>32.767200000000003</v>
      </c>
      <c r="AR50" s="82">
        <f>IF(OR(AB49&lt;=0,AB50&lt;=0),1/0,AB50)</f>
        <v>31.309200000000001</v>
      </c>
      <c r="AS50" s="82">
        <f>AM50</f>
        <v>32.741550000000004</v>
      </c>
      <c r="AT50">
        <f>IFERROR(AP50,IFERROR(AQ50,IFERROR(AR50,AS50)))</f>
        <v>32.767200000000003</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2.2999999999999998</v>
      </c>
      <c r="E52" s="102">
        <v>1</v>
      </c>
      <c r="F52" s="68">
        <f>D52*E52</f>
        <v>2.2999999999999998</v>
      </c>
      <c r="G52" s="69">
        <f>C52</f>
        <v>1</v>
      </c>
      <c r="H52" s="69">
        <f>F52*G52</f>
        <v>2.2999999999999998</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3.1</v>
      </c>
      <c r="S52" s="69">
        <v>5</v>
      </c>
      <c r="T52" s="68">
        <f>R52*S52</f>
        <v>15.5</v>
      </c>
      <c r="U52" s="79">
        <v>3</v>
      </c>
      <c r="V52" s="68">
        <f>R52*U52</f>
        <v>9.3000000000000007</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3.1</v>
      </c>
      <c r="E53" s="81">
        <v>4</v>
      </c>
      <c r="F53" s="76">
        <f>D53*E53</f>
        <v>12.4</v>
      </c>
      <c r="G53" s="77">
        <f>C53</f>
        <v>2</v>
      </c>
      <c r="H53" s="77">
        <f>F53*G53</f>
        <v>24.8</v>
      </c>
      <c r="I53" s="512" t="s">
        <v>97</v>
      </c>
      <c r="J53" s="513"/>
      <c r="K53" s="78" t="s">
        <v>98</v>
      </c>
      <c r="L53" s="78"/>
      <c r="M53" s="7" t="s">
        <v>99</v>
      </c>
      <c r="N53" s="7"/>
      <c r="O53" s="99">
        <f>O52+1</f>
        <v>6</v>
      </c>
      <c r="P53" s="99">
        <f t="shared" si="10"/>
        <v>3</v>
      </c>
      <c r="Q53" s="76">
        <f>P53</f>
        <v>3</v>
      </c>
      <c r="R53" s="77">
        <f>VLOOKUP(Q53,STN_TABLE,2,FALSE)</f>
        <v>5.7</v>
      </c>
      <c r="S53" s="77">
        <v>8</v>
      </c>
      <c r="T53" s="76">
        <f>R53*S53</f>
        <v>45.6</v>
      </c>
      <c r="U53" s="80">
        <v>10</v>
      </c>
      <c r="V53" s="76">
        <f>R53*U53</f>
        <v>57</v>
      </c>
      <c r="W53" s="513" t="s">
        <v>97</v>
      </c>
      <c r="X53" s="513"/>
      <c r="Y53" s="513" t="s">
        <v>98</v>
      </c>
      <c r="Z53" s="513"/>
      <c r="AA53" s="511" t="s">
        <v>99</v>
      </c>
      <c r="AB53" s="511"/>
      <c r="AC53" s="99">
        <f>AC48+1</f>
        <v>5</v>
      </c>
      <c r="AD53" s="95">
        <f>VLOOKUP(AC53,STN_TABLE_2,2,FALSE)</f>
        <v>2</v>
      </c>
      <c r="AE53" s="68">
        <f>VLOOKUP(AD53,STN_TABLE,2,FALSE)</f>
        <v>3.1</v>
      </c>
      <c r="AF53" s="68">
        <v>1</v>
      </c>
      <c r="AG53" s="69">
        <f>AE53*AF53</f>
        <v>3.1</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5.7</v>
      </c>
      <c r="E54" s="92">
        <v>1</v>
      </c>
      <c r="F54" s="82">
        <f>D54*E54</f>
        <v>5.7</v>
      </c>
      <c r="G54" s="83">
        <f>C54</f>
        <v>3</v>
      </c>
      <c r="H54" s="83">
        <f>F54*G54</f>
        <v>17.100000000000001</v>
      </c>
      <c r="I54" s="84" t="str">
        <f>CONCATENATE("a'(",C54,")=")</f>
        <v>a'(3)=</v>
      </c>
      <c r="J54" s="84">
        <f>2*J52/3*F55</f>
        <v>24.479999999999997</v>
      </c>
      <c r="K54" s="84" t="str">
        <f>CONCATENATE("A(",C52,")=")</f>
        <v>A(1)=</v>
      </c>
      <c r="L54" s="84">
        <f>VLOOKUP(C52,STN_TABLE,3,FALSE)</f>
        <v>5.5679999999999996</v>
      </c>
      <c r="M54" t="str">
        <f>CONCATENATE("A(",C54,")=")</f>
        <v>A(3)=</v>
      </c>
      <c r="N54">
        <f>J54+L54</f>
        <v>30.047999999999995</v>
      </c>
      <c r="O54" s="99">
        <f>O53+1</f>
        <v>7</v>
      </c>
      <c r="P54" s="99">
        <f t="shared" si="10"/>
        <v>4</v>
      </c>
      <c r="Q54" s="82">
        <f>IF(P54-P53=P53-P52,P54,IF(P55-P53=P53-P52,P55,IF(P54-P53=P53-P51,P54,IF(P55-P53=P53-P51,P55,"-"))))</f>
        <v>4</v>
      </c>
      <c r="R54" s="83">
        <f>VLOOKUP(Q54,STN_TABLE,2,FALSE)</f>
        <v>9.6999999999999993</v>
      </c>
      <c r="S54" s="83">
        <v>-1</v>
      </c>
      <c r="T54" s="82">
        <f>R54*S54</f>
        <v>-9.6999999999999993</v>
      </c>
      <c r="U54" s="88">
        <v>-1</v>
      </c>
      <c r="V54" s="82">
        <f>R54*U54</f>
        <v>-9.6999999999999993</v>
      </c>
      <c r="W54" s="84" t="str">
        <f>CONCATENATE("a'(",Q53,")=")</f>
        <v>a'(3)=</v>
      </c>
      <c r="X54" s="84">
        <f>2*X52/12*T55</f>
        <v>15.420000000000002</v>
      </c>
      <c r="Y54" s="84" t="str">
        <f>CONCATENATE("A(",Q52,")=")</f>
        <v>A(2)=</v>
      </c>
      <c r="Z54" s="84">
        <f>VLOOKUP(Q52,STN_TABLE,3,FALSE)</f>
        <v>15.288</v>
      </c>
      <c r="AA54" t="str">
        <f>CONCATENATE("A(",Q53,")=")</f>
        <v>A(3)=</v>
      </c>
      <c r="AB54">
        <f>X54+Z54</f>
        <v>30.708000000000002</v>
      </c>
      <c r="AC54" s="99">
        <f>AC53+1</f>
        <v>6</v>
      </c>
      <c r="AD54" s="100">
        <f>VLOOKUP(AC54,STN_TABLE_2,2,FALSE)</f>
        <v>3</v>
      </c>
      <c r="AE54" s="82">
        <f>VLOOKUP(AD54,STN_TABLE,2,FALSE)</f>
        <v>5.7</v>
      </c>
      <c r="AF54" s="82">
        <v>2</v>
      </c>
      <c r="AG54" s="83">
        <f>AE54*AF54</f>
        <v>11.4</v>
      </c>
      <c r="AH54" s="84" t="str">
        <f>CONCATENATE("a'(",AD54,")=")</f>
        <v>a'(3)=</v>
      </c>
      <c r="AI54" s="84">
        <f>2*AI52/2*AE55</f>
        <v>15.840000000000002</v>
      </c>
      <c r="AJ54" s="84" t="str">
        <f>CONCATENATE("A(",AD53,")=")</f>
        <v>A(2)=</v>
      </c>
      <c r="AK54" s="84">
        <f>VLOOKUP(AD53,STN_TABLE,3,FALSE)</f>
        <v>15.288</v>
      </c>
      <c r="AL54" t="str">
        <f>CONCATENATE("A(",AD54,")=")</f>
        <v>A(3)=</v>
      </c>
      <c r="AM54">
        <f>AI54+AK54</f>
        <v>31.128</v>
      </c>
      <c r="AO54" s="68" t="str">
        <f>AA54</f>
        <v>A(3)=</v>
      </c>
      <c r="AP54" s="68" t="e">
        <f>VLOOKUP(AO54,Rise_Results,2,FALSE)</f>
        <v>#N/A</v>
      </c>
      <c r="AQ54" s="76">
        <f>N54</f>
        <v>30.047999999999995</v>
      </c>
      <c r="AR54" s="76">
        <f>IF(OR(AB54&lt;=0,AB55&lt;=0),1/0,AB54)</f>
        <v>30.708000000000002</v>
      </c>
      <c r="AS54" s="76">
        <f>AM54</f>
        <v>31.128</v>
      </c>
      <c r="AT54">
        <f>IFERROR(AP54,IFERROR(AQ54,IFERROR(AR54,AS54)))</f>
        <v>30.047999999999995</v>
      </c>
      <c r="AU54" s="81"/>
    </row>
    <row r="55" spans="1:47" x14ac:dyDescent="0.25">
      <c r="A55" s="84">
        <f>A54+1</f>
        <v>6</v>
      </c>
      <c r="B55" s="84">
        <f t="shared" si="11"/>
        <v>3</v>
      </c>
      <c r="F55" s="82">
        <f>SUM(F52:F54)</f>
        <v>20.399999999999999</v>
      </c>
      <c r="H55" s="82">
        <f>SUM(H52:H54)</f>
        <v>44.2</v>
      </c>
      <c r="I55" s="84" t="str">
        <f>CONCATENATE("m'(",C54,")=")</f>
        <v>m'(3)=</v>
      </c>
      <c r="J55" s="84">
        <f>2*(J52*(WLS))/3*H55</f>
        <v>95.472000000000008</v>
      </c>
      <c r="K55" s="84" t="str">
        <f>CONCATENATE("M(",C52,")=")</f>
        <v>M(1)=</v>
      </c>
      <c r="L55" s="84">
        <f>VLOOKUP(C52,STN_TABLE,4,FALSE)</f>
        <v>6.0911999999999997</v>
      </c>
      <c r="M55" t="str">
        <f>CONCATENATE("M(",C54,")=")</f>
        <v>M(3)=</v>
      </c>
      <c r="N55">
        <f>J55+L55</f>
        <v>101.56320000000001</v>
      </c>
      <c r="O55" s="99">
        <f>O54+1</f>
        <v>8</v>
      </c>
      <c r="P55" s="99">
        <f t="shared" si="10"/>
        <v>5</v>
      </c>
      <c r="T55" s="89">
        <f>SUM(T52:T54)</f>
        <v>51.400000000000006</v>
      </c>
      <c r="V55" s="82">
        <f>SUM(V52:V54)</f>
        <v>56.599999999999994</v>
      </c>
      <c r="W55" s="84" t="str">
        <f>CONCATENATE("m'(",Q53,")=")</f>
        <v>m'(3)=</v>
      </c>
      <c r="X55" s="84">
        <f>(2*(X52^2)/24*V55)+(X54*Q52*WLS)</f>
        <v>70.794000000000011</v>
      </c>
      <c r="Y55" s="84" t="str">
        <f>CONCATENATE("M(",Q52,")=")</f>
        <v>M(2)=</v>
      </c>
      <c r="Z55" s="84">
        <f>VLOOKUP(Q52,STN_TABLE,4,FALSE)</f>
        <v>32.767200000000003</v>
      </c>
      <c r="AA55" t="str">
        <f>CONCATENATE("M(",Q53,")=")</f>
        <v>M(3)=</v>
      </c>
      <c r="AB55">
        <f>X55+Z55</f>
        <v>103.56120000000001</v>
      </c>
      <c r="AE55" s="89">
        <f>SUM(AE53:AE54)</f>
        <v>8.8000000000000007</v>
      </c>
      <c r="AG55" s="89">
        <f>SUM(AG53:AG54)</f>
        <v>14.5</v>
      </c>
      <c r="AH55" s="84" t="str">
        <f>CONCATENATE("m'(",AD54,")=")</f>
        <v>m'(3)=</v>
      </c>
      <c r="AI55" s="84">
        <f>(2*(AI52^2)/6*AG55)+(AI54*AD53*WLS)</f>
        <v>72.684000000000012</v>
      </c>
      <c r="AJ55" s="84" t="str">
        <f>CONCATENATE("M(",AD53,")=")</f>
        <v>M(2)=</v>
      </c>
      <c r="AK55" s="84">
        <f>VLOOKUP(AD53,STN_TABLE,4,FALSE)</f>
        <v>32.767200000000003</v>
      </c>
      <c r="AL55" t="str">
        <f>CONCATENATE("M(",AD54,")=")</f>
        <v>M(3)=</v>
      </c>
      <c r="AM55">
        <f>AI55+AK55</f>
        <v>105.45120000000001</v>
      </c>
      <c r="AO55" s="82" t="str">
        <f>AA55</f>
        <v>M(3)=</v>
      </c>
      <c r="AP55" s="82" t="e">
        <f>VLOOKUP(AO55,Rise_Results,2,FALSE)</f>
        <v>#N/A</v>
      </c>
      <c r="AQ55" s="82">
        <f>N55</f>
        <v>101.56320000000001</v>
      </c>
      <c r="AR55" s="82">
        <f>IF(OR(AB54&lt;=0,AB55&lt;=0),1/0,AB55)</f>
        <v>103.56120000000001</v>
      </c>
      <c r="AS55" s="82">
        <f>AM55</f>
        <v>105.45120000000001</v>
      </c>
      <c r="AT55">
        <f>IFERROR(AP55,IFERROR(AQ55,IFERROR(AR55,AS55)))</f>
        <v>101.56320000000001</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3.1</v>
      </c>
      <c r="E57" s="102">
        <v>1</v>
      </c>
      <c r="F57" s="68">
        <f>D57*E57</f>
        <v>3.1</v>
      </c>
      <c r="G57" s="69">
        <f>C57</f>
        <v>2</v>
      </c>
      <c r="H57" s="69">
        <f>F57*G57</f>
        <v>6.2</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5.7</v>
      </c>
      <c r="S57" s="69">
        <v>5</v>
      </c>
      <c r="T57" s="68">
        <f>R57*S57</f>
        <v>28.5</v>
      </c>
      <c r="U57" s="79">
        <v>3</v>
      </c>
      <c r="V57" s="68">
        <f>R57*U57</f>
        <v>17.100000000000001</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5.7</v>
      </c>
      <c r="E58" s="81">
        <v>4</v>
      </c>
      <c r="F58" s="76">
        <f>D58*E58</f>
        <v>22.8</v>
      </c>
      <c r="G58" s="77">
        <f>C58</f>
        <v>3</v>
      </c>
      <c r="H58" s="77">
        <f>F58*G58</f>
        <v>68.400000000000006</v>
      </c>
      <c r="I58" s="512" t="s">
        <v>97</v>
      </c>
      <c r="J58" s="513"/>
      <c r="K58" s="78" t="s">
        <v>98</v>
      </c>
      <c r="L58" s="78"/>
      <c r="M58" s="7" t="s">
        <v>99</v>
      </c>
      <c r="N58" s="7"/>
      <c r="O58" s="99">
        <f>O57+1</f>
        <v>7</v>
      </c>
      <c r="P58" s="99">
        <f t="shared" si="10"/>
        <v>4</v>
      </c>
      <c r="Q58" s="76">
        <f>P58</f>
        <v>4</v>
      </c>
      <c r="R58" s="77">
        <f>VLOOKUP(Q58,STN_TABLE,2,FALSE)</f>
        <v>9.6999999999999993</v>
      </c>
      <c r="S58" s="77">
        <v>8</v>
      </c>
      <c r="T58" s="76">
        <f>R58*S58</f>
        <v>77.599999999999994</v>
      </c>
      <c r="U58" s="80">
        <v>10</v>
      </c>
      <c r="V58" s="76">
        <f>R58*U58</f>
        <v>97</v>
      </c>
      <c r="W58" s="78" t="s">
        <v>97</v>
      </c>
      <c r="X58" s="78"/>
      <c r="Y58" s="78" t="s">
        <v>98</v>
      </c>
      <c r="Z58" s="78"/>
      <c r="AA58" s="7" t="s">
        <v>99</v>
      </c>
      <c r="AB58" s="7"/>
      <c r="AC58" s="99">
        <f>AC53+1</f>
        <v>6</v>
      </c>
      <c r="AD58" s="95">
        <f>VLOOKUP(AC58,STN_TABLE_2,2,FALSE)</f>
        <v>3</v>
      </c>
      <c r="AE58" s="68">
        <f>VLOOKUP(AD58,STN_TABLE,2,FALSE)</f>
        <v>5.7</v>
      </c>
      <c r="AF58" s="68">
        <v>1</v>
      </c>
      <c r="AG58" s="69">
        <f>AE58*AF58</f>
        <v>5.7</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9.6999999999999993</v>
      </c>
      <c r="E59" s="92">
        <v>1</v>
      </c>
      <c r="F59" s="82">
        <f>D59*E59</f>
        <v>9.6999999999999993</v>
      </c>
      <c r="G59" s="83">
        <f>C59</f>
        <v>4</v>
      </c>
      <c r="H59" s="83">
        <f>F59*G59</f>
        <v>38.799999999999997</v>
      </c>
      <c r="I59" s="84" t="str">
        <f>CONCATENATE("a'(",C59,")=")</f>
        <v>a'(4)=</v>
      </c>
      <c r="J59" s="84">
        <f>2*J57/3*F60</f>
        <v>42.72</v>
      </c>
      <c r="K59" s="84" t="str">
        <f>CONCATENATE("A(",C57,")=")</f>
        <v>A(2)=</v>
      </c>
      <c r="L59" s="84">
        <f>VLOOKUP(C57,STN_TABLE,3,FALSE)</f>
        <v>15.288</v>
      </c>
      <c r="M59" t="str">
        <f>CONCATENATE("A(",C59,")=")</f>
        <v>A(4)=</v>
      </c>
      <c r="N59">
        <f>J59+L59</f>
        <v>58.007999999999996</v>
      </c>
      <c r="O59" s="99">
        <f>O58+1</f>
        <v>8</v>
      </c>
      <c r="P59" s="99">
        <f t="shared" si="10"/>
        <v>5</v>
      </c>
      <c r="Q59" s="82">
        <f>IF(P59-P58=P58-P57,P59,IF(P60-P58=P58-P57,P60,IF(P59-P58=P58-P56,P59,IF(P60-P58=P58-P56,P60,"-"))))</f>
        <v>5</v>
      </c>
      <c r="R59" s="83">
        <f>VLOOKUP(Q59,STN_TABLE,2,FALSE)</f>
        <v>11.23</v>
      </c>
      <c r="S59" s="83">
        <v>-1</v>
      </c>
      <c r="T59" s="82">
        <f>R59*S59</f>
        <v>-11.23</v>
      </c>
      <c r="U59" s="88">
        <v>-1</v>
      </c>
      <c r="V59" s="82">
        <f>R59*U59</f>
        <v>-11.23</v>
      </c>
      <c r="W59" s="84" t="str">
        <f>CONCATENATE("a'(",Q58,")=")</f>
        <v>a'(4)=</v>
      </c>
      <c r="X59" s="84">
        <f>2*X57/12*T60</f>
        <v>28.460999999999995</v>
      </c>
      <c r="Y59" s="84" t="str">
        <f>CONCATENATE("A(",Q57,")=")</f>
        <v>A(3)=</v>
      </c>
      <c r="Z59" s="84">
        <f>VLOOKUP(Q57,STN_TABLE,3,FALSE)</f>
        <v>30.047999999999995</v>
      </c>
      <c r="AA59" t="str">
        <f>CONCATENATE("A(",Q58,")=")</f>
        <v>A(4)=</v>
      </c>
      <c r="AB59">
        <f>X59+Z59</f>
        <v>58.508999999999986</v>
      </c>
      <c r="AC59" s="99">
        <f>AC58+1</f>
        <v>7</v>
      </c>
      <c r="AD59" s="100">
        <f>VLOOKUP(AC59,STN_TABLE_2,2,FALSE)</f>
        <v>4</v>
      </c>
      <c r="AE59" s="82">
        <f>VLOOKUP(AD59,STN_TABLE,2,FALSE)</f>
        <v>9.6999999999999993</v>
      </c>
      <c r="AF59" s="82">
        <v>2</v>
      </c>
      <c r="AG59" s="83">
        <f>AE59*AF59</f>
        <v>19.399999999999999</v>
      </c>
      <c r="AH59" s="84" t="str">
        <f>CONCATENATE("a'(",AD59,")=")</f>
        <v>a'(4)=</v>
      </c>
      <c r="AI59" s="84">
        <f>2*AI57/2*AE60</f>
        <v>27.72</v>
      </c>
      <c r="AJ59" s="84" t="str">
        <f>CONCATENATE("A(",AD58,")=")</f>
        <v>A(3)=</v>
      </c>
      <c r="AK59" s="84">
        <f>VLOOKUP(AD58,STN_TABLE,3,FALSE)</f>
        <v>30.047999999999995</v>
      </c>
      <c r="AL59" t="str">
        <f>CONCATENATE("A(",AD59,")=")</f>
        <v>A(4)=</v>
      </c>
      <c r="AM59">
        <f>AI59+AK59</f>
        <v>57.767999999999994</v>
      </c>
      <c r="AO59" s="68" t="str">
        <f>AA59</f>
        <v>A(4)=</v>
      </c>
      <c r="AP59" s="68" t="e">
        <f>VLOOKUP(AO59,Rise_Results,2,FALSE)</f>
        <v>#N/A</v>
      </c>
      <c r="AQ59" s="76">
        <f>N59</f>
        <v>58.007999999999996</v>
      </c>
      <c r="AR59" s="76">
        <f>IF(OR(AB59&lt;=0,AB60&lt;=0),1/0,AB59)</f>
        <v>58.508999999999986</v>
      </c>
      <c r="AS59" s="76">
        <f>AM59</f>
        <v>57.767999999999994</v>
      </c>
      <c r="AT59">
        <f>IFERROR(AP59,IFERROR(AQ59,IFERROR(AR59,AS59)))</f>
        <v>58.007999999999996</v>
      </c>
      <c r="AU59" s="81"/>
    </row>
    <row r="60" spans="1:47" x14ac:dyDescent="0.25">
      <c r="A60" s="84">
        <f>A59+1</f>
        <v>7</v>
      </c>
      <c r="B60" s="84">
        <f t="shared" si="11"/>
        <v>4</v>
      </c>
      <c r="F60" s="82">
        <f>SUM(F57:F59)</f>
        <v>35.6</v>
      </c>
      <c r="H60" s="82">
        <f>SUM(H57:H59)</f>
        <v>113.4</v>
      </c>
      <c r="I60" s="84" t="str">
        <f>CONCATENATE("m'(",C59,")=")</f>
        <v>m'(4)=</v>
      </c>
      <c r="J60" s="84">
        <f>2*(J57*(WLS))/3*H60</f>
        <v>244.94400000000002</v>
      </c>
      <c r="K60" s="84" t="str">
        <f>CONCATENATE("M(",C57,")=")</f>
        <v>M(2)=</v>
      </c>
      <c r="L60" s="84">
        <f>VLOOKUP(C57,STN_TABLE,4,FALSE)</f>
        <v>32.767200000000003</v>
      </c>
      <c r="M60" t="str">
        <f>CONCATENATE("M(",C59,")=")</f>
        <v>M(4)=</v>
      </c>
      <c r="N60">
        <f>J60+L60</f>
        <v>277.71120000000002</v>
      </c>
      <c r="O60" s="99">
        <f>O59+1</f>
        <v>9</v>
      </c>
      <c r="P60" s="99">
        <f t="shared" si="10"/>
        <v>5.6111111111111107</v>
      </c>
      <c r="T60" s="89">
        <f>SUM(T57:T59)</f>
        <v>94.86999999999999</v>
      </c>
      <c r="V60" s="82">
        <f>SUM(V57:V59)</f>
        <v>102.86999999999999</v>
      </c>
      <c r="W60" s="84" t="str">
        <f>CONCATENATE("m'(",Q58,")=")</f>
        <v>m'(4)=</v>
      </c>
      <c r="X60" s="84">
        <f>(2*(X57^2)/24*V60)+(X59*Q57*WLS)</f>
        <v>181.46429999999998</v>
      </c>
      <c r="Y60" s="84" t="str">
        <f>CONCATENATE("M(",Q57,")=")</f>
        <v>M(3)=</v>
      </c>
      <c r="Z60" s="84">
        <f>VLOOKUP(Q57,STN_TABLE,4,FALSE)</f>
        <v>101.56320000000001</v>
      </c>
      <c r="AA60" t="str">
        <f>CONCATENATE("M(",Q58,")=")</f>
        <v>M(4)=</v>
      </c>
      <c r="AB60">
        <f>X60+Z60</f>
        <v>283.02749999999997</v>
      </c>
      <c r="AE60" s="89">
        <f>SUM(AE58:AE59)</f>
        <v>15.399999999999999</v>
      </c>
      <c r="AG60" s="89">
        <f>SUM(AG58:AG59)</f>
        <v>25.099999999999998</v>
      </c>
      <c r="AH60" s="84" t="str">
        <f>CONCATENATE("m'(",AD59,")=")</f>
        <v>m'(4)=</v>
      </c>
      <c r="AI60" s="84">
        <f>(2*(AI57^2)/6*AG60)+(AI59*AD58*WLS)</f>
        <v>176.79599999999999</v>
      </c>
      <c r="AJ60" s="84" t="str">
        <f>CONCATENATE("M(",AD58,")=")</f>
        <v>M(3)=</v>
      </c>
      <c r="AK60" s="84">
        <f>VLOOKUP(AD57,STN_TABLE,4,FALSE)</f>
        <v>0</v>
      </c>
      <c r="AL60" t="str">
        <f>CONCATENATE("M(",AD59,")=")</f>
        <v>M(4)=</v>
      </c>
      <c r="AM60">
        <f>AI60+AK60</f>
        <v>176.79599999999999</v>
      </c>
      <c r="AO60" s="82" t="str">
        <f>AA60</f>
        <v>M(4)=</v>
      </c>
      <c r="AP60" s="82" t="e">
        <f>VLOOKUP(AO60,Rise_Results,2,FALSE)</f>
        <v>#N/A</v>
      </c>
      <c r="AQ60" s="82">
        <f>N60</f>
        <v>277.71120000000002</v>
      </c>
      <c r="AR60" s="82">
        <f>IF(OR(AB59&lt;=0,AB60&lt;=0),1/0,AB60)</f>
        <v>283.02749999999997</v>
      </c>
      <c r="AS60" s="82">
        <f>AM60</f>
        <v>176.79599999999999</v>
      </c>
      <c r="AT60">
        <f>IFERROR(AP60,IFERROR(AQ60,IFERROR(AR60,AS60)))</f>
        <v>277.71120000000002</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5.7</v>
      </c>
      <c r="E62" s="102">
        <v>1</v>
      </c>
      <c r="F62" s="68">
        <f>D62*E62</f>
        <v>5.7</v>
      </c>
      <c r="G62" s="69">
        <f>C62</f>
        <v>3</v>
      </c>
      <c r="H62" s="69">
        <f>F62*G62</f>
        <v>17.100000000000001</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9.6999999999999993</v>
      </c>
      <c r="S62" s="69">
        <v>5</v>
      </c>
      <c r="T62" s="68">
        <f>R62*S62</f>
        <v>48.5</v>
      </c>
      <c r="U62" s="79">
        <v>3</v>
      </c>
      <c r="V62" s="68">
        <f>R62*U62</f>
        <v>29.099999999999998</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9.6999999999999993</v>
      </c>
      <c r="E63" s="81">
        <v>4</v>
      </c>
      <c r="F63" s="76">
        <f>D63*E63</f>
        <v>38.799999999999997</v>
      </c>
      <c r="G63" s="77">
        <f>C63</f>
        <v>4</v>
      </c>
      <c r="H63" s="77">
        <f>F63*G63</f>
        <v>155.19999999999999</v>
      </c>
      <c r="I63" s="512" t="s">
        <v>97</v>
      </c>
      <c r="J63" s="513"/>
      <c r="K63" s="78" t="s">
        <v>98</v>
      </c>
      <c r="L63" s="78"/>
      <c r="M63" s="7" t="s">
        <v>99</v>
      </c>
      <c r="N63" s="7"/>
      <c r="O63" s="99">
        <f>O62+1</f>
        <v>8</v>
      </c>
      <c r="P63" s="99">
        <f t="shared" si="10"/>
        <v>5</v>
      </c>
      <c r="Q63" s="76">
        <f>P63</f>
        <v>5</v>
      </c>
      <c r="R63" s="77">
        <f>VLOOKUP(Q63,STN_TABLE,2,FALSE)</f>
        <v>11.23</v>
      </c>
      <c r="S63" s="77">
        <v>8</v>
      </c>
      <c r="T63" s="76">
        <f>R63*S63</f>
        <v>89.84</v>
      </c>
      <c r="U63" s="80">
        <v>10</v>
      </c>
      <c r="V63" s="76">
        <f>R63*U63</f>
        <v>112.30000000000001</v>
      </c>
      <c r="W63" s="513" t="s">
        <v>97</v>
      </c>
      <c r="X63" s="513"/>
      <c r="Y63" s="513" t="s">
        <v>98</v>
      </c>
      <c r="Z63" s="513"/>
      <c r="AA63" s="511" t="s">
        <v>99</v>
      </c>
      <c r="AB63" s="511"/>
      <c r="AC63" s="99">
        <f>AC58+1</f>
        <v>7</v>
      </c>
      <c r="AD63" s="95">
        <f>VLOOKUP(AC63,STN_TABLE_2,2,FALSE)</f>
        <v>4</v>
      </c>
      <c r="AE63" s="68">
        <f>VLOOKUP(AD63,STN_TABLE,2,FALSE)</f>
        <v>9.6999999999999993</v>
      </c>
      <c r="AF63" s="68">
        <v>1</v>
      </c>
      <c r="AG63" s="69">
        <f>AE63*AF63</f>
        <v>9.6999999999999993</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11.23</v>
      </c>
      <c r="E64" s="92">
        <v>1</v>
      </c>
      <c r="F64" s="82">
        <f>D64*E64</f>
        <v>11.23</v>
      </c>
      <c r="G64" s="83">
        <f>C64</f>
        <v>5</v>
      </c>
      <c r="H64" s="83">
        <f>F64*G64</f>
        <v>56.150000000000006</v>
      </c>
      <c r="I64" s="84" t="str">
        <f>CONCATENATE("a'(",C64,")=")</f>
        <v>a'(5)=</v>
      </c>
      <c r="J64" s="84">
        <f>2*J62/3*F65</f>
        <v>66.876000000000005</v>
      </c>
      <c r="K64" s="84" t="str">
        <f>CONCATENATE("A(",C62,")=")</f>
        <v>A(3)=</v>
      </c>
      <c r="L64" s="84">
        <f>VLOOKUP(C62,STN_TABLE,3,FALSE)</f>
        <v>30.047999999999995</v>
      </c>
      <c r="M64" t="str">
        <f>CONCATENATE("A(",C64,")=")</f>
        <v>A(5)=</v>
      </c>
      <c r="N64">
        <f>J64+L64</f>
        <v>96.924000000000007</v>
      </c>
      <c r="O64" s="99">
        <f>O63+1</f>
        <v>9</v>
      </c>
      <c r="P64" s="99">
        <f t="shared" si="10"/>
        <v>5.6111111111111107</v>
      </c>
      <c r="Q64" s="82">
        <f>IF(P64-P63=P63-P62,P64,IF(P65-P63=P63-P62,P65,IF(P64-P63=P63-P61,P64,IF(P65-P63=P63-P61,P65,"-"))))</f>
        <v>6</v>
      </c>
      <c r="R64" s="83">
        <f>VLOOKUP(Q64,STN_TABLE,2,FALSE)</f>
        <v>11.93</v>
      </c>
      <c r="S64" s="83">
        <v>-1</v>
      </c>
      <c r="T64" s="82">
        <f>R64*S64</f>
        <v>-11.93</v>
      </c>
      <c r="U64" s="88">
        <v>-1</v>
      </c>
      <c r="V64" s="82">
        <f>R64*U64</f>
        <v>-11.93</v>
      </c>
      <c r="W64" s="84" t="str">
        <f>CONCATENATE("a'(",Q63,")=")</f>
        <v>a'(5)=</v>
      </c>
      <c r="X64" s="84">
        <f>2*X62/12*T65</f>
        <v>37.922999999999995</v>
      </c>
      <c r="Y64" s="84" t="str">
        <f>CONCATENATE("A(",Q62,")=")</f>
        <v>A(4)=</v>
      </c>
      <c r="Z64" s="84">
        <f>VLOOKUP(Q62,STN_TABLE,3,FALSE)</f>
        <v>58.007999999999996</v>
      </c>
      <c r="AA64" t="str">
        <f>CONCATENATE("A(",Q63,")=")</f>
        <v>A(5)=</v>
      </c>
      <c r="AB64">
        <f>X64+Z64</f>
        <v>95.930999999999983</v>
      </c>
      <c r="AC64" s="99">
        <f>AC63+1</f>
        <v>8</v>
      </c>
      <c r="AD64" s="100">
        <f>VLOOKUP(AC64,STN_TABLE_2,2,FALSE)</f>
        <v>5</v>
      </c>
      <c r="AE64" s="82">
        <f>VLOOKUP(AD64,STN_TABLE,2,FALSE)</f>
        <v>11.23</v>
      </c>
      <c r="AF64" s="82">
        <v>2</v>
      </c>
      <c r="AG64" s="83">
        <f>AE64*AF64</f>
        <v>22.46</v>
      </c>
      <c r="AH64" s="84" t="str">
        <f>CONCATENATE("a'(",AD64,")=")</f>
        <v>a'(5)=</v>
      </c>
      <c r="AI64" s="84">
        <f>2*AI62/2*AE65</f>
        <v>37.673999999999999</v>
      </c>
      <c r="AJ64" s="84" t="str">
        <f>CONCATENATE("A(",AD63,")=")</f>
        <v>A(4)=</v>
      </c>
      <c r="AK64" s="84">
        <f>VLOOKUP(AD63,STN_TABLE,3,FALSE)</f>
        <v>58.007999999999996</v>
      </c>
      <c r="AL64" t="str">
        <f>CONCATENATE("A(",AD64,")=")</f>
        <v>A(5)=</v>
      </c>
      <c r="AM64">
        <f>AI64+AK64</f>
        <v>95.681999999999988</v>
      </c>
      <c r="AO64" s="68" t="str">
        <f>AA64</f>
        <v>A(5)=</v>
      </c>
      <c r="AP64" s="68" t="e">
        <f>VLOOKUP(AO64,Rise_Results,2,FALSE)</f>
        <v>#N/A</v>
      </c>
      <c r="AQ64" s="76">
        <f>N64</f>
        <v>96.924000000000007</v>
      </c>
      <c r="AR64" s="76">
        <f>IF(OR(AB64&lt;=0,AB65&lt;=0),1/0,AB64)</f>
        <v>95.930999999999983</v>
      </c>
      <c r="AS64" s="76">
        <f>AM64</f>
        <v>95.681999999999988</v>
      </c>
      <c r="AT64">
        <f>IFERROR(AP64,IFERROR(AQ64,IFERROR(AR64,AS64)))</f>
        <v>96.924000000000007</v>
      </c>
      <c r="AU64" s="81"/>
    </row>
    <row r="65" spans="1:47" x14ac:dyDescent="0.25">
      <c r="A65" s="84">
        <f>A64+1</f>
        <v>8</v>
      </c>
      <c r="B65" s="84">
        <f t="shared" si="11"/>
        <v>5</v>
      </c>
      <c r="F65" s="82">
        <f>SUM(F62:F64)</f>
        <v>55.730000000000004</v>
      </c>
      <c r="H65" s="82">
        <f>SUM(H62:H64)</f>
        <v>228.45</v>
      </c>
      <c r="I65" s="84" t="str">
        <f>CONCATENATE("m'(",C64,")=")</f>
        <v>m'(5)=</v>
      </c>
      <c r="J65" s="84">
        <f>2*(J62*(WLS))/3*H65</f>
        <v>493.452</v>
      </c>
      <c r="K65" s="84" t="str">
        <f>CONCATENATE("M(",C62,")=")</f>
        <v>M(3)=</v>
      </c>
      <c r="L65" s="84">
        <f>VLOOKUP(C62,STN_TABLE,4,FALSE)</f>
        <v>101.56320000000001</v>
      </c>
      <c r="M65" t="str">
        <f>CONCATENATE("M(",C64,")=")</f>
        <v>M(5)=</v>
      </c>
      <c r="N65">
        <f>J65+L65</f>
        <v>595.01520000000005</v>
      </c>
      <c r="O65" s="99">
        <f>O64+1</f>
        <v>10</v>
      </c>
      <c r="P65" s="99">
        <f t="shared" si="10"/>
        <v>6</v>
      </c>
      <c r="T65" s="89">
        <f>SUM(T62:T64)</f>
        <v>126.41</v>
      </c>
      <c r="V65" s="82">
        <f>SUM(V62:V64)</f>
        <v>129.47</v>
      </c>
      <c r="W65" s="84" t="str">
        <f>CONCATENATE("m'(",Q63,")=")</f>
        <v>m'(5)=</v>
      </c>
      <c r="X65" s="84">
        <f>(2*(X62^2)/24*V65)+(X64*Q62*WLS)</f>
        <v>308.0025</v>
      </c>
      <c r="Y65" s="84" t="str">
        <f>CONCATENATE("M(",Q62,")=")</f>
        <v>M(4)=</v>
      </c>
      <c r="Z65" s="84">
        <f>VLOOKUP(Q62,STN_TABLE,4,FALSE)</f>
        <v>277.71120000000002</v>
      </c>
      <c r="AA65" t="str">
        <f>CONCATENATE("M(",Q63,")=")</f>
        <v>M(5)=</v>
      </c>
      <c r="AB65">
        <f>X65+Z65</f>
        <v>585.71370000000002</v>
      </c>
      <c r="AE65" s="89">
        <f>SUM(AE63:AE64)</f>
        <v>20.93</v>
      </c>
      <c r="AG65" s="89">
        <f>SUM(AG63:AG64)</f>
        <v>32.159999999999997</v>
      </c>
      <c r="AH65" s="84" t="str">
        <f>CONCATENATE("m'(",AD64,")=")</f>
        <v>m'(5)=</v>
      </c>
      <c r="AI65" s="84">
        <f>(2*(AI62^2)/6*AG65)+(AI64*AD63*WLS)</f>
        <v>305.98559999999998</v>
      </c>
      <c r="AJ65" s="84" t="str">
        <f>CONCATENATE("M(",AD63,")=")</f>
        <v>M(4)=</v>
      </c>
      <c r="AK65" s="84">
        <f>VLOOKUP(AD63,STN_TABLE,4,FALSE)</f>
        <v>277.71120000000002</v>
      </c>
      <c r="AL65" t="str">
        <f>CONCATENATE("M(",AD64,")=")</f>
        <v>M(5)=</v>
      </c>
      <c r="AM65">
        <f>AI65+AK65</f>
        <v>583.69679999999994</v>
      </c>
      <c r="AO65" s="82" t="str">
        <f>AA65</f>
        <v>M(5)=</v>
      </c>
      <c r="AP65" s="82" t="e">
        <f>VLOOKUP(AO65,Rise_Results,2,FALSE)</f>
        <v>#N/A</v>
      </c>
      <c r="AQ65" s="82">
        <f>N65</f>
        <v>595.01520000000005</v>
      </c>
      <c r="AR65" s="82">
        <f>IF(OR(AB64&lt;=0,AB65&lt;=0),1/0,AB65)</f>
        <v>585.71370000000002</v>
      </c>
      <c r="AS65" s="82">
        <f>AM65</f>
        <v>583.69679999999994</v>
      </c>
      <c r="AT65">
        <f>IFERROR(AP65,IFERROR(AQ65,IFERROR(AR65,AS65)))</f>
        <v>595.01520000000005</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11.7</v>
      </c>
      <c r="S68" s="77">
        <v>8</v>
      </c>
      <c r="T68" s="76">
        <f>R68*S68</f>
        <v>93.6</v>
      </c>
      <c r="U68" s="80">
        <v>10</v>
      </c>
      <c r="V68" s="76">
        <f>R68*U68</f>
        <v>117</v>
      </c>
      <c r="W68" s="513" t="s">
        <v>97</v>
      </c>
      <c r="X68" s="513"/>
      <c r="Y68" s="513" t="s">
        <v>98</v>
      </c>
      <c r="Z68" s="513"/>
      <c r="AA68" s="511" t="s">
        <v>99</v>
      </c>
      <c r="AB68" s="511"/>
      <c r="AC68" s="99">
        <f>AC63+1</f>
        <v>8</v>
      </c>
      <c r="AD68" s="95">
        <f>VLOOKUP(AC68,STN_TABLE_2,2,FALSE)</f>
        <v>5</v>
      </c>
      <c r="AE68" s="68">
        <f>VLOOKUP(AD68,STN_TABLE,2,FALSE)</f>
        <v>11.23</v>
      </c>
      <c r="AF68" s="68">
        <v>1</v>
      </c>
      <c r="AG68" s="69">
        <f>AE68*AF68</f>
        <v>11.23</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11.7</v>
      </c>
      <c r="E69" s="92">
        <v>1</v>
      </c>
      <c r="F69" s="82">
        <f>D69*E69</f>
        <v>11.7</v>
      </c>
      <c r="G69" s="83">
        <f>C69</f>
        <v>5.6111111111111107</v>
      </c>
      <c r="H69" s="83">
        <f>F69*G69</f>
        <v>65.649999999999991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11.7</v>
      </c>
      <c r="AF69" s="82">
        <v>2</v>
      </c>
      <c r="AG69" s="83">
        <f>AE69*AF69</f>
        <v>23.4</v>
      </c>
      <c r="AH69" s="84" t="str">
        <f>CONCATENATE("a'(",AD69,")=")</f>
        <v>a'(5.61111111111111)=</v>
      </c>
      <c r="AI69" s="84">
        <f>2*AI67/2*AE70</f>
        <v>25.222999999999985</v>
      </c>
      <c r="AJ69" s="84" t="str">
        <f>CONCATENATE("A(",AD68,")=")</f>
        <v>A(5)=</v>
      </c>
      <c r="AK69" s="84">
        <f>VLOOKUP(AD68,STN_TABLE,3,FALSE)</f>
        <v>96.924000000000007</v>
      </c>
      <c r="AL69" t="str">
        <f>CONCATENATE("A(",AD69,")=")</f>
        <v>A(5.61111111111111)=</v>
      </c>
      <c r="AM69">
        <f>AI69+AK69</f>
        <v>122.14699999999999</v>
      </c>
      <c r="AO69" s="68" t="str">
        <f>AA69</f>
        <v>A(5.61111111111111)=</v>
      </c>
      <c r="AP69" s="68" t="e">
        <f>VLOOKUP(AO69,Rise_Results,2,FALSE)</f>
        <v>#N/A</v>
      </c>
      <c r="AQ69" s="76" t="e">
        <f>N69</f>
        <v>#N/A</v>
      </c>
      <c r="AR69" s="76" t="e">
        <f>IF(OR(AB69&lt;=0,AB70&lt;=0),1/0,AB69)</f>
        <v>#VALUE!</v>
      </c>
      <c r="AS69" s="76">
        <f>AM69</f>
        <v>122.14699999999999</v>
      </c>
      <c r="AT69">
        <f>IFERROR(AP69,IFERROR(AQ69,IFERROR(AR69,AS69)))</f>
        <v>122.14699999999999</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22.93</v>
      </c>
      <c r="AG70" s="89">
        <f>SUM(AG68:AG69)</f>
        <v>34.629999999999995</v>
      </c>
      <c r="AH70" s="84" t="str">
        <f>CONCATENATE("m'(",AD69,")=")</f>
        <v>m'(5.61111111111111)=</v>
      </c>
      <c r="AI70" s="84">
        <f>(2*(AI67^2)/6*AG70)+(AI69*AD68*WLS)</f>
        <v>240.97443333333317</v>
      </c>
      <c r="AJ70" s="84" t="str">
        <f>CONCATENATE("M(",AD68,")=")</f>
        <v>M(5)=</v>
      </c>
      <c r="AK70" s="84">
        <f>VLOOKUP(AD68,STN_TABLE,4,FALSE)</f>
        <v>595.01520000000005</v>
      </c>
      <c r="AL70" t="str">
        <f>CONCATENATE("M(",AD69,")=")</f>
        <v>M(5.61111111111111)=</v>
      </c>
      <c r="AM70">
        <f>AI70+AK70</f>
        <v>835.98963333333324</v>
      </c>
      <c r="AO70" s="82" t="str">
        <f>AA70</f>
        <v>M(5.61111111111111)=</v>
      </c>
      <c r="AP70" s="82" t="e">
        <f>VLOOKUP(AO70,Rise_Results,2,FALSE)</f>
        <v>#N/A</v>
      </c>
      <c r="AQ70" s="82" t="e">
        <f>N70</f>
        <v>#N/A</v>
      </c>
      <c r="AR70" s="82" t="e">
        <f>IF(OR(AB69&lt;=0,AB70&lt;=0),1/0,AB70)</f>
        <v>#VALUE!</v>
      </c>
      <c r="AS70" s="82">
        <f>AM70</f>
        <v>835.98963333333324</v>
      </c>
      <c r="AT70">
        <f>IFERROR(AP70,IFERROR(AQ70,IFERROR(AR70,AS70)))</f>
        <v>835.98963333333324</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9.6999999999999993</v>
      </c>
      <c r="E72" s="102">
        <v>1</v>
      </c>
      <c r="F72" s="68">
        <f>D72*E72</f>
        <v>9.6999999999999993</v>
      </c>
      <c r="G72" s="69">
        <f>C72</f>
        <v>4</v>
      </c>
      <c r="H72" s="69">
        <f>F72*G72</f>
        <v>38.799999999999997</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11.23</v>
      </c>
      <c r="S72" s="69">
        <v>5</v>
      </c>
      <c r="T72" s="68">
        <f>R72*S72</f>
        <v>56.150000000000006</v>
      </c>
      <c r="U72" s="79">
        <v>3</v>
      </c>
      <c r="V72" s="68">
        <f>R72*U72</f>
        <v>33.69</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11.23</v>
      </c>
      <c r="E73" s="81">
        <v>4</v>
      </c>
      <c r="F73" s="76">
        <f>D73*E73</f>
        <v>44.92</v>
      </c>
      <c r="G73" s="77">
        <f>C73</f>
        <v>5</v>
      </c>
      <c r="H73" s="77">
        <f>F73*G73</f>
        <v>224.60000000000002</v>
      </c>
      <c r="I73" s="512" t="s">
        <v>97</v>
      </c>
      <c r="J73" s="513"/>
      <c r="K73" s="78" t="s">
        <v>98</v>
      </c>
      <c r="L73" s="78"/>
      <c r="M73" s="7" t="s">
        <v>99</v>
      </c>
      <c r="N73" s="7"/>
      <c r="O73" s="99">
        <f>O72+1</f>
        <v>10</v>
      </c>
      <c r="P73" s="99">
        <f t="shared" si="23"/>
        <v>6</v>
      </c>
      <c r="Q73" s="76">
        <f>P73</f>
        <v>6</v>
      </c>
      <c r="R73" s="77">
        <f>VLOOKUP(Q73,STN_TABLE,2,FALSE)</f>
        <v>11.93</v>
      </c>
      <c r="S73" s="77">
        <v>8</v>
      </c>
      <c r="T73" s="76">
        <f>R73*S73</f>
        <v>95.44</v>
      </c>
      <c r="U73" s="80">
        <v>10</v>
      </c>
      <c r="V73" s="76">
        <f>R73*U73</f>
        <v>119.3</v>
      </c>
      <c r="W73" s="513" t="s">
        <v>97</v>
      </c>
      <c r="X73" s="513"/>
      <c r="Y73" s="513" t="s">
        <v>98</v>
      </c>
      <c r="Z73" s="513"/>
      <c r="AA73" s="511" t="s">
        <v>99</v>
      </c>
      <c r="AB73" s="511"/>
      <c r="AC73" s="99">
        <f>AC68+1</f>
        <v>9</v>
      </c>
      <c r="AD73" s="95">
        <f>VLOOKUP(AC73,STN_TABLE_2,2,FALSE)</f>
        <v>5.6111111111111107</v>
      </c>
      <c r="AE73" s="68">
        <f>VLOOKUP(AD73,STN_TABLE,2,FALSE)</f>
        <v>11.7</v>
      </c>
      <c r="AF73" s="68">
        <v>1</v>
      </c>
      <c r="AG73" s="69">
        <f>AE73*AF73</f>
        <v>11.7</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11.93</v>
      </c>
      <c r="E74" s="92">
        <v>1</v>
      </c>
      <c r="F74" s="82">
        <f>D74*E74</f>
        <v>11.93</v>
      </c>
      <c r="G74" s="83">
        <f>C74</f>
        <v>6</v>
      </c>
      <c r="H74" s="83">
        <f>F74*G74</f>
        <v>71.58</v>
      </c>
      <c r="I74" s="84" t="str">
        <f>CONCATENATE("a'(",C74,")=")</f>
        <v>a'(6)=</v>
      </c>
      <c r="J74" s="84">
        <f>2*J72/3*F75</f>
        <v>79.860000000000014</v>
      </c>
      <c r="K74" s="84" t="str">
        <f>CONCATENATE("A(",C72,")=")</f>
        <v>A(4)=</v>
      </c>
      <c r="L74" s="84">
        <f>VLOOKUP(C72,STN_TABLE,3,FALSE)</f>
        <v>58.007999999999996</v>
      </c>
      <c r="M74" t="str">
        <f>CONCATENATE("A(",C74,")=")</f>
        <v>A(6)=</v>
      </c>
      <c r="N74">
        <f>J74+L74</f>
        <v>137.86799999999999</v>
      </c>
      <c r="O74" s="99">
        <f>O73+1</f>
        <v>11</v>
      </c>
      <c r="P74" s="99">
        <f t="shared" si="23"/>
        <v>7</v>
      </c>
      <c r="Q74" s="82">
        <f>IF(P74-P73=P73-P72,P74,IF(P75-P73=P73-P72,P75,IF(P74-P73=P73-P71,P74,IF(P75-P73=P73-P71,P75,"-"))))</f>
        <v>7</v>
      </c>
      <c r="R74" s="83">
        <f>VLOOKUP(Q74,STN_TABLE,2,FALSE)</f>
        <v>12.21</v>
      </c>
      <c r="S74" s="83">
        <v>-1</v>
      </c>
      <c r="T74" s="82">
        <f>R74*S74</f>
        <v>-12.21</v>
      </c>
      <c r="U74" s="88">
        <v>-1</v>
      </c>
      <c r="V74" s="82">
        <f>R74*U74</f>
        <v>-12.21</v>
      </c>
      <c r="W74" s="84" t="str">
        <f>CONCATENATE("a'(",Q73,")=")</f>
        <v>a'(6)=</v>
      </c>
      <c r="X74" s="84">
        <f>2*X72/12*T75</f>
        <v>41.814</v>
      </c>
      <c r="Y74" s="84" t="str">
        <f>CONCATENATE("A(",Q72,")=")</f>
        <v>A(5)=</v>
      </c>
      <c r="Z74" s="84">
        <f>VLOOKUP(Q72,STN_TABLE,3,FALSE)</f>
        <v>96.924000000000007</v>
      </c>
      <c r="AA74" t="str">
        <f>CONCATENATE("A(",Q73,")=")</f>
        <v>A(6)=</v>
      </c>
      <c r="AB74">
        <f>X74+Z74</f>
        <v>138.738</v>
      </c>
      <c r="AC74" s="99">
        <f>AC73+1</f>
        <v>10</v>
      </c>
      <c r="AD74" s="100">
        <f>VLOOKUP(AC74,STN_TABLE_2,2,FALSE)</f>
        <v>6</v>
      </c>
      <c r="AE74" s="82">
        <f>VLOOKUP(AD74,STN_TABLE,2,FALSE)</f>
        <v>11.93</v>
      </c>
      <c r="AF74" s="82">
        <v>2</v>
      </c>
      <c r="AG74" s="83">
        <f>AE74*AF74</f>
        <v>23.86</v>
      </c>
      <c r="AH74" s="84" t="str">
        <f>CONCATENATE("a'(",AD74,")=")</f>
        <v>a'(6)=</v>
      </c>
      <c r="AI74" s="84">
        <f>2*AI72/2*AE75</f>
        <v>16.541000000000018</v>
      </c>
      <c r="AJ74" s="84" t="str">
        <f>CONCATENATE("A(",AD73,")=")</f>
        <v>A(5.61111111111111)=</v>
      </c>
      <c r="AK74" s="84">
        <f>VLOOKUP(AD73,STN_TABLE,3,FALSE)</f>
        <v>122.14699999999999</v>
      </c>
      <c r="AL74" t="str">
        <f>CONCATENATE("A(",AD74,")=")</f>
        <v>A(6)=</v>
      </c>
      <c r="AM74">
        <f>AI74+AK74</f>
        <v>138.68800000000002</v>
      </c>
      <c r="AO74" s="68" t="str">
        <f>AA74</f>
        <v>A(6)=</v>
      </c>
      <c r="AP74" s="68" t="e">
        <f>VLOOKUP(AO74,Rise_Results,2,FALSE)</f>
        <v>#N/A</v>
      </c>
      <c r="AQ74" s="76">
        <f>N74</f>
        <v>137.86799999999999</v>
      </c>
      <c r="AR74" s="76">
        <f>IF(OR(AB74&lt;=0,AB75&lt;=0),1/0,AB74)</f>
        <v>138.738</v>
      </c>
      <c r="AS74" s="76">
        <f>AM74</f>
        <v>138.68800000000002</v>
      </c>
      <c r="AT74">
        <f>IFERROR(AP74,IFERROR(AQ74,IFERROR(AR74,AS74)))</f>
        <v>137.86799999999999</v>
      </c>
      <c r="AU74" s="81"/>
    </row>
    <row r="75" spans="1:47" x14ac:dyDescent="0.25">
      <c r="A75" s="84">
        <f>A74+1</f>
        <v>10</v>
      </c>
      <c r="B75" s="84">
        <f t="shared" si="27"/>
        <v>6</v>
      </c>
      <c r="F75" s="82">
        <f>SUM(F72:F74)</f>
        <v>66.550000000000011</v>
      </c>
      <c r="H75" s="82">
        <f>SUM(H72:H74)</f>
        <v>334.98</v>
      </c>
      <c r="I75" s="84" t="str">
        <f>CONCATENATE("m'(",C74,")=")</f>
        <v>m'(6)=</v>
      </c>
      <c r="J75" s="84">
        <f>2*(J72*(WLS))/3*H75</f>
        <v>723.55680000000007</v>
      </c>
      <c r="K75" s="84" t="str">
        <f>CONCATENATE("M(",C72,")=")</f>
        <v>M(4)=</v>
      </c>
      <c r="L75" s="84">
        <f>VLOOKUP(C72,STN_TABLE,4,FALSE)</f>
        <v>277.71120000000002</v>
      </c>
      <c r="M75" t="str">
        <f>CONCATENATE("M(",C74,")=")</f>
        <v>M(6)=</v>
      </c>
      <c r="N75">
        <f>J75+L75</f>
        <v>1001.268</v>
      </c>
      <c r="O75" s="99">
        <f>O74+1</f>
        <v>12</v>
      </c>
      <c r="P75" s="99">
        <f t="shared" si="23"/>
        <v>7.8833333333333329</v>
      </c>
      <c r="T75" s="89">
        <f>SUM(T72:T74)</f>
        <v>139.38</v>
      </c>
      <c r="V75" s="82">
        <f>SUM(V72:V74)</f>
        <v>140.78</v>
      </c>
      <c r="W75" s="84" t="str">
        <f>CONCATENATE("m'(",Q73,")=")</f>
        <v>m'(6)=</v>
      </c>
      <c r="X75" s="84">
        <f>(2*(X72^2)/24*V75)+(X74*Q72*WLS)</f>
        <v>414.33660000000003</v>
      </c>
      <c r="Y75" s="84" t="str">
        <f>CONCATENATE("M(",Q72,")=")</f>
        <v>M(5)=</v>
      </c>
      <c r="Z75" s="84">
        <f>VLOOKUP(Q72,STN_TABLE,4,FALSE)</f>
        <v>595.01520000000005</v>
      </c>
      <c r="AA75" t="str">
        <f>CONCATENATE("M(",Q73,")=")</f>
        <v>M(6)=</v>
      </c>
      <c r="AB75">
        <f>X75+Z75</f>
        <v>1009.3518000000001</v>
      </c>
      <c r="AE75" s="89">
        <f>SUM(AE73:AE74)</f>
        <v>23.63</v>
      </c>
      <c r="AG75" s="89">
        <f>SUM(AG73:AG74)</f>
        <v>35.56</v>
      </c>
      <c r="AH75" s="84" t="str">
        <f>CONCATENATE("m'(",AD74,")=")</f>
        <v>m'(6)=</v>
      </c>
      <c r="AI75" s="84">
        <f>(2*(AI72^2)/6*AG75)+(AI74*AD73*WLS)</f>
        <v>172.87223333333353</v>
      </c>
      <c r="AJ75" s="84" t="str">
        <f>CONCATENATE("M(",AD73,")=")</f>
        <v>M(5.61111111111111)=</v>
      </c>
      <c r="AK75" s="84">
        <f>VLOOKUP(AD73,STN_TABLE,4,FALSE)</f>
        <v>835.98963333333324</v>
      </c>
      <c r="AL75" t="str">
        <f>CONCATENATE("M(",AD74,")=")</f>
        <v>M(6)=</v>
      </c>
      <c r="AM75">
        <f>AI75+AK75</f>
        <v>1008.8618666666667</v>
      </c>
      <c r="AO75" s="82" t="str">
        <f>AA75</f>
        <v>M(6)=</v>
      </c>
      <c r="AP75" s="82" t="e">
        <f>VLOOKUP(AO75,Rise_Results,2,FALSE)</f>
        <v>#N/A</v>
      </c>
      <c r="AQ75" s="82">
        <f>N75</f>
        <v>1001.268</v>
      </c>
      <c r="AR75" s="82">
        <f>IF(OR(AB74&lt;=0,AB75&lt;=0),1/0,AB75)</f>
        <v>1009.3518000000001</v>
      </c>
      <c r="AS75" s="82">
        <f>AM75</f>
        <v>1008.8618666666667</v>
      </c>
      <c r="AT75">
        <f>IFERROR(AP75,IFERROR(AQ75,IFERROR(AR75,AS75)))</f>
        <v>1001.268</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11.23</v>
      </c>
      <c r="E77" s="102">
        <v>1</v>
      </c>
      <c r="F77" s="68">
        <f>D77*E77</f>
        <v>11.23</v>
      </c>
      <c r="G77" s="69">
        <f>C77</f>
        <v>5</v>
      </c>
      <c r="H77" s="69">
        <f>F77*G77</f>
        <v>56.150000000000006</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11.93</v>
      </c>
      <c r="E78" s="81">
        <v>4</v>
      </c>
      <c r="F78" s="76">
        <f>D78*E78</f>
        <v>47.72</v>
      </c>
      <c r="G78" s="77">
        <f>C78</f>
        <v>6</v>
      </c>
      <c r="H78" s="77">
        <f>F78*G78</f>
        <v>286.32</v>
      </c>
      <c r="I78" s="512" t="s">
        <v>97</v>
      </c>
      <c r="J78" s="513"/>
      <c r="K78" s="78" t="s">
        <v>98</v>
      </c>
      <c r="L78" s="78"/>
      <c r="M78" s="7" t="s">
        <v>99</v>
      </c>
      <c r="N78" s="7"/>
      <c r="O78" s="99">
        <f>O77+1</f>
        <v>11</v>
      </c>
      <c r="P78" s="99">
        <f t="shared" si="23"/>
        <v>7</v>
      </c>
      <c r="Q78" s="76">
        <f>P78</f>
        <v>7</v>
      </c>
      <c r="R78" s="77">
        <f>VLOOKUP(Q78,STN_TABLE,2,FALSE)</f>
        <v>12.21</v>
      </c>
      <c r="S78" s="77">
        <v>8</v>
      </c>
      <c r="T78" s="76">
        <f>R78*S78</f>
        <v>97.68</v>
      </c>
      <c r="U78" s="80">
        <v>10</v>
      </c>
      <c r="V78" s="76">
        <f>R78*U78</f>
        <v>122.10000000000001</v>
      </c>
      <c r="W78" s="513" t="s">
        <v>97</v>
      </c>
      <c r="X78" s="513"/>
      <c r="Y78" s="513" t="s">
        <v>98</v>
      </c>
      <c r="Z78" s="513"/>
      <c r="AA78" s="511" t="s">
        <v>99</v>
      </c>
      <c r="AB78" s="511"/>
      <c r="AC78" s="99">
        <f>AC73+1</f>
        <v>10</v>
      </c>
      <c r="AD78" s="95">
        <f>VLOOKUP(AC78,STN_TABLE_2,2,FALSE)</f>
        <v>6</v>
      </c>
      <c r="AE78" s="68">
        <f>VLOOKUP(AD78,STN_TABLE,2,FALSE)</f>
        <v>11.93</v>
      </c>
      <c r="AF78" s="68">
        <v>1</v>
      </c>
      <c r="AG78" s="69">
        <f>AE78*AF78</f>
        <v>11.93</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12.21</v>
      </c>
      <c r="E79" s="92">
        <v>1</v>
      </c>
      <c r="F79" s="82">
        <f>D79*E79</f>
        <v>12.21</v>
      </c>
      <c r="G79" s="83">
        <f>C79</f>
        <v>7</v>
      </c>
      <c r="H79" s="83">
        <f>F79*G79</f>
        <v>85.47</v>
      </c>
      <c r="I79" s="84" t="str">
        <f>CONCATENATE("a'(",C79,")=")</f>
        <v>a'(7)=</v>
      </c>
      <c r="J79" s="84">
        <f>2*J77/3*F80</f>
        <v>85.391999999999996</v>
      </c>
      <c r="K79" s="84" t="str">
        <f>CONCATENATE("A(",C77,")=")</f>
        <v>A(5)=</v>
      </c>
      <c r="L79" s="84">
        <f>VLOOKUP(C77,STN_TABLE,3,FALSE)</f>
        <v>96.924000000000007</v>
      </c>
      <c r="M79" t="str">
        <f>CONCATENATE("A(",C79,")=")</f>
        <v>A(7)=</v>
      </c>
      <c r="N79">
        <f>J79+L79</f>
        <v>182.316</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12.21</v>
      </c>
      <c r="AF79" s="82">
        <v>2</v>
      </c>
      <c r="AG79" s="83">
        <f>AE79*AF79</f>
        <v>24.42</v>
      </c>
      <c r="AH79" s="84" t="str">
        <f>CONCATENATE("a'(",AD79,")=")</f>
        <v>a'(7)=</v>
      </c>
      <c r="AI79" s="84">
        <f>2*AI77/2*AE80</f>
        <v>43.452000000000005</v>
      </c>
      <c r="AJ79" s="84" t="str">
        <f>CONCATENATE("A(",AD78,")=")</f>
        <v>A(6)=</v>
      </c>
      <c r="AK79" s="84">
        <f>VLOOKUP(AD78,STN_TABLE,3,FALSE)</f>
        <v>137.86799999999999</v>
      </c>
      <c r="AL79" t="str">
        <f>CONCATENATE("A(",AD79,")=")</f>
        <v>A(7)=</v>
      </c>
      <c r="AM79">
        <f>AI79+AK79</f>
        <v>181.32</v>
      </c>
      <c r="AO79" s="68" t="str">
        <f>AA79</f>
        <v>A(7)=</v>
      </c>
      <c r="AP79" s="68" t="e">
        <f>VLOOKUP(AO79,Rise_Results,2,FALSE)</f>
        <v>#N/A</v>
      </c>
      <c r="AQ79" s="76">
        <f>N79</f>
        <v>182.316</v>
      </c>
      <c r="AR79" s="76" t="e">
        <f>IF(OR(AB79&lt;=0,AB80&lt;=0),1/0,AB79)</f>
        <v>#VALUE!</v>
      </c>
      <c r="AS79" s="76">
        <f>AM79</f>
        <v>181.32</v>
      </c>
      <c r="AT79">
        <f>IFERROR(AP79,IFERROR(AQ79,IFERROR(AR79,AS79)))</f>
        <v>182.316</v>
      </c>
      <c r="AU79" s="81"/>
    </row>
    <row r="80" spans="1:47" x14ac:dyDescent="0.25">
      <c r="A80" s="84">
        <f>A79+1</f>
        <v>11</v>
      </c>
      <c r="B80" s="84">
        <f t="shared" si="27"/>
        <v>7</v>
      </c>
      <c r="F80" s="82">
        <f>SUM(F77:F79)</f>
        <v>71.16</v>
      </c>
      <c r="H80" s="82">
        <f>SUM(H77:H79)</f>
        <v>427.94000000000005</v>
      </c>
      <c r="I80" s="84" t="str">
        <f>CONCATENATE("m'(",C79,")=")</f>
        <v>m'(7)=</v>
      </c>
      <c r="J80" s="84">
        <f>2*(J77*(WLS))/3*H80</f>
        <v>924.35040000000015</v>
      </c>
      <c r="K80" s="84" t="str">
        <f>CONCATENATE("M(",C77,")=")</f>
        <v>M(5)=</v>
      </c>
      <c r="L80" s="84">
        <f>VLOOKUP(C77,STN_TABLE,4,FALSE)</f>
        <v>595.01520000000005</v>
      </c>
      <c r="M80" t="str">
        <f>CONCATENATE("M(",C79,")=")</f>
        <v>M(7)=</v>
      </c>
      <c r="N80">
        <f>J80+L80</f>
        <v>1519.3656000000001</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24.14</v>
      </c>
      <c r="AG80" s="89">
        <f>SUM(AG78:AG79)</f>
        <v>36.35</v>
      </c>
      <c r="AH80" s="84" t="str">
        <f>CONCATENATE("m'(",AD79,")=")</f>
        <v>m'(7)=</v>
      </c>
      <c r="AI80" s="84">
        <f>(2*(AI77^2)/6*AG80)+(AI79*AD78*WLS)</f>
        <v>508.53960000000006</v>
      </c>
      <c r="AJ80" s="84" t="str">
        <f>CONCATENATE("M(",AD78,")=")</f>
        <v>M(6)=</v>
      </c>
      <c r="AK80" s="84">
        <f>VLOOKUP(AD78,STN_TABLE,4,FALSE)</f>
        <v>1001.268</v>
      </c>
      <c r="AL80" t="str">
        <f>CONCATENATE("M(",AD79,")=")</f>
        <v>M(7)=</v>
      </c>
      <c r="AM80">
        <f>AI80+AK80</f>
        <v>1509.8076000000001</v>
      </c>
      <c r="AO80" s="82" t="str">
        <f>AA80</f>
        <v>M(7)=</v>
      </c>
      <c r="AP80" s="82" t="e">
        <f>VLOOKUP(AO80,Rise_Results,2,FALSE)</f>
        <v>#N/A</v>
      </c>
      <c r="AQ80" s="82">
        <f>N80</f>
        <v>1519.3656000000001</v>
      </c>
      <c r="AR80" s="82" t="e">
        <f>IF(OR(AB79&lt;=0,AB80&lt;=0),1/0,AB80)</f>
        <v>#VALUE!</v>
      </c>
      <c r="AS80" s="82">
        <f>AM80</f>
        <v>1509.8076000000001</v>
      </c>
      <c r="AT80">
        <f>IFERROR(AP80,IFERROR(AQ80,IFERROR(AR80,AS80)))</f>
        <v>1519.3656000000001</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12.23</v>
      </c>
      <c r="S83" s="77">
        <v>8</v>
      </c>
      <c r="T83" s="76">
        <f>R83*S83</f>
        <v>97.84</v>
      </c>
      <c r="U83" s="80">
        <v>10</v>
      </c>
      <c r="V83" s="76">
        <f>R83*U83</f>
        <v>122.30000000000001</v>
      </c>
      <c r="W83" s="513" t="s">
        <v>97</v>
      </c>
      <c r="X83" s="513"/>
      <c r="Y83" s="513" t="s">
        <v>98</v>
      </c>
      <c r="Z83" s="513"/>
      <c r="AA83" s="511" t="s">
        <v>99</v>
      </c>
      <c r="AB83" s="511"/>
      <c r="AC83" s="99">
        <f>AC78+1</f>
        <v>11</v>
      </c>
      <c r="AD83" s="95">
        <f>VLOOKUP(AC83,STN_TABLE_2,2,FALSE)</f>
        <v>7</v>
      </c>
      <c r="AE83" s="68">
        <f>VLOOKUP(AD83,STN_TABLE,2,FALSE)</f>
        <v>12.21</v>
      </c>
      <c r="AF83" s="68">
        <v>1</v>
      </c>
      <c r="AG83" s="69">
        <f>AE83*AF83</f>
        <v>12.21</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12.23</v>
      </c>
      <c r="E84" s="92">
        <v>1</v>
      </c>
      <c r="F84" s="82">
        <f>D84*E84</f>
        <v>12.23</v>
      </c>
      <c r="G84" s="83">
        <f>C84</f>
        <v>7.8833333333333329</v>
      </c>
      <c r="H84" s="83">
        <f>F84*G84</f>
        <v>96.413166666666669</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12.23</v>
      </c>
      <c r="AF84" s="82">
        <v>2</v>
      </c>
      <c r="AG84" s="83">
        <f>AE84*AF84</f>
        <v>24.46</v>
      </c>
      <c r="AH84" s="84" t="str">
        <f>CONCATENATE("a'(",AD84,")=")</f>
        <v>a'(7.88333333333333)=</v>
      </c>
      <c r="AI84" s="84">
        <f>2*AI82/2*AE85</f>
        <v>38.859599999999979</v>
      </c>
      <c r="AJ84" s="84" t="str">
        <f>CONCATENATE("A(",AD83,")=")</f>
        <v>A(7)=</v>
      </c>
      <c r="AK84" s="84">
        <f>VLOOKUP(AD83,STN_TABLE,3,FALSE)</f>
        <v>182.316</v>
      </c>
      <c r="AL84" t="str">
        <f>CONCATENATE("A(",AD84,")=")</f>
        <v>A(7.88333333333333)=</v>
      </c>
      <c r="AM84">
        <f>AI84+AK84</f>
        <v>221.17559999999997</v>
      </c>
      <c r="AO84" s="68" t="str">
        <f>AA84</f>
        <v>A(7.88333333333333)=</v>
      </c>
      <c r="AP84" s="68" t="e">
        <f>VLOOKUP(AO84,Rise_Results,2,FALSE)</f>
        <v>#N/A</v>
      </c>
      <c r="AQ84" s="76" t="e">
        <f>N84</f>
        <v>#N/A</v>
      </c>
      <c r="AR84" s="76" t="e">
        <f>IF(OR(AB84&lt;=0,AB85&lt;=0),1/0,AB84)</f>
        <v>#VALUE!</v>
      </c>
      <c r="AS84" s="76">
        <f>AM84</f>
        <v>221.17559999999997</v>
      </c>
      <c r="AT84">
        <f>IFERROR(AP84,IFERROR(AQ84,IFERROR(AR84,AS84)))</f>
        <v>221.17559999999997</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24.44</v>
      </c>
      <c r="AG85" s="89">
        <f>SUM(AG83:AG84)</f>
        <v>36.67</v>
      </c>
      <c r="AH85" s="84" t="str">
        <f>CONCATENATE("m'(",AD84,")=")</f>
        <v>m'(7.88333333333333)=</v>
      </c>
      <c r="AI85" s="84">
        <f>(2*(AI82^2)/6*AG85)+(AI84*AD83*WLS)</f>
        <v>520.53276899999969</v>
      </c>
      <c r="AJ85" s="84" t="str">
        <f>CONCATENATE("M(",AD83,")=")</f>
        <v>M(7)=</v>
      </c>
      <c r="AK85" s="84">
        <f>VLOOKUP(AD83,STN_TABLE,4,FALSE)</f>
        <v>1519.3656000000001</v>
      </c>
      <c r="AL85" t="str">
        <f>CONCATENATE("M(",AD84,")=")</f>
        <v>M(7.88333333333333)=</v>
      </c>
      <c r="AM85">
        <f>AI85+AK85</f>
        <v>2039.8983689999998</v>
      </c>
      <c r="AO85" s="82" t="str">
        <f>AA85</f>
        <v>M(7.88333333333333)=</v>
      </c>
      <c r="AP85" s="82" t="e">
        <f>VLOOKUP(AO85,Rise_Results,2,FALSE)</f>
        <v>#N/A</v>
      </c>
      <c r="AQ85" s="82" t="e">
        <f>N85</f>
        <v>#N/A</v>
      </c>
      <c r="AR85" s="82" t="e">
        <f>IF(OR(AB84&lt;=0,AB85&lt;=0),1/0,AB85)</f>
        <v>#VALUE!</v>
      </c>
      <c r="AS85" s="82">
        <f>AM85</f>
        <v>2039.8983689999998</v>
      </c>
      <c r="AT85">
        <f>IFERROR(AP85,IFERROR(AQ85,IFERROR(AR85,AS85)))</f>
        <v>2039.8983689999998</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12.23</v>
      </c>
      <c r="AF88" s="68">
        <v>1</v>
      </c>
      <c r="AG88" s="69">
        <f>AE88*AF88</f>
        <v>12.23</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221.17559999999997</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12.23</v>
      </c>
      <c r="AG90" s="89" t="e">
        <f>SUM(AG88:AG89)</f>
        <v>#VALUE!</v>
      </c>
      <c r="AH90" s="84" t="str">
        <f>CONCATENATE("m'(",AD89,")=")</f>
        <v>m'(  )=</v>
      </c>
      <c r="AI90" s="84" t="e">
        <f>(2*(AI87^2)/6*AG90)+(AI89*AD88*WLS)</f>
        <v>#VALUE!</v>
      </c>
      <c r="AJ90" s="84" t="str">
        <f>CONCATENATE("M(",AD88,")=")</f>
        <v>M(7.88333333333333)=</v>
      </c>
      <c r="AK90" s="84">
        <f>VLOOKUP(AD88,STN_TABLE,4,FALSE)</f>
        <v>2039.8983689999998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U171"/>
  <sheetViews>
    <sheetView topLeftCell="R1" workbookViewId="0">
      <pane ySplit="1" topLeftCell="A2"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2</v>
      </c>
      <c r="E1" s="511" t="s">
        <v>91</v>
      </c>
      <c r="F1" s="511"/>
      <c r="G1">
        <f>VLOOKUP(Station_No,RISE_CALC,2,FALSE)</f>
        <v>0.56999999999999995</v>
      </c>
      <c r="L1" s="511" t="s">
        <v>92</v>
      </c>
      <c r="M1" s="511"/>
      <c r="N1">
        <v>5</v>
      </c>
    </row>
    <row r="2" spans="1:46" x14ac:dyDescent="0.25">
      <c r="Q2" s="66" t="str">
        <f t="shared" ref="Q2:R6" si="0">G4</f>
        <v>Rise</v>
      </c>
      <c r="R2" s="67">
        <f t="shared" si="0"/>
        <v>0.31666666666666665</v>
      </c>
      <c r="S2" s="68">
        <f>IF(OR(R5-R4=R4-R3,R6-R4=R4-R3),R3,IF(OR(R5-R4=R4-R2,R6-R4=R4-R2),R2,"-"))</f>
        <v>0.5</v>
      </c>
      <c r="T2" s="69">
        <f>IFERROR(VLOOKUP(S2,STN_TABLE,2,FALSE),IF(R2=RisePerWLS,0,"-"))</f>
        <v>0.4</v>
      </c>
      <c r="U2" s="69">
        <v>5</v>
      </c>
      <c r="V2" s="69">
        <f>T2*U2</f>
        <v>2</v>
      </c>
      <c r="W2" s="69">
        <v>3</v>
      </c>
      <c r="X2" s="69">
        <f>T2*W2</f>
        <v>1.2000000000000002</v>
      </c>
      <c r="Y2" s="6" t="s">
        <v>93</v>
      </c>
      <c r="Z2" s="70">
        <f>IF(AND(S4-S3=S3-S2,NOT(AND(S2=0,S3=0)),NOT(AND(S3=0,S4=0))),WLS*(S4-S3),"#NA")</f>
        <v>0.9</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0.5</v>
      </c>
      <c r="S3" s="76">
        <f>R4</f>
        <v>1</v>
      </c>
      <c r="T3" s="77">
        <f>VLOOKUP(S3,STN_TABLE,2,FALSE)</f>
        <v>1.04</v>
      </c>
      <c r="U3" s="77">
        <v>8</v>
      </c>
      <c r="V3" s="77">
        <f>T3*U3</f>
        <v>8.32</v>
      </c>
      <c r="W3" s="77">
        <v>10</v>
      </c>
      <c r="X3" s="77">
        <f>T3*W3</f>
        <v>10.4</v>
      </c>
      <c r="Y3" s="78" t="s">
        <v>97</v>
      </c>
      <c r="Z3" s="78"/>
      <c r="AA3" s="78" t="s">
        <v>98</v>
      </c>
      <c r="AB3" s="78"/>
      <c r="AC3" s="7" t="s">
        <v>99</v>
      </c>
      <c r="AD3" s="7"/>
      <c r="AE3" s="66" t="str">
        <f t="shared" ref="AE3:AF7" si="1">G4</f>
        <v>Rise</v>
      </c>
      <c r="AF3" s="67">
        <f t="shared" si="1"/>
        <v>0.31666666666666665</v>
      </c>
      <c r="AG3" s="79">
        <f>IF(AF7-AF6=AF6-AF5,AF5,IF(OR(AF7-AF6=AF6-AF4,AF7-AF5=AF5-AF4),AF4,IF(OR(AF7-AF6=AF6-AF3,AF7-AF5=AF5-AF3,AF7-AF4=AF4-AF3),AF3,"#NA")))</f>
        <v>1</v>
      </c>
      <c r="AH3" s="69">
        <f>IFERROR(VLOOKUP(AG3,STN_TABLE,2,FALSE),IF(AF3=RisePerWLS,0,"-"))</f>
        <v>1.04</v>
      </c>
      <c r="AI3" s="69">
        <v>1</v>
      </c>
      <c r="AJ3" s="69">
        <f>AH3*AI3</f>
        <v>1.04</v>
      </c>
      <c r="AK3" s="69">
        <f>AG3</f>
        <v>1</v>
      </c>
      <c r="AL3" s="69">
        <f>AJ3*AK3</f>
        <v>1.04</v>
      </c>
      <c r="AM3" s="6" t="s">
        <v>93</v>
      </c>
      <c r="AN3" s="70">
        <f>IF(AND(AH3=0,AH4=0,AH5=0),WLS*(AG5-AG4),IF(AND(AG5-AG4=AG4-AG3,AG4&lt;&gt;AG5,AG3&lt;&gt;AG4,AG3&lt;&gt;AG5,AH5&lt;&gt;0,OR(AH3&lt;&gt;0,AH4&lt;&gt;0)),WLS*(AG5-AG4),"#NA"))</f>
        <v>0.9</v>
      </c>
    </row>
    <row r="4" spans="1:46" x14ac:dyDescent="0.25">
      <c r="A4">
        <v>1</v>
      </c>
      <c r="B4" s="80">
        <f t="shared" ref="B4:B28" si="2">VLOOKUP(Stn_WL,OFFSET_A,A4+1,FALSE)</f>
        <v>0</v>
      </c>
      <c r="C4" s="81">
        <f t="shared" ref="C4:C28" si="3">VLOOKUP(Station_No,OFFSET_A,A4+1,FALSE)</f>
        <v>0</v>
      </c>
      <c r="D4" s="81">
        <v>0</v>
      </c>
      <c r="E4" s="77">
        <v>0</v>
      </c>
      <c r="G4" t="s">
        <v>100</v>
      </c>
      <c r="H4">
        <f>Rise/WLS</f>
        <v>0.31666666666666665</v>
      </c>
      <c r="K4" t="str">
        <f>CONCATENATE("A(",H5,")=")</f>
        <v>A(0.5)=</v>
      </c>
      <c r="L4">
        <f>IFERROR(N18,N22)</f>
        <v>0.13200000000000001</v>
      </c>
      <c r="Q4" s="66" t="str">
        <f t="shared" si="0"/>
        <v>2nd_UWL</v>
      </c>
      <c r="R4" s="67">
        <f t="shared" si="0"/>
        <v>1</v>
      </c>
      <c r="S4" s="82">
        <f>IF((S2-S3)=S3-R5,R5,IF(S2-S3=S3-R6,R6,"-"))</f>
        <v>1.5</v>
      </c>
      <c r="T4" s="83">
        <f>VLOOKUP(S4,STN_TABLE,2,FALSE)</f>
        <v>1.5</v>
      </c>
      <c r="U4" s="83">
        <v>-1</v>
      </c>
      <c r="V4" s="83">
        <f>T4*U4</f>
        <v>-1.5</v>
      </c>
      <c r="W4" s="83">
        <v>-1</v>
      </c>
      <c r="X4" s="83">
        <f>T4*W4</f>
        <v>-1.5</v>
      </c>
      <c r="Y4" s="84" t="str">
        <f>CONCATENATE("a'(",S3,")=")</f>
        <v>a'(1)=</v>
      </c>
      <c r="Z4" s="85">
        <f>2*Z2/12*V5</f>
        <v>1.323</v>
      </c>
      <c r="AA4" s="84" t="str">
        <f>CONCATENATE("A(",S2,")=")</f>
        <v>A(0.5)=</v>
      </c>
      <c r="AB4" s="84">
        <f>IF(S2=RisePerWLS,0,VLOOKUP(S2,STN_TABLE,3,FALSE))</f>
        <v>0.13200000000000001</v>
      </c>
      <c r="AC4" t="str">
        <f>CONCATENATE("A(",S3,")=")</f>
        <v>A(1)=</v>
      </c>
      <c r="AD4">
        <f>Z4+AB4</f>
        <v>1.4550000000000001</v>
      </c>
      <c r="AE4" s="66" t="str">
        <f t="shared" si="1"/>
        <v>1st_UWL</v>
      </c>
      <c r="AF4" s="67">
        <f t="shared" si="1"/>
        <v>0.5</v>
      </c>
      <c r="AG4" s="80">
        <f>IF(OR(AF7-AF6=AF6-AF5,AF7-AF6=AF6-AF4,AF7-AF6=AF6-AF3),AF6,IF(OR(AF7-AF5=AF5-AF4,AF7-AF5=AF5-AF3),AF5,IF(AF7-AF4=AF4-AF3,AF4,"#NA")))</f>
        <v>1.5</v>
      </c>
      <c r="AH4" s="77">
        <f>VLOOKUP(AG4,STN_TABLE,2,FALSE)</f>
        <v>1.5</v>
      </c>
      <c r="AI4" s="77">
        <v>4</v>
      </c>
      <c r="AJ4" s="77">
        <f>AH4*AI4</f>
        <v>6</v>
      </c>
      <c r="AK4" s="77">
        <f>AG4</f>
        <v>1.5</v>
      </c>
      <c r="AL4" s="77">
        <f>AJ4*AK4</f>
        <v>9</v>
      </c>
      <c r="AM4" s="78" t="s">
        <v>97</v>
      </c>
      <c r="AN4" s="78"/>
      <c r="AO4" s="78" t="s">
        <v>98</v>
      </c>
      <c r="AP4" s="78"/>
      <c r="AQ4" s="7" t="s">
        <v>99</v>
      </c>
      <c r="AR4" s="7"/>
      <c r="AS4" s="7"/>
      <c r="AT4" s="7"/>
    </row>
    <row r="5" spans="1:46" x14ac:dyDescent="0.25">
      <c r="A5">
        <v>2</v>
      </c>
      <c r="B5" s="80">
        <f t="shared" si="2"/>
        <v>0.5</v>
      </c>
      <c r="C5" s="81">
        <f t="shared" si="3"/>
        <v>0.4</v>
      </c>
      <c r="D5" s="81">
        <f t="shared" ref="D5:D28" si="4">IFERROR(VLOOKUP(CONCATENATE("A(",B5,")="),RESULT_TABLE,6,FALSE)," ")</f>
        <v>0.13200000000000001</v>
      </c>
      <c r="E5" s="77">
        <f t="shared" ref="E5:E28" si="5">IFERROR(VLOOKUP(CONCATENATE("M(",B5,")="),RESULT_TABLE,6,FALSE)," ")</f>
        <v>0.10428000000000001</v>
      </c>
      <c r="G5" t="s">
        <v>101</v>
      </c>
      <c r="H5">
        <f>VLOOKUP(Station_No,RISE_CALC,4,FALSE)</f>
        <v>0.5</v>
      </c>
      <c r="K5" t="str">
        <f>CONCATENATE("M(",H5,")=")</f>
        <v>M(0.5)=</v>
      </c>
      <c r="L5">
        <f>IFERROR(N19,N23)</f>
        <v>0.10428000000000001</v>
      </c>
      <c r="Q5" s="66" t="str">
        <f t="shared" si="0"/>
        <v>3rd_UWL</v>
      </c>
      <c r="R5" s="67">
        <f t="shared" si="0"/>
        <v>1.5</v>
      </c>
      <c r="V5" s="86">
        <f>SUM(V2:V4)</f>
        <v>8.82</v>
      </c>
      <c r="X5" s="87">
        <f>SUM(X2:X4)</f>
        <v>10.100000000000001</v>
      </c>
      <c r="Y5" s="84" t="str">
        <f>CONCATENATE("m'(",S3,")=")</f>
        <v>m'(1)=</v>
      </c>
      <c r="Z5" s="85">
        <f>(2*(Z2^2)/24*X5)+(Z4*S2*WLS)</f>
        <v>1.8724500000000002</v>
      </c>
      <c r="AA5" s="84" t="str">
        <f>CONCATENATE("M(",S2,")=")</f>
        <v>M(0.5)=</v>
      </c>
      <c r="AB5" s="84">
        <f>IF(S2=RisePerWLS,0,VLOOKUP(S2,STN_TABLE,4,FALSE))</f>
        <v>0.10428000000000001</v>
      </c>
      <c r="AC5" t="str">
        <f>CONCATENATE("M(",S3,")=")</f>
        <v>M(1)=</v>
      </c>
      <c r="AD5">
        <f>Z5+AB5</f>
        <v>1.9767300000000001</v>
      </c>
      <c r="AE5" s="66" t="str">
        <f t="shared" si="1"/>
        <v>2nd_UWL</v>
      </c>
      <c r="AF5" s="67">
        <f t="shared" si="1"/>
        <v>1</v>
      </c>
      <c r="AG5" s="88">
        <f>AF7</f>
        <v>2</v>
      </c>
      <c r="AH5" s="83">
        <f>VLOOKUP(AG5,STN_TABLE,2,FALSE)</f>
        <v>1.7</v>
      </c>
      <c r="AI5" s="83">
        <v>1</v>
      </c>
      <c r="AJ5" s="83">
        <f>AH5*AI5</f>
        <v>1.7</v>
      </c>
      <c r="AK5" s="83">
        <f>AG5</f>
        <v>2</v>
      </c>
      <c r="AL5" s="83">
        <f>AJ5*AK5</f>
        <v>3.4</v>
      </c>
      <c r="AM5" s="84" t="str">
        <f>CONCATENATE("a'(",AG5,")=")</f>
        <v>a'(2)=</v>
      </c>
      <c r="AN5" s="84">
        <f>2*AN3/3*AJ6</f>
        <v>5.2439999999999998</v>
      </c>
      <c r="AO5" s="84" t="str">
        <f>CONCATENATE("A(",AG3,")=")</f>
        <v>A(1)=</v>
      </c>
      <c r="AP5" s="84">
        <f>IF(AG3=RisePerWLS,0,VLOOKUP(AG3,STN_TABLE,3,FALSE))</f>
        <v>1.4550000000000001</v>
      </c>
      <c r="AQ5" t="str">
        <f>CONCATENATE("A(",AG5,")=")</f>
        <v>A(2)=</v>
      </c>
      <c r="AR5">
        <f>AN5+AP5</f>
        <v>6.6989999999999998</v>
      </c>
    </row>
    <row r="6" spans="1:46" x14ac:dyDescent="0.25">
      <c r="A6">
        <v>3</v>
      </c>
      <c r="B6" s="80">
        <f t="shared" si="2"/>
        <v>1</v>
      </c>
      <c r="C6" s="81">
        <f t="shared" si="3"/>
        <v>1.04</v>
      </c>
      <c r="D6" s="81">
        <f t="shared" si="4"/>
        <v>1.4550000000000001</v>
      </c>
      <c r="E6" s="77">
        <f t="shared" si="5"/>
        <v>1.9767300000000001</v>
      </c>
      <c r="G6" t="s">
        <v>102</v>
      </c>
      <c r="H6">
        <f>VLOOKUP(Station_No,RISE_CALC,5,FALSE)</f>
        <v>1</v>
      </c>
      <c r="K6" t="str">
        <f>CONCATENATE("A(",H6,")=")</f>
        <v>A(1)=</v>
      </c>
      <c r="L6">
        <f>IFERROR(P27,IFERROR(X6,AD9))</f>
        <v>1.4550000000000001</v>
      </c>
      <c r="Q6" s="66" t="str">
        <f t="shared" si="0"/>
        <v>4th_UWL</v>
      </c>
      <c r="R6" s="67">
        <f t="shared" si="0"/>
        <v>2</v>
      </c>
      <c r="U6" t="s">
        <v>103</v>
      </c>
      <c r="W6" t="str">
        <f>CONCATENATE("A(",S3,")=")</f>
        <v>A(1)=</v>
      </c>
      <c r="X6">
        <f>IF(OR(AD4&lt;=0,AD5&lt;=0),AD9,AD4)</f>
        <v>1.4550000000000001</v>
      </c>
      <c r="AE6" s="66" t="str">
        <f t="shared" si="1"/>
        <v>3rd_UWL</v>
      </c>
      <c r="AF6" s="67">
        <f t="shared" si="1"/>
        <v>1.5</v>
      </c>
      <c r="AJ6" s="89">
        <f>SUM(AJ3:AJ5)</f>
        <v>8.74</v>
      </c>
      <c r="AL6" s="89">
        <f>SUM(AL3:AL5)</f>
        <v>13.44</v>
      </c>
      <c r="AM6" s="84" t="str">
        <f>CONCATENATE("m'(",AG5,")=")</f>
        <v>m'(2)=</v>
      </c>
      <c r="AN6" s="84">
        <f>2*(AN3*WLS)/3*AL6</f>
        <v>14.5152</v>
      </c>
      <c r="AO6" s="84" t="str">
        <f>CONCATENATE("M(",AG3,")=")</f>
        <v>M(1)=</v>
      </c>
      <c r="AP6" s="84">
        <f>IF(AG3=RisePerWLS,0,VLOOKUP(AG3,STN_TABLE,4,FALSE))</f>
        <v>1.9767300000000001</v>
      </c>
      <c r="AQ6" t="str">
        <f>CONCATENATE("M(",AG5,")=")</f>
        <v>M(2)=</v>
      </c>
      <c r="AR6">
        <f>AN6+AP6</f>
        <v>16.49193</v>
      </c>
    </row>
    <row r="7" spans="1:46" x14ac:dyDescent="0.25">
      <c r="A7">
        <v>4</v>
      </c>
      <c r="B7" s="80">
        <f t="shared" si="2"/>
        <v>1.5</v>
      </c>
      <c r="C7" s="81">
        <f t="shared" si="3"/>
        <v>1.5</v>
      </c>
      <c r="D7" s="81">
        <f t="shared" si="4"/>
        <v>3.7680000000000002</v>
      </c>
      <c r="E7" s="77">
        <f t="shared" si="5"/>
        <v>7.2430800000000009</v>
      </c>
      <c r="G7" t="s">
        <v>104</v>
      </c>
      <c r="H7">
        <f>VLOOKUP(Station_No,RISE_CALC,6,FALSE)</f>
        <v>1.5</v>
      </c>
      <c r="K7" t="str">
        <f>CONCATENATE("M(",H6,")=")</f>
        <v>M(1)=</v>
      </c>
      <c r="L7">
        <f>IFERROR(P28,IFERROR(X7,AD10))</f>
        <v>1.9767300000000001</v>
      </c>
      <c r="Q7" s="66"/>
      <c r="R7" s="67"/>
      <c r="W7" t="str">
        <f>CONCATENATE("M(",S3,")=")</f>
        <v>M(1)=</v>
      </c>
      <c r="X7">
        <f>IF(OR(AD4&lt;=0,AD5&lt;=0),AD10,AD5)</f>
        <v>1.9767300000000001</v>
      </c>
      <c r="Y7" s="6" t="s">
        <v>93</v>
      </c>
      <c r="Z7" s="70">
        <f>WLS*(U9-U8)</f>
        <v>0.9</v>
      </c>
      <c r="AE7" s="66" t="str">
        <f t="shared" si="1"/>
        <v>4th_UWL</v>
      </c>
      <c r="AF7" s="67">
        <f t="shared" si="1"/>
        <v>2</v>
      </c>
      <c r="AH7" s="81"/>
    </row>
    <row r="8" spans="1:46" x14ac:dyDescent="0.25">
      <c r="A8">
        <v>5</v>
      </c>
      <c r="B8" s="80">
        <f t="shared" si="2"/>
        <v>2</v>
      </c>
      <c r="C8" s="81">
        <f t="shared" si="3"/>
        <v>1.7</v>
      </c>
      <c r="D8" s="81">
        <f t="shared" si="4"/>
        <v>6.6989999999999998</v>
      </c>
      <c r="E8" s="77">
        <f t="shared" si="5"/>
        <v>16.49193</v>
      </c>
      <c r="G8" t="s">
        <v>105</v>
      </c>
      <c r="H8">
        <f>VLOOKUP(Station_No,RISE_CALC,7,FALSE)</f>
        <v>2</v>
      </c>
      <c r="K8" t="str">
        <f>CONCATENATE("A(",H7,")=")</f>
        <v>A(1.5)=</v>
      </c>
      <c r="L8">
        <f>IFERROR(AD15,IFERROR(X24,AD27))</f>
        <v>3.7680000000000002</v>
      </c>
      <c r="Q8" s="80"/>
      <c r="R8" s="81"/>
      <c r="U8" s="79">
        <f>R3</f>
        <v>0.5</v>
      </c>
      <c r="V8" s="68">
        <f>VLOOKUP(U8,STN_TABLE,2,FALSE)</f>
        <v>0.4</v>
      </c>
      <c r="W8" s="68">
        <v>1</v>
      </c>
      <c r="X8" s="69">
        <f>V8*W8</f>
        <v>0.4</v>
      </c>
      <c r="Y8" s="78" t="s">
        <v>97</v>
      </c>
      <c r="Z8" s="78"/>
      <c r="AA8" s="78" t="s">
        <v>98</v>
      </c>
      <c r="AB8" s="78"/>
      <c r="AC8" s="7" t="s">
        <v>99</v>
      </c>
      <c r="AD8" s="7"/>
      <c r="AE8" s="66"/>
      <c r="AF8" s="67"/>
      <c r="AG8" s="68">
        <f>IF(OR(AF12-AF11=AF11-AF10,AF13-AF11=AF11-AF10),AF10,IF(OR(AF12-AF11=AF11-AF9,AF13-AF11=AF11-AF9),AF9,"-"))</f>
        <v>1</v>
      </c>
      <c r="AH8" s="69">
        <f>IFERROR(VLOOKUP(AG8,STN_TABLE,2,FALSE),IF(AF8=RisePerWLS,0,"-"))</f>
        <v>1.04</v>
      </c>
      <c r="AI8" s="69">
        <v>5</v>
      </c>
      <c r="AJ8" s="69">
        <f>AH8*AI8</f>
        <v>5.2</v>
      </c>
      <c r="AK8" s="69">
        <v>3</v>
      </c>
      <c r="AL8" s="69">
        <f>AH8*AK8</f>
        <v>3.12</v>
      </c>
      <c r="AM8" s="6" t="s">
        <v>93</v>
      </c>
      <c r="AN8" s="70">
        <f>IF(AND(AG10-AG9=AG9-AG8,NOT(AND(AG8=0,AG9=0)),NOT(AND(AG9=0,AG10=0))),WLS*(AG10-AG9),"#NA")</f>
        <v>1.8</v>
      </c>
    </row>
    <row r="9" spans="1:46" x14ac:dyDescent="0.25">
      <c r="A9">
        <v>6</v>
      </c>
      <c r="B9" s="80">
        <f t="shared" si="2"/>
        <v>3</v>
      </c>
      <c r="C9" s="81">
        <f t="shared" si="3"/>
        <v>2.7</v>
      </c>
      <c r="D9" s="81">
        <f t="shared" si="4"/>
        <v>14.102999999999998</v>
      </c>
      <c r="E9" s="77">
        <f t="shared" si="5"/>
        <v>51.095130000000012</v>
      </c>
      <c r="G9" t="s">
        <v>106</v>
      </c>
      <c r="H9">
        <f>VLOOKUP(Station_No,RISE_CALC,8,FALSE)</f>
        <v>3</v>
      </c>
      <c r="K9" t="str">
        <f>CONCATENATE("M(",H7,")=")</f>
        <v>M(1.5)=</v>
      </c>
      <c r="L9">
        <f>IFERROR(AD16,IFERROR(X25,AD28))</f>
        <v>7.2430800000000009</v>
      </c>
      <c r="Q9" s="80"/>
      <c r="R9" s="81"/>
      <c r="U9" s="88">
        <f>R4</f>
        <v>1</v>
      </c>
      <c r="V9" s="82">
        <f>VLOOKUP(U9,STN_TABLE,2,FALSE)</f>
        <v>1.04</v>
      </c>
      <c r="W9" s="82">
        <v>2</v>
      </c>
      <c r="X9" s="83">
        <f>V9*W9</f>
        <v>2.08</v>
      </c>
      <c r="Y9" s="84" t="str">
        <f>CONCATENATE("a'(",U9,")=")</f>
        <v>a'(1)=</v>
      </c>
      <c r="Z9" s="84">
        <f>2*Z7/2*V10</f>
        <v>1.296</v>
      </c>
      <c r="AA9" s="84" t="str">
        <f>CONCATENATE("A(",U8,")=")</f>
        <v>A(0.5)=</v>
      </c>
      <c r="AB9" s="84">
        <f>IF(U8=RisePerWLS,0,VLOOKUP(U8,STN_TABLE,3,FALSE))</f>
        <v>0.13200000000000001</v>
      </c>
      <c r="AC9" t="str">
        <f>CONCATENATE("A(",U9,")=")</f>
        <v>A(1)=</v>
      </c>
      <c r="AD9">
        <f>Z9+AB9</f>
        <v>1.4279999999999999</v>
      </c>
      <c r="AE9" s="66" t="str">
        <f t="shared" ref="AE9:AF13" si="6">G6</f>
        <v>2nd_UWL</v>
      </c>
      <c r="AF9" s="67">
        <f t="shared" si="6"/>
        <v>1</v>
      </c>
      <c r="AG9" s="76">
        <f>AF11</f>
        <v>2</v>
      </c>
      <c r="AH9" s="77">
        <f>VLOOKUP(AG9,STN_TABLE,2,FALSE)</f>
        <v>1.7</v>
      </c>
      <c r="AI9" s="77">
        <v>8</v>
      </c>
      <c r="AJ9" s="77">
        <f>AH9*AI9</f>
        <v>13.6</v>
      </c>
      <c r="AK9" s="77">
        <v>10</v>
      </c>
      <c r="AL9" s="77">
        <f>AH9*AK9</f>
        <v>17</v>
      </c>
      <c r="AM9" s="78" t="s">
        <v>97</v>
      </c>
      <c r="AN9" s="78"/>
      <c r="AO9" s="78" t="s">
        <v>98</v>
      </c>
      <c r="AP9" s="78"/>
      <c r="AQ9" s="7" t="s">
        <v>99</v>
      </c>
      <c r="AR9" s="7"/>
      <c r="AS9" s="7"/>
      <c r="AT9" s="7"/>
    </row>
    <row r="10" spans="1:46" x14ac:dyDescent="0.25">
      <c r="A10">
        <v>7</v>
      </c>
      <c r="B10" s="80">
        <f t="shared" si="2"/>
        <v>4</v>
      </c>
      <c r="C10" s="81">
        <f t="shared" si="3"/>
        <v>5.5</v>
      </c>
      <c r="D10" s="81">
        <f t="shared" si="4"/>
        <v>28.298999999999999</v>
      </c>
      <c r="E10" s="77">
        <f t="shared" si="5"/>
        <v>141.33993000000001</v>
      </c>
      <c r="G10" t="s">
        <v>107</v>
      </c>
      <c r="H10">
        <f>VLOOKUP(Station_No,RISE_CALC,9,FALSE)</f>
        <v>4</v>
      </c>
      <c r="K10" t="str">
        <f>CONCATENATE("A(",H8,")=")</f>
        <v>A(2)=</v>
      </c>
      <c r="L10">
        <f>IFERROR(AR5,IFERROR(AL12,AR15))</f>
        <v>6.6989999999999998</v>
      </c>
      <c r="Q10" s="80"/>
      <c r="R10" s="81"/>
      <c r="V10" s="89">
        <f>SUM(V8:V9)</f>
        <v>1.44</v>
      </c>
      <c r="X10" s="89">
        <f>SUM(X8:X9)</f>
        <v>2.48</v>
      </c>
      <c r="Y10" s="84" t="str">
        <f>CONCATENATE("m'(",U9,")=")</f>
        <v>m'(1)=</v>
      </c>
      <c r="Z10" s="84">
        <f>(2*(Z7^2)/6*X10)+(Z9*U8*WLS)</f>
        <v>1.8360000000000003</v>
      </c>
      <c r="AA10" s="84" t="str">
        <f>CONCATENATE("M(",U8,")=")</f>
        <v>M(0.5)=</v>
      </c>
      <c r="AB10" s="84">
        <f>IF(U8=RisePerWLS,0,VLOOKUP(U8,STN_TABLE,4,FALSE))</f>
        <v>0.10428000000000001</v>
      </c>
      <c r="AC10" t="str">
        <f>CONCATENATE("M(",U9,")=")</f>
        <v>M(1)=</v>
      </c>
      <c r="AD10">
        <f>Z10+AB10</f>
        <v>1.9402800000000002</v>
      </c>
      <c r="AE10" s="66" t="str">
        <f t="shared" si="6"/>
        <v>3rd_UWL</v>
      </c>
      <c r="AF10" s="67">
        <f t="shared" si="6"/>
        <v>1.5</v>
      </c>
      <c r="AG10" s="82">
        <f>IF(AG8-AG9=AG9-AF12,AF12,IF(AG8-AG9=AG9-AF13,AF13,"-"))</f>
        <v>3</v>
      </c>
      <c r="AH10" s="83">
        <f>VLOOKUP(AG10,STN_TABLE,2,FALSE)</f>
        <v>2.7</v>
      </c>
      <c r="AI10" s="83">
        <v>-1</v>
      </c>
      <c r="AJ10" s="83">
        <f>AH10*AI10</f>
        <v>-2.7</v>
      </c>
      <c r="AK10" s="83">
        <v>-1</v>
      </c>
      <c r="AL10" s="83">
        <f>AH10*AK10</f>
        <v>-2.7</v>
      </c>
      <c r="AM10" s="84" t="str">
        <f>CONCATENATE("a'(",AG9,")=")</f>
        <v>a'(2)=</v>
      </c>
      <c r="AN10" s="84">
        <f>2*AN8/12*AJ11</f>
        <v>4.83</v>
      </c>
      <c r="AO10" s="84" t="str">
        <f>CONCATENATE("A(",AG8,")=")</f>
        <v>A(1)=</v>
      </c>
      <c r="AP10" s="84">
        <f>VLOOKUP(AG8,STN_TABLE,3,FALSE)</f>
        <v>1.4550000000000001</v>
      </c>
      <c r="AQ10" t="str">
        <f>CONCATENATE("A(",AG9,")=")</f>
        <v>A(2)=</v>
      </c>
      <c r="AR10">
        <f>AN10+AP10</f>
        <v>6.2850000000000001</v>
      </c>
    </row>
    <row r="11" spans="1:46" x14ac:dyDescent="0.25">
      <c r="A11">
        <v>8</v>
      </c>
      <c r="B11" s="80">
        <f t="shared" si="2"/>
        <v>5</v>
      </c>
      <c r="C11" s="81">
        <f t="shared" si="3"/>
        <v>9.9</v>
      </c>
      <c r="D11" s="81">
        <f t="shared" si="4"/>
        <v>55.623000000000005</v>
      </c>
      <c r="E11" s="77">
        <f t="shared" si="5"/>
        <v>365.59113000000002</v>
      </c>
      <c r="G11" t="s">
        <v>108</v>
      </c>
      <c r="H11">
        <f>VLOOKUP(Station_No,RISE_CALC,10,FALSE)</f>
        <v>5</v>
      </c>
      <c r="K11" t="str">
        <f>CONCATENATE("M(",H8,")=")</f>
        <v>M(2)=</v>
      </c>
      <c r="L11">
        <f>IFERROR(AR6,IFERROR(AL13,AR16))</f>
        <v>16.49193</v>
      </c>
      <c r="Q11" s="80"/>
      <c r="R11" s="81"/>
      <c r="AE11" s="66" t="str">
        <f t="shared" si="6"/>
        <v>4th_UWL</v>
      </c>
      <c r="AF11" s="67">
        <f t="shared" si="6"/>
        <v>2</v>
      </c>
      <c r="AJ11" s="89">
        <f>SUM(AJ8:AJ10)</f>
        <v>16.100000000000001</v>
      </c>
      <c r="AL11" s="89">
        <f>SUM(AL8:AL10)</f>
        <v>17.420000000000002</v>
      </c>
      <c r="AM11" s="84" t="str">
        <f>CONCATENATE("m'(",AG9,")=")</f>
        <v>m'(2)=</v>
      </c>
      <c r="AN11" s="84">
        <f>(2*(AN8^2)/24*AL11)+(AN10*AG8*WLS)</f>
        <v>13.397400000000001</v>
      </c>
      <c r="AO11" s="84" t="str">
        <f>CONCATENATE("M(",AG8,")=")</f>
        <v>M(1)=</v>
      </c>
      <c r="AP11" s="84">
        <f>VLOOKUP(AG8,STN_TABLE,4,FALSE)</f>
        <v>1.9767300000000001</v>
      </c>
      <c r="AQ11" t="str">
        <f>CONCATENATE("M(",AG9,")=")</f>
        <v>M(2)=</v>
      </c>
      <c r="AR11">
        <f>AN11+AP11</f>
        <v>15.374130000000001</v>
      </c>
    </row>
    <row r="12" spans="1:46" x14ac:dyDescent="0.25">
      <c r="A12">
        <v>9</v>
      </c>
      <c r="B12" s="80">
        <f t="shared" si="2"/>
        <v>5.6111111111111107</v>
      </c>
      <c r="C12" s="81">
        <f t="shared" si="3"/>
        <v>10.9</v>
      </c>
      <c r="D12" s="81">
        <f t="shared" si="4"/>
        <v>78.502999999999986</v>
      </c>
      <c r="E12" s="77">
        <f t="shared" si="5"/>
        <v>584.29679666666652</v>
      </c>
      <c r="Q12" s="90" t="s">
        <v>109</v>
      </c>
      <c r="R12" s="81"/>
      <c r="AE12" s="66" t="str">
        <f t="shared" si="6"/>
        <v>5th_UWL</v>
      </c>
      <c r="AF12" s="67">
        <f t="shared" si="6"/>
        <v>3</v>
      </c>
      <c r="AI12" t="s">
        <v>103</v>
      </c>
      <c r="AK12" t="str">
        <f>CONCATENATE("A(",AG9,")=")</f>
        <v>A(2)=</v>
      </c>
      <c r="AL12">
        <f>IF(OR(AR10&lt;=0,AR11&lt;=0),AR15,AR10)</f>
        <v>6.2850000000000001</v>
      </c>
    </row>
    <row r="13" spans="1:46" x14ac:dyDescent="0.25">
      <c r="A13">
        <v>10</v>
      </c>
      <c r="B13" s="80">
        <f t="shared" si="2"/>
        <v>6</v>
      </c>
      <c r="C13" s="81">
        <f t="shared" si="3"/>
        <v>11.34</v>
      </c>
      <c r="D13" s="81">
        <f t="shared" si="4"/>
        <v>96.026999999999987</v>
      </c>
      <c r="E13" s="77">
        <f t="shared" si="5"/>
        <v>763.50632999999993</v>
      </c>
      <c r="G13" s="71" t="s">
        <v>110</v>
      </c>
      <c r="Q13" s="66" t="str">
        <f t="shared" ref="Q13:R16" si="7">G4</f>
        <v>Rise</v>
      </c>
      <c r="R13" s="67">
        <f t="shared" si="7"/>
        <v>0.31666666666666665</v>
      </c>
      <c r="S13" s="68">
        <f>IF(R16-R15=R15-R14,R14,IF(R16-R14=R14-R13,R13,"-"))</f>
        <v>0.5</v>
      </c>
      <c r="T13" s="69">
        <f>IFERROR(VLOOKUP(S13,STN_TABLE,2,FALSE),IF(R13=RisePerWLS,0,"-"))</f>
        <v>0.4</v>
      </c>
      <c r="U13" s="69">
        <v>1</v>
      </c>
      <c r="V13" s="69">
        <f>T13*U13</f>
        <v>0.4</v>
      </c>
      <c r="W13" s="69">
        <f>S13</f>
        <v>0.5</v>
      </c>
      <c r="X13" s="69">
        <f>V13*W13</f>
        <v>0.2</v>
      </c>
      <c r="Y13" s="6" t="s">
        <v>93</v>
      </c>
      <c r="Z13" s="70">
        <f>IF(AND(T13=0,T14=0,T15=0),WLS*(S15-S14),IF(AND(S15-S14=S14-S13,S14&lt;&gt;S15,S13&lt;&gt;S14,S13&lt;&gt;S15,T15&lt;&gt;0,OR(T13&lt;&gt;0,T14&lt;&gt;0)),WLS*(S15-S14),"#NA"))</f>
        <v>0.9</v>
      </c>
      <c r="AE13" s="66" t="str">
        <f t="shared" si="6"/>
        <v>6th_UWL</v>
      </c>
      <c r="AF13" s="67">
        <f t="shared" si="6"/>
        <v>4</v>
      </c>
      <c r="AK13" t="str">
        <f>CONCATENATE("M(",AG9,")=")</f>
        <v>M(2)=</v>
      </c>
      <c r="AL13">
        <f>IF(OR(AR10&lt;=0,AR11&lt;=0),AR16,AR11)</f>
        <v>15.374130000000001</v>
      </c>
      <c r="AM13" s="6" t="s">
        <v>93</v>
      </c>
      <c r="AN13" s="70">
        <f>WLS*(AI15-AI14)</f>
        <v>0.9</v>
      </c>
    </row>
    <row r="14" spans="1:46" x14ac:dyDescent="0.25">
      <c r="A14">
        <v>11</v>
      </c>
      <c r="B14" s="80">
        <f t="shared" si="2"/>
        <v>7</v>
      </c>
      <c r="C14" s="81">
        <f t="shared" si="3"/>
        <v>12</v>
      </c>
      <c r="D14" s="81">
        <f t="shared" si="4"/>
        <v>136.33499999999998</v>
      </c>
      <c r="E14" s="77">
        <f t="shared" si="5"/>
        <v>1241.81673</v>
      </c>
      <c r="G14" s="91" t="str">
        <f>G4</f>
        <v>Rise</v>
      </c>
      <c r="H14" s="91">
        <f>RisePerWLS</f>
        <v>0.31666666666666665</v>
      </c>
      <c r="I14" s="68">
        <f>H14</f>
        <v>0.31666666666666665</v>
      </c>
      <c r="J14" s="69">
        <v>0</v>
      </c>
      <c r="K14" s="69">
        <v>5</v>
      </c>
      <c r="L14" s="69">
        <f>J14*K14</f>
        <v>0</v>
      </c>
      <c r="M14" s="69">
        <v>3</v>
      </c>
      <c r="N14" s="69">
        <f>J14*M14</f>
        <v>0</v>
      </c>
      <c r="O14" t="s">
        <v>93</v>
      </c>
      <c r="P14" t="e">
        <f>IF(AND(NOT(AND(J14=0,J15=0)),I14&lt;&gt;I15,I15&lt;&gt;I16,I16-I15=I15-I14),(I16-I15)*WLS,"#NA")</f>
        <v>#VALUE!</v>
      </c>
      <c r="Q14" s="66" t="str">
        <f t="shared" si="7"/>
        <v>1st_UWL</v>
      </c>
      <c r="R14" s="67">
        <f t="shared" si="7"/>
        <v>0.5</v>
      </c>
      <c r="S14" s="76">
        <f>IF(R16-R15=R15-R14,R15,IF(R16-R14=R14-R13,R14,"-"))</f>
        <v>1</v>
      </c>
      <c r="T14" s="77">
        <f>VLOOKUP(S14,STN_TABLE,2,FALSE)</f>
        <v>1.04</v>
      </c>
      <c r="U14" s="77">
        <v>4</v>
      </c>
      <c r="V14" s="77">
        <f>T14*U14</f>
        <v>4.16</v>
      </c>
      <c r="W14" s="77">
        <f>S14</f>
        <v>1</v>
      </c>
      <c r="X14" s="77">
        <f>V14*W14</f>
        <v>4.16</v>
      </c>
      <c r="Y14" s="78" t="s">
        <v>97</v>
      </c>
      <c r="Z14" s="78"/>
      <c r="AA14" s="78" t="s">
        <v>98</v>
      </c>
      <c r="AB14" s="78"/>
      <c r="AC14" s="7" t="s">
        <v>99</v>
      </c>
      <c r="AD14" s="7"/>
      <c r="AE14" s="66"/>
      <c r="AF14" s="67"/>
      <c r="AI14" s="79">
        <f>AF10</f>
        <v>1.5</v>
      </c>
      <c r="AJ14" s="68">
        <f>VLOOKUP(AI14,STN_TABLE,2,FALSE)</f>
        <v>1.5</v>
      </c>
      <c r="AK14" s="68">
        <v>1</v>
      </c>
      <c r="AL14" s="69">
        <f>AJ14*AK14</f>
        <v>1.5</v>
      </c>
      <c r="AM14" s="78" t="s">
        <v>97</v>
      </c>
      <c r="AN14" s="78"/>
      <c r="AO14" s="78" t="s">
        <v>98</v>
      </c>
      <c r="AP14" s="78"/>
      <c r="AQ14" s="7" t="s">
        <v>99</v>
      </c>
      <c r="AR14" s="7"/>
      <c r="AS14" s="7"/>
      <c r="AT14" s="7"/>
    </row>
    <row r="15" spans="1:46" x14ac:dyDescent="0.25">
      <c r="A15">
        <v>12</v>
      </c>
      <c r="B15" s="80">
        <f t="shared" si="2"/>
        <v>7.8833333333333329</v>
      </c>
      <c r="C15" s="81">
        <f t="shared" si="3"/>
        <v>12.2</v>
      </c>
      <c r="D15" s="81">
        <f t="shared" si="4"/>
        <v>174.81299999999996</v>
      </c>
      <c r="E15" s="77">
        <f t="shared" si="5"/>
        <v>1757.3138099999996</v>
      </c>
      <c r="G15" s="91" t="str">
        <f>G5</f>
        <v>1st_UWL</v>
      </c>
      <c r="H15" s="91">
        <f>H5</f>
        <v>0.5</v>
      </c>
      <c r="I15" s="76">
        <f>H15</f>
        <v>0.5</v>
      </c>
      <c r="J15" s="77">
        <f>VLOOKUP(I15,STN_TABLE,2,FALSE)</f>
        <v>0.4</v>
      </c>
      <c r="K15" s="77">
        <v>8</v>
      </c>
      <c r="L15" s="77">
        <f>J15*K15</f>
        <v>3.2</v>
      </c>
      <c r="M15" s="77">
        <v>10</v>
      </c>
      <c r="N15" s="77">
        <f>J15*M15</f>
        <v>4</v>
      </c>
      <c r="O15" t="str">
        <f>CONCATENATE("A(",I15,")=")</f>
        <v>A(0.5)=</v>
      </c>
      <c r="P15" t="e">
        <f>2*P14/12*L17</f>
        <v>#VALUE!</v>
      </c>
      <c r="Q15" s="66" t="str">
        <f t="shared" si="7"/>
        <v>2nd_UWL</v>
      </c>
      <c r="R15" s="67">
        <f t="shared" si="7"/>
        <v>1</v>
      </c>
      <c r="S15" s="82">
        <f>R16</f>
        <v>1.5</v>
      </c>
      <c r="T15" s="83">
        <f>VLOOKUP(S15,STN_TABLE,2,FALSE)</f>
        <v>1.5</v>
      </c>
      <c r="U15" s="83">
        <v>1</v>
      </c>
      <c r="V15" s="83">
        <f>T15*U15</f>
        <v>1.5</v>
      </c>
      <c r="W15" s="83">
        <f>S15</f>
        <v>1.5</v>
      </c>
      <c r="X15" s="83">
        <f>V15*W15</f>
        <v>2.25</v>
      </c>
      <c r="Y15" s="84" t="str">
        <f>CONCATENATE("a'(",S15,")=")</f>
        <v>a'(1.5)=</v>
      </c>
      <c r="Z15" s="84">
        <f>2*Z13/3*V16</f>
        <v>3.6360000000000001</v>
      </c>
      <c r="AA15" s="84" t="str">
        <f>CONCATENATE("A(",S13,")=")</f>
        <v>A(0.5)=</v>
      </c>
      <c r="AB15" s="84">
        <f>IF(S13=RisePerWLS,0,VLOOKUP(S13,STN_TABLE,3,FALSE))</f>
        <v>0.13200000000000001</v>
      </c>
      <c r="AC15" t="str">
        <f>CONCATENATE("A(",S15,")=")</f>
        <v>A(1.5)=</v>
      </c>
      <c r="AD15">
        <f>Z15+AB15</f>
        <v>3.7680000000000002</v>
      </c>
      <c r="AE15" s="80"/>
      <c r="AI15" s="88">
        <f>AF11</f>
        <v>2</v>
      </c>
      <c r="AJ15" s="82">
        <f>VLOOKUP(AI15,STN_TABLE,2,FALSE)</f>
        <v>1.7</v>
      </c>
      <c r="AK15" s="82">
        <v>2</v>
      </c>
      <c r="AL15" s="83">
        <f>AJ15*AK15</f>
        <v>3.4</v>
      </c>
      <c r="AM15" s="84" t="str">
        <f>CONCATENATE("a'(",AI15,")=")</f>
        <v>a'(2)=</v>
      </c>
      <c r="AN15" s="84">
        <f>2*AN13/2*AJ16</f>
        <v>2.8800000000000003</v>
      </c>
      <c r="AO15" s="84" t="str">
        <f>CONCATENATE("A(",AI14,")=")</f>
        <v>A(1.5)=</v>
      </c>
      <c r="AP15" s="84">
        <f>IF(AI14=RisePerWLS,0,VLOOKUP(AI14,STN_TABLE,3,FALSE))</f>
        <v>3.7680000000000002</v>
      </c>
      <c r="AQ15" t="str">
        <f>CONCATENATE("A(",AI15,")=")</f>
        <v>A(2)=</v>
      </c>
      <c r="AR15">
        <f>AN15+AP15</f>
        <v>6.6480000000000006</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1</v>
      </c>
      <c r="I16" s="82" t="str">
        <f>IF(H16-H15=H15-H14,H16,"#NA")</f>
        <v>#NA</v>
      </c>
      <c r="J16" s="83" t="e">
        <f>VLOOKUP(I16,STN_TABLE,2,FALSE)</f>
        <v>#N/A</v>
      </c>
      <c r="K16" s="83">
        <v>-1</v>
      </c>
      <c r="L16" s="83" t="e">
        <f>J16*K16</f>
        <v>#N/A</v>
      </c>
      <c r="M16" s="83">
        <v>-1</v>
      </c>
      <c r="N16" s="83" t="e">
        <f>J16*M16</f>
        <v>#N/A</v>
      </c>
      <c r="O16" t="str">
        <f>CONCATENATE("M(",I15,")=")</f>
        <v>M(0.5)=</v>
      </c>
      <c r="P16" t="e">
        <f>(2*(P14^2)/24*N17)+P15*I14*WLS</f>
        <v>#VALUE!</v>
      </c>
      <c r="Q16" s="66" t="str">
        <f t="shared" si="7"/>
        <v>3rd_UWL</v>
      </c>
      <c r="R16" s="67">
        <f t="shared" si="7"/>
        <v>1.5</v>
      </c>
      <c r="V16" s="89">
        <f>SUM(V13:V15)</f>
        <v>6.0600000000000005</v>
      </c>
      <c r="X16" s="89">
        <f>SUM(X13:X15)</f>
        <v>6.61</v>
      </c>
      <c r="Y16" s="84" t="str">
        <f>CONCATENATE("m'(",S15,")=")</f>
        <v>m'(1.5)=</v>
      </c>
      <c r="Z16" s="84">
        <f>2*(Z13*WLS)/3*X16</f>
        <v>7.1388000000000007</v>
      </c>
      <c r="AA16" s="84" t="str">
        <f>CONCATENATE("M(",S13,")=")</f>
        <v>M(0.5)=</v>
      </c>
      <c r="AB16" s="84">
        <f>IF(S13=RisePerWLS,0,VLOOKUP(S13,STN_TABLE,4,FALSE))</f>
        <v>0.10428000000000001</v>
      </c>
      <c r="AC16" t="str">
        <f>CONCATENATE("M(",S15,")=")</f>
        <v>M(1.5)=</v>
      </c>
      <c r="AD16">
        <f>Z16+AB16</f>
        <v>7.2430800000000009</v>
      </c>
      <c r="AE16" s="80"/>
      <c r="AJ16" s="89">
        <f>SUM(AJ14:AJ15)</f>
        <v>3.2</v>
      </c>
      <c r="AL16" s="89">
        <f>SUM(AL14:AL15)</f>
        <v>4.9000000000000004</v>
      </c>
      <c r="AM16" s="84" t="str">
        <f>CONCATENATE("m'(",AI15,")=")</f>
        <v>m'(2)=</v>
      </c>
      <c r="AN16" s="84">
        <f>(2*(AN13^2)/6*AL16)+(AN15*AI14*WLS)</f>
        <v>9.0990000000000002</v>
      </c>
      <c r="AO16" s="84" t="str">
        <f>CONCATENATE("M(",AI14,")=")</f>
        <v>M(1.5)=</v>
      </c>
      <c r="AP16" s="84">
        <f>IF(AI14=RisePerWLS,0,VLOOKUP(AI14,STN_TABLE,4,FALSE))</f>
        <v>7.2430800000000009</v>
      </c>
      <c r="AQ16" t="str">
        <f>CONCATENATE("M(",AI15,")=")</f>
        <v>M(2)=</v>
      </c>
      <c r="AR16">
        <f>AN16+AP16</f>
        <v>16.342080000000003</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A(0.5)=</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M(0.5)=</v>
      </c>
      <c r="N19" t="e">
        <f>IF(OR(P15&lt;=0,P16&lt;=0),N23,P16)</f>
        <v>#VALUE!</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f>IF(OR(R24-R23=R23-R22,R25-R23=R23-R22),R22,IF(OR(R24-R23=R23-R21,R25-R23=R23-R21),R21,"-"))</f>
        <v>1</v>
      </c>
      <c r="T20" s="69">
        <f>IFERROR(VLOOKUP(S20,STN_TABLE,2,FALSE),IF(R20=RisePerWLS,0,"-"))</f>
        <v>1.04</v>
      </c>
      <c r="U20" s="69">
        <v>5</v>
      </c>
      <c r="V20" s="69">
        <f>T20*U20</f>
        <v>5.2</v>
      </c>
      <c r="W20" s="69">
        <v>3</v>
      </c>
      <c r="X20" s="69">
        <f>T20*W20</f>
        <v>3.12</v>
      </c>
      <c r="Y20" s="6" t="s">
        <v>93</v>
      </c>
      <c r="Z20" s="70">
        <f>IF(AND(S22-S21=S21-S20,NOT(AND(S20=0,S21=0)),NOT(AND(S21=0,S22=0))),WLS*(S22-S21),"#NA")</f>
        <v>0.9</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0.31666666666666665</v>
      </c>
      <c r="J21" s="68">
        <v>0</v>
      </c>
      <c r="K21" s="68">
        <v>1</v>
      </c>
      <c r="L21" s="69">
        <f>J21*K21</f>
        <v>0</v>
      </c>
      <c r="M21" t="s">
        <v>93</v>
      </c>
      <c r="N21">
        <f>(I22-I21)*WLS</f>
        <v>0.33</v>
      </c>
      <c r="Q21" s="66" t="str">
        <f t="shared" ref="Q21:R25" si="8">G5</f>
        <v>1st_UWL</v>
      </c>
      <c r="R21" s="67">
        <f t="shared" si="8"/>
        <v>0.5</v>
      </c>
      <c r="S21" s="76">
        <f>R23</f>
        <v>1.5</v>
      </c>
      <c r="T21" s="77">
        <f>VLOOKUP(S21,STN_TABLE,2,FALSE)</f>
        <v>1.5</v>
      </c>
      <c r="U21" s="77">
        <v>8</v>
      </c>
      <c r="V21" s="77">
        <f>T21*U21</f>
        <v>12</v>
      </c>
      <c r="W21" s="77">
        <v>10</v>
      </c>
      <c r="X21" s="77">
        <f>T21*W21</f>
        <v>15</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0.5</v>
      </c>
      <c r="J22" s="82">
        <f>VLOOKUP(I22,STN_TABLE,2,FALSE)</f>
        <v>0.4</v>
      </c>
      <c r="K22" s="82">
        <v>2</v>
      </c>
      <c r="L22" s="83">
        <f>J22*K22</f>
        <v>0.8</v>
      </c>
      <c r="M22" t="str">
        <f>CONCATENATE("A(",I22,")=")</f>
        <v>A(0.5)=</v>
      </c>
      <c r="N22">
        <f>2*N21/2*J23</f>
        <v>0.13200000000000001</v>
      </c>
      <c r="Q22" s="66" t="str">
        <f t="shared" si="8"/>
        <v>2nd_UWL</v>
      </c>
      <c r="R22" s="67">
        <f t="shared" si="8"/>
        <v>1</v>
      </c>
      <c r="S22" s="82">
        <f>IF(S20-S21=S21-R24,R24,IF(S20-S21=S21-R25,R25,"-"))</f>
        <v>2</v>
      </c>
      <c r="T22" s="83">
        <f>VLOOKUP(S22,STN_TABLE,2,FALSE)</f>
        <v>1.7</v>
      </c>
      <c r="U22" s="83">
        <v>-1</v>
      </c>
      <c r="V22" s="83">
        <f>T22*U22</f>
        <v>-1.7</v>
      </c>
      <c r="W22" s="83">
        <v>-1</v>
      </c>
      <c r="X22" s="83">
        <f>T22*W22</f>
        <v>-1.7</v>
      </c>
      <c r="Y22" s="84" t="str">
        <f>CONCATENATE("a'(",S21,")=")</f>
        <v>a'(1.5)=</v>
      </c>
      <c r="Z22" s="84">
        <f>2*Z20/12*V23</f>
        <v>2.3249999999999997</v>
      </c>
      <c r="AA22" s="84" t="str">
        <f>CONCATENATE("A(",S20,")=")</f>
        <v>A(1)=</v>
      </c>
      <c r="AB22" s="84">
        <f>IF(S20=RisePerWLS,0,VLOOKUP(S20,STN_TABLE,3,FALSE))</f>
        <v>1.4550000000000001</v>
      </c>
      <c r="AC22" t="str">
        <f>CONCATENATE("A(",S21,")=")</f>
        <v>A(1.5)=</v>
      </c>
      <c r="AD22">
        <f>Z22+AB22</f>
        <v>3.78</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0.4</v>
      </c>
      <c r="L23" s="89">
        <f>SUM(L21:L22)</f>
        <v>0.8</v>
      </c>
      <c r="M23" t="str">
        <f>CONCATENATE("M(",I22,")=")</f>
        <v>M(0.5)=</v>
      </c>
      <c r="N23">
        <f>(2*(N21^2)/6*L23)+N22*I21*WLS</f>
        <v>0.10428000000000001</v>
      </c>
      <c r="Q23" s="66" t="str">
        <f t="shared" si="8"/>
        <v>3rd_UWL</v>
      </c>
      <c r="R23" s="67">
        <f t="shared" si="8"/>
        <v>1.5</v>
      </c>
      <c r="V23" s="89">
        <f>SUM(V20:V22)</f>
        <v>15.5</v>
      </c>
      <c r="X23" s="89">
        <f>SUM(X20:X22)</f>
        <v>16.420000000000002</v>
      </c>
      <c r="Y23" s="84" t="str">
        <f>CONCATENATE("m'(",S21,")=")</f>
        <v>m'(1.5)=</v>
      </c>
      <c r="Z23" s="84">
        <f>(2*(Z20^2)/24*X23)+(Z22*S20*WLS)</f>
        <v>5.2933500000000002</v>
      </c>
      <c r="AA23" s="84" t="str">
        <f>CONCATENATE("M(",S20,")=")</f>
        <v>M(1)=</v>
      </c>
      <c r="AB23" s="84">
        <f>IF(S20=RisePerWLS,0,VLOOKUP(S20,STN_TABLE,4,FALSE))</f>
        <v>1.9767300000000001</v>
      </c>
      <c r="AC23" t="str">
        <f>CONCATENATE("M(",S21,")=")</f>
        <v>M(1.5)=</v>
      </c>
      <c r="AD23">
        <f>Z23+AB23</f>
        <v>7.2700800000000001</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2</v>
      </c>
      <c r="U24" t="s">
        <v>103</v>
      </c>
      <c r="W24" t="str">
        <f>CONCATENATE("A(",S21,")=")</f>
        <v>A(1.5)=</v>
      </c>
      <c r="X24">
        <f>IF(OR(AD22&lt;=0,AD23&lt;=0),AD27,AD22)</f>
        <v>3.78</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f t="shared" si="8"/>
        <v>3</v>
      </c>
      <c r="W25" t="str">
        <f>CONCATENATE("M(",S21,")=")</f>
        <v>M(1.5)=</v>
      </c>
      <c r="X25">
        <f>IF(OR(AD22&lt;=0,AD23&lt;=0),AD28,AD23)</f>
        <v>7.2700800000000001</v>
      </c>
      <c r="Y25" s="6" t="s">
        <v>93</v>
      </c>
      <c r="Z25" s="70">
        <f>WLS*(U27-U26)</f>
        <v>0.9</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0.31666666666666665</v>
      </c>
      <c r="I26" s="68">
        <f>H26</f>
        <v>0.31666666666666665</v>
      </c>
      <c r="J26" s="69">
        <v>0</v>
      </c>
      <c r="K26" s="69">
        <v>1</v>
      </c>
      <c r="L26" s="69">
        <f>J26*K26</f>
        <v>0</v>
      </c>
      <c r="M26" s="69">
        <f>I26</f>
        <v>0.31666666666666665</v>
      </c>
      <c r="N26" s="69">
        <f>L26*M26</f>
        <v>0</v>
      </c>
      <c r="O26" t="s">
        <v>93</v>
      </c>
      <c r="P26" t="e">
        <f>IF(OR(J26=0,J27=0,J28=0),"#NA",IF(I28-I27=I27-I26,WLS*(I27-I26),"#NA"))</f>
        <v>#N/A</v>
      </c>
      <c r="Q26" s="66"/>
      <c r="R26" s="67"/>
      <c r="U26" s="79">
        <f>R22</f>
        <v>1</v>
      </c>
      <c r="V26" s="68">
        <f>VLOOKUP(U26,STN_TABLE,2,FALSE)</f>
        <v>1.04</v>
      </c>
      <c r="W26" s="68">
        <v>1</v>
      </c>
      <c r="X26" s="69">
        <f>V26*W26</f>
        <v>1.04</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0.5</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1.5</v>
      </c>
      <c r="V27" s="82">
        <f>VLOOKUP(U27,STN_TABLE,2,FALSE)</f>
        <v>1.5</v>
      </c>
      <c r="W27" s="82">
        <v>2</v>
      </c>
      <c r="X27" s="83">
        <f>V27*W27</f>
        <v>3</v>
      </c>
      <c r="Y27" s="84" t="str">
        <f>CONCATENATE("a'(",U27,")=")</f>
        <v>a'(1.5)=</v>
      </c>
      <c r="Z27" s="84">
        <f>2*Z25/2*V28</f>
        <v>2.286</v>
      </c>
      <c r="AA27" s="84" t="str">
        <f>CONCATENATE("A(",U26,")=")</f>
        <v>A(1)=</v>
      </c>
      <c r="AB27" s="84">
        <f>IF(U26=RisePerWLS,0,VLOOKUP(U26,STN_TABLE,3,FALSE))</f>
        <v>1.4550000000000001</v>
      </c>
      <c r="AC27" t="str">
        <f>CONCATENATE("A(",U27,")=")</f>
        <v>A(1.5)=</v>
      </c>
      <c r="AD27">
        <f>Z27+AB27</f>
        <v>3.7410000000000001</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1</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2.54</v>
      </c>
      <c r="X28" s="89">
        <f>SUM(X26:X27)</f>
        <v>4.04</v>
      </c>
      <c r="Y28" s="84" t="str">
        <f>CONCATENATE("m'(",U27,")=")</f>
        <v>m'(1.5)=</v>
      </c>
      <c r="Z28" s="84">
        <f>(2*(Z25^2)/6*X28)+(Z27*U26*WLS)</f>
        <v>5.2055999999999996</v>
      </c>
      <c r="AA28" s="84" t="str">
        <f>CONCATENATE("M(",U26,")=")</f>
        <v>M(1)=</v>
      </c>
      <c r="AB28" s="84">
        <f>IF(U26=RisePerWLS,0,VLOOKUP(U26,STN_TABLE,4,FALSE))</f>
        <v>1.9767300000000001</v>
      </c>
      <c r="AC28" t="str">
        <f>CONCATENATE("M(",U27,")=")</f>
        <v>M(1.5)=</v>
      </c>
      <c r="AD28">
        <f>Z28+AB28</f>
        <v>7.1823299999999994</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0.4</v>
      </c>
      <c r="S33" s="77">
        <v>8</v>
      </c>
      <c r="T33" s="76">
        <f>R33*S33</f>
        <v>3.2</v>
      </c>
      <c r="U33" s="80">
        <v>10</v>
      </c>
      <c r="V33" s="76">
        <f>R33*U33</f>
        <v>4</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1.04</v>
      </c>
      <c r="S34" s="83">
        <v>-1</v>
      </c>
      <c r="T34" s="82">
        <f>R34*S34</f>
        <v>-1.04</v>
      </c>
      <c r="U34" s="88">
        <v>-1</v>
      </c>
      <c r="V34" s="82">
        <f>R34*U34</f>
        <v>-1.04</v>
      </c>
      <c r="W34" s="84" t="str">
        <f>CONCATENATE("a'(",Q33,")=")</f>
        <v>a'(0.5)=</v>
      </c>
      <c r="X34" s="84">
        <f>2*X32/12*T35</f>
        <v>0.32400000000000001</v>
      </c>
      <c r="Y34" s="84" t="str">
        <f>CONCATENATE("A(",Q32,")=")</f>
        <v>A(0)=</v>
      </c>
      <c r="Z34" s="84">
        <f>VLOOKUP(Q32,STN_TABLE,3,FALSE)</f>
        <v>0</v>
      </c>
      <c r="AA34" t="str">
        <f>CONCATENATE("A(",Q33,")=")</f>
        <v>A(0.5)=</v>
      </c>
      <c r="AB34">
        <f>X34+Z34</f>
        <v>0.32400000000000001</v>
      </c>
      <c r="AC34" s="99">
        <f>AC33+1</f>
        <v>2</v>
      </c>
      <c r="AD34" s="100">
        <f>VLOOKUP(AC34,STN_TABLE_2,2,FALSE)</f>
        <v>0.5</v>
      </c>
      <c r="AE34" s="82">
        <f>VLOOKUP(AD34,STN_TABLE,2,FALSE)</f>
        <v>0.4</v>
      </c>
      <c r="AF34" s="82">
        <v>2</v>
      </c>
      <c r="AG34" s="83">
        <f>AE34*AF34</f>
        <v>0.8</v>
      </c>
      <c r="AH34" s="84" t="str">
        <f>CONCATENATE("a'(",AD34,")=")</f>
        <v>a'(0.5)=</v>
      </c>
      <c r="AI34" s="84">
        <f>2*AI32/2*AE35</f>
        <v>0.36000000000000004</v>
      </c>
      <c r="AJ34" s="84" t="str">
        <f>CONCATENATE("A(",AD33,")=")</f>
        <v>A(0)=</v>
      </c>
      <c r="AK34" s="84">
        <f>VLOOKUP(AD33,STN_TABLE,3,FALSE)</f>
        <v>0</v>
      </c>
      <c r="AL34" t="str">
        <f>CONCATENATE("A(",AD34,")=")</f>
        <v>A(0.5)=</v>
      </c>
      <c r="AM34">
        <f>AI34+AK34</f>
        <v>0.36000000000000004</v>
      </c>
      <c r="AO34" s="68" t="str">
        <f>AA34</f>
        <v>A(0.5)=</v>
      </c>
      <c r="AP34" s="79">
        <f>VLOOKUP(AO34,Rise_Results,2,FALSE)</f>
        <v>0.13200000000000001</v>
      </c>
      <c r="AQ34" s="76" t="s">
        <v>117</v>
      </c>
      <c r="AR34" s="76">
        <f>IF(OR(AB34&lt;=0,AB35&lt;=0),1/0,AB34)</f>
        <v>0.32400000000000001</v>
      </c>
      <c r="AS34" s="76">
        <f>AM34</f>
        <v>0.36000000000000004</v>
      </c>
      <c r="AT34" s="80">
        <f>IFERROR(AP34,IFERROR(AR34,AS34))</f>
        <v>0.13200000000000001</v>
      </c>
    </row>
    <row r="35" spans="1:47" x14ac:dyDescent="0.25">
      <c r="A35" s="101"/>
      <c r="T35" s="89">
        <f>SUM(T32:T34)</f>
        <v>2.16</v>
      </c>
      <c r="V35" s="82">
        <f>SUM(V32:V34)</f>
        <v>2.96</v>
      </c>
      <c r="W35" s="84" t="str">
        <f>CONCATENATE("m'(",Q33,")=")</f>
        <v>m'(0.5)=</v>
      </c>
      <c r="X35" s="84">
        <f>(2*(X32^2)/24*V35)</f>
        <v>0.19980000000000001</v>
      </c>
      <c r="Y35" s="84" t="str">
        <f>CONCATENATE("M(",Q32,")=")</f>
        <v>M(0)=</v>
      </c>
      <c r="Z35" s="84">
        <f>VLOOKUP(Q32,STN_TABLE,4,FALSE)</f>
        <v>0</v>
      </c>
      <c r="AA35" t="str">
        <f>CONCATENATE("M(",Q33,")=")</f>
        <v>M(0.5)=</v>
      </c>
      <c r="AB35">
        <f>X35+Z35</f>
        <v>0.19980000000000001</v>
      </c>
      <c r="AE35" s="89">
        <f>SUM(AE33:AE34)</f>
        <v>0.4</v>
      </c>
      <c r="AG35" s="89">
        <f>SUM(AG33:AG34)</f>
        <v>0.8</v>
      </c>
      <c r="AH35" s="84" t="str">
        <f>CONCATENATE("m'(",AD34,")=")</f>
        <v>m'(0.5)=</v>
      </c>
      <c r="AI35" s="84">
        <f>(2*(AI32^2)/6*AG35)+(AI34*AD33*WLS)</f>
        <v>0.21600000000000003</v>
      </c>
      <c r="AJ35" s="84" t="str">
        <f>CONCATENATE("M(",AD33,")=")</f>
        <v>M(0)=</v>
      </c>
      <c r="AK35" s="84">
        <f>VLOOKUP(AD33,STN_TABLE,4,FALSE)</f>
        <v>0</v>
      </c>
      <c r="AL35" t="str">
        <f>CONCATENATE("M(",AD34,")=")</f>
        <v>M(0.5)=</v>
      </c>
      <c r="AM35">
        <f>AI35+AK35</f>
        <v>0.21600000000000003</v>
      </c>
      <c r="AO35" s="82" t="str">
        <f>AA35</f>
        <v>M(0.5)=</v>
      </c>
      <c r="AP35" s="88">
        <f>VLOOKUP(AO35,Rise_Results,2,FALSE)</f>
        <v>0.10428000000000001</v>
      </c>
      <c r="AQ35" s="82" t="s">
        <v>117</v>
      </c>
      <c r="AR35" s="82">
        <f>IF(OR(AB34&lt;=0,AB35&lt;=0),1/0,AB35)</f>
        <v>0.19980000000000001</v>
      </c>
      <c r="AS35" s="82">
        <f>AM35</f>
        <v>0.21600000000000003</v>
      </c>
      <c r="AT35" s="80">
        <f>IFERROR(AP35,IFERROR(AR35,AS35))</f>
        <v>0.10428000000000001</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0.4</v>
      </c>
      <c r="S37" s="69">
        <v>5</v>
      </c>
      <c r="T37" s="68">
        <f>R37*S37</f>
        <v>2</v>
      </c>
      <c r="U37" s="79">
        <v>3</v>
      </c>
      <c r="V37" s="68">
        <f>R37*U37</f>
        <v>1.2000000000000002</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0.4</v>
      </c>
      <c r="E38" s="81">
        <v>4</v>
      </c>
      <c r="F38" s="76">
        <f>D38*E38</f>
        <v>1.6</v>
      </c>
      <c r="G38" s="77">
        <f>C38</f>
        <v>0.5</v>
      </c>
      <c r="H38" s="77">
        <f>F38*G38</f>
        <v>0.8</v>
      </c>
      <c r="I38" s="513" t="s">
        <v>97</v>
      </c>
      <c r="J38" s="513"/>
      <c r="K38" s="78" t="s">
        <v>98</v>
      </c>
      <c r="L38" s="78"/>
      <c r="M38" s="7" t="s">
        <v>99</v>
      </c>
      <c r="N38" s="7"/>
      <c r="O38" s="99">
        <f>O37+1</f>
        <v>3</v>
      </c>
      <c r="P38" s="99">
        <f t="shared" si="10"/>
        <v>1</v>
      </c>
      <c r="Q38" s="76">
        <f>P38</f>
        <v>1</v>
      </c>
      <c r="R38" s="77">
        <f>VLOOKUP(Q38,STN_TABLE,2,FALSE)</f>
        <v>1.04</v>
      </c>
      <c r="S38" s="77">
        <v>8</v>
      </c>
      <c r="T38" s="76">
        <f>R38*S38</f>
        <v>8.32</v>
      </c>
      <c r="U38" s="80">
        <v>10</v>
      </c>
      <c r="V38" s="76">
        <f>R38*U38</f>
        <v>10.4</v>
      </c>
      <c r="W38" s="513" t="s">
        <v>97</v>
      </c>
      <c r="X38" s="513"/>
      <c r="Y38" s="513" t="s">
        <v>98</v>
      </c>
      <c r="Z38" s="513"/>
      <c r="AA38" s="511" t="s">
        <v>99</v>
      </c>
      <c r="AB38" s="511"/>
      <c r="AC38" s="99">
        <f>AC33+1</f>
        <v>2</v>
      </c>
      <c r="AD38" s="95">
        <f>VLOOKUP(AC38,STN_TABLE_2,2,FALSE)</f>
        <v>0.5</v>
      </c>
      <c r="AE38" s="68">
        <f>VLOOKUP(AD38,STN_TABLE,2,FALSE)</f>
        <v>0.4</v>
      </c>
      <c r="AF38" s="68">
        <v>1</v>
      </c>
      <c r="AG38" s="69">
        <f>AE38*AF38</f>
        <v>0.4</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1.04</v>
      </c>
      <c r="E39" s="92">
        <v>1</v>
      </c>
      <c r="F39" s="82">
        <f>D39*E39</f>
        <v>1.04</v>
      </c>
      <c r="G39" s="83">
        <f>C39</f>
        <v>1</v>
      </c>
      <c r="H39" s="83">
        <f>F39*G39</f>
        <v>1.04</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1.5</v>
      </c>
      <c r="S39" s="83">
        <v>-1</v>
      </c>
      <c r="T39" s="82">
        <f>R39*S39</f>
        <v>-1.5</v>
      </c>
      <c r="U39" s="88">
        <v>-1</v>
      </c>
      <c r="V39" s="82">
        <f>R39*U39</f>
        <v>-1.5</v>
      </c>
      <c r="W39" s="84" t="str">
        <f>CONCATENATE("a'(",Q38,")=")</f>
        <v>a'(1)=</v>
      </c>
      <c r="X39" s="84">
        <f>2*X37/12*T40</f>
        <v>1.323</v>
      </c>
      <c r="Y39" s="84" t="str">
        <f>CONCATENATE("A(",Q37,")=")</f>
        <v>A(0.5)=</v>
      </c>
      <c r="Z39" s="84">
        <f>VLOOKUP(Q37,STN_TABLE,3,FALSE)</f>
        <v>0.13200000000000001</v>
      </c>
      <c r="AA39" t="str">
        <f>CONCATENATE("A(",Q38,")=")</f>
        <v>A(1)=</v>
      </c>
      <c r="AB39">
        <f>X39+Z39</f>
        <v>1.4550000000000001</v>
      </c>
      <c r="AC39" s="99">
        <f>AC38+1</f>
        <v>3</v>
      </c>
      <c r="AD39" s="100">
        <f>VLOOKUP(AC39,STN_TABLE_2,2,FALSE)</f>
        <v>1</v>
      </c>
      <c r="AE39" s="82">
        <f>VLOOKUP(AD39,STN_TABLE,2,FALSE)</f>
        <v>1.04</v>
      </c>
      <c r="AF39" s="82">
        <v>2</v>
      </c>
      <c r="AG39" s="83">
        <f>AE39*AF39</f>
        <v>2.08</v>
      </c>
      <c r="AH39" s="84" t="str">
        <f>CONCATENATE("a'(",AD39,")=")</f>
        <v>a'(1)=</v>
      </c>
      <c r="AI39" s="84">
        <f>2*AI37/2*AE40</f>
        <v>1.296</v>
      </c>
      <c r="AJ39" s="84" t="str">
        <f>CONCATENATE("A(",AD38,")=")</f>
        <v>A(0.5)=</v>
      </c>
      <c r="AK39" s="84">
        <f>VLOOKUP(AD38,STN_TABLE,3,FALSE)</f>
        <v>0.13200000000000001</v>
      </c>
      <c r="AL39" t="str">
        <f>CONCATENATE("A(",AD39,")=")</f>
        <v>A(1)=</v>
      </c>
      <c r="AM39">
        <f>AI39+AK39</f>
        <v>1.4279999999999999</v>
      </c>
      <c r="AO39" s="68" t="str">
        <f>AA39</f>
        <v>A(1)=</v>
      </c>
      <c r="AP39" s="68">
        <f>VLOOKUP(AO39,Rise_Results,2,FALSE)</f>
        <v>1.4550000000000001</v>
      </c>
      <c r="AQ39" s="76" t="e">
        <f>N39</f>
        <v>#VALUE!</v>
      </c>
      <c r="AR39" s="76">
        <f>IF(OR(AB39&lt;=0,AB40&lt;=0),1/0,AB39)</f>
        <v>1.4550000000000001</v>
      </c>
      <c r="AS39" s="76">
        <f>AM39</f>
        <v>1.4279999999999999</v>
      </c>
      <c r="AT39">
        <f>IFERROR(AP39,IFERROR(AQ39,IFERROR(AR39,AS39)))</f>
        <v>1.4550000000000001</v>
      </c>
    </row>
    <row r="40" spans="1:47" x14ac:dyDescent="0.25">
      <c r="A40">
        <v>4</v>
      </c>
      <c r="F40" s="82">
        <f>SUM(F37:F39)</f>
        <v>2.64</v>
      </c>
      <c r="H40" s="82">
        <f>SUM(H37:H39)</f>
        <v>1.84</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8.82</v>
      </c>
      <c r="V40" s="82">
        <f>SUM(V37:V39)</f>
        <v>10.100000000000001</v>
      </c>
      <c r="W40" s="84" t="str">
        <f>CONCATENATE("m'(",Q38,")=")</f>
        <v>m'(1)=</v>
      </c>
      <c r="X40" s="84">
        <f>(2*(X37^2)/24*V40)+(X39*Q37*WLS)</f>
        <v>1.8724500000000002</v>
      </c>
      <c r="Y40" s="84" t="str">
        <f>CONCATENATE("M(",Q37,")=")</f>
        <v>M(0.5)=</v>
      </c>
      <c r="Z40" s="84">
        <f>VLOOKUP(Q37,STN_TABLE,4,FALSE)</f>
        <v>0.10428000000000001</v>
      </c>
      <c r="AA40" t="str">
        <f>CONCATENATE("M(",Q38,")=")</f>
        <v>M(1)=</v>
      </c>
      <c r="AB40">
        <f>X40+Z40</f>
        <v>1.9767300000000001</v>
      </c>
      <c r="AE40" s="89">
        <f>SUM(AE38:AE39)</f>
        <v>1.44</v>
      </c>
      <c r="AG40" s="89">
        <f>SUM(AG38:AG39)</f>
        <v>2.48</v>
      </c>
      <c r="AH40" s="84" t="str">
        <f>CONCATENATE("m'(",AD39,")=")</f>
        <v>m'(1)=</v>
      </c>
      <c r="AI40" s="84">
        <f>(2*(AI37^2)/6*AG40)+(AI39*AD38*WLS)</f>
        <v>1.8360000000000003</v>
      </c>
      <c r="AJ40" s="84" t="str">
        <f>CONCATENATE("M(",AD38,")=")</f>
        <v>M(0.5)=</v>
      </c>
      <c r="AK40" s="84">
        <f>VLOOKUP(AD38,STN_TABLE,4,FALSE)</f>
        <v>0.10428000000000001</v>
      </c>
      <c r="AL40" t="str">
        <f>CONCATENATE("M(",AD39,")=")</f>
        <v>M(1)=</v>
      </c>
      <c r="AM40">
        <f>AI40+AK40</f>
        <v>1.9402800000000002</v>
      </c>
      <c r="AO40" s="82" t="str">
        <f>AA40</f>
        <v>M(1)=</v>
      </c>
      <c r="AP40" s="82">
        <f>VLOOKUP(AO40,Rise_Results,2,FALSE)</f>
        <v>1.9767300000000001</v>
      </c>
      <c r="AQ40" s="82" t="e">
        <f>N40</f>
        <v>#VALUE!</v>
      </c>
      <c r="AR40" s="82">
        <f>IF(OR(AB39&lt;=0,AB40&lt;=0),1/0,AB40)</f>
        <v>1.9767300000000001</v>
      </c>
      <c r="AS40" s="82">
        <f>AM40</f>
        <v>1.9402800000000002</v>
      </c>
      <c r="AT40">
        <f>IFERROR(AP40,IFERROR(AQ40,IFERROR(AR40,AS40)))</f>
        <v>1.9767300000000001</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0.4</v>
      </c>
      <c r="E42" s="102">
        <v>1</v>
      </c>
      <c r="F42" s="68">
        <f>D42*E42</f>
        <v>0.4</v>
      </c>
      <c r="G42" s="69">
        <f>C42</f>
        <v>0.5</v>
      </c>
      <c r="H42" s="69">
        <f>F42*G42</f>
        <v>0.2</v>
      </c>
      <c r="I42" s="6" t="s">
        <v>93</v>
      </c>
      <c r="J42" s="70">
        <f>IF(OR(D42=0,D43=0,D44=0),"#NA",IF(AND(C44-C43=C43-C42,C43&lt;&gt;C44,C42&lt;&gt;C43,C42&lt;&gt;C44,D44&lt;&gt;0,OR(D42&lt;&gt;0,D43&lt;&gt;0)),WLS*(C44-C43),"#NA"))</f>
        <v>0.9</v>
      </c>
      <c r="O42" s="99">
        <f>O41+1</f>
        <v>3</v>
      </c>
      <c r="P42" s="99">
        <f t="shared" si="10"/>
        <v>1</v>
      </c>
      <c r="Q42" s="68">
        <f>IF(OR(P44-P43=P43-P42,P45-P43=P43-P42),P42,IF(OR(P44-P43=P43-P41,P45-P43=P43-P41),P41,"-"))</f>
        <v>1</v>
      </c>
      <c r="R42" s="69">
        <f>VLOOKUP(Q42,STN_TABLE,2,FALSE)</f>
        <v>1.04</v>
      </c>
      <c r="S42" s="69">
        <v>5</v>
      </c>
      <c r="T42" s="68">
        <f>R42*S42</f>
        <v>5.2</v>
      </c>
      <c r="U42" s="79">
        <v>3</v>
      </c>
      <c r="V42" s="68">
        <f>R42*U42</f>
        <v>3.12</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1.04</v>
      </c>
      <c r="E43" s="81">
        <v>4</v>
      </c>
      <c r="F43" s="76">
        <f>D43*E43</f>
        <v>4.16</v>
      </c>
      <c r="G43" s="77">
        <f>C43</f>
        <v>1</v>
      </c>
      <c r="H43" s="77">
        <f>F43*G43</f>
        <v>4.16</v>
      </c>
      <c r="I43" s="513" t="s">
        <v>97</v>
      </c>
      <c r="J43" s="513"/>
      <c r="K43" s="78" t="s">
        <v>98</v>
      </c>
      <c r="L43" s="78"/>
      <c r="M43" s="7" t="s">
        <v>99</v>
      </c>
      <c r="N43" s="7"/>
      <c r="O43" s="99">
        <f>O42+1</f>
        <v>4</v>
      </c>
      <c r="P43" s="99">
        <f t="shared" si="10"/>
        <v>1.5</v>
      </c>
      <c r="Q43" s="76">
        <f>P43</f>
        <v>1.5</v>
      </c>
      <c r="R43" s="77">
        <f>VLOOKUP(Q43,STN_TABLE,2,FALSE)</f>
        <v>1.5</v>
      </c>
      <c r="S43" s="77">
        <v>8</v>
      </c>
      <c r="T43" s="76">
        <f>R43*S43</f>
        <v>12</v>
      </c>
      <c r="U43" s="80">
        <v>10</v>
      </c>
      <c r="V43" s="76">
        <f>R43*U43</f>
        <v>15</v>
      </c>
      <c r="W43" s="513" t="s">
        <v>97</v>
      </c>
      <c r="X43" s="513"/>
      <c r="Y43" s="513" t="s">
        <v>98</v>
      </c>
      <c r="Z43" s="513"/>
      <c r="AA43" s="511" t="s">
        <v>99</v>
      </c>
      <c r="AB43" s="511"/>
      <c r="AC43" s="99">
        <f>AC38+1</f>
        <v>3</v>
      </c>
      <c r="AD43" s="95">
        <f>VLOOKUP(AC43,STN_TABLE_2,2,FALSE)</f>
        <v>1</v>
      </c>
      <c r="AE43" s="68">
        <f>VLOOKUP(AD43,STN_TABLE,2,FALSE)</f>
        <v>1.04</v>
      </c>
      <c r="AF43" s="68">
        <v>1</v>
      </c>
      <c r="AG43" s="69">
        <f>AE43*AF43</f>
        <v>1.04</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1.5</v>
      </c>
      <c r="E44" s="92">
        <v>1</v>
      </c>
      <c r="F44" s="82">
        <f>D44*E44</f>
        <v>1.5</v>
      </c>
      <c r="G44" s="83">
        <f>C44</f>
        <v>1.5</v>
      </c>
      <c r="H44" s="83">
        <f>F44*G44</f>
        <v>2.25</v>
      </c>
      <c r="I44" s="84" t="str">
        <f>CONCATENATE("a'(",C44,")=")</f>
        <v>a'(1.5)=</v>
      </c>
      <c r="J44" s="84">
        <f>2*J42/3*F45</f>
        <v>3.6360000000000001</v>
      </c>
      <c r="K44" s="84" t="str">
        <f>CONCATENATE("A(",C42,")=")</f>
        <v>A(0.5)=</v>
      </c>
      <c r="L44" s="84">
        <f>VLOOKUP(C42,STN_TABLE,3,FALSE)</f>
        <v>0.13200000000000001</v>
      </c>
      <c r="M44" t="str">
        <f>CONCATENATE("A(",C44,")=")</f>
        <v>A(1.5)=</v>
      </c>
      <c r="N44">
        <f>J44+L44</f>
        <v>3.7680000000000002</v>
      </c>
      <c r="O44" s="99">
        <f>O43+1</f>
        <v>5</v>
      </c>
      <c r="P44" s="99">
        <f t="shared" si="10"/>
        <v>2</v>
      </c>
      <c r="Q44" s="82">
        <f>IF(P44-P43=P43-P42,P44,IF(P45-P43=P43-P42,P45,IF(P44-P43=P43-P41,P44,IF(P45-P43=P43-P41,P45,"-"))))</f>
        <v>2</v>
      </c>
      <c r="R44" s="83">
        <f>VLOOKUP(Q44,STN_TABLE,2,FALSE)</f>
        <v>1.7</v>
      </c>
      <c r="S44" s="83">
        <v>-1</v>
      </c>
      <c r="T44" s="82">
        <f>R44*S44</f>
        <v>-1.7</v>
      </c>
      <c r="U44" s="88">
        <v>-1</v>
      </c>
      <c r="V44" s="82">
        <f>R44*U44</f>
        <v>-1.7</v>
      </c>
      <c r="W44" s="84" t="str">
        <f>CONCATENATE("a'(",Q43,")=")</f>
        <v>a'(1.5)=</v>
      </c>
      <c r="X44" s="84">
        <f>2*X42/12*T45</f>
        <v>2.3249999999999997</v>
      </c>
      <c r="Y44" s="84" t="str">
        <f>CONCATENATE("A(",Q42,")=")</f>
        <v>A(1)=</v>
      </c>
      <c r="Z44" s="84">
        <f>VLOOKUP(Q42,STN_TABLE,3,FALSE)</f>
        <v>1.4550000000000001</v>
      </c>
      <c r="AA44" t="str">
        <f>CONCATENATE("A(",Q43,")=")</f>
        <v>A(1.5)=</v>
      </c>
      <c r="AB44">
        <f>X44+Z44</f>
        <v>3.78</v>
      </c>
      <c r="AC44" s="99">
        <f>AC43+1</f>
        <v>4</v>
      </c>
      <c r="AD44" s="100">
        <f>VLOOKUP(AC44,STN_TABLE_2,2,FALSE)</f>
        <v>1.5</v>
      </c>
      <c r="AE44" s="82">
        <f>VLOOKUP(AD44,STN_TABLE,2,FALSE)</f>
        <v>1.5</v>
      </c>
      <c r="AF44" s="82">
        <v>2</v>
      </c>
      <c r="AG44" s="83">
        <f>AE44*AF44</f>
        <v>3</v>
      </c>
      <c r="AH44" s="84" t="str">
        <f>CONCATENATE("a'(",AD44,")=")</f>
        <v>a'(1.5)=</v>
      </c>
      <c r="AI44" s="84">
        <f>2*AI42/2*AE45</f>
        <v>2.286</v>
      </c>
      <c r="AJ44" s="84" t="str">
        <f>CONCATENATE("A(",AD43,")=")</f>
        <v>A(1)=</v>
      </c>
      <c r="AK44" s="84">
        <f>VLOOKUP(AD43,STN_TABLE,3,FALSE)</f>
        <v>1.4550000000000001</v>
      </c>
      <c r="AL44" t="str">
        <f>CONCATENATE("A(",AD44,")=")</f>
        <v>A(1.5)=</v>
      </c>
      <c r="AM44">
        <f>AI44+AK44</f>
        <v>3.7410000000000001</v>
      </c>
      <c r="AO44" s="68" t="str">
        <f>AA44</f>
        <v>A(1.5)=</v>
      </c>
      <c r="AP44" s="68">
        <f>VLOOKUP(AO44,Rise_Results,2,FALSE)</f>
        <v>3.7680000000000002</v>
      </c>
      <c r="AQ44" s="76">
        <f>N44</f>
        <v>3.7680000000000002</v>
      </c>
      <c r="AR44" s="76">
        <f>IF(OR(AB44&lt;=0,AB45&lt;=0),1/0,AB44)</f>
        <v>3.78</v>
      </c>
      <c r="AS44" s="76">
        <f>AM44</f>
        <v>3.7410000000000001</v>
      </c>
      <c r="AT44">
        <f>IFERROR(AP44,IFERROR(AQ44,IFERROR(AR44,AS44)))</f>
        <v>3.7680000000000002</v>
      </c>
      <c r="AU44" s="81"/>
    </row>
    <row r="45" spans="1:47" x14ac:dyDescent="0.25">
      <c r="A45" s="94">
        <f>A44+1</f>
        <v>4</v>
      </c>
      <c r="B45" s="94">
        <f t="shared" si="11"/>
        <v>1.5</v>
      </c>
      <c r="F45" s="82">
        <f>SUM(F42:F44)</f>
        <v>6.0600000000000005</v>
      </c>
      <c r="H45" s="82">
        <f>SUM(H42:H44)</f>
        <v>6.61</v>
      </c>
      <c r="I45" s="84" t="str">
        <f>CONCATENATE("m'(",C44,")=")</f>
        <v>m'(1.5)=</v>
      </c>
      <c r="J45" s="84">
        <f>2*(J42*(WLS))/3*H45</f>
        <v>7.1388000000000007</v>
      </c>
      <c r="K45" s="84" t="str">
        <f>CONCATENATE("M(",C42,")=")</f>
        <v>M(0.5)=</v>
      </c>
      <c r="L45" s="84">
        <f>VLOOKUP(C42,STN_TABLE,4,FALSE)</f>
        <v>0.10428000000000001</v>
      </c>
      <c r="M45" t="str">
        <f>CONCATENATE("M(",C44,")=")</f>
        <v>M(1.5)=</v>
      </c>
      <c r="N45">
        <f>J45+L45</f>
        <v>7.2430800000000009</v>
      </c>
      <c r="O45" s="99">
        <f>O44+1</f>
        <v>6</v>
      </c>
      <c r="P45" s="99">
        <f t="shared" si="10"/>
        <v>3</v>
      </c>
      <c r="T45" s="89">
        <f>SUM(T42:T44)</f>
        <v>15.5</v>
      </c>
      <c r="V45" s="82">
        <f>SUM(V42:V44)</f>
        <v>16.420000000000002</v>
      </c>
      <c r="W45" s="84" t="str">
        <f>CONCATENATE("m'(",Q43,")=")</f>
        <v>m'(1.5)=</v>
      </c>
      <c r="X45" s="84">
        <f>(2*(X42^2)/24*V45)+(X44*Q42*WLS)</f>
        <v>5.2933500000000002</v>
      </c>
      <c r="Y45" s="84" t="str">
        <f>CONCATENATE("M(",Q42,")=")</f>
        <v>M(1)=</v>
      </c>
      <c r="Z45" s="84">
        <f>VLOOKUP(Q42,STN_TABLE,4,FALSE)</f>
        <v>1.9767300000000001</v>
      </c>
      <c r="AA45" t="str">
        <f>CONCATENATE("M(",Q43,")=")</f>
        <v>M(1.5)=</v>
      </c>
      <c r="AB45">
        <f>X45+Z45</f>
        <v>7.2700800000000001</v>
      </c>
      <c r="AE45" s="89">
        <f>SUM(AE43:AE44)</f>
        <v>2.54</v>
      </c>
      <c r="AG45" s="89">
        <f>SUM(AG43:AG44)</f>
        <v>4.04</v>
      </c>
      <c r="AH45" s="84" t="str">
        <f>CONCATENATE("m'(",AD44,")=")</f>
        <v>m'(1.5)=</v>
      </c>
      <c r="AI45" s="84">
        <f>(2*(AI42^2)/6*AG45)+(AI44*AD43*WLS)</f>
        <v>5.2055999999999996</v>
      </c>
      <c r="AJ45" s="84" t="str">
        <f>CONCATENATE("M(",AD43,")=")</f>
        <v>M(1)=</v>
      </c>
      <c r="AK45" s="84">
        <f>VLOOKUP(AD43,STN_TABLE,4,FALSE)</f>
        <v>1.9767300000000001</v>
      </c>
      <c r="AL45" t="str">
        <f>CONCATENATE("M(",AD44,")=")</f>
        <v>M(1.5)=</v>
      </c>
      <c r="AM45">
        <f>AI45+AK45</f>
        <v>7.1823299999999994</v>
      </c>
      <c r="AO45" s="82" t="str">
        <f>AA45</f>
        <v>M(1.5)=</v>
      </c>
      <c r="AP45" s="82">
        <f>VLOOKUP(AO45,Rise_Results,2,FALSE)</f>
        <v>7.2430800000000009</v>
      </c>
      <c r="AQ45" s="82">
        <f>N45</f>
        <v>7.2430800000000009</v>
      </c>
      <c r="AR45" s="82">
        <f>IF(OR(AB44&lt;=0,AB45&lt;=0),1/0,AB45)</f>
        <v>7.2700800000000001</v>
      </c>
      <c r="AS45" s="82">
        <f>AM45</f>
        <v>7.1823299999999994</v>
      </c>
      <c r="AT45">
        <f>IFERROR(AP45,IFERROR(AQ45,IFERROR(AR45,AS45)))</f>
        <v>7.2430800000000009</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1.04</v>
      </c>
      <c r="E47" s="102">
        <v>1</v>
      </c>
      <c r="F47" s="68">
        <f>D47*E47</f>
        <v>1.04</v>
      </c>
      <c r="G47" s="69">
        <f>C47</f>
        <v>1</v>
      </c>
      <c r="H47" s="69">
        <f>F47*G47</f>
        <v>1.04</v>
      </c>
      <c r="I47" s="6" t="s">
        <v>93</v>
      </c>
      <c r="J47" s="70">
        <f>IF(OR(D47=0,D48=0,D49=0),"#NA",IF(AND(C49-C48=C48-C47,C48&lt;&gt;C49,C47&lt;&gt;C48,C47&lt;&gt;C49,D49&lt;&gt;0,OR(D47&lt;&gt;0,D48&lt;&gt;0)),WLS*(C49-C48),"#NA"))</f>
        <v>0.9</v>
      </c>
      <c r="O47" s="99">
        <f>O46+1</f>
        <v>4</v>
      </c>
      <c r="P47" s="99">
        <f t="shared" si="10"/>
        <v>1.5</v>
      </c>
      <c r="Q47" s="68">
        <f>IF(OR(P49-P48=P48-P47,P50-P48=P48-P47),P47,IF(OR(P49-P48=P48-P46,P50-P48=P48-P46),P46,"-"))</f>
        <v>1</v>
      </c>
      <c r="R47" s="69">
        <f>VLOOKUP(Q47,STN_TABLE,2,FALSE)</f>
        <v>1.04</v>
      </c>
      <c r="S47" s="69">
        <v>5</v>
      </c>
      <c r="T47" s="68">
        <f>R47*S47</f>
        <v>5.2</v>
      </c>
      <c r="U47" s="79">
        <v>3</v>
      </c>
      <c r="V47" s="68">
        <f>R47*U47</f>
        <v>3.12</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1.5</v>
      </c>
      <c r="E48" s="81">
        <v>4</v>
      </c>
      <c r="F48" s="76">
        <f>D48*E48</f>
        <v>6</v>
      </c>
      <c r="G48" s="77">
        <f>C48</f>
        <v>1.5</v>
      </c>
      <c r="H48" s="77">
        <f>F48*G48</f>
        <v>9</v>
      </c>
      <c r="I48" s="513" t="s">
        <v>97</v>
      </c>
      <c r="J48" s="513"/>
      <c r="K48" s="78" t="s">
        <v>98</v>
      </c>
      <c r="L48" s="78"/>
      <c r="M48" s="7" t="s">
        <v>99</v>
      </c>
      <c r="N48" s="7"/>
      <c r="O48" s="99">
        <f>O47+1</f>
        <v>5</v>
      </c>
      <c r="P48" s="99">
        <f t="shared" si="10"/>
        <v>2</v>
      </c>
      <c r="Q48" s="76">
        <f>P48</f>
        <v>2</v>
      </c>
      <c r="R48" s="77">
        <f>VLOOKUP(Q48,STN_TABLE,2,FALSE)</f>
        <v>1.7</v>
      </c>
      <c r="S48" s="77">
        <v>8</v>
      </c>
      <c r="T48" s="76">
        <f>R48*S48</f>
        <v>13.6</v>
      </c>
      <c r="U48" s="80">
        <v>10</v>
      </c>
      <c r="V48" s="76">
        <f>R48*U48</f>
        <v>17</v>
      </c>
      <c r="W48" s="513" t="s">
        <v>97</v>
      </c>
      <c r="X48" s="513"/>
      <c r="Y48" s="513" t="s">
        <v>98</v>
      </c>
      <c r="Z48" s="513"/>
      <c r="AA48" s="511" t="s">
        <v>99</v>
      </c>
      <c r="AB48" s="511"/>
      <c r="AC48" s="99">
        <f>AC43+1</f>
        <v>4</v>
      </c>
      <c r="AD48" s="95">
        <f>VLOOKUP(AC48,STN_TABLE_2,2,FALSE)</f>
        <v>1.5</v>
      </c>
      <c r="AE48" s="68">
        <f>VLOOKUP(AD48,STN_TABLE,2,FALSE)</f>
        <v>1.5</v>
      </c>
      <c r="AF48" s="68">
        <v>1</v>
      </c>
      <c r="AG48" s="69">
        <f>AE48*AF48</f>
        <v>1.5</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1.7</v>
      </c>
      <c r="E49" s="92">
        <v>1</v>
      </c>
      <c r="F49" s="82">
        <f>D49*E49</f>
        <v>1.7</v>
      </c>
      <c r="G49" s="83">
        <f>C49</f>
        <v>2</v>
      </c>
      <c r="H49" s="83">
        <f>F49*G49</f>
        <v>3.4</v>
      </c>
      <c r="I49" s="84" t="str">
        <f>CONCATENATE("a'(",C49,")=")</f>
        <v>a'(2)=</v>
      </c>
      <c r="J49" s="84">
        <f>2*J47/3*F50</f>
        <v>5.2439999999999998</v>
      </c>
      <c r="K49" s="84" t="str">
        <f>CONCATENATE("A(",C47,")=")</f>
        <v>A(1)=</v>
      </c>
      <c r="L49" s="84">
        <f>VLOOKUP(C47,STN_TABLE,3,FALSE)</f>
        <v>1.4550000000000001</v>
      </c>
      <c r="M49" t="str">
        <f>CONCATENATE("A(",C49,")=")</f>
        <v>A(2)=</v>
      </c>
      <c r="N49">
        <f>J49+L49</f>
        <v>6.6989999999999998</v>
      </c>
      <c r="O49" s="99">
        <f>O48+1</f>
        <v>6</v>
      </c>
      <c r="P49" s="99">
        <f t="shared" si="10"/>
        <v>3</v>
      </c>
      <c r="Q49" s="82">
        <f>IF(P49-P48=P48-P47,P49,IF(P50-P48=P48-P47,P50,IF(P49-P48=P48-P46,P49,IF(P50-P48=P48-P46,P50,"-"))))</f>
        <v>3</v>
      </c>
      <c r="R49" s="83">
        <f>VLOOKUP(Q49,STN_TABLE,2,FALSE)</f>
        <v>2.7</v>
      </c>
      <c r="S49" s="83">
        <v>-1</v>
      </c>
      <c r="T49" s="82">
        <f>R49*S49</f>
        <v>-2.7</v>
      </c>
      <c r="U49" s="88">
        <v>-1</v>
      </c>
      <c r="V49" s="82">
        <f>R49*U49</f>
        <v>-2.7</v>
      </c>
      <c r="W49" s="84" t="str">
        <f>CONCATENATE("a'(",Q48,")=")</f>
        <v>a'(2)=</v>
      </c>
      <c r="X49" s="84">
        <f>2*X47/12*T50</f>
        <v>4.83</v>
      </c>
      <c r="Y49" s="84" t="str">
        <f>CONCATENATE("A(",Q47,")=")</f>
        <v>A(1)=</v>
      </c>
      <c r="Z49" s="84">
        <f>VLOOKUP(Q47,STN_TABLE,3,FALSE)</f>
        <v>1.4550000000000001</v>
      </c>
      <c r="AA49" t="str">
        <f>CONCATENATE("A(",Q48,")=")</f>
        <v>A(2)=</v>
      </c>
      <c r="AB49">
        <f>X49+Z49</f>
        <v>6.2850000000000001</v>
      </c>
      <c r="AC49" s="99">
        <f>AC48+1</f>
        <v>5</v>
      </c>
      <c r="AD49" s="100">
        <f>VLOOKUP(AC49,STN_TABLE_2,2,FALSE)</f>
        <v>2</v>
      </c>
      <c r="AE49" s="82">
        <f>VLOOKUP(AD49,STN_TABLE,2,FALSE)</f>
        <v>1.7</v>
      </c>
      <c r="AF49" s="82">
        <v>2</v>
      </c>
      <c r="AG49" s="83">
        <f>AE49*AF49</f>
        <v>3.4</v>
      </c>
      <c r="AH49" s="84" t="str">
        <f>CONCATENATE("a'(",AD49,")=")</f>
        <v>a'(2)=</v>
      </c>
      <c r="AI49" s="84">
        <f>2*AI47/2*AE50</f>
        <v>2.8800000000000003</v>
      </c>
      <c r="AJ49" s="84" t="str">
        <f>CONCATENATE("A(",AD48,")=")</f>
        <v>A(1.5)=</v>
      </c>
      <c r="AK49" s="84">
        <f>VLOOKUP(AD48,STN_TABLE,3,FALSE)</f>
        <v>3.7680000000000002</v>
      </c>
      <c r="AL49" t="str">
        <f>CONCATENATE("A(",AD49,")=")</f>
        <v>A(2)=</v>
      </c>
      <c r="AM49">
        <f>AI49+AK49</f>
        <v>6.6480000000000006</v>
      </c>
      <c r="AO49" s="68" t="str">
        <f>AA49</f>
        <v>A(2)=</v>
      </c>
      <c r="AP49" s="68">
        <f>VLOOKUP(AO49,Rise_Results,2,FALSE)</f>
        <v>6.6989999999999998</v>
      </c>
      <c r="AQ49" s="76">
        <f>N49</f>
        <v>6.6989999999999998</v>
      </c>
      <c r="AR49" s="76">
        <f>IF(OR(AB49&lt;=0,AB50&lt;=0),1/0,AB49)</f>
        <v>6.2850000000000001</v>
      </c>
      <c r="AS49" s="76">
        <f>AM49</f>
        <v>6.6480000000000006</v>
      </c>
      <c r="AT49">
        <f>IFERROR(AP49,IFERROR(AQ49,IFERROR(AR49,AS49)))</f>
        <v>6.6989999999999998</v>
      </c>
      <c r="AU49" s="81"/>
    </row>
    <row r="50" spans="1:47" x14ac:dyDescent="0.25">
      <c r="A50" s="84">
        <f>A49+1</f>
        <v>5</v>
      </c>
      <c r="B50" s="84">
        <f t="shared" si="11"/>
        <v>2</v>
      </c>
      <c r="F50" s="82">
        <f>SUM(F47:F49)</f>
        <v>8.74</v>
      </c>
      <c r="H50" s="82">
        <f>SUM(H47:H49)</f>
        <v>13.44</v>
      </c>
      <c r="I50" s="84" t="str">
        <f>CONCATENATE("m'(",C49,")=")</f>
        <v>m'(2)=</v>
      </c>
      <c r="J50" s="84">
        <f>2*(J47*(WLS))/3*H50</f>
        <v>14.5152</v>
      </c>
      <c r="K50" s="84" t="str">
        <f>CONCATENATE("M(",C47,")=")</f>
        <v>M(1)=</v>
      </c>
      <c r="L50" s="84">
        <f>VLOOKUP(C47,STN_TABLE,4,FALSE)</f>
        <v>1.9767300000000001</v>
      </c>
      <c r="M50" t="str">
        <f>CONCATENATE("M(",C49,")=")</f>
        <v>M(2)=</v>
      </c>
      <c r="N50">
        <f>J50+L50</f>
        <v>16.49193</v>
      </c>
      <c r="O50" s="99">
        <f>O49+1</f>
        <v>7</v>
      </c>
      <c r="P50" s="99">
        <f t="shared" si="10"/>
        <v>4</v>
      </c>
      <c r="T50" s="89">
        <f>SUM(T47:T49)</f>
        <v>16.100000000000001</v>
      </c>
      <c r="V50" s="82">
        <f>SUM(V47:V49)</f>
        <v>17.420000000000002</v>
      </c>
      <c r="W50" s="84" t="str">
        <f>CONCATENATE("m'(",Q48,")=")</f>
        <v>m'(2)=</v>
      </c>
      <c r="X50" s="84">
        <f>(2*(X47^2)/24*V50)+(X49*Q47*WLS)</f>
        <v>13.397400000000001</v>
      </c>
      <c r="Y50" s="84" t="str">
        <f>CONCATENATE("M(",Q47,")=")</f>
        <v>M(1)=</v>
      </c>
      <c r="Z50" s="84">
        <f>VLOOKUP(Q47,STN_TABLE,4,FALSE)</f>
        <v>1.9767300000000001</v>
      </c>
      <c r="AA50" t="str">
        <f>CONCATENATE("M(",Q48,")=")</f>
        <v>M(2)=</v>
      </c>
      <c r="AB50">
        <f>X50+Z50</f>
        <v>15.374130000000001</v>
      </c>
      <c r="AE50" s="89">
        <f>SUM(AE48:AE49)</f>
        <v>3.2</v>
      </c>
      <c r="AG50" s="89">
        <f>SUM(AG48:AG49)</f>
        <v>4.9000000000000004</v>
      </c>
      <c r="AH50" s="84" t="str">
        <f>CONCATENATE("m'(",AD49,")=")</f>
        <v>m'(2)=</v>
      </c>
      <c r="AI50" s="84">
        <f>(2*(AI47^2)/6*AG50)+(AI49*AD48*WLS)</f>
        <v>9.0990000000000002</v>
      </c>
      <c r="AJ50" s="84" t="str">
        <f>CONCATENATE("M(",AD48,")=")</f>
        <v>M(1.5)=</v>
      </c>
      <c r="AK50" s="84">
        <f>VLOOKUP(AD48,STN_TABLE,4,FALSE)</f>
        <v>7.2430800000000009</v>
      </c>
      <c r="AL50" t="str">
        <f>CONCATENATE("M(",AD49,")=")</f>
        <v>M(2)=</v>
      </c>
      <c r="AM50">
        <f>AI50+AK50</f>
        <v>16.342080000000003</v>
      </c>
      <c r="AO50" s="82" t="str">
        <f>AA50</f>
        <v>M(2)=</v>
      </c>
      <c r="AP50" s="82">
        <f>VLOOKUP(AO50,Rise_Results,2,FALSE)</f>
        <v>16.49193</v>
      </c>
      <c r="AQ50" s="82">
        <f>N50</f>
        <v>16.49193</v>
      </c>
      <c r="AR50" s="82">
        <f>IF(OR(AB49&lt;=0,AB50&lt;=0),1/0,AB50)</f>
        <v>15.374130000000001</v>
      </c>
      <c r="AS50" s="82">
        <f>AM50</f>
        <v>16.342080000000003</v>
      </c>
      <c r="AT50">
        <f>IFERROR(AP50,IFERROR(AQ50,IFERROR(AR50,AS50)))</f>
        <v>16.49193</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1.04</v>
      </c>
      <c r="E52" s="102">
        <v>1</v>
      </c>
      <c r="F52" s="68">
        <f>D52*E52</f>
        <v>1.04</v>
      </c>
      <c r="G52" s="69">
        <f>C52</f>
        <v>1</v>
      </c>
      <c r="H52" s="69">
        <f>F52*G52</f>
        <v>1.04</v>
      </c>
      <c r="I52" s="6" t="s">
        <v>93</v>
      </c>
      <c r="J52" s="70">
        <f>IF(OR(D52=0,D53=0,D54=0),"#NA",IF(AND(C54-C53=C53-C52,C53&lt;&gt;C54,C52&lt;&gt;C53,C52&lt;&gt;C54,D54&lt;&gt;0,OR(D52&lt;&gt;0,D53&lt;&gt;0)),WLS*(C54-C53),"#NA"))</f>
        <v>1.8</v>
      </c>
      <c r="O52" s="99">
        <f>O51+1</f>
        <v>5</v>
      </c>
      <c r="P52" s="99">
        <f t="shared" si="10"/>
        <v>2</v>
      </c>
      <c r="Q52" s="68">
        <f>IF(OR(P54-P53=P53-P52,P55-P53=P53-P52),P52,IF(OR(P54-P53=P53-P51,P55-P53=P53-P51),P51,"-"))</f>
        <v>2</v>
      </c>
      <c r="R52" s="69">
        <f>VLOOKUP(Q52,STN_TABLE,2,FALSE)</f>
        <v>1.7</v>
      </c>
      <c r="S52" s="69">
        <v>5</v>
      </c>
      <c r="T52" s="68">
        <f>R52*S52</f>
        <v>8.5</v>
      </c>
      <c r="U52" s="79">
        <v>3</v>
      </c>
      <c r="V52" s="68">
        <f>R52*U52</f>
        <v>5.0999999999999996</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1.7</v>
      </c>
      <c r="E53" s="81">
        <v>4</v>
      </c>
      <c r="F53" s="76">
        <f>D53*E53</f>
        <v>6.8</v>
      </c>
      <c r="G53" s="77">
        <f>C53</f>
        <v>2</v>
      </c>
      <c r="H53" s="77">
        <f>F53*G53</f>
        <v>13.6</v>
      </c>
      <c r="I53" s="512" t="s">
        <v>97</v>
      </c>
      <c r="J53" s="513"/>
      <c r="K53" s="78" t="s">
        <v>98</v>
      </c>
      <c r="L53" s="78"/>
      <c r="M53" s="7" t="s">
        <v>99</v>
      </c>
      <c r="N53" s="7"/>
      <c r="O53" s="99">
        <f>O52+1</f>
        <v>6</v>
      </c>
      <c r="P53" s="99">
        <f t="shared" si="10"/>
        <v>3</v>
      </c>
      <c r="Q53" s="76">
        <f>P53</f>
        <v>3</v>
      </c>
      <c r="R53" s="77">
        <f>VLOOKUP(Q53,STN_TABLE,2,FALSE)</f>
        <v>2.7</v>
      </c>
      <c r="S53" s="77">
        <v>8</v>
      </c>
      <c r="T53" s="76">
        <f>R53*S53</f>
        <v>21.6</v>
      </c>
      <c r="U53" s="80">
        <v>10</v>
      </c>
      <c r="V53" s="76">
        <f>R53*U53</f>
        <v>27</v>
      </c>
      <c r="W53" s="513" t="s">
        <v>97</v>
      </c>
      <c r="X53" s="513"/>
      <c r="Y53" s="513" t="s">
        <v>98</v>
      </c>
      <c r="Z53" s="513"/>
      <c r="AA53" s="511" t="s">
        <v>99</v>
      </c>
      <c r="AB53" s="511"/>
      <c r="AC53" s="99">
        <f>AC48+1</f>
        <v>5</v>
      </c>
      <c r="AD53" s="95">
        <f>VLOOKUP(AC53,STN_TABLE_2,2,FALSE)</f>
        <v>2</v>
      </c>
      <c r="AE53" s="68">
        <f>VLOOKUP(AD53,STN_TABLE,2,FALSE)</f>
        <v>1.7</v>
      </c>
      <c r="AF53" s="68">
        <v>1</v>
      </c>
      <c r="AG53" s="69">
        <f>AE53*AF53</f>
        <v>1.7</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2.7</v>
      </c>
      <c r="E54" s="92">
        <v>1</v>
      </c>
      <c r="F54" s="82">
        <f>D54*E54</f>
        <v>2.7</v>
      </c>
      <c r="G54" s="83">
        <f>C54</f>
        <v>3</v>
      </c>
      <c r="H54" s="83">
        <f>F54*G54</f>
        <v>8.1000000000000014</v>
      </c>
      <c r="I54" s="84" t="str">
        <f>CONCATENATE("a'(",C54,")=")</f>
        <v>a'(3)=</v>
      </c>
      <c r="J54" s="84">
        <f>2*J52/3*F55</f>
        <v>12.647999999999998</v>
      </c>
      <c r="K54" s="84" t="str">
        <f>CONCATENATE("A(",C52,")=")</f>
        <v>A(1)=</v>
      </c>
      <c r="L54" s="84">
        <f>VLOOKUP(C52,STN_TABLE,3,FALSE)</f>
        <v>1.4550000000000001</v>
      </c>
      <c r="M54" t="str">
        <f>CONCATENATE("A(",C54,")=")</f>
        <v>A(3)=</v>
      </c>
      <c r="N54">
        <f>J54+L54</f>
        <v>14.102999999999998</v>
      </c>
      <c r="O54" s="99">
        <f>O53+1</f>
        <v>7</v>
      </c>
      <c r="P54" s="99">
        <f t="shared" si="10"/>
        <v>4</v>
      </c>
      <c r="Q54" s="82">
        <f>IF(P54-P53=P53-P52,P54,IF(P55-P53=P53-P52,P55,IF(P54-P53=P53-P51,P54,IF(P55-P53=P53-P51,P55,"-"))))</f>
        <v>4</v>
      </c>
      <c r="R54" s="83">
        <f>VLOOKUP(Q54,STN_TABLE,2,FALSE)</f>
        <v>5.5</v>
      </c>
      <c r="S54" s="83">
        <v>-1</v>
      </c>
      <c r="T54" s="82">
        <f>R54*S54</f>
        <v>-5.5</v>
      </c>
      <c r="U54" s="88">
        <v>-1</v>
      </c>
      <c r="V54" s="82">
        <f>R54*U54</f>
        <v>-5.5</v>
      </c>
      <c r="W54" s="84" t="str">
        <f>CONCATENATE("a'(",Q53,")=")</f>
        <v>a'(3)=</v>
      </c>
      <c r="X54" s="84">
        <f>2*X52/12*T55</f>
        <v>7.38</v>
      </c>
      <c r="Y54" s="84" t="str">
        <f>CONCATENATE("A(",Q52,")=")</f>
        <v>A(2)=</v>
      </c>
      <c r="Z54" s="84">
        <f>VLOOKUP(Q52,STN_TABLE,3,FALSE)</f>
        <v>6.6989999999999998</v>
      </c>
      <c r="AA54" t="str">
        <f>CONCATENATE("A(",Q53,")=")</f>
        <v>A(3)=</v>
      </c>
      <c r="AB54">
        <f>X54+Z54</f>
        <v>14.079000000000001</v>
      </c>
      <c r="AC54" s="99">
        <f>AC53+1</f>
        <v>6</v>
      </c>
      <c r="AD54" s="100">
        <f>VLOOKUP(AC54,STN_TABLE_2,2,FALSE)</f>
        <v>3</v>
      </c>
      <c r="AE54" s="82">
        <f>VLOOKUP(AD54,STN_TABLE,2,FALSE)</f>
        <v>2.7</v>
      </c>
      <c r="AF54" s="82">
        <v>2</v>
      </c>
      <c r="AG54" s="83">
        <f>AE54*AF54</f>
        <v>5.4</v>
      </c>
      <c r="AH54" s="84" t="str">
        <f>CONCATENATE("a'(",AD54,")=")</f>
        <v>a'(3)=</v>
      </c>
      <c r="AI54" s="84">
        <f>2*AI52/2*AE55</f>
        <v>7.9200000000000008</v>
      </c>
      <c r="AJ54" s="84" t="str">
        <f>CONCATENATE("A(",AD53,")=")</f>
        <v>A(2)=</v>
      </c>
      <c r="AK54" s="84">
        <f>VLOOKUP(AD53,STN_TABLE,3,FALSE)</f>
        <v>6.6989999999999998</v>
      </c>
      <c r="AL54" t="str">
        <f>CONCATENATE("A(",AD54,")=")</f>
        <v>A(3)=</v>
      </c>
      <c r="AM54">
        <f>AI54+AK54</f>
        <v>14.619</v>
      </c>
      <c r="AO54" s="68" t="str">
        <f>AA54</f>
        <v>A(3)=</v>
      </c>
      <c r="AP54" s="68" t="e">
        <f>VLOOKUP(AO54,Rise_Results,2,FALSE)</f>
        <v>#N/A</v>
      </c>
      <c r="AQ54" s="76">
        <f>N54</f>
        <v>14.102999999999998</v>
      </c>
      <c r="AR54" s="76">
        <f>IF(OR(AB54&lt;=0,AB55&lt;=0),1/0,AB54)</f>
        <v>14.079000000000001</v>
      </c>
      <c r="AS54" s="76">
        <f>AM54</f>
        <v>14.619</v>
      </c>
      <c r="AT54">
        <f>IFERROR(AP54,IFERROR(AQ54,IFERROR(AR54,AS54)))</f>
        <v>14.102999999999998</v>
      </c>
      <c r="AU54" s="81"/>
    </row>
    <row r="55" spans="1:47" x14ac:dyDescent="0.25">
      <c r="A55" s="84">
        <f>A54+1</f>
        <v>6</v>
      </c>
      <c r="B55" s="84">
        <f t="shared" si="11"/>
        <v>3</v>
      </c>
      <c r="F55" s="82">
        <f>SUM(F52:F54)</f>
        <v>10.54</v>
      </c>
      <c r="H55" s="82">
        <f>SUM(H52:H54)</f>
        <v>22.740000000000002</v>
      </c>
      <c r="I55" s="84" t="str">
        <f>CONCATENATE("m'(",C54,")=")</f>
        <v>m'(3)=</v>
      </c>
      <c r="J55" s="84">
        <f>2*(J52*(WLS))/3*H55</f>
        <v>49.118400000000008</v>
      </c>
      <c r="K55" s="84" t="str">
        <f>CONCATENATE("M(",C52,")=")</f>
        <v>M(1)=</v>
      </c>
      <c r="L55" s="84">
        <f>VLOOKUP(C52,STN_TABLE,4,FALSE)</f>
        <v>1.9767300000000001</v>
      </c>
      <c r="M55" t="str">
        <f>CONCATENATE("M(",C54,")=")</f>
        <v>M(3)=</v>
      </c>
      <c r="N55">
        <f>J55+L55</f>
        <v>51.095130000000012</v>
      </c>
      <c r="O55" s="99">
        <f>O54+1</f>
        <v>8</v>
      </c>
      <c r="P55" s="99">
        <f t="shared" si="10"/>
        <v>5</v>
      </c>
      <c r="T55" s="89">
        <f>SUM(T52:T54)</f>
        <v>24.6</v>
      </c>
      <c r="V55" s="82">
        <f>SUM(V52:V54)</f>
        <v>26.6</v>
      </c>
      <c r="W55" s="84" t="str">
        <f>CONCATENATE("m'(",Q53,")=")</f>
        <v>m'(3)=</v>
      </c>
      <c r="X55" s="84">
        <f>(2*(X52^2)/24*V55)+(X54*Q52*WLS)</f>
        <v>33.75</v>
      </c>
      <c r="Y55" s="84" t="str">
        <f>CONCATENATE("M(",Q52,")=")</f>
        <v>M(2)=</v>
      </c>
      <c r="Z55" s="84">
        <f>VLOOKUP(Q52,STN_TABLE,4,FALSE)</f>
        <v>16.49193</v>
      </c>
      <c r="AA55" t="str">
        <f>CONCATENATE("M(",Q53,")=")</f>
        <v>M(3)=</v>
      </c>
      <c r="AB55">
        <f>X55+Z55</f>
        <v>50.241929999999996</v>
      </c>
      <c r="AE55" s="89">
        <f>SUM(AE53:AE54)</f>
        <v>4.4000000000000004</v>
      </c>
      <c r="AG55" s="89">
        <f>SUM(AG53:AG54)</f>
        <v>7.1000000000000005</v>
      </c>
      <c r="AH55" s="84" t="str">
        <f>CONCATENATE("m'(",AD54,")=")</f>
        <v>m'(3)=</v>
      </c>
      <c r="AI55" s="84">
        <f>(2*(AI52^2)/6*AG55)+(AI54*AD53*WLS)</f>
        <v>36.180000000000007</v>
      </c>
      <c r="AJ55" s="84" t="str">
        <f>CONCATENATE("M(",AD53,")=")</f>
        <v>M(2)=</v>
      </c>
      <c r="AK55" s="84">
        <f>VLOOKUP(AD53,STN_TABLE,4,FALSE)</f>
        <v>16.49193</v>
      </c>
      <c r="AL55" t="str">
        <f>CONCATENATE("M(",AD54,")=")</f>
        <v>M(3)=</v>
      </c>
      <c r="AM55">
        <f>AI55+AK55</f>
        <v>52.671930000000003</v>
      </c>
      <c r="AO55" s="82" t="str">
        <f>AA55</f>
        <v>M(3)=</v>
      </c>
      <c r="AP55" s="82" t="e">
        <f>VLOOKUP(AO55,Rise_Results,2,FALSE)</f>
        <v>#N/A</v>
      </c>
      <c r="AQ55" s="82">
        <f>N55</f>
        <v>51.095130000000012</v>
      </c>
      <c r="AR55" s="82">
        <f>IF(OR(AB54&lt;=0,AB55&lt;=0),1/0,AB55)</f>
        <v>50.241929999999996</v>
      </c>
      <c r="AS55" s="82">
        <f>AM55</f>
        <v>52.671930000000003</v>
      </c>
      <c r="AT55">
        <f>IFERROR(AP55,IFERROR(AQ55,IFERROR(AR55,AS55)))</f>
        <v>51.095130000000012</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1.7</v>
      </c>
      <c r="E57" s="102">
        <v>1</v>
      </c>
      <c r="F57" s="68">
        <f>D57*E57</f>
        <v>1.7</v>
      </c>
      <c r="G57" s="69">
        <f>C57</f>
        <v>2</v>
      </c>
      <c r="H57" s="69">
        <f>F57*G57</f>
        <v>3.4</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2.7</v>
      </c>
      <c r="S57" s="69">
        <v>5</v>
      </c>
      <c r="T57" s="68">
        <f>R57*S57</f>
        <v>13.5</v>
      </c>
      <c r="U57" s="79">
        <v>3</v>
      </c>
      <c r="V57" s="68">
        <f>R57*U57</f>
        <v>8.1000000000000014</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2.7</v>
      </c>
      <c r="E58" s="81">
        <v>4</v>
      </c>
      <c r="F58" s="76">
        <f>D58*E58</f>
        <v>10.8</v>
      </c>
      <c r="G58" s="77">
        <f>C58</f>
        <v>3</v>
      </c>
      <c r="H58" s="77">
        <f>F58*G58</f>
        <v>32.400000000000006</v>
      </c>
      <c r="I58" s="512" t="s">
        <v>97</v>
      </c>
      <c r="J58" s="513"/>
      <c r="K58" s="78" t="s">
        <v>98</v>
      </c>
      <c r="L58" s="78"/>
      <c r="M58" s="7" t="s">
        <v>99</v>
      </c>
      <c r="N58" s="7"/>
      <c r="O58" s="99">
        <f>O57+1</f>
        <v>7</v>
      </c>
      <c r="P58" s="99">
        <f t="shared" si="10"/>
        <v>4</v>
      </c>
      <c r="Q58" s="76">
        <f>P58</f>
        <v>4</v>
      </c>
      <c r="R58" s="77">
        <f>VLOOKUP(Q58,STN_TABLE,2,FALSE)</f>
        <v>5.5</v>
      </c>
      <c r="S58" s="77">
        <v>8</v>
      </c>
      <c r="T58" s="76">
        <f>R58*S58</f>
        <v>44</v>
      </c>
      <c r="U58" s="80">
        <v>10</v>
      </c>
      <c r="V58" s="76">
        <f>R58*U58</f>
        <v>55</v>
      </c>
      <c r="W58" s="78" t="s">
        <v>97</v>
      </c>
      <c r="X58" s="78"/>
      <c r="Y58" s="78" t="s">
        <v>98</v>
      </c>
      <c r="Z58" s="78"/>
      <c r="AA58" s="7" t="s">
        <v>99</v>
      </c>
      <c r="AB58" s="7"/>
      <c r="AC58" s="99">
        <f>AC53+1</f>
        <v>6</v>
      </c>
      <c r="AD58" s="95">
        <f>VLOOKUP(AC58,STN_TABLE_2,2,FALSE)</f>
        <v>3</v>
      </c>
      <c r="AE58" s="68">
        <f>VLOOKUP(AD58,STN_TABLE,2,FALSE)</f>
        <v>2.7</v>
      </c>
      <c r="AF58" s="68">
        <v>1</v>
      </c>
      <c r="AG58" s="69">
        <f>AE58*AF58</f>
        <v>2.7</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5.5</v>
      </c>
      <c r="E59" s="92">
        <v>1</v>
      </c>
      <c r="F59" s="82">
        <f>D59*E59</f>
        <v>5.5</v>
      </c>
      <c r="G59" s="83">
        <f>C59</f>
        <v>4</v>
      </c>
      <c r="H59" s="83">
        <f>F59*G59</f>
        <v>22</v>
      </c>
      <c r="I59" s="84" t="str">
        <f>CONCATENATE("a'(",C59,")=")</f>
        <v>a'(4)=</v>
      </c>
      <c r="J59" s="84">
        <f>2*J57/3*F60</f>
        <v>21.599999999999998</v>
      </c>
      <c r="K59" s="84" t="str">
        <f>CONCATENATE("A(",C57,")=")</f>
        <v>A(2)=</v>
      </c>
      <c r="L59" s="84">
        <f>VLOOKUP(C57,STN_TABLE,3,FALSE)</f>
        <v>6.6989999999999998</v>
      </c>
      <c r="M59" t="str">
        <f>CONCATENATE("A(",C59,")=")</f>
        <v>A(4)=</v>
      </c>
      <c r="N59">
        <f>J59+L59</f>
        <v>28.298999999999999</v>
      </c>
      <c r="O59" s="99">
        <f>O58+1</f>
        <v>8</v>
      </c>
      <c r="P59" s="99">
        <f t="shared" si="10"/>
        <v>5</v>
      </c>
      <c r="Q59" s="82">
        <f>IF(P59-P58=P58-P57,P59,IF(P60-P58=P58-P57,P60,IF(P59-P58=P58-P56,P59,IF(P60-P58=P58-P56,P60,"-"))))</f>
        <v>5</v>
      </c>
      <c r="R59" s="83">
        <f>VLOOKUP(Q59,STN_TABLE,2,FALSE)</f>
        <v>9.9</v>
      </c>
      <c r="S59" s="83">
        <v>-1</v>
      </c>
      <c r="T59" s="82">
        <f>R59*S59</f>
        <v>-9.9</v>
      </c>
      <c r="U59" s="88">
        <v>-1</v>
      </c>
      <c r="V59" s="82">
        <f>R59*U59</f>
        <v>-9.9</v>
      </c>
      <c r="W59" s="84" t="str">
        <f>CONCATENATE("a'(",Q58,")=")</f>
        <v>a'(4)=</v>
      </c>
      <c r="X59" s="84">
        <f>2*X57/12*T60</f>
        <v>14.28</v>
      </c>
      <c r="Y59" s="84" t="str">
        <f>CONCATENATE("A(",Q57,")=")</f>
        <v>A(3)=</v>
      </c>
      <c r="Z59" s="84">
        <f>VLOOKUP(Q57,STN_TABLE,3,FALSE)</f>
        <v>14.102999999999998</v>
      </c>
      <c r="AA59" t="str">
        <f>CONCATENATE("A(",Q58,")=")</f>
        <v>A(4)=</v>
      </c>
      <c r="AB59">
        <f>X59+Z59</f>
        <v>28.382999999999996</v>
      </c>
      <c r="AC59" s="99">
        <f>AC58+1</f>
        <v>7</v>
      </c>
      <c r="AD59" s="100">
        <f>VLOOKUP(AC59,STN_TABLE_2,2,FALSE)</f>
        <v>4</v>
      </c>
      <c r="AE59" s="82">
        <f>VLOOKUP(AD59,STN_TABLE,2,FALSE)</f>
        <v>5.5</v>
      </c>
      <c r="AF59" s="82">
        <v>2</v>
      </c>
      <c r="AG59" s="83">
        <f>AE59*AF59</f>
        <v>11</v>
      </c>
      <c r="AH59" s="84" t="str">
        <f>CONCATENATE("a'(",AD59,")=")</f>
        <v>a'(4)=</v>
      </c>
      <c r="AI59" s="84">
        <f>2*AI57/2*AE60</f>
        <v>14.76</v>
      </c>
      <c r="AJ59" s="84" t="str">
        <f>CONCATENATE("A(",AD58,")=")</f>
        <v>A(3)=</v>
      </c>
      <c r="AK59" s="84">
        <f>VLOOKUP(AD58,STN_TABLE,3,FALSE)</f>
        <v>14.102999999999998</v>
      </c>
      <c r="AL59" t="str">
        <f>CONCATENATE("A(",AD59,")=")</f>
        <v>A(4)=</v>
      </c>
      <c r="AM59">
        <f>AI59+AK59</f>
        <v>28.863</v>
      </c>
      <c r="AO59" s="68" t="str">
        <f>AA59</f>
        <v>A(4)=</v>
      </c>
      <c r="AP59" s="68" t="e">
        <f>VLOOKUP(AO59,Rise_Results,2,FALSE)</f>
        <v>#N/A</v>
      </c>
      <c r="AQ59" s="76">
        <f>N59</f>
        <v>28.298999999999999</v>
      </c>
      <c r="AR59" s="76">
        <f>IF(OR(AB59&lt;=0,AB60&lt;=0),1/0,AB59)</f>
        <v>28.382999999999996</v>
      </c>
      <c r="AS59" s="76">
        <f>AM59</f>
        <v>28.863</v>
      </c>
      <c r="AT59">
        <f>IFERROR(AP59,IFERROR(AQ59,IFERROR(AR59,AS59)))</f>
        <v>28.298999999999999</v>
      </c>
      <c r="AU59" s="81"/>
    </row>
    <row r="60" spans="1:47" x14ac:dyDescent="0.25">
      <c r="A60" s="84">
        <f>A59+1</f>
        <v>7</v>
      </c>
      <c r="B60" s="84">
        <f t="shared" si="11"/>
        <v>4</v>
      </c>
      <c r="F60" s="82">
        <f>SUM(F57:F59)</f>
        <v>18</v>
      </c>
      <c r="H60" s="82">
        <f>SUM(H57:H59)</f>
        <v>57.800000000000004</v>
      </c>
      <c r="I60" s="84" t="str">
        <f>CONCATENATE("m'(",C59,")=")</f>
        <v>m'(4)=</v>
      </c>
      <c r="J60" s="84">
        <f>2*(J57*(WLS))/3*H60</f>
        <v>124.84800000000001</v>
      </c>
      <c r="K60" s="84" t="str">
        <f>CONCATENATE("M(",C57,")=")</f>
        <v>M(2)=</v>
      </c>
      <c r="L60" s="84">
        <f>VLOOKUP(C57,STN_TABLE,4,FALSE)</f>
        <v>16.49193</v>
      </c>
      <c r="M60" t="str">
        <f>CONCATENATE("M(",C59,")=")</f>
        <v>M(4)=</v>
      </c>
      <c r="N60">
        <f>J60+L60</f>
        <v>141.33993000000001</v>
      </c>
      <c r="O60" s="99">
        <f>O59+1</f>
        <v>9</v>
      </c>
      <c r="P60" s="99">
        <f t="shared" si="10"/>
        <v>5.6111111111111107</v>
      </c>
      <c r="T60" s="89">
        <f>SUM(T57:T59)</f>
        <v>47.6</v>
      </c>
      <c r="V60" s="82">
        <f>SUM(V57:V59)</f>
        <v>53.2</v>
      </c>
      <c r="W60" s="84" t="str">
        <f>CONCATENATE("m'(",Q58,")=")</f>
        <v>m'(4)=</v>
      </c>
      <c r="X60" s="84">
        <f>(2*(X57^2)/24*V60)+(X59*Q57*WLS)</f>
        <v>91.475999999999999</v>
      </c>
      <c r="Y60" s="84" t="str">
        <f>CONCATENATE("M(",Q57,")=")</f>
        <v>M(3)=</v>
      </c>
      <c r="Z60" s="84">
        <f>VLOOKUP(Q57,STN_TABLE,4,FALSE)</f>
        <v>51.095130000000012</v>
      </c>
      <c r="AA60" t="str">
        <f>CONCATENATE("M(",Q58,")=")</f>
        <v>M(4)=</v>
      </c>
      <c r="AB60">
        <f>X60+Z60</f>
        <v>142.57113000000001</v>
      </c>
      <c r="AE60" s="89">
        <f>SUM(AE58:AE59)</f>
        <v>8.1999999999999993</v>
      </c>
      <c r="AG60" s="89">
        <f>SUM(AG58:AG59)</f>
        <v>13.7</v>
      </c>
      <c r="AH60" s="84" t="str">
        <f>CONCATENATE("m'(",AD59,")=")</f>
        <v>m'(4)=</v>
      </c>
      <c r="AI60" s="84">
        <f>(2*(AI57^2)/6*AG60)+(AI59*AD58*WLS)</f>
        <v>94.5</v>
      </c>
      <c r="AJ60" s="84" t="str">
        <f>CONCATENATE("M(",AD58,")=")</f>
        <v>M(3)=</v>
      </c>
      <c r="AK60" s="84">
        <f>VLOOKUP(AD57,STN_TABLE,4,FALSE)</f>
        <v>0</v>
      </c>
      <c r="AL60" t="str">
        <f>CONCATENATE("M(",AD59,")=")</f>
        <v>M(4)=</v>
      </c>
      <c r="AM60">
        <f>AI60+AK60</f>
        <v>94.5</v>
      </c>
      <c r="AO60" s="82" t="str">
        <f>AA60</f>
        <v>M(4)=</v>
      </c>
      <c r="AP60" s="82" t="e">
        <f>VLOOKUP(AO60,Rise_Results,2,FALSE)</f>
        <v>#N/A</v>
      </c>
      <c r="AQ60" s="82">
        <f>N60</f>
        <v>141.33993000000001</v>
      </c>
      <c r="AR60" s="82">
        <f>IF(OR(AB59&lt;=0,AB60&lt;=0),1/0,AB60)</f>
        <v>142.57113000000001</v>
      </c>
      <c r="AS60" s="82">
        <f>AM60</f>
        <v>94.5</v>
      </c>
      <c r="AT60">
        <f>IFERROR(AP60,IFERROR(AQ60,IFERROR(AR60,AS60)))</f>
        <v>141.33993000000001</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2.7</v>
      </c>
      <c r="E62" s="102">
        <v>1</v>
      </c>
      <c r="F62" s="68">
        <f>D62*E62</f>
        <v>2.7</v>
      </c>
      <c r="G62" s="69">
        <f>C62</f>
        <v>3</v>
      </c>
      <c r="H62" s="69">
        <f>F62*G62</f>
        <v>8.1000000000000014</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5.5</v>
      </c>
      <c r="S62" s="69">
        <v>5</v>
      </c>
      <c r="T62" s="68">
        <f>R62*S62</f>
        <v>27.5</v>
      </c>
      <c r="U62" s="79">
        <v>3</v>
      </c>
      <c r="V62" s="68">
        <f>R62*U62</f>
        <v>16.5</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5.5</v>
      </c>
      <c r="E63" s="81">
        <v>4</v>
      </c>
      <c r="F63" s="76">
        <f>D63*E63</f>
        <v>22</v>
      </c>
      <c r="G63" s="77">
        <f>C63</f>
        <v>4</v>
      </c>
      <c r="H63" s="77">
        <f>F63*G63</f>
        <v>88</v>
      </c>
      <c r="I63" s="512" t="s">
        <v>97</v>
      </c>
      <c r="J63" s="513"/>
      <c r="K63" s="78" t="s">
        <v>98</v>
      </c>
      <c r="L63" s="78"/>
      <c r="M63" s="7" t="s">
        <v>99</v>
      </c>
      <c r="N63" s="7"/>
      <c r="O63" s="99">
        <f>O62+1</f>
        <v>8</v>
      </c>
      <c r="P63" s="99">
        <f t="shared" si="10"/>
        <v>5</v>
      </c>
      <c r="Q63" s="76">
        <f>P63</f>
        <v>5</v>
      </c>
      <c r="R63" s="77">
        <f>VLOOKUP(Q63,STN_TABLE,2,FALSE)</f>
        <v>9.9</v>
      </c>
      <c r="S63" s="77">
        <v>8</v>
      </c>
      <c r="T63" s="76">
        <f>R63*S63</f>
        <v>79.2</v>
      </c>
      <c r="U63" s="80">
        <v>10</v>
      </c>
      <c r="V63" s="76">
        <f>R63*U63</f>
        <v>99</v>
      </c>
      <c r="W63" s="513" t="s">
        <v>97</v>
      </c>
      <c r="X63" s="513"/>
      <c r="Y63" s="513" t="s">
        <v>98</v>
      </c>
      <c r="Z63" s="513"/>
      <c r="AA63" s="511" t="s">
        <v>99</v>
      </c>
      <c r="AB63" s="511"/>
      <c r="AC63" s="99">
        <f>AC58+1</f>
        <v>7</v>
      </c>
      <c r="AD63" s="95">
        <f>VLOOKUP(AC63,STN_TABLE_2,2,FALSE)</f>
        <v>4</v>
      </c>
      <c r="AE63" s="68">
        <f>VLOOKUP(AD63,STN_TABLE,2,FALSE)</f>
        <v>5.5</v>
      </c>
      <c r="AF63" s="68">
        <v>1</v>
      </c>
      <c r="AG63" s="69">
        <f>AE63*AF63</f>
        <v>5.5</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9.9</v>
      </c>
      <c r="E64" s="92">
        <v>1</v>
      </c>
      <c r="F64" s="82">
        <f>D64*E64</f>
        <v>9.9</v>
      </c>
      <c r="G64" s="83">
        <f>C64</f>
        <v>5</v>
      </c>
      <c r="H64" s="83">
        <f>F64*G64</f>
        <v>49.5</v>
      </c>
      <c r="I64" s="84" t="str">
        <f>CONCATENATE("a'(",C64,")=")</f>
        <v>a'(5)=</v>
      </c>
      <c r="J64" s="84">
        <f>2*J62/3*F65</f>
        <v>41.52</v>
      </c>
      <c r="K64" s="84" t="str">
        <f>CONCATENATE("A(",C62,")=")</f>
        <v>A(3)=</v>
      </c>
      <c r="L64" s="84">
        <f>VLOOKUP(C62,STN_TABLE,3,FALSE)</f>
        <v>14.102999999999998</v>
      </c>
      <c r="M64" t="str">
        <f>CONCATENATE("A(",C64,")=")</f>
        <v>A(5)=</v>
      </c>
      <c r="N64">
        <f>J64+L64</f>
        <v>55.623000000000005</v>
      </c>
      <c r="O64" s="99">
        <f>O63+1</f>
        <v>9</v>
      </c>
      <c r="P64" s="99">
        <f t="shared" si="10"/>
        <v>5.6111111111111107</v>
      </c>
      <c r="Q64" s="82">
        <f>IF(P64-P63=P63-P62,P64,IF(P65-P63=P63-P62,P65,IF(P64-P63=P63-P61,P64,IF(P65-P63=P63-P61,P65,"-"))))</f>
        <v>6</v>
      </c>
      <c r="R64" s="83">
        <f>VLOOKUP(Q64,STN_TABLE,2,FALSE)</f>
        <v>11.34</v>
      </c>
      <c r="S64" s="83">
        <v>-1</v>
      </c>
      <c r="T64" s="82">
        <f>R64*S64</f>
        <v>-11.34</v>
      </c>
      <c r="U64" s="88">
        <v>-1</v>
      </c>
      <c r="V64" s="82">
        <f>R64*U64</f>
        <v>-11.34</v>
      </c>
      <c r="W64" s="84" t="str">
        <f>CONCATENATE("a'(",Q63,")=")</f>
        <v>a'(5)=</v>
      </c>
      <c r="X64" s="84">
        <f>2*X62/12*T65</f>
        <v>28.608000000000001</v>
      </c>
      <c r="Y64" s="84" t="str">
        <f>CONCATENATE("A(",Q62,")=")</f>
        <v>A(4)=</v>
      </c>
      <c r="Z64" s="84">
        <f>VLOOKUP(Q62,STN_TABLE,3,FALSE)</f>
        <v>28.298999999999999</v>
      </c>
      <c r="AA64" t="str">
        <f>CONCATENATE("A(",Q63,")=")</f>
        <v>A(5)=</v>
      </c>
      <c r="AB64">
        <f>X64+Z64</f>
        <v>56.906999999999996</v>
      </c>
      <c r="AC64" s="99">
        <f>AC63+1</f>
        <v>8</v>
      </c>
      <c r="AD64" s="100">
        <f>VLOOKUP(AC64,STN_TABLE_2,2,FALSE)</f>
        <v>5</v>
      </c>
      <c r="AE64" s="82">
        <f>VLOOKUP(AD64,STN_TABLE,2,FALSE)</f>
        <v>9.9</v>
      </c>
      <c r="AF64" s="82">
        <v>2</v>
      </c>
      <c r="AG64" s="83">
        <f>AE64*AF64</f>
        <v>19.8</v>
      </c>
      <c r="AH64" s="84" t="str">
        <f>CONCATENATE("a'(",AD64,")=")</f>
        <v>a'(5)=</v>
      </c>
      <c r="AI64" s="84">
        <f>2*AI62/2*AE65</f>
        <v>27.720000000000002</v>
      </c>
      <c r="AJ64" s="84" t="str">
        <f>CONCATENATE("A(",AD63,")=")</f>
        <v>A(4)=</v>
      </c>
      <c r="AK64" s="84">
        <f>VLOOKUP(AD63,STN_TABLE,3,FALSE)</f>
        <v>28.298999999999999</v>
      </c>
      <c r="AL64" t="str">
        <f>CONCATENATE("A(",AD64,")=")</f>
        <v>A(5)=</v>
      </c>
      <c r="AM64">
        <f>AI64+AK64</f>
        <v>56.019000000000005</v>
      </c>
      <c r="AO64" s="68" t="str">
        <f>AA64</f>
        <v>A(5)=</v>
      </c>
      <c r="AP64" s="68" t="e">
        <f>VLOOKUP(AO64,Rise_Results,2,FALSE)</f>
        <v>#N/A</v>
      </c>
      <c r="AQ64" s="76">
        <f>N64</f>
        <v>55.623000000000005</v>
      </c>
      <c r="AR64" s="76">
        <f>IF(OR(AB64&lt;=0,AB65&lt;=0),1/0,AB64)</f>
        <v>56.906999999999996</v>
      </c>
      <c r="AS64" s="76">
        <f>AM64</f>
        <v>56.019000000000005</v>
      </c>
      <c r="AT64">
        <f>IFERROR(AP64,IFERROR(AQ64,IFERROR(AR64,AS64)))</f>
        <v>55.623000000000005</v>
      </c>
      <c r="AU64" s="81"/>
    </row>
    <row r="65" spans="1:47" x14ac:dyDescent="0.25">
      <c r="A65" s="84">
        <f>A64+1</f>
        <v>8</v>
      </c>
      <c r="B65" s="84">
        <f t="shared" si="11"/>
        <v>5</v>
      </c>
      <c r="F65" s="82">
        <f>SUM(F62:F64)</f>
        <v>34.6</v>
      </c>
      <c r="H65" s="82">
        <f>SUM(H62:H64)</f>
        <v>145.6</v>
      </c>
      <c r="I65" s="84" t="str">
        <f>CONCATENATE("m'(",C64,")=")</f>
        <v>m'(5)=</v>
      </c>
      <c r="J65" s="84">
        <f>2*(J62*(WLS))/3*H65</f>
        <v>314.49599999999998</v>
      </c>
      <c r="K65" s="84" t="str">
        <f>CONCATENATE("M(",C62,")=")</f>
        <v>M(3)=</v>
      </c>
      <c r="L65" s="84">
        <f>VLOOKUP(C62,STN_TABLE,4,FALSE)</f>
        <v>51.095130000000012</v>
      </c>
      <c r="M65" t="str">
        <f>CONCATENATE("M(",C64,")=")</f>
        <v>M(5)=</v>
      </c>
      <c r="N65">
        <f>J65+L65</f>
        <v>365.59113000000002</v>
      </c>
      <c r="O65" s="99">
        <f>O64+1</f>
        <v>10</v>
      </c>
      <c r="P65" s="99">
        <f t="shared" si="10"/>
        <v>6</v>
      </c>
      <c r="T65" s="89">
        <f>SUM(T62:T64)</f>
        <v>95.36</v>
      </c>
      <c r="V65" s="82">
        <f>SUM(V62:V64)</f>
        <v>104.16</v>
      </c>
      <c r="W65" s="84" t="str">
        <f>CONCATENATE("m'(",Q63,")=")</f>
        <v>m'(5)=</v>
      </c>
      <c r="X65" s="84">
        <f>(2*(X62^2)/24*V65)+(X64*Q62*WLS)</f>
        <v>234.10079999999999</v>
      </c>
      <c r="Y65" s="84" t="str">
        <f>CONCATENATE("M(",Q62,")=")</f>
        <v>M(4)=</v>
      </c>
      <c r="Z65" s="84">
        <f>VLOOKUP(Q62,STN_TABLE,4,FALSE)</f>
        <v>141.33993000000001</v>
      </c>
      <c r="AA65" t="str">
        <f>CONCATENATE("M(",Q63,")=")</f>
        <v>M(5)=</v>
      </c>
      <c r="AB65">
        <f>X65+Z65</f>
        <v>375.44073000000003</v>
      </c>
      <c r="AE65" s="89">
        <f>SUM(AE63:AE64)</f>
        <v>15.4</v>
      </c>
      <c r="AG65" s="89">
        <f>SUM(AG63:AG64)</f>
        <v>25.3</v>
      </c>
      <c r="AH65" s="84" t="str">
        <f>CONCATENATE("m'(",AD64,")=")</f>
        <v>m'(5)=</v>
      </c>
      <c r="AI65" s="84">
        <f>(2*(AI62^2)/6*AG65)+(AI64*AD63*WLS)</f>
        <v>226.90800000000004</v>
      </c>
      <c r="AJ65" s="84" t="str">
        <f>CONCATENATE("M(",AD63,")=")</f>
        <v>M(4)=</v>
      </c>
      <c r="AK65" s="84">
        <f>VLOOKUP(AD63,STN_TABLE,4,FALSE)</f>
        <v>141.33993000000001</v>
      </c>
      <c r="AL65" t="str">
        <f>CONCATENATE("M(",AD64,")=")</f>
        <v>M(5)=</v>
      </c>
      <c r="AM65">
        <f>AI65+AK65</f>
        <v>368.24793000000005</v>
      </c>
      <c r="AO65" s="82" t="str">
        <f>AA65</f>
        <v>M(5)=</v>
      </c>
      <c r="AP65" s="82" t="e">
        <f>VLOOKUP(AO65,Rise_Results,2,FALSE)</f>
        <v>#N/A</v>
      </c>
      <c r="AQ65" s="82">
        <f>N65</f>
        <v>365.59113000000002</v>
      </c>
      <c r="AR65" s="82">
        <f>IF(OR(AB64&lt;=0,AB65&lt;=0),1/0,AB65)</f>
        <v>375.44073000000003</v>
      </c>
      <c r="AS65" s="82">
        <f>AM65</f>
        <v>368.24793000000005</v>
      </c>
      <c r="AT65">
        <f>IFERROR(AP65,IFERROR(AQ65,IFERROR(AR65,AS65)))</f>
        <v>365.59113000000002</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10.9</v>
      </c>
      <c r="S68" s="77">
        <v>8</v>
      </c>
      <c r="T68" s="76">
        <f>R68*S68</f>
        <v>87.2</v>
      </c>
      <c r="U68" s="80">
        <v>10</v>
      </c>
      <c r="V68" s="76">
        <f>R68*U68</f>
        <v>109</v>
      </c>
      <c r="W68" s="513" t="s">
        <v>97</v>
      </c>
      <c r="X68" s="513"/>
      <c r="Y68" s="513" t="s">
        <v>98</v>
      </c>
      <c r="Z68" s="513"/>
      <c r="AA68" s="511" t="s">
        <v>99</v>
      </c>
      <c r="AB68" s="511"/>
      <c r="AC68" s="99">
        <f>AC63+1</f>
        <v>8</v>
      </c>
      <c r="AD68" s="95">
        <f>VLOOKUP(AC68,STN_TABLE_2,2,FALSE)</f>
        <v>5</v>
      </c>
      <c r="AE68" s="68">
        <f>VLOOKUP(AD68,STN_TABLE,2,FALSE)</f>
        <v>9.9</v>
      </c>
      <c r="AF68" s="68">
        <v>1</v>
      </c>
      <c r="AG68" s="69">
        <f>AE68*AF68</f>
        <v>9.9</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10.9</v>
      </c>
      <c r="E69" s="92">
        <v>1</v>
      </c>
      <c r="F69" s="82">
        <f>D69*E69</f>
        <v>10.9</v>
      </c>
      <c r="G69" s="83">
        <f>C69</f>
        <v>5.6111111111111107</v>
      </c>
      <c r="H69" s="83">
        <f>F69*G69</f>
        <v>61.161111111111111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10.9</v>
      </c>
      <c r="AF69" s="82">
        <v>2</v>
      </c>
      <c r="AG69" s="83">
        <f>AE69*AF69</f>
        <v>21.8</v>
      </c>
      <c r="AH69" s="84" t="str">
        <f>CONCATENATE("a'(",AD69,")=")</f>
        <v>a'(5.61111111111111)=</v>
      </c>
      <c r="AI69" s="84">
        <f>2*AI67/2*AE70</f>
        <v>22.879999999999988</v>
      </c>
      <c r="AJ69" s="84" t="str">
        <f>CONCATENATE("A(",AD68,")=")</f>
        <v>A(5)=</v>
      </c>
      <c r="AK69" s="84">
        <f>VLOOKUP(AD68,STN_TABLE,3,FALSE)</f>
        <v>55.623000000000005</v>
      </c>
      <c r="AL69" t="str">
        <f>CONCATENATE("A(",AD69,")=")</f>
        <v>A(5.61111111111111)=</v>
      </c>
      <c r="AM69">
        <f>AI69+AK69</f>
        <v>78.502999999999986</v>
      </c>
      <c r="AO69" s="68" t="str">
        <f>AA69</f>
        <v>A(5.61111111111111)=</v>
      </c>
      <c r="AP69" s="68" t="e">
        <f>VLOOKUP(AO69,Rise_Results,2,FALSE)</f>
        <v>#N/A</v>
      </c>
      <c r="AQ69" s="76" t="e">
        <f>N69</f>
        <v>#N/A</v>
      </c>
      <c r="AR69" s="76" t="e">
        <f>IF(OR(AB69&lt;=0,AB70&lt;=0),1/0,AB69)</f>
        <v>#VALUE!</v>
      </c>
      <c r="AS69" s="76">
        <f>AM69</f>
        <v>78.502999999999986</v>
      </c>
      <c r="AT69">
        <f>IFERROR(AP69,IFERROR(AQ69,IFERROR(AR69,AS69)))</f>
        <v>78.502999999999986</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20.8</v>
      </c>
      <c r="AG70" s="89">
        <f>SUM(AG68:AG69)</f>
        <v>31.700000000000003</v>
      </c>
      <c r="AH70" s="84" t="str">
        <f>CONCATENATE("m'(",AD69,")=")</f>
        <v>m'(5.61111111111111)=</v>
      </c>
      <c r="AI70" s="84">
        <f>(2*(AI67^2)/6*AG70)+(AI69*AD68*WLS)</f>
        <v>218.70566666666656</v>
      </c>
      <c r="AJ70" s="84" t="str">
        <f>CONCATENATE("M(",AD68,")=")</f>
        <v>M(5)=</v>
      </c>
      <c r="AK70" s="84">
        <f>VLOOKUP(AD68,STN_TABLE,4,FALSE)</f>
        <v>365.59113000000002</v>
      </c>
      <c r="AL70" t="str">
        <f>CONCATENATE("M(",AD69,")=")</f>
        <v>M(5.61111111111111)=</v>
      </c>
      <c r="AM70">
        <f>AI70+AK70</f>
        <v>584.29679666666652</v>
      </c>
      <c r="AO70" s="82" t="str">
        <f>AA70</f>
        <v>M(5.61111111111111)=</v>
      </c>
      <c r="AP70" s="82" t="e">
        <f>VLOOKUP(AO70,Rise_Results,2,FALSE)</f>
        <v>#N/A</v>
      </c>
      <c r="AQ70" s="82" t="e">
        <f>N70</f>
        <v>#N/A</v>
      </c>
      <c r="AR70" s="82" t="e">
        <f>IF(OR(AB69&lt;=0,AB70&lt;=0),1/0,AB70)</f>
        <v>#VALUE!</v>
      </c>
      <c r="AS70" s="82">
        <f>AM70</f>
        <v>584.29679666666652</v>
      </c>
      <c r="AT70">
        <f>IFERROR(AP70,IFERROR(AQ70,IFERROR(AR70,AS70)))</f>
        <v>584.29679666666652</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5.5</v>
      </c>
      <c r="E72" s="102">
        <v>1</v>
      </c>
      <c r="F72" s="68">
        <f>D72*E72</f>
        <v>5.5</v>
      </c>
      <c r="G72" s="69">
        <f>C72</f>
        <v>4</v>
      </c>
      <c r="H72" s="69">
        <f>F72*G72</f>
        <v>22</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9.9</v>
      </c>
      <c r="S72" s="69">
        <v>5</v>
      </c>
      <c r="T72" s="68">
        <f>R72*S72</f>
        <v>49.5</v>
      </c>
      <c r="U72" s="79">
        <v>3</v>
      </c>
      <c r="V72" s="68">
        <f>R72*U72</f>
        <v>29.700000000000003</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9.9</v>
      </c>
      <c r="E73" s="81">
        <v>4</v>
      </c>
      <c r="F73" s="76">
        <f>D73*E73</f>
        <v>39.6</v>
      </c>
      <c r="G73" s="77">
        <f>C73</f>
        <v>5</v>
      </c>
      <c r="H73" s="77">
        <f>F73*G73</f>
        <v>198</v>
      </c>
      <c r="I73" s="512" t="s">
        <v>97</v>
      </c>
      <c r="J73" s="513"/>
      <c r="K73" s="78" t="s">
        <v>98</v>
      </c>
      <c r="L73" s="78"/>
      <c r="M73" s="7" t="s">
        <v>99</v>
      </c>
      <c r="N73" s="7"/>
      <c r="O73" s="99">
        <f>O72+1</f>
        <v>10</v>
      </c>
      <c r="P73" s="99">
        <f t="shared" si="23"/>
        <v>6</v>
      </c>
      <c r="Q73" s="76">
        <f>P73</f>
        <v>6</v>
      </c>
      <c r="R73" s="77">
        <f>VLOOKUP(Q73,STN_TABLE,2,FALSE)</f>
        <v>11.34</v>
      </c>
      <c r="S73" s="77">
        <v>8</v>
      </c>
      <c r="T73" s="76">
        <f>R73*S73</f>
        <v>90.72</v>
      </c>
      <c r="U73" s="80">
        <v>10</v>
      </c>
      <c r="V73" s="76">
        <f>R73*U73</f>
        <v>113.4</v>
      </c>
      <c r="W73" s="513" t="s">
        <v>97</v>
      </c>
      <c r="X73" s="513"/>
      <c r="Y73" s="513" t="s">
        <v>98</v>
      </c>
      <c r="Z73" s="513"/>
      <c r="AA73" s="511" t="s">
        <v>99</v>
      </c>
      <c r="AB73" s="511"/>
      <c r="AC73" s="99">
        <f>AC68+1</f>
        <v>9</v>
      </c>
      <c r="AD73" s="95">
        <f>VLOOKUP(AC73,STN_TABLE_2,2,FALSE)</f>
        <v>5.6111111111111107</v>
      </c>
      <c r="AE73" s="68">
        <f>VLOOKUP(AD73,STN_TABLE,2,FALSE)</f>
        <v>10.9</v>
      </c>
      <c r="AF73" s="68">
        <v>1</v>
      </c>
      <c r="AG73" s="69">
        <f>AE73*AF73</f>
        <v>10.9</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11.34</v>
      </c>
      <c r="E74" s="92">
        <v>1</v>
      </c>
      <c r="F74" s="82">
        <f>D74*E74</f>
        <v>11.34</v>
      </c>
      <c r="G74" s="83">
        <f>C74</f>
        <v>6</v>
      </c>
      <c r="H74" s="83">
        <f>F74*G74</f>
        <v>68.039999999999992</v>
      </c>
      <c r="I74" s="84" t="str">
        <f>CONCATENATE("a'(",C74,")=")</f>
        <v>a'(6)=</v>
      </c>
      <c r="J74" s="84">
        <f>2*J72/3*F75</f>
        <v>67.727999999999994</v>
      </c>
      <c r="K74" s="84" t="str">
        <f>CONCATENATE("A(",C72,")=")</f>
        <v>A(4)=</v>
      </c>
      <c r="L74" s="84">
        <f>VLOOKUP(C72,STN_TABLE,3,FALSE)</f>
        <v>28.298999999999999</v>
      </c>
      <c r="M74" t="str">
        <f>CONCATENATE("A(",C74,")=")</f>
        <v>A(6)=</v>
      </c>
      <c r="N74">
        <f>J74+L74</f>
        <v>96.026999999999987</v>
      </c>
      <c r="O74" s="99">
        <f>O73+1</f>
        <v>11</v>
      </c>
      <c r="P74" s="99">
        <f t="shared" si="23"/>
        <v>7</v>
      </c>
      <c r="Q74" s="82">
        <f>IF(P74-P73=P73-P72,P74,IF(P75-P73=P73-P72,P75,IF(P74-P73=P73-P71,P74,IF(P75-P73=P73-P71,P75,"-"))))</f>
        <v>7</v>
      </c>
      <c r="R74" s="83">
        <f>VLOOKUP(Q74,STN_TABLE,2,FALSE)</f>
        <v>12</v>
      </c>
      <c r="S74" s="83">
        <v>-1</v>
      </c>
      <c r="T74" s="82">
        <f>R74*S74</f>
        <v>-12</v>
      </c>
      <c r="U74" s="88">
        <v>-1</v>
      </c>
      <c r="V74" s="82">
        <f>R74*U74</f>
        <v>-12</v>
      </c>
      <c r="W74" s="84" t="str">
        <f>CONCATENATE("a'(",Q73,")=")</f>
        <v>a'(6)=</v>
      </c>
      <c r="X74" s="84">
        <f>2*X72/12*T75</f>
        <v>38.466000000000001</v>
      </c>
      <c r="Y74" s="84" t="str">
        <f>CONCATENATE("A(",Q72,")=")</f>
        <v>A(5)=</v>
      </c>
      <c r="Z74" s="84">
        <f>VLOOKUP(Q72,STN_TABLE,3,FALSE)</f>
        <v>55.623000000000005</v>
      </c>
      <c r="AA74" t="str">
        <f>CONCATENATE("A(",Q73,")=")</f>
        <v>A(6)=</v>
      </c>
      <c r="AB74">
        <f>X74+Z74</f>
        <v>94.088999999999999</v>
      </c>
      <c r="AC74" s="99">
        <f>AC73+1</f>
        <v>10</v>
      </c>
      <c r="AD74" s="100">
        <f>VLOOKUP(AC74,STN_TABLE_2,2,FALSE)</f>
        <v>6</v>
      </c>
      <c r="AE74" s="82">
        <f>VLOOKUP(AD74,STN_TABLE,2,FALSE)</f>
        <v>11.34</v>
      </c>
      <c r="AF74" s="82">
        <v>2</v>
      </c>
      <c r="AG74" s="83">
        <f>AE74*AF74</f>
        <v>22.68</v>
      </c>
      <c r="AH74" s="84" t="str">
        <f>CONCATENATE("a'(",AD74,")=")</f>
        <v>a'(6)=</v>
      </c>
      <c r="AI74" s="84">
        <f>2*AI72/2*AE75</f>
        <v>15.568000000000017</v>
      </c>
      <c r="AJ74" s="84" t="str">
        <f>CONCATENATE("A(",AD73,")=")</f>
        <v>A(5.61111111111111)=</v>
      </c>
      <c r="AK74" s="84">
        <f>VLOOKUP(AD73,STN_TABLE,3,FALSE)</f>
        <v>78.502999999999986</v>
      </c>
      <c r="AL74" t="str">
        <f>CONCATENATE("A(",AD74,")=")</f>
        <v>A(6)=</v>
      </c>
      <c r="AM74">
        <f>AI74+AK74</f>
        <v>94.070999999999998</v>
      </c>
      <c r="AO74" s="68" t="str">
        <f>AA74</f>
        <v>A(6)=</v>
      </c>
      <c r="AP74" s="68" t="e">
        <f>VLOOKUP(AO74,Rise_Results,2,FALSE)</f>
        <v>#N/A</v>
      </c>
      <c r="AQ74" s="76">
        <f>N74</f>
        <v>96.026999999999987</v>
      </c>
      <c r="AR74" s="76">
        <f>IF(OR(AB74&lt;=0,AB75&lt;=0),1/0,AB74)</f>
        <v>94.088999999999999</v>
      </c>
      <c r="AS74" s="76">
        <f>AM74</f>
        <v>94.070999999999998</v>
      </c>
      <c r="AT74">
        <f>IFERROR(AP74,IFERROR(AQ74,IFERROR(AR74,AS74)))</f>
        <v>96.026999999999987</v>
      </c>
      <c r="AU74" s="81"/>
    </row>
    <row r="75" spans="1:47" x14ac:dyDescent="0.25">
      <c r="A75" s="84">
        <f>A74+1</f>
        <v>10</v>
      </c>
      <c r="B75" s="84">
        <f t="shared" si="27"/>
        <v>6</v>
      </c>
      <c r="F75" s="82">
        <f>SUM(F72:F74)</f>
        <v>56.44</v>
      </c>
      <c r="H75" s="82">
        <f>SUM(H72:H74)</f>
        <v>288.03999999999996</v>
      </c>
      <c r="I75" s="84" t="str">
        <f>CONCATENATE("m'(",C74,")=")</f>
        <v>m'(6)=</v>
      </c>
      <c r="J75" s="84">
        <f>2*(J72*(WLS))/3*H75</f>
        <v>622.16639999999995</v>
      </c>
      <c r="K75" s="84" t="str">
        <f>CONCATENATE("M(",C72,")=")</f>
        <v>M(4)=</v>
      </c>
      <c r="L75" s="84">
        <f>VLOOKUP(C72,STN_TABLE,4,FALSE)</f>
        <v>141.33993000000001</v>
      </c>
      <c r="M75" t="str">
        <f>CONCATENATE("M(",C74,")=")</f>
        <v>M(6)=</v>
      </c>
      <c r="N75">
        <f>J75+L75</f>
        <v>763.50632999999993</v>
      </c>
      <c r="O75" s="99">
        <f>O74+1</f>
        <v>12</v>
      </c>
      <c r="P75" s="99">
        <f t="shared" si="23"/>
        <v>7.8833333333333329</v>
      </c>
      <c r="T75" s="89">
        <f>SUM(T72:T74)</f>
        <v>128.22</v>
      </c>
      <c r="V75" s="82">
        <f>SUM(V72:V74)</f>
        <v>131.10000000000002</v>
      </c>
      <c r="W75" s="84" t="str">
        <f>CONCATENATE("m'(",Q73,")=")</f>
        <v>m'(6)=</v>
      </c>
      <c r="X75" s="84">
        <f>(2*(X72^2)/24*V75)+(X74*Q72*WLS)</f>
        <v>381.59100000000001</v>
      </c>
      <c r="Y75" s="84" t="str">
        <f>CONCATENATE("M(",Q72,")=")</f>
        <v>M(5)=</v>
      </c>
      <c r="Z75" s="84">
        <f>VLOOKUP(Q72,STN_TABLE,4,FALSE)</f>
        <v>365.59113000000002</v>
      </c>
      <c r="AA75" t="str">
        <f>CONCATENATE("M(",Q73,")=")</f>
        <v>M(6)=</v>
      </c>
      <c r="AB75">
        <f>X75+Z75</f>
        <v>747.18213000000003</v>
      </c>
      <c r="AE75" s="89">
        <f>SUM(AE73:AE74)</f>
        <v>22.240000000000002</v>
      </c>
      <c r="AG75" s="89">
        <f>SUM(AG73:AG74)</f>
        <v>33.58</v>
      </c>
      <c r="AH75" s="84" t="str">
        <f>CONCATENATE("m'(",AD74,")=")</f>
        <v>m'(6)=</v>
      </c>
      <c r="AI75" s="84">
        <f>(2*(AI72^2)/6*AG75)+(AI74*AD73*WLS)</f>
        <v>162.7215333333335</v>
      </c>
      <c r="AJ75" s="84" t="str">
        <f>CONCATENATE("M(",AD73,")=")</f>
        <v>M(5.61111111111111)=</v>
      </c>
      <c r="AK75" s="84">
        <f>VLOOKUP(AD73,STN_TABLE,4,FALSE)</f>
        <v>584.29679666666652</v>
      </c>
      <c r="AL75" t="str">
        <f>CONCATENATE("M(",AD74,")=")</f>
        <v>M(6)=</v>
      </c>
      <c r="AM75">
        <f>AI75+AK75</f>
        <v>747.01832999999999</v>
      </c>
      <c r="AO75" s="82" t="str">
        <f>AA75</f>
        <v>M(6)=</v>
      </c>
      <c r="AP75" s="82" t="e">
        <f>VLOOKUP(AO75,Rise_Results,2,FALSE)</f>
        <v>#N/A</v>
      </c>
      <c r="AQ75" s="82">
        <f>N75</f>
        <v>763.50632999999993</v>
      </c>
      <c r="AR75" s="82">
        <f>IF(OR(AB74&lt;=0,AB75&lt;=0),1/0,AB75)</f>
        <v>747.18213000000003</v>
      </c>
      <c r="AS75" s="82">
        <f>AM75</f>
        <v>747.01832999999999</v>
      </c>
      <c r="AT75">
        <f>IFERROR(AP75,IFERROR(AQ75,IFERROR(AR75,AS75)))</f>
        <v>763.50632999999993</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9.9</v>
      </c>
      <c r="E77" s="102">
        <v>1</v>
      </c>
      <c r="F77" s="68">
        <f>D77*E77</f>
        <v>9.9</v>
      </c>
      <c r="G77" s="69">
        <f>C77</f>
        <v>5</v>
      </c>
      <c r="H77" s="69">
        <f>F77*G77</f>
        <v>49.5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11.34</v>
      </c>
      <c r="E78" s="81">
        <v>4</v>
      </c>
      <c r="F78" s="76">
        <f>D78*E78</f>
        <v>45.36</v>
      </c>
      <c r="G78" s="77">
        <f>C78</f>
        <v>6</v>
      </c>
      <c r="H78" s="77">
        <f>F78*G78</f>
        <v>272.15999999999997</v>
      </c>
      <c r="I78" s="512" t="s">
        <v>97</v>
      </c>
      <c r="J78" s="513"/>
      <c r="K78" s="78" t="s">
        <v>98</v>
      </c>
      <c r="L78" s="78"/>
      <c r="M78" s="7" t="s">
        <v>99</v>
      </c>
      <c r="N78" s="7"/>
      <c r="O78" s="99">
        <f>O77+1</f>
        <v>11</v>
      </c>
      <c r="P78" s="99">
        <f t="shared" si="23"/>
        <v>7</v>
      </c>
      <c r="Q78" s="76">
        <f>P78</f>
        <v>7</v>
      </c>
      <c r="R78" s="77">
        <f>VLOOKUP(Q78,STN_TABLE,2,FALSE)</f>
        <v>12</v>
      </c>
      <c r="S78" s="77">
        <v>8</v>
      </c>
      <c r="T78" s="76">
        <f>R78*S78</f>
        <v>96</v>
      </c>
      <c r="U78" s="80">
        <v>10</v>
      </c>
      <c r="V78" s="76">
        <f>R78*U78</f>
        <v>120</v>
      </c>
      <c r="W78" s="513" t="s">
        <v>97</v>
      </c>
      <c r="X78" s="513"/>
      <c r="Y78" s="513" t="s">
        <v>98</v>
      </c>
      <c r="Z78" s="513"/>
      <c r="AA78" s="511" t="s">
        <v>99</v>
      </c>
      <c r="AB78" s="511"/>
      <c r="AC78" s="99">
        <f>AC73+1</f>
        <v>10</v>
      </c>
      <c r="AD78" s="95">
        <f>VLOOKUP(AC78,STN_TABLE_2,2,FALSE)</f>
        <v>6</v>
      </c>
      <c r="AE78" s="68">
        <f>VLOOKUP(AD78,STN_TABLE,2,FALSE)</f>
        <v>11.34</v>
      </c>
      <c r="AF78" s="68">
        <v>1</v>
      </c>
      <c r="AG78" s="69">
        <f>AE78*AF78</f>
        <v>11.34</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12</v>
      </c>
      <c r="E79" s="92">
        <v>1</v>
      </c>
      <c r="F79" s="82">
        <f>D79*E79</f>
        <v>12</v>
      </c>
      <c r="G79" s="83">
        <f>C79</f>
        <v>7</v>
      </c>
      <c r="H79" s="83">
        <f>F79*G79</f>
        <v>84</v>
      </c>
      <c r="I79" s="84" t="str">
        <f>CONCATENATE("a'(",C79,")=")</f>
        <v>a'(7)=</v>
      </c>
      <c r="J79" s="84">
        <f>2*J77/3*F80</f>
        <v>80.711999999999989</v>
      </c>
      <c r="K79" s="84" t="str">
        <f>CONCATENATE("A(",C77,")=")</f>
        <v>A(5)=</v>
      </c>
      <c r="L79" s="84">
        <f>VLOOKUP(C77,STN_TABLE,3,FALSE)</f>
        <v>55.623000000000005</v>
      </c>
      <c r="M79" t="str">
        <f>CONCATENATE("A(",C79,")=")</f>
        <v>A(7)=</v>
      </c>
      <c r="N79">
        <f>J79+L79</f>
        <v>136.33499999999998</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12</v>
      </c>
      <c r="AF79" s="82">
        <v>2</v>
      </c>
      <c r="AG79" s="83">
        <f>AE79*AF79</f>
        <v>24</v>
      </c>
      <c r="AH79" s="84" t="str">
        <f>CONCATENATE("a'(",AD79,")=")</f>
        <v>a'(7)=</v>
      </c>
      <c r="AI79" s="84">
        <f>2*AI77/2*AE80</f>
        <v>42.012</v>
      </c>
      <c r="AJ79" s="84" t="str">
        <f>CONCATENATE("A(",AD78,")=")</f>
        <v>A(6)=</v>
      </c>
      <c r="AK79" s="84">
        <f>VLOOKUP(AD78,STN_TABLE,3,FALSE)</f>
        <v>96.026999999999987</v>
      </c>
      <c r="AL79" t="str">
        <f>CONCATENATE("A(",AD79,")=")</f>
        <v>A(7)=</v>
      </c>
      <c r="AM79">
        <f>AI79+AK79</f>
        <v>138.03899999999999</v>
      </c>
      <c r="AO79" s="68" t="str">
        <f>AA79</f>
        <v>A(7)=</v>
      </c>
      <c r="AP79" s="68" t="e">
        <f>VLOOKUP(AO79,Rise_Results,2,FALSE)</f>
        <v>#N/A</v>
      </c>
      <c r="AQ79" s="76">
        <f>N79</f>
        <v>136.33499999999998</v>
      </c>
      <c r="AR79" s="76" t="e">
        <f>IF(OR(AB79&lt;=0,AB80&lt;=0),1/0,AB79)</f>
        <v>#VALUE!</v>
      </c>
      <c r="AS79" s="76">
        <f>AM79</f>
        <v>138.03899999999999</v>
      </c>
      <c r="AT79">
        <f>IFERROR(AP79,IFERROR(AQ79,IFERROR(AR79,AS79)))</f>
        <v>136.33499999999998</v>
      </c>
      <c r="AU79" s="81"/>
    </row>
    <row r="80" spans="1:47" x14ac:dyDescent="0.25">
      <c r="A80" s="84">
        <f>A79+1</f>
        <v>11</v>
      </c>
      <c r="B80" s="84">
        <f t="shared" si="27"/>
        <v>7</v>
      </c>
      <c r="F80" s="82">
        <f>SUM(F77:F79)</f>
        <v>67.259999999999991</v>
      </c>
      <c r="H80" s="82">
        <f>SUM(H77:H79)</f>
        <v>405.65999999999997</v>
      </c>
      <c r="I80" s="84" t="str">
        <f>CONCATENATE("m'(",C79,")=")</f>
        <v>m'(7)=</v>
      </c>
      <c r="J80" s="84">
        <f>2*(J77*(WLS))/3*H80</f>
        <v>876.22559999999999</v>
      </c>
      <c r="K80" s="84" t="str">
        <f>CONCATENATE("M(",C77,")=")</f>
        <v>M(5)=</v>
      </c>
      <c r="L80" s="84">
        <f>VLOOKUP(C77,STN_TABLE,4,FALSE)</f>
        <v>365.59113000000002</v>
      </c>
      <c r="M80" t="str">
        <f>CONCATENATE("M(",C79,")=")</f>
        <v>M(7)=</v>
      </c>
      <c r="N80">
        <f>J80+L80</f>
        <v>1241.81673</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23.34</v>
      </c>
      <c r="AG80" s="89">
        <f>SUM(AG78:AG79)</f>
        <v>35.340000000000003</v>
      </c>
      <c r="AH80" s="84" t="str">
        <f>CONCATENATE("m'(",AD79,")=")</f>
        <v>m'(7)=</v>
      </c>
      <c r="AI80" s="84">
        <f>(2*(AI77^2)/6*AG80)+(AI79*AD78*WLS)</f>
        <v>491.89679999999998</v>
      </c>
      <c r="AJ80" s="84" t="str">
        <f>CONCATENATE("M(",AD78,")=")</f>
        <v>M(6)=</v>
      </c>
      <c r="AK80" s="84">
        <f>VLOOKUP(AD78,STN_TABLE,4,FALSE)</f>
        <v>763.50632999999993</v>
      </c>
      <c r="AL80" t="str">
        <f>CONCATENATE("M(",AD79,")=")</f>
        <v>M(7)=</v>
      </c>
      <c r="AM80">
        <f>AI80+AK80</f>
        <v>1255.4031299999999</v>
      </c>
      <c r="AO80" s="82" t="str">
        <f>AA80</f>
        <v>M(7)=</v>
      </c>
      <c r="AP80" s="82" t="e">
        <f>VLOOKUP(AO80,Rise_Results,2,FALSE)</f>
        <v>#N/A</v>
      </c>
      <c r="AQ80" s="82">
        <f>N80</f>
        <v>1241.81673</v>
      </c>
      <c r="AR80" s="82" t="e">
        <f>IF(OR(AB79&lt;=0,AB80&lt;=0),1/0,AB80)</f>
        <v>#VALUE!</v>
      </c>
      <c r="AS80" s="82">
        <f>AM80</f>
        <v>1255.4031299999999</v>
      </c>
      <c r="AT80">
        <f>IFERROR(AP80,IFERROR(AQ80,IFERROR(AR80,AS80)))</f>
        <v>1241.81673</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12.2</v>
      </c>
      <c r="S83" s="77">
        <v>8</v>
      </c>
      <c r="T83" s="76">
        <f>R83*S83</f>
        <v>97.6</v>
      </c>
      <c r="U83" s="80">
        <v>10</v>
      </c>
      <c r="V83" s="76">
        <f>R83*U83</f>
        <v>122</v>
      </c>
      <c r="W83" s="513" t="s">
        <v>97</v>
      </c>
      <c r="X83" s="513"/>
      <c r="Y83" s="513" t="s">
        <v>98</v>
      </c>
      <c r="Z83" s="513"/>
      <c r="AA83" s="511" t="s">
        <v>99</v>
      </c>
      <c r="AB83" s="511"/>
      <c r="AC83" s="99">
        <f>AC78+1</f>
        <v>11</v>
      </c>
      <c r="AD83" s="95">
        <f>VLOOKUP(AC83,STN_TABLE_2,2,FALSE)</f>
        <v>7</v>
      </c>
      <c r="AE83" s="68">
        <f>VLOOKUP(AD83,STN_TABLE,2,FALSE)</f>
        <v>12</v>
      </c>
      <c r="AF83" s="68">
        <v>1</v>
      </c>
      <c r="AG83" s="69">
        <f>AE83*AF83</f>
        <v>12</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12.2</v>
      </c>
      <c r="E84" s="92">
        <v>1</v>
      </c>
      <c r="F84" s="82">
        <f>D84*E84</f>
        <v>12.2</v>
      </c>
      <c r="G84" s="83">
        <f>C84</f>
        <v>7.8833333333333329</v>
      </c>
      <c r="H84" s="83">
        <f>F84*G84</f>
        <v>96.176666666666662</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12.2</v>
      </c>
      <c r="AF84" s="82">
        <v>2</v>
      </c>
      <c r="AG84" s="83">
        <f>AE84*AF84</f>
        <v>24.4</v>
      </c>
      <c r="AH84" s="84" t="str">
        <f>CONCATENATE("a'(",AD84,")=")</f>
        <v>a'(7.88333333333333)=</v>
      </c>
      <c r="AI84" s="84">
        <f>2*AI82/2*AE85</f>
        <v>38.47799999999998</v>
      </c>
      <c r="AJ84" s="84" t="str">
        <f>CONCATENATE("A(",AD83,")=")</f>
        <v>A(7)=</v>
      </c>
      <c r="AK84" s="84">
        <f>VLOOKUP(AD83,STN_TABLE,3,FALSE)</f>
        <v>136.33499999999998</v>
      </c>
      <c r="AL84" t="str">
        <f>CONCATENATE("A(",AD84,")=")</f>
        <v>A(7.88333333333333)=</v>
      </c>
      <c r="AM84">
        <f>AI84+AK84</f>
        <v>174.81299999999996</v>
      </c>
      <c r="AO84" s="68" t="str">
        <f>AA84</f>
        <v>A(7.88333333333333)=</v>
      </c>
      <c r="AP84" s="68" t="e">
        <f>VLOOKUP(AO84,Rise_Results,2,FALSE)</f>
        <v>#N/A</v>
      </c>
      <c r="AQ84" s="76" t="e">
        <f>N84</f>
        <v>#N/A</v>
      </c>
      <c r="AR84" s="76" t="e">
        <f>IF(OR(AB84&lt;=0,AB85&lt;=0),1/0,AB84)</f>
        <v>#VALUE!</v>
      </c>
      <c r="AS84" s="76">
        <f>AM84</f>
        <v>174.81299999999996</v>
      </c>
      <c r="AT84">
        <f>IFERROR(AP84,IFERROR(AQ84,IFERROR(AR84,AS84)))</f>
        <v>174.81299999999996</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24.2</v>
      </c>
      <c r="AG85" s="89">
        <f>SUM(AG83:AG84)</f>
        <v>36.4</v>
      </c>
      <c r="AH85" s="84" t="str">
        <f>CONCATENATE("m'(",AD84,")=")</f>
        <v>m'(7.88333333333333)=</v>
      </c>
      <c r="AI85" s="84">
        <f>(2*(AI82^2)/6*AG85)+(AI84*AD83*WLS)</f>
        <v>515.49707999999976</v>
      </c>
      <c r="AJ85" s="84" t="str">
        <f>CONCATENATE("M(",AD83,")=")</f>
        <v>M(7)=</v>
      </c>
      <c r="AK85" s="84">
        <f>VLOOKUP(AD83,STN_TABLE,4,FALSE)</f>
        <v>1241.81673</v>
      </c>
      <c r="AL85" t="str">
        <f>CONCATENATE("M(",AD84,")=")</f>
        <v>M(7.88333333333333)=</v>
      </c>
      <c r="AM85">
        <f>AI85+AK85</f>
        <v>1757.3138099999996</v>
      </c>
      <c r="AO85" s="82" t="str">
        <f>AA85</f>
        <v>M(7.88333333333333)=</v>
      </c>
      <c r="AP85" s="82" t="e">
        <f>VLOOKUP(AO85,Rise_Results,2,FALSE)</f>
        <v>#N/A</v>
      </c>
      <c r="AQ85" s="82" t="e">
        <f>N85</f>
        <v>#N/A</v>
      </c>
      <c r="AR85" s="82" t="e">
        <f>IF(OR(AB84&lt;=0,AB85&lt;=0),1/0,AB85)</f>
        <v>#VALUE!</v>
      </c>
      <c r="AS85" s="82">
        <f>AM85</f>
        <v>1757.3138099999996</v>
      </c>
      <c r="AT85">
        <f>IFERROR(AP85,IFERROR(AQ85,IFERROR(AR85,AS85)))</f>
        <v>1757.3138099999996</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12.2</v>
      </c>
      <c r="AF88" s="68">
        <v>1</v>
      </c>
      <c r="AG88" s="69">
        <f>AE88*AF88</f>
        <v>12.2</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174.81299999999996</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12.2</v>
      </c>
      <c r="AG90" s="89" t="e">
        <f>SUM(AG88:AG89)</f>
        <v>#VALUE!</v>
      </c>
      <c r="AH90" s="84" t="str">
        <f>CONCATENATE("m'(",AD89,")=")</f>
        <v>m'(  )=</v>
      </c>
      <c r="AI90" s="84" t="e">
        <f>(2*(AI87^2)/6*AG90)+(AI89*AD88*WLS)</f>
        <v>#VALUE!</v>
      </c>
      <c r="AJ90" s="84" t="str">
        <f>CONCATENATE("M(",AD88,")=")</f>
        <v>M(7.88333333333333)=</v>
      </c>
      <c r="AK90" s="84">
        <f>VLOOKUP(AD88,STN_TABLE,4,FALSE)</f>
        <v>1757.3138099999996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AU171"/>
  <sheetViews>
    <sheetView topLeftCell="N1" workbookViewId="0">
      <pane ySplit="1" topLeftCell="A2"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1.5</v>
      </c>
      <c r="E1" s="511" t="s">
        <v>91</v>
      </c>
      <c r="F1" s="511"/>
      <c r="G1">
        <f>VLOOKUP(Station_No,RISE_CALC,2,FALSE)</f>
        <v>1.95</v>
      </c>
      <c r="L1" s="511" t="s">
        <v>92</v>
      </c>
      <c r="M1" s="511"/>
      <c r="N1">
        <v>4</v>
      </c>
    </row>
    <row r="2" spans="1:46" x14ac:dyDescent="0.25">
      <c r="Q2" s="66" t="str">
        <f t="shared" ref="Q2:R6" si="0">G4</f>
        <v>Rise</v>
      </c>
      <c r="R2" s="67">
        <f t="shared" si="0"/>
        <v>1.0833333333333333</v>
      </c>
      <c r="S2" s="68" t="str">
        <f>IF(OR(R5-R4=R4-R3,R6-R4=R4-R3),R3,IF(OR(R5-R4=R4-R2,R6-R4=R4-R2),R2,"-"))</f>
        <v>-</v>
      </c>
      <c r="T2" s="69">
        <f>IFERROR(VLOOKUP(S2,STN_TABLE,2,FALSE),IF(R2=RisePerWLS,0,"-"))</f>
        <v>0</v>
      </c>
      <c r="U2" s="69">
        <v>5</v>
      </c>
      <c r="V2" s="69">
        <f>T2*U2</f>
        <v>0</v>
      </c>
      <c r="W2" s="69">
        <v>3</v>
      </c>
      <c r="X2" s="69">
        <f>T2*W2</f>
        <v>0</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1.5</v>
      </c>
      <c r="S3" s="76">
        <f>R4</f>
        <v>2</v>
      </c>
      <c r="T3" s="77">
        <f>VLOOKUP(S3,STN_TABLE,2,FALSE)</f>
        <v>0.7</v>
      </c>
      <c r="U3" s="77">
        <v>8</v>
      </c>
      <c r="V3" s="77">
        <f>T3*U3</f>
        <v>5.6</v>
      </c>
      <c r="W3" s="77">
        <v>10</v>
      </c>
      <c r="X3" s="77">
        <f>T3*W3</f>
        <v>7</v>
      </c>
      <c r="Y3" s="78" t="s">
        <v>97</v>
      </c>
      <c r="Z3" s="78"/>
      <c r="AA3" s="78" t="s">
        <v>98</v>
      </c>
      <c r="AB3" s="78"/>
      <c r="AC3" s="7" t="s">
        <v>99</v>
      </c>
      <c r="AD3" s="7"/>
      <c r="AE3" s="66" t="str">
        <f t="shared" ref="AE3:AF7" si="1">G4</f>
        <v>Rise</v>
      </c>
      <c r="AF3" s="67">
        <f t="shared" si="1"/>
        <v>1.0833333333333333</v>
      </c>
      <c r="AG3" s="79">
        <f>IF(AF7-AF6=AF6-AF5,AF5,IF(OR(AF7-AF6=AF6-AF4,AF7-AF5=AF5-AF4),AF4,IF(OR(AF7-AF6=AF6-AF3,AF7-AF5=AF5-AF3,AF7-AF4=AF4-AF3),AF3,"#NA")))</f>
        <v>2</v>
      </c>
      <c r="AH3" s="69">
        <f>IFERROR(VLOOKUP(AG3,STN_TABLE,2,FALSE),IF(AF3=RisePerWLS,0,"-"))</f>
        <v>0.7</v>
      </c>
      <c r="AI3" s="69">
        <v>1</v>
      </c>
      <c r="AJ3" s="69">
        <f>AH3*AI3</f>
        <v>0.7</v>
      </c>
      <c r="AK3" s="69">
        <f>AG3</f>
        <v>2</v>
      </c>
      <c r="AL3" s="69">
        <f>AJ3*AK3</f>
        <v>1.4</v>
      </c>
      <c r="AM3" s="6" t="s">
        <v>93</v>
      </c>
      <c r="AN3" s="70">
        <f>IF(AND(AH3=0,AH4=0,AH5=0),WLS*(AG5-AG4),IF(AND(AG5-AG4=AG4-AG3,AG4&lt;&gt;AG5,AG3&lt;&gt;AG4,AG3&lt;&gt;AG5,AH5&lt;&gt;0,OR(AH3&lt;&gt;0,AH4&lt;&gt;0)),WLS*(AG5-AG4),"#NA"))</f>
        <v>1.8</v>
      </c>
    </row>
    <row r="4" spans="1:46" x14ac:dyDescent="0.25">
      <c r="A4">
        <v>1</v>
      </c>
      <c r="B4" s="80">
        <f t="shared" ref="B4:B28" si="2">VLOOKUP(Stn_WL,OFFSET_A,A4+1,FALSE)</f>
        <v>0</v>
      </c>
      <c r="C4" s="81">
        <f t="shared" ref="C4:C28" si="3">VLOOKUP(Station_No,OFFSET_A,A4+1,FALSE)</f>
        <v>0</v>
      </c>
      <c r="D4" s="81">
        <v>0</v>
      </c>
      <c r="E4" s="77">
        <v>0</v>
      </c>
      <c r="G4" t="s">
        <v>100</v>
      </c>
      <c r="H4">
        <f>Rise/WLS</f>
        <v>1.0833333333333333</v>
      </c>
      <c r="K4" t="str">
        <f>CONCATENATE("A(",H5,")=")</f>
        <v>A(1.5)=</v>
      </c>
      <c r="L4">
        <f>IFERROR(N18,N22)</f>
        <v>0.30000000000000004</v>
      </c>
      <c r="Q4" s="66" t="str">
        <f t="shared" si="0"/>
        <v>2nd_UWL</v>
      </c>
      <c r="R4" s="67">
        <f t="shared" si="0"/>
        <v>2</v>
      </c>
      <c r="S4" s="82" t="e">
        <f>IF((S2-S3)=S3-R5,R5,IF(S2-S3=S3-R6,R6,"-"))</f>
        <v>#VALUE!</v>
      </c>
      <c r="T4" s="83" t="e">
        <f>VLOOKUP(S4,STN_TABLE,2,FALSE)</f>
        <v>#VALUE!</v>
      </c>
      <c r="U4" s="83">
        <v>-1</v>
      </c>
      <c r="V4" s="83" t="e">
        <f>T4*U4</f>
        <v>#VALUE!</v>
      </c>
      <c r="W4" s="83">
        <v>-1</v>
      </c>
      <c r="X4" s="83" t="e">
        <f>T4*W4</f>
        <v>#VALUE!</v>
      </c>
      <c r="Y4" s="84" t="str">
        <f>CONCATENATE("a'(",S3,")=")</f>
        <v>a'(2)=</v>
      </c>
      <c r="Z4" s="85" t="e">
        <f>2*Z2/12*V5</f>
        <v>#VALUE!</v>
      </c>
      <c r="AA4" s="84" t="str">
        <f>CONCATENATE("A(",S2,")=")</f>
        <v>A(-)=</v>
      </c>
      <c r="AB4" s="84" t="e">
        <f>IF(S2=RisePerWLS,0,VLOOKUP(S2,STN_TABLE,3,FALSE))</f>
        <v>#N/A</v>
      </c>
      <c r="AC4" t="str">
        <f>CONCATENATE("A(",S3,")=")</f>
        <v>A(2)=</v>
      </c>
      <c r="AD4" t="e">
        <f>Z4+AB4</f>
        <v>#VALUE!</v>
      </c>
      <c r="AE4" s="66" t="str">
        <f t="shared" si="1"/>
        <v>1st_UWL</v>
      </c>
      <c r="AF4" s="67">
        <f t="shared" si="1"/>
        <v>1.5</v>
      </c>
      <c r="AG4" s="80">
        <f>IF(OR(AF7-AF6=AF6-AF5,AF7-AF6=AF6-AF4,AF7-AF6=AF6-AF3),AF6,IF(OR(AF7-AF5=AF5-AF4,AF7-AF5=AF5-AF3),AF5,IF(AF7-AF4=AF4-AF3,AF4,"#NA")))</f>
        <v>3</v>
      </c>
      <c r="AH4" s="77">
        <f>VLOOKUP(AG4,STN_TABLE,2,FALSE)</f>
        <v>1.2</v>
      </c>
      <c r="AI4" s="77">
        <v>4</v>
      </c>
      <c r="AJ4" s="77">
        <f>AH4*AI4</f>
        <v>4.8</v>
      </c>
      <c r="AK4" s="77">
        <f>AG4</f>
        <v>3</v>
      </c>
      <c r="AL4" s="77">
        <f>AJ4*AK4</f>
        <v>14.399999999999999</v>
      </c>
      <c r="AM4" s="78" t="s">
        <v>97</v>
      </c>
      <c r="AN4" s="78"/>
      <c r="AO4" s="78" t="s">
        <v>98</v>
      </c>
      <c r="AP4" s="78"/>
      <c r="AQ4" s="7" t="s">
        <v>99</v>
      </c>
      <c r="AR4" s="7"/>
      <c r="AS4" s="7"/>
      <c r="AT4" s="7"/>
    </row>
    <row r="5" spans="1:46" x14ac:dyDescent="0.25">
      <c r="A5">
        <v>2</v>
      </c>
      <c r="B5" s="80">
        <f t="shared" si="2"/>
        <v>0.5</v>
      </c>
      <c r="C5" s="81">
        <f t="shared" si="3"/>
        <v>0</v>
      </c>
      <c r="D5" s="81">
        <f t="shared" ref="D5:D28" si="4">IFERROR(VLOOKUP(CONCATENATE("A(",B5,")="),RESULT_TABLE,6,FALSE)," ")</f>
        <v>0</v>
      </c>
      <c r="E5" s="77">
        <f t="shared" ref="E5:E28" si="5">IFERROR(VLOOKUP(CONCATENATE("M(",B5,")="),RESULT_TABLE,6,FALSE)," ")</f>
        <v>0</v>
      </c>
      <c r="G5" t="s">
        <v>101</v>
      </c>
      <c r="H5">
        <f>VLOOKUP(Station_No,RISE_CALC,4,FALSE)</f>
        <v>1.5</v>
      </c>
      <c r="K5" t="str">
        <f>CONCATENATE("M(",H5,")=")</f>
        <v>M(1.5)=</v>
      </c>
      <c r="L5">
        <f>IFERROR(N19,N23)</f>
        <v>0.7350000000000001</v>
      </c>
      <c r="Q5" s="66" t="str">
        <f t="shared" si="0"/>
        <v>3rd_UWL</v>
      </c>
      <c r="R5" s="67">
        <f t="shared" si="0"/>
        <v>3</v>
      </c>
      <c r="V5" s="86" t="e">
        <f>SUM(V2:V4)</f>
        <v>#VALUE!</v>
      </c>
      <c r="X5" s="87" t="e">
        <f>SUM(X2:X4)</f>
        <v>#VALUE!</v>
      </c>
      <c r="Y5" s="84" t="str">
        <f>CONCATENATE("m'(",S3,")=")</f>
        <v>m'(2)=</v>
      </c>
      <c r="Z5" s="85" t="e">
        <f>(2*(Z2^2)/24*X5)+(Z4*S2*WLS)</f>
        <v>#VALUE!</v>
      </c>
      <c r="AA5" s="84" t="str">
        <f>CONCATENATE("M(",S2,")=")</f>
        <v>M(-)=</v>
      </c>
      <c r="AB5" s="84" t="e">
        <f>IF(S2=RisePerWLS,0,VLOOKUP(S2,STN_TABLE,4,FALSE))</f>
        <v>#N/A</v>
      </c>
      <c r="AC5" t="str">
        <f>CONCATENATE("M(",S3,")=")</f>
        <v>M(2)=</v>
      </c>
      <c r="AD5" t="e">
        <f>Z5+AB5</f>
        <v>#VALUE!</v>
      </c>
      <c r="AE5" s="66" t="str">
        <f t="shared" si="1"/>
        <v>2nd_UWL</v>
      </c>
      <c r="AF5" s="67">
        <f t="shared" si="1"/>
        <v>2</v>
      </c>
      <c r="AG5" s="88">
        <f>AF7</f>
        <v>4</v>
      </c>
      <c r="AH5" s="83">
        <f>VLOOKUP(AG5,STN_TABLE,2,FALSE)</f>
        <v>2.4</v>
      </c>
      <c r="AI5" s="83">
        <v>1</v>
      </c>
      <c r="AJ5" s="83">
        <f>AH5*AI5</f>
        <v>2.4</v>
      </c>
      <c r="AK5" s="83">
        <f>AG5</f>
        <v>4</v>
      </c>
      <c r="AL5" s="83">
        <f>AJ5*AK5</f>
        <v>9.6</v>
      </c>
      <c r="AM5" s="84" t="str">
        <f>CONCATENATE("a'(",AG5,")=")</f>
        <v>a'(4)=</v>
      </c>
      <c r="AN5" s="84">
        <f>2*AN3/3*AJ6</f>
        <v>9.48</v>
      </c>
      <c r="AO5" s="84" t="str">
        <f>CONCATENATE("A(",AG3,")=")</f>
        <v>A(2)=</v>
      </c>
      <c r="AP5" s="84">
        <f>IF(AG3=RisePerWLS,0,VLOOKUP(AG3,STN_TABLE,3,FALSE))</f>
        <v>1.29</v>
      </c>
      <c r="AQ5" t="str">
        <f>CONCATENATE("A(",AG5,")=")</f>
        <v>A(4)=</v>
      </c>
      <c r="AR5">
        <f>AN5+AP5</f>
        <v>10.77</v>
      </c>
    </row>
    <row r="6" spans="1:46" x14ac:dyDescent="0.25">
      <c r="A6">
        <v>3</v>
      </c>
      <c r="B6" s="80">
        <f t="shared" si="2"/>
        <v>1</v>
      </c>
      <c r="C6" s="81">
        <f t="shared" si="3"/>
        <v>0</v>
      </c>
      <c r="D6" s="81">
        <f t="shared" si="4"/>
        <v>0</v>
      </c>
      <c r="E6" s="77">
        <f t="shared" si="5"/>
        <v>0</v>
      </c>
      <c r="G6" t="s">
        <v>102</v>
      </c>
      <c r="H6">
        <f>VLOOKUP(Station_No,RISE_CALC,5,FALSE)</f>
        <v>2</v>
      </c>
      <c r="K6" t="str">
        <f>CONCATENATE("A(",H6,")=")</f>
        <v>A(2)=</v>
      </c>
      <c r="L6">
        <f>IFERROR(P27,IFERROR(X6,AD9))</f>
        <v>1.29</v>
      </c>
      <c r="Q6" s="66" t="str">
        <f t="shared" si="0"/>
        <v>4th_UWL</v>
      </c>
      <c r="R6" s="67">
        <f t="shared" si="0"/>
        <v>4</v>
      </c>
      <c r="U6" t="s">
        <v>103</v>
      </c>
      <c r="W6" t="str">
        <f>CONCATENATE("A(",S3,")=")</f>
        <v>A(2)=</v>
      </c>
      <c r="X6" t="e">
        <f>IF(OR(AD4&lt;=0,AD5&lt;=0),AD9,AD4)</f>
        <v>#VALUE!</v>
      </c>
      <c r="AE6" s="66" t="str">
        <f t="shared" si="1"/>
        <v>3rd_UWL</v>
      </c>
      <c r="AF6" s="67">
        <f t="shared" si="1"/>
        <v>3</v>
      </c>
      <c r="AJ6" s="89">
        <f>SUM(AJ3:AJ5)</f>
        <v>7.9</v>
      </c>
      <c r="AL6" s="89">
        <f>SUM(AL3:AL5)</f>
        <v>25.4</v>
      </c>
      <c r="AM6" s="84" t="str">
        <f>CONCATENATE("m'(",AG5,")=")</f>
        <v>m'(4)=</v>
      </c>
      <c r="AN6" s="84">
        <f>2*(AN3*WLS)/3*AL6</f>
        <v>54.863999999999997</v>
      </c>
      <c r="AO6" s="84" t="str">
        <f>CONCATENATE("M(",AG3,")=")</f>
        <v>M(2)=</v>
      </c>
      <c r="AP6" s="84">
        <f>IF(AG3=RisePerWLS,0,VLOOKUP(AG3,STN_TABLE,4,FALSE))</f>
        <v>3.8940000000000001</v>
      </c>
      <c r="AQ6" t="str">
        <f>CONCATENATE("M(",AG5,")=")</f>
        <v>M(4)=</v>
      </c>
      <c r="AR6">
        <f>AN6+AP6</f>
        <v>58.757999999999996</v>
      </c>
    </row>
    <row r="7" spans="1:46" x14ac:dyDescent="0.25">
      <c r="A7">
        <v>4</v>
      </c>
      <c r="B7" s="80">
        <f t="shared" si="2"/>
        <v>1.5</v>
      </c>
      <c r="C7" s="81">
        <f t="shared" si="3"/>
        <v>0.4</v>
      </c>
      <c r="D7" s="81">
        <f t="shared" si="4"/>
        <v>0.30000000000000004</v>
      </c>
      <c r="E7" s="77">
        <f t="shared" si="5"/>
        <v>0.7350000000000001</v>
      </c>
      <c r="G7" t="s">
        <v>104</v>
      </c>
      <c r="H7">
        <f>VLOOKUP(Station_No,RISE_CALC,6,FALSE)</f>
        <v>3</v>
      </c>
      <c r="K7" t="str">
        <f>CONCATENATE("M(",H6,")=")</f>
        <v>M(2)=</v>
      </c>
      <c r="L7">
        <f>IFERROR(P28,IFERROR(X7,AD10))</f>
        <v>3.8940000000000001</v>
      </c>
      <c r="Q7" s="66"/>
      <c r="R7" s="67"/>
      <c r="W7" t="str">
        <f>CONCATENATE("M(",S3,")=")</f>
        <v>M(2)=</v>
      </c>
      <c r="X7" t="e">
        <f>IF(OR(AD4&lt;=0,AD5&lt;=0),AD10,AD5)</f>
        <v>#VALUE!</v>
      </c>
      <c r="Y7" s="6" t="s">
        <v>93</v>
      </c>
      <c r="Z7" s="70">
        <f>WLS*(U9-U8)</f>
        <v>0.9</v>
      </c>
      <c r="AE7" s="66" t="str">
        <f t="shared" si="1"/>
        <v>4th_UWL</v>
      </c>
      <c r="AF7" s="67">
        <f t="shared" si="1"/>
        <v>4</v>
      </c>
      <c r="AH7" s="81"/>
    </row>
    <row r="8" spans="1:46" x14ac:dyDescent="0.25">
      <c r="A8">
        <v>5</v>
      </c>
      <c r="B8" s="80">
        <f t="shared" si="2"/>
        <v>2</v>
      </c>
      <c r="C8" s="81">
        <f t="shared" si="3"/>
        <v>0.7</v>
      </c>
      <c r="D8" s="81">
        <f t="shared" si="4"/>
        <v>1.29</v>
      </c>
      <c r="E8" s="77">
        <f t="shared" si="5"/>
        <v>3.8940000000000001</v>
      </c>
      <c r="G8" t="s">
        <v>105</v>
      </c>
      <c r="H8">
        <f>VLOOKUP(Station_No,RISE_CALC,7,FALSE)</f>
        <v>4</v>
      </c>
      <c r="K8" t="str">
        <f>CONCATENATE("A(",H7,")=")</f>
        <v>A(3)=</v>
      </c>
      <c r="L8">
        <f>IFERROR(AD15,IFERROR(X24,AD27))</f>
        <v>4.5</v>
      </c>
      <c r="Q8" s="80"/>
      <c r="R8" s="81"/>
      <c r="U8" s="79">
        <f>R3</f>
        <v>1.5</v>
      </c>
      <c r="V8" s="68">
        <f>VLOOKUP(U8,STN_TABLE,2,FALSE)</f>
        <v>0.4</v>
      </c>
      <c r="W8" s="68">
        <v>1</v>
      </c>
      <c r="X8" s="69">
        <f>V8*W8</f>
        <v>0.4</v>
      </c>
      <c r="Y8" s="78" t="s">
        <v>97</v>
      </c>
      <c r="Z8" s="78"/>
      <c r="AA8" s="78" t="s">
        <v>98</v>
      </c>
      <c r="AB8" s="78"/>
      <c r="AC8" s="7" t="s">
        <v>99</v>
      </c>
      <c r="AD8" s="7"/>
      <c r="AE8" s="66"/>
      <c r="AF8" s="67"/>
      <c r="AG8" s="68">
        <f>IF(OR(AF12-AF11=AF11-AF10,AF13-AF11=AF11-AF10),AF10,IF(OR(AF12-AF11=AF11-AF9,AF13-AF11=AF11-AF9),AF9,"-"))</f>
        <v>3</v>
      </c>
      <c r="AH8" s="69">
        <f>IFERROR(VLOOKUP(AG8,STN_TABLE,2,FALSE),IF(AF8=RisePerWLS,0,"-"))</f>
        <v>1.2</v>
      </c>
      <c r="AI8" s="69">
        <v>5</v>
      </c>
      <c r="AJ8" s="69">
        <f>AH8*AI8</f>
        <v>6</v>
      </c>
      <c r="AK8" s="69">
        <v>3</v>
      </c>
      <c r="AL8" s="69">
        <f>AH8*AK8</f>
        <v>3.5999999999999996</v>
      </c>
      <c r="AM8" s="6" t="s">
        <v>93</v>
      </c>
      <c r="AN8" s="70">
        <f>IF(AND(AG10-AG9=AG9-AG8,NOT(AND(AG8=0,AG9=0)),NOT(AND(AG9=0,AG10=0))),WLS*(AG10-AG9),"#NA")</f>
        <v>1.8</v>
      </c>
    </row>
    <row r="9" spans="1:46" x14ac:dyDescent="0.25">
      <c r="A9">
        <v>6</v>
      </c>
      <c r="B9" s="80">
        <f t="shared" si="2"/>
        <v>3</v>
      </c>
      <c r="C9" s="81">
        <f t="shared" si="3"/>
        <v>1.2</v>
      </c>
      <c r="D9" s="81">
        <f t="shared" si="4"/>
        <v>4.5</v>
      </c>
      <c r="E9" s="77">
        <f t="shared" si="5"/>
        <v>18.609000000000002</v>
      </c>
      <c r="G9" t="s">
        <v>106</v>
      </c>
      <c r="H9">
        <f>VLOOKUP(Station_No,RISE_CALC,8,FALSE)</f>
        <v>5</v>
      </c>
      <c r="K9" t="str">
        <f>CONCATENATE("M(",H7,")=")</f>
        <v>M(3)=</v>
      </c>
      <c r="L9">
        <f>IFERROR(AD16,IFERROR(X25,AD28))</f>
        <v>18.609000000000002</v>
      </c>
      <c r="Q9" s="80"/>
      <c r="R9" s="81"/>
      <c r="U9" s="88">
        <f>R4</f>
        <v>2</v>
      </c>
      <c r="V9" s="82">
        <f>VLOOKUP(U9,STN_TABLE,2,FALSE)</f>
        <v>0.7</v>
      </c>
      <c r="W9" s="82">
        <v>2</v>
      </c>
      <c r="X9" s="83">
        <f>V9*W9</f>
        <v>1.4</v>
      </c>
      <c r="Y9" s="84" t="str">
        <f>CONCATENATE("a'(",U9,")=")</f>
        <v>a'(2)=</v>
      </c>
      <c r="Z9" s="84">
        <f>2*Z7/2*V10</f>
        <v>0.9900000000000001</v>
      </c>
      <c r="AA9" s="84" t="str">
        <f>CONCATENATE("A(",U8,")=")</f>
        <v>A(1.5)=</v>
      </c>
      <c r="AB9" s="84">
        <f>IF(U8=RisePerWLS,0,VLOOKUP(U8,STN_TABLE,3,FALSE))</f>
        <v>0.30000000000000004</v>
      </c>
      <c r="AC9" t="str">
        <f>CONCATENATE("A(",U9,")=")</f>
        <v>A(2)=</v>
      </c>
      <c r="AD9">
        <f>Z9+AB9</f>
        <v>1.29</v>
      </c>
      <c r="AE9" s="66" t="str">
        <f t="shared" ref="AE9:AF13" si="6">G6</f>
        <v>2nd_UWL</v>
      </c>
      <c r="AF9" s="67">
        <f t="shared" si="6"/>
        <v>2</v>
      </c>
      <c r="AG9" s="76">
        <f>AF11</f>
        <v>4</v>
      </c>
      <c r="AH9" s="77">
        <f>VLOOKUP(AG9,STN_TABLE,2,FALSE)</f>
        <v>2.4</v>
      </c>
      <c r="AI9" s="77">
        <v>8</v>
      </c>
      <c r="AJ9" s="77">
        <f>AH9*AI9</f>
        <v>19.2</v>
      </c>
      <c r="AK9" s="77">
        <v>10</v>
      </c>
      <c r="AL9" s="77">
        <f>AH9*AK9</f>
        <v>24</v>
      </c>
      <c r="AM9" s="78" t="s">
        <v>97</v>
      </c>
      <c r="AN9" s="78"/>
      <c r="AO9" s="78" t="s">
        <v>98</v>
      </c>
      <c r="AP9" s="78"/>
      <c r="AQ9" s="7" t="s">
        <v>99</v>
      </c>
      <c r="AR9" s="7"/>
      <c r="AS9" s="7"/>
      <c r="AT9" s="7"/>
    </row>
    <row r="10" spans="1:46" x14ac:dyDescent="0.25">
      <c r="A10">
        <v>7</v>
      </c>
      <c r="B10" s="80">
        <f t="shared" si="2"/>
        <v>4</v>
      </c>
      <c r="C10" s="81">
        <f t="shared" si="3"/>
        <v>2.4</v>
      </c>
      <c r="D10" s="81">
        <f t="shared" si="4"/>
        <v>10.77</v>
      </c>
      <c r="E10" s="77">
        <f t="shared" si="5"/>
        <v>58.757999999999996</v>
      </c>
      <c r="G10" t="s">
        <v>107</v>
      </c>
      <c r="H10">
        <f>VLOOKUP(Station_No,RISE_CALC,9,FALSE)</f>
        <v>5.6111111111111107</v>
      </c>
      <c r="K10" t="str">
        <f>CONCATENATE("A(",H8,")=")</f>
        <v>A(4)=</v>
      </c>
      <c r="L10">
        <f>IFERROR(AR5,IFERROR(AL12,AR15))</f>
        <v>10.77</v>
      </c>
      <c r="Q10" s="80"/>
      <c r="R10" s="81"/>
      <c r="V10" s="89">
        <f>SUM(V8:V9)</f>
        <v>1.1000000000000001</v>
      </c>
      <c r="X10" s="89">
        <f>SUM(X8:X9)</f>
        <v>1.7999999999999998</v>
      </c>
      <c r="Y10" s="84" t="str">
        <f>CONCATENATE("m'(",U9,")=")</f>
        <v>m'(2)=</v>
      </c>
      <c r="Z10" s="84">
        <f>(2*(Z7^2)/6*X10)+(Z9*U8*WLS)</f>
        <v>3.1589999999999998</v>
      </c>
      <c r="AA10" s="84" t="str">
        <f>CONCATENATE("M(",U8,")=")</f>
        <v>M(1.5)=</v>
      </c>
      <c r="AB10" s="84">
        <f>IF(U8=RisePerWLS,0,VLOOKUP(U8,STN_TABLE,4,FALSE))</f>
        <v>0.7350000000000001</v>
      </c>
      <c r="AC10" t="str">
        <f>CONCATENATE("M(",U9,")=")</f>
        <v>M(2)=</v>
      </c>
      <c r="AD10">
        <f>Z10+AB10</f>
        <v>3.8940000000000001</v>
      </c>
      <c r="AE10" s="66" t="str">
        <f t="shared" si="6"/>
        <v>3rd_UWL</v>
      </c>
      <c r="AF10" s="67">
        <f t="shared" si="6"/>
        <v>3</v>
      </c>
      <c r="AG10" s="82">
        <f>IF(AG8-AG9=AG9-AF12,AF12,IF(AG8-AG9=AG9-AF13,AF13,"-"))</f>
        <v>5</v>
      </c>
      <c r="AH10" s="83">
        <f>VLOOKUP(AG10,STN_TABLE,2,FALSE)</f>
        <v>8.5500000000000007</v>
      </c>
      <c r="AI10" s="83">
        <v>-1</v>
      </c>
      <c r="AJ10" s="83">
        <f>AH10*AI10</f>
        <v>-8.5500000000000007</v>
      </c>
      <c r="AK10" s="83">
        <v>-1</v>
      </c>
      <c r="AL10" s="83">
        <f>AH10*AK10</f>
        <v>-8.5500000000000007</v>
      </c>
      <c r="AM10" s="84" t="str">
        <f>CONCATENATE("a'(",AG9,")=")</f>
        <v>a'(4)=</v>
      </c>
      <c r="AN10" s="84">
        <f>2*AN8/12*AJ11</f>
        <v>4.9949999999999992</v>
      </c>
      <c r="AO10" s="84" t="str">
        <f>CONCATENATE("A(",AG8,")=")</f>
        <v>A(3)=</v>
      </c>
      <c r="AP10" s="84">
        <f>VLOOKUP(AG8,STN_TABLE,3,FALSE)</f>
        <v>4.5</v>
      </c>
      <c r="AQ10" t="str">
        <f>CONCATENATE("A(",AG9,")=")</f>
        <v>A(4)=</v>
      </c>
      <c r="AR10">
        <f>AN10+AP10</f>
        <v>9.4949999999999992</v>
      </c>
    </row>
    <row r="11" spans="1:46" x14ac:dyDescent="0.25">
      <c r="A11">
        <v>8</v>
      </c>
      <c r="B11" s="80">
        <f t="shared" si="2"/>
        <v>5</v>
      </c>
      <c r="C11" s="81">
        <f t="shared" si="3"/>
        <v>8.5500000000000007</v>
      </c>
      <c r="D11" s="81">
        <f t="shared" si="4"/>
        <v>27.720000000000002</v>
      </c>
      <c r="E11" s="77">
        <f t="shared" si="5"/>
        <v>201.66900000000001</v>
      </c>
      <c r="G11" t="s">
        <v>108</v>
      </c>
      <c r="H11">
        <f>VLOOKUP(Station_No,RISE_CALC,10,FALSE)</f>
        <v>6</v>
      </c>
      <c r="K11" t="str">
        <f>CONCATENATE("M(",H8,")=")</f>
        <v>M(4)=</v>
      </c>
      <c r="L11">
        <f>IFERROR(AR6,IFERROR(AL13,AR16))</f>
        <v>58.757999999999996</v>
      </c>
      <c r="Q11" s="80"/>
      <c r="R11" s="81"/>
      <c r="AE11" s="66" t="str">
        <f t="shared" si="6"/>
        <v>4th_UWL</v>
      </c>
      <c r="AF11" s="67">
        <f t="shared" si="6"/>
        <v>4</v>
      </c>
      <c r="AJ11" s="89">
        <f>SUM(AJ8:AJ10)</f>
        <v>16.649999999999999</v>
      </c>
      <c r="AL11" s="89">
        <f>SUM(AL8:AL10)</f>
        <v>19.05</v>
      </c>
      <c r="AM11" s="84" t="str">
        <f>CONCATENATE("m'(",AG9,")=")</f>
        <v>m'(4)=</v>
      </c>
      <c r="AN11" s="84">
        <f>(2*(AN8^2)/24*AL11)+(AN10*AG8*WLS)</f>
        <v>32.116499999999995</v>
      </c>
      <c r="AO11" s="84" t="str">
        <f>CONCATENATE("M(",AG8,")=")</f>
        <v>M(3)=</v>
      </c>
      <c r="AP11" s="84">
        <f>VLOOKUP(AG8,STN_TABLE,4,FALSE)</f>
        <v>18.609000000000002</v>
      </c>
      <c r="AQ11" t="str">
        <f>CONCATENATE("M(",AG9,")=")</f>
        <v>M(4)=</v>
      </c>
      <c r="AR11">
        <f>AN11+AP11</f>
        <v>50.725499999999997</v>
      </c>
    </row>
    <row r="12" spans="1:46" x14ac:dyDescent="0.25">
      <c r="A12">
        <v>9</v>
      </c>
      <c r="B12" s="80">
        <f t="shared" si="2"/>
        <v>5.6111111111111107</v>
      </c>
      <c r="C12" s="81">
        <f t="shared" si="3"/>
        <v>10.14</v>
      </c>
      <c r="D12" s="81">
        <f t="shared" si="4"/>
        <v>48.278999999999996</v>
      </c>
      <c r="E12" s="77">
        <f t="shared" si="5"/>
        <v>398.32809999999995</v>
      </c>
      <c r="Q12" s="90" t="s">
        <v>109</v>
      </c>
      <c r="R12" s="81"/>
      <c r="AE12" s="66" t="str">
        <f t="shared" si="6"/>
        <v>5th_UWL</v>
      </c>
      <c r="AF12" s="67">
        <f t="shared" si="6"/>
        <v>5</v>
      </c>
      <c r="AI12" t="s">
        <v>103</v>
      </c>
      <c r="AK12" t="str">
        <f>CONCATENATE("A(",AG9,")=")</f>
        <v>A(4)=</v>
      </c>
      <c r="AL12">
        <f>IF(OR(AR10&lt;=0,AR11&lt;=0),AR15,AR10)</f>
        <v>9.4949999999999992</v>
      </c>
    </row>
    <row r="13" spans="1:46" x14ac:dyDescent="0.25">
      <c r="A13">
        <v>10</v>
      </c>
      <c r="B13" s="80">
        <f t="shared" si="2"/>
        <v>6</v>
      </c>
      <c r="C13" s="81">
        <f t="shared" si="3"/>
        <v>10.78</v>
      </c>
      <c r="D13" s="81">
        <f t="shared" si="4"/>
        <v>67.626000000000005</v>
      </c>
      <c r="E13" s="77">
        <f t="shared" si="5"/>
        <v>588.56280000000004</v>
      </c>
      <c r="G13" s="71" t="s">
        <v>110</v>
      </c>
      <c r="Q13" s="66" t="str">
        <f t="shared" ref="Q13:R16" si="7">G4</f>
        <v>Rise</v>
      </c>
      <c r="R13" s="67">
        <f t="shared" si="7"/>
        <v>1.0833333333333333</v>
      </c>
      <c r="S13" s="68" t="str">
        <f>IF(R16-R15=R15-R14,R14,IF(R16-R14=R14-R13,R13,"-"))</f>
        <v>-</v>
      </c>
      <c r="T13" s="69">
        <f>IFERROR(VLOOKUP(S13,STN_TABLE,2,FALSE),IF(R13=RisePerWLS,0,"-"))</f>
        <v>0</v>
      </c>
      <c r="U13" s="69">
        <v>1</v>
      </c>
      <c r="V13" s="69">
        <f>T13*U13</f>
        <v>0</v>
      </c>
      <c r="W13" s="69" t="str">
        <f>S13</f>
        <v>-</v>
      </c>
      <c r="X13" s="69" t="e">
        <f>V13*W13</f>
        <v>#VALUE!</v>
      </c>
      <c r="Y13" s="6" t="s">
        <v>93</v>
      </c>
      <c r="Z13" s="70" t="e">
        <f>IF(AND(T13=0,T14=0,T15=0),WLS*(S15-S14),IF(AND(S15-S14=S14-S13,S14&lt;&gt;S15,S13&lt;&gt;S14,S13&lt;&gt;S15,T15&lt;&gt;0,OR(T13&lt;&gt;0,T14&lt;&gt;0)),WLS*(S15-S14),"#NA"))</f>
        <v>#N/A</v>
      </c>
      <c r="AE13" s="66" t="str">
        <f t="shared" si="6"/>
        <v>6th_UWL</v>
      </c>
      <c r="AF13" s="67">
        <f t="shared" si="6"/>
        <v>5.6111111111111107</v>
      </c>
      <c r="AK13" t="str">
        <f>CONCATENATE("M(",AG9,")=")</f>
        <v>M(4)=</v>
      </c>
      <c r="AL13">
        <f>IF(OR(AR10&lt;=0,AR11&lt;=0),AR16,AR11)</f>
        <v>50.725499999999997</v>
      </c>
      <c r="AM13" s="6" t="s">
        <v>93</v>
      </c>
      <c r="AN13" s="70">
        <f>WLS*(AI15-AI14)</f>
        <v>1.8</v>
      </c>
    </row>
    <row r="14" spans="1:46" x14ac:dyDescent="0.25">
      <c r="A14">
        <v>11</v>
      </c>
      <c r="B14" s="80">
        <f t="shared" si="2"/>
        <v>7</v>
      </c>
      <c r="C14" s="81">
        <f t="shared" si="3"/>
        <v>11.77</v>
      </c>
      <c r="D14" s="81">
        <f t="shared" si="4"/>
        <v>103.848</v>
      </c>
      <c r="E14" s="77">
        <f t="shared" si="5"/>
        <v>1030.8065999999999</v>
      </c>
      <c r="G14" s="91" t="str">
        <f>G4</f>
        <v>Rise</v>
      </c>
      <c r="H14" s="91">
        <f>RisePerWLS</f>
        <v>1.0833333333333333</v>
      </c>
      <c r="I14" s="68">
        <f>H14</f>
        <v>1.0833333333333333</v>
      </c>
      <c r="J14" s="69">
        <v>0</v>
      </c>
      <c r="K14" s="69">
        <v>5</v>
      </c>
      <c r="L14" s="69">
        <f>J14*K14</f>
        <v>0</v>
      </c>
      <c r="M14" s="69">
        <v>3</v>
      </c>
      <c r="N14" s="69">
        <f>J14*M14</f>
        <v>0</v>
      </c>
      <c r="O14" t="s">
        <v>93</v>
      </c>
      <c r="P14" t="e">
        <f>IF(AND(NOT(AND(J14=0,J15=0)),I14&lt;&gt;I15,I15&lt;&gt;I16,I16-I15=I15-I14),(I16-I15)*WLS,"#NA")</f>
        <v>#VALUE!</v>
      </c>
      <c r="Q14" s="66" t="str">
        <f t="shared" si="7"/>
        <v>1st_UWL</v>
      </c>
      <c r="R14" s="67">
        <f t="shared" si="7"/>
        <v>1.5</v>
      </c>
      <c r="S14" s="76" t="str">
        <f>IF(R16-R15=R15-R14,R15,IF(R16-R14=R14-R13,R14,"-"))</f>
        <v>-</v>
      </c>
      <c r="T14" s="77" t="e">
        <f>VLOOKUP(S14,STN_TABLE,2,FALSE)</f>
        <v>#N/A</v>
      </c>
      <c r="U14" s="77">
        <v>4</v>
      </c>
      <c r="V14" s="77" t="e">
        <f>T14*U14</f>
        <v>#N/A</v>
      </c>
      <c r="W14" s="77" t="str">
        <f>S14</f>
        <v>-</v>
      </c>
      <c r="X14" s="77" t="e">
        <f>V14*W14</f>
        <v>#N/A</v>
      </c>
      <c r="Y14" s="78" t="s">
        <v>97</v>
      </c>
      <c r="Z14" s="78"/>
      <c r="AA14" s="78" t="s">
        <v>98</v>
      </c>
      <c r="AB14" s="78"/>
      <c r="AC14" s="7" t="s">
        <v>99</v>
      </c>
      <c r="AD14" s="7"/>
      <c r="AE14" s="66"/>
      <c r="AF14" s="67"/>
      <c r="AI14" s="79">
        <f>AF10</f>
        <v>3</v>
      </c>
      <c r="AJ14" s="68">
        <f>VLOOKUP(AI14,STN_TABLE,2,FALSE)</f>
        <v>1.2</v>
      </c>
      <c r="AK14" s="68">
        <v>1</v>
      </c>
      <c r="AL14" s="69">
        <f>AJ14*AK14</f>
        <v>1.2</v>
      </c>
      <c r="AM14" s="78" t="s">
        <v>97</v>
      </c>
      <c r="AN14" s="78"/>
      <c r="AO14" s="78" t="s">
        <v>98</v>
      </c>
      <c r="AP14" s="78"/>
      <c r="AQ14" s="7" t="s">
        <v>99</v>
      </c>
      <c r="AR14" s="7"/>
      <c r="AS14" s="7"/>
      <c r="AT14" s="7"/>
    </row>
    <row r="15" spans="1:46" x14ac:dyDescent="0.25">
      <c r="A15">
        <v>12</v>
      </c>
      <c r="B15" s="80">
        <f t="shared" si="2"/>
        <v>7.8833333333333329</v>
      </c>
      <c r="C15" s="81">
        <f t="shared" si="3"/>
        <v>12.1</v>
      </c>
      <c r="D15" s="81">
        <f t="shared" si="4"/>
        <v>141.80129999999997</v>
      </c>
      <c r="E15" s="77">
        <f t="shared" si="5"/>
        <v>1539.3300989999996</v>
      </c>
      <c r="G15" s="91" t="str">
        <f>G5</f>
        <v>1st_UWL</v>
      </c>
      <c r="H15" s="91">
        <f>H5</f>
        <v>1.5</v>
      </c>
      <c r="I15" s="76">
        <f>H15</f>
        <v>1.5</v>
      </c>
      <c r="J15" s="77">
        <f>VLOOKUP(I15,STN_TABLE,2,FALSE)</f>
        <v>0.4</v>
      </c>
      <c r="K15" s="77">
        <v>8</v>
      </c>
      <c r="L15" s="77">
        <f>J15*K15</f>
        <v>3.2</v>
      </c>
      <c r="M15" s="77">
        <v>10</v>
      </c>
      <c r="N15" s="77">
        <f>J15*M15</f>
        <v>4</v>
      </c>
      <c r="O15" t="str">
        <f>CONCATENATE("A(",I15,")=")</f>
        <v>A(1.5)=</v>
      </c>
      <c r="P15" t="e">
        <f>2*P14/12*L17</f>
        <v>#VALUE!</v>
      </c>
      <c r="Q15" s="66" t="str">
        <f t="shared" si="7"/>
        <v>2nd_UWL</v>
      </c>
      <c r="R15" s="67">
        <f t="shared" si="7"/>
        <v>2</v>
      </c>
      <c r="S15" s="82">
        <f>R16</f>
        <v>3</v>
      </c>
      <c r="T15" s="83">
        <f>VLOOKUP(S15,STN_TABLE,2,FALSE)</f>
        <v>1.2</v>
      </c>
      <c r="U15" s="83">
        <v>1</v>
      </c>
      <c r="V15" s="83">
        <f>T15*U15</f>
        <v>1.2</v>
      </c>
      <c r="W15" s="83">
        <f>S15</f>
        <v>3</v>
      </c>
      <c r="X15" s="83">
        <f>V15*W15</f>
        <v>3.5999999999999996</v>
      </c>
      <c r="Y15" s="84" t="str">
        <f>CONCATENATE("a'(",S15,")=")</f>
        <v>a'(3)=</v>
      </c>
      <c r="Z15" s="84" t="e">
        <f>2*Z13/3*V16</f>
        <v>#N/A</v>
      </c>
      <c r="AA15" s="84" t="str">
        <f>CONCATENATE("A(",S13,")=")</f>
        <v>A(-)=</v>
      </c>
      <c r="AB15" s="84" t="e">
        <f>IF(S13=RisePerWLS,0,VLOOKUP(S13,STN_TABLE,3,FALSE))</f>
        <v>#N/A</v>
      </c>
      <c r="AC15" t="str">
        <f>CONCATENATE("A(",S15,")=")</f>
        <v>A(3)=</v>
      </c>
      <c r="AD15" t="e">
        <f>Z15+AB15</f>
        <v>#N/A</v>
      </c>
      <c r="AE15" s="80"/>
      <c r="AI15" s="88">
        <f>AF11</f>
        <v>4</v>
      </c>
      <c r="AJ15" s="82">
        <f>VLOOKUP(AI15,STN_TABLE,2,FALSE)</f>
        <v>2.4</v>
      </c>
      <c r="AK15" s="82">
        <v>2</v>
      </c>
      <c r="AL15" s="83">
        <f>AJ15*AK15</f>
        <v>4.8</v>
      </c>
      <c r="AM15" s="84" t="str">
        <f>CONCATENATE("a'(",AI15,")=")</f>
        <v>a'(4)=</v>
      </c>
      <c r="AN15" s="84">
        <f>2*AN13/2*AJ16</f>
        <v>6.4799999999999995</v>
      </c>
      <c r="AO15" s="84" t="str">
        <f>CONCATENATE("A(",AI14,")=")</f>
        <v>A(3)=</v>
      </c>
      <c r="AP15" s="84">
        <f>IF(AI14=RisePerWLS,0,VLOOKUP(AI14,STN_TABLE,3,FALSE))</f>
        <v>4.5</v>
      </c>
      <c r="AQ15" t="str">
        <f>CONCATENATE("A(",AI15,")=")</f>
        <v>A(4)=</v>
      </c>
      <c r="AR15">
        <f>AN15+AP15</f>
        <v>10.98</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2</v>
      </c>
      <c r="I16" s="82" t="str">
        <f>IF(H16-H15=H15-H14,H16,"#NA")</f>
        <v>#NA</v>
      </c>
      <c r="J16" s="83" t="e">
        <f>VLOOKUP(I16,STN_TABLE,2,FALSE)</f>
        <v>#N/A</v>
      </c>
      <c r="K16" s="83">
        <v>-1</v>
      </c>
      <c r="L16" s="83" t="e">
        <f>J16*K16</f>
        <v>#N/A</v>
      </c>
      <c r="M16" s="83">
        <v>-1</v>
      </c>
      <c r="N16" s="83" t="e">
        <f>J16*M16</f>
        <v>#N/A</v>
      </c>
      <c r="O16" t="str">
        <f>CONCATENATE("M(",I15,")=")</f>
        <v>M(1.5)=</v>
      </c>
      <c r="P16" t="e">
        <f>(2*(P14^2)/24*N17)+P15*I14*WLS</f>
        <v>#VALUE!</v>
      </c>
      <c r="Q16" s="66" t="str">
        <f t="shared" si="7"/>
        <v>3rd_UWL</v>
      </c>
      <c r="R16" s="67">
        <f t="shared" si="7"/>
        <v>3</v>
      </c>
      <c r="V16" s="89" t="e">
        <f>SUM(V13:V15)</f>
        <v>#N/A</v>
      </c>
      <c r="X16" s="89" t="e">
        <f>SUM(X13:X15)</f>
        <v>#VALUE!</v>
      </c>
      <c r="Y16" s="84" t="str">
        <f>CONCATENATE("m'(",S15,")=")</f>
        <v>m'(3)=</v>
      </c>
      <c r="Z16" s="84" t="e">
        <f>2*(Z13*WLS)/3*X16</f>
        <v>#N/A</v>
      </c>
      <c r="AA16" s="84" t="str">
        <f>CONCATENATE("M(",S13,")=")</f>
        <v>M(-)=</v>
      </c>
      <c r="AB16" s="84" t="e">
        <f>IF(S13=RisePerWLS,0,VLOOKUP(S13,STN_TABLE,4,FALSE))</f>
        <v>#N/A</v>
      </c>
      <c r="AC16" t="str">
        <f>CONCATENATE("M(",S15,")=")</f>
        <v>M(3)=</v>
      </c>
      <c r="AD16" t="e">
        <f>Z16+AB16</f>
        <v>#N/A</v>
      </c>
      <c r="AE16" s="80"/>
      <c r="AJ16" s="89">
        <f>SUM(AJ14:AJ15)</f>
        <v>3.5999999999999996</v>
      </c>
      <c r="AL16" s="89">
        <f>SUM(AL14:AL15)</f>
        <v>6</v>
      </c>
      <c r="AM16" s="84" t="str">
        <f>CONCATENATE("m'(",AI15,")=")</f>
        <v>m'(4)=</v>
      </c>
      <c r="AN16" s="84">
        <f>(2*(AN13^2)/6*AL16)+(AN15*AI14*WLS)</f>
        <v>41.471999999999994</v>
      </c>
      <c r="AO16" s="84" t="str">
        <f>CONCATENATE("M(",AI14,")=")</f>
        <v>M(3)=</v>
      </c>
      <c r="AP16" s="84">
        <f>IF(AI14=RisePerWLS,0,VLOOKUP(AI14,STN_TABLE,4,FALSE))</f>
        <v>18.609000000000002</v>
      </c>
      <c r="AQ16" t="str">
        <f>CONCATENATE("M(",AI15,")=")</f>
        <v>M(4)=</v>
      </c>
      <c r="AR16">
        <f>AN16+AP16</f>
        <v>60.080999999999996</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A(1.5)=</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M(1.5)=</v>
      </c>
      <c r="N19" t="e">
        <f>IF(OR(P15&lt;=0,P16&lt;=0),N23,P16)</f>
        <v>#VALUE!</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f>IF(OR(R24-R23=R23-R22,R25-R23=R23-R22),R22,IF(OR(R24-R23=R23-R21,R25-R23=R23-R21),R21,"-"))</f>
        <v>2</v>
      </c>
      <c r="T20" s="69">
        <f>IFERROR(VLOOKUP(S20,STN_TABLE,2,FALSE),IF(R20=RisePerWLS,0,"-"))</f>
        <v>0.7</v>
      </c>
      <c r="U20" s="69">
        <v>5</v>
      </c>
      <c r="V20" s="69">
        <f>T20*U20</f>
        <v>3.5</v>
      </c>
      <c r="W20" s="69">
        <v>3</v>
      </c>
      <c r="X20" s="69">
        <f>T20*W20</f>
        <v>2.0999999999999996</v>
      </c>
      <c r="Y20" s="6" t="s">
        <v>93</v>
      </c>
      <c r="Z20" s="70">
        <f>IF(AND(S22-S21=S21-S20,NOT(AND(S20=0,S21=0)),NOT(AND(S21=0,S22=0))),WLS*(S22-S21),"#NA")</f>
        <v>1.8</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1.0833333333333333</v>
      </c>
      <c r="J21" s="68">
        <v>0</v>
      </c>
      <c r="K21" s="68">
        <v>1</v>
      </c>
      <c r="L21" s="69">
        <f>J21*K21</f>
        <v>0</v>
      </c>
      <c r="M21" t="s">
        <v>93</v>
      </c>
      <c r="N21">
        <f>(I22-I21)*WLS</f>
        <v>0.75000000000000011</v>
      </c>
      <c r="Q21" s="66" t="str">
        <f t="shared" ref="Q21:R25" si="8">G5</f>
        <v>1st_UWL</v>
      </c>
      <c r="R21" s="67">
        <f t="shared" si="8"/>
        <v>1.5</v>
      </c>
      <c r="S21" s="76">
        <f>R23</f>
        <v>3</v>
      </c>
      <c r="T21" s="77">
        <f>VLOOKUP(S21,STN_TABLE,2,FALSE)</f>
        <v>1.2</v>
      </c>
      <c r="U21" s="77">
        <v>8</v>
      </c>
      <c r="V21" s="77">
        <f>T21*U21</f>
        <v>9.6</v>
      </c>
      <c r="W21" s="77">
        <v>10</v>
      </c>
      <c r="X21" s="77">
        <f>T21*W21</f>
        <v>12</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1.5</v>
      </c>
      <c r="J22" s="82">
        <f>VLOOKUP(I22,STN_TABLE,2,FALSE)</f>
        <v>0.4</v>
      </c>
      <c r="K22" s="82">
        <v>2</v>
      </c>
      <c r="L22" s="83">
        <f>J22*K22</f>
        <v>0.8</v>
      </c>
      <c r="M22" t="str">
        <f>CONCATENATE("A(",I22,")=")</f>
        <v>A(1.5)=</v>
      </c>
      <c r="N22">
        <f>2*N21/2*J23</f>
        <v>0.30000000000000004</v>
      </c>
      <c r="Q22" s="66" t="str">
        <f t="shared" si="8"/>
        <v>2nd_UWL</v>
      </c>
      <c r="R22" s="67">
        <f t="shared" si="8"/>
        <v>2</v>
      </c>
      <c r="S22" s="82">
        <f>IF(S20-S21=S21-R24,R24,IF(S20-S21=S21-R25,R25,"-"))</f>
        <v>4</v>
      </c>
      <c r="T22" s="83">
        <f>VLOOKUP(S22,STN_TABLE,2,FALSE)</f>
        <v>2.4</v>
      </c>
      <c r="U22" s="83">
        <v>-1</v>
      </c>
      <c r="V22" s="83">
        <f>T22*U22</f>
        <v>-2.4</v>
      </c>
      <c r="W22" s="83">
        <v>-1</v>
      </c>
      <c r="X22" s="83">
        <f>T22*W22</f>
        <v>-2.4</v>
      </c>
      <c r="Y22" s="84" t="str">
        <f>CONCATENATE("a'(",S21,")=")</f>
        <v>a'(3)=</v>
      </c>
      <c r="Z22" s="84">
        <f>2*Z20/12*V23</f>
        <v>3.2099999999999995</v>
      </c>
      <c r="AA22" s="84" t="str">
        <f>CONCATENATE("A(",S20,")=")</f>
        <v>A(2)=</v>
      </c>
      <c r="AB22" s="84">
        <f>IF(S20=RisePerWLS,0,VLOOKUP(S20,STN_TABLE,3,FALSE))</f>
        <v>1.29</v>
      </c>
      <c r="AC22" t="str">
        <f>CONCATENATE("A(",S21,")=")</f>
        <v>A(3)=</v>
      </c>
      <c r="AD22">
        <f>Z22+AB22</f>
        <v>4.5</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0.4</v>
      </c>
      <c r="L23" s="89">
        <f>SUM(L21:L22)</f>
        <v>0.8</v>
      </c>
      <c r="M23" t="str">
        <f>CONCATENATE("M(",I22,")=")</f>
        <v>M(1.5)=</v>
      </c>
      <c r="N23">
        <f>(2*(N21^2)/6*L23)+N22*I21*WLS</f>
        <v>0.7350000000000001</v>
      </c>
      <c r="Q23" s="66" t="str">
        <f t="shared" si="8"/>
        <v>3rd_UWL</v>
      </c>
      <c r="R23" s="67">
        <f t="shared" si="8"/>
        <v>3</v>
      </c>
      <c r="V23" s="89">
        <f>SUM(V20:V22)</f>
        <v>10.7</v>
      </c>
      <c r="X23" s="89">
        <f>SUM(X20:X22)</f>
        <v>11.7</v>
      </c>
      <c r="Y23" s="84" t="str">
        <f>CONCATENATE("m'(",S21,")=")</f>
        <v>m'(3)=</v>
      </c>
      <c r="Z23" s="84">
        <f>(2*(Z20^2)/24*X23)+(Z22*S20*WLS)</f>
        <v>14.715</v>
      </c>
      <c r="AA23" s="84" t="str">
        <f>CONCATENATE("M(",S20,")=")</f>
        <v>M(2)=</v>
      </c>
      <c r="AB23" s="84">
        <f>IF(S20=RisePerWLS,0,VLOOKUP(S20,STN_TABLE,4,FALSE))</f>
        <v>3.8940000000000001</v>
      </c>
      <c r="AC23" t="str">
        <f>CONCATENATE("M(",S21,")=")</f>
        <v>M(3)=</v>
      </c>
      <c r="AD23">
        <f>Z23+AB23</f>
        <v>18.609000000000002</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4</v>
      </c>
      <c r="U24" t="s">
        <v>103</v>
      </c>
      <c r="W24" t="str">
        <f>CONCATENATE("A(",S21,")=")</f>
        <v>A(3)=</v>
      </c>
      <c r="X24">
        <f>IF(OR(AD22&lt;=0,AD23&lt;=0),AD27,AD22)</f>
        <v>4.5</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f t="shared" si="8"/>
        <v>5</v>
      </c>
      <c r="W25" t="str">
        <f>CONCATENATE("M(",S21,")=")</f>
        <v>M(3)=</v>
      </c>
      <c r="X25">
        <f>IF(OR(AD22&lt;=0,AD23&lt;=0),AD28,AD23)</f>
        <v>18.609000000000002</v>
      </c>
      <c r="Y25" s="6" t="s">
        <v>93</v>
      </c>
      <c r="Z25" s="70">
        <f>WLS*(U27-U26)</f>
        <v>1.8</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1.0833333333333333</v>
      </c>
      <c r="I26" s="68">
        <f>H26</f>
        <v>1.0833333333333333</v>
      </c>
      <c r="J26" s="69">
        <v>0</v>
      </c>
      <c r="K26" s="69">
        <v>1</v>
      </c>
      <c r="L26" s="69">
        <f>J26*K26</f>
        <v>0</v>
      </c>
      <c r="M26" s="69">
        <f>I26</f>
        <v>1.0833333333333333</v>
      </c>
      <c r="N26" s="69">
        <f>L26*M26</f>
        <v>0</v>
      </c>
      <c r="O26" t="s">
        <v>93</v>
      </c>
      <c r="P26" t="e">
        <f>IF(OR(J26=0,J27=0,J28=0),"#NA",IF(I28-I27=I27-I26,WLS*(I27-I26),"#NA"))</f>
        <v>#N/A</v>
      </c>
      <c r="Q26" s="66"/>
      <c r="R26" s="67"/>
      <c r="U26" s="79">
        <f>R22</f>
        <v>2</v>
      </c>
      <c r="V26" s="68">
        <f>VLOOKUP(U26,STN_TABLE,2,FALSE)</f>
        <v>0.7</v>
      </c>
      <c r="W26" s="68">
        <v>1</v>
      </c>
      <c r="X26" s="69">
        <f>V26*W26</f>
        <v>0.7</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1.5</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3</v>
      </c>
      <c r="V27" s="82">
        <f>VLOOKUP(U27,STN_TABLE,2,FALSE)</f>
        <v>1.2</v>
      </c>
      <c r="W27" s="82">
        <v>2</v>
      </c>
      <c r="X27" s="83">
        <f>V27*W27</f>
        <v>2.4</v>
      </c>
      <c r="Y27" s="84" t="str">
        <f>CONCATENATE("a'(",U27,")=")</f>
        <v>a'(3)=</v>
      </c>
      <c r="Z27" s="84">
        <f>2*Z25/2*V28</f>
        <v>3.42</v>
      </c>
      <c r="AA27" s="84" t="str">
        <f>CONCATENATE("A(",U26,")=")</f>
        <v>A(2)=</v>
      </c>
      <c r="AB27" s="84">
        <f>IF(U26=RisePerWLS,0,VLOOKUP(U26,STN_TABLE,3,FALSE))</f>
        <v>1.29</v>
      </c>
      <c r="AC27" t="str">
        <f>CONCATENATE("A(",U27,")=")</f>
        <v>A(3)=</v>
      </c>
      <c r="AD27">
        <f>Z27+AB27</f>
        <v>4.71</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2</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1.9</v>
      </c>
      <c r="X28" s="89">
        <f>SUM(X26:X27)</f>
        <v>3.0999999999999996</v>
      </c>
      <c r="Y28" s="84" t="str">
        <f>CONCATENATE("m'(",U27,")=")</f>
        <v>m'(3)=</v>
      </c>
      <c r="Z28" s="84">
        <f>(2*(Z25^2)/6*X28)+(Z27*U26*WLS)</f>
        <v>15.66</v>
      </c>
      <c r="AA28" s="84" t="str">
        <f>CONCATENATE("M(",U26,")=")</f>
        <v>M(2)=</v>
      </c>
      <c r="AB28" s="84">
        <f>IF(U26=RisePerWLS,0,VLOOKUP(U26,STN_TABLE,4,FALSE))</f>
        <v>3.8940000000000001</v>
      </c>
      <c r="AC28" t="str">
        <f>CONCATENATE("M(",U27,")=")</f>
        <v>M(3)=</v>
      </c>
      <c r="AD28">
        <f>Z28+AB28</f>
        <v>19.554000000000002</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0</v>
      </c>
      <c r="S33" s="77">
        <v>8</v>
      </c>
      <c r="T33" s="76">
        <f>R33*S33</f>
        <v>0</v>
      </c>
      <c r="U33" s="80">
        <v>10</v>
      </c>
      <c r="V33" s="76">
        <f>R33*U33</f>
        <v>0</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0</v>
      </c>
      <c r="S34" s="83">
        <v>-1</v>
      </c>
      <c r="T34" s="82">
        <f>R34*S34</f>
        <v>0</v>
      </c>
      <c r="U34" s="88">
        <v>-1</v>
      </c>
      <c r="V34" s="82">
        <f>R34*U34</f>
        <v>0</v>
      </c>
      <c r="W34" s="84" t="str">
        <f>CONCATENATE("a'(",Q33,")=")</f>
        <v>a'(0.5)=</v>
      </c>
      <c r="X34" s="84">
        <f>2*X32/12*T35</f>
        <v>0</v>
      </c>
      <c r="Y34" s="84" t="str">
        <f>CONCATENATE("A(",Q32,")=")</f>
        <v>A(0)=</v>
      </c>
      <c r="Z34" s="84">
        <f>VLOOKUP(Q32,STN_TABLE,3,FALSE)</f>
        <v>0</v>
      </c>
      <c r="AA34" t="str">
        <f>CONCATENATE("A(",Q33,")=")</f>
        <v>A(0.5)=</v>
      </c>
      <c r="AB34">
        <f>X34+Z34</f>
        <v>0</v>
      </c>
      <c r="AC34" s="99">
        <f>AC33+1</f>
        <v>2</v>
      </c>
      <c r="AD34" s="100">
        <f>VLOOKUP(AC34,STN_TABLE_2,2,FALSE)</f>
        <v>0.5</v>
      </c>
      <c r="AE34" s="82">
        <f>VLOOKUP(AD34,STN_TABLE,2,FALSE)</f>
        <v>0</v>
      </c>
      <c r="AF34" s="82">
        <v>2</v>
      </c>
      <c r="AG34" s="83">
        <f>AE34*AF34</f>
        <v>0</v>
      </c>
      <c r="AH34" s="84" t="str">
        <f>CONCATENATE("a'(",AD34,")=")</f>
        <v>a'(0.5)=</v>
      </c>
      <c r="AI34" s="84">
        <f>2*AI32/2*AE35</f>
        <v>0</v>
      </c>
      <c r="AJ34" s="84" t="str">
        <f>CONCATENATE("A(",AD33,")=")</f>
        <v>A(0)=</v>
      </c>
      <c r="AK34" s="84">
        <f>VLOOKUP(AD33,STN_TABLE,3,FALSE)</f>
        <v>0</v>
      </c>
      <c r="AL34" t="str">
        <f>CONCATENATE("A(",AD34,")=")</f>
        <v>A(0.5)=</v>
      </c>
      <c r="AM34">
        <f>AI34+AK34</f>
        <v>0</v>
      </c>
      <c r="AO34" s="68" t="str">
        <f>AA34</f>
        <v>A(0.5)=</v>
      </c>
      <c r="AP34" s="79" t="e">
        <f>VLOOKUP(AO34,Rise_Results,2,FALSE)</f>
        <v>#N/A</v>
      </c>
      <c r="AQ34" s="76" t="s">
        <v>117</v>
      </c>
      <c r="AR34" s="76" t="e">
        <f>IF(OR(AB34&lt;=0,AB35&lt;=0),1/0,AB34)</f>
        <v>#DIV/0!</v>
      </c>
      <c r="AS34" s="76">
        <f>AM34</f>
        <v>0</v>
      </c>
      <c r="AT34" s="80">
        <f>IFERROR(AP34,IFERROR(AR34,AS34))</f>
        <v>0</v>
      </c>
    </row>
    <row r="35" spans="1:47" x14ac:dyDescent="0.25">
      <c r="A35" s="101"/>
      <c r="T35" s="89">
        <f>SUM(T32:T34)</f>
        <v>0</v>
      </c>
      <c r="V35" s="82">
        <f>SUM(V32:V34)</f>
        <v>0</v>
      </c>
      <c r="W35" s="84" t="str">
        <f>CONCATENATE("m'(",Q33,")=")</f>
        <v>m'(0.5)=</v>
      </c>
      <c r="X35" s="84">
        <f>(2*(X32^2)/24*V35)</f>
        <v>0</v>
      </c>
      <c r="Y35" s="84" t="str">
        <f>CONCATENATE("M(",Q32,")=")</f>
        <v>M(0)=</v>
      </c>
      <c r="Z35" s="84">
        <f>VLOOKUP(Q32,STN_TABLE,4,FALSE)</f>
        <v>0</v>
      </c>
      <c r="AA35" t="str">
        <f>CONCATENATE("M(",Q33,")=")</f>
        <v>M(0.5)=</v>
      </c>
      <c r="AB35">
        <f>X35+Z35</f>
        <v>0</v>
      </c>
      <c r="AE35" s="89">
        <f>SUM(AE33:AE34)</f>
        <v>0</v>
      </c>
      <c r="AG35" s="89">
        <f>SUM(AG33:AG34)</f>
        <v>0</v>
      </c>
      <c r="AH35" s="84" t="str">
        <f>CONCATENATE("m'(",AD34,")=")</f>
        <v>m'(0.5)=</v>
      </c>
      <c r="AI35" s="84">
        <f>(2*(AI32^2)/6*AG35)+(AI34*AD33*WLS)</f>
        <v>0</v>
      </c>
      <c r="AJ35" s="84" t="str">
        <f>CONCATENATE("M(",AD33,")=")</f>
        <v>M(0)=</v>
      </c>
      <c r="AK35" s="84">
        <f>VLOOKUP(AD33,STN_TABLE,4,FALSE)</f>
        <v>0</v>
      </c>
      <c r="AL35" t="str">
        <f>CONCATENATE("M(",AD34,")=")</f>
        <v>M(0.5)=</v>
      </c>
      <c r="AM35">
        <f>AI35+AK35</f>
        <v>0</v>
      </c>
      <c r="AO35" s="82" t="str">
        <f>AA35</f>
        <v>M(0.5)=</v>
      </c>
      <c r="AP35" s="88" t="e">
        <f>VLOOKUP(AO35,Rise_Results,2,FALSE)</f>
        <v>#N/A</v>
      </c>
      <c r="AQ35" s="82" t="s">
        <v>117</v>
      </c>
      <c r="AR35" s="82" t="e">
        <f>IF(OR(AB34&lt;=0,AB35&lt;=0),1/0,AB35)</f>
        <v>#DIV/0!</v>
      </c>
      <c r="AS35" s="82">
        <f>AM35</f>
        <v>0</v>
      </c>
      <c r="AT35" s="80">
        <f>IFERROR(AP35,IFERROR(AR35,AS35))</f>
        <v>0</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0</v>
      </c>
      <c r="S37" s="69">
        <v>5</v>
      </c>
      <c r="T37" s="68">
        <f>R37*S37</f>
        <v>0</v>
      </c>
      <c r="U37" s="79">
        <v>3</v>
      </c>
      <c r="V37" s="68">
        <f>R37*U37</f>
        <v>0</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0</v>
      </c>
      <c r="E38" s="81">
        <v>4</v>
      </c>
      <c r="F38" s="76">
        <f>D38*E38</f>
        <v>0</v>
      </c>
      <c r="G38" s="77">
        <f>C38</f>
        <v>0.5</v>
      </c>
      <c r="H38" s="77">
        <f>F38*G38</f>
        <v>0</v>
      </c>
      <c r="I38" s="513" t="s">
        <v>97</v>
      </c>
      <c r="J38" s="513"/>
      <c r="K38" s="78" t="s">
        <v>98</v>
      </c>
      <c r="L38" s="78"/>
      <c r="M38" s="7" t="s">
        <v>99</v>
      </c>
      <c r="N38" s="7"/>
      <c r="O38" s="99">
        <f>O37+1</f>
        <v>3</v>
      </c>
      <c r="P38" s="99">
        <f t="shared" si="10"/>
        <v>1</v>
      </c>
      <c r="Q38" s="76">
        <f>P38</f>
        <v>1</v>
      </c>
      <c r="R38" s="77">
        <f>VLOOKUP(Q38,STN_TABLE,2,FALSE)</f>
        <v>0</v>
      </c>
      <c r="S38" s="77">
        <v>8</v>
      </c>
      <c r="T38" s="76">
        <f>R38*S38</f>
        <v>0</v>
      </c>
      <c r="U38" s="80">
        <v>10</v>
      </c>
      <c r="V38" s="76">
        <f>R38*U38</f>
        <v>0</v>
      </c>
      <c r="W38" s="513" t="s">
        <v>97</v>
      </c>
      <c r="X38" s="513"/>
      <c r="Y38" s="513" t="s">
        <v>98</v>
      </c>
      <c r="Z38" s="513"/>
      <c r="AA38" s="511" t="s">
        <v>99</v>
      </c>
      <c r="AB38" s="511"/>
      <c r="AC38" s="99">
        <f>AC33+1</f>
        <v>2</v>
      </c>
      <c r="AD38" s="95">
        <f>VLOOKUP(AC38,STN_TABLE_2,2,FALSE)</f>
        <v>0.5</v>
      </c>
      <c r="AE38" s="68">
        <f>VLOOKUP(AD38,STN_TABLE,2,FALSE)</f>
        <v>0</v>
      </c>
      <c r="AF38" s="68">
        <v>1</v>
      </c>
      <c r="AG38" s="69">
        <f>AE38*AF38</f>
        <v>0</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0</v>
      </c>
      <c r="E39" s="92">
        <v>1</v>
      </c>
      <c r="F39" s="82">
        <f>D39*E39</f>
        <v>0</v>
      </c>
      <c r="G39" s="83">
        <f>C39</f>
        <v>1</v>
      </c>
      <c r="H39" s="83">
        <f>F39*G39</f>
        <v>0</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0.4</v>
      </c>
      <c r="S39" s="83">
        <v>-1</v>
      </c>
      <c r="T39" s="82">
        <f>R39*S39</f>
        <v>-0.4</v>
      </c>
      <c r="U39" s="88">
        <v>-1</v>
      </c>
      <c r="V39" s="82">
        <f>R39*U39</f>
        <v>-0.4</v>
      </c>
      <c r="W39" s="84" t="str">
        <f>CONCATENATE("a'(",Q38,")=")</f>
        <v>a'(1)=</v>
      </c>
      <c r="X39" s="84">
        <f>2*X37/12*T40</f>
        <v>-0.06</v>
      </c>
      <c r="Y39" s="84" t="str">
        <f>CONCATENATE("A(",Q37,")=")</f>
        <v>A(0.5)=</v>
      </c>
      <c r="Z39" s="84">
        <f>VLOOKUP(Q37,STN_TABLE,3,FALSE)</f>
        <v>0</v>
      </c>
      <c r="AA39" t="str">
        <f>CONCATENATE("A(",Q38,")=")</f>
        <v>A(1)=</v>
      </c>
      <c r="AB39">
        <f>X39+Z39</f>
        <v>-0.06</v>
      </c>
      <c r="AC39" s="99">
        <f>AC38+1</f>
        <v>3</v>
      </c>
      <c r="AD39" s="100">
        <f>VLOOKUP(AC39,STN_TABLE_2,2,FALSE)</f>
        <v>1</v>
      </c>
      <c r="AE39" s="82">
        <f>VLOOKUP(AD39,STN_TABLE,2,FALSE)</f>
        <v>0</v>
      </c>
      <c r="AF39" s="82">
        <v>2</v>
      </c>
      <c r="AG39" s="83">
        <f>AE39*AF39</f>
        <v>0</v>
      </c>
      <c r="AH39" s="84" t="str">
        <f>CONCATENATE("a'(",AD39,")=")</f>
        <v>a'(1)=</v>
      </c>
      <c r="AI39" s="84">
        <f>2*AI37/2*AE40</f>
        <v>0</v>
      </c>
      <c r="AJ39" s="84" t="str">
        <f>CONCATENATE("A(",AD38,")=")</f>
        <v>A(0.5)=</v>
      </c>
      <c r="AK39" s="84">
        <f>VLOOKUP(AD38,STN_TABLE,3,FALSE)</f>
        <v>0</v>
      </c>
      <c r="AL39" t="str">
        <f>CONCATENATE("A(",AD39,")=")</f>
        <v>A(1)=</v>
      </c>
      <c r="AM39">
        <f>AI39+AK39</f>
        <v>0</v>
      </c>
      <c r="AO39" s="68" t="str">
        <f>AA39</f>
        <v>A(1)=</v>
      </c>
      <c r="AP39" s="68" t="e">
        <f>VLOOKUP(AO39,Rise_Results,2,FALSE)</f>
        <v>#N/A</v>
      </c>
      <c r="AQ39" s="76" t="e">
        <f>N39</f>
        <v>#VALUE!</v>
      </c>
      <c r="AR39" s="76" t="e">
        <f>IF(OR(AB39&lt;=0,AB40&lt;=0),1/0,AB39)</f>
        <v>#DIV/0!</v>
      </c>
      <c r="AS39" s="76">
        <f>AM39</f>
        <v>0</v>
      </c>
      <c r="AT39">
        <f>IFERROR(AP39,IFERROR(AQ39,IFERROR(AR39,AS39)))</f>
        <v>0</v>
      </c>
    </row>
    <row r="40" spans="1:47" x14ac:dyDescent="0.25">
      <c r="A40">
        <v>4</v>
      </c>
      <c r="F40" s="82">
        <f>SUM(F37:F39)</f>
        <v>0</v>
      </c>
      <c r="H40" s="82">
        <f>SUM(H37:H39)</f>
        <v>0</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-0.4</v>
      </c>
      <c r="V40" s="82">
        <f>SUM(V37:V39)</f>
        <v>-0.4</v>
      </c>
      <c r="W40" s="84" t="str">
        <f>CONCATENATE("m'(",Q38,")=")</f>
        <v>m'(1)=</v>
      </c>
      <c r="X40" s="84">
        <f>(2*(X37^2)/24*V40)+(X39*Q37*WLS)</f>
        <v>-8.1000000000000003E-2</v>
      </c>
      <c r="Y40" s="84" t="str">
        <f>CONCATENATE("M(",Q37,")=")</f>
        <v>M(0.5)=</v>
      </c>
      <c r="Z40" s="84">
        <f>VLOOKUP(Q37,STN_TABLE,4,FALSE)</f>
        <v>0</v>
      </c>
      <c r="AA40" t="str">
        <f>CONCATENATE("M(",Q38,")=")</f>
        <v>M(1)=</v>
      </c>
      <c r="AB40">
        <f>X40+Z40</f>
        <v>-8.1000000000000003E-2</v>
      </c>
      <c r="AE40" s="89">
        <f>SUM(AE38:AE39)</f>
        <v>0</v>
      </c>
      <c r="AG40" s="89">
        <f>SUM(AG38:AG39)</f>
        <v>0</v>
      </c>
      <c r="AH40" s="84" t="str">
        <f>CONCATENATE("m'(",AD39,")=")</f>
        <v>m'(1)=</v>
      </c>
      <c r="AI40" s="84">
        <f>(2*(AI37^2)/6*AG40)+(AI39*AD38*WLS)</f>
        <v>0</v>
      </c>
      <c r="AJ40" s="84" t="str">
        <f>CONCATENATE("M(",AD38,")=")</f>
        <v>M(0.5)=</v>
      </c>
      <c r="AK40" s="84">
        <f>VLOOKUP(AD38,STN_TABLE,4,FALSE)</f>
        <v>0</v>
      </c>
      <c r="AL40" t="str">
        <f>CONCATENATE("M(",AD39,")=")</f>
        <v>M(1)=</v>
      </c>
      <c r="AM40">
        <f>AI40+AK40</f>
        <v>0</v>
      </c>
      <c r="AO40" s="82" t="str">
        <f>AA40</f>
        <v>M(1)=</v>
      </c>
      <c r="AP40" s="82" t="e">
        <f>VLOOKUP(AO40,Rise_Results,2,FALSE)</f>
        <v>#N/A</v>
      </c>
      <c r="AQ40" s="82" t="e">
        <f>N40</f>
        <v>#VALUE!</v>
      </c>
      <c r="AR40" s="82" t="e">
        <f>IF(OR(AB39&lt;=0,AB40&lt;=0),1/0,AB40)</f>
        <v>#DIV/0!</v>
      </c>
      <c r="AS40" s="82">
        <f>AM40</f>
        <v>0</v>
      </c>
      <c r="AT40">
        <f>IFERROR(AP40,IFERROR(AQ40,IFERROR(AR40,AS40)))</f>
        <v>0</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0</v>
      </c>
      <c r="E42" s="102">
        <v>1</v>
      </c>
      <c r="F42" s="68">
        <f>D42*E42</f>
        <v>0</v>
      </c>
      <c r="G42" s="69">
        <f>C42</f>
        <v>0.5</v>
      </c>
      <c r="H42" s="69">
        <f>F42*G42</f>
        <v>0</v>
      </c>
      <c r="I42" s="6" t="s">
        <v>93</v>
      </c>
      <c r="J42" s="70" t="str">
        <f>IF(OR(D42=0,D43=0,D44=0),"#NA",IF(AND(C44-C43=C43-C42,C43&lt;&gt;C44,C42&lt;&gt;C43,C42&lt;&gt;C44,D44&lt;&gt;0,OR(D42&lt;&gt;0,D43&lt;&gt;0)),WLS*(C44-C43),"#NA"))</f>
        <v>#NA</v>
      </c>
      <c r="O42" s="99">
        <f>O41+1</f>
        <v>3</v>
      </c>
      <c r="P42" s="99">
        <f t="shared" si="10"/>
        <v>1</v>
      </c>
      <c r="Q42" s="68">
        <f>IF(OR(P44-P43=P43-P42,P45-P43=P43-P42),P42,IF(OR(P44-P43=P43-P41,P45-P43=P43-P41),P41,"-"))</f>
        <v>1</v>
      </c>
      <c r="R42" s="69">
        <f>VLOOKUP(Q42,STN_TABLE,2,FALSE)</f>
        <v>0</v>
      </c>
      <c r="S42" s="69">
        <v>5</v>
      </c>
      <c r="T42" s="68">
        <f>R42*S42</f>
        <v>0</v>
      </c>
      <c r="U42" s="79">
        <v>3</v>
      </c>
      <c r="V42" s="68">
        <f>R42*U42</f>
        <v>0</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0</v>
      </c>
      <c r="E43" s="81">
        <v>4</v>
      </c>
      <c r="F43" s="76">
        <f>D43*E43</f>
        <v>0</v>
      </c>
      <c r="G43" s="77">
        <f>C43</f>
        <v>1</v>
      </c>
      <c r="H43" s="77">
        <f>F43*G43</f>
        <v>0</v>
      </c>
      <c r="I43" s="513" t="s">
        <v>97</v>
      </c>
      <c r="J43" s="513"/>
      <c r="K43" s="78" t="s">
        <v>98</v>
      </c>
      <c r="L43" s="78"/>
      <c r="M43" s="7" t="s">
        <v>99</v>
      </c>
      <c r="N43" s="7"/>
      <c r="O43" s="99">
        <f>O42+1</f>
        <v>4</v>
      </c>
      <c r="P43" s="99">
        <f t="shared" si="10"/>
        <v>1.5</v>
      </c>
      <c r="Q43" s="76">
        <f>P43</f>
        <v>1.5</v>
      </c>
      <c r="R43" s="77">
        <f>VLOOKUP(Q43,STN_TABLE,2,FALSE)</f>
        <v>0.4</v>
      </c>
      <c r="S43" s="77">
        <v>8</v>
      </c>
      <c r="T43" s="76">
        <f>R43*S43</f>
        <v>3.2</v>
      </c>
      <c r="U43" s="80">
        <v>10</v>
      </c>
      <c r="V43" s="76">
        <f>R43*U43</f>
        <v>4</v>
      </c>
      <c r="W43" s="513" t="s">
        <v>97</v>
      </c>
      <c r="X43" s="513"/>
      <c r="Y43" s="513" t="s">
        <v>98</v>
      </c>
      <c r="Z43" s="513"/>
      <c r="AA43" s="511" t="s">
        <v>99</v>
      </c>
      <c r="AB43" s="511"/>
      <c r="AC43" s="99">
        <f>AC38+1</f>
        <v>3</v>
      </c>
      <c r="AD43" s="95">
        <f>VLOOKUP(AC43,STN_TABLE_2,2,FALSE)</f>
        <v>1</v>
      </c>
      <c r="AE43" s="68">
        <f>VLOOKUP(AD43,STN_TABLE,2,FALSE)</f>
        <v>0</v>
      </c>
      <c r="AF43" s="68">
        <v>1</v>
      </c>
      <c r="AG43" s="69">
        <f>AE43*AF43</f>
        <v>0</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0.4</v>
      </c>
      <c r="E44" s="92">
        <v>1</v>
      </c>
      <c r="F44" s="82">
        <f>D44*E44</f>
        <v>0.4</v>
      </c>
      <c r="G44" s="83">
        <f>C44</f>
        <v>1.5</v>
      </c>
      <c r="H44" s="83">
        <f>F44*G44</f>
        <v>0.60000000000000009</v>
      </c>
      <c r="I44" s="84" t="str">
        <f>CONCATENATE("a'(",C44,")=")</f>
        <v>a'(1.5)=</v>
      </c>
      <c r="J44" s="84" t="e">
        <f>2*J42/3*F45</f>
        <v>#VALUE!</v>
      </c>
      <c r="K44" s="84" t="str">
        <f>CONCATENATE("A(",C42,")=")</f>
        <v>A(0.5)=</v>
      </c>
      <c r="L44" s="84">
        <f>VLOOKUP(C42,STN_TABLE,3,FALSE)</f>
        <v>0</v>
      </c>
      <c r="M44" t="str">
        <f>CONCATENATE("A(",C44,")=")</f>
        <v>A(1.5)=</v>
      </c>
      <c r="N44" t="e">
        <f>J44+L44</f>
        <v>#VALUE!</v>
      </c>
      <c r="O44" s="99">
        <f>O43+1</f>
        <v>5</v>
      </c>
      <c r="P44" s="99">
        <f t="shared" si="10"/>
        <v>2</v>
      </c>
      <c r="Q44" s="82">
        <f>IF(P44-P43=P43-P42,P44,IF(P45-P43=P43-P42,P45,IF(P44-P43=P43-P41,P44,IF(P45-P43=P43-P41,P45,"-"))))</f>
        <v>2</v>
      </c>
      <c r="R44" s="83">
        <f>VLOOKUP(Q44,STN_TABLE,2,FALSE)</f>
        <v>0.7</v>
      </c>
      <c r="S44" s="83">
        <v>-1</v>
      </c>
      <c r="T44" s="82">
        <f>R44*S44</f>
        <v>-0.7</v>
      </c>
      <c r="U44" s="88">
        <v>-1</v>
      </c>
      <c r="V44" s="82">
        <f>R44*U44</f>
        <v>-0.7</v>
      </c>
      <c r="W44" s="84" t="str">
        <f>CONCATENATE("a'(",Q43,")=")</f>
        <v>a'(1.5)=</v>
      </c>
      <c r="X44" s="84">
        <f>2*X42/12*T45</f>
        <v>0.375</v>
      </c>
      <c r="Y44" s="84" t="str">
        <f>CONCATENATE("A(",Q42,")=")</f>
        <v>A(1)=</v>
      </c>
      <c r="Z44" s="84">
        <f>VLOOKUP(Q42,STN_TABLE,3,FALSE)</f>
        <v>0</v>
      </c>
      <c r="AA44" t="str">
        <f>CONCATENATE("A(",Q43,")=")</f>
        <v>A(1.5)=</v>
      </c>
      <c r="AB44">
        <f>X44+Z44</f>
        <v>0.375</v>
      </c>
      <c r="AC44" s="99">
        <f>AC43+1</f>
        <v>4</v>
      </c>
      <c r="AD44" s="100">
        <f>VLOOKUP(AC44,STN_TABLE_2,2,FALSE)</f>
        <v>1.5</v>
      </c>
      <c r="AE44" s="82">
        <f>VLOOKUP(AD44,STN_TABLE,2,FALSE)</f>
        <v>0.4</v>
      </c>
      <c r="AF44" s="82">
        <v>2</v>
      </c>
      <c r="AG44" s="83">
        <f>AE44*AF44</f>
        <v>0.8</v>
      </c>
      <c r="AH44" s="84" t="str">
        <f>CONCATENATE("a'(",AD44,")=")</f>
        <v>a'(1.5)=</v>
      </c>
      <c r="AI44" s="84">
        <f>2*AI42/2*AE45</f>
        <v>0.36000000000000004</v>
      </c>
      <c r="AJ44" s="84" t="str">
        <f>CONCATENATE("A(",AD43,")=")</f>
        <v>A(1)=</v>
      </c>
      <c r="AK44" s="84">
        <f>VLOOKUP(AD43,STN_TABLE,3,FALSE)</f>
        <v>0</v>
      </c>
      <c r="AL44" t="str">
        <f>CONCATENATE("A(",AD44,")=")</f>
        <v>A(1.5)=</v>
      </c>
      <c r="AM44">
        <f>AI44+AK44</f>
        <v>0.36000000000000004</v>
      </c>
      <c r="AO44" s="68" t="str">
        <f>AA44</f>
        <v>A(1.5)=</v>
      </c>
      <c r="AP44" s="68">
        <f>VLOOKUP(AO44,Rise_Results,2,FALSE)</f>
        <v>0.30000000000000004</v>
      </c>
      <c r="AQ44" s="76" t="e">
        <f>N44</f>
        <v>#VALUE!</v>
      </c>
      <c r="AR44" s="76">
        <f>IF(OR(AB44&lt;=0,AB45&lt;=0),1/0,AB44)</f>
        <v>0.375</v>
      </c>
      <c r="AS44" s="76">
        <f>AM44</f>
        <v>0.36000000000000004</v>
      </c>
      <c r="AT44">
        <f>IFERROR(AP44,IFERROR(AQ44,IFERROR(AR44,AS44)))</f>
        <v>0.30000000000000004</v>
      </c>
      <c r="AU44" s="81"/>
    </row>
    <row r="45" spans="1:47" x14ac:dyDescent="0.25">
      <c r="A45" s="94">
        <f>A44+1</f>
        <v>4</v>
      </c>
      <c r="B45" s="94">
        <f t="shared" si="11"/>
        <v>1.5</v>
      </c>
      <c r="F45" s="82">
        <f>SUM(F42:F44)</f>
        <v>0.4</v>
      </c>
      <c r="H45" s="82">
        <f>SUM(H42:H44)</f>
        <v>0.60000000000000009</v>
      </c>
      <c r="I45" s="84" t="str">
        <f>CONCATENATE("m'(",C44,")=")</f>
        <v>m'(1.5)=</v>
      </c>
      <c r="J45" s="84" t="e">
        <f>2*(J42*(WLS))/3*H45</f>
        <v>#VALUE!</v>
      </c>
      <c r="K45" s="84" t="str">
        <f>CONCATENATE("M(",C42,")=")</f>
        <v>M(0.5)=</v>
      </c>
      <c r="L45" s="84">
        <f>VLOOKUP(C42,STN_TABLE,4,FALSE)</f>
        <v>0</v>
      </c>
      <c r="M45" t="str">
        <f>CONCATENATE("M(",C44,")=")</f>
        <v>M(1.5)=</v>
      </c>
      <c r="N45" t="e">
        <f>J45+L45</f>
        <v>#VALUE!</v>
      </c>
      <c r="O45" s="99">
        <f>O44+1</f>
        <v>6</v>
      </c>
      <c r="P45" s="99">
        <f t="shared" si="10"/>
        <v>3</v>
      </c>
      <c r="T45" s="89">
        <f>SUM(T42:T44)</f>
        <v>2.5</v>
      </c>
      <c r="V45" s="82">
        <f>SUM(V42:V44)</f>
        <v>3.3</v>
      </c>
      <c r="W45" s="84" t="str">
        <f>CONCATENATE("m'(",Q43,")=")</f>
        <v>m'(1.5)=</v>
      </c>
      <c r="X45" s="84">
        <f>(2*(X42^2)/24*V45)+(X44*Q42*WLS)</f>
        <v>0.89775000000000005</v>
      </c>
      <c r="Y45" s="84" t="str">
        <f>CONCATENATE("M(",Q42,")=")</f>
        <v>M(1)=</v>
      </c>
      <c r="Z45" s="84">
        <f>VLOOKUP(Q42,STN_TABLE,4,FALSE)</f>
        <v>0</v>
      </c>
      <c r="AA45" t="str">
        <f>CONCATENATE("M(",Q43,")=")</f>
        <v>M(1.5)=</v>
      </c>
      <c r="AB45">
        <f>X45+Z45</f>
        <v>0.89775000000000005</v>
      </c>
      <c r="AE45" s="89">
        <f>SUM(AE43:AE44)</f>
        <v>0.4</v>
      </c>
      <c r="AG45" s="89">
        <f>SUM(AG43:AG44)</f>
        <v>0.8</v>
      </c>
      <c r="AH45" s="84" t="str">
        <f>CONCATENATE("m'(",AD44,")=")</f>
        <v>m'(1.5)=</v>
      </c>
      <c r="AI45" s="84">
        <f>(2*(AI42^2)/6*AG45)+(AI44*AD43*WLS)</f>
        <v>0.8640000000000001</v>
      </c>
      <c r="AJ45" s="84" t="str">
        <f>CONCATENATE("M(",AD43,")=")</f>
        <v>M(1)=</v>
      </c>
      <c r="AK45" s="84">
        <f>VLOOKUP(AD43,STN_TABLE,4,FALSE)</f>
        <v>0</v>
      </c>
      <c r="AL45" t="str">
        <f>CONCATENATE("M(",AD44,")=")</f>
        <v>M(1.5)=</v>
      </c>
      <c r="AM45">
        <f>AI45+AK45</f>
        <v>0.8640000000000001</v>
      </c>
      <c r="AO45" s="82" t="str">
        <f>AA45</f>
        <v>M(1.5)=</v>
      </c>
      <c r="AP45" s="82">
        <f>VLOOKUP(AO45,Rise_Results,2,FALSE)</f>
        <v>0.7350000000000001</v>
      </c>
      <c r="AQ45" s="82" t="e">
        <f>N45</f>
        <v>#VALUE!</v>
      </c>
      <c r="AR45" s="82">
        <f>IF(OR(AB44&lt;=0,AB45&lt;=0),1/0,AB45)</f>
        <v>0.89775000000000005</v>
      </c>
      <c r="AS45" s="82">
        <f>AM45</f>
        <v>0.8640000000000001</v>
      </c>
      <c r="AT45">
        <f>IFERROR(AP45,IFERROR(AQ45,IFERROR(AR45,AS45)))</f>
        <v>0.7350000000000001</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0</v>
      </c>
      <c r="E47" s="102">
        <v>1</v>
      </c>
      <c r="F47" s="68">
        <f>D47*E47</f>
        <v>0</v>
      </c>
      <c r="G47" s="69">
        <f>C47</f>
        <v>1</v>
      </c>
      <c r="H47" s="69">
        <f>F47*G47</f>
        <v>0</v>
      </c>
      <c r="I47" s="6" t="s">
        <v>93</v>
      </c>
      <c r="J47" s="70" t="str">
        <f>IF(OR(D47=0,D48=0,D49=0),"#NA",IF(AND(C49-C48=C48-C47,C48&lt;&gt;C49,C47&lt;&gt;C48,C47&lt;&gt;C49,D49&lt;&gt;0,OR(D47&lt;&gt;0,D48&lt;&gt;0)),WLS*(C49-C48),"#NA"))</f>
        <v>#NA</v>
      </c>
      <c r="O47" s="99">
        <f>O46+1</f>
        <v>4</v>
      </c>
      <c r="P47" s="99">
        <f t="shared" si="10"/>
        <v>1.5</v>
      </c>
      <c r="Q47" s="68">
        <f>IF(OR(P49-P48=P48-P47,P50-P48=P48-P47),P47,IF(OR(P49-P48=P48-P46,P50-P48=P48-P46),P46,"-"))</f>
        <v>1</v>
      </c>
      <c r="R47" s="69">
        <f>VLOOKUP(Q47,STN_TABLE,2,FALSE)</f>
        <v>0</v>
      </c>
      <c r="S47" s="69">
        <v>5</v>
      </c>
      <c r="T47" s="68">
        <f>R47*S47</f>
        <v>0</v>
      </c>
      <c r="U47" s="79">
        <v>3</v>
      </c>
      <c r="V47" s="68">
        <f>R47*U47</f>
        <v>0</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0.4</v>
      </c>
      <c r="E48" s="81">
        <v>4</v>
      </c>
      <c r="F48" s="76">
        <f>D48*E48</f>
        <v>1.6</v>
      </c>
      <c r="G48" s="77">
        <f>C48</f>
        <v>1.5</v>
      </c>
      <c r="H48" s="77">
        <f>F48*G48</f>
        <v>2.4000000000000004</v>
      </c>
      <c r="I48" s="513" t="s">
        <v>97</v>
      </c>
      <c r="J48" s="513"/>
      <c r="K48" s="78" t="s">
        <v>98</v>
      </c>
      <c r="L48" s="78"/>
      <c r="M48" s="7" t="s">
        <v>99</v>
      </c>
      <c r="N48" s="7"/>
      <c r="O48" s="99">
        <f>O47+1</f>
        <v>5</v>
      </c>
      <c r="P48" s="99">
        <f t="shared" si="10"/>
        <v>2</v>
      </c>
      <c r="Q48" s="76">
        <f>P48</f>
        <v>2</v>
      </c>
      <c r="R48" s="77">
        <f>VLOOKUP(Q48,STN_TABLE,2,FALSE)</f>
        <v>0.7</v>
      </c>
      <c r="S48" s="77">
        <v>8</v>
      </c>
      <c r="T48" s="76">
        <f>R48*S48</f>
        <v>5.6</v>
      </c>
      <c r="U48" s="80">
        <v>10</v>
      </c>
      <c r="V48" s="76">
        <f>R48*U48</f>
        <v>7</v>
      </c>
      <c r="W48" s="513" t="s">
        <v>97</v>
      </c>
      <c r="X48" s="513"/>
      <c r="Y48" s="513" t="s">
        <v>98</v>
      </c>
      <c r="Z48" s="513"/>
      <c r="AA48" s="511" t="s">
        <v>99</v>
      </c>
      <c r="AB48" s="511"/>
      <c r="AC48" s="99">
        <f>AC43+1</f>
        <v>4</v>
      </c>
      <c r="AD48" s="95">
        <f>VLOOKUP(AC48,STN_TABLE_2,2,FALSE)</f>
        <v>1.5</v>
      </c>
      <c r="AE48" s="68">
        <f>VLOOKUP(AD48,STN_TABLE,2,FALSE)</f>
        <v>0.4</v>
      </c>
      <c r="AF48" s="68">
        <v>1</v>
      </c>
      <c r="AG48" s="69">
        <f>AE48*AF48</f>
        <v>0.4</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0.7</v>
      </c>
      <c r="E49" s="92">
        <v>1</v>
      </c>
      <c r="F49" s="82">
        <f>D49*E49</f>
        <v>0.7</v>
      </c>
      <c r="G49" s="83">
        <f>C49</f>
        <v>2</v>
      </c>
      <c r="H49" s="83">
        <f>F49*G49</f>
        <v>1.4</v>
      </c>
      <c r="I49" s="84" t="str">
        <f>CONCATENATE("a'(",C49,")=")</f>
        <v>a'(2)=</v>
      </c>
      <c r="J49" s="84" t="e">
        <f>2*J47/3*F50</f>
        <v>#VALUE!</v>
      </c>
      <c r="K49" s="84" t="str">
        <f>CONCATENATE("A(",C47,")=")</f>
        <v>A(1)=</v>
      </c>
      <c r="L49" s="84">
        <f>VLOOKUP(C47,STN_TABLE,3,FALSE)</f>
        <v>0</v>
      </c>
      <c r="M49" t="str">
        <f>CONCATENATE("A(",C49,")=")</f>
        <v>A(2)=</v>
      </c>
      <c r="N49" t="e">
        <f>J49+L49</f>
        <v>#VALUE!</v>
      </c>
      <c r="O49" s="99">
        <f>O48+1</f>
        <v>6</v>
      </c>
      <c r="P49" s="99">
        <f t="shared" si="10"/>
        <v>3</v>
      </c>
      <c r="Q49" s="82">
        <f>IF(P49-P48=P48-P47,P49,IF(P50-P48=P48-P47,P50,IF(P49-P48=P48-P46,P49,IF(P50-P48=P48-P46,P50,"-"))))</f>
        <v>3</v>
      </c>
      <c r="R49" s="83">
        <f>VLOOKUP(Q49,STN_TABLE,2,FALSE)</f>
        <v>1.2</v>
      </c>
      <c r="S49" s="83">
        <v>-1</v>
      </c>
      <c r="T49" s="82">
        <f>R49*S49</f>
        <v>-1.2</v>
      </c>
      <c r="U49" s="88">
        <v>-1</v>
      </c>
      <c r="V49" s="82">
        <f>R49*U49</f>
        <v>-1.2</v>
      </c>
      <c r="W49" s="84" t="str">
        <f>CONCATENATE("a'(",Q48,")=")</f>
        <v>a'(2)=</v>
      </c>
      <c r="X49" s="84">
        <f>2*X47/12*T50</f>
        <v>1.3199999999999998</v>
      </c>
      <c r="Y49" s="84" t="str">
        <f>CONCATENATE("A(",Q47,")=")</f>
        <v>A(1)=</v>
      </c>
      <c r="Z49" s="84">
        <f>VLOOKUP(Q47,STN_TABLE,3,FALSE)</f>
        <v>0</v>
      </c>
      <c r="AA49" t="str">
        <f>CONCATENATE("A(",Q48,")=")</f>
        <v>A(2)=</v>
      </c>
      <c r="AB49">
        <f>X49+Z49</f>
        <v>1.3199999999999998</v>
      </c>
      <c r="AC49" s="99">
        <f>AC48+1</f>
        <v>5</v>
      </c>
      <c r="AD49" s="100">
        <f>VLOOKUP(AC49,STN_TABLE_2,2,FALSE)</f>
        <v>2</v>
      </c>
      <c r="AE49" s="82">
        <f>VLOOKUP(AD49,STN_TABLE,2,FALSE)</f>
        <v>0.7</v>
      </c>
      <c r="AF49" s="82">
        <v>2</v>
      </c>
      <c r="AG49" s="83">
        <f>AE49*AF49</f>
        <v>1.4</v>
      </c>
      <c r="AH49" s="84" t="str">
        <f>CONCATENATE("a'(",AD49,")=")</f>
        <v>a'(2)=</v>
      </c>
      <c r="AI49" s="84">
        <f>2*AI47/2*AE50</f>
        <v>0.9900000000000001</v>
      </c>
      <c r="AJ49" s="84" t="str">
        <f>CONCATENATE("A(",AD48,")=")</f>
        <v>A(1.5)=</v>
      </c>
      <c r="AK49" s="84">
        <f>VLOOKUP(AD48,STN_TABLE,3,FALSE)</f>
        <v>0.30000000000000004</v>
      </c>
      <c r="AL49" t="str">
        <f>CONCATENATE("A(",AD49,")=")</f>
        <v>A(2)=</v>
      </c>
      <c r="AM49">
        <f>AI49+AK49</f>
        <v>1.29</v>
      </c>
      <c r="AO49" s="68" t="str">
        <f>AA49</f>
        <v>A(2)=</v>
      </c>
      <c r="AP49" s="68">
        <f>VLOOKUP(AO49,Rise_Results,2,FALSE)</f>
        <v>1.29</v>
      </c>
      <c r="AQ49" s="76" t="e">
        <f>N49</f>
        <v>#VALUE!</v>
      </c>
      <c r="AR49" s="76">
        <f>IF(OR(AB49&lt;=0,AB50&lt;=0),1/0,AB49)</f>
        <v>1.3199999999999998</v>
      </c>
      <c r="AS49" s="76">
        <f>AM49</f>
        <v>1.29</v>
      </c>
      <c r="AT49">
        <f>IFERROR(AP49,IFERROR(AQ49,IFERROR(AR49,AS49)))</f>
        <v>1.29</v>
      </c>
      <c r="AU49" s="81"/>
    </row>
    <row r="50" spans="1:47" x14ac:dyDescent="0.25">
      <c r="A50" s="84">
        <f>A49+1</f>
        <v>5</v>
      </c>
      <c r="B50" s="84">
        <f t="shared" si="11"/>
        <v>2</v>
      </c>
      <c r="F50" s="82">
        <f>SUM(F47:F49)</f>
        <v>2.2999999999999998</v>
      </c>
      <c r="H50" s="82">
        <f>SUM(H47:H49)</f>
        <v>3.8000000000000003</v>
      </c>
      <c r="I50" s="84" t="str">
        <f>CONCATENATE("m'(",C49,")=")</f>
        <v>m'(2)=</v>
      </c>
      <c r="J50" s="84" t="e">
        <f>2*(J47*(WLS))/3*H50</f>
        <v>#VALUE!</v>
      </c>
      <c r="K50" s="84" t="str">
        <f>CONCATENATE("M(",C47,")=")</f>
        <v>M(1)=</v>
      </c>
      <c r="L50" s="84">
        <f>VLOOKUP(C47,STN_TABLE,4,FALSE)</f>
        <v>0</v>
      </c>
      <c r="M50" t="str">
        <f>CONCATENATE("M(",C49,")=")</f>
        <v>M(2)=</v>
      </c>
      <c r="N50" t="e">
        <f>J50+L50</f>
        <v>#VALUE!</v>
      </c>
      <c r="O50" s="99">
        <f>O49+1</f>
        <v>7</v>
      </c>
      <c r="P50" s="99">
        <f t="shared" si="10"/>
        <v>4</v>
      </c>
      <c r="T50" s="89">
        <f>SUM(T47:T49)</f>
        <v>4.3999999999999995</v>
      </c>
      <c r="V50" s="82">
        <f>SUM(V47:V49)</f>
        <v>5.8</v>
      </c>
      <c r="W50" s="84" t="str">
        <f>CONCATENATE("m'(",Q48,")=")</f>
        <v>m'(2)=</v>
      </c>
      <c r="X50" s="84">
        <f>(2*(X47^2)/24*V50)+(X49*Q47*WLS)</f>
        <v>3.9420000000000002</v>
      </c>
      <c r="Y50" s="84" t="str">
        <f>CONCATENATE("M(",Q47,")=")</f>
        <v>M(1)=</v>
      </c>
      <c r="Z50" s="84">
        <f>VLOOKUP(Q47,STN_TABLE,4,FALSE)</f>
        <v>0</v>
      </c>
      <c r="AA50" t="str">
        <f>CONCATENATE("M(",Q48,")=")</f>
        <v>M(2)=</v>
      </c>
      <c r="AB50">
        <f>X50+Z50</f>
        <v>3.9420000000000002</v>
      </c>
      <c r="AE50" s="89">
        <f>SUM(AE48:AE49)</f>
        <v>1.1000000000000001</v>
      </c>
      <c r="AG50" s="89">
        <f>SUM(AG48:AG49)</f>
        <v>1.7999999999999998</v>
      </c>
      <c r="AH50" s="84" t="str">
        <f>CONCATENATE("m'(",AD49,")=")</f>
        <v>m'(2)=</v>
      </c>
      <c r="AI50" s="84">
        <f>(2*(AI47^2)/6*AG50)+(AI49*AD48*WLS)</f>
        <v>3.1589999999999998</v>
      </c>
      <c r="AJ50" s="84" t="str">
        <f>CONCATENATE("M(",AD48,")=")</f>
        <v>M(1.5)=</v>
      </c>
      <c r="AK50" s="84">
        <f>VLOOKUP(AD48,STN_TABLE,4,FALSE)</f>
        <v>0.7350000000000001</v>
      </c>
      <c r="AL50" t="str">
        <f>CONCATENATE("M(",AD49,")=")</f>
        <v>M(2)=</v>
      </c>
      <c r="AM50">
        <f>AI50+AK50</f>
        <v>3.8940000000000001</v>
      </c>
      <c r="AO50" s="82" t="str">
        <f>AA50</f>
        <v>M(2)=</v>
      </c>
      <c r="AP50" s="82">
        <f>VLOOKUP(AO50,Rise_Results,2,FALSE)</f>
        <v>3.8940000000000001</v>
      </c>
      <c r="AQ50" s="82" t="e">
        <f>N50</f>
        <v>#VALUE!</v>
      </c>
      <c r="AR50" s="82">
        <f>IF(OR(AB49&lt;=0,AB50&lt;=0),1/0,AB50)</f>
        <v>3.9420000000000002</v>
      </c>
      <c r="AS50" s="82">
        <f>AM50</f>
        <v>3.8940000000000001</v>
      </c>
      <c r="AT50">
        <f>IFERROR(AP50,IFERROR(AQ50,IFERROR(AR50,AS50)))</f>
        <v>3.8940000000000001</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0</v>
      </c>
      <c r="E52" s="102">
        <v>1</v>
      </c>
      <c r="F52" s="68">
        <f>D52*E52</f>
        <v>0</v>
      </c>
      <c r="G52" s="69">
        <f>C52</f>
        <v>1</v>
      </c>
      <c r="H52" s="69">
        <f>F52*G52</f>
        <v>0</v>
      </c>
      <c r="I52" s="6" t="s">
        <v>93</v>
      </c>
      <c r="J52" s="70" t="str">
        <f>IF(OR(D52=0,D53=0,D54=0),"#NA",IF(AND(C54-C53=C53-C52,C53&lt;&gt;C54,C52&lt;&gt;C53,C52&lt;&gt;C54,D54&lt;&gt;0,OR(D52&lt;&gt;0,D53&lt;&gt;0)),WLS*(C54-C53),"#NA"))</f>
        <v>#NA</v>
      </c>
      <c r="O52" s="99">
        <f>O51+1</f>
        <v>5</v>
      </c>
      <c r="P52" s="99">
        <f t="shared" si="10"/>
        <v>2</v>
      </c>
      <c r="Q52" s="68">
        <f>IF(OR(P54-P53=P53-P52,P55-P53=P53-P52),P52,IF(OR(P54-P53=P53-P51,P55-P53=P53-P51),P51,"-"))</f>
        <v>2</v>
      </c>
      <c r="R52" s="69">
        <f>VLOOKUP(Q52,STN_TABLE,2,FALSE)</f>
        <v>0.7</v>
      </c>
      <c r="S52" s="69">
        <v>5</v>
      </c>
      <c r="T52" s="68">
        <f>R52*S52</f>
        <v>3.5</v>
      </c>
      <c r="U52" s="79">
        <v>3</v>
      </c>
      <c r="V52" s="68">
        <f>R52*U52</f>
        <v>2.0999999999999996</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0.7</v>
      </c>
      <c r="E53" s="81">
        <v>4</v>
      </c>
      <c r="F53" s="76">
        <f>D53*E53</f>
        <v>2.8</v>
      </c>
      <c r="G53" s="77">
        <f>C53</f>
        <v>2</v>
      </c>
      <c r="H53" s="77">
        <f>F53*G53</f>
        <v>5.6</v>
      </c>
      <c r="I53" s="512" t="s">
        <v>97</v>
      </c>
      <c r="J53" s="513"/>
      <c r="K53" s="78" t="s">
        <v>98</v>
      </c>
      <c r="L53" s="78"/>
      <c r="M53" s="7" t="s">
        <v>99</v>
      </c>
      <c r="N53" s="7"/>
      <c r="O53" s="99">
        <f>O52+1</f>
        <v>6</v>
      </c>
      <c r="P53" s="99">
        <f t="shared" si="10"/>
        <v>3</v>
      </c>
      <c r="Q53" s="76">
        <f>P53</f>
        <v>3</v>
      </c>
      <c r="R53" s="77">
        <f>VLOOKUP(Q53,STN_TABLE,2,FALSE)</f>
        <v>1.2</v>
      </c>
      <c r="S53" s="77">
        <v>8</v>
      </c>
      <c r="T53" s="76">
        <f>R53*S53</f>
        <v>9.6</v>
      </c>
      <c r="U53" s="80">
        <v>10</v>
      </c>
      <c r="V53" s="76">
        <f>R53*U53</f>
        <v>12</v>
      </c>
      <c r="W53" s="513" t="s">
        <v>97</v>
      </c>
      <c r="X53" s="513"/>
      <c r="Y53" s="513" t="s">
        <v>98</v>
      </c>
      <c r="Z53" s="513"/>
      <c r="AA53" s="511" t="s">
        <v>99</v>
      </c>
      <c r="AB53" s="511"/>
      <c r="AC53" s="99">
        <f>AC48+1</f>
        <v>5</v>
      </c>
      <c r="AD53" s="95">
        <f>VLOOKUP(AC53,STN_TABLE_2,2,FALSE)</f>
        <v>2</v>
      </c>
      <c r="AE53" s="68">
        <f>VLOOKUP(AD53,STN_TABLE,2,FALSE)</f>
        <v>0.7</v>
      </c>
      <c r="AF53" s="68">
        <v>1</v>
      </c>
      <c r="AG53" s="69">
        <f>AE53*AF53</f>
        <v>0.7</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1.2</v>
      </c>
      <c r="E54" s="92">
        <v>1</v>
      </c>
      <c r="F54" s="82">
        <f>D54*E54</f>
        <v>1.2</v>
      </c>
      <c r="G54" s="83">
        <f>C54</f>
        <v>3</v>
      </c>
      <c r="H54" s="83">
        <f>F54*G54</f>
        <v>3.5999999999999996</v>
      </c>
      <c r="I54" s="84" t="str">
        <f>CONCATENATE("a'(",C54,")=")</f>
        <v>a'(3)=</v>
      </c>
      <c r="J54" s="84" t="e">
        <f>2*J52/3*F55</f>
        <v>#VALUE!</v>
      </c>
      <c r="K54" s="84" t="str">
        <f>CONCATENATE("A(",C52,")=")</f>
        <v>A(1)=</v>
      </c>
      <c r="L54" s="84">
        <f>VLOOKUP(C52,STN_TABLE,3,FALSE)</f>
        <v>0</v>
      </c>
      <c r="M54" t="str">
        <f>CONCATENATE("A(",C54,")=")</f>
        <v>A(3)=</v>
      </c>
      <c r="N54" t="e">
        <f>J54+L54</f>
        <v>#VALUE!</v>
      </c>
      <c r="O54" s="99">
        <f>O53+1</f>
        <v>7</v>
      </c>
      <c r="P54" s="99">
        <f t="shared" si="10"/>
        <v>4</v>
      </c>
      <c r="Q54" s="82">
        <f>IF(P54-P53=P53-P52,P54,IF(P55-P53=P53-P52,P55,IF(P54-P53=P53-P51,P54,IF(P55-P53=P53-P51,P55,"-"))))</f>
        <v>4</v>
      </c>
      <c r="R54" s="83">
        <f>VLOOKUP(Q54,STN_TABLE,2,FALSE)</f>
        <v>2.4</v>
      </c>
      <c r="S54" s="83">
        <v>-1</v>
      </c>
      <c r="T54" s="82">
        <f>R54*S54</f>
        <v>-2.4</v>
      </c>
      <c r="U54" s="88">
        <v>-1</v>
      </c>
      <c r="V54" s="82">
        <f>R54*U54</f>
        <v>-2.4</v>
      </c>
      <c r="W54" s="84" t="str">
        <f>CONCATENATE("a'(",Q53,")=")</f>
        <v>a'(3)=</v>
      </c>
      <c r="X54" s="84">
        <f>2*X52/12*T55</f>
        <v>3.2099999999999995</v>
      </c>
      <c r="Y54" s="84" t="str">
        <f>CONCATENATE("A(",Q52,")=")</f>
        <v>A(2)=</v>
      </c>
      <c r="Z54" s="84">
        <f>VLOOKUP(Q52,STN_TABLE,3,FALSE)</f>
        <v>1.29</v>
      </c>
      <c r="AA54" t="str">
        <f>CONCATENATE("A(",Q53,")=")</f>
        <v>A(3)=</v>
      </c>
      <c r="AB54">
        <f>X54+Z54</f>
        <v>4.5</v>
      </c>
      <c r="AC54" s="99">
        <f>AC53+1</f>
        <v>6</v>
      </c>
      <c r="AD54" s="100">
        <f>VLOOKUP(AC54,STN_TABLE_2,2,FALSE)</f>
        <v>3</v>
      </c>
      <c r="AE54" s="82">
        <f>VLOOKUP(AD54,STN_TABLE,2,FALSE)</f>
        <v>1.2</v>
      </c>
      <c r="AF54" s="82">
        <v>2</v>
      </c>
      <c r="AG54" s="83">
        <f>AE54*AF54</f>
        <v>2.4</v>
      </c>
      <c r="AH54" s="84" t="str">
        <f>CONCATENATE("a'(",AD54,")=")</f>
        <v>a'(3)=</v>
      </c>
      <c r="AI54" s="84">
        <f>2*AI52/2*AE55</f>
        <v>3.42</v>
      </c>
      <c r="AJ54" s="84" t="str">
        <f>CONCATENATE("A(",AD53,")=")</f>
        <v>A(2)=</v>
      </c>
      <c r="AK54" s="84">
        <f>VLOOKUP(AD53,STN_TABLE,3,FALSE)</f>
        <v>1.29</v>
      </c>
      <c r="AL54" t="str">
        <f>CONCATENATE("A(",AD54,")=")</f>
        <v>A(3)=</v>
      </c>
      <c r="AM54">
        <f>AI54+AK54</f>
        <v>4.71</v>
      </c>
      <c r="AO54" s="68" t="str">
        <f>AA54</f>
        <v>A(3)=</v>
      </c>
      <c r="AP54" s="68">
        <f>VLOOKUP(AO54,Rise_Results,2,FALSE)</f>
        <v>4.5</v>
      </c>
      <c r="AQ54" s="76" t="e">
        <f>N54</f>
        <v>#VALUE!</v>
      </c>
      <c r="AR54" s="76">
        <f>IF(OR(AB54&lt;=0,AB55&lt;=0),1/0,AB54)</f>
        <v>4.5</v>
      </c>
      <c r="AS54" s="76">
        <f>AM54</f>
        <v>4.71</v>
      </c>
      <c r="AT54">
        <f>IFERROR(AP54,IFERROR(AQ54,IFERROR(AR54,AS54)))</f>
        <v>4.5</v>
      </c>
      <c r="AU54" s="81"/>
    </row>
    <row r="55" spans="1:47" x14ac:dyDescent="0.25">
      <c r="A55" s="84">
        <f>A54+1</f>
        <v>6</v>
      </c>
      <c r="B55" s="84">
        <f t="shared" si="11"/>
        <v>3</v>
      </c>
      <c r="F55" s="82">
        <f>SUM(F52:F54)</f>
        <v>4</v>
      </c>
      <c r="H55" s="82">
        <f>SUM(H52:H54)</f>
        <v>9.1999999999999993</v>
      </c>
      <c r="I55" s="84" t="str">
        <f>CONCATENATE("m'(",C54,")=")</f>
        <v>m'(3)=</v>
      </c>
      <c r="J55" s="84" t="e">
        <f>2*(J52*(WLS))/3*H55</f>
        <v>#VALUE!</v>
      </c>
      <c r="K55" s="84" t="str">
        <f>CONCATENATE("M(",C52,")=")</f>
        <v>M(1)=</v>
      </c>
      <c r="L55" s="84">
        <f>VLOOKUP(C52,STN_TABLE,4,FALSE)</f>
        <v>0</v>
      </c>
      <c r="M55" t="str">
        <f>CONCATENATE("M(",C54,")=")</f>
        <v>M(3)=</v>
      </c>
      <c r="N55" t="e">
        <f>J55+L55</f>
        <v>#VALUE!</v>
      </c>
      <c r="O55" s="99">
        <f>O54+1</f>
        <v>8</v>
      </c>
      <c r="P55" s="99">
        <f t="shared" si="10"/>
        <v>5</v>
      </c>
      <c r="T55" s="89">
        <f>SUM(T52:T54)</f>
        <v>10.7</v>
      </c>
      <c r="V55" s="82">
        <f>SUM(V52:V54)</f>
        <v>11.7</v>
      </c>
      <c r="W55" s="84" t="str">
        <f>CONCATENATE("m'(",Q53,")=")</f>
        <v>m'(3)=</v>
      </c>
      <c r="X55" s="84">
        <f>(2*(X52^2)/24*V55)+(X54*Q52*WLS)</f>
        <v>14.715</v>
      </c>
      <c r="Y55" s="84" t="str">
        <f>CONCATENATE("M(",Q52,")=")</f>
        <v>M(2)=</v>
      </c>
      <c r="Z55" s="84">
        <f>VLOOKUP(Q52,STN_TABLE,4,FALSE)</f>
        <v>3.8940000000000001</v>
      </c>
      <c r="AA55" t="str">
        <f>CONCATENATE("M(",Q53,")=")</f>
        <v>M(3)=</v>
      </c>
      <c r="AB55">
        <f>X55+Z55</f>
        <v>18.609000000000002</v>
      </c>
      <c r="AE55" s="89">
        <f>SUM(AE53:AE54)</f>
        <v>1.9</v>
      </c>
      <c r="AG55" s="89">
        <f>SUM(AG53:AG54)</f>
        <v>3.0999999999999996</v>
      </c>
      <c r="AH55" s="84" t="str">
        <f>CONCATENATE("m'(",AD54,")=")</f>
        <v>m'(3)=</v>
      </c>
      <c r="AI55" s="84">
        <f>(2*(AI52^2)/6*AG55)+(AI54*AD53*WLS)</f>
        <v>15.66</v>
      </c>
      <c r="AJ55" s="84" t="str">
        <f>CONCATENATE("M(",AD53,")=")</f>
        <v>M(2)=</v>
      </c>
      <c r="AK55" s="84">
        <f>VLOOKUP(AD53,STN_TABLE,4,FALSE)</f>
        <v>3.8940000000000001</v>
      </c>
      <c r="AL55" t="str">
        <f>CONCATENATE("M(",AD54,")=")</f>
        <v>M(3)=</v>
      </c>
      <c r="AM55">
        <f>AI55+AK55</f>
        <v>19.554000000000002</v>
      </c>
      <c r="AO55" s="82" t="str">
        <f>AA55</f>
        <v>M(3)=</v>
      </c>
      <c r="AP55" s="82">
        <f>VLOOKUP(AO55,Rise_Results,2,FALSE)</f>
        <v>18.609000000000002</v>
      </c>
      <c r="AQ55" s="82" t="e">
        <f>N55</f>
        <v>#VALUE!</v>
      </c>
      <c r="AR55" s="82">
        <f>IF(OR(AB54&lt;=0,AB55&lt;=0),1/0,AB55)</f>
        <v>18.609000000000002</v>
      </c>
      <c r="AS55" s="82">
        <f>AM55</f>
        <v>19.554000000000002</v>
      </c>
      <c r="AT55">
        <f>IFERROR(AP55,IFERROR(AQ55,IFERROR(AR55,AS55)))</f>
        <v>18.609000000000002</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0.7</v>
      </c>
      <c r="E57" s="102">
        <v>1</v>
      </c>
      <c r="F57" s="68">
        <f>D57*E57</f>
        <v>0.7</v>
      </c>
      <c r="G57" s="69">
        <f>C57</f>
        <v>2</v>
      </c>
      <c r="H57" s="69">
        <f>F57*G57</f>
        <v>1.4</v>
      </c>
      <c r="I57" s="6" t="s">
        <v>93</v>
      </c>
      <c r="J57" s="70">
        <f>IF(OR(D57=0,D58=0,D59=0),"#NA",IF(AND(C59-C58=C58-C57,C58&lt;&gt;C59,C57&lt;&gt;C58,C57&lt;&gt;C59,D59&lt;&gt;0,OR(D57&lt;&gt;0,D58&lt;&gt;0)),WLS*(C59-C58),"#NA"))</f>
        <v>1.8</v>
      </c>
      <c r="O57" s="99">
        <f>O56+1</f>
        <v>6</v>
      </c>
      <c r="P57" s="99">
        <f t="shared" si="10"/>
        <v>3</v>
      </c>
      <c r="Q57" s="68">
        <f>IF(OR(P59-P58=P58-P57,P60-P58=P58-P57),P57,IF(OR(P59-P58=P58-P56,P60-P58=P58-P56),P56,"-"))</f>
        <v>3</v>
      </c>
      <c r="R57" s="69">
        <f>VLOOKUP(Q57,STN_TABLE,2,FALSE)</f>
        <v>1.2</v>
      </c>
      <c r="S57" s="69">
        <v>5</v>
      </c>
      <c r="T57" s="68">
        <f>R57*S57</f>
        <v>6</v>
      </c>
      <c r="U57" s="79">
        <v>3</v>
      </c>
      <c r="V57" s="68">
        <f>R57*U57</f>
        <v>3.5999999999999996</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1.2</v>
      </c>
      <c r="E58" s="81">
        <v>4</v>
      </c>
      <c r="F58" s="76">
        <f>D58*E58</f>
        <v>4.8</v>
      </c>
      <c r="G58" s="77">
        <f>C58</f>
        <v>3</v>
      </c>
      <c r="H58" s="77">
        <f>F58*G58</f>
        <v>14.399999999999999</v>
      </c>
      <c r="I58" s="512" t="s">
        <v>97</v>
      </c>
      <c r="J58" s="513"/>
      <c r="K58" s="78" t="s">
        <v>98</v>
      </c>
      <c r="L58" s="78"/>
      <c r="M58" s="7" t="s">
        <v>99</v>
      </c>
      <c r="N58" s="7"/>
      <c r="O58" s="99">
        <f>O57+1</f>
        <v>7</v>
      </c>
      <c r="P58" s="99">
        <f t="shared" si="10"/>
        <v>4</v>
      </c>
      <c r="Q58" s="76">
        <f>P58</f>
        <v>4</v>
      </c>
      <c r="R58" s="77">
        <f>VLOOKUP(Q58,STN_TABLE,2,FALSE)</f>
        <v>2.4</v>
      </c>
      <c r="S58" s="77">
        <v>8</v>
      </c>
      <c r="T58" s="76">
        <f>R58*S58</f>
        <v>19.2</v>
      </c>
      <c r="U58" s="80">
        <v>10</v>
      </c>
      <c r="V58" s="76">
        <f>R58*U58</f>
        <v>24</v>
      </c>
      <c r="W58" s="78" t="s">
        <v>97</v>
      </c>
      <c r="X58" s="78"/>
      <c r="Y58" s="78" t="s">
        <v>98</v>
      </c>
      <c r="Z58" s="78"/>
      <c r="AA58" s="7" t="s">
        <v>99</v>
      </c>
      <c r="AB58" s="7"/>
      <c r="AC58" s="99">
        <f>AC53+1</f>
        <v>6</v>
      </c>
      <c r="AD58" s="95">
        <f>VLOOKUP(AC58,STN_TABLE_2,2,FALSE)</f>
        <v>3</v>
      </c>
      <c r="AE58" s="68">
        <f>VLOOKUP(AD58,STN_TABLE,2,FALSE)</f>
        <v>1.2</v>
      </c>
      <c r="AF58" s="68">
        <v>1</v>
      </c>
      <c r="AG58" s="69">
        <f>AE58*AF58</f>
        <v>1.2</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2.4</v>
      </c>
      <c r="E59" s="92">
        <v>1</v>
      </c>
      <c r="F59" s="82">
        <f>D59*E59</f>
        <v>2.4</v>
      </c>
      <c r="G59" s="83">
        <f>C59</f>
        <v>4</v>
      </c>
      <c r="H59" s="83">
        <f>F59*G59</f>
        <v>9.6</v>
      </c>
      <c r="I59" s="84" t="str">
        <f>CONCATENATE("a'(",C59,")=")</f>
        <v>a'(4)=</v>
      </c>
      <c r="J59" s="84">
        <f>2*J57/3*F60</f>
        <v>9.48</v>
      </c>
      <c r="K59" s="84" t="str">
        <f>CONCATENATE("A(",C57,")=")</f>
        <v>A(2)=</v>
      </c>
      <c r="L59" s="84">
        <f>VLOOKUP(C57,STN_TABLE,3,FALSE)</f>
        <v>1.29</v>
      </c>
      <c r="M59" t="str">
        <f>CONCATENATE("A(",C59,")=")</f>
        <v>A(4)=</v>
      </c>
      <c r="N59">
        <f>J59+L59</f>
        <v>10.77</v>
      </c>
      <c r="O59" s="99">
        <f>O58+1</f>
        <v>8</v>
      </c>
      <c r="P59" s="99">
        <f t="shared" si="10"/>
        <v>5</v>
      </c>
      <c r="Q59" s="82">
        <f>IF(P59-P58=P58-P57,P59,IF(P60-P58=P58-P57,P60,IF(P59-P58=P58-P56,P59,IF(P60-P58=P58-P56,P60,"-"))))</f>
        <v>5</v>
      </c>
      <c r="R59" s="83">
        <f>VLOOKUP(Q59,STN_TABLE,2,FALSE)</f>
        <v>8.5500000000000007</v>
      </c>
      <c r="S59" s="83">
        <v>-1</v>
      </c>
      <c r="T59" s="82">
        <f>R59*S59</f>
        <v>-8.5500000000000007</v>
      </c>
      <c r="U59" s="88">
        <v>-1</v>
      </c>
      <c r="V59" s="82">
        <f>R59*U59</f>
        <v>-8.5500000000000007</v>
      </c>
      <c r="W59" s="84" t="str">
        <f>CONCATENATE("a'(",Q58,")=")</f>
        <v>a'(4)=</v>
      </c>
      <c r="X59" s="84">
        <f>2*X57/12*T60</f>
        <v>4.9949999999999992</v>
      </c>
      <c r="Y59" s="84" t="str">
        <f>CONCATENATE("A(",Q57,")=")</f>
        <v>A(3)=</v>
      </c>
      <c r="Z59" s="84">
        <f>VLOOKUP(Q57,STN_TABLE,3,FALSE)</f>
        <v>4.5</v>
      </c>
      <c r="AA59" t="str">
        <f>CONCATENATE("A(",Q58,")=")</f>
        <v>A(4)=</v>
      </c>
      <c r="AB59">
        <f>X59+Z59</f>
        <v>9.4949999999999992</v>
      </c>
      <c r="AC59" s="99">
        <f>AC58+1</f>
        <v>7</v>
      </c>
      <c r="AD59" s="100">
        <f>VLOOKUP(AC59,STN_TABLE_2,2,FALSE)</f>
        <v>4</v>
      </c>
      <c r="AE59" s="82">
        <f>VLOOKUP(AD59,STN_TABLE,2,FALSE)</f>
        <v>2.4</v>
      </c>
      <c r="AF59" s="82">
        <v>2</v>
      </c>
      <c r="AG59" s="83">
        <f>AE59*AF59</f>
        <v>4.8</v>
      </c>
      <c r="AH59" s="84" t="str">
        <f>CONCATENATE("a'(",AD59,")=")</f>
        <v>a'(4)=</v>
      </c>
      <c r="AI59" s="84">
        <f>2*AI57/2*AE60</f>
        <v>6.4799999999999995</v>
      </c>
      <c r="AJ59" s="84" t="str">
        <f>CONCATENATE("A(",AD58,")=")</f>
        <v>A(3)=</v>
      </c>
      <c r="AK59" s="84">
        <f>VLOOKUP(AD58,STN_TABLE,3,FALSE)</f>
        <v>4.5</v>
      </c>
      <c r="AL59" t="str">
        <f>CONCATENATE("A(",AD59,")=")</f>
        <v>A(4)=</v>
      </c>
      <c r="AM59">
        <f>AI59+AK59</f>
        <v>10.98</v>
      </c>
      <c r="AO59" s="68" t="str">
        <f>AA59</f>
        <v>A(4)=</v>
      </c>
      <c r="AP59" s="68">
        <f>VLOOKUP(AO59,Rise_Results,2,FALSE)</f>
        <v>10.77</v>
      </c>
      <c r="AQ59" s="76">
        <f>N59</f>
        <v>10.77</v>
      </c>
      <c r="AR59" s="76">
        <f>IF(OR(AB59&lt;=0,AB60&lt;=0),1/0,AB59)</f>
        <v>9.4949999999999992</v>
      </c>
      <c r="AS59" s="76">
        <f>AM59</f>
        <v>10.98</v>
      </c>
      <c r="AT59">
        <f>IFERROR(AP59,IFERROR(AQ59,IFERROR(AR59,AS59)))</f>
        <v>10.77</v>
      </c>
      <c r="AU59" s="81"/>
    </row>
    <row r="60" spans="1:47" x14ac:dyDescent="0.25">
      <c r="A60" s="84">
        <f>A59+1</f>
        <v>7</v>
      </c>
      <c r="B60" s="84">
        <f t="shared" si="11"/>
        <v>4</v>
      </c>
      <c r="F60" s="82">
        <f>SUM(F57:F59)</f>
        <v>7.9</v>
      </c>
      <c r="H60" s="82">
        <f>SUM(H57:H59)</f>
        <v>25.4</v>
      </c>
      <c r="I60" s="84" t="str">
        <f>CONCATENATE("m'(",C59,")=")</f>
        <v>m'(4)=</v>
      </c>
      <c r="J60" s="84">
        <f>2*(J57*(WLS))/3*H60</f>
        <v>54.863999999999997</v>
      </c>
      <c r="K60" s="84" t="str">
        <f>CONCATENATE("M(",C57,")=")</f>
        <v>M(2)=</v>
      </c>
      <c r="L60" s="84">
        <f>VLOOKUP(C57,STN_TABLE,4,FALSE)</f>
        <v>3.8940000000000001</v>
      </c>
      <c r="M60" t="str">
        <f>CONCATENATE("M(",C59,")=")</f>
        <v>M(4)=</v>
      </c>
      <c r="N60">
        <f>J60+L60</f>
        <v>58.757999999999996</v>
      </c>
      <c r="O60" s="99">
        <f>O59+1</f>
        <v>9</v>
      </c>
      <c r="P60" s="99">
        <f t="shared" si="10"/>
        <v>5.6111111111111107</v>
      </c>
      <c r="T60" s="89">
        <f>SUM(T57:T59)</f>
        <v>16.649999999999999</v>
      </c>
      <c r="V60" s="82">
        <f>SUM(V57:V59)</f>
        <v>19.05</v>
      </c>
      <c r="W60" s="84" t="str">
        <f>CONCATENATE("m'(",Q58,")=")</f>
        <v>m'(4)=</v>
      </c>
      <c r="X60" s="84">
        <f>(2*(X57^2)/24*V60)+(X59*Q57*WLS)</f>
        <v>32.116499999999995</v>
      </c>
      <c r="Y60" s="84" t="str">
        <f>CONCATENATE("M(",Q57,")=")</f>
        <v>M(3)=</v>
      </c>
      <c r="Z60" s="84">
        <f>VLOOKUP(Q57,STN_TABLE,4,FALSE)</f>
        <v>18.609000000000002</v>
      </c>
      <c r="AA60" t="str">
        <f>CONCATENATE("M(",Q58,")=")</f>
        <v>M(4)=</v>
      </c>
      <c r="AB60">
        <f>X60+Z60</f>
        <v>50.725499999999997</v>
      </c>
      <c r="AE60" s="89">
        <f>SUM(AE58:AE59)</f>
        <v>3.5999999999999996</v>
      </c>
      <c r="AG60" s="89">
        <f>SUM(AG58:AG59)</f>
        <v>6</v>
      </c>
      <c r="AH60" s="84" t="str">
        <f>CONCATENATE("m'(",AD59,")=")</f>
        <v>m'(4)=</v>
      </c>
      <c r="AI60" s="84">
        <f>(2*(AI57^2)/6*AG60)+(AI59*AD58*WLS)</f>
        <v>41.471999999999994</v>
      </c>
      <c r="AJ60" s="84" t="str">
        <f>CONCATENATE("M(",AD58,")=")</f>
        <v>M(3)=</v>
      </c>
      <c r="AK60" s="84">
        <f>VLOOKUP(AD57,STN_TABLE,4,FALSE)</f>
        <v>0</v>
      </c>
      <c r="AL60" t="str">
        <f>CONCATENATE("M(",AD59,")=")</f>
        <v>M(4)=</v>
      </c>
      <c r="AM60">
        <f>AI60+AK60</f>
        <v>41.471999999999994</v>
      </c>
      <c r="AO60" s="82" t="str">
        <f>AA60</f>
        <v>M(4)=</v>
      </c>
      <c r="AP60" s="82">
        <f>VLOOKUP(AO60,Rise_Results,2,FALSE)</f>
        <v>58.757999999999996</v>
      </c>
      <c r="AQ60" s="82">
        <f>N60</f>
        <v>58.757999999999996</v>
      </c>
      <c r="AR60" s="82">
        <f>IF(OR(AB59&lt;=0,AB60&lt;=0),1/0,AB60)</f>
        <v>50.725499999999997</v>
      </c>
      <c r="AS60" s="82">
        <f>AM60</f>
        <v>41.471999999999994</v>
      </c>
      <c r="AT60">
        <f>IFERROR(AP60,IFERROR(AQ60,IFERROR(AR60,AS60)))</f>
        <v>58.757999999999996</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1.2</v>
      </c>
      <c r="E62" s="102">
        <v>1</v>
      </c>
      <c r="F62" s="68">
        <f>D62*E62</f>
        <v>1.2</v>
      </c>
      <c r="G62" s="69">
        <f>C62</f>
        <v>3</v>
      </c>
      <c r="H62" s="69">
        <f>F62*G62</f>
        <v>3.5999999999999996</v>
      </c>
      <c r="I62" s="6" t="s">
        <v>93</v>
      </c>
      <c r="J62" s="70">
        <f>IF(OR(D62=0,D63=0,D64=0),"#NA",IF(AND(C64-C63=C63-C62,C63&lt;&gt;C64,C62&lt;&gt;C63,C62&lt;&gt;C64,D64&lt;&gt;0,OR(D62&lt;&gt;0,D63&lt;&gt;0)),WLS*(C64-C63),"#NA"))</f>
        <v>1.8</v>
      </c>
      <c r="O62" s="99">
        <f>O61+1</f>
        <v>7</v>
      </c>
      <c r="P62" s="99">
        <f t="shared" si="10"/>
        <v>4</v>
      </c>
      <c r="Q62" s="68">
        <f>IF(OR(P64-P63=P63-P62,P65-P63=P63-P62),P62,IF(OR(P64-P63=P63-P61,P65-P63=P63-P61),P61,"-"))</f>
        <v>4</v>
      </c>
      <c r="R62" s="69">
        <f>VLOOKUP(Q62,STN_TABLE,2,FALSE)</f>
        <v>2.4</v>
      </c>
      <c r="S62" s="69">
        <v>5</v>
      </c>
      <c r="T62" s="68">
        <f>R62*S62</f>
        <v>12</v>
      </c>
      <c r="U62" s="79">
        <v>3</v>
      </c>
      <c r="V62" s="68">
        <f>R62*U62</f>
        <v>7.1999999999999993</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2.4</v>
      </c>
      <c r="E63" s="81">
        <v>4</v>
      </c>
      <c r="F63" s="76">
        <f>D63*E63</f>
        <v>9.6</v>
      </c>
      <c r="G63" s="77">
        <f>C63</f>
        <v>4</v>
      </c>
      <c r="H63" s="77">
        <f>F63*G63</f>
        <v>38.4</v>
      </c>
      <c r="I63" s="512" t="s">
        <v>97</v>
      </c>
      <c r="J63" s="513"/>
      <c r="K63" s="78" t="s">
        <v>98</v>
      </c>
      <c r="L63" s="78"/>
      <c r="M63" s="7" t="s">
        <v>99</v>
      </c>
      <c r="N63" s="7"/>
      <c r="O63" s="99">
        <f>O62+1</f>
        <v>8</v>
      </c>
      <c r="P63" s="99">
        <f t="shared" si="10"/>
        <v>5</v>
      </c>
      <c r="Q63" s="76">
        <f>P63</f>
        <v>5</v>
      </c>
      <c r="R63" s="77">
        <f>VLOOKUP(Q63,STN_TABLE,2,FALSE)</f>
        <v>8.5500000000000007</v>
      </c>
      <c r="S63" s="77">
        <v>8</v>
      </c>
      <c r="T63" s="76">
        <f>R63*S63</f>
        <v>68.400000000000006</v>
      </c>
      <c r="U63" s="80">
        <v>10</v>
      </c>
      <c r="V63" s="76">
        <f>R63*U63</f>
        <v>85.5</v>
      </c>
      <c r="W63" s="513" t="s">
        <v>97</v>
      </c>
      <c r="X63" s="513"/>
      <c r="Y63" s="513" t="s">
        <v>98</v>
      </c>
      <c r="Z63" s="513"/>
      <c r="AA63" s="511" t="s">
        <v>99</v>
      </c>
      <c r="AB63" s="511"/>
      <c r="AC63" s="99">
        <f>AC58+1</f>
        <v>7</v>
      </c>
      <c r="AD63" s="95">
        <f>VLOOKUP(AC63,STN_TABLE_2,2,FALSE)</f>
        <v>4</v>
      </c>
      <c r="AE63" s="68">
        <f>VLOOKUP(AD63,STN_TABLE,2,FALSE)</f>
        <v>2.4</v>
      </c>
      <c r="AF63" s="68">
        <v>1</v>
      </c>
      <c r="AG63" s="69">
        <f>AE63*AF63</f>
        <v>2.4</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8.5500000000000007</v>
      </c>
      <c r="E64" s="92">
        <v>1</v>
      </c>
      <c r="F64" s="82">
        <f>D64*E64</f>
        <v>8.5500000000000007</v>
      </c>
      <c r="G64" s="83">
        <f>C64</f>
        <v>5</v>
      </c>
      <c r="H64" s="83">
        <f>F64*G64</f>
        <v>42.75</v>
      </c>
      <c r="I64" s="84" t="str">
        <f>CONCATENATE("a'(",C64,")=")</f>
        <v>a'(5)=</v>
      </c>
      <c r="J64" s="84">
        <f>2*J62/3*F65</f>
        <v>23.220000000000002</v>
      </c>
      <c r="K64" s="84" t="str">
        <f>CONCATENATE("A(",C62,")=")</f>
        <v>A(3)=</v>
      </c>
      <c r="L64" s="84">
        <f>VLOOKUP(C62,STN_TABLE,3,FALSE)</f>
        <v>4.5</v>
      </c>
      <c r="M64" t="str">
        <f>CONCATENATE("A(",C64,")=")</f>
        <v>A(5)=</v>
      </c>
      <c r="N64">
        <f>J64+L64</f>
        <v>27.720000000000002</v>
      </c>
      <c r="O64" s="99">
        <f>O63+1</f>
        <v>9</v>
      </c>
      <c r="P64" s="99">
        <f t="shared" si="10"/>
        <v>5.6111111111111107</v>
      </c>
      <c r="Q64" s="82">
        <f>IF(P64-P63=P63-P62,P64,IF(P65-P63=P63-P62,P65,IF(P64-P63=P63-P61,P64,IF(P65-P63=P63-P61,P65,"-"))))</f>
        <v>6</v>
      </c>
      <c r="R64" s="83">
        <f>VLOOKUP(Q64,STN_TABLE,2,FALSE)</f>
        <v>10.78</v>
      </c>
      <c r="S64" s="83">
        <v>-1</v>
      </c>
      <c r="T64" s="82">
        <f>R64*S64</f>
        <v>-10.78</v>
      </c>
      <c r="U64" s="88">
        <v>-1</v>
      </c>
      <c r="V64" s="82">
        <f>R64*U64</f>
        <v>-10.78</v>
      </c>
      <c r="W64" s="84" t="str">
        <f>CONCATENATE("a'(",Q63,")=")</f>
        <v>a'(5)=</v>
      </c>
      <c r="X64" s="84">
        <f>2*X62/12*T65</f>
        <v>20.885999999999999</v>
      </c>
      <c r="Y64" s="84" t="str">
        <f>CONCATENATE("A(",Q62,")=")</f>
        <v>A(4)=</v>
      </c>
      <c r="Z64" s="84">
        <f>VLOOKUP(Q62,STN_TABLE,3,FALSE)</f>
        <v>10.77</v>
      </c>
      <c r="AA64" t="str">
        <f>CONCATENATE("A(",Q63,")=")</f>
        <v>A(5)=</v>
      </c>
      <c r="AB64">
        <f>X64+Z64</f>
        <v>31.655999999999999</v>
      </c>
      <c r="AC64" s="99">
        <f>AC63+1</f>
        <v>8</v>
      </c>
      <c r="AD64" s="100">
        <f>VLOOKUP(AC64,STN_TABLE_2,2,FALSE)</f>
        <v>5</v>
      </c>
      <c r="AE64" s="82">
        <f>VLOOKUP(AD64,STN_TABLE,2,FALSE)</f>
        <v>8.5500000000000007</v>
      </c>
      <c r="AF64" s="82">
        <v>2</v>
      </c>
      <c r="AG64" s="83">
        <f>AE64*AF64</f>
        <v>17.100000000000001</v>
      </c>
      <c r="AH64" s="84" t="str">
        <f>CONCATENATE("a'(",AD64,")=")</f>
        <v>a'(5)=</v>
      </c>
      <c r="AI64" s="84">
        <f>2*AI62/2*AE65</f>
        <v>19.71</v>
      </c>
      <c r="AJ64" s="84" t="str">
        <f>CONCATENATE("A(",AD63,")=")</f>
        <v>A(4)=</v>
      </c>
      <c r="AK64" s="84">
        <f>VLOOKUP(AD63,STN_TABLE,3,FALSE)</f>
        <v>10.77</v>
      </c>
      <c r="AL64" t="str">
        <f>CONCATENATE("A(",AD64,")=")</f>
        <v>A(5)=</v>
      </c>
      <c r="AM64">
        <f>AI64+AK64</f>
        <v>30.48</v>
      </c>
      <c r="AO64" s="68" t="str">
        <f>AA64</f>
        <v>A(5)=</v>
      </c>
      <c r="AP64" s="68" t="e">
        <f>VLOOKUP(AO64,Rise_Results,2,FALSE)</f>
        <v>#N/A</v>
      </c>
      <c r="AQ64" s="76">
        <f>N64</f>
        <v>27.720000000000002</v>
      </c>
      <c r="AR64" s="76">
        <f>IF(OR(AB64&lt;=0,AB65&lt;=0),1/0,AB64)</f>
        <v>31.655999999999999</v>
      </c>
      <c r="AS64" s="76">
        <f>AM64</f>
        <v>30.48</v>
      </c>
      <c r="AT64">
        <f>IFERROR(AP64,IFERROR(AQ64,IFERROR(AR64,AS64)))</f>
        <v>27.720000000000002</v>
      </c>
      <c r="AU64" s="81"/>
    </row>
    <row r="65" spans="1:47" x14ac:dyDescent="0.25">
      <c r="A65" s="84">
        <f>A64+1</f>
        <v>8</v>
      </c>
      <c r="B65" s="84">
        <f t="shared" si="11"/>
        <v>5</v>
      </c>
      <c r="F65" s="82">
        <f>SUM(F62:F64)</f>
        <v>19.350000000000001</v>
      </c>
      <c r="H65" s="82">
        <f>SUM(H62:H64)</f>
        <v>84.75</v>
      </c>
      <c r="I65" s="84" t="str">
        <f>CONCATENATE("m'(",C64,")=")</f>
        <v>m'(5)=</v>
      </c>
      <c r="J65" s="84">
        <f>2*(J62*(WLS))/3*H65</f>
        <v>183.06</v>
      </c>
      <c r="K65" s="84" t="str">
        <f>CONCATENATE("M(",C62,")=")</f>
        <v>M(3)=</v>
      </c>
      <c r="L65" s="84">
        <f>VLOOKUP(C62,STN_TABLE,4,FALSE)</f>
        <v>18.609000000000002</v>
      </c>
      <c r="M65" t="str">
        <f>CONCATENATE("M(",C64,")=")</f>
        <v>M(5)=</v>
      </c>
      <c r="N65">
        <f>J65+L65</f>
        <v>201.66900000000001</v>
      </c>
      <c r="O65" s="99">
        <f>O64+1</f>
        <v>10</v>
      </c>
      <c r="P65" s="99">
        <f t="shared" si="10"/>
        <v>6</v>
      </c>
      <c r="T65" s="89">
        <f>SUM(T62:T64)</f>
        <v>69.62</v>
      </c>
      <c r="V65" s="82">
        <f>SUM(V62:V64)</f>
        <v>81.92</v>
      </c>
      <c r="W65" s="84" t="str">
        <f>CONCATENATE("m'(",Q63,")=")</f>
        <v>m'(5)=</v>
      </c>
      <c r="X65" s="84">
        <f>(2*(X62^2)/24*V65)+(X64*Q62*WLS)</f>
        <v>172.49760000000001</v>
      </c>
      <c r="Y65" s="84" t="str">
        <f>CONCATENATE("M(",Q62,")=")</f>
        <v>M(4)=</v>
      </c>
      <c r="Z65" s="84">
        <f>VLOOKUP(Q62,STN_TABLE,4,FALSE)</f>
        <v>58.757999999999996</v>
      </c>
      <c r="AA65" t="str">
        <f>CONCATENATE("M(",Q63,")=")</f>
        <v>M(5)=</v>
      </c>
      <c r="AB65">
        <f>X65+Z65</f>
        <v>231.25560000000002</v>
      </c>
      <c r="AE65" s="89">
        <f>SUM(AE63:AE64)</f>
        <v>10.950000000000001</v>
      </c>
      <c r="AG65" s="89">
        <f>SUM(AG63:AG64)</f>
        <v>19.5</v>
      </c>
      <c r="AH65" s="84" t="str">
        <f>CONCATENATE("m'(",AD64,")=")</f>
        <v>m'(5)=</v>
      </c>
      <c r="AI65" s="84">
        <f>(2*(AI62^2)/6*AG65)+(AI64*AD63*WLS)</f>
        <v>162.97200000000001</v>
      </c>
      <c r="AJ65" s="84" t="str">
        <f>CONCATENATE("M(",AD63,")=")</f>
        <v>M(4)=</v>
      </c>
      <c r="AK65" s="84">
        <f>VLOOKUP(AD63,STN_TABLE,4,FALSE)</f>
        <v>58.757999999999996</v>
      </c>
      <c r="AL65" t="str">
        <f>CONCATENATE("M(",AD64,")=")</f>
        <v>M(5)=</v>
      </c>
      <c r="AM65">
        <f>AI65+AK65</f>
        <v>221.73000000000002</v>
      </c>
      <c r="AO65" s="82" t="str">
        <f>AA65</f>
        <v>M(5)=</v>
      </c>
      <c r="AP65" s="82" t="e">
        <f>VLOOKUP(AO65,Rise_Results,2,FALSE)</f>
        <v>#N/A</v>
      </c>
      <c r="AQ65" s="82">
        <f>N65</f>
        <v>201.66900000000001</v>
      </c>
      <c r="AR65" s="82">
        <f>IF(OR(AB64&lt;=0,AB65&lt;=0),1/0,AB65)</f>
        <v>231.25560000000002</v>
      </c>
      <c r="AS65" s="82">
        <f>AM65</f>
        <v>221.73000000000002</v>
      </c>
      <c r="AT65">
        <f>IFERROR(AP65,IFERROR(AQ65,IFERROR(AR65,AS65)))</f>
        <v>201.66900000000001</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10.14</v>
      </c>
      <c r="S68" s="77">
        <v>8</v>
      </c>
      <c r="T68" s="76">
        <f>R68*S68</f>
        <v>81.12</v>
      </c>
      <c r="U68" s="80">
        <v>10</v>
      </c>
      <c r="V68" s="76">
        <f>R68*U68</f>
        <v>101.4</v>
      </c>
      <c r="W68" s="513" t="s">
        <v>97</v>
      </c>
      <c r="X68" s="513"/>
      <c r="Y68" s="513" t="s">
        <v>98</v>
      </c>
      <c r="Z68" s="513"/>
      <c r="AA68" s="511" t="s">
        <v>99</v>
      </c>
      <c r="AB68" s="511"/>
      <c r="AC68" s="99">
        <f>AC63+1</f>
        <v>8</v>
      </c>
      <c r="AD68" s="95">
        <f>VLOOKUP(AC68,STN_TABLE_2,2,FALSE)</f>
        <v>5</v>
      </c>
      <c r="AE68" s="68">
        <f>VLOOKUP(AD68,STN_TABLE,2,FALSE)</f>
        <v>8.5500000000000007</v>
      </c>
      <c r="AF68" s="68">
        <v>1</v>
      </c>
      <c r="AG68" s="69">
        <f>AE68*AF68</f>
        <v>8.5500000000000007</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10.14</v>
      </c>
      <c r="E69" s="92">
        <v>1</v>
      </c>
      <c r="F69" s="82">
        <f>D69*E69</f>
        <v>10.14</v>
      </c>
      <c r="G69" s="83">
        <f>C69</f>
        <v>5.6111111111111107</v>
      </c>
      <c r="H69" s="83">
        <f>F69*G69</f>
        <v>56.896666666666668</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10.14</v>
      </c>
      <c r="AF69" s="82">
        <v>2</v>
      </c>
      <c r="AG69" s="83">
        <f>AE69*AF69</f>
        <v>20.28</v>
      </c>
      <c r="AH69" s="84" t="str">
        <f>CONCATENATE("a'(",AD69,")=")</f>
        <v>a'(5.61111111111111)=</v>
      </c>
      <c r="AI69" s="84">
        <f>2*AI67/2*AE70</f>
        <v>20.55899999999999</v>
      </c>
      <c r="AJ69" s="84" t="str">
        <f>CONCATENATE("A(",AD68,")=")</f>
        <v>A(5)=</v>
      </c>
      <c r="AK69" s="84">
        <f>VLOOKUP(AD68,STN_TABLE,3,FALSE)</f>
        <v>27.720000000000002</v>
      </c>
      <c r="AL69" t="str">
        <f>CONCATENATE("A(",AD69,")=")</f>
        <v>A(5.61111111111111)=</v>
      </c>
      <c r="AM69">
        <f>AI69+AK69</f>
        <v>48.278999999999996</v>
      </c>
      <c r="AO69" s="68" t="str">
        <f>AA69</f>
        <v>A(5.61111111111111)=</v>
      </c>
      <c r="AP69" s="68" t="e">
        <f>VLOOKUP(AO69,Rise_Results,2,FALSE)</f>
        <v>#N/A</v>
      </c>
      <c r="AQ69" s="76" t="e">
        <f>N69</f>
        <v>#N/A</v>
      </c>
      <c r="AR69" s="76" t="e">
        <f>IF(OR(AB69&lt;=0,AB70&lt;=0),1/0,AB69)</f>
        <v>#VALUE!</v>
      </c>
      <c r="AS69" s="76">
        <f>AM69</f>
        <v>48.278999999999996</v>
      </c>
      <c r="AT69">
        <f>IFERROR(AP69,IFERROR(AQ69,IFERROR(AR69,AS69)))</f>
        <v>48.278999999999996</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18.690000000000001</v>
      </c>
      <c r="AG70" s="89">
        <f>SUM(AG68:AG69)</f>
        <v>28.830000000000002</v>
      </c>
      <c r="AH70" s="84" t="str">
        <f>CONCATENATE("m'(",AD69,")=")</f>
        <v>m'(5.61111111111111)=</v>
      </c>
      <c r="AI70" s="84">
        <f>(2*(AI67^2)/6*AG70)+(AI69*AD68*WLS)</f>
        <v>196.65909999999991</v>
      </c>
      <c r="AJ70" s="84" t="str">
        <f>CONCATENATE("M(",AD68,")=")</f>
        <v>M(5)=</v>
      </c>
      <c r="AK70" s="84">
        <f>VLOOKUP(AD68,STN_TABLE,4,FALSE)</f>
        <v>201.66900000000001</v>
      </c>
      <c r="AL70" t="str">
        <f>CONCATENATE("M(",AD69,")=")</f>
        <v>M(5.61111111111111)=</v>
      </c>
      <c r="AM70">
        <f>AI70+AK70</f>
        <v>398.32809999999995</v>
      </c>
      <c r="AO70" s="82" t="str">
        <f>AA70</f>
        <v>M(5.61111111111111)=</v>
      </c>
      <c r="AP70" s="82" t="e">
        <f>VLOOKUP(AO70,Rise_Results,2,FALSE)</f>
        <v>#N/A</v>
      </c>
      <c r="AQ70" s="82" t="e">
        <f>N70</f>
        <v>#N/A</v>
      </c>
      <c r="AR70" s="82" t="e">
        <f>IF(OR(AB69&lt;=0,AB70&lt;=0),1/0,AB70)</f>
        <v>#VALUE!</v>
      </c>
      <c r="AS70" s="82">
        <f>AM70</f>
        <v>398.32809999999995</v>
      </c>
      <c r="AT70">
        <f>IFERROR(AP70,IFERROR(AQ70,IFERROR(AR70,AS70)))</f>
        <v>398.32809999999995</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2.4</v>
      </c>
      <c r="E72" s="102">
        <v>1</v>
      </c>
      <c r="F72" s="68">
        <f>D72*E72</f>
        <v>2.4</v>
      </c>
      <c r="G72" s="69">
        <f>C72</f>
        <v>4</v>
      </c>
      <c r="H72" s="69">
        <f>F72*G72</f>
        <v>9.6</v>
      </c>
      <c r="I72" s="6" t="s">
        <v>93</v>
      </c>
      <c r="J72" s="70">
        <f>IF(OR(D72=0,D73=0,D74=0),"#NA",IF(AND(C74-C73=C73-C72,C73&lt;&gt;C74,C72&lt;&gt;C73,C72&lt;&gt;C74,D74&lt;&gt;0,OR(D72&lt;&gt;0,D73&lt;&gt;0)),WLS*(C74-C73),"#NA"))</f>
        <v>1.8</v>
      </c>
      <c r="O72" s="99">
        <f>O71+1</f>
        <v>9</v>
      </c>
      <c r="P72" s="99">
        <f t="shared" si="23"/>
        <v>5.6111111111111107</v>
      </c>
      <c r="Q72" s="68">
        <f>IF(OR(P74-P73=P73-P72,P75-P73=P73-P72),P72,IF(OR(P74-P73=P73-P71,P75-P73=P73-P71),P71,"-"))</f>
        <v>5</v>
      </c>
      <c r="R72" s="69">
        <f>VLOOKUP(Q72,STN_TABLE,2,FALSE)</f>
        <v>8.5500000000000007</v>
      </c>
      <c r="S72" s="69">
        <v>5</v>
      </c>
      <c r="T72" s="68">
        <f>R72*S72</f>
        <v>42.75</v>
      </c>
      <c r="U72" s="79">
        <v>3</v>
      </c>
      <c r="V72" s="68">
        <f>R72*U72</f>
        <v>25.650000000000002</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8.5500000000000007</v>
      </c>
      <c r="E73" s="81">
        <v>4</v>
      </c>
      <c r="F73" s="76">
        <f>D73*E73</f>
        <v>34.200000000000003</v>
      </c>
      <c r="G73" s="77">
        <f>C73</f>
        <v>5</v>
      </c>
      <c r="H73" s="77">
        <f>F73*G73</f>
        <v>171</v>
      </c>
      <c r="I73" s="512" t="s">
        <v>97</v>
      </c>
      <c r="J73" s="513"/>
      <c r="K73" s="78" t="s">
        <v>98</v>
      </c>
      <c r="L73" s="78"/>
      <c r="M73" s="7" t="s">
        <v>99</v>
      </c>
      <c r="N73" s="7"/>
      <c r="O73" s="99">
        <f>O72+1</f>
        <v>10</v>
      </c>
      <c r="P73" s="99">
        <f t="shared" si="23"/>
        <v>6</v>
      </c>
      <c r="Q73" s="76">
        <f>P73</f>
        <v>6</v>
      </c>
      <c r="R73" s="77">
        <f>VLOOKUP(Q73,STN_TABLE,2,FALSE)</f>
        <v>10.78</v>
      </c>
      <c r="S73" s="77">
        <v>8</v>
      </c>
      <c r="T73" s="76">
        <f>R73*S73</f>
        <v>86.24</v>
      </c>
      <c r="U73" s="80">
        <v>10</v>
      </c>
      <c r="V73" s="76">
        <f>R73*U73</f>
        <v>107.8</v>
      </c>
      <c r="W73" s="513" t="s">
        <v>97</v>
      </c>
      <c r="X73" s="513"/>
      <c r="Y73" s="513" t="s">
        <v>98</v>
      </c>
      <c r="Z73" s="513"/>
      <c r="AA73" s="511" t="s">
        <v>99</v>
      </c>
      <c r="AB73" s="511"/>
      <c r="AC73" s="99">
        <f>AC68+1</f>
        <v>9</v>
      </c>
      <c r="AD73" s="95">
        <f>VLOOKUP(AC73,STN_TABLE_2,2,FALSE)</f>
        <v>5.6111111111111107</v>
      </c>
      <c r="AE73" s="68">
        <f>VLOOKUP(AD73,STN_TABLE,2,FALSE)</f>
        <v>10.14</v>
      </c>
      <c r="AF73" s="68">
        <v>1</v>
      </c>
      <c r="AG73" s="69">
        <f>AE73*AF73</f>
        <v>10.14</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10.78</v>
      </c>
      <c r="E74" s="92">
        <v>1</v>
      </c>
      <c r="F74" s="82">
        <f>D74*E74</f>
        <v>10.78</v>
      </c>
      <c r="G74" s="83">
        <f>C74</f>
        <v>6</v>
      </c>
      <c r="H74" s="83">
        <f>F74*G74</f>
        <v>64.679999999999993</v>
      </c>
      <c r="I74" s="84" t="str">
        <f>CONCATENATE("a'(",C74,")=")</f>
        <v>a'(6)=</v>
      </c>
      <c r="J74" s="84">
        <f>2*J72/3*F75</f>
        <v>56.856000000000002</v>
      </c>
      <c r="K74" s="84" t="str">
        <f>CONCATENATE("A(",C72,")=")</f>
        <v>A(4)=</v>
      </c>
      <c r="L74" s="84">
        <f>VLOOKUP(C72,STN_TABLE,3,FALSE)</f>
        <v>10.77</v>
      </c>
      <c r="M74" t="str">
        <f>CONCATENATE("A(",C74,")=")</f>
        <v>A(6)=</v>
      </c>
      <c r="N74">
        <f>J74+L74</f>
        <v>67.626000000000005</v>
      </c>
      <c r="O74" s="99">
        <f>O73+1</f>
        <v>11</v>
      </c>
      <c r="P74" s="99">
        <f t="shared" si="23"/>
        <v>7</v>
      </c>
      <c r="Q74" s="82">
        <f>IF(P74-P73=P73-P72,P74,IF(P75-P73=P73-P72,P75,IF(P74-P73=P73-P71,P74,IF(P75-P73=P73-P71,P75,"-"))))</f>
        <v>7</v>
      </c>
      <c r="R74" s="83">
        <f>VLOOKUP(Q74,STN_TABLE,2,FALSE)</f>
        <v>11.77</v>
      </c>
      <c r="S74" s="83">
        <v>-1</v>
      </c>
      <c r="T74" s="82">
        <f>R74*S74</f>
        <v>-11.77</v>
      </c>
      <c r="U74" s="88">
        <v>-1</v>
      </c>
      <c r="V74" s="82">
        <f>R74*U74</f>
        <v>-11.77</v>
      </c>
      <c r="W74" s="84" t="str">
        <f>CONCATENATE("a'(",Q73,")=")</f>
        <v>a'(6)=</v>
      </c>
      <c r="X74" s="84">
        <f>2*X72/12*T75</f>
        <v>35.166000000000004</v>
      </c>
      <c r="Y74" s="84" t="str">
        <f>CONCATENATE("A(",Q72,")=")</f>
        <v>A(5)=</v>
      </c>
      <c r="Z74" s="84">
        <f>VLOOKUP(Q72,STN_TABLE,3,FALSE)</f>
        <v>27.720000000000002</v>
      </c>
      <c r="AA74" t="str">
        <f>CONCATENATE("A(",Q73,")=")</f>
        <v>A(6)=</v>
      </c>
      <c r="AB74">
        <f>X74+Z74</f>
        <v>62.88600000000001</v>
      </c>
      <c r="AC74" s="99">
        <f>AC73+1</f>
        <v>10</v>
      </c>
      <c r="AD74" s="100">
        <f>VLOOKUP(AC74,STN_TABLE_2,2,FALSE)</f>
        <v>6</v>
      </c>
      <c r="AE74" s="82">
        <f>VLOOKUP(AD74,STN_TABLE,2,FALSE)</f>
        <v>10.78</v>
      </c>
      <c r="AF74" s="82">
        <v>2</v>
      </c>
      <c r="AG74" s="83">
        <f>AE74*AF74</f>
        <v>21.56</v>
      </c>
      <c r="AH74" s="84" t="str">
        <f>CONCATENATE("a'(",AD74,")=")</f>
        <v>a'(6)=</v>
      </c>
      <c r="AI74" s="84">
        <f>2*AI72/2*AE75</f>
        <v>14.644000000000016</v>
      </c>
      <c r="AJ74" s="84" t="str">
        <f>CONCATENATE("A(",AD73,")=")</f>
        <v>A(5.61111111111111)=</v>
      </c>
      <c r="AK74" s="84">
        <f>VLOOKUP(AD73,STN_TABLE,3,FALSE)</f>
        <v>48.278999999999996</v>
      </c>
      <c r="AL74" t="str">
        <f>CONCATENATE("A(",AD74,")=")</f>
        <v>A(6)=</v>
      </c>
      <c r="AM74">
        <f>AI74+AK74</f>
        <v>62.923000000000016</v>
      </c>
      <c r="AO74" s="68" t="str">
        <f>AA74</f>
        <v>A(6)=</v>
      </c>
      <c r="AP74" s="68" t="e">
        <f>VLOOKUP(AO74,Rise_Results,2,FALSE)</f>
        <v>#N/A</v>
      </c>
      <c r="AQ74" s="76">
        <f>N74</f>
        <v>67.626000000000005</v>
      </c>
      <c r="AR74" s="76">
        <f>IF(OR(AB74&lt;=0,AB75&lt;=0),1/0,AB74)</f>
        <v>62.88600000000001</v>
      </c>
      <c r="AS74" s="76">
        <f>AM74</f>
        <v>62.923000000000016</v>
      </c>
      <c r="AT74">
        <f>IFERROR(AP74,IFERROR(AQ74,IFERROR(AR74,AS74)))</f>
        <v>67.626000000000005</v>
      </c>
      <c r="AU74" s="81"/>
    </row>
    <row r="75" spans="1:47" x14ac:dyDescent="0.25">
      <c r="A75" s="84">
        <f>A74+1</f>
        <v>10</v>
      </c>
      <c r="B75" s="84">
        <f t="shared" si="27"/>
        <v>6</v>
      </c>
      <c r="F75" s="82">
        <f>SUM(F72:F74)</f>
        <v>47.38</v>
      </c>
      <c r="H75" s="82">
        <f>SUM(H72:H74)</f>
        <v>245.27999999999997</v>
      </c>
      <c r="I75" s="84" t="str">
        <f>CONCATENATE("m'(",C74,")=")</f>
        <v>m'(6)=</v>
      </c>
      <c r="J75" s="84">
        <f>2*(J72*(WLS))/3*H75</f>
        <v>529.8048</v>
      </c>
      <c r="K75" s="84" t="str">
        <f>CONCATENATE("M(",C72,")=")</f>
        <v>M(4)=</v>
      </c>
      <c r="L75" s="84">
        <f>VLOOKUP(C72,STN_TABLE,4,FALSE)</f>
        <v>58.757999999999996</v>
      </c>
      <c r="M75" t="str">
        <f>CONCATENATE("M(",C74,")=")</f>
        <v>M(6)=</v>
      </c>
      <c r="N75">
        <f>J75+L75</f>
        <v>588.56280000000004</v>
      </c>
      <c r="O75" s="99">
        <f>O74+1</f>
        <v>12</v>
      </c>
      <c r="P75" s="99">
        <f t="shared" si="23"/>
        <v>7.8833333333333329</v>
      </c>
      <c r="T75" s="89">
        <f>SUM(T72:T74)</f>
        <v>117.22000000000001</v>
      </c>
      <c r="V75" s="82">
        <f>SUM(V72:V74)</f>
        <v>121.67999999999999</v>
      </c>
      <c r="W75" s="84" t="str">
        <f>CONCATENATE("m'(",Q73,")=")</f>
        <v>m'(6)=</v>
      </c>
      <c r="X75" s="84">
        <f>(2*(X72^2)/24*V75)+(X74*Q72*WLS)</f>
        <v>349.34760000000006</v>
      </c>
      <c r="Y75" s="84" t="str">
        <f>CONCATENATE("M(",Q72,")=")</f>
        <v>M(5)=</v>
      </c>
      <c r="Z75" s="84">
        <f>VLOOKUP(Q72,STN_TABLE,4,FALSE)</f>
        <v>201.66900000000001</v>
      </c>
      <c r="AA75" t="str">
        <f>CONCATENATE("M(",Q73,")=")</f>
        <v>M(6)=</v>
      </c>
      <c r="AB75">
        <f>X75+Z75</f>
        <v>551.01660000000004</v>
      </c>
      <c r="AE75" s="89">
        <f>SUM(AE73:AE74)</f>
        <v>20.92</v>
      </c>
      <c r="AG75" s="89">
        <f>SUM(AG73:AG74)</f>
        <v>31.7</v>
      </c>
      <c r="AH75" s="84" t="str">
        <f>CONCATENATE("m'(",AD74,")=")</f>
        <v>m'(6)=</v>
      </c>
      <c r="AI75" s="84">
        <f>(2*(AI72^2)/6*AG75)+(AI74*AD73*WLS)</f>
        <v>153.08206666666683</v>
      </c>
      <c r="AJ75" s="84" t="str">
        <f>CONCATENATE("M(",AD73,")=")</f>
        <v>M(5.61111111111111)=</v>
      </c>
      <c r="AK75" s="84">
        <f>VLOOKUP(AD73,STN_TABLE,4,FALSE)</f>
        <v>398.32809999999995</v>
      </c>
      <c r="AL75" t="str">
        <f>CONCATENATE("M(",AD74,")=")</f>
        <v>M(6)=</v>
      </c>
      <c r="AM75">
        <f>AI75+AK75</f>
        <v>551.41016666666678</v>
      </c>
      <c r="AO75" s="82" t="str">
        <f>AA75</f>
        <v>M(6)=</v>
      </c>
      <c r="AP75" s="82" t="e">
        <f>VLOOKUP(AO75,Rise_Results,2,FALSE)</f>
        <v>#N/A</v>
      </c>
      <c r="AQ75" s="82">
        <f>N75</f>
        <v>588.56280000000004</v>
      </c>
      <c r="AR75" s="82">
        <f>IF(OR(AB74&lt;=0,AB75&lt;=0),1/0,AB75)</f>
        <v>551.01660000000004</v>
      </c>
      <c r="AS75" s="82">
        <f>AM75</f>
        <v>551.41016666666678</v>
      </c>
      <c r="AT75">
        <f>IFERROR(AP75,IFERROR(AQ75,IFERROR(AR75,AS75)))</f>
        <v>588.56280000000004</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8.5500000000000007</v>
      </c>
      <c r="E77" s="102">
        <v>1</v>
      </c>
      <c r="F77" s="68">
        <f>D77*E77</f>
        <v>8.5500000000000007</v>
      </c>
      <c r="G77" s="69">
        <f>C77</f>
        <v>5</v>
      </c>
      <c r="H77" s="69">
        <f>F77*G77</f>
        <v>42.75</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10.78</v>
      </c>
      <c r="E78" s="81">
        <v>4</v>
      </c>
      <c r="F78" s="76">
        <f>D78*E78</f>
        <v>43.12</v>
      </c>
      <c r="G78" s="77">
        <f>C78</f>
        <v>6</v>
      </c>
      <c r="H78" s="77">
        <f>F78*G78</f>
        <v>258.71999999999997</v>
      </c>
      <c r="I78" s="512" t="s">
        <v>97</v>
      </c>
      <c r="J78" s="513"/>
      <c r="K78" s="78" t="s">
        <v>98</v>
      </c>
      <c r="L78" s="78"/>
      <c r="M78" s="7" t="s">
        <v>99</v>
      </c>
      <c r="N78" s="7"/>
      <c r="O78" s="99">
        <f>O77+1</f>
        <v>11</v>
      </c>
      <c r="P78" s="99">
        <f t="shared" si="23"/>
        <v>7</v>
      </c>
      <c r="Q78" s="76">
        <f>P78</f>
        <v>7</v>
      </c>
      <c r="R78" s="77">
        <f>VLOOKUP(Q78,STN_TABLE,2,FALSE)</f>
        <v>11.77</v>
      </c>
      <c r="S78" s="77">
        <v>8</v>
      </c>
      <c r="T78" s="76">
        <f>R78*S78</f>
        <v>94.16</v>
      </c>
      <c r="U78" s="80">
        <v>10</v>
      </c>
      <c r="V78" s="76">
        <f>R78*U78</f>
        <v>117.69999999999999</v>
      </c>
      <c r="W78" s="513" t="s">
        <v>97</v>
      </c>
      <c r="X78" s="513"/>
      <c r="Y78" s="513" t="s">
        <v>98</v>
      </c>
      <c r="Z78" s="513"/>
      <c r="AA78" s="511" t="s">
        <v>99</v>
      </c>
      <c r="AB78" s="511"/>
      <c r="AC78" s="99">
        <f>AC73+1</f>
        <v>10</v>
      </c>
      <c r="AD78" s="95">
        <f>VLOOKUP(AC78,STN_TABLE_2,2,FALSE)</f>
        <v>6</v>
      </c>
      <c r="AE78" s="68">
        <f>VLOOKUP(AD78,STN_TABLE,2,FALSE)</f>
        <v>10.78</v>
      </c>
      <c r="AF78" s="68">
        <v>1</v>
      </c>
      <c r="AG78" s="69">
        <f>AE78*AF78</f>
        <v>10.78</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11.77</v>
      </c>
      <c r="E79" s="92">
        <v>1</v>
      </c>
      <c r="F79" s="82">
        <f>D79*E79</f>
        <v>11.77</v>
      </c>
      <c r="G79" s="83">
        <f>C79</f>
        <v>7</v>
      </c>
      <c r="H79" s="83">
        <f>F79*G79</f>
        <v>82.39</v>
      </c>
      <c r="I79" s="84" t="str">
        <f>CONCATENATE("a'(",C79,")=")</f>
        <v>a'(7)=</v>
      </c>
      <c r="J79" s="84">
        <f>2*J77/3*F80</f>
        <v>76.128</v>
      </c>
      <c r="K79" s="84" t="str">
        <f>CONCATENATE("A(",C77,")=")</f>
        <v>A(5)=</v>
      </c>
      <c r="L79" s="84">
        <f>VLOOKUP(C77,STN_TABLE,3,FALSE)</f>
        <v>27.720000000000002</v>
      </c>
      <c r="M79" t="str">
        <f>CONCATENATE("A(",C79,")=")</f>
        <v>A(7)=</v>
      </c>
      <c r="N79">
        <f>J79+L79</f>
        <v>103.848</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11.77</v>
      </c>
      <c r="AF79" s="82">
        <v>2</v>
      </c>
      <c r="AG79" s="83">
        <f>AE79*AF79</f>
        <v>23.54</v>
      </c>
      <c r="AH79" s="84" t="str">
        <f>CONCATENATE("a'(",AD79,")=")</f>
        <v>a'(7)=</v>
      </c>
      <c r="AI79" s="84">
        <f>2*AI77/2*AE80</f>
        <v>40.589999999999996</v>
      </c>
      <c r="AJ79" s="84" t="str">
        <f>CONCATENATE("A(",AD78,")=")</f>
        <v>A(6)=</v>
      </c>
      <c r="AK79" s="84">
        <f>VLOOKUP(AD78,STN_TABLE,3,FALSE)</f>
        <v>67.626000000000005</v>
      </c>
      <c r="AL79" t="str">
        <f>CONCATENATE("A(",AD79,")=")</f>
        <v>A(7)=</v>
      </c>
      <c r="AM79">
        <f>AI79+AK79</f>
        <v>108.21600000000001</v>
      </c>
      <c r="AO79" s="68" t="str">
        <f>AA79</f>
        <v>A(7)=</v>
      </c>
      <c r="AP79" s="68" t="e">
        <f>VLOOKUP(AO79,Rise_Results,2,FALSE)</f>
        <v>#N/A</v>
      </c>
      <c r="AQ79" s="76">
        <f>N79</f>
        <v>103.848</v>
      </c>
      <c r="AR79" s="76" t="e">
        <f>IF(OR(AB79&lt;=0,AB80&lt;=0),1/0,AB79)</f>
        <v>#VALUE!</v>
      </c>
      <c r="AS79" s="76">
        <f>AM79</f>
        <v>108.21600000000001</v>
      </c>
      <c r="AT79">
        <f>IFERROR(AP79,IFERROR(AQ79,IFERROR(AR79,AS79)))</f>
        <v>103.848</v>
      </c>
      <c r="AU79" s="81"/>
    </row>
    <row r="80" spans="1:47" x14ac:dyDescent="0.25">
      <c r="A80" s="84">
        <f>A79+1</f>
        <v>11</v>
      </c>
      <c r="B80" s="84">
        <f t="shared" si="27"/>
        <v>7</v>
      </c>
      <c r="F80" s="82">
        <f>SUM(F77:F79)</f>
        <v>63.44</v>
      </c>
      <c r="H80" s="82">
        <f>SUM(H77:H79)</f>
        <v>383.85999999999996</v>
      </c>
      <c r="I80" s="84" t="str">
        <f>CONCATENATE("m'(",C79,")=")</f>
        <v>m'(7)=</v>
      </c>
      <c r="J80" s="84">
        <f>2*(J77*(WLS))/3*H80</f>
        <v>829.13759999999991</v>
      </c>
      <c r="K80" s="84" t="str">
        <f>CONCATENATE("M(",C77,")=")</f>
        <v>M(5)=</v>
      </c>
      <c r="L80" s="84">
        <f>VLOOKUP(C77,STN_TABLE,4,FALSE)</f>
        <v>201.66900000000001</v>
      </c>
      <c r="M80" t="str">
        <f>CONCATENATE("M(",C79,")=")</f>
        <v>M(7)=</v>
      </c>
      <c r="N80">
        <f>J80+L80</f>
        <v>1030.8065999999999</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22.549999999999997</v>
      </c>
      <c r="AG80" s="89">
        <f>SUM(AG78:AG79)</f>
        <v>34.32</v>
      </c>
      <c r="AH80" s="84" t="str">
        <f>CONCATENATE("m'(",AD79,")=")</f>
        <v>m'(7)=</v>
      </c>
      <c r="AI80" s="84">
        <f>(2*(AI77^2)/6*AG80)+(AI79*AD78*WLS)</f>
        <v>475.43759999999997</v>
      </c>
      <c r="AJ80" s="84" t="str">
        <f>CONCATENATE("M(",AD78,")=")</f>
        <v>M(6)=</v>
      </c>
      <c r="AK80" s="84">
        <f>VLOOKUP(AD78,STN_TABLE,4,FALSE)</f>
        <v>588.56280000000004</v>
      </c>
      <c r="AL80" t="str">
        <f>CONCATENATE("M(",AD79,")=")</f>
        <v>M(7)=</v>
      </c>
      <c r="AM80">
        <f>AI80+AK80</f>
        <v>1064.0003999999999</v>
      </c>
      <c r="AO80" s="82" t="str">
        <f>AA80</f>
        <v>M(7)=</v>
      </c>
      <c r="AP80" s="82" t="e">
        <f>VLOOKUP(AO80,Rise_Results,2,FALSE)</f>
        <v>#N/A</v>
      </c>
      <c r="AQ80" s="82">
        <f>N80</f>
        <v>1030.8065999999999</v>
      </c>
      <c r="AR80" s="82" t="e">
        <f>IF(OR(AB79&lt;=0,AB80&lt;=0),1/0,AB80)</f>
        <v>#VALUE!</v>
      </c>
      <c r="AS80" s="82">
        <f>AM80</f>
        <v>1064.0003999999999</v>
      </c>
      <c r="AT80">
        <f>IFERROR(AP80,IFERROR(AQ80,IFERROR(AR80,AS80)))</f>
        <v>1030.8065999999999</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12.1</v>
      </c>
      <c r="S83" s="77">
        <v>8</v>
      </c>
      <c r="T83" s="76">
        <f>R83*S83</f>
        <v>96.8</v>
      </c>
      <c r="U83" s="80">
        <v>10</v>
      </c>
      <c r="V83" s="76">
        <f>R83*U83</f>
        <v>121</v>
      </c>
      <c r="W83" s="513" t="s">
        <v>97</v>
      </c>
      <c r="X83" s="513"/>
      <c r="Y83" s="513" t="s">
        <v>98</v>
      </c>
      <c r="Z83" s="513"/>
      <c r="AA83" s="511" t="s">
        <v>99</v>
      </c>
      <c r="AB83" s="511"/>
      <c r="AC83" s="99">
        <f>AC78+1</f>
        <v>11</v>
      </c>
      <c r="AD83" s="95">
        <f>VLOOKUP(AC83,STN_TABLE_2,2,FALSE)</f>
        <v>7</v>
      </c>
      <c r="AE83" s="68">
        <f>VLOOKUP(AD83,STN_TABLE,2,FALSE)</f>
        <v>11.77</v>
      </c>
      <c r="AF83" s="68">
        <v>1</v>
      </c>
      <c r="AG83" s="69">
        <f>AE83*AF83</f>
        <v>11.77</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12.1</v>
      </c>
      <c r="E84" s="92">
        <v>1</v>
      </c>
      <c r="F84" s="82">
        <f>D84*E84</f>
        <v>12.1</v>
      </c>
      <c r="G84" s="83">
        <f>C84</f>
        <v>7.8833333333333329</v>
      </c>
      <c r="H84" s="83">
        <f>F84*G84</f>
        <v>95.388333333333321</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12.1</v>
      </c>
      <c r="AF84" s="82">
        <v>2</v>
      </c>
      <c r="AG84" s="83">
        <f>AE84*AF84</f>
        <v>24.2</v>
      </c>
      <c r="AH84" s="84" t="str">
        <f>CONCATENATE("a'(",AD84,")=")</f>
        <v>a'(7.88333333333333)=</v>
      </c>
      <c r="AI84" s="84">
        <f>2*AI82/2*AE85</f>
        <v>37.953299999999977</v>
      </c>
      <c r="AJ84" s="84" t="str">
        <f>CONCATENATE("A(",AD83,")=")</f>
        <v>A(7)=</v>
      </c>
      <c r="AK84" s="84">
        <f>VLOOKUP(AD83,STN_TABLE,3,FALSE)</f>
        <v>103.848</v>
      </c>
      <c r="AL84" t="str">
        <f>CONCATENATE("A(",AD84,")=")</f>
        <v>A(7.88333333333333)=</v>
      </c>
      <c r="AM84">
        <f>AI84+AK84</f>
        <v>141.80129999999997</v>
      </c>
      <c r="AO84" s="68" t="str">
        <f>AA84</f>
        <v>A(7.88333333333333)=</v>
      </c>
      <c r="AP84" s="68" t="e">
        <f>VLOOKUP(AO84,Rise_Results,2,FALSE)</f>
        <v>#N/A</v>
      </c>
      <c r="AQ84" s="76" t="e">
        <f>N84</f>
        <v>#N/A</v>
      </c>
      <c r="AR84" s="76" t="e">
        <f>IF(OR(AB84&lt;=0,AB85&lt;=0),1/0,AB84)</f>
        <v>#VALUE!</v>
      </c>
      <c r="AS84" s="76">
        <f>AM84</f>
        <v>141.80129999999997</v>
      </c>
      <c r="AT84">
        <f>IFERROR(AP84,IFERROR(AQ84,IFERROR(AR84,AS84)))</f>
        <v>141.80129999999997</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23.869999999999997</v>
      </c>
      <c r="AG85" s="89">
        <f>SUM(AG83:AG84)</f>
        <v>35.97</v>
      </c>
      <c r="AH85" s="84" t="str">
        <f>CONCATENATE("m'(",AD84,")=")</f>
        <v>m'(7.88333333333333)=</v>
      </c>
      <c r="AI85" s="84">
        <f>(2*(AI82^2)/6*AG85)+(AI84*AD83*WLS)</f>
        <v>508.52349899999973</v>
      </c>
      <c r="AJ85" s="84" t="str">
        <f>CONCATENATE("M(",AD83,")=")</f>
        <v>M(7)=</v>
      </c>
      <c r="AK85" s="84">
        <f>VLOOKUP(AD83,STN_TABLE,4,FALSE)</f>
        <v>1030.8065999999999</v>
      </c>
      <c r="AL85" t="str">
        <f>CONCATENATE("M(",AD84,")=")</f>
        <v>M(7.88333333333333)=</v>
      </c>
      <c r="AM85">
        <f>AI85+AK85</f>
        <v>1539.3300989999996</v>
      </c>
      <c r="AO85" s="82" t="str">
        <f>AA85</f>
        <v>M(7.88333333333333)=</v>
      </c>
      <c r="AP85" s="82" t="e">
        <f>VLOOKUP(AO85,Rise_Results,2,FALSE)</f>
        <v>#N/A</v>
      </c>
      <c r="AQ85" s="82" t="e">
        <f>N85</f>
        <v>#N/A</v>
      </c>
      <c r="AR85" s="82" t="e">
        <f>IF(OR(AB84&lt;=0,AB85&lt;=0),1/0,AB85)</f>
        <v>#VALUE!</v>
      </c>
      <c r="AS85" s="82">
        <f>AM85</f>
        <v>1539.3300989999996</v>
      </c>
      <c r="AT85">
        <f>IFERROR(AP85,IFERROR(AQ85,IFERROR(AR85,AS85)))</f>
        <v>1539.3300989999996</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12.1</v>
      </c>
      <c r="AF88" s="68">
        <v>1</v>
      </c>
      <c r="AG88" s="69">
        <f>AE88*AF88</f>
        <v>12.1</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141.80129999999997</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12.1</v>
      </c>
      <c r="AG90" s="89" t="e">
        <f>SUM(AG88:AG89)</f>
        <v>#VALUE!</v>
      </c>
      <c r="AH90" s="84" t="str">
        <f>CONCATENATE("m'(",AD89,")=")</f>
        <v>m'(  )=</v>
      </c>
      <c r="AI90" s="84" t="e">
        <f>(2*(AI87^2)/6*AG90)+(AI89*AD88*WLS)</f>
        <v>#VALUE!</v>
      </c>
      <c r="AJ90" s="84" t="str">
        <f>CONCATENATE("M(",AD88,")=")</f>
        <v>M(7.88333333333333)=</v>
      </c>
      <c r="AK90" s="84">
        <f>VLOOKUP(AD88,STN_TABLE,4,FALSE)</f>
        <v>1539.3300989999996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AU171"/>
  <sheetViews>
    <sheetView topLeftCell="N1" workbookViewId="0">
      <pane ySplit="1" topLeftCell="A2" activePane="bottomLeft" state="frozen"/>
      <selection activeCell="AG3" sqref="AG3:AG5"/>
      <selection pane="bottomLeft" activeCell="AG8" sqref="AG8:AG10"/>
    </sheetView>
  </sheetViews>
  <sheetFormatPr defaultRowHeight="15" x14ac:dyDescent="0.25"/>
  <sheetData>
    <row r="1" spans="1:46" x14ac:dyDescent="0.25">
      <c r="A1" s="511" t="s">
        <v>90</v>
      </c>
      <c r="B1" s="511"/>
      <c r="C1">
        <f>HLOOKUP(Stn_WL,OFFSET_A,Count_STN+1,FALSE)</f>
        <v>1</v>
      </c>
      <c r="E1" s="511" t="s">
        <v>91</v>
      </c>
      <c r="F1" s="511"/>
      <c r="G1">
        <f>VLOOKUP(Station_No,RISE_CALC,2,FALSE)</f>
        <v>7.8</v>
      </c>
      <c r="L1" s="511" t="s">
        <v>92</v>
      </c>
      <c r="M1" s="511"/>
      <c r="N1">
        <v>3</v>
      </c>
    </row>
    <row r="2" spans="1:46" x14ac:dyDescent="0.25">
      <c r="Q2" s="66" t="str">
        <f t="shared" ref="Q2:R6" si="0">G4</f>
        <v>Rise</v>
      </c>
      <c r="R2" s="67">
        <f t="shared" si="0"/>
        <v>4.333333333333333</v>
      </c>
      <c r="S2" s="68" t="str">
        <f>IF(OR(R5-R4=R4-R3,R6-R4=R4-R3),R3,IF(OR(R5-R4=R4-R2,R6-R4=R4-R2),R2,"-"))</f>
        <v>-</v>
      </c>
      <c r="T2" s="69">
        <f>IFERROR(VLOOKUP(S2,STN_TABLE,2,FALSE),IF(R2=RisePerWLS,0,"-"))</f>
        <v>0</v>
      </c>
      <c r="U2" s="69">
        <v>5</v>
      </c>
      <c r="V2" s="69">
        <f>T2*U2</f>
        <v>0</v>
      </c>
      <c r="W2" s="69">
        <v>3</v>
      </c>
      <c r="X2" s="69">
        <f>T2*W2</f>
        <v>0</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5</v>
      </c>
      <c r="S3" s="76">
        <f>R4</f>
        <v>5.6111111111111107</v>
      </c>
      <c r="T3" s="77">
        <f>VLOOKUP(S3,STN_TABLE,2,FALSE)</f>
        <v>8.8000000000000007</v>
      </c>
      <c r="U3" s="77">
        <v>8</v>
      </c>
      <c r="V3" s="77">
        <f>T3*U3</f>
        <v>70.400000000000006</v>
      </c>
      <c r="W3" s="77">
        <v>10</v>
      </c>
      <c r="X3" s="77">
        <f>T3*W3</f>
        <v>88</v>
      </c>
      <c r="Y3" s="78" t="s">
        <v>97</v>
      </c>
      <c r="Z3" s="78"/>
      <c r="AA3" s="78" t="s">
        <v>98</v>
      </c>
      <c r="AB3" s="78"/>
      <c r="AC3" s="7" t="s">
        <v>99</v>
      </c>
      <c r="AD3" s="7"/>
      <c r="AE3" s="66" t="str">
        <f t="shared" ref="AE3:AF7" si="1">G4</f>
        <v>Rise</v>
      </c>
      <c r="AF3" s="67">
        <f t="shared" si="1"/>
        <v>4.333333333333333</v>
      </c>
      <c r="AG3" s="79">
        <f>IF(AF7-AF6=AF6-AF5,AF5,IF(OR(AF7-AF6=AF6-AF4,AF7-AF5=AF5-AF4),AF4,IF(OR(AF7-AF6=AF6-AF3,AF7-AF5=AF5-AF3,AF7-AF4=AF4-AF3),AF3,"#NA")))</f>
        <v>5</v>
      </c>
      <c r="AH3" s="69">
        <f>IFERROR(VLOOKUP(AG3,STN_TABLE,2,FALSE),IF(AF3=RisePerWLS,0,"-"))</f>
        <v>6.12</v>
      </c>
      <c r="AI3" s="69">
        <v>1</v>
      </c>
      <c r="AJ3" s="69">
        <f>AH3*AI3</f>
        <v>6.12</v>
      </c>
      <c r="AK3" s="69">
        <f>AG3</f>
        <v>5</v>
      </c>
      <c r="AL3" s="69">
        <f>AJ3*AK3</f>
        <v>30.6</v>
      </c>
      <c r="AM3" s="6" t="s">
        <v>93</v>
      </c>
      <c r="AN3" s="70">
        <f>IF(AND(AH3=0,AH4=0,AH5=0),WLS*(AG5-AG4),IF(AND(AG5-AG4=AG4-AG3,AG4&lt;&gt;AG5,AG3&lt;&gt;AG4,AG3&lt;&gt;AG5,AH5&lt;&gt;0,OR(AH3&lt;&gt;0,AH4&lt;&gt;0)),WLS*(AG5-AG4),"#NA"))</f>
        <v>1.8</v>
      </c>
    </row>
    <row r="4" spans="1:46" x14ac:dyDescent="0.25">
      <c r="A4">
        <v>1</v>
      </c>
      <c r="B4" s="80">
        <f t="shared" ref="B4:B28" si="2">VLOOKUP(Stn_WL,OFFSET_A,A4+1,FALSE)</f>
        <v>0</v>
      </c>
      <c r="C4" s="81">
        <f t="shared" ref="C4:C28" si="3">VLOOKUP(Station_No,OFFSET_A,A4+1,FALSE)</f>
        <v>0</v>
      </c>
      <c r="D4" s="81">
        <v>0</v>
      </c>
      <c r="E4" s="77">
        <v>0</v>
      </c>
      <c r="G4" t="s">
        <v>100</v>
      </c>
      <c r="H4">
        <f>Rise/WLS</f>
        <v>4.333333333333333</v>
      </c>
      <c r="K4" t="str">
        <f>CONCATENATE("A(",H5,")=")</f>
        <v>A(5)=</v>
      </c>
      <c r="L4">
        <f>IFERROR(N18,N22)</f>
        <v>7.3440000000000039</v>
      </c>
      <c r="Q4" s="66" t="str">
        <f t="shared" si="0"/>
        <v>2nd_UWL</v>
      </c>
      <c r="R4" s="67">
        <f t="shared" si="0"/>
        <v>5.6111111111111107</v>
      </c>
      <c r="S4" s="82" t="e">
        <f>IF((S2-S3)=S3-R5,R5,IF(S2-S3=S3-R6,R6,"-"))</f>
        <v>#VALUE!</v>
      </c>
      <c r="T4" s="83" t="e">
        <f>VLOOKUP(S4,STN_TABLE,2,FALSE)</f>
        <v>#VALUE!</v>
      </c>
      <c r="U4" s="83">
        <v>-1</v>
      </c>
      <c r="V4" s="83" t="e">
        <f>T4*U4</f>
        <v>#VALUE!</v>
      </c>
      <c r="W4" s="83">
        <v>-1</v>
      </c>
      <c r="X4" s="83" t="e">
        <f>T4*W4</f>
        <v>#VALUE!</v>
      </c>
      <c r="Y4" s="84" t="str">
        <f>CONCATENATE("a'(",S3,")=")</f>
        <v>a'(5.61111111111111)=</v>
      </c>
      <c r="Z4" s="85" t="e">
        <f>2*Z2/12*V5</f>
        <v>#VALUE!</v>
      </c>
      <c r="AA4" s="84" t="str">
        <f>CONCATENATE("A(",S2,")=")</f>
        <v>A(-)=</v>
      </c>
      <c r="AB4" s="84" t="e">
        <f>IF(S2=RisePerWLS,0,VLOOKUP(S2,STN_TABLE,3,FALSE))</f>
        <v>#N/A</v>
      </c>
      <c r="AC4" t="str">
        <f>CONCATENATE("A(",S3,")=")</f>
        <v>A(5.61111111111111)=</v>
      </c>
      <c r="AD4" t="e">
        <f>Z4+AB4</f>
        <v>#VALUE!</v>
      </c>
      <c r="AE4" s="66" t="str">
        <f t="shared" si="1"/>
        <v>1st_UWL</v>
      </c>
      <c r="AF4" s="67">
        <f t="shared" si="1"/>
        <v>5</v>
      </c>
      <c r="AG4" s="80">
        <f>IF(OR(AF7-AF6=AF6-AF5,AF7-AF6=AF6-AF4,AF7-AF6=AF6-AF3),AF6,IF(OR(AF7-AF5=AF5-AF4,AF7-AF5=AF5-AF3),AF5,IF(AF7-AF4=AF4-AF3,AF4,"#NA")))</f>
        <v>6</v>
      </c>
      <c r="AH4" s="77">
        <f>VLOOKUP(AG4,STN_TABLE,2,FALSE)</f>
        <v>9.84</v>
      </c>
      <c r="AI4" s="77">
        <v>4</v>
      </c>
      <c r="AJ4" s="77">
        <f>AH4*AI4</f>
        <v>39.36</v>
      </c>
      <c r="AK4" s="77">
        <f>AG4</f>
        <v>6</v>
      </c>
      <c r="AL4" s="77">
        <f>AJ4*AK4</f>
        <v>236.16</v>
      </c>
      <c r="AM4" s="78" t="s">
        <v>97</v>
      </c>
      <c r="AN4" s="78"/>
      <c r="AO4" s="78" t="s">
        <v>98</v>
      </c>
      <c r="AP4" s="78"/>
      <c r="AQ4" s="7" t="s">
        <v>99</v>
      </c>
      <c r="AR4" s="7"/>
      <c r="AS4" s="7"/>
      <c r="AT4" s="7"/>
    </row>
    <row r="5" spans="1:46" x14ac:dyDescent="0.25">
      <c r="A5">
        <v>2</v>
      </c>
      <c r="B5" s="80">
        <f t="shared" si="2"/>
        <v>0.5</v>
      </c>
      <c r="C5" s="81">
        <f t="shared" si="3"/>
        <v>0</v>
      </c>
      <c r="D5" s="81">
        <f t="shared" ref="D5:D28" si="4">IFERROR(VLOOKUP(CONCATENATE("A(",B5,")="),RESULT_TABLE,6,FALSE)," ")</f>
        <v>0</v>
      </c>
      <c r="E5" s="77">
        <f t="shared" ref="E5:E28" si="5">IFERROR(VLOOKUP(CONCATENATE("M(",B5,")="),RESULT_TABLE,6,FALSE)," ")</f>
        <v>0</v>
      </c>
      <c r="G5" t="s">
        <v>101</v>
      </c>
      <c r="H5">
        <f>VLOOKUP(Station_No,RISE_CALC,4,FALSE)</f>
        <v>5</v>
      </c>
      <c r="K5" t="str">
        <f>CONCATENATE("M(",H5,")=")</f>
        <v>M(5)=</v>
      </c>
      <c r="L5">
        <f>IFERROR(N19,N23)</f>
        <v>63.158400000000036</v>
      </c>
      <c r="Q5" s="66" t="str">
        <f t="shared" si="0"/>
        <v>3rd_UWL</v>
      </c>
      <c r="R5" s="67">
        <f t="shared" si="0"/>
        <v>6</v>
      </c>
      <c r="V5" s="86" t="e">
        <f>SUM(V2:V4)</f>
        <v>#VALUE!</v>
      </c>
      <c r="X5" s="87" t="e">
        <f>SUM(X2:X4)</f>
        <v>#VALUE!</v>
      </c>
      <c r="Y5" s="84" t="str">
        <f>CONCATENATE("m'(",S3,")=")</f>
        <v>m'(5.61111111111111)=</v>
      </c>
      <c r="Z5" s="85" t="e">
        <f>(2*(Z2^2)/24*X5)+(Z4*S2*WLS)</f>
        <v>#VALUE!</v>
      </c>
      <c r="AA5" s="84" t="str">
        <f>CONCATENATE("M(",S2,")=")</f>
        <v>M(-)=</v>
      </c>
      <c r="AB5" s="84" t="e">
        <f>IF(S2=RisePerWLS,0,VLOOKUP(S2,STN_TABLE,4,FALSE))</f>
        <v>#N/A</v>
      </c>
      <c r="AC5" t="str">
        <f>CONCATENATE("M(",S3,")=")</f>
        <v>M(5.61111111111111)=</v>
      </c>
      <c r="AD5" t="e">
        <f>Z5+AB5</f>
        <v>#VALUE!</v>
      </c>
      <c r="AE5" s="66" t="str">
        <f t="shared" si="1"/>
        <v>2nd_UWL</v>
      </c>
      <c r="AF5" s="67">
        <f t="shared" si="1"/>
        <v>5.6111111111111107</v>
      </c>
      <c r="AG5" s="88">
        <f>AF7</f>
        <v>7</v>
      </c>
      <c r="AH5" s="83">
        <f>VLOOKUP(AG5,STN_TABLE,2,FALSE)</f>
        <v>11.33</v>
      </c>
      <c r="AI5" s="83">
        <v>1</v>
      </c>
      <c r="AJ5" s="83">
        <f>AH5*AI5</f>
        <v>11.33</v>
      </c>
      <c r="AK5" s="83">
        <f>AG5</f>
        <v>7</v>
      </c>
      <c r="AL5" s="83">
        <f>AJ5*AK5</f>
        <v>79.31</v>
      </c>
      <c r="AM5" s="84" t="str">
        <f>CONCATENATE("a'(",AG5,")=")</f>
        <v>a'(7)=</v>
      </c>
      <c r="AN5" s="84">
        <f>2*AN3/3*AJ6</f>
        <v>68.171999999999997</v>
      </c>
      <c r="AO5" s="84" t="str">
        <f>CONCATENATE("A(",AG3,")=")</f>
        <v>A(5)=</v>
      </c>
      <c r="AP5" s="84">
        <f>IF(AG3=RisePerWLS,0,VLOOKUP(AG3,STN_TABLE,3,FALSE))</f>
        <v>7.3440000000000039</v>
      </c>
      <c r="AQ5" t="str">
        <f>CONCATENATE("A(",AG5,")=")</f>
        <v>A(7)=</v>
      </c>
      <c r="AR5">
        <f>AN5+AP5</f>
        <v>75.516000000000005</v>
      </c>
    </row>
    <row r="6" spans="1:46" x14ac:dyDescent="0.25">
      <c r="A6">
        <v>3</v>
      </c>
      <c r="B6" s="80">
        <f t="shared" si="2"/>
        <v>1</v>
      </c>
      <c r="C6" s="81">
        <f t="shared" si="3"/>
        <v>0</v>
      </c>
      <c r="D6" s="81">
        <f t="shared" si="4"/>
        <v>0</v>
      </c>
      <c r="E6" s="77">
        <f t="shared" si="5"/>
        <v>0</v>
      </c>
      <c r="G6" t="s">
        <v>102</v>
      </c>
      <c r="H6">
        <f>VLOOKUP(Station_No,RISE_CALC,5,FALSE)</f>
        <v>5.6111111111111107</v>
      </c>
      <c r="K6" t="str">
        <f>CONCATENATE("A(",H6,")=")</f>
        <v>A(5.61111111111111)=</v>
      </c>
      <c r="L6">
        <f>IFERROR(P27,IFERROR(X6,AD9))</f>
        <v>23.755999999999997</v>
      </c>
      <c r="Q6" s="66" t="str">
        <f t="shared" si="0"/>
        <v>4th_UWL</v>
      </c>
      <c r="R6" s="67">
        <f t="shared" si="0"/>
        <v>7</v>
      </c>
      <c r="U6" t="s">
        <v>103</v>
      </c>
      <c r="W6" t="str">
        <f>CONCATENATE("A(",S3,")=")</f>
        <v>A(5.61111111111111)=</v>
      </c>
      <c r="X6" t="e">
        <f>IF(OR(AD4&lt;=0,AD5&lt;=0),AD9,AD4)</f>
        <v>#VALUE!</v>
      </c>
      <c r="AE6" s="66" t="str">
        <f t="shared" si="1"/>
        <v>3rd_UWL</v>
      </c>
      <c r="AF6" s="67">
        <f t="shared" si="1"/>
        <v>6</v>
      </c>
      <c r="AJ6" s="89">
        <f>SUM(AJ3:AJ5)</f>
        <v>56.809999999999995</v>
      </c>
      <c r="AL6" s="89">
        <f>SUM(AL3:AL5)</f>
        <v>346.07</v>
      </c>
      <c r="AM6" s="84" t="str">
        <f>CONCATENATE("m'(",AG5,")=")</f>
        <v>m'(7)=</v>
      </c>
      <c r="AN6" s="84">
        <f>2*(AN3*WLS)/3*AL6</f>
        <v>747.51120000000003</v>
      </c>
      <c r="AO6" s="84" t="str">
        <f>CONCATENATE("M(",AG3,")=")</f>
        <v>M(5)=</v>
      </c>
      <c r="AP6" s="84">
        <f>IF(AG3=RisePerWLS,0,VLOOKUP(AG3,STN_TABLE,4,FALSE))</f>
        <v>63.158400000000036</v>
      </c>
      <c r="AQ6" t="str">
        <f>CONCATENATE("M(",AG5,")=")</f>
        <v>M(7)=</v>
      </c>
      <c r="AR6">
        <f>AN6+AP6</f>
        <v>810.66960000000006</v>
      </c>
    </row>
    <row r="7" spans="1:46" x14ac:dyDescent="0.25">
      <c r="A7">
        <v>4</v>
      </c>
      <c r="B7" s="80">
        <f t="shared" si="2"/>
        <v>1.5</v>
      </c>
      <c r="C7" s="81">
        <f t="shared" si="3"/>
        <v>0</v>
      </c>
      <c r="D7" s="81">
        <f t="shared" si="4"/>
        <v>0</v>
      </c>
      <c r="E7" s="77">
        <f t="shared" si="5"/>
        <v>0</v>
      </c>
      <c r="G7" t="s">
        <v>104</v>
      </c>
      <c r="H7">
        <f>VLOOKUP(Station_No,RISE_CALC,6,FALSE)</f>
        <v>6</v>
      </c>
      <c r="K7" t="str">
        <f>CONCATENATE("M(",H6,")=")</f>
        <v>M(5.61111111111111)=</v>
      </c>
      <c r="L7">
        <f>IFERROR(P28,IFERROR(X7,AD10))</f>
        <v>220.43346666666662</v>
      </c>
      <c r="Q7" s="66"/>
      <c r="R7" s="67"/>
      <c r="W7" t="str">
        <f>CONCATENATE("M(",S3,")=")</f>
        <v>M(5.61111111111111)=</v>
      </c>
      <c r="X7" t="e">
        <f>IF(OR(AD4&lt;=0,AD5&lt;=0),AD10,AD5)</f>
        <v>#VALUE!</v>
      </c>
      <c r="Y7" s="6" t="s">
        <v>93</v>
      </c>
      <c r="Z7" s="70">
        <f>WLS*(U9-U8)</f>
        <v>1.0999999999999994</v>
      </c>
      <c r="AE7" s="66" t="str">
        <f t="shared" si="1"/>
        <v>4th_UWL</v>
      </c>
      <c r="AF7" s="67">
        <f t="shared" si="1"/>
        <v>7</v>
      </c>
      <c r="AH7" s="81"/>
    </row>
    <row r="8" spans="1:46" x14ac:dyDescent="0.25">
      <c r="A8">
        <v>5</v>
      </c>
      <c r="B8" s="80">
        <f t="shared" si="2"/>
        <v>2</v>
      </c>
      <c r="C8" s="81">
        <f t="shared" si="3"/>
        <v>0</v>
      </c>
      <c r="D8" s="81">
        <f t="shared" si="4"/>
        <v>0</v>
      </c>
      <c r="E8" s="77">
        <f t="shared" si="5"/>
        <v>0</v>
      </c>
      <c r="G8" t="s">
        <v>105</v>
      </c>
      <c r="H8">
        <f>VLOOKUP(Station_No,RISE_CALC,7,FALSE)</f>
        <v>7</v>
      </c>
      <c r="K8" t="str">
        <f>CONCATENATE("A(",H7,")=")</f>
        <v>A(6)=</v>
      </c>
      <c r="L8">
        <f>IFERROR(AD15,IFERROR(X24,AD27))</f>
        <v>36.741</v>
      </c>
      <c r="Q8" s="80"/>
      <c r="R8" s="81"/>
      <c r="U8" s="79">
        <f>R3</f>
        <v>5</v>
      </c>
      <c r="V8" s="68">
        <f>VLOOKUP(U8,STN_TABLE,2,FALSE)</f>
        <v>6.12</v>
      </c>
      <c r="W8" s="68">
        <v>1</v>
      </c>
      <c r="X8" s="69">
        <f>V8*W8</f>
        <v>6.12</v>
      </c>
      <c r="Y8" s="78" t="s">
        <v>97</v>
      </c>
      <c r="Z8" s="78"/>
      <c r="AA8" s="78" t="s">
        <v>98</v>
      </c>
      <c r="AB8" s="78"/>
      <c r="AC8" s="7" t="s">
        <v>99</v>
      </c>
      <c r="AD8" s="7"/>
      <c r="AE8" s="66"/>
      <c r="AF8" s="67"/>
      <c r="AG8" s="68" t="e">
        <f>IF(OR(AF12-AF11=AF11-AF10,AF13-AF11=AF11-AF10),AF10,IF(OR(AF12-AF11=AF11-AF9,AF13-AF11=AF11-AF9),AF9,"-"))</f>
        <v>#VALUE!</v>
      </c>
      <c r="AH8" s="69" t="str">
        <f>IFERROR(VLOOKUP(AG8,STN_TABLE,2,FALSE),IF(AF8=RisePerWLS,0,"-"))</f>
        <v>-</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0</v>
      </c>
      <c r="D9" s="81">
        <f t="shared" si="4"/>
        <v>0</v>
      </c>
      <c r="E9" s="77">
        <f t="shared" si="5"/>
        <v>0</v>
      </c>
      <c r="G9" t="s">
        <v>106</v>
      </c>
      <c r="H9">
        <f>VLOOKUP(Station_No,RISE_CALC,8,FALSE)</f>
        <v>7.8833333333333329</v>
      </c>
      <c r="K9" t="str">
        <f>CONCATENATE("M(",H7,")=")</f>
        <v>M(6)=</v>
      </c>
      <c r="L9">
        <f>IFERROR(AD16,IFERROR(X25,AD28))</f>
        <v>356.19749999999999</v>
      </c>
      <c r="Q9" s="80"/>
      <c r="R9" s="81"/>
      <c r="U9" s="88">
        <f>R4</f>
        <v>5.6111111111111107</v>
      </c>
      <c r="V9" s="82">
        <f>VLOOKUP(U9,STN_TABLE,2,FALSE)</f>
        <v>8.8000000000000007</v>
      </c>
      <c r="W9" s="82">
        <v>2</v>
      </c>
      <c r="X9" s="83">
        <f>V9*W9</f>
        <v>17.600000000000001</v>
      </c>
      <c r="Y9" s="84" t="str">
        <f>CONCATENATE("a'(",U9,")=")</f>
        <v>a'(5.61111111111111)=</v>
      </c>
      <c r="Z9" s="84">
        <f>2*Z7/2*V10</f>
        <v>16.411999999999992</v>
      </c>
      <c r="AA9" s="84" t="str">
        <f>CONCATENATE("A(",U8,")=")</f>
        <v>A(5)=</v>
      </c>
      <c r="AB9" s="84">
        <f>IF(U8=RisePerWLS,0,VLOOKUP(U8,STN_TABLE,3,FALSE))</f>
        <v>7.3440000000000039</v>
      </c>
      <c r="AC9" t="str">
        <f>CONCATENATE("A(",U9,")=")</f>
        <v>A(5.61111111111111)=</v>
      </c>
      <c r="AD9">
        <f>Z9+AB9</f>
        <v>23.755999999999997</v>
      </c>
      <c r="AE9" s="66" t="str">
        <f t="shared" ref="AE9:AF13" si="6">G6</f>
        <v>2nd_UWL</v>
      </c>
      <c r="AF9" s="67">
        <f t="shared" si="6"/>
        <v>5.6111111111111107</v>
      </c>
      <c r="AG9" s="76">
        <f>AF11</f>
        <v>7</v>
      </c>
      <c r="AH9" s="77">
        <f>VLOOKUP(AG9,STN_TABLE,2,FALSE)</f>
        <v>11.33</v>
      </c>
      <c r="AI9" s="77">
        <v>8</v>
      </c>
      <c r="AJ9" s="77">
        <f>AH9*AI9</f>
        <v>90.64</v>
      </c>
      <c r="AK9" s="77">
        <v>10</v>
      </c>
      <c r="AL9" s="77">
        <f>AH9*AK9</f>
        <v>113.3</v>
      </c>
      <c r="AM9" s="78" t="s">
        <v>97</v>
      </c>
      <c r="AN9" s="78"/>
      <c r="AO9" s="78" t="s">
        <v>98</v>
      </c>
      <c r="AP9" s="78"/>
      <c r="AQ9" s="7" t="s">
        <v>99</v>
      </c>
      <c r="AR9" s="7"/>
      <c r="AS9" s="7"/>
      <c r="AT9" s="7"/>
    </row>
    <row r="10" spans="1:46" x14ac:dyDescent="0.25">
      <c r="A10">
        <v>7</v>
      </c>
      <c r="B10" s="80">
        <f t="shared" si="2"/>
        <v>4</v>
      </c>
      <c r="C10" s="81">
        <f t="shared" si="3"/>
        <v>0</v>
      </c>
      <c r="D10" s="81">
        <f t="shared" si="4"/>
        <v>0</v>
      </c>
      <c r="E10" s="77">
        <f t="shared" si="5"/>
        <v>0</v>
      </c>
      <c r="G10" t="s">
        <v>107</v>
      </c>
      <c r="H10" t="str">
        <f>VLOOKUP(Station_No,RISE_CALC,9,FALSE)</f>
        <v xml:space="preserve">  </v>
      </c>
      <c r="K10" t="str">
        <f>CONCATENATE("A(",H8,")=")</f>
        <v>A(7)=</v>
      </c>
      <c r="L10">
        <f>IFERROR(AR5,IFERROR(AL12,AR15))</f>
        <v>75.516000000000005</v>
      </c>
      <c r="Q10" s="80"/>
      <c r="R10" s="81"/>
      <c r="V10" s="89">
        <f>SUM(V8:V9)</f>
        <v>14.920000000000002</v>
      </c>
      <c r="X10" s="89">
        <f>SUM(X8:X9)</f>
        <v>23.720000000000002</v>
      </c>
      <c r="Y10" s="84" t="str">
        <f>CONCATENATE("m'(",U9,")=")</f>
        <v>m'(5.61111111111111)=</v>
      </c>
      <c r="Z10" s="84">
        <f>(2*(Z7^2)/6*X10)+(Z9*U8*WLS)</f>
        <v>157.27506666666659</v>
      </c>
      <c r="AA10" s="84" t="str">
        <f>CONCATENATE("M(",U8,")=")</f>
        <v>M(5)=</v>
      </c>
      <c r="AB10" s="84">
        <f>IF(U8=RisePerWLS,0,VLOOKUP(U8,STN_TABLE,4,FALSE))</f>
        <v>63.158400000000036</v>
      </c>
      <c r="AC10" t="str">
        <f>CONCATENATE("M(",U9,")=")</f>
        <v>M(5.61111111111111)=</v>
      </c>
      <c r="AD10">
        <f>Z10+AB10</f>
        <v>220.43346666666662</v>
      </c>
      <c r="AE10" s="66" t="str">
        <f t="shared" si="6"/>
        <v>3rd_UWL</v>
      </c>
      <c r="AF10" s="67">
        <f t="shared" si="6"/>
        <v>6</v>
      </c>
      <c r="AG10" s="82" t="e">
        <f>IF(AG8-AG9=AG9-AF12,AF12,IF(AG8-AG9=AG9-AF13,AF13,"-"))</f>
        <v>#VALUE!</v>
      </c>
      <c r="AH10" s="83" t="e">
        <f>VLOOKUP(AG10,STN_TABLE,2,FALSE)</f>
        <v>#VALUE!</v>
      </c>
      <c r="AI10" s="83">
        <v>-1</v>
      </c>
      <c r="AJ10" s="83" t="e">
        <f>AH10*AI10</f>
        <v>#VALUE!</v>
      </c>
      <c r="AK10" s="83">
        <v>-1</v>
      </c>
      <c r="AL10" s="83" t="e">
        <f>AH10*AK10</f>
        <v>#VALUE!</v>
      </c>
      <c r="AM10" s="84" t="str">
        <f>CONCATENATE("a'(",AG9,")=")</f>
        <v>a'(7)=</v>
      </c>
      <c r="AN10" s="84" t="e">
        <f>2*AN8/12*AJ11</f>
        <v>#VALUE!</v>
      </c>
      <c r="AO10" s="84" t="e">
        <f>CONCATENATE("A(",AG8,")=")</f>
        <v>#VALUE!</v>
      </c>
      <c r="AP10" s="84" t="e">
        <f>VLOOKUP(AG8,STN_TABLE,3,FALSE)</f>
        <v>#VALUE!</v>
      </c>
      <c r="AQ10" t="str">
        <f>CONCATENATE("A(",AG9,")=")</f>
        <v>A(7)=</v>
      </c>
      <c r="AR10" t="e">
        <f>AN10+AP10</f>
        <v>#VALUE!</v>
      </c>
    </row>
    <row r="11" spans="1:46" x14ac:dyDescent="0.25">
      <c r="A11">
        <v>8</v>
      </c>
      <c r="B11" s="80">
        <f t="shared" si="2"/>
        <v>5</v>
      </c>
      <c r="C11" s="81">
        <f t="shared" si="3"/>
        <v>6.12</v>
      </c>
      <c r="D11" s="81">
        <f t="shared" si="4"/>
        <v>7.3440000000000039</v>
      </c>
      <c r="E11" s="77">
        <f t="shared" si="5"/>
        <v>63.158400000000036</v>
      </c>
      <c r="G11" t="s">
        <v>108</v>
      </c>
      <c r="H11" t="str">
        <f>VLOOKUP(Station_No,RISE_CALC,10,FALSE)</f>
        <v xml:space="preserve">  </v>
      </c>
      <c r="K11" t="str">
        <f>CONCATENATE("M(",H8,")=")</f>
        <v>M(7)=</v>
      </c>
      <c r="L11">
        <f>IFERROR(AR6,IFERROR(AL13,AR16))</f>
        <v>810.66960000000006</v>
      </c>
      <c r="Q11" s="80"/>
      <c r="R11" s="81"/>
      <c r="AE11" s="66" t="str">
        <f t="shared" si="6"/>
        <v>4th_UWL</v>
      </c>
      <c r="AF11" s="67">
        <f t="shared" si="6"/>
        <v>7</v>
      </c>
      <c r="AJ11" s="89" t="e">
        <f>SUM(AJ8:AJ10)</f>
        <v>#VALUE!</v>
      </c>
      <c r="AL11" s="89" t="e">
        <f>SUM(AL8:AL10)</f>
        <v>#VALUE!</v>
      </c>
      <c r="AM11" s="84" t="str">
        <f>CONCATENATE("m'(",AG9,")=")</f>
        <v>m'(7)=</v>
      </c>
      <c r="AN11" s="84" t="e">
        <f>(2*(AN8^2)/24*AL11)+(AN10*AG8*WLS)</f>
        <v>#VALUE!</v>
      </c>
      <c r="AO11" s="84" t="e">
        <f>CONCATENATE("M(",AG8,")=")</f>
        <v>#VALUE!</v>
      </c>
      <c r="AP11" s="84" t="e">
        <f>VLOOKUP(AG8,STN_TABLE,4,FALSE)</f>
        <v>#VALUE!</v>
      </c>
      <c r="AQ11" t="str">
        <f>CONCATENATE("M(",AG9,")=")</f>
        <v>M(7)=</v>
      </c>
      <c r="AR11" t="e">
        <f>AN11+AP11</f>
        <v>#VALUE!</v>
      </c>
    </row>
    <row r="12" spans="1:46" x14ac:dyDescent="0.25">
      <c r="A12">
        <v>9</v>
      </c>
      <c r="B12" s="80">
        <f t="shared" si="2"/>
        <v>5.6111111111111107</v>
      </c>
      <c r="C12" s="81">
        <f t="shared" si="3"/>
        <v>8.8000000000000007</v>
      </c>
      <c r="D12" s="81">
        <f t="shared" si="4"/>
        <v>23.755999999999997</v>
      </c>
      <c r="E12" s="77">
        <f t="shared" si="5"/>
        <v>220.43346666666662</v>
      </c>
      <c r="Q12" s="90" t="s">
        <v>109</v>
      </c>
      <c r="R12" s="81"/>
      <c r="AE12" s="66" t="str">
        <f t="shared" si="6"/>
        <v>5th_UWL</v>
      </c>
      <c r="AF12" s="67">
        <f t="shared" si="6"/>
        <v>7.8833333333333329</v>
      </c>
      <c r="AI12" t="s">
        <v>103</v>
      </c>
      <c r="AK12" t="str">
        <f>CONCATENATE("A(",AG9,")=")</f>
        <v>A(7)=</v>
      </c>
      <c r="AL12" t="e">
        <f>IF(OR(AR10&lt;=0,AR11&lt;=0),AR15,AR10)</f>
        <v>#VALUE!</v>
      </c>
    </row>
    <row r="13" spans="1:46" x14ac:dyDescent="0.25">
      <c r="A13">
        <v>10</v>
      </c>
      <c r="B13" s="80">
        <f t="shared" si="2"/>
        <v>6</v>
      </c>
      <c r="C13" s="81">
        <f t="shared" si="3"/>
        <v>9.84</v>
      </c>
      <c r="D13" s="81">
        <f t="shared" si="4"/>
        <v>36.741</v>
      </c>
      <c r="E13" s="77">
        <f t="shared" si="5"/>
        <v>356.19749999999999</v>
      </c>
      <c r="G13" s="71" t="s">
        <v>110</v>
      </c>
      <c r="Q13" s="66" t="str">
        <f t="shared" ref="Q13:R16" si="7">G4</f>
        <v>Rise</v>
      </c>
      <c r="R13" s="67">
        <f t="shared" si="7"/>
        <v>4.333333333333333</v>
      </c>
      <c r="S13" s="68" t="str">
        <f>IF(R16-R15=R15-R14,R14,IF(R16-R14=R14-R13,R13,"-"))</f>
        <v>-</v>
      </c>
      <c r="T13" s="69">
        <f>IFERROR(VLOOKUP(S13,STN_TABLE,2,FALSE),IF(R13=RisePerWLS,0,"-"))</f>
        <v>0</v>
      </c>
      <c r="U13" s="69">
        <v>1</v>
      </c>
      <c r="V13" s="69">
        <f>T13*U13</f>
        <v>0</v>
      </c>
      <c r="W13" s="69" t="str">
        <f>S13</f>
        <v>-</v>
      </c>
      <c r="X13" s="69" t="e">
        <f>V13*W13</f>
        <v>#VALUE!</v>
      </c>
      <c r="Y13" s="6" t="s">
        <v>93</v>
      </c>
      <c r="Z13" s="70" t="e">
        <f>IF(AND(T13=0,T14=0,T15=0),WLS*(S15-S14),IF(AND(S15-S14=S14-S13,S14&lt;&gt;S15,S13&lt;&gt;S14,S13&lt;&gt;S15,T15&lt;&gt;0,OR(T13&lt;&gt;0,T14&lt;&gt;0)),WLS*(S15-S14),"#NA"))</f>
        <v>#N/A</v>
      </c>
      <c r="AE13" s="66" t="str">
        <f t="shared" si="6"/>
        <v>6th_UWL</v>
      </c>
      <c r="AF13" s="67" t="str">
        <f t="shared" si="6"/>
        <v xml:space="preserve">  </v>
      </c>
      <c r="AK13" t="str">
        <f>CONCATENATE("M(",AG9,")=")</f>
        <v>M(7)=</v>
      </c>
      <c r="AL13" t="e">
        <f>IF(OR(AR10&lt;=0,AR11&lt;=0),AR16,AR11)</f>
        <v>#VALUE!</v>
      </c>
      <c r="AM13" s="6" t="s">
        <v>93</v>
      </c>
      <c r="AN13" s="70">
        <f>WLS*(AI15-AI14)</f>
        <v>1.8</v>
      </c>
    </row>
    <row r="14" spans="1:46" x14ac:dyDescent="0.25">
      <c r="A14">
        <v>11</v>
      </c>
      <c r="B14" s="80">
        <f t="shared" si="2"/>
        <v>7</v>
      </c>
      <c r="C14" s="81">
        <f t="shared" si="3"/>
        <v>11.33</v>
      </c>
      <c r="D14" s="81">
        <f t="shared" si="4"/>
        <v>75.516000000000005</v>
      </c>
      <c r="E14" s="77">
        <f t="shared" si="5"/>
        <v>810.66960000000006</v>
      </c>
      <c r="G14" s="91" t="str">
        <f>G4</f>
        <v>Rise</v>
      </c>
      <c r="H14" s="91">
        <f>RisePerWLS</f>
        <v>4.333333333333333</v>
      </c>
      <c r="I14" s="68">
        <f>H14</f>
        <v>4.333333333333333</v>
      </c>
      <c r="J14" s="69">
        <v>0</v>
      </c>
      <c r="K14" s="69">
        <v>5</v>
      </c>
      <c r="L14" s="69">
        <f>J14*K14</f>
        <v>0</v>
      </c>
      <c r="M14" s="69">
        <v>3</v>
      </c>
      <c r="N14" s="69">
        <f>J14*M14</f>
        <v>0</v>
      </c>
      <c r="O14" t="s">
        <v>93</v>
      </c>
      <c r="P14" t="e">
        <f>IF(AND(NOT(AND(J14=0,J15=0)),I14&lt;&gt;I15,I15&lt;&gt;I16,I16-I15=I15-I14),(I16-I15)*WLS,"#NA")</f>
        <v>#VALUE!</v>
      </c>
      <c r="Q14" s="66" t="str">
        <f t="shared" si="7"/>
        <v>1st_UWL</v>
      </c>
      <c r="R14" s="67">
        <f t="shared" si="7"/>
        <v>5</v>
      </c>
      <c r="S14" s="76" t="str">
        <f>IF(R16-R15=R15-R14,R15,IF(R16-R14=R14-R13,R14,"-"))</f>
        <v>-</v>
      </c>
      <c r="T14" s="77" t="e">
        <f>VLOOKUP(S14,STN_TABLE,2,FALSE)</f>
        <v>#N/A</v>
      </c>
      <c r="U14" s="77">
        <v>4</v>
      </c>
      <c r="V14" s="77" t="e">
        <f>T14*U14</f>
        <v>#N/A</v>
      </c>
      <c r="W14" s="77" t="str">
        <f>S14</f>
        <v>-</v>
      </c>
      <c r="X14" s="77" t="e">
        <f>V14*W14</f>
        <v>#N/A</v>
      </c>
      <c r="Y14" s="78" t="s">
        <v>97</v>
      </c>
      <c r="Z14" s="78"/>
      <c r="AA14" s="78" t="s">
        <v>98</v>
      </c>
      <c r="AB14" s="78"/>
      <c r="AC14" s="7" t="s">
        <v>99</v>
      </c>
      <c r="AD14" s="7"/>
      <c r="AE14" s="66"/>
      <c r="AF14" s="67"/>
      <c r="AI14" s="79">
        <f>AF10</f>
        <v>6</v>
      </c>
      <c r="AJ14" s="68">
        <f>VLOOKUP(AI14,STN_TABLE,2,FALSE)</f>
        <v>9.84</v>
      </c>
      <c r="AK14" s="68">
        <v>1</v>
      </c>
      <c r="AL14" s="69">
        <f>AJ14*AK14</f>
        <v>9.84</v>
      </c>
      <c r="AM14" s="78" t="s">
        <v>97</v>
      </c>
      <c r="AN14" s="78"/>
      <c r="AO14" s="78" t="s">
        <v>98</v>
      </c>
      <c r="AP14" s="78"/>
      <c r="AQ14" s="7" t="s">
        <v>99</v>
      </c>
      <c r="AR14" s="7"/>
      <c r="AS14" s="7"/>
      <c r="AT14" s="7"/>
    </row>
    <row r="15" spans="1:46" x14ac:dyDescent="0.25">
      <c r="A15">
        <v>12</v>
      </c>
      <c r="B15" s="80">
        <f t="shared" si="2"/>
        <v>7.8833333333333329</v>
      </c>
      <c r="C15" s="81">
        <f t="shared" si="3"/>
        <v>11.9</v>
      </c>
      <c r="D15" s="81">
        <f t="shared" si="4"/>
        <v>112.45169999999999</v>
      </c>
      <c r="E15" s="77">
        <f t="shared" si="5"/>
        <v>1305.6634709999998</v>
      </c>
      <c r="G15" s="91" t="str">
        <f>G5</f>
        <v>1st_UWL</v>
      </c>
      <c r="H15" s="91">
        <f>H5</f>
        <v>5</v>
      </c>
      <c r="I15" s="76">
        <f>H15</f>
        <v>5</v>
      </c>
      <c r="J15" s="77">
        <f>VLOOKUP(I15,STN_TABLE,2,FALSE)</f>
        <v>6.12</v>
      </c>
      <c r="K15" s="77">
        <v>8</v>
      </c>
      <c r="L15" s="77">
        <f>J15*K15</f>
        <v>48.96</v>
      </c>
      <c r="M15" s="77">
        <v>10</v>
      </c>
      <c r="N15" s="77">
        <f>J15*M15</f>
        <v>61.2</v>
      </c>
      <c r="O15" t="str">
        <f>CONCATENATE("A(",I15,")=")</f>
        <v>A(5)=</v>
      </c>
      <c r="P15" t="e">
        <f>2*P14/12*L17</f>
        <v>#VALUE!</v>
      </c>
      <c r="Q15" s="66" t="str">
        <f t="shared" si="7"/>
        <v>2nd_UWL</v>
      </c>
      <c r="R15" s="67">
        <f t="shared" si="7"/>
        <v>5.6111111111111107</v>
      </c>
      <c r="S15" s="82">
        <f>R16</f>
        <v>6</v>
      </c>
      <c r="T15" s="83">
        <f>VLOOKUP(S15,STN_TABLE,2,FALSE)</f>
        <v>9.84</v>
      </c>
      <c r="U15" s="83">
        <v>1</v>
      </c>
      <c r="V15" s="83">
        <f>T15*U15</f>
        <v>9.84</v>
      </c>
      <c r="W15" s="83">
        <f>S15</f>
        <v>6</v>
      </c>
      <c r="X15" s="83">
        <f>V15*W15</f>
        <v>59.04</v>
      </c>
      <c r="Y15" s="84" t="str">
        <f>CONCATENATE("a'(",S15,")=")</f>
        <v>a'(6)=</v>
      </c>
      <c r="Z15" s="84" t="e">
        <f>2*Z13/3*V16</f>
        <v>#N/A</v>
      </c>
      <c r="AA15" s="84" t="str">
        <f>CONCATENATE("A(",S13,")=")</f>
        <v>A(-)=</v>
      </c>
      <c r="AB15" s="84" t="e">
        <f>IF(S13=RisePerWLS,0,VLOOKUP(S13,STN_TABLE,3,FALSE))</f>
        <v>#N/A</v>
      </c>
      <c r="AC15" t="str">
        <f>CONCATENATE("A(",S15,")=")</f>
        <v>A(6)=</v>
      </c>
      <c r="AD15" t="e">
        <f>Z15+AB15</f>
        <v>#N/A</v>
      </c>
      <c r="AE15" s="80"/>
      <c r="AI15" s="88">
        <f>AF11</f>
        <v>7</v>
      </c>
      <c r="AJ15" s="82">
        <f>VLOOKUP(AI15,STN_TABLE,2,FALSE)</f>
        <v>11.33</v>
      </c>
      <c r="AK15" s="82">
        <v>2</v>
      </c>
      <c r="AL15" s="83">
        <f>AJ15*AK15</f>
        <v>22.66</v>
      </c>
      <c r="AM15" s="84" t="str">
        <f>CONCATENATE("a'(",AI15,")=")</f>
        <v>a'(7)=</v>
      </c>
      <c r="AN15" s="84">
        <f>2*AN13/2*AJ16</f>
        <v>38.106000000000002</v>
      </c>
      <c r="AO15" s="84" t="str">
        <f>CONCATENATE("A(",AI14,")=")</f>
        <v>A(6)=</v>
      </c>
      <c r="AP15" s="84">
        <f>IF(AI14=RisePerWLS,0,VLOOKUP(AI14,STN_TABLE,3,FALSE))</f>
        <v>36.741</v>
      </c>
      <c r="AQ15" t="str">
        <f>CONCATENATE("A(",AI15,")=")</f>
        <v>A(7)=</v>
      </c>
      <c r="AR15">
        <f>AN15+AP15</f>
        <v>74.847000000000008</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5.6111111111111107</v>
      </c>
      <c r="I16" s="82" t="str">
        <f>IF(H16-H15=H15-H14,H16,"#NA")</f>
        <v>#NA</v>
      </c>
      <c r="J16" s="83" t="e">
        <f>VLOOKUP(I16,STN_TABLE,2,FALSE)</f>
        <v>#N/A</v>
      </c>
      <c r="K16" s="83">
        <v>-1</v>
      </c>
      <c r="L16" s="83" t="e">
        <f>J16*K16</f>
        <v>#N/A</v>
      </c>
      <c r="M16" s="83">
        <v>-1</v>
      </c>
      <c r="N16" s="83" t="e">
        <f>J16*M16</f>
        <v>#N/A</v>
      </c>
      <c r="O16" t="str">
        <f>CONCATENATE("M(",I15,")=")</f>
        <v>M(5)=</v>
      </c>
      <c r="P16" t="e">
        <f>(2*(P14^2)/24*N17)+P15*I14*WLS</f>
        <v>#VALUE!</v>
      </c>
      <c r="Q16" s="66" t="str">
        <f t="shared" si="7"/>
        <v>3rd_UWL</v>
      </c>
      <c r="R16" s="67">
        <f t="shared" si="7"/>
        <v>6</v>
      </c>
      <c r="V16" s="89" t="e">
        <f>SUM(V13:V15)</f>
        <v>#N/A</v>
      </c>
      <c r="X16" s="89" t="e">
        <f>SUM(X13:X15)</f>
        <v>#VALUE!</v>
      </c>
      <c r="Y16" s="84" t="str">
        <f>CONCATENATE("m'(",S15,")=")</f>
        <v>m'(6)=</v>
      </c>
      <c r="Z16" s="84" t="e">
        <f>2*(Z13*WLS)/3*X16</f>
        <v>#N/A</v>
      </c>
      <c r="AA16" s="84" t="str">
        <f>CONCATENATE("M(",S13,")=")</f>
        <v>M(-)=</v>
      </c>
      <c r="AB16" s="84" t="e">
        <f>IF(S13=RisePerWLS,0,VLOOKUP(S13,STN_TABLE,4,FALSE))</f>
        <v>#N/A</v>
      </c>
      <c r="AC16" t="str">
        <f>CONCATENATE("M(",S15,")=")</f>
        <v>M(6)=</v>
      </c>
      <c r="AD16" t="e">
        <f>Z16+AB16</f>
        <v>#N/A</v>
      </c>
      <c r="AE16" s="80"/>
      <c r="AJ16" s="89">
        <f>SUM(AJ14:AJ15)</f>
        <v>21.17</v>
      </c>
      <c r="AL16" s="89">
        <f>SUM(AL14:AL15)</f>
        <v>32.5</v>
      </c>
      <c r="AM16" s="84" t="str">
        <f>CONCATENATE("m'(",AI15,")=")</f>
        <v>m'(7)=</v>
      </c>
      <c r="AN16" s="84">
        <f>(2*(AN13^2)/6*AL16)+(AN15*AI14*WLS)</f>
        <v>446.64480000000009</v>
      </c>
      <c r="AO16" s="84" t="str">
        <f>CONCATENATE("M(",AI14,")=")</f>
        <v>M(6)=</v>
      </c>
      <c r="AP16" s="84">
        <f>IF(AI14=RisePerWLS,0,VLOOKUP(AI14,STN_TABLE,4,FALSE))</f>
        <v>356.19749999999999</v>
      </c>
      <c r="AQ16" t="str">
        <f>CONCATENATE("M(",AI15,")=")</f>
        <v>M(7)=</v>
      </c>
      <c r="AR16">
        <f>AN16+AP16</f>
        <v>802.84230000000002</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A(5)=</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M(5)=</v>
      </c>
      <c r="N19" t="e">
        <f>IF(OR(P15&lt;=0,P16&lt;=0),N23,P16)</f>
        <v>#VALUE!</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f>IF(OR(R24-R23=R23-R22,R25-R23=R23-R22),R22,IF(OR(R24-R23=R23-R21,R25-R23=R23-R21),R21,"-"))</f>
        <v>5</v>
      </c>
      <c r="T20" s="69">
        <f>IFERROR(VLOOKUP(S20,STN_TABLE,2,FALSE),IF(R20=RisePerWLS,0,"-"))</f>
        <v>6.12</v>
      </c>
      <c r="U20" s="69">
        <v>5</v>
      </c>
      <c r="V20" s="69">
        <f>T20*U20</f>
        <v>30.6</v>
      </c>
      <c r="W20" s="69">
        <v>3</v>
      </c>
      <c r="X20" s="69">
        <f>T20*W20</f>
        <v>18.36</v>
      </c>
      <c r="Y20" s="6" t="s">
        <v>93</v>
      </c>
      <c r="Z20" s="70">
        <f>IF(AND(S22-S21=S21-S20,NOT(AND(S20=0,S21=0)),NOT(AND(S21=0,S22=0))),WLS*(S22-S21),"#NA")</f>
        <v>1.8</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4.333333333333333</v>
      </c>
      <c r="J21" s="68">
        <v>0</v>
      </c>
      <c r="K21" s="68">
        <v>1</v>
      </c>
      <c r="L21" s="69">
        <f>J21*K21</f>
        <v>0</v>
      </c>
      <c r="M21" t="s">
        <v>93</v>
      </c>
      <c r="N21">
        <f>(I22-I21)*WLS</f>
        <v>1.2000000000000006</v>
      </c>
      <c r="Q21" s="66" t="str">
        <f t="shared" ref="Q21:R25" si="8">G5</f>
        <v>1st_UWL</v>
      </c>
      <c r="R21" s="67">
        <f t="shared" si="8"/>
        <v>5</v>
      </c>
      <c r="S21" s="76">
        <f>R23</f>
        <v>6</v>
      </c>
      <c r="T21" s="77">
        <f>VLOOKUP(S21,STN_TABLE,2,FALSE)</f>
        <v>9.84</v>
      </c>
      <c r="U21" s="77">
        <v>8</v>
      </c>
      <c r="V21" s="77">
        <f>T21*U21</f>
        <v>78.72</v>
      </c>
      <c r="W21" s="77">
        <v>10</v>
      </c>
      <c r="X21" s="77">
        <f>T21*W21</f>
        <v>98.4</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5</v>
      </c>
      <c r="J22" s="82">
        <f>VLOOKUP(I22,STN_TABLE,2,FALSE)</f>
        <v>6.12</v>
      </c>
      <c r="K22" s="82">
        <v>2</v>
      </c>
      <c r="L22" s="83">
        <f>J22*K22</f>
        <v>12.24</v>
      </c>
      <c r="M22" t="str">
        <f>CONCATENATE("A(",I22,")=")</f>
        <v>A(5)=</v>
      </c>
      <c r="N22">
        <f>2*N21/2*J23</f>
        <v>7.3440000000000039</v>
      </c>
      <c r="Q22" s="66" t="str">
        <f t="shared" si="8"/>
        <v>2nd_UWL</v>
      </c>
      <c r="R22" s="67">
        <f t="shared" si="8"/>
        <v>5.6111111111111107</v>
      </c>
      <c r="S22" s="82">
        <f>IF(S20-S21=S21-R24,R24,IF(S20-S21=S21-R25,R25,"-"))</f>
        <v>7</v>
      </c>
      <c r="T22" s="83">
        <f>VLOOKUP(S22,STN_TABLE,2,FALSE)</f>
        <v>11.33</v>
      </c>
      <c r="U22" s="83">
        <v>-1</v>
      </c>
      <c r="V22" s="83">
        <f>T22*U22</f>
        <v>-11.33</v>
      </c>
      <c r="W22" s="83">
        <v>-1</v>
      </c>
      <c r="X22" s="83">
        <f>T22*W22</f>
        <v>-11.33</v>
      </c>
      <c r="Y22" s="84" t="str">
        <f>CONCATENATE("a'(",S21,")=")</f>
        <v>a'(6)=</v>
      </c>
      <c r="Z22" s="84">
        <f>2*Z20/12*V23</f>
        <v>29.396999999999998</v>
      </c>
      <c r="AA22" s="84" t="str">
        <f>CONCATENATE("A(",S20,")=")</f>
        <v>A(5)=</v>
      </c>
      <c r="AB22" s="84">
        <f>IF(S20=RisePerWLS,0,VLOOKUP(S20,STN_TABLE,3,FALSE))</f>
        <v>7.3440000000000039</v>
      </c>
      <c r="AC22" t="str">
        <f>CONCATENATE("A(",S21,")=")</f>
        <v>A(6)=</v>
      </c>
      <c r="AD22">
        <f>Z22+AB22</f>
        <v>36.741</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6.12</v>
      </c>
      <c r="L23" s="89">
        <f>SUM(L21:L22)</f>
        <v>12.24</v>
      </c>
      <c r="M23" t="str">
        <f>CONCATENATE("M(",I22,")=")</f>
        <v>M(5)=</v>
      </c>
      <c r="N23">
        <f>(2*(N21^2)/6*L23)+N22*I21*WLS</f>
        <v>63.158400000000036</v>
      </c>
      <c r="Q23" s="66" t="str">
        <f t="shared" si="8"/>
        <v>3rd_UWL</v>
      </c>
      <c r="R23" s="67">
        <f t="shared" si="8"/>
        <v>6</v>
      </c>
      <c r="V23" s="89">
        <f>SUM(V20:V22)</f>
        <v>97.99</v>
      </c>
      <c r="X23" s="89">
        <f>SUM(X20:X22)</f>
        <v>105.43</v>
      </c>
      <c r="Y23" s="84" t="str">
        <f>CONCATENATE("m'(",S21,")=")</f>
        <v>m'(6)=</v>
      </c>
      <c r="Z23" s="84">
        <f>(2*(Z20^2)/24*X23)+(Z22*S20*WLS)</f>
        <v>293.03909999999996</v>
      </c>
      <c r="AA23" s="84" t="str">
        <f>CONCATENATE("M(",S20,")=")</f>
        <v>M(5)=</v>
      </c>
      <c r="AB23" s="84">
        <f>IF(S20=RisePerWLS,0,VLOOKUP(S20,STN_TABLE,4,FALSE))</f>
        <v>63.158400000000036</v>
      </c>
      <c r="AC23" t="str">
        <f>CONCATENATE("M(",S21,")=")</f>
        <v>M(6)=</v>
      </c>
      <c r="AD23">
        <f>Z23+AB23</f>
        <v>356.19749999999999</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7</v>
      </c>
      <c r="U24" t="s">
        <v>103</v>
      </c>
      <c r="W24" t="str">
        <f>CONCATENATE("A(",S21,")=")</f>
        <v>A(6)=</v>
      </c>
      <c r="X24">
        <f>IF(OR(AD22&lt;=0,AD23&lt;=0),AD27,AD22)</f>
        <v>36.741</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f t="shared" si="8"/>
        <v>7.8833333333333329</v>
      </c>
      <c r="W25" t="str">
        <f>CONCATENATE("M(",S21,")=")</f>
        <v>M(6)=</v>
      </c>
      <c r="X25">
        <f>IF(OR(AD22&lt;=0,AD23&lt;=0),AD28,AD23)</f>
        <v>356.19749999999999</v>
      </c>
      <c r="Y25" s="6" t="s">
        <v>93</v>
      </c>
      <c r="Z25" s="70">
        <f>WLS*(U27-U26)</f>
        <v>0.70000000000000073</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4.333333333333333</v>
      </c>
      <c r="I26" s="68">
        <f>H26</f>
        <v>4.333333333333333</v>
      </c>
      <c r="J26" s="69">
        <v>0</v>
      </c>
      <c r="K26" s="69">
        <v>1</v>
      </c>
      <c r="L26" s="69">
        <f>J26*K26</f>
        <v>0</v>
      </c>
      <c r="M26" s="69">
        <f>I26</f>
        <v>4.333333333333333</v>
      </c>
      <c r="N26" s="69">
        <f>L26*M26</f>
        <v>0</v>
      </c>
      <c r="O26" t="s">
        <v>93</v>
      </c>
      <c r="P26" t="e">
        <f>IF(OR(J26=0,J27=0,J28=0),"#NA",IF(I28-I27=I27-I26,WLS*(I27-I26),"#NA"))</f>
        <v>#N/A</v>
      </c>
      <c r="Q26" s="66"/>
      <c r="R26" s="67"/>
      <c r="U26" s="79">
        <f>R22</f>
        <v>5.6111111111111107</v>
      </c>
      <c r="V26" s="68">
        <f>VLOOKUP(U26,STN_TABLE,2,FALSE)</f>
        <v>8.8000000000000007</v>
      </c>
      <c r="W26" s="68">
        <v>1</v>
      </c>
      <c r="X26" s="69">
        <f>V26*W26</f>
        <v>8.8000000000000007</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5</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6</v>
      </c>
      <c r="V27" s="82">
        <f>VLOOKUP(U27,STN_TABLE,2,FALSE)</f>
        <v>9.84</v>
      </c>
      <c r="W27" s="82">
        <v>2</v>
      </c>
      <c r="X27" s="83">
        <f>V27*W27</f>
        <v>19.68</v>
      </c>
      <c r="Y27" s="84" t="str">
        <f>CONCATENATE("a'(",U27,")=")</f>
        <v>a'(6)=</v>
      </c>
      <c r="Z27" s="84">
        <f>2*Z25/2*V28</f>
        <v>13.048000000000014</v>
      </c>
      <c r="AA27" s="84" t="str">
        <f>CONCATENATE("A(",U26,")=")</f>
        <v>A(5.61111111111111)=</v>
      </c>
      <c r="AB27" s="84">
        <f>IF(U26=RisePerWLS,0,VLOOKUP(U26,STN_TABLE,3,FALSE))</f>
        <v>23.755999999999997</v>
      </c>
      <c r="AC27" t="str">
        <f>CONCATENATE("A(",U27,")=")</f>
        <v>A(6)=</v>
      </c>
      <c r="AD27">
        <f>Z27+AB27</f>
        <v>36.804000000000009</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5.6111111111111107</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18.64</v>
      </c>
      <c r="X28" s="89">
        <f>SUM(X26:X27)</f>
        <v>28.48</v>
      </c>
      <c r="Y28" s="84" t="str">
        <f>CONCATENATE("m'(",U27,")=")</f>
        <v>m'(6)=</v>
      </c>
      <c r="Z28" s="84">
        <f>(2*(Z25^2)/6*X28)+(Z27*U26*WLS)</f>
        <v>136.43653333333347</v>
      </c>
      <c r="AA28" s="84" t="str">
        <f>CONCATENATE("M(",U26,")=")</f>
        <v>M(5.61111111111111)=</v>
      </c>
      <c r="AB28" s="84">
        <f>IF(U26=RisePerWLS,0,VLOOKUP(U26,STN_TABLE,4,FALSE))</f>
        <v>220.43346666666662</v>
      </c>
      <c r="AC28" t="str">
        <f>CONCATENATE("M(",U27,")=")</f>
        <v>M(6)=</v>
      </c>
      <c r="AD28">
        <f>Z28+AB28</f>
        <v>356.87000000000012</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0</v>
      </c>
      <c r="S33" s="77">
        <v>8</v>
      </c>
      <c r="T33" s="76">
        <f>R33*S33</f>
        <v>0</v>
      </c>
      <c r="U33" s="80">
        <v>10</v>
      </c>
      <c r="V33" s="76">
        <f>R33*U33</f>
        <v>0</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0</v>
      </c>
      <c r="S34" s="83">
        <v>-1</v>
      </c>
      <c r="T34" s="82">
        <f>R34*S34</f>
        <v>0</v>
      </c>
      <c r="U34" s="88">
        <v>-1</v>
      </c>
      <c r="V34" s="82">
        <f>R34*U34</f>
        <v>0</v>
      </c>
      <c r="W34" s="84" t="str">
        <f>CONCATENATE("a'(",Q33,")=")</f>
        <v>a'(0.5)=</v>
      </c>
      <c r="X34" s="84">
        <f>2*X32/12*T35</f>
        <v>0</v>
      </c>
      <c r="Y34" s="84" t="str">
        <f>CONCATENATE("A(",Q32,")=")</f>
        <v>A(0)=</v>
      </c>
      <c r="Z34" s="84">
        <f>VLOOKUP(Q32,STN_TABLE,3,FALSE)</f>
        <v>0</v>
      </c>
      <c r="AA34" t="str">
        <f>CONCATENATE("A(",Q33,")=")</f>
        <v>A(0.5)=</v>
      </c>
      <c r="AB34">
        <f>X34+Z34</f>
        <v>0</v>
      </c>
      <c r="AC34" s="99">
        <f>AC33+1</f>
        <v>2</v>
      </c>
      <c r="AD34" s="100">
        <f>VLOOKUP(AC34,STN_TABLE_2,2,FALSE)</f>
        <v>0.5</v>
      </c>
      <c r="AE34" s="82">
        <f>VLOOKUP(AD34,STN_TABLE,2,FALSE)</f>
        <v>0</v>
      </c>
      <c r="AF34" s="82">
        <v>2</v>
      </c>
      <c r="AG34" s="83">
        <f>AE34*AF34</f>
        <v>0</v>
      </c>
      <c r="AH34" s="84" t="str">
        <f>CONCATENATE("a'(",AD34,")=")</f>
        <v>a'(0.5)=</v>
      </c>
      <c r="AI34" s="84">
        <f>2*AI32/2*AE35</f>
        <v>0</v>
      </c>
      <c r="AJ34" s="84" t="str">
        <f>CONCATENATE("A(",AD33,")=")</f>
        <v>A(0)=</v>
      </c>
      <c r="AK34" s="84">
        <f>VLOOKUP(AD33,STN_TABLE,3,FALSE)</f>
        <v>0</v>
      </c>
      <c r="AL34" t="str">
        <f>CONCATENATE("A(",AD34,")=")</f>
        <v>A(0.5)=</v>
      </c>
      <c r="AM34">
        <f>AI34+AK34</f>
        <v>0</v>
      </c>
      <c r="AO34" s="68" t="str">
        <f>AA34</f>
        <v>A(0.5)=</v>
      </c>
      <c r="AP34" s="79" t="e">
        <f>VLOOKUP(AO34,Rise_Results,2,FALSE)</f>
        <v>#N/A</v>
      </c>
      <c r="AQ34" s="76" t="s">
        <v>117</v>
      </c>
      <c r="AR34" s="76" t="e">
        <f>IF(OR(AB34&lt;=0,AB35&lt;=0),1/0,AB34)</f>
        <v>#DIV/0!</v>
      </c>
      <c r="AS34" s="76">
        <f>AM34</f>
        <v>0</v>
      </c>
      <c r="AT34" s="80">
        <f>IFERROR(AP34,IFERROR(AR34,AS34))</f>
        <v>0</v>
      </c>
    </row>
    <row r="35" spans="1:47" x14ac:dyDescent="0.25">
      <c r="A35" s="101"/>
      <c r="T35" s="89">
        <f>SUM(T32:T34)</f>
        <v>0</v>
      </c>
      <c r="V35" s="82">
        <f>SUM(V32:V34)</f>
        <v>0</v>
      </c>
      <c r="W35" s="84" t="str">
        <f>CONCATENATE("m'(",Q33,")=")</f>
        <v>m'(0.5)=</v>
      </c>
      <c r="X35" s="84">
        <f>(2*(X32^2)/24*V35)</f>
        <v>0</v>
      </c>
      <c r="Y35" s="84" t="str">
        <f>CONCATENATE("M(",Q32,")=")</f>
        <v>M(0)=</v>
      </c>
      <c r="Z35" s="84">
        <f>VLOOKUP(Q32,STN_TABLE,4,FALSE)</f>
        <v>0</v>
      </c>
      <c r="AA35" t="str">
        <f>CONCATENATE("M(",Q33,")=")</f>
        <v>M(0.5)=</v>
      </c>
      <c r="AB35">
        <f>X35+Z35</f>
        <v>0</v>
      </c>
      <c r="AE35" s="89">
        <f>SUM(AE33:AE34)</f>
        <v>0</v>
      </c>
      <c r="AG35" s="89">
        <f>SUM(AG33:AG34)</f>
        <v>0</v>
      </c>
      <c r="AH35" s="84" t="str">
        <f>CONCATENATE("m'(",AD34,")=")</f>
        <v>m'(0.5)=</v>
      </c>
      <c r="AI35" s="84">
        <f>(2*(AI32^2)/6*AG35)+(AI34*AD33*WLS)</f>
        <v>0</v>
      </c>
      <c r="AJ35" s="84" t="str">
        <f>CONCATENATE("M(",AD33,")=")</f>
        <v>M(0)=</v>
      </c>
      <c r="AK35" s="84">
        <f>VLOOKUP(AD33,STN_TABLE,4,FALSE)</f>
        <v>0</v>
      </c>
      <c r="AL35" t="str">
        <f>CONCATENATE("M(",AD34,")=")</f>
        <v>M(0.5)=</v>
      </c>
      <c r="AM35">
        <f>AI35+AK35</f>
        <v>0</v>
      </c>
      <c r="AO35" s="82" t="str">
        <f>AA35</f>
        <v>M(0.5)=</v>
      </c>
      <c r="AP35" s="88" t="e">
        <f>VLOOKUP(AO35,Rise_Results,2,FALSE)</f>
        <v>#N/A</v>
      </c>
      <c r="AQ35" s="82" t="s">
        <v>117</v>
      </c>
      <c r="AR35" s="82" t="e">
        <f>IF(OR(AB34&lt;=0,AB35&lt;=0),1/0,AB35)</f>
        <v>#DIV/0!</v>
      </c>
      <c r="AS35" s="82">
        <f>AM35</f>
        <v>0</v>
      </c>
      <c r="AT35" s="80">
        <f>IFERROR(AP35,IFERROR(AR35,AS35))</f>
        <v>0</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0</v>
      </c>
      <c r="S37" s="69">
        <v>5</v>
      </c>
      <c r="T37" s="68">
        <f>R37*S37</f>
        <v>0</v>
      </c>
      <c r="U37" s="79">
        <v>3</v>
      </c>
      <c r="V37" s="68">
        <f>R37*U37</f>
        <v>0</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0</v>
      </c>
      <c r="E38" s="81">
        <v>4</v>
      </c>
      <c r="F38" s="76">
        <f>D38*E38</f>
        <v>0</v>
      </c>
      <c r="G38" s="77">
        <f>C38</f>
        <v>0.5</v>
      </c>
      <c r="H38" s="77">
        <f>F38*G38</f>
        <v>0</v>
      </c>
      <c r="I38" s="513" t="s">
        <v>97</v>
      </c>
      <c r="J38" s="513"/>
      <c r="K38" s="78" t="s">
        <v>98</v>
      </c>
      <c r="L38" s="78"/>
      <c r="M38" s="7" t="s">
        <v>99</v>
      </c>
      <c r="N38" s="7"/>
      <c r="O38" s="99">
        <f>O37+1</f>
        <v>3</v>
      </c>
      <c r="P38" s="99">
        <f t="shared" si="10"/>
        <v>1</v>
      </c>
      <c r="Q38" s="76">
        <f>P38</f>
        <v>1</v>
      </c>
      <c r="R38" s="77">
        <f>VLOOKUP(Q38,STN_TABLE,2,FALSE)</f>
        <v>0</v>
      </c>
      <c r="S38" s="77">
        <v>8</v>
      </c>
      <c r="T38" s="76">
        <f>R38*S38</f>
        <v>0</v>
      </c>
      <c r="U38" s="80">
        <v>10</v>
      </c>
      <c r="V38" s="76">
        <f>R38*U38</f>
        <v>0</v>
      </c>
      <c r="W38" s="513" t="s">
        <v>97</v>
      </c>
      <c r="X38" s="513"/>
      <c r="Y38" s="513" t="s">
        <v>98</v>
      </c>
      <c r="Z38" s="513"/>
      <c r="AA38" s="511" t="s">
        <v>99</v>
      </c>
      <c r="AB38" s="511"/>
      <c r="AC38" s="99">
        <f>AC33+1</f>
        <v>2</v>
      </c>
      <c r="AD38" s="95">
        <f>VLOOKUP(AC38,STN_TABLE_2,2,FALSE)</f>
        <v>0.5</v>
      </c>
      <c r="AE38" s="68">
        <f>VLOOKUP(AD38,STN_TABLE,2,FALSE)</f>
        <v>0</v>
      </c>
      <c r="AF38" s="68">
        <v>1</v>
      </c>
      <c r="AG38" s="69">
        <f>AE38*AF38</f>
        <v>0</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0</v>
      </c>
      <c r="E39" s="92">
        <v>1</v>
      </c>
      <c r="F39" s="82">
        <f>D39*E39</f>
        <v>0</v>
      </c>
      <c r="G39" s="83">
        <f>C39</f>
        <v>1</v>
      </c>
      <c r="H39" s="83">
        <f>F39*G39</f>
        <v>0</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0</v>
      </c>
      <c r="S39" s="83">
        <v>-1</v>
      </c>
      <c r="T39" s="82">
        <f>R39*S39</f>
        <v>0</v>
      </c>
      <c r="U39" s="88">
        <v>-1</v>
      </c>
      <c r="V39" s="82">
        <f>R39*U39</f>
        <v>0</v>
      </c>
      <c r="W39" s="84" t="str">
        <f>CONCATENATE("a'(",Q38,")=")</f>
        <v>a'(1)=</v>
      </c>
      <c r="X39" s="84">
        <f>2*X37/12*T40</f>
        <v>0</v>
      </c>
      <c r="Y39" s="84" t="str">
        <f>CONCATENATE("A(",Q37,")=")</f>
        <v>A(0.5)=</v>
      </c>
      <c r="Z39" s="84">
        <f>VLOOKUP(Q37,STN_TABLE,3,FALSE)</f>
        <v>0</v>
      </c>
      <c r="AA39" t="str">
        <f>CONCATENATE("A(",Q38,")=")</f>
        <v>A(1)=</v>
      </c>
      <c r="AB39">
        <f>X39+Z39</f>
        <v>0</v>
      </c>
      <c r="AC39" s="99">
        <f>AC38+1</f>
        <v>3</v>
      </c>
      <c r="AD39" s="100">
        <f>VLOOKUP(AC39,STN_TABLE_2,2,FALSE)</f>
        <v>1</v>
      </c>
      <c r="AE39" s="82">
        <f>VLOOKUP(AD39,STN_TABLE,2,FALSE)</f>
        <v>0</v>
      </c>
      <c r="AF39" s="82">
        <v>2</v>
      </c>
      <c r="AG39" s="83">
        <f>AE39*AF39</f>
        <v>0</v>
      </c>
      <c r="AH39" s="84" t="str">
        <f>CONCATENATE("a'(",AD39,")=")</f>
        <v>a'(1)=</v>
      </c>
      <c r="AI39" s="84">
        <f>2*AI37/2*AE40</f>
        <v>0</v>
      </c>
      <c r="AJ39" s="84" t="str">
        <f>CONCATENATE("A(",AD38,")=")</f>
        <v>A(0.5)=</v>
      </c>
      <c r="AK39" s="84">
        <f>VLOOKUP(AD38,STN_TABLE,3,FALSE)</f>
        <v>0</v>
      </c>
      <c r="AL39" t="str">
        <f>CONCATENATE("A(",AD39,")=")</f>
        <v>A(1)=</v>
      </c>
      <c r="AM39">
        <f>AI39+AK39</f>
        <v>0</v>
      </c>
      <c r="AO39" s="68" t="str">
        <f>AA39</f>
        <v>A(1)=</v>
      </c>
      <c r="AP39" s="68" t="e">
        <f>VLOOKUP(AO39,Rise_Results,2,FALSE)</f>
        <v>#N/A</v>
      </c>
      <c r="AQ39" s="76" t="e">
        <f>N39</f>
        <v>#VALUE!</v>
      </c>
      <c r="AR39" s="76" t="e">
        <f>IF(OR(AB39&lt;=0,AB40&lt;=0),1/0,AB39)</f>
        <v>#DIV/0!</v>
      </c>
      <c r="AS39" s="76">
        <f>AM39</f>
        <v>0</v>
      </c>
      <c r="AT39">
        <f>IFERROR(AP39,IFERROR(AQ39,IFERROR(AR39,AS39)))</f>
        <v>0</v>
      </c>
    </row>
    <row r="40" spans="1:47" x14ac:dyDescent="0.25">
      <c r="A40">
        <v>4</v>
      </c>
      <c r="F40" s="82">
        <f>SUM(F37:F39)</f>
        <v>0</v>
      </c>
      <c r="H40" s="82">
        <f>SUM(H37:H39)</f>
        <v>0</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0</v>
      </c>
      <c r="V40" s="82">
        <f>SUM(V37:V39)</f>
        <v>0</v>
      </c>
      <c r="W40" s="84" t="str">
        <f>CONCATENATE("m'(",Q38,")=")</f>
        <v>m'(1)=</v>
      </c>
      <c r="X40" s="84">
        <f>(2*(X37^2)/24*V40)+(X39*Q37*WLS)</f>
        <v>0</v>
      </c>
      <c r="Y40" s="84" t="str">
        <f>CONCATENATE("M(",Q37,")=")</f>
        <v>M(0.5)=</v>
      </c>
      <c r="Z40" s="84">
        <f>VLOOKUP(Q37,STN_TABLE,4,FALSE)</f>
        <v>0</v>
      </c>
      <c r="AA40" t="str">
        <f>CONCATENATE("M(",Q38,")=")</f>
        <v>M(1)=</v>
      </c>
      <c r="AB40">
        <f>X40+Z40</f>
        <v>0</v>
      </c>
      <c r="AE40" s="89">
        <f>SUM(AE38:AE39)</f>
        <v>0</v>
      </c>
      <c r="AG40" s="89">
        <f>SUM(AG38:AG39)</f>
        <v>0</v>
      </c>
      <c r="AH40" s="84" t="str">
        <f>CONCATENATE("m'(",AD39,")=")</f>
        <v>m'(1)=</v>
      </c>
      <c r="AI40" s="84">
        <f>(2*(AI37^2)/6*AG40)+(AI39*AD38*WLS)</f>
        <v>0</v>
      </c>
      <c r="AJ40" s="84" t="str">
        <f>CONCATENATE("M(",AD38,")=")</f>
        <v>M(0.5)=</v>
      </c>
      <c r="AK40" s="84">
        <f>VLOOKUP(AD38,STN_TABLE,4,FALSE)</f>
        <v>0</v>
      </c>
      <c r="AL40" t="str">
        <f>CONCATENATE("M(",AD39,")=")</f>
        <v>M(1)=</v>
      </c>
      <c r="AM40">
        <f>AI40+AK40</f>
        <v>0</v>
      </c>
      <c r="AO40" s="82" t="str">
        <f>AA40</f>
        <v>M(1)=</v>
      </c>
      <c r="AP40" s="82" t="e">
        <f>VLOOKUP(AO40,Rise_Results,2,FALSE)</f>
        <v>#N/A</v>
      </c>
      <c r="AQ40" s="82" t="e">
        <f>N40</f>
        <v>#VALUE!</v>
      </c>
      <c r="AR40" s="82" t="e">
        <f>IF(OR(AB39&lt;=0,AB40&lt;=0),1/0,AB40)</f>
        <v>#DIV/0!</v>
      </c>
      <c r="AS40" s="82">
        <f>AM40</f>
        <v>0</v>
      </c>
      <c r="AT40">
        <f>IFERROR(AP40,IFERROR(AQ40,IFERROR(AR40,AS40)))</f>
        <v>0</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0</v>
      </c>
      <c r="E42" s="102">
        <v>1</v>
      </c>
      <c r="F42" s="68">
        <f>D42*E42</f>
        <v>0</v>
      </c>
      <c r="G42" s="69">
        <f>C42</f>
        <v>0.5</v>
      </c>
      <c r="H42" s="69">
        <f>F42*G42</f>
        <v>0</v>
      </c>
      <c r="I42" s="6" t="s">
        <v>93</v>
      </c>
      <c r="J42" s="70" t="str">
        <f>IF(OR(D42=0,D43=0,D44=0),"#NA",IF(AND(C44-C43=C43-C42,C43&lt;&gt;C44,C42&lt;&gt;C43,C42&lt;&gt;C44,D44&lt;&gt;0,OR(D42&lt;&gt;0,D43&lt;&gt;0)),WLS*(C44-C43),"#NA"))</f>
        <v>#NA</v>
      </c>
      <c r="O42" s="99">
        <f>O41+1</f>
        <v>3</v>
      </c>
      <c r="P42" s="99">
        <f t="shared" si="10"/>
        <v>1</v>
      </c>
      <c r="Q42" s="68">
        <f>IF(OR(P44-P43=P43-P42,P45-P43=P43-P42),P42,IF(OR(P44-P43=P43-P41,P45-P43=P43-P41),P41,"-"))</f>
        <v>1</v>
      </c>
      <c r="R42" s="69">
        <f>VLOOKUP(Q42,STN_TABLE,2,FALSE)</f>
        <v>0</v>
      </c>
      <c r="S42" s="69">
        <v>5</v>
      </c>
      <c r="T42" s="68">
        <f>R42*S42</f>
        <v>0</v>
      </c>
      <c r="U42" s="79">
        <v>3</v>
      </c>
      <c r="V42" s="68">
        <f>R42*U42</f>
        <v>0</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0</v>
      </c>
      <c r="E43" s="81">
        <v>4</v>
      </c>
      <c r="F43" s="76">
        <f>D43*E43</f>
        <v>0</v>
      </c>
      <c r="G43" s="77">
        <f>C43</f>
        <v>1</v>
      </c>
      <c r="H43" s="77">
        <f>F43*G43</f>
        <v>0</v>
      </c>
      <c r="I43" s="513" t="s">
        <v>97</v>
      </c>
      <c r="J43" s="513"/>
      <c r="K43" s="78" t="s">
        <v>98</v>
      </c>
      <c r="L43" s="78"/>
      <c r="M43" s="7" t="s">
        <v>99</v>
      </c>
      <c r="N43" s="7"/>
      <c r="O43" s="99">
        <f>O42+1</f>
        <v>4</v>
      </c>
      <c r="P43" s="99">
        <f t="shared" si="10"/>
        <v>1.5</v>
      </c>
      <c r="Q43" s="76">
        <f>P43</f>
        <v>1.5</v>
      </c>
      <c r="R43" s="77">
        <f>VLOOKUP(Q43,STN_TABLE,2,FALSE)</f>
        <v>0</v>
      </c>
      <c r="S43" s="77">
        <v>8</v>
      </c>
      <c r="T43" s="76">
        <f>R43*S43</f>
        <v>0</v>
      </c>
      <c r="U43" s="80">
        <v>10</v>
      </c>
      <c r="V43" s="76">
        <f>R43*U43</f>
        <v>0</v>
      </c>
      <c r="W43" s="513" t="s">
        <v>97</v>
      </c>
      <c r="X43" s="513"/>
      <c r="Y43" s="513" t="s">
        <v>98</v>
      </c>
      <c r="Z43" s="513"/>
      <c r="AA43" s="511" t="s">
        <v>99</v>
      </c>
      <c r="AB43" s="511"/>
      <c r="AC43" s="99">
        <f>AC38+1</f>
        <v>3</v>
      </c>
      <c r="AD43" s="95">
        <f>VLOOKUP(AC43,STN_TABLE_2,2,FALSE)</f>
        <v>1</v>
      </c>
      <c r="AE43" s="68">
        <f>VLOOKUP(AD43,STN_TABLE,2,FALSE)</f>
        <v>0</v>
      </c>
      <c r="AF43" s="68">
        <v>1</v>
      </c>
      <c r="AG43" s="69">
        <f>AE43*AF43</f>
        <v>0</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0</v>
      </c>
      <c r="E44" s="92">
        <v>1</v>
      </c>
      <c r="F44" s="82">
        <f>D44*E44</f>
        <v>0</v>
      </c>
      <c r="G44" s="83">
        <f>C44</f>
        <v>1.5</v>
      </c>
      <c r="H44" s="83">
        <f>F44*G44</f>
        <v>0</v>
      </c>
      <c r="I44" s="84" t="str">
        <f>CONCATENATE("a'(",C44,")=")</f>
        <v>a'(1.5)=</v>
      </c>
      <c r="J44" s="84" t="e">
        <f>2*J42/3*F45</f>
        <v>#VALUE!</v>
      </c>
      <c r="K44" s="84" t="str">
        <f>CONCATENATE("A(",C42,")=")</f>
        <v>A(0.5)=</v>
      </c>
      <c r="L44" s="84">
        <f>VLOOKUP(C42,STN_TABLE,3,FALSE)</f>
        <v>0</v>
      </c>
      <c r="M44" t="str">
        <f>CONCATENATE("A(",C44,")=")</f>
        <v>A(1.5)=</v>
      </c>
      <c r="N44" t="e">
        <f>J44+L44</f>
        <v>#VALUE!</v>
      </c>
      <c r="O44" s="99">
        <f>O43+1</f>
        <v>5</v>
      </c>
      <c r="P44" s="99">
        <f t="shared" si="10"/>
        <v>2</v>
      </c>
      <c r="Q44" s="82">
        <f>IF(P44-P43=P43-P42,P44,IF(P45-P43=P43-P42,P45,IF(P44-P43=P43-P41,P44,IF(P45-P43=P43-P41,P45,"-"))))</f>
        <v>2</v>
      </c>
      <c r="R44" s="83">
        <f>VLOOKUP(Q44,STN_TABLE,2,FALSE)</f>
        <v>0</v>
      </c>
      <c r="S44" s="83">
        <v>-1</v>
      </c>
      <c r="T44" s="82">
        <f>R44*S44</f>
        <v>0</v>
      </c>
      <c r="U44" s="88">
        <v>-1</v>
      </c>
      <c r="V44" s="82">
        <f>R44*U44</f>
        <v>0</v>
      </c>
      <c r="W44" s="84" t="str">
        <f>CONCATENATE("a'(",Q43,")=")</f>
        <v>a'(1.5)=</v>
      </c>
      <c r="X44" s="84">
        <f>2*X42/12*T45</f>
        <v>0</v>
      </c>
      <c r="Y44" s="84" t="str">
        <f>CONCATENATE("A(",Q42,")=")</f>
        <v>A(1)=</v>
      </c>
      <c r="Z44" s="84">
        <f>VLOOKUP(Q42,STN_TABLE,3,FALSE)</f>
        <v>0</v>
      </c>
      <c r="AA44" t="str">
        <f>CONCATENATE("A(",Q43,")=")</f>
        <v>A(1.5)=</v>
      </c>
      <c r="AB44">
        <f>X44+Z44</f>
        <v>0</v>
      </c>
      <c r="AC44" s="99">
        <f>AC43+1</f>
        <v>4</v>
      </c>
      <c r="AD44" s="100">
        <f>VLOOKUP(AC44,STN_TABLE_2,2,FALSE)</f>
        <v>1.5</v>
      </c>
      <c r="AE44" s="82">
        <f>VLOOKUP(AD44,STN_TABLE,2,FALSE)</f>
        <v>0</v>
      </c>
      <c r="AF44" s="82">
        <v>2</v>
      </c>
      <c r="AG44" s="83">
        <f>AE44*AF44</f>
        <v>0</v>
      </c>
      <c r="AH44" s="84" t="str">
        <f>CONCATENATE("a'(",AD44,")=")</f>
        <v>a'(1.5)=</v>
      </c>
      <c r="AI44" s="84">
        <f>2*AI42/2*AE45</f>
        <v>0</v>
      </c>
      <c r="AJ44" s="84" t="str">
        <f>CONCATENATE("A(",AD43,")=")</f>
        <v>A(1)=</v>
      </c>
      <c r="AK44" s="84">
        <f>VLOOKUP(AD43,STN_TABLE,3,FALSE)</f>
        <v>0</v>
      </c>
      <c r="AL44" t="str">
        <f>CONCATENATE("A(",AD44,")=")</f>
        <v>A(1.5)=</v>
      </c>
      <c r="AM44">
        <f>AI44+AK44</f>
        <v>0</v>
      </c>
      <c r="AO44" s="68" t="str">
        <f>AA44</f>
        <v>A(1.5)=</v>
      </c>
      <c r="AP44" s="68" t="e">
        <f>VLOOKUP(AO44,Rise_Results,2,FALSE)</f>
        <v>#N/A</v>
      </c>
      <c r="AQ44" s="76" t="e">
        <f>N44</f>
        <v>#VALUE!</v>
      </c>
      <c r="AR44" s="76" t="e">
        <f>IF(OR(AB44&lt;=0,AB45&lt;=0),1/0,AB44)</f>
        <v>#DIV/0!</v>
      </c>
      <c r="AS44" s="76">
        <f>AM44</f>
        <v>0</v>
      </c>
      <c r="AT44">
        <f>IFERROR(AP44,IFERROR(AQ44,IFERROR(AR44,AS44)))</f>
        <v>0</v>
      </c>
      <c r="AU44" s="81"/>
    </row>
    <row r="45" spans="1:47" x14ac:dyDescent="0.25">
      <c r="A45" s="94">
        <f>A44+1</f>
        <v>4</v>
      </c>
      <c r="B45" s="94">
        <f t="shared" si="11"/>
        <v>1.5</v>
      </c>
      <c r="F45" s="82">
        <f>SUM(F42:F44)</f>
        <v>0</v>
      </c>
      <c r="H45" s="82">
        <f>SUM(H42:H44)</f>
        <v>0</v>
      </c>
      <c r="I45" s="84" t="str">
        <f>CONCATENATE("m'(",C44,")=")</f>
        <v>m'(1.5)=</v>
      </c>
      <c r="J45" s="84" t="e">
        <f>2*(J42*(WLS))/3*H45</f>
        <v>#VALUE!</v>
      </c>
      <c r="K45" s="84" t="str">
        <f>CONCATENATE("M(",C42,")=")</f>
        <v>M(0.5)=</v>
      </c>
      <c r="L45" s="84">
        <f>VLOOKUP(C42,STN_TABLE,4,FALSE)</f>
        <v>0</v>
      </c>
      <c r="M45" t="str">
        <f>CONCATENATE("M(",C44,")=")</f>
        <v>M(1.5)=</v>
      </c>
      <c r="N45" t="e">
        <f>J45+L45</f>
        <v>#VALUE!</v>
      </c>
      <c r="O45" s="99">
        <f>O44+1</f>
        <v>6</v>
      </c>
      <c r="P45" s="99">
        <f t="shared" si="10"/>
        <v>3</v>
      </c>
      <c r="T45" s="89">
        <f>SUM(T42:T44)</f>
        <v>0</v>
      </c>
      <c r="V45" s="82">
        <f>SUM(V42:V44)</f>
        <v>0</v>
      </c>
      <c r="W45" s="84" t="str">
        <f>CONCATENATE("m'(",Q43,")=")</f>
        <v>m'(1.5)=</v>
      </c>
      <c r="X45" s="84">
        <f>(2*(X42^2)/24*V45)+(X44*Q42*WLS)</f>
        <v>0</v>
      </c>
      <c r="Y45" s="84" t="str">
        <f>CONCATENATE("M(",Q42,")=")</f>
        <v>M(1)=</v>
      </c>
      <c r="Z45" s="84">
        <f>VLOOKUP(Q42,STN_TABLE,4,FALSE)</f>
        <v>0</v>
      </c>
      <c r="AA45" t="str">
        <f>CONCATENATE("M(",Q43,")=")</f>
        <v>M(1.5)=</v>
      </c>
      <c r="AB45">
        <f>X45+Z45</f>
        <v>0</v>
      </c>
      <c r="AE45" s="89">
        <f>SUM(AE43:AE44)</f>
        <v>0</v>
      </c>
      <c r="AG45" s="89">
        <f>SUM(AG43:AG44)</f>
        <v>0</v>
      </c>
      <c r="AH45" s="84" t="str">
        <f>CONCATENATE("m'(",AD44,")=")</f>
        <v>m'(1.5)=</v>
      </c>
      <c r="AI45" s="84">
        <f>(2*(AI42^2)/6*AG45)+(AI44*AD43*WLS)</f>
        <v>0</v>
      </c>
      <c r="AJ45" s="84" t="str">
        <f>CONCATENATE("M(",AD43,")=")</f>
        <v>M(1)=</v>
      </c>
      <c r="AK45" s="84">
        <f>VLOOKUP(AD43,STN_TABLE,4,FALSE)</f>
        <v>0</v>
      </c>
      <c r="AL45" t="str">
        <f>CONCATENATE("M(",AD44,")=")</f>
        <v>M(1.5)=</v>
      </c>
      <c r="AM45">
        <f>AI45+AK45</f>
        <v>0</v>
      </c>
      <c r="AO45" s="82" t="str">
        <f>AA45</f>
        <v>M(1.5)=</v>
      </c>
      <c r="AP45" s="82" t="e">
        <f>VLOOKUP(AO45,Rise_Results,2,FALSE)</f>
        <v>#N/A</v>
      </c>
      <c r="AQ45" s="82" t="e">
        <f>N45</f>
        <v>#VALUE!</v>
      </c>
      <c r="AR45" s="82" t="e">
        <f>IF(OR(AB44&lt;=0,AB45&lt;=0),1/0,AB45)</f>
        <v>#DIV/0!</v>
      </c>
      <c r="AS45" s="82">
        <f>AM45</f>
        <v>0</v>
      </c>
      <c r="AT45">
        <f>IFERROR(AP45,IFERROR(AQ45,IFERROR(AR45,AS45)))</f>
        <v>0</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0</v>
      </c>
      <c r="E47" s="102">
        <v>1</v>
      </c>
      <c r="F47" s="68">
        <f>D47*E47</f>
        <v>0</v>
      </c>
      <c r="G47" s="69">
        <f>C47</f>
        <v>1</v>
      </c>
      <c r="H47" s="69">
        <f>F47*G47</f>
        <v>0</v>
      </c>
      <c r="I47" s="6" t="s">
        <v>93</v>
      </c>
      <c r="J47" s="70" t="str">
        <f>IF(OR(D47=0,D48=0,D49=0),"#NA",IF(AND(C49-C48=C48-C47,C48&lt;&gt;C49,C47&lt;&gt;C48,C47&lt;&gt;C49,D49&lt;&gt;0,OR(D47&lt;&gt;0,D48&lt;&gt;0)),WLS*(C49-C48),"#NA"))</f>
        <v>#NA</v>
      </c>
      <c r="O47" s="99">
        <f>O46+1</f>
        <v>4</v>
      </c>
      <c r="P47" s="99">
        <f t="shared" si="10"/>
        <v>1.5</v>
      </c>
      <c r="Q47" s="68">
        <f>IF(OR(P49-P48=P48-P47,P50-P48=P48-P47),P47,IF(OR(P49-P48=P48-P46,P50-P48=P48-P46),P46,"-"))</f>
        <v>1</v>
      </c>
      <c r="R47" s="69">
        <f>VLOOKUP(Q47,STN_TABLE,2,FALSE)</f>
        <v>0</v>
      </c>
      <c r="S47" s="69">
        <v>5</v>
      </c>
      <c r="T47" s="68">
        <f>R47*S47</f>
        <v>0</v>
      </c>
      <c r="U47" s="79">
        <v>3</v>
      </c>
      <c r="V47" s="68">
        <f>R47*U47</f>
        <v>0</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0</v>
      </c>
      <c r="E48" s="81">
        <v>4</v>
      </c>
      <c r="F48" s="76">
        <f>D48*E48</f>
        <v>0</v>
      </c>
      <c r="G48" s="77">
        <f>C48</f>
        <v>1.5</v>
      </c>
      <c r="H48" s="77">
        <f>F48*G48</f>
        <v>0</v>
      </c>
      <c r="I48" s="513" t="s">
        <v>97</v>
      </c>
      <c r="J48" s="513"/>
      <c r="K48" s="78" t="s">
        <v>98</v>
      </c>
      <c r="L48" s="78"/>
      <c r="M48" s="7" t="s">
        <v>99</v>
      </c>
      <c r="N48" s="7"/>
      <c r="O48" s="99">
        <f>O47+1</f>
        <v>5</v>
      </c>
      <c r="P48" s="99">
        <f t="shared" si="10"/>
        <v>2</v>
      </c>
      <c r="Q48" s="76">
        <f>P48</f>
        <v>2</v>
      </c>
      <c r="R48" s="77">
        <f>VLOOKUP(Q48,STN_TABLE,2,FALSE)</f>
        <v>0</v>
      </c>
      <c r="S48" s="77">
        <v>8</v>
      </c>
      <c r="T48" s="76">
        <f>R48*S48</f>
        <v>0</v>
      </c>
      <c r="U48" s="80">
        <v>10</v>
      </c>
      <c r="V48" s="76">
        <f>R48*U48</f>
        <v>0</v>
      </c>
      <c r="W48" s="513" t="s">
        <v>97</v>
      </c>
      <c r="X48" s="513"/>
      <c r="Y48" s="513" t="s">
        <v>98</v>
      </c>
      <c r="Z48" s="513"/>
      <c r="AA48" s="511" t="s">
        <v>99</v>
      </c>
      <c r="AB48" s="511"/>
      <c r="AC48" s="99">
        <f>AC43+1</f>
        <v>4</v>
      </c>
      <c r="AD48" s="95">
        <f>VLOOKUP(AC48,STN_TABLE_2,2,FALSE)</f>
        <v>1.5</v>
      </c>
      <c r="AE48" s="68">
        <f>VLOOKUP(AD48,STN_TABLE,2,FALSE)</f>
        <v>0</v>
      </c>
      <c r="AF48" s="68">
        <v>1</v>
      </c>
      <c r="AG48" s="69">
        <f>AE48*AF48</f>
        <v>0</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0</v>
      </c>
      <c r="E49" s="92">
        <v>1</v>
      </c>
      <c r="F49" s="82">
        <f>D49*E49</f>
        <v>0</v>
      </c>
      <c r="G49" s="83">
        <f>C49</f>
        <v>2</v>
      </c>
      <c r="H49" s="83">
        <f>F49*G49</f>
        <v>0</v>
      </c>
      <c r="I49" s="84" t="str">
        <f>CONCATENATE("a'(",C49,")=")</f>
        <v>a'(2)=</v>
      </c>
      <c r="J49" s="84" t="e">
        <f>2*J47/3*F50</f>
        <v>#VALUE!</v>
      </c>
      <c r="K49" s="84" t="str">
        <f>CONCATENATE("A(",C47,")=")</f>
        <v>A(1)=</v>
      </c>
      <c r="L49" s="84">
        <f>VLOOKUP(C47,STN_TABLE,3,FALSE)</f>
        <v>0</v>
      </c>
      <c r="M49" t="str">
        <f>CONCATENATE("A(",C49,")=")</f>
        <v>A(2)=</v>
      </c>
      <c r="N49" t="e">
        <f>J49+L49</f>
        <v>#VALUE!</v>
      </c>
      <c r="O49" s="99">
        <f>O48+1</f>
        <v>6</v>
      </c>
      <c r="P49" s="99">
        <f t="shared" si="10"/>
        <v>3</v>
      </c>
      <c r="Q49" s="82">
        <f>IF(P49-P48=P48-P47,P49,IF(P50-P48=P48-P47,P50,IF(P49-P48=P48-P46,P49,IF(P50-P48=P48-P46,P50,"-"))))</f>
        <v>3</v>
      </c>
      <c r="R49" s="83">
        <f>VLOOKUP(Q49,STN_TABLE,2,FALSE)</f>
        <v>0</v>
      </c>
      <c r="S49" s="83">
        <v>-1</v>
      </c>
      <c r="T49" s="82">
        <f>R49*S49</f>
        <v>0</v>
      </c>
      <c r="U49" s="88">
        <v>-1</v>
      </c>
      <c r="V49" s="82">
        <f>R49*U49</f>
        <v>0</v>
      </c>
      <c r="W49" s="84" t="str">
        <f>CONCATENATE("a'(",Q48,")=")</f>
        <v>a'(2)=</v>
      </c>
      <c r="X49" s="84">
        <f>2*X47/12*T50</f>
        <v>0</v>
      </c>
      <c r="Y49" s="84" t="str">
        <f>CONCATENATE("A(",Q47,")=")</f>
        <v>A(1)=</v>
      </c>
      <c r="Z49" s="84">
        <f>VLOOKUP(Q47,STN_TABLE,3,FALSE)</f>
        <v>0</v>
      </c>
      <c r="AA49" t="str">
        <f>CONCATENATE("A(",Q48,")=")</f>
        <v>A(2)=</v>
      </c>
      <c r="AB49">
        <f>X49+Z49</f>
        <v>0</v>
      </c>
      <c r="AC49" s="99">
        <f>AC48+1</f>
        <v>5</v>
      </c>
      <c r="AD49" s="100">
        <f>VLOOKUP(AC49,STN_TABLE_2,2,FALSE)</f>
        <v>2</v>
      </c>
      <c r="AE49" s="82">
        <f>VLOOKUP(AD49,STN_TABLE,2,FALSE)</f>
        <v>0</v>
      </c>
      <c r="AF49" s="82">
        <v>2</v>
      </c>
      <c r="AG49" s="83">
        <f>AE49*AF49</f>
        <v>0</v>
      </c>
      <c r="AH49" s="84" t="str">
        <f>CONCATENATE("a'(",AD49,")=")</f>
        <v>a'(2)=</v>
      </c>
      <c r="AI49" s="84">
        <f>2*AI47/2*AE50</f>
        <v>0</v>
      </c>
      <c r="AJ49" s="84" t="str">
        <f>CONCATENATE("A(",AD48,")=")</f>
        <v>A(1.5)=</v>
      </c>
      <c r="AK49" s="84">
        <f>VLOOKUP(AD48,STN_TABLE,3,FALSE)</f>
        <v>0</v>
      </c>
      <c r="AL49" t="str">
        <f>CONCATENATE("A(",AD49,")=")</f>
        <v>A(2)=</v>
      </c>
      <c r="AM49">
        <f>AI49+AK49</f>
        <v>0</v>
      </c>
      <c r="AO49" s="68" t="str">
        <f>AA49</f>
        <v>A(2)=</v>
      </c>
      <c r="AP49" s="68" t="e">
        <f>VLOOKUP(AO49,Rise_Results,2,FALSE)</f>
        <v>#N/A</v>
      </c>
      <c r="AQ49" s="76" t="e">
        <f>N49</f>
        <v>#VALUE!</v>
      </c>
      <c r="AR49" s="76" t="e">
        <f>IF(OR(AB49&lt;=0,AB50&lt;=0),1/0,AB49)</f>
        <v>#DIV/0!</v>
      </c>
      <c r="AS49" s="76">
        <f>AM49</f>
        <v>0</v>
      </c>
      <c r="AT49">
        <f>IFERROR(AP49,IFERROR(AQ49,IFERROR(AR49,AS49)))</f>
        <v>0</v>
      </c>
      <c r="AU49" s="81"/>
    </row>
    <row r="50" spans="1:47" x14ac:dyDescent="0.25">
      <c r="A50" s="84">
        <f>A49+1</f>
        <v>5</v>
      </c>
      <c r="B50" s="84">
        <f t="shared" si="11"/>
        <v>2</v>
      </c>
      <c r="F50" s="82">
        <f>SUM(F47:F49)</f>
        <v>0</v>
      </c>
      <c r="H50" s="82">
        <f>SUM(H47:H49)</f>
        <v>0</v>
      </c>
      <c r="I50" s="84" t="str">
        <f>CONCATENATE("m'(",C49,")=")</f>
        <v>m'(2)=</v>
      </c>
      <c r="J50" s="84" t="e">
        <f>2*(J47*(WLS))/3*H50</f>
        <v>#VALUE!</v>
      </c>
      <c r="K50" s="84" t="str">
        <f>CONCATENATE("M(",C47,")=")</f>
        <v>M(1)=</v>
      </c>
      <c r="L50" s="84">
        <f>VLOOKUP(C47,STN_TABLE,4,FALSE)</f>
        <v>0</v>
      </c>
      <c r="M50" t="str">
        <f>CONCATENATE("M(",C49,")=")</f>
        <v>M(2)=</v>
      </c>
      <c r="N50" t="e">
        <f>J50+L50</f>
        <v>#VALUE!</v>
      </c>
      <c r="O50" s="99">
        <f>O49+1</f>
        <v>7</v>
      </c>
      <c r="P50" s="99">
        <f t="shared" si="10"/>
        <v>4</v>
      </c>
      <c r="T50" s="89">
        <f>SUM(T47:T49)</f>
        <v>0</v>
      </c>
      <c r="V50" s="82">
        <f>SUM(V47:V49)</f>
        <v>0</v>
      </c>
      <c r="W50" s="84" t="str">
        <f>CONCATENATE("m'(",Q48,")=")</f>
        <v>m'(2)=</v>
      </c>
      <c r="X50" s="84">
        <f>(2*(X47^2)/24*V50)+(X49*Q47*WLS)</f>
        <v>0</v>
      </c>
      <c r="Y50" s="84" t="str">
        <f>CONCATENATE("M(",Q47,")=")</f>
        <v>M(1)=</v>
      </c>
      <c r="Z50" s="84">
        <f>VLOOKUP(Q47,STN_TABLE,4,FALSE)</f>
        <v>0</v>
      </c>
      <c r="AA50" t="str">
        <f>CONCATENATE("M(",Q48,")=")</f>
        <v>M(2)=</v>
      </c>
      <c r="AB50">
        <f>X50+Z50</f>
        <v>0</v>
      </c>
      <c r="AE50" s="89">
        <f>SUM(AE48:AE49)</f>
        <v>0</v>
      </c>
      <c r="AG50" s="89">
        <f>SUM(AG48:AG49)</f>
        <v>0</v>
      </c>
      <c r="AH50" s="84" t="str">
        <f>CONCATENATE("m'(",AD49,")=")</f>
        <v>m'(2)=</v>
      </c>
      <c r="AI50" s="84">
        <f>(2*(AI47^2)/6*AG50)+(AI49*AD48*WLS)</f>
        <v>0</v>
      </c>
      <c r="AJ50" s="84" t="str">
        <f>CONCATENATE("M(",AD48,")=")</f>
        <v>M(1.5)=</v>
      </c>
      <c r="AK50" s="84">
        <f>VLOOKUP(AD48,STN_TABLE,4,FALSE)</f>
        <v>0</v>
      </c>
      <c r="AL50" t="str">
        <f>CONCATENATE("M(",AD49,")=")</f>
        <v>M(2)=</v>
      </c>
      <c r="AM50">
        <f>AI50+AK50</f>
        <v>0</v>
      </c>
      <c r="AO50" s="82" t="str">
        <f>AA50</f>
        <v>M(2)=</v>
      </c>
      <c r="AP50" s="82" t="e">
        <f>VLOOKUP(AO50,Rise_Results,2,FALSE)</f>
        <v>#N/A</v>
      </c>
      <c r="AQ50" s="82" t="e">
        <f>N50</f>
        <v>#VALUE!</v>
      </c>
      <c r="AR50" s="82" t="e">
        <f>IF(OR(AB49&lt;=0,AB50&lt;=0),1/0,AB50)</f>
        <v>#DIV/0!</v>
      </c>
      <c r="AS50" s="82">
        <f>AM50</f>
        <v>0</v>
      </c>
      <c r="AT50">
        <f>IFERROR(AP50,IFERROR(AQ50,IFERROR(AR50,AS50)))</f>
        <v>0</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0</v>
      </c>
      <c r="E52" s="102">
        <v>1</v>
      </c>
      <c r="F52" s="68">
        <f>D52*E52</f>
        <v>0</v>
      </c>
      <c r="G52" s="69">
        <f>C52</f>
        <v>1</v>
      </c>
      <c r="H52" s="69">
        <f>F52*G52</f>
        <v>0</v>
      </c>
      <c r="I52" s="6" t="s">
        <v>93</v>
      </c>
      <c r="J52" s="70" t="str">
        <f>IF(OR(D52=0,D53=0,D54=0),"#NA",IF(AND(C54-C53=C53-C52,C53&lt;&gt;C54,C52&lt;&gt;C53,C52&lt;&gt;C54,D54&lt;&gt;0,OR(D52&lt;&gt;0,D53&lt;&gt;0)),WLS*(C54-C53),"#NA"))</f>
        <v>#NA</v>
      </c>
      <c r="O52" s="99">
        <f>O51+1</f>
        <v>5</v>
      </c>
      <c r="P52" s="99">
        <f t="shared" si="10"/>
        <v>2</v>
      </c>
      <c r="Q52" s="68">
        <f>IF(OR(P54-P53=P53-P52,P55-P53=P53-P52),P52,IF(OR(P54-P53=P53-P51,P55-P53=P53-P51),P51,"-"))</f>
        <v>2</v>
      </c>
      <c r="R52" s="69">
        <f>VLOOKUP(Q52,STN_TABLE,2,FALSE)</f>
        <v>0</v>
      </c>
      <c r="S52" s="69">
        <v>5</v>
      </c>
      <c r="T52" s="68">
        <f>R52*S52</f>
        <v>0</v>
      </c>
      <c r="U52" s="79">
        <v>3</v>
      </c>
      <c r="V52" s="68">
        <f>R52*U52</f>
        <v>0</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0</v>
      </c>
      <c r="E53" s="81">
        <v>4</v>
      </c>
      <c r="F53" s="76">
        <f>D53*E53</f>
        <v>0</v>
      </c>
      <c r="G53" s="77">
        <f>C53</f>
        <v>2</v>
      </c>
      <c r="H53" s="77">
        <f>F53*G53</f>
        <v>0</v>
      </c>
      <c r="I53" s="512" t="s">
        <v>97</v>
      </c>
      <c r="J53" s="513"/>
      <c r="K53" s="78" t="s">
        <v>98</v>
      </c>
      <c r="L53" s="78"/>
      <c r="M53" s="7" t="s">
        <v>99</v>
      </c>
      <c r="N53" s="7"/>
      <c r="O53" s="99">
        <f>O52+1</f>
        <v>6</v>
      </c>
      <c r="P53" s="99">
        <f t="shared" si="10"/>
        <v>3</v>
      </c>
      <c r="Q53" s="76">
        <f>P53</f>
        <v>3</v>
      </c>
      <c r="R53" s="77">
        <f>VLOOKUP(Q53,STN_TABLE,2,FALSE)</f>
        <v>0</v>
      </c>
      <c r="S53" s="77">
        <v>8</v>
      </c>
      <c r="T53" s="76">
        <f>R53*S53</f>
        <v>0</v>
      </c>
      <c r="U53" s="80">
        <v>10</v>
      </c>
      <c r="V53" s="76">
        <f>R53*U53</f>
        <v>0</v>
      </c>
      <c r="W53" s="513" t="s">
        <v>97</v>
      </c>
      <c r="X53" s="513"/>
      <c r="Y53" s="513" t="s">
        <v>98</v>
      </c>
      <c r="Z53" s="513"/>
      <c r="AA53" s="511" t="s">
        <v>99</v>
      </c>
      <c r="AB53" s="511"/>
      <c r="AC53" s="99">
        <f>AC48+1</f>
        <v>5</v>
      </c>
      <c r="AD53" s="95">
        <f>VLOOKUP(AC53,STN_TABLE_2,2,FALSE)</f>
        <v>2</v>
      </c>
      <c r="AE53" s="68">
        <f>VLOOKUP(AD53,STN_TABLE,2,FALSE)</f>
        <v>0</v>
      </c>
      <c r="AF53" s="68">
        <v>1</v>
      </c>
      <c r="AG53" s="69">
        <f>AE53*AF53</f>
        <v>0</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0</v>
      </c>
      <c r="E54" s="92">
        <v>1</v>
      </c>
      <c r="F54" s="82">
        <f>D54*E54</f>
        <v>0</v>
      </c>
      <c r="G54" s="83">
        <f>C54</f>
        <v>3</v>
      </c>
      <c r="H54" s="83">
        <f>F54*G54</f>
        <v>0</v>
      </c>
      <c r="I54" s="84" t="str">
        <f>CONCATENATE("a'(",C54,")=")</f>
        <v>a'(3)=</v>
      </c>
      <c r="J54" s="84" t="e">
        <f>2*J52/3*F55</f>
        <v>#VALUE!</v>
      </c>
      <c r="K54" s="84" t="str">
        <f>CONCATENATE("A(",C52,")=")</f>
        <v>A(1)=</v>
      </c>
      <c r="L54" s="84">
        <f>VLOOKUP(C52,STN_TABLE,3,FALSE)</f>
        <v>0</v>
      </c>
      <c r="M54" t="str">
        <f>CONCATENATE("A(",C54,")=")</f>
        <v>A(3)=</v>
      </c>
      <c r="N54" t="e">
        <f>J54+L54</f>
        <v>#VALUE!</v>
      </c>
      <c r="O54" s="99">
        <f>O53+1</f>
        <v>7</v>
      </c>
      <c r="P54" s="99">
        <f t="shared" si="10"/>
        <v>4</v>
      </c>
      <c r="Q54" s="82">
        <f>IF(P54-P53=P53-P52,P54,IF(P55-P53=P53-P52,P55,IF(P54-P53=P53-P51,P54,IF(P55-P53=P53-P51,P55,"-"))))</f>
        <v>4</v>
      </c>
      <c r="R54" s="83">
        <f>VLOOKUP(Q54,STN_TABLE,2,FALSE)</f>
        <v>0</v>
      </c>
      <c r="S54" s="83">
        <v>-1</v>
      </c>
      <c r="T54" s="82">
        <f>R54*S54</f>
        <v>0</v>
      </c>
      <c r="U54" s="88">
        <v>-1</v>
      </c>
      <c r="V54" s="82">
        <f>R54*U54</f>
        <v>0</v>
      </c>
      <c r="W54" s="84" t="str">
        <f>CONCATENATE("a'(",Q53,")=")</f>
        <v>a'(3)=</v>
      </c>
      <c r="X54" s="84">
        <f>2*X52/12*T55</f>
        <v>0</v>
      </c>
      <c r="Y54" s="84" t="str">
        <f>CONCATENATE("A(",Q52,")=")</f>
        <v>A(2)=</v>
      </c>
      <c r="Z54" s="84">
        <f>VLOOKUP(Q52,STN_TABLE,3,FALSE)</f>
        <v>0</v>
      </c>
      <c r="AA54" t="str">
        <f>CONCATENATE("A(",Q53,")=")</f>
        <v>A(3)=</v>
      </c>
      <c r="AB54">
        <f>X54+Z54</f>
        <v>0</v>
      </c>
      <c r="AC54" s="99">
        <f>AC53+1</f>
        <v>6</v>
      </c>
      <c r="AD54" s="100">
        <f>VLOOKUP(AC54,STN_TABLE_2,2,FALSE)</f>
        <v>3</v>
      </c>
      <c r="AE54" s="82">
        <f>VLOOKUP(AD54,STN_TABLE,2,FALSE)</f>
        <v>0</v>
      </c>
      <c r="AF54" s="82">
        <v>2</v>
      </c>
      <c r="AG54" s="83">
        <f>AE54*AF54</f>
        <v>0</v>
      </c>
      <c r="AH54" s="84" t="str">
        <f>CONCATENATE("a'(",AD54,")=")</f>
        <v>a'(3)=</v>
      </c>
      <c r="AI54" s="84">
        <f>2*AI52/2*AE55</f>
        <v>0</v>
      </c>
      <c r="AJ54" s="84" t="str">
        <f>CONCATENATE("A(",AD53,")=")</f>
        <v>A(2)=</v>
      </c>
      <c r="AK54" s="84">
        <f>VLOOKUP(AD53,STN_TABLE,3,FALSE)</f>
        <v>0</v>
      </c>
      <c r="AL54" t="str">
        <f>CONCATENATE("A(",AD54,")=")</f>
        <v>A(3)=</v>
      </c>
      <c r="AM54">
        <f>AI54+AK54</f>
        <v>0</v>
      </c>
      <c r="AO54" s="68" t="str">
        <f>AA54</f>
        <v>A(3)=</v>
      </c>
      <c r="AP54" s="68" t="e">
        <f>VLOOKUP(AO54,Rise_Results,2,FALSE)</f>
        <v>#N/A</v>
      </c>
      <c r="AQ54" s="76" t="e">
        <f>N54</f>
        <v>#VALUE!</v>
      </c>
      <c r="AR54" s="76" t="e">
        <f>IF(OR(AB54&lt;=0,AB55&lt;=0),1/0,AB54)</f>
        <v>#DIV/0!</v>
      </c>
      <c r="AS54" s="76">
        <f>AM54</f>
        <v>0</v>
      </c>
      <c r="AT54">
        <f>IFERROR(AP54,IFERROR(AQ54,IFERROR(AR54,AS54)))</f>
        <v>0</v>
      </c>
      <c r="AU54" s="81"/>
    </row>
    <row r="55" spans="1:47" x14ac:dyDescent="0.25">
      <c r="A55" s="84">
        <f>A54+1</f>
        <v>6</v>
      </c>
      <c r="B55" s="84">
        <f t="shared" si="11"/>
        <v>3</v>
      </c>
      <c r="F55" s="82">
        <f>SUM(F52:F54)</f>
        <v>0</v>
      </c>
      <c r="H55" s="82">
        <f>SUM(H52:H54)</f>
        <v>0</v>
      </c>
      <c r="I55" s="84" t="str">
        <f>CONCATENATE("m'(",C54,")=")</f>
        <v>m'(3)=</v>
      </c>
      <c r="J55" s="84" t="e">
        <f>2*(J52*(WLS))/3*H55</f>
        <v>#VALUE!</v>
      </c>
      <c r="K55" s="84" t="str">
        <f>CONCATENATE("M(",C52,")=")</f>
        <v>M(1)=</v>
      </c>
      <c r="L55" s="84">
        <f>VLOOKUP(C52,STN_TABLE,4,FALSE)</f>
        <v>0</v>
      </c>
      <c r="M55" t="str">
        <f>CONCATENATE("M(",C54,")=")</f>
        <v>M(3)=</v>
      </c>
      <c r="N55" t="e">
        <f>J55+L55</f>
        <v>#VALUE!</v>
      </c>
      <c r="O55" s="99">
        <f>O54+1</f>
        <v>8</v>
      </c>
      <c r="P55" s="99">
        <f t="shared" si="10"/>
        <v>5</v>
      </c>
      <c r="T55" s="89">
        <f>SUM(T52:T54)</f>
        <v>0</v>
      </c>
      <c r="V55" s="82">
        <f>SUM(V52:V54)</f>
        <v>0</v>
      </c>
      <c r="W55" s="84" t="str">
        <f>CONCATENATE("m'(",Q53,")=")</f>
        <v>m'(3)=</v>
      </c>
      <c r="X55" s="84">
        <f>(2*(X52^2)/24*V55)+(X54*Q52*WLS)</f>
        <v>0</v>
      </c>
      <c r="Y55" s="84" t="str">
        <f>CONCATENATE("M(",Q52,")=")</f>
        <v>M(2)=</v>
      </c>
      <c r="Z55" s="84">
        <f>VLOOKUP(Q52,STN_TABLE,4,FALSE)</f>
        <v>0</v>
      </c>
      <c r="AA55" t="str">
        <f>CONCATENATE("M(",Q53,")=")</f>
        <v>M(3)=</v>
      </c>
      <c r="AB55">
        <f>X55+Z55</f>
        <v>0</v>
      </c>
      <c r="AE55" s="89">
        <f>SUM(AE53:AE54)</f>
        <v>0</v>
      </c>
      <c r="AG55" s="89">
        <f>SUM(AG53:AG54)</f>
        <v>0</v>
      </c>
      <c r="AH55" s="84" t="str">
        <f>CONCATENATE("m'(",AD54,")=")</f>
        <v>m'(3)=</v>
      </c>
      <c r="AI55" s="84">
        <f>(2*(AI52^2)/6*AG55)+(AI54*AD53*WLS)</f>
        <v>0</v>
      </c>
      <c r="AJ55" s="84" t="str">
        <f>CONCATENATE("M(",AD53,")=")</f>
        <v>M(2)=</v>
      </c>
      <c r="AK55" s="84">
        <f>VLOOKUP(AD53,STN_TABLE,4,FALSE)</f>
        <v>0</v>
      </c>
      <c r="AL55" t="str">
        <f>CONCATENATE("M(",AD54,")=")</f>
        <v>M(3)=</v>
      </c>
      <c r="AM55">
        <f>AI55+AK55</f>
        <v>0</v>
      </c>
      <c r="AO55" s="82" t="str">
        <f>AA55</f>
        <v>M(3)=</v>
      </c>
      <c r="AP55" s="82" t="e">
        <f>VLOOKUP(AO55,Rise_Results,2,FALSE)</f>
        <v>#N/A</v>
      </c>
      <c r="AQ55" s="82" t="e">
        <f>N55</f>
        <v>#VALUE!</v>
      </c>
      <c r="AR55" s="82" t="e">
        <f>IF(OR(AB54&lt;=0,AB55&lt;=0),1/0,AB55)</f>
        <v>#DIV/0!</v>
      </c>
      <c r="AS55" s="82">
        <f>AM55</f>
        <v>0</v>
      </c>
      <c r="AT55">
        <f>IFERROR(AP55,IFERROR(AQ55,IFERROR(AR55,AS55)))</f>
        <v>0</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0</v>
      </c>
      <c r="E57" s="102">
        <v>1</v>
      </c>
      <c r="F57" s="68">
        <f>D57*E57</f>
        <v>0</v>
      </c>
      <c r="G57" s="69">
        <f>C57</f>
        <v>2</v>
      </c>
      <c r="H57" s="69">
        <f>F57*G57</f>
        <v>0</v>
      </c>
      <c r="I57" s="6" t="s">
        <v>93</v>
      </c>
      <c r="J57" s="70" t="str">
        <f>IF(OR(D57=0,D58=0,D59=0),"#NA",IF(AND(C59-C58=C58-C57,C58&lt;&gt;C59,C57&lt;&gt;C58,C57&lt;&gt;C59,D59&lt;&gt;0,OR(D57&lt;&gt;0,D58&lt;&gt;0)),WLS*(C59-C58),"#NA"))</f>
        <v>#NA</v>
      </c>
      <c r="O57" s="99">
        <f>O56+1</f>
        <v>6</v>
      </c>
      <c r="P57" s="99">
        <f t="shared" si="10"/>
        <v>3</v>
      </c>
      <c r="Q57" s="68">
        <f>IF(OR(P59-P58=P58-P57,P60-P58=P58-P57),P57,IF(OR(P59-P58=P58-P56,P60-P58=P58-P56),P56,"-"))</f>
        <v>3</v>
      </c>
      <c r="R57" s="69">
        <f>VLOOKUP(Q57,STN_TABLE,2,FALSE)</f>
        <v>0</v>
      </c>
      <c r="S57" s="69">
        <v>5</v>
      </c>
      <c r="T57" s="68">
        <f>R57*S57</f>
        <v>0</v>
      </c>
      <c r="U57" s="79">
        <v>3</v>
      </c>
      <c r="V57" s="68">
        <f>R57*U57</f>
        <v>0</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0</v>
      </c>
      <c r="E58" s="81">
        <v>4</v>
      </c>
      <c r="F58" s="76">
        <f>D58*E58</f>
        <v>0</v>
      </c>
      <c r="G58" s="77">
        <f>C58</f>
        <v>3</v>
      </c>
      <c r="H58" s="77">
        <f>F58*G58</f>
        <v>0</v>
      </c>
      <c r="I58" s="512" t="s">
        <v>97</v>
      </c>
      <c r="J58" s="513"/>
      <c r="K58" s="78" t="s">
        <v>98</v>
      </c>
      <c r="L58" s="78"/>
      <c r="M58" s="7" t="s">
        <v>99</v>
      </c>
      <c r="N58" s="7"/>
      <c r="O58" s="99">
        <f>O57+1</f>
        <v>7</v>
      </c>
      <c r="P58" s="99">
        <f t="shared" si="10"/>
        <v>4</v>
      </c>
      <c r="Q58" s="76">
        <f>P58</f>
        <v>4</v>
      </c>
      <c r="R58" s="77">
        <f>VLOOKUP(Q58,STN_TABLE,2,FALSE)</f>
        <v>0</v>
      </c>
      <c r="S58" s="77">
        <v>8</v>
      </c>
      <c r="T58" s="76">
        <f>R58*S58</f>
        <v>0</v>
      </c>
      <c r="U58" s="80">
        <v>10</v>
      </c>
      <c r="V58" s="76">
        <f>R58*U58</f>
        <v>0</v>
      </c>
      <c r="W58" s="78" t="s">
        <v>97</v>
      </c>
      <c r="X58" s="78"/>
      <c r="Y58" s="78" t="s">
        <v>98</v>
      </c>
      <c r="Z58" s="78"/>
      <c r="AA58" s="7" t="s">
        <v>99</v>
      </c>
      <c r="AB58" s="7"/>
      <c r="AC58" s="99">
        <f>AC53+1</f>
        <v>6</v>
      </c>
      <c r="AD58" s="95">
        <f>VLOOKUP(AC58,STN_TABLE_2,2,FALSE)</f>
        <v>3</v>
      </c>
      <c r="AE58" s="68">
        <f>VLOOKUP(AD58,STN_TABLE,2,FALSE)</f>
        <v>0</v>
      </c>
      <c r="AF58" s="68">
        <v>1</v>
      </c>
      <c r="AG58" s="69">
        <f>AE58*AF58</f>
        <v>0</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0</v>
      </c>
      <c r="E59" s="92">
        <v>1</v>
      </c>
      <c r="F59" s="82">
        <f>D59*E59</f>
        <v>0</v>
      </c>
      <c r="G59" s="83">
        <f>C59</f>
        <v>4</v>
      </c>
      <c r="H59" s="83">
        <f>F59*G59</f>
        <v>0</v>
      </c>
      <c r="I59" s="84" t="str">
        <f>CONCATENATE("a'(",C59,")=")</f>
        <v>a'(4)=</v>
      </c>
      <c r="J59" s="84" t="e">
        <f>2*J57/3*F60</f>
        <v>#VALUE!</v>
      </c>
      <c r="K59" s="84" t="str">
        <f>CONCATENATE("A(",C57,")=")</f>
        <v>A(2)=</v>
      </c>
      <c r="L59" s="84">
        <f>VLOOKUP(C57,STN_TABLE,3,FALSE)</f>
        <v>0</v>
      </c>
      <c r="M59" t="str">
        <f>CONCATENATE("A(",C59,")=")</f>
        <v>A(4)=</v>
      </c>
      <c r="N59" t="e">
        <f>J59+L59</f>
        <v>#VALUE!</v>
      </c>
      <c r="O59" s="99">
        <f>O58+1</f>
        <v>8</v>
      </c>
      <c r="P59" s="99">
        <f t="shared" si="10"/>
        <v>5</v>
      </c>
      <c r="Q59" s="82">
        <f>IF(P59-P58=P58-P57,P59,IF(P60-P58=P58-P57,P60,IF(P59-P58=P58-P56,P59,IF(P60-P58=P58-P56,P60,"-"))))</f>
        <v>5</v>
      </c>
      <c r="R59" s="83">
        <f>VLOOKUP(Q59,STN_TABLE,2,FALSE)</f>
        <v>6.12</v>
      </c>
      <c r="S59" s="83">
        <v>-1</v>
      </c>
      <c r="T59" s="82">
        <f>R59*S59</f>
        <v>-6.12</v>
      </c>
      <c r="U59" s="88">
        <v>-1</v>
      </c>
      <c r="V59" s="82">
        <f>R59*U59</f>
        <v>-6.12</v>
      </c>
      <c r="W59" s="84" t="str">
        <f>CONCATENATE("a'(",Q58,")=")</f>
        <v>a'(4)=</v>
      </c>
      <c r="X59" s="84">
        <f>2*X57/12*T60</f>
        <v>-1.8359999999999999</v>
      </c>
      <c r="Y59" s="84" t="str">
        <f>CONCATENATE("A(",Q57,")=")</f>
        <v>A(3)=</v>
      </c>
      <c r="Z59" s="84">
        <f>VLOOKUP(Q57,STN_TABLE,3,FALSE)</f>
        <v>0</v>
      </c>
      <c r="AA59" t="str">
        <f>CONCATENATE("A(",Q58,")=")</f>
        <v>A(4)=</v>
      </c>
      <c r="AB59">
        <f>X59+Z59</f>
        <v>-1.8359999999999999</v>
      </c>
      <c r="AC59" s="99">
        <f>AC58+1</f>
        <v>7</v>
      </c>
      <c r="AD59" s="100">
        <f>VLOOKUP(AC59,STN_TABLE_2,2,FALSE)</f>
        <v>4</v>
      </c>
      <c r="AE59" s="82">
        <f>VLOOKUP(AD59,STN_TABLE,2,FALSE)</f>
        <v>0</v>
      </c>
      <c r="AF59" s="82">
        <v>2</v>
      </c>
      <c r="AG59" s="83">
        <f>AE59*AF59</f>
        <v>0</v>
      </c>
      <c r="AH59" s="84" t="str">
        <f>CONCATENATE("a'(",AD59,")=")</f>
        <v>a'(4)=</v>
      </c>
      <c r="AI59" s="84">
        <f>2*AI57/2*AE60</f>
        <v>0</v>
      </c>
      <c r="AJ59" s="84" t="str">
        <f>CONCATENATE("A(",AD58,")=")</f>
        <v>A(3)=</v>
      </c>
      <c r="AK59" s="84">
        <f>VLOOKUP(AD58,STN_TABLE,3,FALSE)</f>
        <v>0</v>
      </c>
      <c r="AL59" t="str">
        <f>CONCATENATE("A(",AD59,")=")</f>
        <v>A(4)=</v>
      </c>
      <c r="AM59">
        <f>AI59+AK59</f>
        <v>0</v>
      </c>
      <c r="AO59" s="68" t="str">
        <f>AA59</f>
        <v>A(4)=</v>
      </c>
      <c r="AP59" s="68" t="e">
        <f>VLOOKUP(AO59,Rise_Results,2,FALSE)</f>
        <v>#N/A</v>
      </c>
      <c r="AQ59" s="76" t="e">
        <f>N59</f>
        <v>#VALUE!</v>
      </c>
      <c r="AR59" s="76" t="e">
        <f>IF(OR(AB59&lt;=0,AB60&lt;=0),1/0,AB59)</f>
        <v>#DIV/0!</v>
      </c>
      <c r="AS59" s="76">
        <f>AM59</f>
        <v>0</v>
      </c>
      <c r="AT59">
        <f>IFERROR(AP59,IFERROR(AQ59,IFERROR(AR59,AS59)))</f>
        <v>0</v>
      </c>
      <c r="AU59" s="81"/>
    </row>
    <row r="60" spans="1:47" x14ac:dyDescent="0.25">
      <c r="A60" s="84">
        <f>A59+1</f>
        <v>7</v>
      </c>
      <c r="B60" s="84">
        <f t="shared" si="11"/>
        <v>4</v>
      </c>
      <c r="F60" s="82">
        <f>SUM(F57:F59)</f>
        <v>0</v>
      </c>
      <c r="H60" s="82">
        <f>SUM(H57:H59)</f>
        <v>0</v>
      </c>
      <c r="I60" s="84" t="str">
        <f>CONCATENATE("m'(",C59,")=")</f>
        <v>m'(4)=</v>
      </c>
      <c r="J60" s="84" t="e">
        <f>2*(J57*(WLS))/3*H60</f>
        <v>#VALUE!</v>
      </c>
      <c r="K60" s="84" t="str">
        <f>CONCATENATE("M(",C57,")=")</f>
        <v>M(2)=</v>
      </c>
      <c r="L60" s="84">
        <f>VLOOKUP(C57,STN_TABLE,4,FALSE)</f>
        <v>0</v>
      </c>
      <c r="M60" t="str">
        <f>CONCATENATE("M(",C59,")=")</f>
        <v>M(4)=</v>
      </c>
      <c r="N60" t="e">
        <f>J60+L60</f>
        <v>#VALUE!</v>
      </c>
      <c r="O60" s="99">
        <f>O59+1</f>
        <v>9</v>
      </c>
      <c r="P60" s="99">
        <f t="shared" si="10"/>
        <v>5.6111111111111107</v>
      </c>
      <c r="T60" s="89">
        <f>SUM(T57:T59)</f>
        <v>-6.12</v>
      </c>
      <c r="V60" s="82">
        <f>SUM(V57:V59)</f>
        <v>-6.12</v>
      </c>
      <c r="W60" s="84" t="str">
        <f>CONCATENATE("m'(",Q58,")=")</f>
        <v>m'(4)=</v>
      </c>
      <c r="X60" s="84">
        <f>(2*(X57^2)/24*V60)+(X59*Q57*WLS)</f>
        <v>-11.566799999999999</v>
      </c>
      <c r="Y60" s="84" t="str">
        <f>CONCATENATE("M(",Q57,")=")</f>
        <v>M(3)=</v>
      </c>
      <c r="Z60" s="84">
        <f>VLOOKUP(Q57,STN_TABLE,4,FALSE)</f>
        <v>0</v>
      </c>
      <c r="AA60" t="str">
        <f>CONCATENATE("M(",Q58,")=")</f>
        <v>M(4)=</v>
      </c>
      <c r="AB60">
        <f>X60+Z60</f>
        <v>-11.566799999999999</v>
      </c>
      <c r="AE60" s="89">
        <f>SUM(AE58:AE59)</f>
        <v>0</v>
      </c>
      <c r="AG60" s="89">
        <f>SUM(AG58:AG59)</f>
        <v>0</v>
      </c>
      <c r="AH60" s="84" t="str">
        <f>CONCATENATE("m'(",AD59,")=")</f>
        <v>m'(4)=</v>
      </c>
      <c r="AI60" s="84">
        <f>(2*(AI57^2)/6*AG60)+(AI59*AD58*WLS)</f>
        <v>0</v>
      </c>
      <c r="AJ60" s="84" t="str">
        <f>CONCATENATE("M(",AD58,")=")</f>
        <v>M(3)=</v>
      </c>
      <c r="AK60" s="84">
        <f>VLOOKUP(AD57,STN_TABLE,4,FALSE)</f>
        <v>0</v>
      </c>
      <c r="AL60" t="str">
        <f>CONCATENATE("M(",AD59,")=")</f>
        <v>M(4)=</v>
      </c>
      <c r="AM60">
        <f>AI60+AK60</f>
        <v>0</v>
      </c>
      <c r="AO60" s="82" t="str">
        <f>AA60</f>
        <v>M(4)=</v>
      </c>
      <c r="AP60" s="82" t="e">
        <f>VLOOKUP(AO60,Rise_Results,2,FALSE)</f>
        <v>#N/A</v>
      </c>
      <c r="AQ60" s="82" t="e">
        <f>N60</f>
        <v>#VALUE!</v>
      </c>
      <c r="AR60" s="82" t="e">
        <f>IF(OR(AB59&lt;=0,AB60&lt;=0),1/0,AB60)</f>
        <v>#DIV/0!</v>
      </c>
      <c r="AS60" s="82">
        <f>AM60</f>
        <v>0</v>
      </c>
      <c r="AT60">
        <f>IFERROR(AP60,IFERROR(AQ60,IFERROR(AR60,AS60)))</f>
        <v>0</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0</v>
      </c>
      <c r="E62" s="102">
        <v>1</v>
      </c>
      <c r="F62" s="68">
        <f>D62*E62</f>
        <v>0</v>
      </c>
      <c r="G62" s="69">
        <f>C62</f>
        <v>3</v>
      </c>
      <c r="H62" s="69">
        <f>F62*G62</f>
        <v>0</v>
      </c>
      <c r="I62" s="6" t="s">
        <v>93</v>
      </c>
      <c r="J62" s="70" t="str">
        <f>IF(OR(D62=0,D63=0,D64=0),"#NA",IF(AND(C64-C63=C63-C62,C63&lt;&gt;C64,C62&lt;&gt;C63,C62&lt;&gt;C64,D64&lt;&gt;0,OR(D62&lt;&gt;0,D63&lt;&gt;0)),WLS*(C64-C63),"#NA"))</f>
        <v>#NA</v>
      </c>
      <c r="O62" s="99">
        <f>O61+1</f>
        <v>7</v>
      </c>
      <c r="P62" s="99">
        <f t="shared" si="10"/>
        <v>4</v>
      </c>
      <c r="Q62" s="68">
        <f>IF(OR(P64-P63=P63-P62,P65-P63=P63-P62),P62,IF(OR(P64-P63=P63-P61,P65-P63=P63-P61),P61,"-"))</f>
        <v>4</v>
      </c>
      <c r="R62" s="69">
        <f>VLOOKUP(Q62,STN_TABLE,2,FALSE)</f>
        <v>0</v>
      </c>
      <c r="S62" s="69">
        <v>5</v>
      </c>
      <c r="T62" s="68">
        <f>R62*S62</f>
        <v>0</v>
      </c>
      <c r="U62" s="79">
        <v>3</v>
      </c>
      <c r="V62" s="68">
        <f>R62*U62</f>
        <v>0</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0</v>
      </c>
      <c r="E63" s="81">
        <v>4</v>
      </c>
      <c r="F63" s="76">
        <f>D63*E63</f>
        <v>0</v>
      </c>
      <c r="G63" s="77">
        <f>C63</f>
        <v>4</v>
      </c>
      <c r="H63" s="77">
        <f>F63*G63</f>
        <v>0</v>
      </c>
      <c r="I63" s="512" t="s">
        <v>97</v>
      </c>
      <c r="J63" s="513"/>
      <c r="K63" s="78" t="s">
        <v>98</v>
      </c>
      <c r="L63" s="78"/>
      <c r="M63" s="7" t="s">
        <v>99</v>
      </c>
      <c r="N63" s="7"/>
      <c r="O63" s="99">
        <f>O62+1</f>
        <v>8</v>
      </c>
      <c r="P63" s="99">
        <f t="shared" si="10"/>
        <v>5</v>
      </c>
      <c r="Q63" s="76">
        <f>P63</f>
        <v>5</v>
      </c>
      <c r="R63" s="77">
        <f>VLOOKUP(Q63,STN_TABLE,2,FALSE)</f>
        <v>6.12</v>
      </c>
      <c r="S63" s="77">
        <v>8</v>
      </c>
      <c r="T63" s="76">
        <f>R63*S63</f>
        <v>48.96</v>
      </c>
      <c r="U63" s="80">
        <v>10</v>
      </c>
      <c r="V63" s="76">
        <f>R63*U63</f>
        <v>61.2</v>
      </c>
      <c r="W63" s="513" t="s">
        <v>97</v>
      </c>
      <c r="X63" s="513"/>
      <c r="Y63" s="513" t="s">
        <v>98</v>
      </c>
      <c r="Z63" s="513"/>
      <c r="AA63" s="511" t="s">
        <v>99</v>
      </c>
      <c r="AB63" s="511"/>
      <c r="AC63" s="99">
        <f>AC58+1</f>
        <v>7</v>
      </c>
      <c r="AD63" s="95">
        <f>VLOOKUP(AC63,STN_TABLE_2,2,FALSE)</f>
        <v>4</v>
      </c>
      <c r="AE63" s="68">
        <f>VLOOKUP(AD63,STN_TABLE,2,FALSE)</f>
        <v>0</v>
      </c>
      <c r="AF63" s="68">
        <v>1</v>
      </c>
      <c r="AG63" s="69">
        <f>AE63*AF63</f>
        <v>0</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6.12</v>
      </c>
      <c r="E64" s="92">
        <v>1</v>
      </c>
      <c r="F64" s="82">
        <f>D64*E64</f>
        <v>6.12</v>
      </c>
      <c r="G64" s="83">
        <f>C64</f>
        <v>5</v>
      </c>
      <c r="H64" s="83">
        <f>F64*G64</f>
        <v>30.6</v>
      </c>
      <c r="I64" s="84" t="str">
        <f>CONCATENATE("a'(",C64,")=")</f>
        <v>a'(5)=</v>
      </c>
      <c r="J64" s="84" t="e">
        <f>2*J62/3*F65</f>
        <v>#VALUE!</v>
      </c>
      <c r="K64" s="84" t="str">
        <f>CONCATENATE("A(",C62,")=")</f>
        <v>A(3)=</v>
      </c>
      <c r="L64" s="84">
        <f>VLOOKUP(C62,STN_TABLE,3,FALSE)</f>
        <v>0</v>
      </c>
      <c r="M64" t="str">
        <f>CONCATENATE("A(",C64,")=")</f>
        <v>A(5)=</v>
      </c>
      <c r="N64" t="e">
        <f>J64+L64</f>
        <v>#VALUE!</v>
      </c>
      <c r="O64" s="99">
        <f>O63+1</f>
        <v>9</v>
      </c>
      <c r="P64" s="99">
        <f t="shared" si="10"/>
        <v>5.6111111111111107</v>
      </c>
      <c r="Q64" s="82">
        <f>IF(P64-P63=P63-P62,P64,IF(P65-P63=P63-P62,P65,IF(P64-P63=P63-P61,P64,IF(P65-P63=P63-P61,P65,"-"))))</f>
        <v>6</v>
      </c>
      <c r="R64" s="83">
        <f>VLOOKUP(Q64,STN_TABLE,2,FALSE)</f>
        <v>9.84</v>
      </c>
      <c r="S64" s="83">
        <v>-1</v>
      </c>
      <c r="T64" s="82">
        <f>R64*S64</f>
        <v>-9.84</v>
      </c>
      <c r="U64" s="88">
        <v>-1</v>
      </c>
      <c r="V64" s="82">
        <f>R64*U64</f>
        <v>-9.84</v>
      </c>
      <c r="W64" s="84" t="str">
        <f>CONCATENATE("a'(",Q63,")=")</f>
        <v>a'(5)=</v>
      </c>
      <c r="X64" s="84">
        <f>2*X62/12*T65</f>
        <v>11.736000000000001</v>
      </c>
      <c r="Y64" s="84" t="str">
        <f>CONCATENATE("A(",Q62,")=")</f>
        <v>A(4)=</v>
      </c>
      <c r="Z64" s="84">
        <f>VLOOKUP(Q62,STN_TABLE,3,FALSE)</f>
        <v>0</v>
      </c>
      <c r="AA64" t="str">
        <f>CONCATENATE("A(",Q63,")=")</f>
        <v>A(5)=</v>
      </c>
      <c r="AB64">
        <f>X64+Z64</f>
        <v>11.736000000000001</v>
      </c>
      <c r="AC64" s="99">
        <f>AC63+1</f>
        <v>8</v>
      </c>
      <c r="AD64" s="100">
        <f>VLOOKUP(AC64,STN_TABLE_2,2,FALSE)</f>
        <v>5</v>
      </c>
      <c r="AE64" s="82">
        <f>VLOOKUP(AD64,STN_TABLE,2,FALSE)</f>
        <v>6.12</v>
      </c>
      <c r="AF64" s="82">
        <v>2</v>
      </c>
      <c r="AG64" s="83">
        <f>AE64*AF64</f>
        <v>12.24</v>
      </c>
      <c r="AH64" s="84" t="str">
        <f>CONCATENATE("a'(",AD64,")=")</f>
        <v>a'(5)=</v>
      </c>
      <c r="AI64" s="84">
        <f>2*AI62/2*AE65</f>
        <v>11.016</v>
      </c>
      <c r="AJ64" s="84" t="str">
        <f>CONCATENATE("A(",AD63,")=")</f>
        <v>A(4)=</v>
      </c>
      <c r="AK64" s="84">
        <f>VLOOKUP(AD63,STN_TABLE,3,FALSE)</f>
        <v>0</v>
      </c>
      <c r="AL64" t="str">
        <f>CONCATENATE("A(",AD64,")=")</f>
        <v>A(5)=</v>
      </c>
      <c r="AM64">
        <f>AI64+AK64</f>
        <v>11.016</v>
      </c>
      <c r="AO64" s="68" t="str">
        <f>AA64</f>
        <v>A(5)=</v>
      </c>
      <c r="AP64" s="68">
        <f>VLOOKUP(AO64,Rise_Results,2,FALSE)</f>
        <v>7.3440000000000039</v>
      </c>
      <c r="AQ64" s="76" t="e">
        <f>N64</f>
        <v>#VALUE!</v>
      </c>
      <c r="AR64" s="76">
        <f>IF(OR(AB64&lt;=0,AB65&lt;=0),1/0,AB64)</f>
        <v>11.736000000000001</v>
      </c>
      <c r="AS64" s="76">
        <f>AM64</f>
        <v>11.016</v>
      </c>
      <c r="AT64">
        <f>IFERROR(AP64,IFERROR(AQ64,IFERROR(AR64,AS64)))</f>
        <v>7.3440000000000039</v>
      </c>
      <c r="AU64" s="81"/>
    </row>
    <row r="65" spans="1:47" x14ac:dyDescent="0.25">
      <c r="A65" s="84">
        <f>A64+1</f>
        <v>8</v>
      </c>
      <c r="B65" s="84">
        <f t="shared" si="11"/>
        <v>5</v>
      </c>
      <c r="F65" s="82">
        <f>SUM(F62:F64)</f>
        <v>6.12</v>
      </c>
      <c r="H65" s="82">
        <f>SUM(H62:H64)</f>
        <v>30.6</v>
      </c>
      <c r="I65" s="84" t="str">
        <f>CONCATENATE("m'(",C64,")=")</f>
        <v>m'(5)=</v>
      </c>
      <c r="J65" s="84" t="e">
        <f>2*(J62*(WLS))/3*H65</f>
        <v>#VALUE!</v>
      </c>
      <c r="K65" s="84" t="str">
        <f>CONCATENATE("M(",C62,")=")</f>
        <v>M(3)=</v>
      </c>
      <c r="L65" s="84">
        <f>VLOOKUP(C62,STN_TABLE,4,FALSE)</f>
        <v>0</v>
      </c>
      <c r="M65" t="str">
        <f>CONCATENATE("M(",C64,")=")</f>
        <v>M(5)=</v>
      </c>
      <c r="N65" t="e">
        <f>J65+L65</f>
        <v>#VALUE!</v>
      </c>
      <c r="O65" s="99">
        <f>O64+1</f>
        <v>10</v>
      </c>
      <c r="P65" s="99">
        <f t="shared" si="10"/>
        <v>6</v>
      </c>
      <c r="T65" s="89">
        <f>SUM(T62:T64)</f>
        <v>39.120000000000005</v>
      </c>
      <c r="V65" s="82">
        <f>SUM(V62:V64)</f>
        <v>51.36</v>
      </c>
      <c r="W65" s="84" t="str">
        <f>CONCATENATE("m'(",Q63,")=")</f>
        <v>m'(5)=</v>
      </c>
      <c r="X65" s="84">
        <f>(2*(X62^2)/24*V65)+(X64*Q62*WLS)</f>
        <v>98.366399999999999</v>
      </c>
      <c r="Y65" s="84" t="str">
        <f>CONCATENATE("M(",Q62,")=")</f>
        <v>M(4)=</v>
      </c>
      <c r="Z65" s="84">
        <f>VLOOKUP(Q62,STN_TABLE,4,FALSE)</f>
        <v>0</v>
      </c>
      <c r="AA65" t="str">
        <f>CONCATENATE("M(",Q63,")=")</f>
        <v>M(5)=</v>
      </c>
      <c r="AB65">
        <f>X65+Z65</f>
        <v>98.366399999999999</v>
      </c>
      <c r="AE65" s="89">
        <f>SUM(AE63:AE64)</f>
        <v>6.12</v>
      </c>
      <c r="AG65" s="89">
        <f>SUM(AG63:AG64)</f>
        <v>12.24</v>
      </c>
      <c r="AH65" s="84" t="str">
        <f>CONCATENATE("m'(",AD64,")=")</f>
        <v>m'(5)=</v>
      </c>
      <c r="AI65" s="84">
        <f>(2*(AI62^2)/6*AG65)+(AI64*AD63*WLS)</f>
        <v>92.534400000000005</v>
      </c>
      <c r="AJ65" s="84" t="str">
        <f>CONCATENATE("M(",AD63,")=")</f>
        <v>M(4)=</v>
      </c>
      <c r="AK65" s="84">
        <f>VLOOKUP(AD63,STN_TABLE,4,FALSE)</f>
        <v>0</v>
      </c>
      <c r="AL65" t="str">
        <f>CONCATENATE("M(",AD64,")=")</f>
        <v>M(5)=</v>
      </c>
      <c r="AM65">
        <f>AI65+AK65</f>
        <v>92.534400000000005</v>
      </c>
      <c r="AO65" s="82" t="str">
        <f>AA65</f>
        <v>M(5)=</v>
      </c>
      <c r="AP65" s="82">
        <f>VLOOKUP(AO65,Rise_Results,2,FALSE)</f>
        <v>63.158400000000036</v>
      </c>
      <c r="AQ65" s="82" t="e">
        <f>N65</f>
        <v>#VALUE!</v>
      </c>
      <c r="AR65" s="82">
        <f>IF(OR(AB64&lt;=0,AB65&lt;=0),1/0,AB65)</f>
        <v>98.366399999999999</v>
      </c>
      <c r="AS65" s="82">
        <f>AM65</f>
        <v>92.534400000000005</v>
      </c>
      <c r="AT65">
        <f>IFERROR(AP65,IFERROR(AQ65,IFERROR(AR65,AS65)))</f>
        <v>63.158400000000036</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8.8000000000000007</v>
      </c>
      <c r="S68" s="77">
        <v>8</v>
      </c>
      <c r="T68" s="76">
        <f>R68*S68</f>
        <v>70.400000000000006</v>
      </c>
      <c r="U68" s="80">
        <v>10</v>
      </c>
      <c r="V68" s="76">
        <f>R68*U68</f>
        <v>88</v>
      </c>
      <c r="W68" s="513" t="s">
        <v>97</v>
      </c>
      <c r="X68" s="513"/>
      <c r="Y68" s="513" t="s">
        <v>98</v>
      </c>
      <c r="Z68" s="513"/>
      <c r="AA68" s="511" t="s">
        <v>99</v>
      </c>
      <c r="AB68" s="511"/>
      <c r="AC68" s="99">
        <f>AC63+1</f>
        <v>8</v>
      </c>
      <c r="AD68" s="95">
        <f>VLOOKUP(AC68,STN_TABLE_2,2,FALSE)</f>
        <v>5</v>
      </c>
      <c r="AE68" s="68">
        <f>VLOOKUP(AD68,STN_TABLE,2,FALSE)</f>
        <v>6.12</v>
      </c>
      <c r="AF68" s="68">
        <v>1</v>
      </c>
      <c r="AG68" s="69">
        <f>AE68*AF68</f>
        <v>6.12</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8.8000000000000007</v>
      </c>
      <c r="E69" s="92">
        <v>1</v>
      </c>
      <c r="F69" s="82">
        <f>D69*E69</f>
        <v>8.8000000000000007</v>
      </c>
      <c r="G69" s="83">
        <f>C69</f>
        <v>5.6111111111111107</v>
      </c>
      <c r="H69" s="83">
        <f>F69*G69</f>
        <v>49.37777777777778</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8.8000000000000007</v>
      </c>
      <c r="AF69" s="82">
        <v>2</v>
      </c>
      <c r="AG69" s="83">
        <f>AE69*AF69</f>
        <v>17.600000000000001</v>
      </c>
      <c r="AH69" s="84" t="str">
        <f>CONCATENATE("a'(",AD69,")=")</f>
        <v>a'(5.61111111111111)=</v>
      </c>
      <c r="AI69" s="84">
        <f>2*AI67/2*AE70</f>
        <v>16.411999999999992</v>
      </c>
      <c r="AJ69" s="84" t="str">
        <f>CONCATENATE("A(",AD68,")=")</f>
        <v>A(5)=</v>
      </c>
      <c r="AK69" s="84">
        <f>VLOOKUP(AD68,STN_TABLE,3,FALSE)</f>
        <v>7.3440000000000039</v>
      </c>
      <c r="AL69" t="str">
        <f>CONCATENATE("A(",AD69,")=")</f>
        <v>A(5.61111111111111)=</v>
      </c>
      <c r="AM69">
        <f>AI69+AK69</f>
        <v>23.755999999999997</v>
      </c>
      <c r="AO69" s="68" t="str">
        <f>AA69</f>
        <v>A(5.61111111111111)=</v>
      </c>
      <c r="AP69" s="68">
        <f>VLOOKUP(AO69,Rise_Results,2,FALSE)</f>
        <v>23.755999999999997</v>
      </c>
      <c r="AQ69" s="76" t="e">
        <f>N69</f>
        <v>#N/A</v>
      </c>
      <c r="AR69" s="76" t="e">
        <f>IF(OR(AB69&lt;=0,AB70&lt;=0),1/0,AB69)</f>
        <v>#VALUE!</v>
      </c>
      <c r="AS69" s="76">
        <f>AM69</f>
        <v>23.755999999999997</v>
      </c>
      <c r="AT69">
        <f>IFERROR(AP69,IFERROR(AQ69,IFERROR(AR69,AS69)))</f>
        <v>23.755999999999997</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14.920000000000002</v>
      </c>
      <c r="AG70" s="89">
        <f>SUM(AG68:AG69)</f>
        <v>23.720000000000002</v>
      </c>
      <c r="AH70" s="84" t="str">
        <f>CONCATENATE("m'(",AD69,")=")</f>
        <v>m'(5.61111111111111)=</v>
      </c>
      <c r="AI70" s="84">
        <f>(2*(AI67^2)/6*AG70)+(AI69*AD68*WLS)</f>
        <v>157.27506666666659</v>
      </c>
      <c r="AJ70" s="84" t="str">
        <f>CONCATENATE("M(",AD68,")=")</f>
        <v>M(5)=</v>
      </c>
      <c r="AK70" s="84">
        <f>VLOOKUP(AD68,STN_TABLE,4,FALSE)</f>
        <v>63.158400000000036</v>
      </c>
      <c r="AL70" t="str">
        <f>CONCATENATE("M(",AD69,")=")</f>
        <v>M(5.61111111111111)=</v>
      </c>
      <c r="AM70">
        <f>AI70+AK70</f>
        <v>220.43346666666662</v>
      </c>
      <c r="AO70" s="82" t="str">
        <f>AA70</f>
        <v>M(5.61111111111111)=</v>
      </c>
      <c r="AP70" s="82">
        <f>VLOOKUP(AO70,Rise_Results,2,FALSE)</f>
        <v>220.43346666666662</v>
      </c>
      <c r="AQ70" s="82" t="e">
        <f>N70</f>
        <v>#N/A</v>
      </c>
      <c r="AR70" s="82" t="e">
        <f>IF(OR(AB69&lt;=0,AB70&lt;=0),1/0,AB70)</f>
        <v>#VALUE!</v>
      </c>
      <c r="AS70" s="82">
        <f>AM70</f>
        <v>220.43346666666662</v>
      </c>
      <c r="AT70">
        <f>IFERROR(AP70,IFERROR(AQ70,IFERROR(AR70,AS70)))</f>
        <v>220.43346666666662</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0</v>
      </c>
      <c r="E72" s="102">
        <v>1</v>
      </c>
      <c r="F72" s="68">
        <f>D72*E72</f>
        <v>0</v>
      </c>
      <c r="G72" s="69">
        <f>C72</f>
        <v>4</v>
      </c>
      <c r="H72" s="69">
        <f>F72*G72</f>
        <v>0</v>
      </c>
      <c r="I72" s="6" t="s">
        <v>93</v>
      </c>
      <c r="J72" s="70" t="str">
        <f>IF(OR(D72=0,D73=0,D74=0),"#NA",IF(AND(C74-C73=C73-C72,C73&lt;&gt;C74,C72&lt;&gt;C73,C72&lt;&gt;C74,D74&lt;&gt;0,OR(D72&lt;&gt;0,D73&lt;&gt;0)),WLS*(C74-C73),"#NA"))</f>
        <v>#NA</v>
      </c>
      <c r="O72" s="99">
        <f>O71+1</f>
        <v>9</v>
      </c>
      <c r="P72" s="99">
        <f t="shared" si="23"/>
        <v>5.6111111111111107</v>
      </c>
      <c r="Q72" s="68">
        <f>IF(OR(P74-P73=P73-P72,P75-P73=P73-P72),P72,IF(OR(P74-P73=P73-P71,P75-P73=P73-P71),P71,"-"))</f>
        <v>5</v>
      </c>
      <c r="R72" s="69">
        <f>VLOOKUP(Q72,STN_TABLE,2,FALSE)</f>
        <v>6.12</v>
      </c>
      <c r="S72" s="69">
        <v>5</v>
      </c>
      <c r="T72" s="68">
        <f>R72*S72</f>
        <v>30.6</v>
      </c>
      <c r="U72" s="79">
        <v>3</v>
      </c>
      <c r="V72" s="68">
        <f>R72*U72</f>
        <v>18.36</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6.12</v>
      </c>
      <c r="E73" s="81">
        <v>4</v>
      </c>
      <c r="F73" s="76">
        <f>D73*E73</f>
        <v>24.48</v>
      </c>
      <c r="G73" s="77">
        <f>C73</f>
        <v>5</v>
      </c>
      <c r="H73" s="77">
        <f>F73*G73</f>
        <v>122.4</v>
      </c>
      <c r="I73" s="512" t="s">
        <v>97</v>
      </c>
      <c r="J73" s="513"/>
      <c r="K73" s="78" t="s">
        <v>98</v>
      </c>
      <c r="L73" s="78"/>
      <c r="M73" s="7" t="s">
        <v>99</v>
      </c>
      <c r="N73" s="7"/>
      <c r="O73" s="99">
        <f>O72+1</f>
        <v>10</v>
      </c>
      <c r="P73" s="99">
        <f t="shared" si="23"/>
        <v>6</v>
      </c>
      <c r="Q73" s="76">
        <f>P73</f>
        <v>6</v>
      </c>
      <c r="R73" s="77">
        <f>VLOOKUP(Q73,STN_TABLE,2,FALSE)</f>
        <v>9.84</v>
      </c>
      <c r="S73" s="77">
        <v>8</v>
      </c>
      <c r="T73" s="76">
        <f>R73*S73</f>
        <v>78.72</v>
      </c>
      <c r="U73" s="80">
        <v>10</v>
      </c>
      <c r="V73" s="76">
        <f>R73*U73</f>
        <v>98.4</v>
      </c>
      <c r="W73" s="513" t="s">
        <v>97</v>
      </c>
      <c r="X73" s="513"/>
      <c r="Y73" s="513" t="s">
        <v>98</v>
      </c>
      <c r="Z73" s="513"/>
      <c r="AA73" s="511" t="s">
        <v>99</v>
      </c>
      <c r="AB73" s="511"/>
      <c r="AC73" s="99">
        <f>AC68+1</f>
        <v>9</v>
      </c>
      <c r="AD73" s="95">
        <f>VLOOKUP(AC73,STN_TABLE_2,2,FALSE)</f>
        <v>5.6111111111111107</v>
      </c>
      <c r="AE73" s="68">
        <f>VLOOKUP(AD73,STN_TABLE,2,FALSE)</f>
        <v>8.8000000000000007</v>
      </c>
      <c r="AF73" s="68">
        <v>1</v>
      </c>
      <c r="AG73" s="69">
        <f>AE73*AF73</f>
        <v>8.8000000000000007</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9.84</v>
      </c>
      <c r="E74" s="92">
        <v>1</v>
      </c>
      <c r="F74" s="82">
        <f>D74*E74</f>
        <v>9.84</v>
      </c>
      <c r="G74" s="83">
        <f>C74</f>
        <v>6</v>
      </c>
      <c r="H74" s="83">
        <f>F74*G74</f>
        <v>59.04</v>
      </c>
      <c r="I74" s="84" t="str">
        <f>CONCATENATE("a'(",C74,")=")</f>
        <v>a'(6)=</v>
      </c>
      <c r="J74" s="84" t="e">
        <f>2*J72/3*F75</f>
        <v>#VALUE!</v>
      </c>
      <c r="K74" s="84" t="str">
        <f>CONCATENATE("A(",C72,")=")</f>
        <v>A(4)=</v>
      </c>
      <c r="L74" s="84">
        <f>VLOOKUP(C72,STN_TABLE,3,FALSE)</f>
        <v>0</v>
      </c>
      <c r="M74" t="str">
        <f>CONCATENATE("A(",C74,")=")</f>
        <v>A(6)=</v>
      </c>
      <c r="N74" t="e">
        <f>J74+L74</f>
        <v>#VALUE!</v>
      </c>
      <c r="O74" s="99">
        <f>O73+1</f>
        <v>11</v>
      </c>
      <c r="P74" s="99">
        <f t="shared" si="23"/>
        <v>7</v>
      </c>
      <c r="Q74" s="82">
        <f>IF(P74-P73=P73-P72,P74,IF(P75-P73=P73-P72,P75,IF(P74-P73=P73-P71,P74,IF(P75-P73=P73-P71,P75,"-"))))</f>
        <v>7</v>
      </c>
      <c r="R74" s="83">
        <f>VLOOKUP(Q74,STN_TABLE,2,FALSE)</f>
        <v>11.33</v>
      </c>
      <c r="S74" s="83">
        <v>-1</v>
      </c>
      <c r="T74" s="82">
        <f>R74*S74</f>
        <v>-11.33</v>
      </c>
      <c r="U74" s="88">
        <v>-1</v>
      </c>
      <c r="V74" s="82">
        <f>R74*U74</f>
        <v>-11.33</v>
      </c>
      <c r="W74" s="84" t="str">
        <f>CONCATENATE("a'(",Q73,")=")</f>
        <v>a'(6)=</v>
      </c>
      <c r="X74" s="84">
        <f>2*X72/12*T75</f>
        <v>29.396999999999998</v>
      </c>
      <c r="Y74" s="84" t="str">
        <f>CONCATENATE("A(",Q72,")=")</f>
        <v>A(5)=</v>
      </c>
      <c r="Z74" s="84">
        <f>VLOOKUP(Q72,STN_TABLE,3,FALSE)</f>
        <v>7.3440000000000039</v>
      </c>
      <c r="AA74" t="str">
        <f>CONCATENATE("A(",Q73,")=")</f>
        <v>A(6)=</v>
      </c>
      <c r="AB74">
        <f>X74+Z74</f>
        <v>36.741</v>
      </c>
      <c r="AC74" s="99">
        <f>AC73+1</f>
        <v>10</v>
      </c>
      <c r="AD74" s="100">
        <f>VLOOKUP(AC74,STN_TABLE_2,2,FALSE)</f>
        <v>6</v>
      </c>
      <c r="AE74" s="82">
        <f>VLOOKUP(AD74,STN_TABLE,2,FALSE)</f>
        <v>9.84</v>
      </c>
      <c r="AF74" s="82">
        <v>2</v>
      </c>
      <c r="AG74" s="83">
        <f>AE74*AF74</f>
        <v>19.68</v>
      </c>
      <c r="AH74" s="84" t="str">
        <f>CONCATENATE("a'(",AD74,")=")</f>
        <v>a'(6)=</v>
      </c>
      <c r="AI74" s="84">
        <f>2*AI72/2*AE75</f>
        <v>13.048000000000014</v>
      </c>
      <c r="AJ74" s="84" t="str">
        <f>CONCATENATE("A(",AD73,")=")</f>
        <v>A(5.61111111111111)=</v>
      </c>
      <c r="AK74" s="84">
        <f>VLOOKUP(AD73,STN_TABLE,3,FALSE)</f>
        <v>23.755999999999997</v>
      </c>
      <c r="AL74" t="str">
        <f>CONCATENATE("A(",AD74,")=")</f>
        <v>A(6)=</v>
      </c>
      <c r="AM74">
        <f>AI74+AK74</f>
        <v>36.804000000000009</v>
      </c>
      <c r="AO74" s="68" t="str">
        <f>AA74</f>
        <v>A(6)=</v>
      </c>
      <c r="AP74" s="68">
        <f>VLOOKUP(AO74,Rise_Results,2,FALSE)</f>
        <v>36.741</v>
      </c>
      <c r="AQ74" s="76" t="e">
        <f>N74</f>
        <v>#VALUE!</v>
      </c>
      <c r="AR74" s="76">
        <f>IF(OR(AB74&lt;=0,AB75&lt;=0),1/0,AB74)</f>
        <v>36.741</v>
      </c>
      <c r="AS74" s="76">
        <f>AM74</f>
        <v>36.804000000000009</v>
      </c>
      <c r="AT74">
        <f>IFERROR(AP74,IFERROR(AQ74,IFERROR(AR74,AS74)))</f>
        <v>36.741</v>
      </c>
      <c r="AU74" s="81"/>
    </row>
    <row r="75" spans="1:47" x14ac:dyDescent="0.25">
      <c r="A75" s="84">
        <f>A74+1</f>
        <v>10</v>
      </c>
      <c r="B75" s="84">
        <f t="shared" si="27"/>
        <v>6</v>
      </c>
      <c r="F75" s="82">
        <f>SUM(F72:F74)</f>
        <v>34.32</v>
      </c>
      <c r="H75" s="82">
        <f>SUM(H72:H74)</f>
        <v>181.44</v>
      </c>
      <c r="I75" s="84" t="str">
        <f>CONCATENATE("m'(",C74,")=")</f>
        <v>m'(6)=</v>
      </c>
      <c r="J75" s="84" t="e">
        <f>2*(J72*(WLS))/3*H75</f>
        <v>#VALUE!</v>
      </c>
      <c r="K75" s="84" t="str">
        <f>CONCATENATE("M(",C72,")=")</f>
        <v>M(4)=</v>
      </c>
      <c r="L75" s="84">
        <f>VLOOKUP(C72,STN_TABLE,4,FALSE)</f>
        <v>0</v>
      </c>
      <c r="M75" t="str">
        <f>CONCATENATE("M(",C74,")=")</f>
        <v>M(6)=</v>
      </c>
      <c r="N75" t="e">
        <f>J75+L75</f>
        <v>#VALUE!</v>
      </c>
      <c r="O75" s="99">
        <f>O74+1</f>
        <v>12</v>
      </c>
      <c r="P75" s="99">
        <f t="shared" si="23"/>
        <v>7.8833333333333329</v>
      </c>
      <c r="T75" s="89">
        <f>SUM(T72:T74)</f>
        <v>97.99</v>
      </c>
      <c r="V75" s="82">
        <f>SUM(V72:V74)</f>
        <v>105.43</v>
      </c>
      <c r="W75" s="84" t="str">
        <f>CONCATENATE("m'(",Q73,")=")</f>
        <v>m'(6)=</v>
      </c>
      <c r="X75" s="84">
        <f>(2*(X72^2)/24*V75)+(X74*Q72*WLS)</f>
        <v>293.03909999999996</v>
      </c>
      <c r="Y75" s="84" t="str">
        <f>CONCATENATE("M(",Q72,")=")</f>
        <v>M(5)=</v>
      </c>
      <c r="Z75" s="84">
        <f>VLOOKUP(Q72,STN_TABLE,4,FALSE)</f>
        <v>63.158400000000036</v>
      </c>
      <c r="AA75" t="str">
        <f>CONCATENATE("M(",Q73,")=")</f>
        <v>M(6)=</v>
      </c>
      <c r="AB75">
        <f>X75+Z75</f>
        <v>356.19749999999999</v>
      </c>
      <c r="AE75" s="89">
        <f>SUM(AE73:AE74)</f>
        <v>18.64</v>
      </c>
      <c r="AG75" s="89">
        <f>SUM(AG73:AG74)</f>
        <v>28.48</v>
      </c>
      <c r="AH75" s="84" t="str">
        <f>CONCATENATE("m'(",AD74,")=")</f>
        <v>m'(6)=</v>
      </c>
      <c r="AI75" s="84">
        <f>(2*(AI72^2)/6*AG75)+(AI74*AD73*WLS)</f>
        <v>136.43653333333347</v>
      </c>
      <c r="AJ75" s="84" t="str">
        <f>CONCATENATE("M(",AD73,")=")</f>
        <v>M(5.61111111111111)=</v>
      </c>
      <c r="AK75" s="84">
        <f>VLOOKUP(AD73,STN_TABLE,4,FALSE)</f>
        <v>220.43346666666662</v>
      </c>
      <c r="AL75" t="str">
        <f>CONCATENATE("M(",AD74,")=")</f>
        <v>M(6)=</v>
      </c>
      <c r="AM75">
        <f>AI75+AK75</f>
        <v>356.87000000000012</v>
      </c>
      <c r="AO75" s="82" t="str">
        <f>AA75</f>
        <v>M(6)=</v>
      </c>
      <c r="AP75" s="82">
        <f>VLOOKUP(AO75,Rise_Results,2,FALSE)</f>
        <v>356.19749999999999</v>
      </c>
      <c r="AQ75" s="82" t="e">
        <f>N75</f>
        <v>#VALUE!</v>
      </c>
      <c r="AR75" s="82">
        <f>IF(OR(AB74&lt;=0,AB75&lt;=0),1/0,AB75)</f>
        <v>356.19749999999999</v>
      </c>
      <c r="AS75" s="82">
        <f>AM75</f>
        <v>356.87000000000012</v>
      </c>
      <c r="AT75">
        <f>IFERROR(AP75,IFERROR(AQ75,IFERROR(AR75,AS75)))</f>
        <v>356.19749999999999</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6.12</v>
      </c>
      <c r="E77" s="102">
        <v>1</v>
      </c>
      <c r="F77" s="68">
        <f>D77*E77</f>
        <v>6.12</v>
      </c>
      <c r="G77" s="69">
        <f>C77</f>
        <v>5</v>
      </c>
      <c r="H77" s="69">
        <f>F77*G77</f>
        <v>30.6</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9.84</v>
      </c>
      <c r="E78" s="81">
        <v>4</v>
      </c>
      <c r="F78" s="76">
        <f>D78*E78</f>
        <v>39.36</v>
      </c>
      <c r="G78" s="77">
        <f>C78</f>
        <v>6</v>
      </c>
      <c r="H78" s="77">
        <f>F78*G78</f>
        <v>236.16</v>
      </c>
      <c r="I78" s="512" t="s">
        <v>97</v>
      </c>
      <c r="J78" s="513"/>
      <c r="K78" s="78" t="s">
        <v>98</v>
      </c>
      <c r="L78" s="78"/>
      <c r="M78" s="7" t="s">
        <v>99</v>
      </c>
      <c r="N78" s="7"/>
      <c r="O78" s="99">
        <f>O77+1</f>
        <v>11</v>
      </c>
      <c r="P78" s="99">
        <f t="shared" si="23"/>
        <v>7</v>
      </c>
      <c r="Q78" s="76">
        <f>P78</f>
        <v>7</v>
      </c>
      <c r="R78" s="77">
        <f>VLOOKUP(Q78,STN_TABLE,2,FALSE)</f>
        <v>11.33</v>
      </c>
      <c r="S78" s="77">
        <v>8</v>
      </c>
      <c r="T78" s="76">
        <f>R78*S78</f>
        <v>90.64</v>
      </c>
      <c r="U78" s="80">
        <v>10</v>
      </c>
      <c r="V78" s="76">
        <f>R78*U78</f>
        <v>113.3</v>
      </c>
      <c r="W78" s="513" t="s">
        <v>97</v>
      </c>
      <c r="X78" s="513"/>
      <c r="Y78" s="513" t="s">
        <v>98</v>
      </c>
      <c r="Z78" s="513"/>
      <c r="AA78" s="511" t="s">
        <v>99</v>
      </c>
      <c r="AB78" s="511"/>
      <c r="AC78" s="99">
        <f>AC73+1</f>
        <v>10</v>
      </c>
      <c r="AD78" s="95">
        <f>VLOOKUP(AC78,STN_TABLE_2,2,FALSE)</f>
        <v>6</v>
      </c>
      <c r="AE78" s="68">
        <f>VLOOKUP(AD78,STN_TABLE,2,FALSE)</f>
        <v>9.84</v>
      </c>
      <c r="AF78" s="68">
        <v>1</v>
      </c>
      <c r="AG78" s="69">
        <f>AE78*AF78</f>
        <v>9.84</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11.33</v>
      </c>
      <c r="E79" s="92">
        <v>1</v>
      </c>
      <c r="F79" s="82">
        <f>D79*E79</f>
        <v>11.33</v>
      </c>
      <c r="G79" s="83">
        <f>C79</f>
        <v>7</v>
      </c>
      <c r="H79" s="83">
        <f>F79*G79</f>
        <v>79.31</v>
      </c>
      <c r="I79" s="84" t="str">
        <f>CONCATENATE("a'(",C79,")=")</f>
        <v>a'(7)=</v>
      </c>
      <c r="J79" s="84">
        <f>2*J77/3*F80</f>
        <v>68.171999999999997</v>
      </c>
      <c r="K79" s="84" t="str">
        <f>CONCATENATE("A(",C77,")=")</f>
        <v>A(5)=</v>
      </c>
      <c r="L79" s="84">
        <f>VLOOKUP(C77,STN_TABLE,3,FALSE)</f>
        <v>7.3440000000000039</v>
      </c>
      <c r="M79" t="str">
        <f>CONCATENATE("A(",C79,")=")</f>
        <v>A(7)=</v>
      </c>
      <c r="N79">
        <f>J79+L79</f>
        <v>75.516000000000005</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11.33</v>
      </c>
      <c r="AF79" s="82">
        <v>2</v>
      </c>
      <c r="AG79" s="83">
        <f>AE79*AF79</f>
        <v>22.66</v>
      </c>
      <c r="AH79" s="84" t="str">
        <f>CONCATENATE("a'(",AD79,")=")</f>
        <v>a'(7)=</v>
      </c>
      <c r="AI79" s="84">
        <f>2*AI77/2*AE80</f>
        <v>38.106000000000002</v>
      </c>
      <c r="AJ79" s="84" t="str">
        <f>CONCATENATE("A(",AD78,")=")</f>
        <v>A(6)=</v>
      </c>
      <c r="AK79" s="84">
        <f>VLOOKUP(AD78,STN_TABLE,3,FALSE)</f>
        <v>36.741</v>
      </c>
      <c r="AL79" t="str">
        <f>CONCATENATE("A(",AD79,")=")</f>
        <v>A(7)=</v>
      </c>
      <c r="AM79">
        <f>AI79+AK79</f>
        <v>74.847000000000008</v>
      </c>
      <c r="AO79" s="68" t="str">
        <f>AA79</f>
        <v>A(7)=</v>
      </c>
      <c r="AP79" s="68">
        <f>VLOOKUP(AO79,Rise_Results,2,FALSE)</f>
        <v>75.516000000000005</v>
      </c>
      <c r="AQ79" s="76">
        <f>N79</f>
        <v>75.516000000000005</v>
      </c>
      <c r="AR79" s="76" t="e">
        <f>IF(OR(AB79&lt;=0,AB80&lt;=0),1/0,AB79)</f>
        <v>#VALUE!</v>
      </c>
      <c r="AS79" s="76">
        <f>AM79</f>
        <v>74.847000000000008</v>
      </c>
      <c r="AT79">
        <f>IFERROR(AP79,IFERROR(AQ79,IFERROR(AR79,AS79)))</f>
        <v>75.516000000000005</v>
      </c>
      <c r="AU79" s="81"/>
    </row>
    <row r="80" spans="1:47" x14ac:dyDescent="0.25">
      <c r="A80" s="84">
        <f>A79+1</f>
        <v>11</v>
      </c>
      <c r="B80" s="84">
        <f t="shared" si="27"/>
        <v>7</v>
      </c>
      <c r="F80" s="82">
        <f>SUM(F77:F79)</f>
        <v>56.809999999999995</v>
      </c>
      <c r="H80" s="82">
        <f>SUM(H77:H79)</f>
        <v>346.07</v>
      </c>
      <c r="I80" s="84" t="str">
        <f>CONCATENATE("m'(",C79,")=")</f>
        <v>m'(7)=</v>
      </c>
      <c r="J80" s="84">
        <f>2*(J77*(WLS))/3*H80</f>
        <v>747.51120000000003</v>
      </c>
      <c r="K80" s="84" t="str">
        <f>CONCATENATE("M(",C77,")=")</f>
        <v>M(5)=</v>
      </c>
      <c r="L80" s="84">
        <f>VLOOKUP(C77,STN_TABLE,4,FALSE)</f>
        <v>63.158400000000036</v>
      </c>
      <c r="M80" t="str">
        <f>CONCATENATE("M(",C79,")=")</f>
        <v>M(7)=</v>
      </c>
      <c r="N80">
        <f>J80+L80</f>
        <v>810.66960000000006</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21.17</v>
      </c>
      <c r="AG80" s="89">
        <f>SUM(AG78:AG79)</f>
        <v>32.5</v>
      </c>
      <c r="AH80" s="84" t="str">
        <f>CONCATENATE("m'(",AD79,")=")</f>
        <v>m'(7)=</v>
      </c>
      <c r="AI80" s="84">
        <f>(2*(AI77^2)/6*AG80)+(AI79*AD78*WLS)</f>
        <v>446.64480000000009</v>
      </c>
      <c r="AJ80" s="84" t="str">
        <f>CONCATENATE("M(",AD78,")=")</f>
        <v>M(6)=</v>
      </c>
      <c r="AK80" s="84">
        <f>VLOOKUP(AD78,STN_TABLE,4,FALSE)</f>
        <v>356.19749999999999</v>
      </c>
      <c r="AL80" t="str">
        <f>CONCATENATE("M(",AD79,")=")</f>
        <v>M(7)=</v>
      </c>
      <c r="AM80">
        <f>AI80+AK80</f>
        <v>802.84230000000002</v>
      </c>
      <c r="AO80" s="82" t="str">
        <f>AA80</f>
        <v>M(7)=</v>
      </c>
      <c r="AP80" s="82">
        <f>VLOOKUP(AO80,Rise_Results,2,FALSE)</f>
        <v>810.66960000000006</v>
      </c>
      <c r="AQ80" s="82">
        <f>N80</f>
        <v>810.66960000000006</v>
      </c>
      <c r="AR80" s="82" t="e">
        <f>IF(OR(AB79&lt;=0,AB80&lt;=0),1/0,AB80)</f>
        <v>#VALUE!</v>
      </c>
      <c r="AS80" s="82">
        <f>AM80</f>
        <v>802.84230000000002</v>
      </c>
      <c r="AT80">
        <f>IFERROR(AP80,IFERROR(AQ80,IFERROR(AR80,AS80)))</f>
        <v>810.66960000000006</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11.9</v>
      </c>
      <c r="S83" s="77">
        <v>8</v>
      </c>
      <c r="T83" s="76">
        <f>R83*S83</f>
        <v>95.2</v>
      </c>
      <c r="U83" s="80">
        <v>10</v>
      </c>
      <c r="V83" s="76">
        <f>R83*U83</f>
        <v>119</v>
      </c>
      <c r="W83" s="513" t="s">
        <v>97</v>
      </c>
      <c r="X83" s="513"/>
      <c r="Y83" s="513" t="s">
        <v>98</v>
      </c>
      <c r="Z83" s="513"/>
      <c r="AA83" s="511" t="s">
        <v>99</v>
      </c>
      <c r="AB83" s="511"/>
      <c r="AC83" s="99">
        <f>AC78+1</f>
        <v>11</v>
      </c>
      <c r="AD83" s="95">
        <f>VLOOKUP(AC83,STN_TABLE_2,2,FALSE)</f>
        <v>7</v>
      </c>
      <c r="AE83" s="68">
        <f>VLOOKUP(AD83,STN_TABLE,2,FALSE)</f>
        <v>11.33</v>
      </c>
      <c r="AF83" s="68">
        <v>1</v>
      </c>
      <c r="AG83" s="69">
        <f>AE83*AF83</f>
        <v>11.33</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11.9</v>
      </c>
      <c r="E84" s="92">
        <v>1</v>
      </c>
      <c r="F84" s="82">
        <f>D84*E84</f>
        <v>11.9</v>
      </c>
      <c r="G84" s="83">
        <f>C84</f>
        <v>7.8833333333333329</v>
      </c>
      <c r="H84" s="83">
        <f>F84*G84</f>
        <v>93.811666666666667</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11.9</v>
      </c>
      <c r="AF84" s="82">
        <v>2</v>
      </c>
      <c r="AG84" s="83">
        <f>AE84*AF84</f>
        <v>23.8</v>
      </c>
      <c r="AH84" s="84" t="str">
        <f>CONCATENATE("a'(",AD84,")=")</f>
        <v>a'(7.88333333333333)=</v>
      </c>
      <c r="AI84" s="84">
        <f>2*AI82/2*AE85</f>
        <v>36.935699999999983</v>
      </c>
      <c r="AJ84" s="84" t="str">
        <f>CONCATENATE("A(",AD83,")=")</f>
        <v>A(7)=</v>
      </c>
      <c r="AK84" s="84">
        <f>VLOOKUP(AD83,STN_TABLE,3,FALSE)</f>
        <v>75.516000000000005</v>
      </c>
      <c r="AL84" t="str">
        <f>CONCATENATE("A(",AD84,")=")</f>
        <v>A(7.88333333333333)=</v>
      </c>
      <c r="AM84">
        <f>AI84+AK84</f>
        <v>112.45169999999999</v>
      </c>
      <c r="AO84" s="68" t="str">
        <f>AA84</f>
        <v>A(7.88333333333333)=</v>
      </c>
      <c r="AP84" s="68" t="e">
        <f>VLOOKUP(AO84,Rise_Results,2,FALSE)</f>
        <v>#N/A</v>
      </c>
      <c r="AQ84" s="76" t="e">
        <f>N84</f>
        <v>#N/A</v>
      </c>
      <c r="AR84" s="76" t="e">
        <f>IF(OR(AB84&lt;=0,AB85&lt;=0),1/0,AB84)</f>
        <v>#VALUE!</v>
      </c>
      <c r="AS84" s="76">
        <f>AM84</f>
        <v>112.45169999999999</v>
      </c>
      <c r="AT84">
        <f>IFERROR(AP84,IFERROR(AQ84,IFERROR(AR84,AS84)))</f>
        <v>112.45169999999999</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23.23</v>
      </c>
      <c r="AG85" s="89">
        <f>SUM(AG83:AG84)</f>
        <v>35.130000000000003</v>
      </c>
      <c r="AH85" s="84" t="str">
        <f>CONCATENATE("m'(",AD84,")=")</f>
        <v>m'(7.88333333333333)=</v>
      </c>
      <c r="AI85" s="84">
        <f>(2*(AI82^2)/6*AG85)+(AI84*AD83*WLS)</f>
        <v>494.99387099999973</v>
      </c>
      <c r="AJ85" s="84" t="str">
        <f>CONCATENATE("M(",AD83,")=")</f>
        <v>M(7)=</v>
      </c>
      <c r="AK85" s="84">
        <f>VLOOKUP(AD83,STN_TABLE,4,FALSE)</f>
        <v>810.66960000000006</v>
      </c>
      <c r="AL85" t="str">
        <f>CONCATENATE("M(",AD84,")=")</f>
        <v>M(7.88333333333333)=</v>
      </c>
      <c r="AM85">
        <f>AI85+AK85</f>
        <v>1305.6634709999998</v>
      </c>
      <c r="AO85" s="82" t="str">
        <f>AA85</f>
        <v>M(7.88333333333333)=</v>
      </c>
      <c r="AP85" s="82" t="e">
        <f>VLOOKUP(AO85,Rise_Results,2,FALSE)</f>
        <v>#N/A</v>
      </c>
      <c r="AQ85" s="82" t="e">
        <f>N85</f>
        <v>#N/A</v>
      </c>
      <c r="AR85" s="82" t="e">
        <f>IF(OR(AB84&lt;=0,AB85&lt;=0),1/0,AB85)</f>
        <v>#VALUE!</v>
      </c>
      <c r="AS85" s="82">
        <f>AM85</f>
        <v>1305.6634709999998</v>
      </c>
      <c r="AT85">
        <f>IFERROR(AP85,IFERROR(AQ85,IFERROR(AR85,AS85)))</f>
        <v>1305.6634709999998</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11.9</v>
      </c>
      <c r="AF88" s="68">
        <v>1</v>
      </c>
      <c r="AG88" s="69">
        <f>AE88*AF88</f>
        <v>11.9</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112.45169999999999</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11.9</v>
      </c>
      <c r="AG90" s="89" t="e">
        <f>SUM(AG88:AG89)</f>
        <v>#VALUE!</v>
      </c>
      <c r="AH90" s="84" t="str">
        <f>CONCATENATE("m'(",AD89,")=")</f>
        <v>m'(  )=</v>
      </c>
      <c r="AI90" s="84" t="e">
        <f>(2*(AI87^2)/6*AG90)+(AI89*AD88*WLS)</f>
        <v>#VALUE!</v>
      </c>
      <c r="AJ90" s="84" t="str">
        <f>CONCATENATE("M(",AD88,")=")</f>
        <v>M(7.88333333333333)=</v>
      </c>
      <c r="AK90" s="84">
        <f>VLOOKUP(AD88,STN_TABLE,4,FALSE)</f>
        <v>1305.6634709999998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U171"/>
  <sheetViews>
    <sheetView topLeftCell="R1" zoomScale="90" zoomScaleNormal="90" workbookViewId="0">
      <pane ySplit="1" topLeftCell="A2"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0.5</v>
      </c>
      <c r="E1" s="511" t="s">
        <v>91</v>
      </c>
      <c r="F1" s="511"/>
      <c r="G1">
        <f>VLOOKUP(Station_No,RISE_CALC,2,FALSE)</f>
        <v>8.9</v>
      </c>
      <c r="L1" s="511" t="s">
        <v>92</v>
      </c>
      <c r="M1" s="511"/>
      <c r="N1">
        <v>2</v>
      </c>
    </row>
    <row r="2" spans="1:46" x14ac:dyDescent="0.25">
      <c r="Q2" s="66" t="str">
        <f t="shared" ref="Q2:R6" si="0">G4</f>
        <v>Rise</v>
      </c>
      <c r="R2" s="67">
        <f t="shared" si="0"/>
        <v>4.9444444444444446</v>
      </c>
      <c r="S2" s="68" t="str">
        <f>IF(OR(R5-R4=R4-R3,R6-R4=R4-R3),R3,IF(OR(R5-R4=R4-R2,R6-R4=R4-R2),R2,"-"))</f>
        <v>-</v>
      </c>
      <c r="T2" s="69">
        <f>IFERROR(VLOOKUP(S2,STN_TABLE,2,FALSE),IF(R2=RisePerWLS,0,"-"))</f>
        <v>0</v>
      </c>
      <c r="U2" s="69">
        <v>5</v>
      </c>
      <c r="V2" s="69">
        <f>T2*U2</f>
        <v>0</v>
      </c>
      <c r="W2" s="69">
        <v>3</v>
      </c>
      <c r="X2" s="69">
        <f>T2*W2</f>
        <v>0</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5</v>
      </c>
      <c r="S3" s="76">
        <f>R4</f>
        <v>5.6111111111111107</v>
      </c>
      <c r="T3" s="77">
        <f>VLOOKUP(S3,STN_TABLE,2,FALSE)</f>
        <v>6.8</v>
      </c>
      <c r="U3" s="77">
        <v>8</v>
      </c>
      <c r="V3" s="77">
        <f>T3*U3</f>
        <v>54.4</v>
      </c>
      <c r="W3" s="77">
        <v>10</v>
      </c>
      <c r="X3" s="77">
        <f>T3*W3</f>
        <v>68</v>
      </c>
      <c r="Y3" s="78" t="s">
        <v>97</v>
      </c>
      <c r="Z3" s="78"/>
      <c r="AA3" s="78" t="s">
        <v>98</v>
      </c>
      <c r="AB3" s="78"/>
      <c r="AC3" s="7" t="s">
        <v>99</v>
      </c>
      <c r="AD3" s="7"/>
      <c r="AE3" s="66" t="str">
        <f t="shared" ref="AE3:AF7" si="1">G4</f>
        <v>Rise</v>
      </c>
      <c r="AF3" s="67">
        <f t="shared" si="1"/>
        <v>4.9444444444444446</v>
      </c>
      <c r="AG3" s="79">
        <f>IF(AF7-AF6=AF6-AF5,AF5,IF(OR(AF7-AF6=AF6-AF4,AF7-AF5=AF5-AF4),AF4,IF(OR(AF7-AF6=AF6-AF3,AF7-AF5=AF5-AF3,AF7-AF4=AF4-AF3),AF3,"#NA")))</f>
        <v>5</v>
      </c>
      <c r="AH3" s="69">
        <f>IFERROR(VLOOKUP(AG3,STN_TABLE,2,FALSE),IF(AF3=RisePerWLS,0,"-"))</f>
        <v>1.2</v>
      </c>
      <c r="AI3" s="69">
        <v>1</v>
      </c>
      <c r="AJ3" s="69">
        <f>AH3*AI3</f>
        <v>1.2</v>
      </c>
      <c r="AK3" s="69">
        <f>AG3</f>
        <v>5</v>
      </c>
      <c r="AL3" s="69">
        <f>AJ3*AK3</f>
        <v>6</v>
      </c>
      <c r="AM3" s="6" t="s">
        <v>93</v>
      </c>
      <c r="AN3" s="70">
        <f>IF(AND(AH3=0,AH4=0,AH5=0),WLS*(AG5-AG4),IF(AND(AG5-AG4=AG4-AG3,AG4&lt;&gt;AG5,AG3&lt;&gt;AG4,AG3&lt;&gt;AG5,AH5&lt;&gt;0,OR(AH3&lt;&gt;0,AH4&lt;&gt;0)),WLS*(AG5-AG4),"#NA"))</f>
        <v>1.8</v>
      </c>
    </row>
    <row r="4" spans="1:46" x14ac:dyDescent="0.25">
      <c r="A4">
        <v>1</v>
      </c>
      <c r="B4" s="80">
        <f t="shared" ref="B4:B28" si="2">VLOOKUP(Stn_WL,OFFSET_A,A4+1,FALSE)</f>
        <v>0</v>
      </c>
      <c r="C4" s="81">
        <f t="shared" ref="C4:C28" si="3">VLOOKUP(Station_No,OFFSET_A,A4+1,FALSE)</f>
        <v>0</v>
      </c>
      <c r="D4" s="81">
        <v>0</v>
      </c>
      <c r="E4" s="77">
        <v>0</v>
      </c>
      <c r="G4" t="s">
        <v>100</v>
      </c>
      <c r="H4">
        <f>Rise/WLS</f>
        <v>4.9444444444444446</v>
      </c>
      <c r="K4" t="str">
        <f>CONCATENATE("A(",H5,")=")</f>
        <v>A(5)=</v>
      </c>
      <c r="L4">
        <f>IFERROR(N18,N22)</f>
        <v>0.11999999999999957</v>
      </c>
      <c r="Q4" s="66" t="str">
        <f t="shared" si="0"/>
        <v>2nd_UWL</v>
      </c>
      <c r="R4" s="67">
        <f t="shared" si="0"/>
        <v>5.6111111111111107</v>
      </c>
      <c r="S4" s="82" t="e">
        <f>IF((S2-S3)=S3-R5,R5,IF(S2-S3=S3-R6,R6,"-"))</f>
        <v>#VALUE!</v>
      </c>
      <c r="T4" s="83" t="e">
        <f>VLOOKUP(S4,STN_TABLE,2,FALSE)</f>
        <v>#VALUE!</v>
      </c>
      <c r="U4" s="83">
        <v>-1</v>
      </c>
      <c r="V4" s="83" t="e">
        <f>T4*U4</f>
        <v>#VALUE!</v>
      </c>
      <c r="W4" s="83">
        <v>-1</v>
      </c>
      <c r="X4" s="83" t="e">
        <f>T4*W4</f>
        <v>#VALUE!</v>
      </c>
      <c r="Y4" s="84" t="str">
        <f>CONCATENATE("a'(",S3,")=")</f>
        <v>a'(5.61111111111111)=</v>
      </c>
      <c r="Z4" s="85" t="e">
        <f>2*Z2/12*V5</f>
        <v>#VALUE!</v>
      </c>
      <c r="AA4" s="84" t="str">
        <f>CONCATENATE("A(",S2,")=")</f>
        <v>A(-)=</v>
      </c>
      <c r="AB4" s="84" t="e">
        <f>IF(S2=RisePerWLS,0,VLOOKUP(S2,STN_TABLE,3,FALSE))</f>
        <v>#N/A</v>
      </c>
      <c r="AC4" t="str">
        <f>CONCATENATE("A(",S3,")=")</f>
        <v>A(5.61111111111111)=</v>
      </c>
      <c r="AD4" t="e">
        <f>Z4+AB4</f>
        <v>#VALUE!</v>
      </c>
      <c r="AE4" s="66" t="str">
        <f t="shared" si="1"/>
        <v>1st_UWL</v>
      </c>
      <c r="AF4" s="67">
        <f t="shared" si="1"/>
        <v>5</v>
      </c>
      <c r="AG4" s="80">
        <f>IF(OR(AF7-AF6=AF6-AF5,AF7-AF6=AF6-AF4,AF7-AF6=AF6-AF3),AF6,IF(OR(AF7-AF5=AF5-AF4,AF7-AF5=AF5-AF3),AF5,IF(AF7-AF4=AF4-AF3,AF4,"#NA")))</f>
        <v>6</v>
      </c>
      <c r="AH4" s="77">
        <f>VLOOKUP(AG4,STN_TABLE,2,FALSE)</f>
        <v>8.4600000000000009</v>
      </c>
      <c r="AI4" s="77">
        <v>4</v>
      </c>
      <c r="AJ4" s="77">
        <f>AH4*AI4</f>
        <v>33.840000000000003</v>
      </c>
      <c r="AK4" s="77">
        <f>AG4</f>
        <v>6</v>
      </c>
      <c r="AL4" s="77">
        <f>AJ4*AK4</f>
        <v>203.04000000000002</v>
      </c>
      <c r="AM4" s="78" t="s">
        <v>97</v>
      </c>
      <c r="AN4" s="78"/>
      <c r="AO4" s="78" t="s">
        <v>98</v>
      </c>
      <c r="AP4" s="78"/>
      <c r="AQ4" s="7" t="s">
        <v>99</v>
      </c>
      <c r="AR4" s="7"/>
      <c r="AS4" s="7"/>
      <c r="AT4" s="7"/>
    </row>
    <row r="5" spans="1:46" x14ac:dyDescent="0.25">
      <c r="A5">
        <v>2</v>
      </c>
      <c r="B5" s="80">
        <f t="shared" si="2"/>
        <v>0.5</v>
      </c>
      <c r="C5" s="81">
        <f t="shared" si="3"/>
        <v>0</v>
      </c>
      <c r="D5" s="81">
        <f t="shared" ref="D5:D28" si="4">IFERROR(VLOOKUP(CONCATENATE("A(",B5,")="),RESULT_TABLE,6,FALSE)," ")</f>
        <v>0</v>
      </c>
      <c r="E5" s="77">
        <f t="shared" ref="E5:E28" si="5">IFERROR(VLOOKUP(CONCATENATE("M(",B5,")="),RESULT_TABLE,6,FALSE)," ")</f>
        <v>0</v>
      </c>
      <c r="G5" t="s">
        <v>101</v>
      </c>
      <c r="H5">
        <f>VLOOKUP(Station_No,RISE_CALC,4,FALSE)</f>
        <v>5</v>
      </c>
      <c r="K5" t="str">
        <f>CONCATENATE("M(",H5,")=")</f>
        <v>M(5)=</v>
      </c>
      <c r="L5">
        <f>IFERROR(N19,N23)</f>
        <v>1.0759999999999961</v>
      </c>
      <c r="Q5" s="66" t="str">
        <f t="shared" si="0"/>
        <v>3rd_UWL</v>
      </c>
      <c r="R5" s="67">
        <f t="shared" si="0"/>
        <v>6</v>
      </c>
      <c r="V5" s="86" t="e">
        <f>SUM(V2:V4)</f>
        <v>#VALUE!</v>
      </c>
      <c r="X5" s="87" t="e">
        <f>SUM(X2:X4)</f>
        <v>#VALUE!</v>
      </c>
      <c r="Y5" s="84" t="str">
        <f>CONCATENATE("m'(",S3,")=")</f>
        <v>m'(5.61111111111111)=</v>
      </c>
      <c r="Z5" s="85" t="e">
        <f>(2*(Z2^2)/24*X5)+(Z4*S2*WLS)</f>
        <v>#VALUE!</v>
      </c>
      <c r="AA5" s="84" t="str">
        <f>CONCATENATE("M(",S2,")=")</f>
        <v>M(-)=</v>
      </c>
      <c r="AB5" s="84" t="e">
        <f>IF(S2=RisePerWLS,0,VLOOKUP(S2,STN_TABLE,4,FALSE))</f>
        <v>#N/A</v>
      </c>
      <c r="AC5" t="str">
        <f>CONCATENATE("M(",S3,")=")</f>
        <v>M(5.61111111111111)=</v>
      </c>
      <c r="AD5" t="e">
        <f>Z5+AB5</f>
        <v>#VALUE!</v>
      </c>
      <c r="AE5" s="66" t="str">
        <f t="shared" si="1"/>
        <v>2nd_UWL</v>
      </c>
      <c r="AF5" s="67">
        <f t="shared" si="1"/>
        <v>5.6111111111111107</v>
      </c>
      <c r="AG5" s="88">
        <f>AF7</f>
        <v>7</v>
      </c>
      <c r="AH5" s="83">
        <f>VLOOKUP(AG5,STN_TABLE,2,FALSE)</f>
        <v>10.63</v>
      </c>
      <c r="AI5" s="83">
        <v>1</v>
      </c>
      <c r="AJ5" s="83">
        <f>AH5*AI5</f>
        <v>10.63</v>
      </c>
      <c r="AK5" s="83">
        <f>AG5</f>
        <v>7</v>
      </c>
      <c r="AL5" s="83">
        <f>AJ5*AK5</f>
        <v>74.410000000000011</v>
      </c>
      <c r="AM5" s="84" t="str">
        <f>CONCATENATE("a'(",AG5,")=")</f>
        <v>a'(7)=</v>
      </c>
      <c r="AN5" s="84">
        <f>2*AN3/3*AJ6</f>
        <v>54.804000000000009</v>
      </c>
      <c r="AO5" s="84" t="str">
        <f>CONCATENATE("A(",AG3,")=")</f>
        <v>A(5)=</v>
      </c>
      <c r="AP5" s="84">
        <f>IF(AG3=RisePerWLS,0,VLOOKUP(AG3,STN_TABLE,3,FALSE))</f>
        <v>0.11999999999999957</v>
      </c>
      <c r="AQ5" t="str">
        <f>CONCATENATE("A(",AG5,")=")</f>
        <v>A(7)=</v>
      </c>
      <c r="AR5">
        <f>AN5+AP5</f>
        <v>54.924000000000007</v>
      </c>
    </row>
    <row r="6" spans="1:46" x14ac:dyDescent="0.25">
      <c r="A6">
        <v>3</v>
      </c>
      <c r="B6" s="80">
        <f t="shared" si="2"/>
        <v>1</v>
      </c>
      <c r="C6" s="81">
        <f t="shared" si="3"/>
        <v>0</v>
      </c>
      <c r="D6" s="81">
        <f t="shared" si="4"/>
        <v>0</v>
      </c>
      <c r="E6" s="77">
        <f t="shared" si="5"/>
        <v>0</v>
      </c>
      <c r="G6" t="s">
        <v>102</v>
      </c>
      <c r="H6">
        <f>VLOOKUP(Station_No,RISE_CALC,5,FALSE)</f>
        <v>5.6111111111111107</v>
      </c>
      <c r="K6" t="str">
        <f>CONCATENATE("A(",H6,")=")</f>
        <v>A(5.61111111111111)=</v>
      </c>
      <c r="L6">
        <f>IFERROR(P27,IFERROR(X6,AD9))</f>
        <v>8.9199999999999946</v>
      </c>
      <c r="Q6" s="66" t="str">
        <f t="shared" si="0"/>
        <v>4th_UWL</v>
      </c>
      <c r="R6" s="67">
        <f t="shared" si="0"/>
        <v>7</v>
      </c>
      <c r="U6" t="s">
        <v>103</v>
      </c>
      <c r="W6" t="str">
        <f>CONCATENATE("A(",S3,")=")</f>
        <v>A(5.61111111111111)=</v>
      </c>
      <c r="X6" t="e">
        <f>IF(OR(AD4&lt;=0,AD5&lt;=0),AD9,AD4)</f>
        <v>#VALUE!</v>
      </c>
      <c r="AE6" s="66" t="str">
        <f t="shared" si="1"/>
        <v>3rd_UWL</v>
      </c>
      <c r="AF6" s="67">
        <f t="shared" si="1"/>
        <v>6</v>
      </c>
      <c r="AJ6" s="89">
        <f>SUM(AJ3:AJ5)</f>
        <v>45.670000000000009</v>
      </c>
      <c r="AL6" s="89">
        <f>SUM(AL3:AL5)</f>
        <v>283.45000000000005</v>
      </c>
      <c r="AM6" s="84" t="str">
        <f>CONCATENATE("m'(",AG5,")=")</f>
        <v>m'(7)=</v>
      </c>
      <c r="AN6" s="84">
        <f>2*(AN3*WLS)/3*AL6</f>
        <v>612.25200000000018</v>
      </c>
      <c r="AO6" s="84" t="str">
        <f>CONCATENATE("M(",AG3,")=")</f>
        <v>M(5)=</v>
      </c>
      <c r="AP6" s="84">
        <f>IF(AG3=RisePerWLS,0,VLOOKUP(AG3,STN_TABLE,4,FALSE))</f>
        <v>1.0759999999999961</v>
      </c>
      <c r="AQ6" t="str">
        <f>CONCATENATE("M(",AG5,")=")</f>
        <v>M(7)=</v>
      </c>
      <c r="AR6">
        <f>AN6+AP6</f>
        <v>613.3280000000002</v>
      </c>
    </row>
    <row r="7" spans="1:46" x14ac:dyDescent="0.25">
      <c r="A7">
        <v>4</v>
      </c>
      <c r="B7" s="80">
        <f t="shared" si="2"/>
        <v>1.5</v>
      </c>
      <c r="C7" s="81">
        <f t="shared" si="3"/>
        <v>0</v>
      </c>
      <c r="D7" s="81">
        <f t="shared" si="4"/>
        <v>0</v>
      </c>
      <c r="E7" s="77">
        <f t="shared" si="5"/>
        <v>0</v>
      </c>
      <c r="G7" t="s">
        <v>104</v>
      </c>
      <c r="H7">
        <f>VLOOKUP(Station_No,RISE_CALC,6,FALSE)</f>
        <v>6</v>
      </c>
      <c r="K7" t="str">
        <f>CONCATENATE("M(",H6,")=")</f>
        <v>M(5.61111111111111)=</v>
      </c>
      <c r="L7">
        <f>IFERROR(P28,IFERROR(X7,AD10))</f>
        <v>86.245333333333278</v>
      </c>
      <c r="Q7" s="66"/>
      <c r="R7" s="67"/>
      <c r="W7" t="str">
        <f>CONCATENATE("M(",S3,")=")</f>
        <v>M(5.61111111111111)=</v>
      </c>
      <c r="X7" t="e">
        <f>IF(OR(AD4&lt;=0,AD5&lt;=0),AD10,AD5)</f>
        <v>#VALUE!</v>
      </c>
      <c r="Y7" s="6" t="s">
        <v>93</v>
      </c>
      <c r="Z7" s="70">
        <f>WLS*(U9-U8)</f>
        <v>1.0999999999999994</v>
      </c>
      <c r="AE7" s="66" t="str">
        <f t="shared" si="1"/>
        <v>4th_UWL</v>
      </c>
      <c r="AF7" s="67">
        <f t="shared" si="1"/>
        <v>7</v>
      </c>
      <c r="AH7" s="81"/>
    </row>
    <row r="8" spans="1:46" x14ac:dyDescent="0.25">
      <c r="A8">
        <v>5</v>
      </c>
      <c r="B8" s="80">
        <f t="shared" si="2"/>
        <v>2</v>
      </c>
      <c r="C8" s="81">
        <f t="shared" si="3"/>
        <v>0</v>
      </c>
      <c r="D8" s="81">
        <f t="shared" si="4"/>
        <v>0</v>
      </c>
      <c r="E8" s="77">
        <f t="shared" si="5"/>
        <v>0</v>
      </c>
      <c r="G8" t="s">
        <v>105</v>
      </c>
      <c r="H8">
        <f>VLOOKUP(Station_No,RISE_CALC,7,FALSE)</f>
        <v>7</v>
      </c>
      <c r="K8" t="str">
        <f>CONCATENATE("A(",H7,")=")</f>
        <v>A(6)=</v>
      </c>
      <c r="L8">
        <f>IFERROR(AD15,IFERROR(X24,AD27))</f>
        <v>19.035</v>
      </c>
      <c r="Q8" s="80"/>
      <c r="R8" s="81"/>
      <c r="U8" s="79">
        <f>R3</f>
        <v>5</v>
      </c>
      <c r="V8" s="68">
        <f>VLOOKUP(U8,STN_TABLE,2,FALSE)</f>
        <v>1.2</v>
      </c>
      <c r="W8" s="68">
        <v>1</v>
      </c>
      <c r="X8" s="69">
        <f>V8*W8</f>
        <v>1.2</v>
      </c>
      <c r="Y8" s="78" t="s">
        <v>97</v>
      </c>
      <c r="Z8" s="78"/>
      <c r="AA8" s="78" t="s">
        <v>98</v>
      </c>
      <c r="AB8" s="78"/>
      <c r="AC8" s="7" t="s">
        <v>99</v>
      </c>
      <c r="AD8" s="7"/>
      <c r="AE8" s="66"/>
      <c r="AF8" s="67"/>
      <c r="AG8" s="68" t="e">
        <f>IF(OR(AF12-AF11=AF11-AF10,AF13-AF11=AF11-AF10),AF10,IF(OR(AF12-AF11=AF11-AF9,AF13-AF11=AF11-AF9),AF9,"-"))</f>
        <v>#VALUE!</v>
      </c>
      <c r="AH8" s="69" t="str">
        <f>IFERROR(VLOOKUP(AG8,STN_TABLE,2,FALSE),IF(AF8=RisePerWLS,0,"-"))</f>
        <v>-</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0</v>
      </c>
      <c r="D9" s="81">
        <f t="shared" si="4"/>
        <v>0</v>
      </c>
      <c r="E9" s="77">
        <f t="shared" si="5"/>
        <v>0</v>
      </c>
      <c r="G9" t="s">
        <v>106</v>
      </c>
      <c r="H9">
        <f>VLOOKUP(Station_No,RISE_CALC,8,FALSE)</f>
        <v>7.8833333333333329</v>
      </c>
      <c r="K9" t="str">
        <f>CONCATENATE("M(",H7,")=")</f>
        <v>M(6)=</v>
      </c>
      <c r="L9">
        <f>IFERROR(AD16,IFERROR(X25,AD28))</f>
        <v>192.25489999999999</v>
      </c>
      <c r="Q9" s="80"/>
      <c r="R9" s="81"/>
      <c r="U9" s="88">
        <f>R4</f>
        <v>5.6111111111111107</v>
      </c>
      <c r="V9" s="82">
        <f>VLOOKUP(U9,STN_TABLE,2,FALSE)</f>
        <v>6.8</v>
      </c>
      <c r="W9" s="82">
        <v>2</v>
      </c>
      <c r="X9" s="83">
        <f>V9*W9</f>
        <v>13.6</v>
      </c>
      <c r="Y9" s="84" t="str">
        <f>CONCATENATE("a'(",U9,")=")</f>
        <v>a'(5.61111111111111)=</v>
      </c>
      <c r="Z9" s="84">
        <f>2*Z7/2*V10</f>
        <v>8.7999999999999954</v>
      </c>
      <c r="AA9" s="84" t="str">
        <f>CONCATENATE("A(",U8,")=")</f>
        <v>A(5)=</v>
      </c>
      <c r="AB9" s="84">
        <f>IF(U8=RisePerWLS,0,VLOOKUP(U8,STN_TABLE,3,FALSE))</f>
        <v>0.11999999999999957</v>
      </c>
      <c r="AC9" t="str">
        <f>CONCATENATE("A(",U9,")=")</f>
        <v>A(5.61111111111111)=</v>
      </c>
      <c r="AD9">
        <f>Z9+AB9</f>
        <v>8.9199999999999946</v>
      </c>
      <c r="AE9" s="66" t="str">
        <f t="shared" ref="AE9:AF13" si="6">G6</f>
        <v>2nd_UWL</v>
      </c>
      <c r="AF9" s="67">
        <f t="shared" si="6"/>
        <v>5.6111111111111107</v>
      </c>
      <c r="AG9" s="76">
        <f>AF11</f>
        <v>7</v>
      </c>
      <c r="AH9" s="77">
        <f>VLOOKUP(AG9,STN_TABLE,2,FALSE)</f>
        <v>10.63</v>
      </c>
      <c r="AI9" s="77">
        <v>8</v>
      </c>
      <c r="AJ9" s="77">
        <f>AH9*AI9</f>
        <v>85.04</v>
      </c>
      <c r="AK9" s="77">
        <v>10</v>
      </c>
      <c r="AL9" s="77">
        <f>AH9*AK9</f>
        <v>106.30000000000001</v>
      </c>
      <c r="AM9" s="78" t="s">
        <v>97</v>
      </c>
      <c r="AN9" s="78"/>
      <c r="AO9" s="78" t="s">
        <v>98</v>
      </c>
      <c r="AP9" s="78"/>
      <c r="AQ9" s="7" t="s">
        <v>99</v>
      </c>
      <c r="AR9" s="7"/>
      <c r="AS9" s="7"/>
      <c r="AT9" s="7"/>
    </row>
    <row r="10" spans="1:46" x14ac:dyDescent="0.25">
      <c r="A10">
        <v>7</v>
      </c>
      <c r="B10" s="80">
        <f t="shared" si="2"/>
        <v>4</v>
      </c>
      <c r="C10" s="81">
        <f t="shared" si="3"/>
        <v>0</v>
      </c>
      <c r="D10" s="81">
        <f t="shared" si="4"/>
        <v>0</v>
      </c>
      <c r="E10" s="77">
        <f t="shared" si="5"/>
        <v>0</v>
      </c>
      <c r="G10" t="s">
        <v>107</v>
      </c>
      <c r="H10" t="str">
        <f>VLOOKUP(Station_No,RISE_CALC,9,FALSE)</f>
        <v xml:space="preserve">  </v>
      </c>
      <c r="K10" t="str">
        <f>CONCATENATE("A(",H8,")=")</f>
        <v>A(7)=</v>
      </c>
      <c r="L10">
        <f>IFERROR(AR5,IFERROR(AL12,AR15))</f>
        <v>54.924000000000007</v>
      </c>
      <c r="Q10" s="80"/>
      <c r="R10" s="81"/>
      <c r="V10" s="89">
        <f>SUM(V8:V9)</f>
        <v>8</v>
      </c>
      <c r="X10" s="89">
        <f>SUM(X8:X9)</f>
        <v>14.799999999999999</v>
      </c>
      <c r="Y10" s="84" t="str">
        <f>CONCATENATE("m'(",U9,")=")</f>
        <v>m'(5.61111111111111)=</v>
      </c>
      <c r="Z10" s="84">
        <f>(2*(Z7^2)/6*X10)+(Z9*U8*WLS)</f>
        <v>85.169333333333284</v>
      </c>
      <c r="AA10" s="84" t="str">
        <f>CONCATENATE("M(",U8,")=")</f>
        <v>M(5)=</v>
      </c>
      <c r="AB10" s="84">
        <f>IF(U8=RisePerWLS,0,VLOOKUP(U8,STN_TABLE,4,FALSE))</f>
        <v>1.0759999999999961</v>
      </c>
      <c r="AC10" t="str">
        <f>CONCATENATE("M(",U9,")=")</f>
        <v>M(5.61111111111111)=</v>
      </c>
      <c r="AD10">
        <f>Z10+AB10</f>
        <v>86.245333333333278</v>
      </c>
      <c r="AE10" s="66" t="str">
        <f t="shared" si="6"/>
        <v>3rd_UWL</v>
      </c>
      <c r="AF10" s="67">
        <f t="shared" si="6"/>
        <v>6</v>
      </c>
      <c r="AG10" s="82" t="e">
        <f>IF(AG8-AG9=AG9-AF12,AF12,IF(AG8-AG9=AG9-AF13,AF13,"-"))</f>
        <v>#VALUE!</v>
      </c>
      <c r="AH10" s="83" t="e">
        <f>VLOOKUP(AG10,STN_TABLE,2,FALSE)</f>
        <v>#VALUE!</v>
      </c>
      <c r="AI10" s="83">
        <v>-1</v>
      </c>
      <c r="AJ10" s="83" t="e">
        <f>AH10*AI10</f>
        <v>#VALUE!</v>
      </c>
      <c r="AK10" s="83">
        <v>-1</v>
      </c>
      <c r="AL10" s="83" t="e">
        <f>AH10*AK10</f>
        <v>#VALUE!</v>
      </c>
      <c r="AM10" s="84" t="str">
        <f>CONCATENATE("a'(",AG9,")=")</f>
        <v>a'(7)=</v>
      </c>
      <c r="AN10" s="84" t="e">
        <f>2*AN8/12*AJ11</f>
        <v>#VALUE!</v>
      </c>
      <c r="AO10" s="84" t="e">
        <f>CONCATENATE("A(",AG8,")=")</f>
        <v>#VALUE!</v>
      </c>
      <c r="AP10" s="84" t="e">
        <f>VLOOKUP(AG8,STN_TABLE,3,FALSE)</f>
        <v>#VALUE!</v>
      </c>
      <c r="AQ10" t="str">
        <f>CONCATENATE("A(",AG9,")=")</f>
        <v>A(7)=</v>
      </c>
      <c r="AR10" t="e">
        <f>AN10+AP10</f>
        <v>#VALUE!</v>
      </c>
    </row>
    <row r="11" spans="1:46" x14ac:dyDescent="0.25">
      <c r="A11">
        <v>8</v>
      </c>
      <c r="B11" s="80">
        <f t="shared" si="2"/>
        <v>5</v>
      </c>
      <c r="C11" s="81">
        <f t="shared" si="3"/>
        <v>1.2</v>
      </c>
      <c r="D11" s="81">
        <f t="shared" si="4"/>
        <v>0.11999999999999957</v>
      </c>
      <c r="E11" s="77">
        <f t="shared" si="5"/>
        <v>1.0759999999999961</v>
      </c>
      <c r="G11" t="s">
        <v>108</v>
      </c>
      <c r="H11" t="str">
        <f>VLOOKUP(Station_No,RISE_CALC,10,FALSE)</f>
        <v xml:space="preserve">  </v>
      </c>
      <c r="K11" t="str">
        <f>CONCATENATE("M(",H8,")=")</f>
        <v>M(7)=</v>
      </c>
      <c r="L11">
        <f>IFERROR(AR6,IFERROR(AL13,AR16))</f>
        <v>613.3280000000002</v>
      </c>
      <c r="Q11" s="80"/>
      <c r="R11" s="81"/>
      <c r="AE11" s="66" t="str">
        <f t="shared" si="6"/>
        <v>4th_UWL</v>
      </c>
      <c r="AF11" s="67">
        <f t="shared" si="6"/>
        <v>7</v>
      </c>
      <c r="AJ11" s="89" t="e">
        <f>SUM(AJ8:AJ10)</f>
        <v>#VALUE!</v>
      </c>
      <c r="AL11" s="89" t="e">
        <f>SUM(AL8:AL10)</f>
        <v>#VALUE!</v>
      </c>
      <c r="AM11" s="84" t="str">
        <f>CONCATENATE("m'(",AG9,")=")</f>
        <v>m'(7)=</v>
      </c>
      <c r="AN11" s="84" t="e">
        <f>(2*(AN8^2)/24*AL11)+(AN10*AG8*WLS)</f>
        <v>#VALUE!</v>
      </c>
      <c r="AO11" s="84" t="e">
        <f>CONCATENATE("M(",AG8,")=")</f>
        <v>#VALUE!</v>
      </c>
      <c r="AP11" s="84" t="e">
        <f>VLOOKUP(AG8,STN_TABLE,4,FALSE)</f>
        <v>#VALUE!</v>
      </c>
      <c r="AQ11" t="str">
        <f>CONCATENATE("M(",AG9,")=")</f>
        <v>M(7)=</v>
      </c>
      <c r="AR11" t="e">
        <f>AN11+AP11</f>
        <v>#VALUE!</v>
      </c>
    </row>
    <row r="12" spans="1:46" x14ac:dyDescent="0.25">
      <c r="A12">
        <v>9</v>
      </c>
      <c r="B12" s="80">
        <f t="shared" si="2"/>
        <v>5.6111111111111107</v>
      </c>
      <c r="C12" s="81">
        <f t="shared" si="3"/>
        <v>6.8</v>
      </c>
      <c r="D12" s="81">
        <f t="shared" si="4"/>
        <v>8.9199999999999946</v>
      </c>
      <c r="E12" s="77">
        <f t="shared" si="5"/>
        <v>86.245333333333278</v>
      </c>
      <c r="Q12" s="90" t="s">
        <v>109</v>
      </c>
      <c r="R12" s="81"/>
      <c r="AE12" s="66" t="str">
        <f t="shared" si="6"/>
        <v>5th_UWL</v>
      </c>
      <c r="AF12" s="67">
        <f t="shared" si="6"/>
        <v>7.8833333333333329</v>
      </c>
      <c r="AI12" t="s">
        <v>103</v>
      </c>
      <c r="AK12" t="str">
        <f>CONCATENATE("A(",AG9,")=")</f>
        <v>A(7)=</v>
      </c>
      <c r="AL12" t="e">
        <f>IF(OR(AR10&lt;=0,AR11&lt;=0),AR15,AR10)</f>
        <v>#VALUE!</v>
      </c>
    </row>
    <row r="13" spans="1:46" x14ac:dyDescent="0.25">
      <c r="A13">
        <v>10</v>
      </c>
      <c r="B13" s="80">
        <f t="shared" si="2"/>
        <v>6</v>
      </c>
      <c r="C13" s="81">
        <f t="shared" si="3"/>
        <v>8.4600000000000009</v>
      </c>
      <c r="D13" s="81">
        <f t="shared" si="4"/>
        <v>19.035</v>
      </c>
      <c r="E13" s="77">
        <f t="shared" si="5"/>
        <v>192.25489999999999</v>
      </c>
      <c r="G13" s="71" t="s">
        <v>110</v>
      </c>
      <c r="Q13" s="66" t="str">
        <f t="shared" ref="Q13:R16" si="7">G4</f>
        <v>Rise</v>
      </c>
      <c r="R13" s="67">
        <f t="shared" si="7"/>
        <v>4.9444444444444446</v>
      </c>
      <c r="S13" s="68" t="str">
        <f>IF(R16-R15=R15-R14,R14,IF(R16-R14=R14-R13,R13,"-"))</f>
        <v>-</v>
      </c>
      <c r="T13" s="69">
        <f>IFERROR(VLOOKUP(S13,STN_TABLE,2,FALSE),IF(R13=RisePerWLS,0,"-"))</f>
        <v>0</v>
      </c>
      <c r="U13" s="69">
        <v>1</v>
      </c>
      <c r="V13" s="69">
        <f>T13*U13</f>
        <v>0</v>
      </c>
      <c r="W13" s="69" t="str">
        <f>S13</f>
        <v>-</v>
      </c>
      <c r="X13" s="69" t="e">
        <f>V13*W13</f>
        <v>#VALUE!</v>
      </c>
      <c r="Y13" s="6" t="s">
        <v>93</v>
      </c>
      <c r="Z13" s="70" t="e">
        <f>IF(AND(T13=0,T14=0,T15=0),WLS*(S15-S14),IF(AND(S15-S14=S14-S13,S14&lt;&gt;S15,S13&lt;&gt;S14,S13&lt;&gt;S15,T15&lt;&gt;0,OR(T13&lt;&gt;0,T14&lt;&gt;0)),WLS*(S15-S14),"#NA"))</f>
        <v>#N/A</v>
      </c>
      <c r="AE13" s="66" t="str">
        <f t="shared" si="6"/>
        <v>6th_UWL</v>
      </c>
      <c r="AF13" s="67" t="str">
        <f t="shared" si="6"/>
        <v xml:space="preserve">  </v>
      </c>
      <c r="AK13" t="str">
        <f>CONCATENATE("M(",AG9,")=")</f>
        <v>M(7)=</v>
      </c>
      <c r="AL13" t="e">
        <f>IF(OR(AR10&lt;=0,AR11&lt;=0),AR16,AR11)</f>
        <v>#VALUE!</v>
      </c>
      <c r="AM13" s="6" t="s">
        <v>93</v>
      </c>
      <c r="AN13" s="70">
        <f>WLS*(AI15-AI14)</f>
        <v>1.8</v>
      </c>
    </row>
    <row r="14" spans="1:46" x14ac:dyDescent="0.25">
      <c r="A14">
        <v>11</v>
      </c>
      <c r="B14" s="80">
        <f t="shared" si="2"/>
        <v>7</v>
      </c>
      <c r="C14" s="81">
        <f t="shared" si="3"/>
        <v>10.63</v>
      </c>
      <c r="D14" s="81">
        <f t="shared" si="4"/>
        <v>54.924000000000007</v>
      </c>
      <c r="E14" s="77">
        <f t="shared" si="5"/>
        <v>613.3280000000002</v>
      </c>
      <c r="G14" s="91" t="str">
        <f>G4</f>
        <v>Rise</v>
      </c>
      <c r="H14" s="91">
        <f>RisePerWLS</f>
        <v>4.9444444444444446</v>
      </c>
      <c r="I14" s="68">
        <f>H14</f>
        <v>4.9444444444444446</v>
      </c>
      <c r="J14" s="69">
        <v>0</v>
      </c>
      <c r="K14" s="69">
        <v>5</v>
      </c>
      <c r="L14" s="69">
        <f>J14*K14</f>
        <v>0</v>
      </c>
      <c r="M14" s="69">
        <v>3</v>
      </c>
      <c r="N14" s="69">
        <f>J14*M14</f>
        <v>0</v>
      </c>
      <c r="O14" t="s">
        <v>93</v>
      </c>
      <c r="P14" t="e">
        <f>IF(AND(NOT(AND(J14=0,J15=0)),I14&lt;&gt;I15,I15&lt;&gt;I16,I16-I15=I15-I14),(I16-I15)*WLS,"#NA")</f>
        <v>#VALUE!</v>
      </c>
      <c r="Q14" s="66" t="str">
        <f t="shared" si="7"/>
        <v>1st_UWL</v>
      </c>
      <c r="R14" s="67">
        <f t="shared" si="7"/>
        <v>5</v>
      </c>
      <c r="S14" s="76" t="str">
        <f>IF(R16-R15=R15-R14,R15,IF(R16-R14=R14-R13,R14,"-"))</f>
        <v>-</v>
      </c>
      <c r="T14" s="77" t="e">
        <f>VLOOKUP(S14,STN_TABLE,2,FALSE)</f>
        <v>#N/A</v>
      </c>
      <c r="U14" s="77">
        <v>4</v>
      </c>
      <c r="V14" s="77" t="e">
        <f>T14*U14</f>
        <v>#N/A</v>
      </c>
      <c r="W14" s="77" t="str">
        <f>S14</f>
        <v>-</v>
      </c>
      <c r="X14" s="77" t="e">
        <f>V14*W14</f>
        <v>#N/A</v>
      </c>
      <c r="Y14" s="78" t="s">
        <v>97</v>
      </c>
      <c r="Z14" s="78"/>
      <c r="AA14" s="78" t="s">
        <v>98</v>
      </c>
      <c r="AB14" s="78"/>
      <c r="AC14" s="7" t="s">
        <v>99</v>
      </c>
      <c r="AD14" s="7"/>
      <c r="AE14" s="66"/>
      <c r="AF14" s="67"/>
      <c r="AI14" s="79">
        <f>AF10</f>
        <v>6</v>
      </c>
      <c r="AJ14" s="68">
        <f>VLOOKUP(AI14,STN_TABLE,2,FALSE)</f>
        <v>8.4600000000000009</v>
      </c>
      <c r="AK14" s="68">
        <v>1</v>
      </c>
      <c r="AL14" s="69">
        <f>AJ14*AK14</f>
        <v>8.4600000000000009</v>
      </c>
      <c r="AM14" s="78" t="s">
        <v>97</v>
      </c>
      <c r="AN14" s="78"/>
      <c r="AO14" s="78" t="s">
        <v>98</v>
      </c>
      <c r="AP14" s="78"/>
      <c r="AQ14" s="7" t="s">
        <v>99</v>
      </c>
      <c r="AR14" s="7"/>
      <c r="AS14" s="7"/>
      <c r="AT14" s="7"/>
    </row>
    <row r="15" spans="1:46" x14ac:dyDescent="0.25">
      <c r="A15">
        <v>12</v>
      </c>
      <c r="B15" s="80">
        <f t="shared" si="2"/>
        <v>7.8833333333333329</v>
      </c>
      <c r="C15" s="81">
        <f t="shared" si="3"/>
        <v>11.52</v>
      </c>
      <c r="D15" s="81">
        <f t="shared" si="4"/>
        <v>90.142499999999984</v>
      </c>
      <c r="E15" s="77">
        <f t="shared" si="5"/>
        <v>1085.4548089999998</v>
      </c>
      <c r="G15" s="91" t="str">
        <f>G5</f>
        <v>1st_UWL</v>
      </c>
      <c r="H15" s="91">
        <f>H5</f>
        <v>5</v>
      </c>
      <c r="I15" s="76">
        <f>H15</f>
        <v>5</v>
      </c>
      <c r="J15" s="77">
        <f>VLOOKUP(I15,STN_TABLE,2,FALSE)</f>
        <v>1.2</v>
      </c>
      <c r="K15" s="77">
        <v>8</v>
      </c>
      <c r="L15" s="77">
        <f>J15*K15</f>
        <v>9.6</v>
      </c>
      <c r="M15" s="77">
        <v>10</v>
      </c>
      <c r="N15" s="77">
        <f>J15*M15</f>
        <v>12</v>
      </c>
      <c r="O15" t="str">
        <f>CONCATENATE("A(",I15,")=")</f>
        <v>A(5)=</v>
      </c>
      <c r="P15" t="e">
        <f>2*P14/12*L17</f>
        <v>#VALUE!</v>
      </c>
      <c r="Q15" s="66" t="str">
        <f t="shared" si="7"/>
        <v>2nd_UWL</v>
      </c>
      <c r="R15" s="67">
        <f t="shared" si="7"/>
        <v>5.6111111111111107</v>
      </c>
      <c r="S15" s="82">
        <f>R16</f>
        <v>6</v>
      </c>
      <c r="T15" s="83">
        <f>VLOOKUP(S15,STN_TABLE,2,FALSE)</f>
        <v>8.4600000000000009</v>
      </c>
      <c r="U15" s="83">
        <v>1</v>
      </c>
      <c r="V15" s="83">
        <f>T15*U15</f>
        <v>8.4600000000000009</v>
      </c>
      <c r="W15" s="83">
        <f>S15</f>
        <v>6</v>
      </c>
      <c r="X15" s="83">
        <f>V15*W15</f>
        <v>50.760000000000005</v>
      </c>
      <c r="Y15" s="84" t="str">
        <f>CONCATENATE("a'(",S15,")=")</f>
        <v>a'(6)=</v>
      </c>
      <c r="Z15" s="84" t="e">
        <f>2*Z13/3*V16</f>
        <v>#N/A</v>
      </c>
      <c r="AA15" s="84" t="str">
        <f>CONCATENATE("A(",S13,")=")</f>
        <v>A(-)=</v>
      </c>
      <c r="AB15" s="84" t="e">
        <f>IF(S13=RisePerWLS,0,VLOOKUP(S13,STN_TABLE,3,FALSE))</f>
        <v>#N/A</v>
      </c>
      <c r="AC15" t="str">
        <f>CONCATENATE("A(",S15,")=")</f>
        <v>A(6)=</v>
      </c>
      <c r="AD15" t="e">
        <f>Z15+AB15</f>
        <v>#N/A</v>
      </c>
      <c r="AE15" s="80"/>
      <c r="AI15" s="88">
        <f>AF11</f>
        <v>7</v>
      </c>
      <c r="AJ15" s="82">
        <f>VLOOKUP(AI15,STN_TABLE,2,FALSE)</f>
        <v>10.63</v>
      </c>
      <c r="AK15" s="82">
        <v>2</v>
      </c>
      <c r="AL15" s="83">
        <f>AJ15*AK15</f>
        <v>21.26</v>
      </c>
      <c r="AM15" s="84" t="str">
        <f>CONCATENATE("a'(",AI15,")=")</f>
        <v>a'(7)=</v>
      </c>
      <c r="AN15" s="84">
        <f>2*AN13/2*AJ16</f>
        <v>34.362000000000009</v>
      </c>
      <c r="AO15" s="84" t="str">
        <f>CONCATENATE("A(",AI14,")=")</f>
        <v>A(6)=</v>
      </c>
      <c r="AP15" s="84">
        <f>IF(AI14=RisePerWLS,0,VLOOKUP(AI14,STN_TABLE,3,FALSE))</f>
        <v>19.035</v>
      </c>
      <c r="AQ15" t="str">
        <f>CONCATENATE("A(",AI15,")=")</f>
        <v>A(7)=</v>
      </c>
      <c r="AR15">
        <f>AN15+AP15</f>
        <v>53.397000000000006</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5.6111111111111107</v>
      </c>
      <c r="I16" s="82" t="str">
        <f>IF(H16-H15=H15-H14,H16,"#NA")</f>
        <v>#NA</v>
      </c>
      <c r="J16" s="83" t="e">
        <f>VLOOKUP(I16,STN_TABLE,2,FALSE)</f>
        <v>#N/A</v>
      </c>
      <c r="K16" s="83">
        <v>-1</v>
      </c>
      <c r="L16" s="83" t="e">
        <f>J16*K16</f>
        <v>#N/A</v>
      </c>
      <c r="M16" s="83">
        <v>-1</v>
      </c>
      <c r="N16" s="83" t="e">
        <f>J16*M16</f>
        <v>#N/A</v>
      </c>
      <c r="O16" t="str">
        <f>CONCATENATE("M(",I15,")=")</f>
        <v>M(5)=</v>
      </c>
      <c r="P16" t="e">
        <f>(2*(P14^2)/24*N17)+P15*I14*WLS</f>
        <v>#VALUE!</v>
      </c>
      <c r="Q16" s="66" t="str">
        <f t="shared" si="7"/>
        <v>3rd_UWL</v>
      </c>
      <c r="R16" s="67">
        <f t="shared" si="7"/>
        <v>6</v>
      </c>
      <c r="V16" s="89" t="e">
        <f>SUM(V13:V15)</f>
        <v>#N/A</v>
      </c>
      <c r="X16" s="89" t="e">
        <f>SUM(X13:X15)</f>
        <v>#VALUE!</v>
      </c>
      <c r="Y16" s="84" t="str">
        <f>CONCATENATE("m'(",S15,")=")</f>
        <v>m'(6)=</v>
      </c>
      <c r="Z16" s="84" t="e">
        <f>2*(Z13*WLS)/3*X16</f>
        <v>#N/A</v>
      </c>
      <c r="AA16" s="84" t="str">
        <f>CONCATENATE("M(",S13,")=")</f>
        <v>M(-)=</v>
      </c>
      <c r="AB16" s="84" t="e">
        <f>IF(S13=RisePerWLS,0,VLOOKUP(S13,STN_TABLE,4,FALSE))</f>
        <v>#N/A</v>
      </c>
      <c r="AC16" t="str">
        <f>CONCATENATE("M(",S15,")=")</f>
        <v>M(6)=</v>
      </c>
      <c r="AD16" t="e">
        <f>Z16+AB16</f>
        <v>#N/A</v>
      </c>
      <c r="AE16" s="80"/>
      <c r="AJ16" s="89">
        <f>SUM(AJ14:AJ15)</f>
        <v>19.090000000000003</v>
      </c>
      <c r="AL16" s="89">
        <f>SUM(AL14:AL15)</f>
        <v>29.720000000000002</v>
      </c>
      <c r="AM16" s="84" t="str">
        <f>CONCATENATE("m'(",AI15,")=")</f>
        <v>m'(7)=</v>
      </c>
      <c r="AN16" s="84">
        <f>(2*(AN13^2)/6*AL16)+(AN15*AI14*WLS)</f>
        <v>403.20720000000011</v>
      </c>
      <c r="AO16" s="84" t="str">
        <f>CONCATENATE("M(",AI14,")=")</f>
        <v>M(6)=</v>
      </c>
      <c r="AP16" s="84">
        <f>IF(AI14=RisePerWLS,0,VLOOKUP(AI14,STN_TABLE,4,FALSE))</f>
        <v>192.25489999999999</v>
      </c>
      <c r="AQ16" t="str">
        <f>CONCATENATE("M(",AI15,")=")</f>
        <v>M(7)=</v>
      </c>
      <c r="AR16">
        <f>AN16+AP16</f>
        <v>595.46210000000008</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A(5)=</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M(5)=</v>
      </c>
      <c r="N19" t="e">
        <f>IF(OR(P15&lt;=0,P16&lt;=0),N23,P16)</f>
        <v>#VALUE!</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f>IF(OR(R24-R23=R23-R22,R25-R23=R23-R22),R22,IF(OR(R24-R23=R23-R21,R25-R23=R23-R21),R21,"-"))</f>
        <v>5</v>
      </c>
      <c r="T20" s="69">
        <f>IFERROR(VLOOKUP(S20,STN_TABLE,2,FALSE),IF(R20=RisePerWLS,0,"-"))</f>
        <v>1.2</v>
      </c>
      <c r="U20" s="69">
        <v>5</v>
      </c>
      <c r="V20" s="69">
        <f>T20*U20</f>
        <v>6</v>
      </c>
      <c r="W20" s="69">
        <v>3</v>
      </c>
      <c r="X20" s="69">
        <f>T20*W20</f>
        <v>3.5999999999999996</v>
      </c>
      <c r="Y20" s="6" t="s">
        <v>93</v>
      </c>
      <c r="Z20" s="70">
        <f>IF(AND(S22-S21=S21-S20,NOT(AND(S20=0,S21=0)),NOT(AND(S21=0,S22=0))),WLS*(S22-S21),"#NA")</f>
        <v>1.8</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4.9444444444444446</v>
      </c>
      <c r="J21" s="68">
        <v>0</v>
      </c>
      <c r="K21" s="68">
        <v>1</v>
      </c>
      <c r="L21" s="69">
        <f>J21*K21</f>
        <v>0</v>
      </c>
      <c r="M21" t="s">
        <v>93</v>
      </c>
      <c r="N21">
        <f>(I22-I21)*WLS</f>
        <v>9.9999999999999645E-2</v>
      </c>
      <c r="Q21" s="66" t="str">
        <f t="shared" ref="Q21:R25" si="8">G5</f>
        <v>1st_UWL</v>
      </c>
      <c r="R21" s="67">
        <f t="shared" si="8"/>
        <v>5</v>
      </c>
      <c r="S21" s="76">
        <f>R23</f>
        <v>6</v>
      </c>
      <c r="T21" s="77">
        <f>VLOOKUP(S21,STN_TABLE,2,FALSE)</f>
        <v>8.4600000000000009</v>
      </c>
      <c r="U21" s="77">
        <v>8</v>
      </c>
      <c r="V21" s="77">
        <f>T21*U21</f>
        <v>67.680000000000007</v>
      </c>
      <c r="W21" s="77">
        <v>10</v>
      </c>
      <c r="X21" s="77">
        <f>T21*W21</f>
        <v>84.600000000000009</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5</v>
      </c>
      <c r="J22" s="82">
        <f>VLOOKUP(I22,STN_TABLE,2,FALSE)</f>
        <v>1.2</v>
      </c>
      <c r="K22" s="82">
        <v>2</v>
      </c>
      <c r="L22" s="83">
        <f>J22*K22</f>
        <v>2.4</v>
      </c>
      <c r="M22" t="str">
        <f>CONCATENATE("A(",I22,")=")</f>
        <v>A(5)=</v>
      </c>
      <c r="N22">
        <f>2*N21/2*J23</f>
        <v>0.11999999999999957</v>
      </c>
      <c r="Q22" s="66" t="str">
        <f t="shared" si="8"/>
        <v>2nd_UWL</v>
      </c>
      <c r="R22" s="67">
        <f t="shared" si="8"/>
        <v>5.6111111111111107</v>
      </c>
      <c r="S22" s="82">
        <f>IF(S20-S21=S21-R24,R24,IF(S20-S21=S21-R25,R25,"-"))</f>
        <v>7</v>
      </c>
      <c r="T22" s="83">
        <f>VLOOKUP(S22,STN_TABLE,2,FALSE)</f>
        <v>10.63</v>
      </c>
      <c r="U22" s="83">
        <v>-1</v>
      </c>
      <c r="V22" s="83">
        <f>T22*U22</f>
        <v>-10.63</v>
      </c>
      <c r="W22" s="83">
        <v>-1</v>
      </c>
      <c r="X22" s="83">
        <f>T22*W22</f>
        <v>-10.63</v>
      </c>
      <c r="Y22" s="84" t="str">
        <f>CONCATENATE("a'(",S21,")=")</f>
        <v>a'(6)=</v>
      </c>
      <c r="Z22" s="84">
        <f>2*Z20/12*V23</f>
        <v>18.914999999999999</v>
      </c>
      <c r="AA22" s="84" t="str">
        <f>CONCATENATE("A(",S20,")=")</f>
        <v>A(5)=</v>
      </c>
      <c r="AB22" s="84">
        <f>IF(S20=RisePerWLS,0,VLOOKUP(S20,STN_TABLE,3,FALSE))</f>
        <v>0.11999999999999957</v>
      </c>
      <c r="AC22" t="str">
        <f>CONCATENATE("A(",S21,")=")</f>
        <v>A(6)=</v>
      </c>
      <c r="AD22">
        <f>Z22+AB22</f>
        <v>19.035</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1.2</v>
      </c>
      <c r="L23" s="89">
        <f>SUM(L21:L22)</f>
        <v>2.4</v>
      </c>
      <c r="M23" t="str">
        <f>CONCATENATE("M(",I22,")=")</f>
        <v>M(5)=</v>
      </c>
      <c r="N23">
        <f>(2*(N21^2)/6*L23)+N22*I21*WLS</f>
        <v>1.0759999999999961</v>
      </c>
      <c r="Q23" s="66" t="str">
        <f t="shared" si="8"/>
        <v>3rd_UWL</v>
      </c>
      <c r="R23" s="67">
        <f t="shared" si="8"/>
        <v>6</v>
      </c>
      <c r="V23" s="89">
        <f>SUM(V20:V22)</f>
        <v>63.050000000000004</v>
      </c>
      <c r="X23" s="89">
        <f>SUM(X20:X22)</f>
        <v>77.570000000000007</v>
      </c>
      <c r="Y23" s="84" t="str">
        <f>CONCATENATE("m'(",S21,")=")</f>
        <v>m'(6)=</v>
      </c>
      <c r="Z23" s="84">
        <f>(2*(Z20^2)/24*X23)+(Z22*S20*WLS)</f>
        <v>191.1789</v>
      </c>
      <c r="AA23" s="84" t="str">
        <f>CONCATENATE("M(",S20,")=")</f>
        <v>M(5)=</v>
      </c>
      <c r="AB23" s="84">
        <f>IF(S20=RisePerWLS,0,VLOOKUP(S20,STN_TABLE,4,FALSE))</f>
        <v>1.0759999999999961</v>
      </c>
      <c r="AC23" t="str">
        <f>CONCATENATE("M(",S21,")=")</f>
        <v>M(6)=</v>
      </c>
      <c r="AD23">
        <f>Z23+AB23</f>
        <v>192.25489999999999</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7</v>
      </c>
      <c r="U24" t="s">
        <v>103</v>
      </c>
      <c r="W24" t="str">
        <f>CONCATENATE("A(",S21,")=")</f>
        <v>A(6)=</v>
      </c>
      <c r="X24">
        <f>IF(OR(AD22&lt;=0,AD23&lt;=0),AD27,AD22)</f>
        <v>19.035</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f t="shared" si="8"/>
        <v>7.8833333333333329</v>
      </c>
      <c r="W25" t="str">
        <f>CONCATENATE("M(",S21,")=")</f>
        <v>M(6)=</v>
      </c>
      <c r="X25">
        <f>IF(OR(AD22&lt;=0,AD23&lt;=0),AD28,AD23)</f>
        <v>192.25489999999999</v>
      </c>
      <c r="Y25" s="6" t="s">
        <v>93</v>
      </c>
      <c r="Z25" s="70">
        <f>WLS*(U27-U26)</f>
        <v>0.70000000000000073</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4.9444444444444446</v>
      </c>
      <c r="I26" s="68">
        <f>H26</f>
        <v>4.9444444444444446</v>
      </c>
      <c r="J26" s="69">
        <v>0</v>
      </c>
      <c r="K26" s="69">
        <v>1</v>
      </c>
      <c r="L26" s="69">
        <f>J26*K26</f>
        <v>0</v>
      </c>
      <c r="M26" s="69">
        <f>I26</f>
        <v>4.9444444444444446</v>
      </c>
      <c r="N26" s="69">
        <f>L26*M26</f>
        <v>0</v>
      </c>
      <c r="O26" t="s">
        <v>93</v>
      </c>
      <c r="P26" t="e">
        <f>IF(OR(J26=0,J27=0,J28=0),"#NA",IF(I28-I27=I27-I26,WLS*(I27-I26),"#NA"))</f>
        <v>#N/A</v>
      </c>
      <c r="Q26" s="66"/>
      <c r="R26" s="67"/>
      <c r="U26" s="79">
        <f>R22</f>
        <v>5.6111111111111107</v>
      </c>
      <c r="V26" s="68">
        <f>VLOOKUP(U26,STN_TABLE,2,FALSE)</f>
        <v>6.8</v>
      </c>
      <c r="W26" s="68">
        <v>1</v>
      </c>
      <c r="X26" s="69">
        <f>V26*W26</f>
        <v>6.8</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5</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6</v>
      </c>
      <c r="V27" s="82">
        <f>VLOOKUP(U27,STN_TABLE,2,FALSE)</f>
        <v>8.4600000000000009</v>
      </c>
      <c r="W27" s="82">
        <v>2</v>
      </c>
      <c r="X27" s="83">
        <f>V27*W27</f>
        <v>16.920000000000002</v>
      </c>
      <c r="Y27" s="84" t="str">
        <f>CONCATENATE("a'(",U27,")=")</f>
        <v>a'(6)=</v>
      </c>
      <c r="Z27" s="84">
        <f>2*Z25/2*V28</f>
        <v>10.682000000000013</v>
      </c>
      <c r="AA27" s="84" t="str">
        <f>CONCATENATE("A(",U26,")=")</f>
        <v>A(5.61111111111111)=</v>
      </c>
      <c r="AB27" s="84">
        <f>IF(U26=RisePerWLS,0,VLOOKUP(U26,STN_TABLE,3,FALSE))</f>
        <v>8.9199999999999946</v>
      </c>
      <c r="AC27" t="str">
        <f>CONCATENATE("A(",U27,")=")</f>
        <v>A(6)=</v>
      </c>
      <c r="AD27">
        <f>Z27+AB27</f>
        <v>19.602000000000007</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5.6111111111111107</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15.260000000000002</v>
      </c>
      <c r="X28" s="89">
        <f>SUM(X26:X27)</f>
        <v>23.720000000000002</v>
      </c>
      <c r="Y28" s="84" t="str">
        <f>CONCATENATE("m'(",U27,")=")</f>
        <v>m'(6)=</v>
      </c>
      <c r="Z28" s="84">
        <f>(2*(Z25^2)/6*X28)+(Z27*U26*WLS)</f>
        <v>111.7624666666668</v>
      </c>
      <c r="AA28" s="84" t="str">
        <f>CONCATENATE("M(",U26,")=")</f>
        <v>M(5.61111111111111)=</v>
      </c>
      <c r="AB28" s="84">
        <f>IF(U26=RisePerWLS,0,VLOOKUP(U26,STN_TABLE,4,FALSE))</f>
        <v>86.245333333333278</v>
      </c>
      <c r="AC28" t="str">
        <f>CONCATENATE("M(",U27,")=")</f>
        <v>M(6)=</v>
      </c>
      <c r="AD28">
        <f>Z28+AB28</f>
        <v>198.00780000000009</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0</v>
      </c>
      <c r="S33" s="77">
        <v>8</v>
      </c>
      <c r="T33" s="76">
        <f>R33*S33</f>
        <v>0</v>
      </c>
      <c r="U33" s="80">
        <v>10</v>
      </c>
      <c r="V33" s="76">
        <f>R33*U33</f>
        <v>0</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0</v>
      </c>
      <c r="S34" s="83">
        <v>-1</v>
      </c>
      <c r="T34" s="82">
        <f>R34*S34</f>
        <v>0</v>
      </c>
      <c r="U34" s="88">
        <v>-1</v>
      </c>
      <c r="V34" s="82">
        <f>R34*U34</f>
        <v>0</v>
      </c>
      <c r="W34" s="84" t="str">
        <f>CONCATENATE("a'(",Q33,")=")</f>
        <v>a'(0.5)=</v>
      </c>
      <c r="X34" s="84">
        <f>2*X32/12*T35</f>
        <v>0</v>
      </c>
      <c r="Y34" s="84" t="str">
        <f>CONCATENATE("A(",Q32,")=")</f>
        <v>A(0)=</v>
      </c>
      <c r="Z34" s="84">
        <f>VLOOKUP(Q32,STN_TABLE,3,FALSE)</f>
        <v>0</v>
      </c>
      <c r="AA34" t="str">
        <f>CONCATENATE("A(",Q33,")=")</f>
        <v>A(0.5)=</v>
      </c>
      <c r="AB34">
        <f>X34+Z34</f>
        <v>0</v>
      </c>
      <c r="AC34" s="99">
        <f>AC33+1</f>
        <v>2</v>
      </c>
      <c r="AD34" s="100">
        <f>VLOOKUP(AC34,STN_TABLE_2,2,FALSE)</f>
        <v>0.5</v>
      </c>
      <c r="AE34" s="82">
        <f>VLOOKUP(AD34,STN_TABLE,2,FALSE)</f>
        <v>0</v>
      </c>
      <c r="AF34" s="82">
        <v>2</v>
      </c>
      <c r="AG34" s="83">
        <f>AE34*AF34</f>
        <v>0</v>
      </c>
      <c r="AH34" s="84" t="str">
        <f>CONCATENATE("a'(",AD34,")=")</f>
        <v>a'(0.5)=</v>
      </c>
      <c r="AI34" s="84">
        <f>2*AI32/2*AE35</f>
        <v>0</v>
      </c>
      <c r="AJ34" s="84" t="str">
        <f>CONCATENATE("A(",AD33,")=")</f>
        <v>A(0)=</v>
      </c>
      <c r="AK34" s="84">
        <f>VLOOKUP(AD33,STN_TABLE,3,FALSE)</f>
        <v>0</v>
      </c>
      <c r="AL34" t="str">
        <f>CONCATENATE("A(",AD34,")=")</f>
        <v>A(0.5)=</v>
      </c>
      <c r="AM34">
        <f>AI34+AK34</f>
        <v>0</v>
      </c>
      <c r="AO34" s="68" t="str">
        <f>AA34</f>
        <v>A(0.5)=</v>
      </c>
      <c r="AP34" s="79" t="e">
        <f>VLOOKUP(AO34,Rise_Results,2,FALSE)</f>
        <v>#N/A</v>
      </c>
      <c r="AQ34" s="76" t="s">
        <v>117</v>
      </c>
      <c r="AR34" s="76" t="e">
        <f>IF(OR(AB34&lt;=0,AB35&lt;=0),1/0,AB34)</f>
        <v>#DIV/0!</v>
      </c>
      <c r="AS34" s="76">
        <f>AM34</f>
        <v>0</v>
      </c>
      <c r="AT34" s="80">
        <f>IFERROR(AP34,IFERROR(AR34,AS34))</f>
        <v>0</v>
      </c>
    </row>
    <row r="35" spans="1:47" x14ac:dyDescent="0.25">
      <c r="A35" s="101"/>
      <c r="T35" s="89">
        <f>SUM(T32:T34)</f>
        <v>0</v>
      </c>
      <c r="V35" s="82">
        <f>SUM(V32:V34)</f>
        <v>0</v>
      </c>
      <c r="W35" s="84" t="str">
        <f>CONCATENATE("m'(",Q33,")=")</f>
        <v>m'(0.5)=</v>
      </c>
      <c r="X35" s="84">
        <f>(2*(X32^2)/24*V35)</f>
        <v>0</v>
      </c>
      <c r="Y35" s="84" t="str">
        <f>CONCATENATE("M(",Q32,")=")</f>
        <v>M(0)=</v>
      </c>
      <c r="Z35" s="84">
        <f>VLOOKUP(Q32,STN_TABLE,4,FALSE)</f>
        <v>0</v>
      </c>
      <c r="AA35" t="str">
        <f>CONCATENATE("M(",Q33,")=")</f>
        <v>M(0.5)=</v>
      </c>
      <c r="AB35">
        <f>X35+Z35</f>
        <v>0</v>
      </c>
      <c r="AE35" s="89">
        <f>SUM(AE33:AE34)</f>
        <v>0</v>
      </c>
      <c r="AG35" s="89">
        <f>SUM(AG33:AG34)</f>
        <v>0</v>
      </c>
      <c r="AH35" s="84" t="str">
        <f>CONCATENATE("m'(",AD34,")=")</f>
        <v>m'(0.5)=</v>
      </c>
      <c r="AI35" s="84">
        <f>(2*(AI32^2)/6*AG35)+(AI34*AD33*WLS)</f>
        <v>0</v>
      </c>
      <c r="AJ35" s="84" t="str">
        <f>CONCATENATE("M(",AD33,")=")</f>
        <v>M(0)=</v>
      </c>
      <c r="AK35" s="84">
        <f>VLOOKUP(AD33,STN_TABLE,4,FALSE)</f>
        <v>0</v>
      </c>
      <c r="AL35" t="str">
        <f>CONCATENATE("M(",AD34,")=")</f>
        <v>M(0.5)=</v>
      </c>
      <c r="AM35">
        <f>AI35+AK35</f>
        <v>0</v>
      </c>
      <c r="AO35" s="82" t="str">
        <f>AA35</f>
        <v>M(0.5)=</v>
      </c>
      <c r="AP35" s="88" t="e">
        <f>VLOOKUP(AO35,Rise_Results,2,FALSE)</f>
        <v>#N/A</v>
      </c>
      <c r="AQ35" s="82" t="s">
        <v>117</v>
      </c>
      <c r="AR35" s="82" t="e">
        <f>IF(OR(AB34&lt;=0,AB35&lt;=0),1/0,AB35)</f>
        <v>#DIV/0!</v>
      </c>
      <c r="AS35" s="82">
        <f>AM35</f>
        <v>0</v>
      </c>
      <c r="AT35" s="80">
        <f>IFERROR(AP35,IFERROR(AR35,AS35))</f>
        <v>0</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0</v>
      </c>
      <c r="S37" s="69">
        <v>5</v>
      </c>
      <c r="T37" s="68">
        <f>R37*S37</f>
        <v>0</v>
      </c>
      <c r="U37" s="79">
        <v>3</v>
      </c>
      <c r="V37" s="68">
        <f>R37*U37</f>
        <v>0</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0</v>
      </c>
      <c r="E38" s="81">
        <v>4</v>
      </c>
      <c r="F38" s="76">
        <f>D38*E38</f>
        <v>0</v>
      </c>
      <c r="G38" s="77">
        <f>C38</f>
        <v>0.5</v>
      </c>
      <c r="H38" s="77">
        <f>F38*G38</f>
        <v>0</v>
      </c>
      <c r="I38" s="513" t="s">
        <v>97</v>
      </c>
      <c r="J38" s="513"/>
      <c r="K38" s="78" t="s">
        <v>98</v>
      </c>
      <c r="L38" s="78"/>
      <c r="M38" s="7" t="s">
        <v>99</v>
      </c>
      <c r="N38" s="7"/>
      <c r="O38" s="99">
        <f>O37+1</f>
        <v>3</v>
      </c>
      <c r="P38" s="99">
        <f t="shared" si="10"/>
        <v>1</v>
      </c>
      <c r="Q38" s="76">
        <f>P38</f>
        <v>1</v>
      </c>
      <c r="R38" s="77">
        <f>VLOOKUP(Q38,STN_TABLE,2,FALSE)</f>
        <v>0</v>
      </c>
      <c r="S38" s="77">
        <v>8</v>
      </c>
      <c r="T38" s="76">
        <f>R38*S38</f>
        <v>0</v>
      </c>
      <c r="U38" s="80">
        <v>10</v>
      </c>
      <c r="V38" s="76">
        <f>R38*U38</f>
        <v>0</v>
      </c>
      <c r="W38" s="513" t="s">
        <v>97</v>
      </c>
      <c r="X38" s="513"/>
      <c r="Y38" s="513" t="s">
        <v>98</v>
      </c>
      <c r="Z38" s="513"/>
      <c r="AA38" s="511" t="s">
        <v>99</v>
      </c>
      <c r="AB38" s="511"/>
      <c r="AC38" s="99">
        <f>AC33+1</f>
        <v>2</v>
      </c>
      <c r="AD38" s="95">
        <f>VLOOKUP(AC38,STN_TABLE_2,2,FALSE)</f>
        <v>0.5</v>
      </c>
      <c r="AE38" s="68">
        <f>VLOOKUP(AD38,STN_TABLE,2,FALSE)</f>
        <v>0</v>
      </c>
      <c r="AF38" s="68">
        <v>1</v>
      </c>
      <c r="AG38" s="69">
        <f>AE38*AF38</f>
        <v>0</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0</v>
      </c>
      <c r="E39" s="92">
        <v>1</v>
      </c>
      <c r="F39" s="82">
        <f>D39*E39</f>
        <v>0</v>
      </c>
      <c r="G39" s="83">
        <f>C39</f>
        <v>1</v>
      </c>
      <c r="H39" s="83">
        <f>F39*G39</f>
        <v>0</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0</v>
      </c>
      <c r="S39" s="83">
        <v>-1</v>
      </c>
      <c r="T39" s="82">
        <f>R39*S39</f>
        <v>0</v>
      </c>
      <c r="U39" s="88">
        <v>-1</v>
      </c>
      <c r="V39" s="82">
        <f>R39*U39</f>
        <v>0</v>
      </c>
      <c r="W39" s="84" t="str">
        <f>CONCATENATE("a'(",Q38,")=")</f>
        <v>a'(1)=</v>
      </c>
      <c r="X39" s="84">
        <f>2*X37/12*T40</f>
        <v>0</v>
      </c>
      <c r="Y39" s="84" t="str">
        <f>CONCATENATE("A(",Q37,")=")</f>
        <v>A(0.5)=</v>
      </c>
      <c r="Z39" s="84">
        <f>VLOOKUP(Q37,STN_TABLE,3,FALSE)</f>
        <v>0</v>
      </c>
      <c r="AA39" t="str">
        <f>CONCATENATE("A(",Q38,")=")</f>
        <v>A(1)=</v>
      </c>
      <c r="AB39">
        <f>X39+Z39</f>
        <v>0</v>
      </c>
      <c r="AC39" s="99">
        <f>AC38+1</f>
        <v>3</v>
      </c>
      <c r="AD39" s="100">
        <f>VLOOKUP(AC39,STN_TABLE_2,2,FALSE)</f>
        <v>1</v>
      </c>
      <c r="AE39" s="82">
        <f>VLOOKUP(AD39,STN_TABLE,2,FALSE)</f>
        <v>0</v>
      </c>
      <c r="AF39" s="82">
        <v>2</v>
      </c>
      <c r="AG39" s="83">
        <f>AE39*AF39</f>
        <v>0</v>
      </c>
      <c r="AH39" s="84" t="str">
        <f>CONCATENATE("a'(",AD39,")=")</f>
        <v>a'(1)=</v>
      </c>
      <c r="AI39" s="84">
        <f>2*AI37/2*AE40</f>
        <v>0</v>
      </c>
      <c r="AJ39" s="84" t="str">
        <f>CONCATENATE("A(",AD38,")=")</f>
        <v>A(0.5)=</v>
      </c>
      <c r="AK39" s="84">
        <f>VLOOKUP(AD38,STN_TABLE,3,FALSE)</f>
        <v>0</v>
      </c>
      <c r="AL39" t="str">
        <f>CONCATENATE("A(",AD39,")=")</f>
        <v>A(1)=</v>
      </c>
      <c r="AM39">
        <f>AI39+AK39</f>
        <v>0</v>
      </c>
      <c r="AO39" s="68" t="str">
        <f>AA39</f>
        <v>A(1)=</v>
      </c>
      <c r="AP39" s="68" t="e">
        <f>VLOOKUP(AO39,Rise_Results,2,FALSE)</f>
        <v>#N/A</v>
      </c>
      <c r="AQ39" s="76" t="e">
        <f>N39</f>
        <v>#VALUE!</v>
      </c>
      <c r="AR39" s="76" t="e">
        <f>IF(OR(AB39&lt;=0,AB40&lt;=0),1/0,AB39)</f>
        <v>#DIV/0!</v>
      </c>
      <c r="AS39" s="76">
        <f>AM39</f>
        <v>0</v>
      </c>
      <c r="AT39">
        <f>IFERROR(AP39,IFERROR(AQ39,IFERROR(AR39,AS39)))</f>
        <v>0</v>
      </c>
    </row>
    <row r="40" spans="1:47" x14ac:dyDescent="0.25">
      <c r="A40">
        <v>4</v>
      </c>
      <c r="F40" s="82">
        <f>SUM(F37:F39)</f>
        <v>0</v>
      </c>
      <c r="H40" s="82">
        <f>SUM(H37:H39)</f>
        <v>0</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0</v>
      </c>
      <c r="V40" s="82">
        <f>SUM(V37:V39)</f>
        <v>0</v>
      </c>
      <c r="W40" s="84" t="str">
        <f>CONCATENATE("m'(",Q38,")=")</f>
        <v>m'(1)=</v>
      </c>
      <c r="X40" s="84">
        <f>(2*(X37^2)/24*V40)+(X39*Q37*WLS)</f>
        <v>0</v>
      </c>
      <c r="Y40" s="84" t="str">
        <f>CONCATENATE("M(",Q37,")=")</f>
        <v>M(0.5)=</v>
      </c>
      <c r="Z40" s="84">
        <f>VLOOKUP(Q37,STN_TABLE,4,FALSE)</f>
        <v>0</v>
      </c>
      <c r="AA40" t="str">
        <f>CONCATENATE("M(",Q38,")=")</f>
        <v>M(1)=</v>
      </c>
      <c r="AB40">
        <f>X40+Z40</f>
        <v>0</v>
      </c>
      <c r="AE40" s="89">
        <f>SUM(AE38:AE39)</f>
        <v>0</v>
      </c>
      <c r="AG40" s="89">
        <f>SUM(AG38:AG39)</f>
        <v>0</v>
      </c>
      <c r="AH40" s="84" t="str">
        <f>CONCATENATE("m'(",AD39,")=")</f>
        <v>m'(1)=</v>
      </c>
      <c r="AI40" s="84">
        <f>(2*(AI37^2)/6*AG40)+(AI39*AD38*WLS)</f>
        <v>0</v>
      </c>
      <c r="AJ40" s="84" t="str">
        <f>CONCATENATE("M(",AD38,")=")</f>
        <v>M(0.5)=</v>
      </c>
      <c r="AK40" s="84">
        <f>VLOOKUP(AD38,STN_TABLE,4,FALSE)</f>
        <v>0</v>
      </c>
      <c r="AL40" t="str">
        <f>CONCATENATE("M(",AD39,")=")</f>
        <v>M(1)=</v>
      </c>
      <c r="AM40">
        <f>AI40+AK40</f>
        <v>0</v>
      </c>
      <c r="AO40" s="82" t="str">
        <f>AA40</f>
        <v>M(1)=</v>
      </c>
      <c r="AP40" s="82" t="e">
        <f>VLOOKUP(AO40,Rise_Results,2,FALSE)</f>
        <v>#N/A</v>
      </c>
      <c r="AQ40" s="82" t="e">
        <f>N40</f>
        <v>#VALUE!</v>
      </c>
      <c r="AR40" s="82" t="e">
        <f>IF(OR(AB39&lt;=0,AB40&lt;=0),1/0,AB40)</f>
        <v>#DIV/0!</v>
      </c>
      <c r="AS40" s="82">
        <f>AM40</f>
        <v>0</v>
      </c>
      <c r="AT40">
        <f>IFERROR(AP40,IFERROR(AQ40,IFERROR(AR40,AS40)))</f>
        <v>0</v>
      </c>
    </row>
    <row r="41" spans="1:47" x14ac:dyDescent="0.25">
      <c r="A41" s="94">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0</v>
      </c>
      <c r="E42" s="102">
        <v>1</v>
      </c>
      <c r="F42" s="68">
        <f>D42*E42</f>
        <v>0</v>
      </c>
      <c r="G42" s="69">
        <f>C42</f>
        <v>0.5</v>
      </c>
      <c r="H42" s="69">
        <f>F42*G42</f>
        <v>0</v>
      </c>
      <c r="I42" s="6" t="s">
        <v>93</v>
      </c>
      <c r="J42" s="70" t="str">
        <f>IF(OR(D42=0,D43=0,D44=0),"#NA",IF(AND(C44-C43=C43-C42,C43&lt;&gt;C44,C42&lt;&gt;C43,C42&lt;&gt;C44,D44&lt;&gt;0,OR(D42&lt;&gt;0,D43&lt;&gt;0)),WLS*(C44-C43),"#NA"))</f>
        <v>#NA</v>
      </c>
      <c r="O42" s="99">
        <f>O41+1</f>
        <v>3</v>
      </c>
      <c r="P42" s="99">
        <f t="shared" si="10"/>
        <v>1</v>
      </c>
      <c r="Q42" s="68">
        <f>IF(OR(P44-P43=P43-P42,P45-P43=P43-P42),P42,IF(OR(P44-P43=P43-P41,P45-P43=P43-P41),P41,"-"))</f>
        <v>1</v>
      </c>
      <c r="R42" s="69">
        <f>VLOOKUP(Q42,STN_TABLE,2,FALSE)</f>
        <v>0</v>
      </c>
      <c r="S42" s="69">
        <v>5</v>
      </c>
      <c r="T42" s="68">
        <f>R42*S42</f>
        <v>0</v>
      </c>
      <c r="U42" s="79">
        <v>3</v>
      </c>
      <c r="V42" s="68">
        <f>R42*U42</f>
        <v>0</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0</v>
      </c>
      <c r="E43" s="81">
        <v>4</v>
      </c>
      <c r="F43" s="76">
        <f>D43*E43</f>
        <v>0</v>
      </c>
      <c r="G43" s="77">
        <f>C43</f>
        <v>1</v>
      </c>
      <c r="H43" s="77">
        <f>F43*G43</f>
        <v>0</v>
      </c>
      <c r="I43" s="513" t="s">
        <v>97</v>
      </c>
      <c r="J43" s="513"/>
      <c r="K43" s="78" t="s">
        <v>98</v>
      </c>
      <c r="L43" s="78"/>
      <c r="M43" s="7" t="s">
        <v>99</v>
      </c>
      <c r="N43" s="7"/>
      <c r="O43" s="99">
        <f>O42+1</f>
        <v>4</v>
      </c>
      <c r="P43" s="99">
        <f t="shared" si="10"/>
        <v>1.5</v>
      </c>
      <c r="Q43" s="76">
        <f>P43</f>
        <v>1.5</v>
      </c>
      <c r="R43" s="77">
        <f>VLOOKUP(Q43,STN_TABLE,2,FALSE)</f>
        <v>0</v>
      </c>
      <c r="S43" s="77">
        <v>8</v>
      </c>
      <c r="T43" s="76">
        <f>R43*S43</f>
        <v>0</v>
      </c>
      <c r="U43" s="80">
        <v>10</v>
      </c>
      <c r="V43" s="76">
        <f>R43*U43</f>
        <v>0</v>
      </c>
      <c r="W43" s="513" t="s">
        <v>97</v>
      </c>
      <c r="X43" s="513"/>
      <c r="Y43" s="513" t="s">
        <v>98</v>
      </c>
      <c r="Z43" s="513"/>
      <c r="AA43" s="511" t="s">
        <v>99</v>
      </c>
      <c r="AB43" s="511"/>
      <c r="AC43" s="99">
        <f>AC38+1</f>
        <v>3</v>
      </c>
      <c r="AD43" s="95">
        <f>VLOOKUP(AC43,STN_TABLE_2,2,FALSE)</f>
        <v>1</v>
      </c>
      <c r="AE43" s="68">
        <f>VLOOKUP(AD43,STN_TABLE,2,FALSE)</f>
        <v>0</v>
      </c>
      <c r="AF43" s="68">
        <v>1</v>
      </c>
      <c r="AG43" s="69">
        <f>AE43*AF43</f>
        <v>0</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0</v>
      </c>
      <c r="E44" s="92">
        <v>1</v>
      </c>
      <c r="F44" s="82">
        <f>D44*E44</f>
        <v>0</v>
      </c>
      <c r="G44" s="83">
        <f>C44</f>
        <v>1.5</v>
      </c>
      <c r="H44" s="83">
        <f>F44*G44</f>
        <v>0</v>
      </c>
      <c r="I44" s="84" t="str">
        <f>CONCATENATE("a'(",C44,")=")</f>
        <v>a'(1.5)=</v>
      </c>
      <c r="J44" s="84" t="e">
        <f>2*J42/3*F45</f>
        <v>#VALUE!</v>
      </c>
      <c r="K44" s="84" t="str">
        <f>CONCATENATE("A(",C42,")=")</f>
        <v>A(0.5)=</v>
      </c>
      <c r="L44" s="84">
        <f>VLOOKUP(C42,STN_TABLE,3,FALSE)</f>
        <v>0</v>
      </c>
      <c r="M44" t="str">
        <f>CONCATENATE("A(",C44,")=")</f>
        <v>A(1.5)=</v>
      </c>
      <c r="N44" t="e">
        <f>J44+L44</f>
        <v>#VALUE!</v>
      </c>
      <c r="O44" s="99">
        <f>O43+1</f>
        <v>5</v>
      </c>
      <c r="P44" s="99">
        <f t="shared" si="10"/>
        <v>2</v>
      </c>
      <c r="Q44" s="82">
        <f>IF(P44-P43=P43-P42,P44,IF(P45-P43=P43-P42,P45,IF(P44-P43=P43-P41,P44,IF(P45-P43=P43-P41,P45,"-"))))</f>
        <v>2</v>
      </c>
      <c r="R44" s="83">
        <f>VLOOKUP(Q44,STN_TABLE,2,FALSE)</f>
        <v>0</v>
      </c>
      <c r="S44" s="83">
        <v>-1</v>
      </c>
      <c r="T44" s="82">
        <f>R44*S44</f>
        <v>0</v>
      </c>
      <c r="U44" s="88">
        <v>-1</v>
      </c>
      <c r="V44" s="82">
        <f>R44*U44</f>
        <v>0</v>
      </c>
      <c r="W44" s="84" t="str">
        <f>CONCATENATE("a'(",Q43,")=")</f>
        <v>a'(1.5)=</v>
      </c>
      <c r="X44" s="84">
        <f>2*X42/12*T45</f>
        <v>0</v>
      </c>
      <c r="Y44" s="84" t="str">
        <f>CONCATENATE("A(",Q42,")=")</f>
        <v>A(1)=</v>
      </c>
      <c r="Z44" s="84">
        <f>VLOOKUP(Q42,STN_TABLE,3,FALSE)</f>
        <v>0</v>
      </c>
      <c r="AA44" t="str">
        <f>CONCATENATE("A(",Q43,")=")</f>
        <v>A(1.5)=</v>
      </c>
      <c r="AB44">
        <f>X44+Z44</f>
        <v>0</v>
      </c>
      <c r="AC44" s="99">
        <f>AC43+1</f>
        <v>4</v>
      </c>
      <c r="AD44" s="100">
        <f>VLOOKUP(AC44,STN_TABLE_2,2,FALSE)</f>
        <v>1.5</v>
      </c>
      <c r="AE44" s="82">
        <f>VLOOKUP(AD44,STN_TABLE,2,FALSE)</f>
        <v>0</v>
      </c>
      <c r="AF44" s="82">
        <v>2</v>
      </c>
      <c r="AG44" s="83">
        <f>AE44*AF44</f>
        <v>0</v>
      </c>
      <c r="AH44" s="84" t="str">
        <f>CONCATENATE("a'(",AD44,")=")</f>
        <v>a'(1.5)=</v>
      </c>
      <c r="AI44" s="84">
        <f>2*AI42/2*AE45</f>
        <v>0</v>
      </c>
      <c r="AJ44" s="84" t="str">
        <f>CONCATENATE("A(",AD43,")=")</f>
        <v>A(1)=</v>
      </c>
      <c r="AK44" s="84">
        <f>VLOOKUP(AD43,STN_TABLE,3,FALSE)</f>
        <v>0</v>
      </c>
      <c r="AL44" t="str">
        <f>CONCATENATE("A(",AD44,")=")</f>
        <v>A(1.5)=</v>
      </c>
      <c r="AM44">
        <f>AI44+AK44</f>
        <v>0</v>
      </c>
      <c r="AO44" s="68" t="str">
        <f>AA44</f>
        <v>A(1.5)=</v>
      </c>
      <c r="AP44" s="68" t="e">
        <f>VLOOKUP(AO44,Rise_Results,2,FALSE)</f>
        <v>#N/A</v>
      </c>
      <c r="AQ44" s="76" t="e">
        <f>N44</f>
        <v>#VALUE!</v>
      </c>
      <c r="AR44" s="76" t="e">
        <f>IF(OR(AB44&lt;=0,AB45&lt;=0),1/0,AB44)</f>
        <v>#DIV/0!</v>
      </c>
      <c r="AS44" s="76">
        <f>AM44</f>
        <v>0</v>
      </c>
      <c r="AT44">
        <f>IFERROR(AP44,IFERROR(AQ44,IFERROR(AR44,AS44)))</f>
        <v>0</v>
      </c>
      <c r="AU44" s="81"/>
    </row>
    <row r="45" spans="1:47" x14ac:dyDescent="0.25">
      <c r="A45" s="94">
        <f>A44+1</f>
        <v>4</v>
      </c>
      <c r="B45" s="94">
        <f t="shared" si="11"/>
        <v>1.5</v>
      </c>
      <c r="F45" s="82">
        <f>SUM(F42:F44)</f>
        <v>0</v>
      </c>
      <c r="H45" s="82">
        <f>SUM(H42:H44)</f>
        <v>0</v>
      </c>
      <c r="I45" s="84" t="str">
        <f>CONCATENATE("m'(",C44,")=")</f>
        <v>m'(1.5)=</v>
      </c>
      <c r="J45" s="84" t="e">
        <f>2*(J42*(WLS))/3*H45</f>
        <v>#VALUE!</v>
      </c>
      <c r="K45" s="84" t="str">
        <f>CONCATENATE("M(",C42,")=")</f>
        <v>M(0.5)=</v>
      </c>
      <c r="L45" s="84">
        <f>VLOOKUP(C42,STN_TABLE,4,FALSE)</f>
        <v>0</v>
      </c>
      <c r="M45" t="str">
        <f>CONCATENATE("M(",C44,")=")</f>
        <v>M(1.5)=</v>
      </c>
      <c r="N45" t="e">
        <f>J45+L45</f>
        <v>#VALUE!</v>
      </c>
      <c r="O45" s="99">
        <f>O44+1</f>
        <v>6</v>
      </c>
      <c r="P45" s="99">
        <f t="shared" si="10"/>
        <v>3</v>
      </c>
      <c r="T45" s="89">
        <f>SUM(T42:T44)</f>
        <v>0</v>
      </c>
      <c r="V45" s="82">
        <f>SUM(V42:V44)</f>
        <v>0</v>
      </c>
      <c r="W45" s="84" t="str">
        <f>CONCATENATE("m'(",Q43,")=")</f>
        <v>m'(1.5)=</v>
      </c>
      <c r="X45" s="84">
        <f>(2*(X42^2)/24*V45)+(X44*Q42*WLS)</f>
        <v>0</v>
      </c>
      <c r="Y45" s="84" t="str">
        <f>CONCATENATE("M(",Q42,")=")</f>
        <v>M(1)=</v>
      </c>
      <c r="Z45" s="84">
        <f>VLOOKUP(Q42,STN_TABLE,4,FALSE)</f>
        <v>0</v>
      </c>
      <c r="AA45" t="str">
        <f>CONCATENATE("M(",Q43,")=")</f>
        <v>M(1.5)=</v>
      </c>
      <c r="AB45">
        <f>X45+Z45</f>
        <v>0</v>
      </c>
      <c r="AE45" s="89">
        <f>SUM(AE43:AE44)</f>
        <v>0</v>
      </c>
      <c r="AG45" s="89">
        <f>SUM(AG43:AG44)</f>
        <v>0</v>
      </c>
      <c r="AH45" s="84" t="str">
        <f>CONCATENATE("m'(",AD44,")=")</f>
        <v>m'(1.5)=</v>
      </c>
      <c r="AI45" s="84">
        <f>(2*(AI42^2)/6*AG45)+(AI44*AD43*WLS)</f>
        <v>0</v>
      </c>
      <c r="AJ45" s="84" t="str">
        <f>CONCATENATE("M(",AD43,")=")</f>
        <v>M(1)=</v>
      </c>
      <c r="AK45" s="84">
        <f>VLOOKUP(AD43,STN_TABLE,4,FALSE)</f>
        <v>0</v>
      </c>
      <c r="AL45" t="str">
        <f>CONCATENATE("M(",AD44,")=")</f>
        <v>M(1.5)=</v>
      </c>
      <c r="AM45">
        <f>AI45+AK45</f>
        <v>0</v>
      </c>
      <c r="AO45" s="82" t="str">
        <f>AA45</f>
        <v>M(1.5)=</v>
      </c>
      <c r="AP45" s="82" t="e">
        <f>VLOOKUP(AO45,Rise_Results,2,FALSE)</f>
        <v>#N/A</v>
      </c>
      <c r="AQ45" s="82" t="e">
        <f>N45</f>
        <v>#VALUE!</v>
      </c>
      <c r="AR45" s="82" t="e">
        <f>IF(OR(AB44&lt;=0,AB45&lt;=0),1/0,AB45)</f>
        <v>#DIV/0!</v>
      </c>
      <c r="AS45" s="82">
        <f>AM45</f>
        <v>0</v>
      </c>
      <c r="AT45">
        <f>IFERROR(AP45,IFERROR(AQ45,IFERROR(AR45,AS45)))</f>
        <v>0</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0</v>
      </c>
      <c r="E47" s="102">
        <v>1</v>
      </c>
      <c r="F47" s="68">
        <f>D47*E47</f>
        <v>0</v>
      </c>
      <c r="G47" s="69">
        <f>C47</f>
        <v>1</v>
      </c>
      <c r="H47" s="69">
        <f>F47*G47</f>
        <v>0</v>
      </c>
      <c r="I47" s="6" t="s">
        <v>93</v>
      </c>
      <c r="J47" s="70" t="str">
        <f>IF(OR(D47=0,D48=0,D49=0),"#NA",IF(AND(C49-C48=C48-C47,C48&lt;&gt;C49,C47&lt;&gt;C48,C47&lt;&gt;C49,D49&lt;&gt;0,OR(D47&lt;&gt;0,D48&lt;&gt;0)),WLS*(C49-C48),"#NA"))</f>
        <v>#NA</v>
      </c>
      <c r="O47" s="99">
        <f>O46+1</f>
        <v>4</v>
      </c>
      <c r="P47" s="99">
        <f t="shared" si="10"/>
        <v>1.5</v>
      </c>
      <c r="Q47" s="68">
        <f>IF(OR(P49-P48=P48-P47,P50-P48=P48-P47),P47,IF(OR(P49-P48=P48-P46,P50-P48=P48-P46),P46,"-"))</f>
        <v>1</v>
      </c>
      <c r="R47" s="69">
        <f>VLOOKUP(Q47,STN_TABLE,2,FALSE)</f>
        <v>0</v>
      </c>
      <c r="S47" s="69">
        <v>5</v>
      </c>
      <c r="T47" s="68">
        <f>R47*S47</f>
        <v>0</v>
      </c>
      <c r="U47" s="79">
        <v>3</v>
      </c>
      <c r="V47" s="68">
        <f>R47*U47</f>
        <v>0</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0</v>
      </c>
      <c r="E48" s="81">
        <v>4</v>
      </c>
      <c r="F48" s="76">
        <f>D48*E48</f>
        <v>0</v>
      </c>
      <c r="G48" s="77">
        <f>C48</f>
        <v>1.5</v>
      </c>
      <c r="H48" s="77">
        <f>F48*G48</f>
        <v>0</v>
      </c>
      <c r="I48" s="513" t="s">
        <v>97</v>
      </c>
      <c r="J48" s="513"/>
      <c r="K48" s="78" t="s">
        <v>98</v>
      </c>
      <c r="L48" s="78"/>
      <c r="M48" s="7" t="s">
        <v>99</v>
      </c>
      <c r="N48" s="7"/>
      <c r="O48" s="99">
        <f>O47+1</f>
        <v>5</v>
      </c>
      <c r="P48" s="99">
        <f t="shared" si="10"/>
        <v>2</v>
      </c>
      <c r="Q48" s="76">
        <f>P48</f>
        <v>2</v>
      </c>
      <c r="R48" s="77">
        <f>VLOOKUP(Q48,STN_TABLE,2,FALSE)</f>
        <v>0</v>
      </c>
      <c r="S48" s="77">
        <v>8</v>
      </c>
      <c r="T48" s="76">
        <f>R48*S48</f>
        <v>0</v>
      </c>
      <c r="U48" s="80">
        <v>10</v>
      </c>
      <c r="V48" s="76">
        <f>R48*U48</f>
        <v>0</v>
      </c>
      <c r="W48" s="513" t="s">
        <v>97</v>
      </c>
      <c r="X48" s="513"/>
      <c r="Y48" s="513" t="s">
        <v>98</v>
      </c>
      <c r="Z48" s="513"/>
      <c r="AA48" s="511" t="s">
        <v>99</v>
      </c>
      <c r="AB48" s="511"/>
      <c r="AC48" s="99">
        <f>AC43+1</f>
        <v>4</v>
      </c>
      <c r="AD48" s="95">
        <f>VLOOKUP(AC48,STN_TABLE_2,2,FALSE)</f>
        <v>1.5</v>
      </c>
      <c r="AE48" s="68">
        <f>VLOOKUP(AD48,STN_TABLE,2,FALSE)</f>
        <v>0</v>
      </c>
      <c r="AF48" s="68">
        <v>1</v>
      </c>
      <c r="AG48" s="69">
        <f>AE48*AF48</f>
        <v>0</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0</v>
      </c>
      <c r="E49" s="92">
        <v>1</v>
      </c>
      <c r="F49" s="82">
        <f>D49*E49</f>
        <v>0</v>
      </c>
      <c r="G49" s="83">
        <f>C49</f>
        <v>2</v>
      </c>
      <c r="H49" s="83">
        <f>F49*G49</f>
        <v>0</v>
      </c>
      <c r="I49" s="84" t="str">
        <f>CONCATENATE("a'(",C49,")=")</f>
        <v>a'(2)=</v>
      </c>
      <c r="J49" s="84" t="e">
        <f>2*J47/3*F50</f>
        <v>#VALUE!</v>
      </c>
      <c r="K49" s="84" t="str">
        <f>CONCATENATE("A(",C47,")=")</f>
        <v>A(1)=</v>
      </c>
      <c r="L49" s="84">
        <f>VLOOKUP(C47,STN_TABLE,3,FALSE)</f>
        <v>0</v>
      </c>
      <c r="M49" t="str">
        <f>CONCATENATE("A(",C49,")=")</f>
        <v>A(2)=</v>
      </c>
      <c r="N49" t="e">
        <f>J49+L49</f>
        <v>#VALUE!</v>
      </c>
      <c r="O49" s="99">
        <f>O48+1</f>
        <v>6</v>
      </c>
      <c r="P49" s="99">
        <f t="shared" si="10"/>
        <v>3</v>
      </c>
      <c r="Q49" s="82">
        <f>IF(P49-P48=P48-P47,P49,IF(P50-P48=P48-P47,P50,IF(P49-P48=P48-P46,P49,IF(P50-P48=P48-P46,P50,"-"))))</f>
        <v>3</v>
      </c>
      <c r="R49" s="83">
        <f>VLOOKUP(Q49,STN_TABLE,2,FALSE)</f>
        <v>0</v>
      </c>
      <c r="S49" s="83">
        <v>-1</v>
      </c>
      <c r="T49" s="82">
        <f>R49*S49</f>
        <v>0</v>
      </c>
      <c r="U49" s="88">
        <v>-1</v>
      </c>
      <c r="V49" s="82">
        <f>R49*U49</f>
        <v>0</v>
      </c>
      <c r="W49" s="84" t="str">
        <f>CONCATENATE("a'(",Q48,")=")</f>
        <v>a'(2)=</v>
      </c>
      <c r="X49" s="84">
        <f>2*X47/12*T50</f>
        <v>0</v>
      </c>
      <c r="Y49" s="84" t="str">
        <f>CONCATENATE("A(",Q47,")=")</f>
        <v>A(1)=</v>
      </c>
      <c r="Z49" s="84">
        <f>VLOOKUP(Q47,STN_TABLE,3,FALSE)</f>
        <v>0</v>
      </c>
      <c r="AA49" t="str">
        <f>CONCATENATE("A(",Q48,")=")</f>
        <v>A(2)=</v>
      </c>
      <c r="AB49">
        <f>X49+Z49</f>
        <v>0</v>
      </c>
      <c r="AC49" s="99">
        <f>AC48+1</f>
        <v>5</v>
      </c>
      <c r="AD49" s="100">
        <f>VLOOKUP(AC49,STN_TABLE_2,2,FALSE)</f>
        <v>2</v>
      </c>
      <c r="AE49" s="82">
        <f>VLOOKUP(AD49,STN_TABLE,2,FALSE)</f>
        <v>0</v>
      </c>
      <c r="AF49" s="82">
        <v>2</v>
      </c>
      <c r="AG49" s="83">
        <f>AE49*AF49</f>
        <v>0</v>
      </c>
      <c r="AH49" s="84" t="str">
        <f>CONCATENATE("a'(",AD49,")=")</f>
        <v>a'(2)=</v>
      </c>
      <c r="AI49" s="84">
        <f>2*AI47/2*AE50</f>
        <v>0</v>
      </c>
      <c r="AJ49" s="84" t="str">
        <f>CONCATENATE("A(",AD48,")=")</f>
        <v>A(1.5)=</v>
      </c>
      <c r="AK49" s="84">
        <f>VLOOKUP(AD48,STN_TABLE,3,FALSE)</f>
        <v>0</v>
      </c>
      <c r="AL49" t="str">
        <f>CONCATENATE("A(",AD49,")=")</f>
        <v>A(2)=</v>
      </c>
      <c r="AM49">
        <f>AI49+AK49</f>
        <v>0</v>
      </c>
      <c r="AO49" s="68" t="str">
        <f>AA49</f>
        <v>A(2)=</v>
      </c>
      <c r="AP49" s="68" t="e">
        <f>VLOOKUP(AO49,Rise_Results,2,FALSE)</f>
        <v>#N/A</v>
      </c>
      <c r="AQ49" s="76" t="e">
        <f>N49</f>
        <v>#VALUE!</v>
      </c>
      <c r="AR49" s="76" t="e">
        <f>IF(OR(AB49&lt;=0,AB50&lt;=0),1/0,AB49)</f>
        <v>#DIV/0!</v>
      </c>
      <c r="AS49" s="76">
        <f>AM49</f>
        <v>0</v>
      </c>
      <c r="AT49">
        <f>IFERROR(AP49,IFERROR(AQ49,IFERROR(AR49,AS49)))</f>
        <v>0</v>
      </c>
      <c r="AU49" s="81"/>
    </row>
    <row r="50" spans="1:47" x14ac:dyDescent="0.25">
      <c r="A50" s="84">
        <f>A49+1</f>
        <v>5</v>
      </c>
      <c r="B50" s="84">
        <f t="shared" si="11"/>
        <v>2</v>
      </c>
      <c r="F50" s="82">
        <f>SUM(F47:F49)</f>
        <v>0</v>
      </c>
      <c r="H50" s="82">
        <f>SUM(H47:H49)</f>
        <v>0</v>
      </c>
      <c r="I50" s="84" t="str">
        <f>CONCATENATE("m'(",C49,")=")</f>
        <v>m'(2)=</v>
      </c>
      <c r="J50" s="84" t="e">
        <f>2*(J47*(WLS))/3*H50</f>
        <v>#VALUE!</v>
      </c>
      <c r="K50" s="84" t="str">
        <f>CONCATENATE("M(",C47,")=")</f>
        <v>M(1)=</v>
      </c>
      <c r="L50" s="84">
        <f>VLOOKUP(C47,STN_TABLE,4,FALSE)</f>
        <v>0</v>
      </c>
      <c r="M50" t="str">
        <f>CONCATENATE("M(",C49,")=")</f>
        <v>M(2)=</v>
      </c>
      <c r="N50" t="e">
        <f>J50+L50</f>
        <v>#VALUE!</v>
      </c>
      <c r="O50" s="99">
        <f>O49+1</f>
        <v>7</v>
      </c>
      <c r="P50" s="99">
        <f t="shared" si="10"/>
        <v>4</v>
      </c>
      <c r="T50" s="89">
        <f>SUM(T47:T49)</f>
        <v>0</v>
      </c>
      <c r="V50" s="82">
        <f>SUM(V47:V49)</f>
        <v>0</v>
      </c>
      <c r="W50" s="84" t="str">
        <f>CONCATENATE("m'(",Q48,")=")</f>
        <v>m'(2)=</v>
      </c>
      <c r="X50" s="84">
        <f>(2*(X47^2)/24*V50)+(X49*Q47*WLS)</f>
        <v>0</v>
      </c>
      <c r="Y50" s="84" t="str">
        <f>CONCATENATE("M(",Q47,")=")</f>
        <v>M(1)=</v>
      </c>
      <c r="Z50" s="84">
        <f>VLOOKUP(Q47,STN_TABLE,4,FALSE)</f>
        <v>0</v>
      </c>
      <c r="AA50" t="str">
        <f>CONCATENATE("M(",Q48,")=")</f>
        <v>M(2)=</v>
      </c>
      <c r="AB50">
        <f>X50+Z50</f>
        <v>0</v>
      </c>
      <c r="AE50" s="89">
        <f>SUM(AE48:AE49)</f>
        <v>0</v>
      </c>
      <c r="AG50" s="89">
        <f>SUM(AG48:AG49)</f>
        <v>0</v>
      </c>
      <c r="AH50" s="84" t="str">
        <f>CONCATENATE("m'(",AD49,")=")</f>
        <v>m'(2)=</v>
      </c>
      <c r="AI50" s="84">
        <f>(2*(AI47^2)/6*AG50)+(AI49*AD48*WLS)</f>
        <v>0</v>
      </c>
      <c r="AJ50" s="84" t="str">
        <f>CONCATENATE("M(",AD48,")=")</f>
        <v>M(1.5)=</v>
      </c>
      <c r="AK50" s="84">
        <f>VLOOKUP(AD48,STN_TABLE,4,FALSE)</f>
        <v>0</v>
      </c>
      <c r="AL50" t="str">
        <f>CONCATENATE("M(",AD49,")=")</f>
        <v>M(2)=</v>
      </c>
      <c r="AM50">
        <f>AI50+AK50</f>
        <v>0</v>
      </c>
      <c r="AO50" s="82" t="str">
        <f>AA50</f>
        <v>M(2)=</v>
      </c>
      <c r="AP50" s="82" t="e">
        <f>VLOOKUP(AO50,Rise_Results,2,FALSE)</f>
        <v>#N/A</v>
      </c>
      <c r="AQ50" s="82" t="e">
        <f>N50</f>
        <v>#VALUE!</v>
      </c>
      <c r="AR50" s="82" t="e">
        <f>IF(OR(AB49&lt;=0,AB50&lt;=0),1/0,AB50)</f>
        <v>#DIV/0!</v>
      </c>
      <c r="AS50" s="82">
        <f>AM50</f>
        <v>0</v>
      </c>
      <c r="AT50">
        <f>IFERROR(AP50,IFERROR(AQ50,IFERROR(AR50,AS50)))</f>
        <v>0</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0</v>
      </c>
      <c r="E52" s="102">
        <v>1</v>
      </c>
      <c r="F52" s="68">
        <f>D52*E52</f>
        <v>0</v>
      </c>
      <c r="G52" s="69">
        <f>C52</f>
        <v>1</v>
      </c>
      <c r="H52" s="69">
        <f>F52*G52</f>
        <v>0</v>
      </c>
      <c r="I52" s="6" t="s">
        <v>93</v>
      </c>
      <c r="J52" s="70" t="str">
        <f>IF(OR(D52=0,D53=0,D54=0),"#NA",IF(AND(C54-C53=C53-C52,C53&lt;&gt;C54,C52&lt;&gt;C53,C52&lt;&gt;C54,D54&lt;&gt;0,OR(D52&lt;&gt;0,D53&lt;&gt;0)),WLS*(C54-C53),"#NA"))</f>
        <v>#NA</v>
      </c>
      <c r="O52" s="99">
        <f>O51+1</f>
        <v>5</v>
      </c>
      <c r="P52" s="99">
        <f t="shared" si="10"/>
        <v>2</v>
      </c>
      <c r="Q52" s="68">
        <f>IF(OR(P54-P53=P53-P52,P55-P53=P53-P52),P52,IF(OR(P54-P53=P53-P51,P55-P53=P53-P51),P51,"-"))</f>
        <v>2</v>
      </c>
      <c r="R52" s="69">
        <f>VLOOKUP(Q52,STN_TABLE,2,FALSE)</f>
        <v>0</v>
      </c>
      <c r="S52" s="69">
        <v>5</v>
      </c>
      <c r="T52" s="68">
        <f>R52*S52</f>
        <v>0</v>
      </c>
      <c r="U52" s="79">
        <v>3</v>
      </c>
      <c r="V52" s="68">
        <f>R52*U52</f>
        <v>0</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0</v>
      </c>
      <c r="E53" s="81">
        <v>4</v>
      </c>
      <c r="F53" s="76">
        <f>D53*E53</f>
        <v>0</v>
      </c>
      <c r="G53" s="77">
        <f>C53</f>
        <v>2</v>
      </c>
      <c r="H53" s="77">
        <f>F53*G53</f>
        <v>0</v>
      </c>
      <c r="I53" s="512" t="s">
        <v>97</v>
      </c>
      <c r="J53" s="513"/>
      <c r="K53" s="78" t="s">
        <v>98</v>
      </c>
      <c r="L53" s="78"/>
      <c r="M53" s="7" t="s">
        <v>99</v>
      </c>
      <c r="N53" s="7"/>
      <c r="O53" s="99">
        <f>O52+1</f>
        <v>6</v>
      </c>
      <c r="P53" s="99">
        <f t="shared" si="10"/>
        <v>3</v>
      </c>
      <c r="Q53" s="76">
        <f>P53</f>
        <v>3</v>
      </c>
      <c r="R53" s="77">
        <f>VLOOKUP(Q53,STN_TABLE,2,FALSE)</f>
        <v>0</v>
      </c>
      <c r="S53" s="77">
        <v>8</v>
      </c>
      <c r="T53" s="76">
        <f>R53*S53</f>
        <v>0</v>
      </c>
      <c r="U53" s="80">
        <v>10</v>
      </c>
      <c r="V53" s="76">
        <f>R53*U53</f>
        <v>0</v>
      </c>
      <c r="W53" s="513" t="s">
        <v>97</v>
      </c>
      <c r="X53" s="513"/>
      <c r="Y53" s="513" t="s">
        <v>98</v>
      </c>
      <c r="Z53" s="513"/>
      <c r="AA53" s="511" t="s">
        <v>99</v>
      </c>
      <c r="AB53" s="511"/>
      <c r="AC53" s="99">
        <f>AC48+1</f>
        <v>5</v>
      </c>
      <c r="AD53" s="95">
        <f>VLOOKUP(AC53,STN_TABLE_2,2,FALSE)</f>
        <v>2</v>
      </c>
      <c r="AE53" s="68">
        <f>VLOOKUP(AD53,STN_TABLE,2,FALSE)</f>
        <v>0</v>
      </c>
      <c r="AF53" s="68">
        <v>1</v>
      </c>
      <c r="AG53" s="69">
        <f>AE53*AF53</f>
        <v>0</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0</v>
      </c>
      <c r="E54" s="92">
        <v>1</v>
      </c>
      <c r="F54" s="82">
        <f>D54*E54</f>
        <v>0</v>
      </c>
      <c r="G54" s="83">
        <f>C54</f>
        <v>3</v>
      </c>
      <c r="H54" s="83">
        <f>F54*G54</f>
        <v>0</v>
      </c>
      <c r="I54" s="84" t="str">
        <f>CONCATENATE("a'(",C54,")=")</f>
        <v>a'(3)=</v>
      </c>
      <c r="J54" s="84" t="e">
        <f>2*J52/3*F55</f>
        <v>#VALUE!</v>
      </c>
      <c r="K54" s="84" t="str">
        <f>CONCATENATE("A(",C52,")=")</f>
        <v>A(1)=</v>
      </c>
      <c r="L54" s="84">
        <f>VLOOKUP(C52,STN_TABLE,3,FALSE)</f>
        <v>0</v>
      </c>
      <c r="M54" t="str">
        <f>CONCATENATE("A(",C54,")=")</f>
        <v>A(3)=</v>
      </c>
      <c r="N54" t="e">
        <f>J54+L54</f>
        <v>#VALUE!</v>
      </c>
      <c r="O54" s="99">
        <f>O53+1</f>
        <v>7</v>
      </c>
      <c r="P54" s="99">
        <f t="shared" si="10"/>
        <v>4</v>
      </c>
      <c r="Q54" s="82">
        <f>IF(P54-P53=P53-P52,P54,IF(P55-P53=P53-P52,P55,IF(P54-P53=P53-P51,P54,IF(P55-P53=P53-P51,P55,"-"))))</f>
        <v>4</v>
      </c>
      <c r="R54" s="83">
        <f>VLOOKUP(Q54,STN_TABLE,2,FALSE)</f>
        <v>0</v>
      </c>
      <c r="S54" s="83">
        <v>-1</v>
      </c>
      <c r="T54" s="82">
        <f>R54*S54</f>
        <v>0</v>
      </c>
      <c r="U54" s="88">
        <v>-1</v>
      </c>
      <c r="V54" s="82">
        <f>R54*U54</f>
        <v>0</v>
      </c>
      <c r="W54" s="84" t="str">
        <f>CONCATENATE("a'(",Q53,")=")</f>
        <v>a'(3)=</v>
      </c>
      <c r="X54" s="84">
        <f>2*X52/12*T55</f>
        <v>0</v>
      </c>
      <c r="Y54" s="84" t="str">
        <f>CONCATENATE("A(",Q52,")=")</f>
        <v>A(2)=</v>
      </c>
      <c r="Z54" s="84">
        <f>VLOOKUP(Q52,STN_TABLE,3,FALSE)</f>
        <v>0</v>
      </c>
      <c r="AA54" t="str">
        <f>CONCATENATE("A(",Q53,")=")</f>
        <v>A(3)=</v>
      </c>
      <c r="AB54">
        <f>X54+Z54</f>
        <v>0</v>
      </c>
      <c r="AC54" s="99">
        <f>AC53+1</f>
        <v>6</v>
      </c>
      <c r="AD54" s="100">
        <f>VLOOKUP(AC54,STN_TABLE_2,2,FALSE)</f>
        <v>3</v>
      </c>
      <c r="AE54" s="82">
        <f>VLOOKUP(AD54,STN_TABLE,2,FALSE)</f>
        <v>0</v>
      </c>
      <c r="AF54" s="82">
        <v>2</v>
      </c>
      <c r="AG54" s="83">
        <f>AE54*AF54</f>
        <v>0</v>
      </c>
      <c r="AH54" s="84" t="str">
        <f>CONCATENATE("a'(",AD54,")=")</f>
        <v>a'(3)=</v>
      </c>
      <c r="AI54" s="84">
        <f>2*AI52/2*AE55</f>
        <v>0</v>
      </c>
      <c r="AJ54" s="84" t="str">
        <f>CONCATENATE("A(",AD53,")=")</f>
        <v>A(2)=</v>
      </c>
      <c r="AK54" s="84">
        <f>VLOOKUP(AD53,STN_TABLE,3,FALSE)</f>
        <v>0</v>
      </c>
      <c r="AL54" t="str">
        <f>CONCATENATE("A(",AD54,")=")</f>
        <v>A(3)=</v>
      </c>
      <c r="AM54">
        <f>AI54+AK54</f>
        <v>0</v>
      </c>
      <c r="AO54" s="68" t="str">
        <f>AA54</f>
        <v>A(3)=</v>
      </c>
      <c r="AP54" s="68" t="e">
        <f>VLOOKUP(AO54,Rise_Results,2,FALSE)</f>
        <v>#N/A</v>
      </c>
      <c r="AQ54" s="76" t="e">
        <f>N54</f>
        <v>#VALUE!</v>
      </c>
      <c r="AR54" s="76" t="e">
        <f>IF(OR(AB54&lt;=0,AB55&lt;=0),1/0,AB54)</f>
        <v>#DIV/0!</v>
      </c>
      <c r="AS54" s="76">
        <f>AM54</f>
        <v>0</v>
      </c>
      <c r="AT54">
        <f>IFERROR(AP54,IFERROR(AQ54,IFERROR(AR54,AS54)))</f>
        <v>0</v>
      </c>
      <c r="AU54" s="81"/>
    </row>
    <row r="55" spans="1:47" x14ac:dyDescent="0.25">
      <c r="A55" s="84">
        <f>A54+1</f>
        <v>6</v>
      </c>
      <c r="B55" s="84">
        <f t="shared" si="11"/>
        <v>3</v>
      </c>
      <c r="F55" s="82">
        <f>SUM(F52:F54)</f>
        <v>0</v>
      </c>
      <c r="H55" s="82">
        <f>SUM(H52:H54)</f>
        <v>0</v>
      </c>
      <c r="I55" s="84" t="str">
        <f>CONCATENATE("m'(",C54,")=")</f>
        <v>m'(3)=</v>
      </c>
      <c r="J55" s="84" t="e">
        <f>2*(J52*(WLS))/3*H55</f>
        <v>#VALUE!</v>
      </c>
      <c r="K55" s="84" t="str">
        <f>CONCATENATE("M(",C52,")=")</f>
        <v>M(1)=</v>
      </c>
      <c r="L55" s="84">
        <f>VLOOKUP(C52,STN_TABLE,4,FALSE)</f>
        <v>0</v>
      </c>
      <c r="M55" t="str">
        <f>CONCATENATE("M(",C54,")=")</f>
        <v>M(3)=</v>
      </c>
      <c r="N55" t="e">
        <f>J55+L55</f>
        <v>#VALUE!</v>
      </c>
      <c r="O55" s="99">
        <f>O54+1</f>
        <v>8</v>
      </c>
      <c r="P55" s="99">
        <f t="shared" si="10"/>
        <v>5</v>
      </c>
      <c r="T55" s="89">
        <f>SUM(T52:T54)</f>
        <v>0</v>
      </c>
      <c r="V55" s="82">
        <f>SUM(V52:V54)</f>
        <v>0</v>
      </c>
      <c r="W55" s="84" t="str">
        <f>CONCATENATE("m'(",Q53,")=")</f>
        <v>m'(3)=</v>
      </c>
      <c r="X55" s="84">
        <f>(2*(X52^2)/24*V55)+(X54*Q52*WLS)</f>
        <v>0</v>
      </c>
      <c r="Y55" s="84" t="str">
        <f>CONCATENATE("M(",Q52,")=")</f>
        <v>M(2)=</v>
      </c>
      <c r="Z55" s="84">
        <f>VLOOKUP(Q52,STN_TABLE,4,FALSE)</f>
        <v>0</v>
      </c>
      <c r="AA55" t="str">
        <f>CONCATENATE("M(",Q53,")=")</f>
        <v>M(3)=</v>
      </c>
      <c r="AB55">
        <f>X55+Z55</f>
        <v>0</v>
      </c>
      <c r="AE55" s="89">
        <f>SUM(AE53:AE54)</f>
        <v>0</v>
      </c>
      <c r="AG55" s="89">
        <f>SUM(AG53:AG54)</f>
        <v>0</v>
      </c>
      <c r="AH55" s="84" t="str">
        <f>CONCATENATE("m'(",AD54,")=")</f>
        <v>m'(3)=</v>
      </c>
      <c r="AI55" s="84">
        <f>(2*(AI52^2)/6*AG55)+(AI54*AD53*WLS)</f>
        <v>0</v>
      </c>
      <c r="AJ55" s="84" t="str">
        <f>CONCATENATE("M(",AD53,")=")</f>
        <v>M(2)=</v>
      </c>
      <c r="AK55" s="84">
        <f>VLOOKUP(AD53,STN_TABLE,4,FALSE)</f>
        <v>0</v>
      </c>
      <c r="AL55" t="str">
        <f>CONCATENATE("M(",AD54,")=")</f>
        <v>M(3)=</v>
      </c>
      <c r="AM55">
        <f>AI55+AK55</f>
        <v>0</v>
      </c>
      <c r="AO55" s="82" t="str">
        <f>AA55</f>
        <v>M(3)=</v>
      </c>
      <c r="AP55" s="82" t="e">
        <f>VLOOKUP(AO55,Rise_Results,2,FALSE)</f>
        <v>#N/A</v>
      </c>
      <c r="AQ55" s="82" t="e">
        <f>N55</f>
        <v>#VALUE!</v>
      </c>
      <c r="AR55" s="82" t="e">
        <f>IF(OR(AB54&lt;=0,AB55&lt;=0),1/0,AB55)</f>
        <v>#DIV/0!</v>
      </c>
      <c r="AS55" s="82">
        <f>AM55</f>
        <v>0</v>
      </c>
      <c r="AT55">
        <f>IFERROR(AP55,IFERROR(AQ55,IFERROR(AR55,AS55)))</f>
        <v>0</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0</v>
      </c>
      <c r="E57" s="102">
        <v>1</v>
      </c>
      <c r="F57" s="68">
        <f>D57*E57</f>
        <v>0</v>
      </c>
      <c r="G57" s="69">
        <f>C57</f>
        <v>2</v>
      </c>
      <c r="H57" s="69">
        <f>F57*G57</f>
        <v>0</v>
      </c>
      <c r="I57" s="6" t="s">
        <v>93</v>
      </c>
      <c r="J57" s="70" t="str">
        <f>IF(OR(D57=0,D58=0,D59=0),"#NA",IF(AND(C59-C58=C58-C57,C58&lt;&gt;C59,C57&lt;&gt;C58,C57&lt;&gt;C59,D59&lt;&gt;0,OR(D57&lt;&gt;0,D58&lt;&gt;0)),WLS*(C59-C58),"#NA"))</f>
        <v>#NA</v>
      </c>
      <c r="O57" s="99">
        <f>O56+1</f>
        <v>6</v>
      </c>
      <c r="P57" s="99">
        <f t="shared" si="10"/>
        <v>3</v>
      </c>
      <c r="Q57" s="68">
        <f>IF(OR(P59-P58=P58-P57,P60-P58=P58-P57),P57,IF(OR(P59-P58=P58-P56,P60-P58=P58-P56),P56,"-"))</f>
        <v>3</v>
      </c>
      <c r="R57" s="69">
        <f>VLOOKUP(Q57,STN_TABLE,2,FALSE)</f>
        <v>0</v>
      </c>
      <c r="S57" s="69">
        <v>5</v>
      </c>
      <c r="T57" s="68">
        <f>R57*S57</f>
        <v>0</v>
      </c>
      <c r="U57" s="79">
        <v>3</v>
      </c>
      <c r="V57" s="68">
        <f>R57*U57</f>
        <v>0</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0</v>
      </c>
      <c r="E58" s="81">
        <v>4</v>
      </c>
      <c r="F58" s="76">
        <f>D58*E58</f>
        <v>0</v>
      </c>
      <c r="G58" s="77">
        <f>C58</f>
        <v>3</v>
      </c>
      <c r="H58" s="77">
        <f>F58*G58</f>
        <v>0</v>
      </c>
      <c r="I58" s="512" t="s">
        <v>97</v>
      </c>
      <c r="J58" s="513"/>
      <c r="K58" s="78" t="s">
        <v>98</v>
      </c>
      <c r="L58" s="78"/>
      <c r="M58" s="7" t="s">
        <v>99</v>
      </c>
      <c r="N58" s="7"/>
      <c r="O58" s="99">
        <f>O57+1</f>
        <v>7</v>
      </c>
      <c r="P58" s="99">
        <f t="shared" si="10"/>
        <v>4</v>
      </c>
      <c r="Q58" s="76">
        <f>P58</f>
        <v>4</v>
      </c>
      <c r="R58" s="77">
        <f>VLOOKUP(Q58,STN_TABLE,2,FALSE)</f>
        <v>0</v>
      </c>
      <c r="S58" s="77">
        <v>8</v>
      </c>
      <c r="T58" s="76">
        <f>R58*S58</f>
        <v>0</v>
      </c>
      <c r="U58" s="80">
        <v>10</v>
      </c>
      <c r="V58" s="76">
        <f>R58*U58</f>
        <v>0</v>
      </c>
      <c r="W58" s="78" t="s">
        <v>97</v>
      </c>
      <c r="X58" s="78"/>
      <c r="Y58" s="78" t="s">
        <v>98</v>
      </c>
      <c r="Z58" s="78"/>
      <c r="AA58" s="7" t="s">
        <v>99</v>
      </c>
      <c r="AB58" s="7"/>
      <c r="AC58" s="99">
        <f>AC53+1</f>
        <v>6</v>
      </c>
      <c r="AD58" s="95">
        <f>VLOOKUP(AC58,STN_TABLE_2,2,FALSE)</f>
        <v>3</v>
      </c>
      <c r="AE58" s="68">
        <f>VLOOKUP(AD58,STN_TABLE,2,FALSE)</f>
        <v>0</v>
      </c>
      <c r="AF58" s="68">
        <v>1</v>
      </c>
      <c r="AG58" s="69">
        <f>AE58*AF58</f>
        <v>0</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0</v>
      </c>
      <c r="E59" s="92">
        <v>1</v>
      </c>
      <c r="F59" s="82">
        <f>D59*E59</f>
        <v>0</v>
      </c>
      <c r="G59" s="83">
        <f>C59</f>
        <v>4</v>
      </c>
      <c r="H59" s="83">
        <f>F59*G59</f>
        <v>0</v>
      </c>
      <c r="I59" s="84" t="str">
        <f>CONCATENATE("a'(",C59,")=")</f>
        <v>a'(4)=</v>
      </c>
      <c r="J59" s="84" t="e">
        <f>2*J57/3*F60</f>
        <v>#VALUE!</v>
      </c>
      <c r="K59" s="84" t="str">
        <f>CONCATENATE("A(",C57,")=")</f>
        <v>A(2)=</v>
      </c>
      <c r="L59" s="84">
        <f>VLOOKUP(C57,STN_TABLE,3,FALSE)</f>
        <v>0</v>
      </c>
      <c r="M59" t="str">
        <f>CONCATENATE("A(",C59,")=")</f>
        <v>A(4)=</v>
      </c>
      <c r="N59" t="e">
        <f>J59+L59</f>
        <v>#VALUE!</v>
      </c>
      <c r="O59" s="99">
        <f>O58+1</f>
        <v>8</v>
      </c>
      <c r="P59" s="99">
        <f t="shared" si="10"/>
        <v>5</v>
      </c>
      <c r="Q59" s="82">
        <f>IF(P59-P58=P58-P57,P59,IF(P60-P58=P58-P57,P60,IF(P59-P58=P58-P56,P59,IF(P60-P58=P58-P56,P60,"-"))))</f>
        <v>5</v>
      </c>
      <c r="R59" s="83">
        <f>VLOOKUP(Q59,STN_TABLE,2,FALSE)</f>
        <v>1.2</v>
      </c>
      <c r="S59" s="83">
        <v>-1</v>
      </c>
      <c r="T59" s="82">
        <f>R59*S59</f>
        <v>-1.2</v>
      </c>
      <c r="U59" s="88">
        <v>-1</v>
      </c>
      <c r="V59" s="82">
        <f>R59*U59</f>
        <v>-1.2</v>
      </c>
      <c r="W59" s="84" t="str">
        <f>CONCATENATE("a'(",Q58,")=")</f>
        <v>a'(4)=</v>
      </c>
      <c r="X59" s="84">
        <f>2*X57/12*T60</f>
        <v>-0.36</v>
      </c>
      <c r="Y59" s="84" t="str">
        <f>CONCATENATE("A(",Q57,")=")</f>
        <v>A(3)=</v>
      </c>
      <c r="Z59" s="84">
        <f>VLOOKUP(Q57,STN_TABLE,3,FALSE)</f>
        <v>0</v>
      </c>
      <c r="AA59" t="str">
        <f>CONCATENATE("A(",Q58,")=")</f>
        <v>A(4)=</v>
      </c>
      <c r="AB59">
        <f>X59+Z59</f>
        <v>-0.36</v>
      </c>
      <c r="AC59" s="99">
        <f>AC58+1</f>
        <v>7</v>
      </c>
      <c r="AD59" s="100">
        <f>VLOOKUP(AC59,STN_TABLE_2,2,FALSE)</f>
        <v>4</v>
      </c>
      <c r="AE59" s="82">
        <f>VLOOKUP(AD59,STN_TABLE,2,FALSE)</f>
        <v>0</v>
      </c>
      <c r="AF59" s="82">
        <v>2</v>
      </c>
      <c r="AG59" s="83">
        <f>AE59*AF59</f>
        <v>0</v>
      </c>
      <c r="AH59" s="84" t="str">
        <f>CONCATENATE("a'(",AD59,")=")</f>
        <v>a'(4)=</v>
      </c>
      <c r="AI59" s="84">
        <f>2*AI57/2*AE60</f>
        <v>0</v>
      </c>
      <c r="AJ59" s="84" t="str">
        <f>CONCATENATE("A(",AD58,")=")</f>
        <v>A(3)=</v>
      </c>
      <c r="AK59" s="84">
        <f>VLOOKUP(AD58,STN_TABLE,3,FALSE)</f>
        <v>0</v>
      </c>
      <c r="AL59" t="str">
        <f>CONCATENATE("A(",AD59,")=")</f>
        <v>A(4)=</v>
      </c>
      <c r="AM59">
        <f>AI59+AK59</f>
        <v>0</v>
      </c>
      <c r="AO59" s="68" t="str">
        <f>AA59</f>
        <v>A(4)=</v>
      </c>
      <c r="AP59" s="68" t="e">
        <f>VLOOKUP(AO59,Rise_Results,2,FALSE)</f>
        <v>#N/A</v>
      </c>
      <c r="AQ59" s="76" t="e">
        <f>N59</f>
        <v>#VALUE!</v>
      </c>
      <c r="AR59" s="76" t="e">
        <f>IF(OR(AB59&lt;=0,AB60&lt;=0),1/0,AB59)</f>
        <v>#DIV/0!</v>
      </c>
      <c r="AS59" s="76">
        <f>AM59</f>
        <v>0</v>
      </c>
      <c r="AT59">
        <f>IFERROR(AP59,IFERROR(AQ59,IFERROR(AR59,AS59)))</f>
        <v>0</v>
      </c>
      <c r="AU59" s="81"/>
    </row>
    <row r="60" spans="1:47" x14ac:dyDescent="0.25">
      <c r="A60" s="84">
        <f>A59+1</f>
        <v>7</v>
      </c>
      <c r="B60" s="84">
        <f t="shared" si="11"/>
        <v>4</v>
      </c>
      <c r="F60" s="82">
        <f>SUM(F57:F59)</f>
        <v>0</v>
      </c>
      <c r="H60" s="82">
        <f>SUM(H57:H59)</f>
        <v>0</v>
      </c>
      <c r="I60" s="84" t="str">
        <f>CONCATENATE("m'(",C59,")=")</f>
        <v>m'(4)=</v>
      </c>
      <c r="J60" s="84" t="e">
        <f>2*(J57*(WLS))/3*H60</f>
        <v>#VALUE!</v>
      </c>
      <c r="K60" s="84" t="str">
        <f>CONCATENATE("M(",C57,")=")</f>
        <v>M(2)=</v>
      </c>
      <c r="L60" s="84">
        <f>VLOOKUP(C57,STN_TABLE,4,FALSE)</f>
        <v>0</v>
      </c>
      <c r="M60" t="str">
        <f>CONCATENATE("M(",C59,")=")</f>
        <v>M(4)=</v>
      </c>
      <c r="N60" t="e">
        <f>J60+L60</f>
        <v>#VALUE!</v>
      </c>
      <c r="O60" s="99">
        <f>O59+1</f>
        <v>9</v>
      </c>
      <c r="P60" s="99">
        <f t="shared" si="10"/>
        <v>5.6111111111111107</v>
      </c>
      <c r="T60" s="89">
        <f>SUM(T57:T59)</f>
        <v>-1.2</v>
      </c>
      <c r="V60" s="82">
        <f>SUM(V57:V59)</f>
        <v>-1.2</v>
      </c>
      <c r="W60" s="84" t="str">
        <f>CONCATENATE("m'(",Q58,")=")</f>
        <v>m'(4)=</v>
      </c>
      <c r="X60" s="84">
        <f>(2*(X57^2)/24*V60)+(X59*Q57*WLS)</f>
        <v>-2.2680000000000002</v>
      </c>
      <c r="Y60" s="84" t="str">
        <f>CONCATENATE("M(",Q57,")=")</f>
        <v>M(3)=</v>
      </c>
      <c r="Z60" s="84">
        <f>VLOOKUP(Q57,STN_TABLE,4,FALSE)</f>
        <v>0</v>
      </c>
      <c r="AA60" t="str">
        <f>CONCATENATE("M(",Q58,")=")</f>
        <v>M(4)=</v>
      </c>
      <c r="AB60">
        <f>X60+Z60</f>
        <v>-2.2680000000000002</v>
      </c>
      <c r="AE60" s="89">
        <f>SUM(AE58:AE59)</f>
        <v>0</v>
      </c>
      <c r="AG60" s="89">
        <f>SUM(AG58:AG59)</f>
        <v>0</v>
      </c>
      <c r="AH60" s="84" t="str">
        <f>CONCATENATE("m'(",AD59,")=")</f>
        <v>m'(4)=</v>
      </c>
      <c r="AI60" s="84">
        <f>(2*(AI57^2)/6*AG60)+(AI59*AD58*WLS)</f>
        <v>0</v>
      </c>
      <c r="AJ60" s="84" t="str">
        <f>CONCATENATE("M(",AD58,")=")</f>
        <v>M(3)=</v>
      </c>
      <c r="AK60" s="84">
        <f>VLOOKUP(AD57,STN_TABLE,4,FALSE)</f>
        <v>0</v>
      </c>
      <c r="AL60" t="str">
        <f>CONCATENATE("M(",AD59,")=")</f>
        <v>M(4)=</v>
      </c>
      <c r="AM60">
        <f>AI60+AK60</f>
        <v>0</v>
      </c>
      <c r="AO60" s="82" t="str">
        <f>AA60</f>
        <v>M(4)=</v>
      </c>
      <c r="AP60" s="82" t="e">
        <f>VLOOKUP(AO60,Rise_Results,2,FALSE)</f>
        <v>#N/A</v>
      </c>
      <c r="AQ60" s="82" t="e">
        <f>N60</f>
        <v>#VALUE!</v>
      </c>
      <c r="AR60" s="82" t="e">
        <f>IF(OR(AB59&lt;=0,AB60&lt;=0),1/0,AB60)</f>
        <v>#DIV/0!</v>
      </c>
      <c r="AS60" s="82">
        <f>AM60</f>
        <v>0</v>
      </c>
      <c r="AT60">
        <f>IFERROR(AP60,IFERROR(AQ60,IFERROR(AR60,AS60)))</f>
        <v>0</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0</v>
      </c>
      <c r="E62" s="102">
        <v>1</v>
      </c>
      <c r="F62" s="68">
        <f>D62*E62</f>
        <v>0</v>
      </c>
      <c r="G62" s="69">
        <f>C62</f>
        <v>3</v>
      </c>
      <c r="H62" s="69">
        <f>F62*G62</f>
        <v>0</v>
      </c>
      <c r="I62" s="6" t="s">
        <v>93</v>
      </c>
      <c r="J62" s="70" t="str">
        <f>IF(OR(D62=0,D63=0,D64=0),"#NA",IF(AND(C64-C63=C63-C62,C63&lt;&gt;C64,C62&lt;&gt;C63,C62&lt;&gt;C64,D64&lt;&gt;0,OR(D62&lt;&gt;0,D63&lt;&gt;0)),WLS*(C64-C63),"#NA"))</f>
        <v>#NA</v>
      </c>
      <c r="O62" s="99">
        <f>O61+1</f>
        <v>7</v>
      </c>
      <c r="P62" s="99">
        <f t="shared" si="10"/>
        <v>4</v>
      </c>
      <c r="Q62" s="68">
        <f>IF(OR(P64-P63=P63-P62,P65-P63=P63-P62),P62,IF(OR(P64-P63=P63-P61,P65-P63=P63-P61),P61,"-"))</f>
        <v>4</v>
      </c>
      <c r="R62" s="69">
        <f>VLOOKUP(Q62,STN_TABLE,2,FALSE)</f>
        <v>0</v>
      </c>
      <c r="S62" s="69">
        <v>5</v>
      </c>
      <c r="T62" s="68">
        <f>R62*S62</f>
        <v>0</v>
      </c>
      <c r="U62" s="79">
        <v>3</v>
      </c>
      <c r="V62" s="68">
        <f>R62*U62</f>
        <v>0</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0</v>
      </c>
      <c r="E63" s="81">
        <v>4</v>
      </c>
      <c r="F63" s="76">
        <f>D63*E63</f>
        <v>0</v>
      </c>
      <c r="G63" s="77">
        <f>C63</f>
        <v>4</v>
      </c>
      <c r="H63" s="77">
        <f>F63*G63</f>
        <v>0</v>
      </c>
      <c r="I63" s="512" t="s">
        <v>97</v>
      </c>
      <c r="J63" s="513"/>
      <c r="K63" s="78" t="s">
        <v>98</v>
      </c>
      <c r="L63" s="78"/>
      <c r="M63" s="7" t="s">
        <v>99</v>
      </c>
      <c r="N63" s="7"/>
      <c r="O63" s="99">
        <f>O62+1</f>
        <v>8</v>
      </c>
      <c r="P63" s="99">
        <f t="shared" si="10"/>
        <v>5</v>
      </c>
      <c r="Q63" s="76">
        <f>P63</f>
        <v>5</v>
      </c>
      <c r="R63" s="77">
        <f>VLOOKUP(Q63,STN_TABLE,2,FALSE)</f>
        <v>1.2</v>
      </c>
      <c r="S63" s="77">
        <v>8</v>
      </c>
      <c r="T63" s="76">
        <f>R63*S63</f>
        <v>9.6</v>
      </c>
      <c r="U63" s="80">
        <v>10</v>
      </c>
      <c r="V63" s="76">
        <f>R63*U63</f>
        <v>12</v>
      </c>
      <c r="W63" s="513" t="s">
        <v>97</v>
      </c>
      <c r="X63" s="513"/>
      <c r="Y63" s="513" t="s">
        <v>98</v>
      </c>
      <c r="Z63" s="513"/>
      <c r="AA63" s="511" t="s">
        <v>99</v>
      </c>
      <c r="AB63" s="511"/>
      <c r="AC63" s="99">
        <f>AC58+1</f>
        <v>7</v>
      </c>
      <c r="AD63" s="95">
        <f>VLOOKUP(AC63,STN_TABLE_2,2,FALSE)</f>
        <v>4</v>
      </c>
      <c r="AE63" s="68">
        <f>VLOOKUP(AD63,STN_TABLE,2,FALSE)</f>
        <v>0</v>
      </c>
      <c r="AF63" s="68">
        <v>1</v>
      </c>
      <c r="AG63" s="69">
        <f>AE63*AF63</f>
        <v>0</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1.2</v>
      </c>
      <c r="E64" s="92">
        <v>1</v>
      </c>
      <c r="F64" s="82">
        <f>D64*E64</f>
        <v>1.2</v>
      </c>
      <c r="G64" s="83">
        <f>C64</f>
        <v>5</v>
      </c>
      <c r="H64" s="83">
        <f>F64*G64</f>
        <v>6</v>
      </c>
      <c r="I64" s="84" t="str">
        <f>CONCATENATE("a'(",C64,")=")</f>
        <v>a'(5)=</v>
      </c>
      <c r="J64" s="84" t="e">
        <f>2*J62/3*F65</f>
        <v>#VALUE!</v>
      </c>
      <c r="K64" s="84" t="str">
        <f>CONCATENATE("A(",C62,")=")</f>
        <v>A(3)=</v>
      </c>
      <c r="L64" s="84">
        <f>VLOOKUP(C62,STN_TABLE,3,FALSE)</f>
        <v>0</v>
      </c>
      <c r="M64" t="str">
        <f>CONCATENATE("A(",C64,")=")</f>
        <v>A(5)=</v>
      </c>
      <c r="N64" t="e">
        <f>J64+L64</f>
        <v>#VALUE!</v>
      </c>
      <c r="O64" s="99">
        <f>O63+1</f>
        <v>9</v>
      </c>
      <c r="P64" s="99">
        <f t="shared" si="10"/>
        <v>5.6111111111111107</v>
      </c>
      <c r="Q64" s="82">
        <f>IF(P64-P63=P63-P62,P64,IF(P65-P63=P63-P62,P65,IF(P64-P63=P63-P61,P64,IF(P65-P63=P63-P61,P65,"-"))))</f>
        <v>6</v>
      </c>
      <c r="R64" s="83">
        <f>VLOOKUP(Q64,STN_TABLE,2,FALSE)</f>
        <v>8.4600000000000009</v>
      </c>
      <c r="S64" s="83">
        <v>-1</v>
      </c>
      <c r="T64" s="82">
        <f>R64*S64</f>
        <v>-8.4600000000000009</v>
      </c>
      <c r="U64" s="88">
        <v>-1</v>
      </c>
      <c r="V64" s="82">
        <f>R64*U64</f>
        <v>-8.4600000000000009</v>
      </c>
      <c r="W64" s="84" t="str">
        <f>CONCATENATE("a'(",Q63,")=")</f>
        <v>a'(5)=</v>
      </c>
      <c r="X64" s="84">
        <f>2*X62/12*T65</f>
        <v>0.34199999999999964</v>
      </c>
      <c r="Y64" s="84" t="str">
        <f>CONCATENATE("A(",Q62,")=")</f>
        <v>A(4)=</v>
      </c>
      <c r="Z64" s="84">
        <f>VLOOKUP(Q62,STN_TABLE,3,FALSE)</f>
        <v>0</v>
      </c>
      <c r="AA64" t="str">
        <f>CONCATENATE("A(",Q63,")=")</f>
        <v>A(5)=</v>
      </c>
      <c r="AB64">
        <f>X64+Z64</f>
        <v>0.34199999999999964</v>
      </c>
      <c r="AC64" s="99">
        <f>AC63+1</f>
        <v>8</v>
      </c>
      <c r="AD64" s="100">
        <f>VLOOKUP(AC64,STN_TABLE_2,2,FALSE)</f>
        <v>5</v>
      </c>
      <c r="AE64" s="82">
        <f>VLOOKUP(AD64,STN_TABLE,2,FALSE)</f>
        <v>1.2</v>
      </c>
      <c r="AF64" s="82">
        <v>2</v>
      </c>
      <c r="AG64" s="83">
        <f>AE64*AF64</f>
        <v>2.4</v>
      </c>
      <c r="AH64" s="84" t="str">
        <f>CONCATENATE("a'(",AD64,")=")</f>
        <v>a'(5)=</v>
      </c>
      <c r="AI64" s="84">
        <f>2*AI62/2*AE65</f>
        <v>2.16</v>
      </c>
      <c r="AJ64" s="84" t="str">
        <f>CONCATENATE("A(",AD63,")=")</f>
        <v>A(4)=</v>
      </c>
      <c r="AK64" s="84">
        <f>VLOOKUP(AD63,STN_TABLE,3,FALSE)</f>
        <v>0</v>
      </c>
      <c r="AL64" t="str">
        <f>CONCATENATE("A(",AD64,")=")</f>
        <v>A(5)=</v>
      </c>
      <c r="AM64">
        <f>AI64+AK64</f>
        <v>2.16</v>
      </c>
      <c r="AO64" s="68" t="str">
        <f>AA64</f>
        <v>A(5)=</v>
      </c>
      <c r="AP64" s="68">
        <f>VLOOKUP(AO64,Rise_Results,2,FALSE)</f>
        <v>0.11999999999999957</v>
      </c>
      <c r="AQ64" s="76" t="e">
        <f>N64</f>
        <v>#VALUE!</v>
      </c>
      <c r="AR64" s="76">
        <f>IF(OR(AB64&lt;=0,AB65&lt;=0),1/0,AB64)</f>
        <v>0.34199999999999964</v>
      </c>
      <c r="AS64" s="76">
        <f>AM64</f>
        <v>2.16</v>
      </c>
      <c r="AT64">
        <f>IFERROR(AP64,IFERROR(AQ64,IFERROR(AR64,AS64)))</f>
        <v>0.11999999999999957</v>
      </c>
      <c r="AU64" s="81"/>
    </row>
    <row r="65" spans="1:47" x14ac:dyDescent="0.25">
      <c r="A65" s="84">
        <f>A64+1</f>
        <v>8</v>
      </c>
      <c r="B65" s="84">
        <f t="shared" si="11"/>
        <v>5</v>
      </c>
      <c r="F65" s="82">
        <f>SUM(F62:F64)</f>
        <v>1.2</v>
      </c>
      <c r="H65" s="82">
        <f>SUM(H62:H64)</f>
        <v>6</v>
      </c>
      <c r="I65" s="84" t="str">
        <f>CONCATENATE("m'(",C64,")=")</f>
        <v>m'(5)=</v>
      </c>
      <c r="J65" s="84" t="e">
        <f>2*(J62*(WLS))/3*H65</f>
        <v>#VALUE!</v>
      </c>
      <c r="K65" s="84" t="str">
        <f>CONCATENATE("M(",C62,")=")</f>
        <v>M(3)=</v>
      </c>
      <c r="L65" s="84">
        <f>VLOOKUP(C62,STN_TABLE,4,FALSE)</f>
        <v>0</v>
      </c>
      <c r="M65" t="str">
        <f>CONCATENATE("M(",C64,")=")</f>
        <v>M(5)=</v>
      </c>
      <c r="N65" t="e">
        <f>J65+L65</f>
        <v>#VALUE!</v>
      </c>
      <c r="O65" s="99">
        <f>O64+1</f>
        <v>10</v>
      </c>
      <c r="P65" s="99">
        <f t="shared" si="10"/>
        <v>6</v>
      </c>
      <c r="T65" s="89">
        <f>SUM(T62:T64)</f>
        <v>1.1399999999999988</v>
      </c>
      <c r="V65" s="82">
        <f>SUM(V62:V64)</f>
        <v>3.5399999999999991</v>
      </c>
      <c r="W65" s="84" t="str">
        <f>CONCATENATE("m'(",Q63,")=")</f>
        <v>m'(5)=</v>
      </c>
      <c r="X65" s="84">
        <f>(2*(X62^2)/24*V65)+(X64*Q62*WLS)</f>
        <v>3.4181999999999975</v>
      </c>
      <c r="Y65" s="84" t="str">
        <f>CONCATENATE("M(",Q62,")=")</f>
        <v>M(4)=</v>
      </c>
      <c r="Z65" s="84">
        <f>VLOOKUP(Q62,STN_TABLE,4,FALSE)</f>
        <v>0</v>
      </c>
      <c r="AA65" t="str">
        <f>CONCATENATE("M(",Q63,")=")</f>
        <v>M(5)=</v>
      </c>
      <c r="AB65">
        <f>X65+Z65</f>
        <v>3.4181999999999975</v>
      </c>
      <c r="AE65" s="89">
        <f>SUM(AE63:AE64)</f>
        <v>1.2</v>
      </c>
      <c r="AG65" s="89">
        <f>SUM(AG63:AG64)</f>
        <v>2.4</v>
      </c>
      <c r="AH65" s="84" t="str">
        <f>CONCATENATE("m'(",AD64,")=")</f>
        <v>m'(5)=</v>
      </c>
      <c r="AI65" s="84">
        <f>(2*(AI62^2)/6*AG65)+(AI64*AD63*WLS)</f>
        <v>18.144000000000002</v>
      </c>
      <c r="AJ65" s="84" t="str">
        <f>CONCATENATE("M(",AD63,")=")</f>
        <v>M(4)=</v>
      </c>
      <c r="AK65" s="84">
        <f>VLOOKUP(AD63,STN_TABLE,4,FALSE)</f>
        <v>0</v>
      </c>
      <c r="AL65" t="str">
        <f>CONCATENATE("M(",AD64,")=")</f>
        <v>M(5)=</v>
      </c>
      <c r="AM65">
        <f>AI65+AK65</f>
        <v>18.144000000000002</v>
      </c>
      <c r="AO65" s="82" t="str">
        <f>AA65</f>
        <v>M(5)=</v>
      </c>
      <c r="AP65" s="82">
        <f>VLOOKUP(AO65,Rise_Results,2,FALSE)</f>
        <v>1.0759999999999961</v>
      </c>
      <c r="AQ65" s="82" t="e">
        <f>N65</f>
        <v>#VALUE!</v>
      </c>
      <c r="AR65" s="82">
        <f>IF(OR(AB64&lt;=0,AB65&lt;=0),1/0,AB65)</f>
        <v>3.4181999999999975</v>
      </c>
      <c r="AS65" s="82">
        <f>AM65</f>
        <v>18.144000000000002</v>
      </c>
      <c r="AT65">
        <f>IFERROR(AP65,IFERROR(AQ65,IFERROR(AR65,AS65)))</f>
        <v>1.0759999999999961</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6.8</v>
      </c>
      <c r="S68" s="77">
        <v>8</v>
      </c>
      <c r="T68" s="76">
        <f>R68*S68</f>
        <v>54.4</v>
      </c>
      <c r="U68" s="80">
        <v>10</v>
      </c>
      <c r="V68" s="76">
        <f>R68*U68</f>
        <v>68</v>
      </c>
      <c r="W68" s="513" t="s">
        <v>97</v>
      </c>
      <c r="X68" s="513"/>
      <c r="Y68" s="513" t="s">
        <v>98</v>
      </c>
      <c r="Z68" s="513"/>
      <c r="AA68" s="511" t="s">
        <v>99</v>
      </c>
      <c r="AB68" s="511"/>
      <c r="AC68" s="99">
        <f>AC63+1</f>
        <v>8</v>
      </c>
      <c r="AD68" s="95">
        <f>VLOOKUP(AC68,STN_TABLE_2,2,FALSE)</f>
        <v>5</v>
      </c>
      <c r="AE68" s="68">
        <f>VLOOKUP(AD68,STN_TABLE,2,FALSE)</f>
        <v>1.2</v>
      </c>
      <c r="AF68" s="68">
        <v>1</v>
      </c>
      <c r="AG68" s="69">
        <f>AE68*AF68</f>
        <v>1.2</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6.8</v>
      </c>
      <c r="E69" s="92">
        <v>1</v>
      </c>
      <c r="F69" s="82">
        <f>D69*E69</f>
        <v>6.8</v>
      </c>
      <c r="G69" s="83">
        <f>C69</f>
        <v>5.6111111111111107</v>
      </c>
      <c r="H69" s="83">
        <f>F69*G69</f>
        <v>38.155555555555551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6.8</v>
      </c>
      <c r="AF69" s="82">
        <v>2</v>
      </c>
      <c r="AG69" s="83">
        <f>AE69*AF69</f>
        <v>13.6</v>
      </c>
      <c r="AH69" s="84" t="str">
        <f>CONCATENATE("a'(",AD69,")=")</f>
        <v>a'(5.61111111111111)=</v>
      </c>
      <c r="AI69" s="84">
        <f>2*AI67/2*AE70</f>
        <v>8.7999999999999954</v>
      </c>
      <c r="AJ69" s="84" t="str">
        <f>CONCATENATE("A(",AD68,")=")</f>
        <v>A(5)=</v>
      </c>
      <c r="AK69" s="84">
        <f>VLOOKUP(AD68,STN_TABLE,3,FALSE)</f>
        <v>0.11999999999999957</v>
      </c>
      <c r="AL69" t="str">
        <f>CONCATENATE("A(",AD69,")=")</f>
        <v>A(5.61111111111111)=</v>
      </c>
      <c r="AM69">
        <f>AI69+AK69</f>
        <v>8.9199999999999946</v>
      </c>
      <c r="AO69" s="68" t="str">
        <f>AA69</f>
        <v>A(5.61111111111111)=</v>
      </c>
      <c r="AP69" s="68">
        <f>VLOOKUP(AO69,Rise_Results,2,FALSE)</f>
        <v>8.9199999999999946</v>
      </c>
      <c r="AQ69" s="76" t="e">
        <f>N69</f>
        <v>#N/A</v>
      </c>
      <c r="AR69" s="76" t="e">
        <f>IF(OR(AB69&lt;=0,AB70&lt;=0),1/0,AB69)</f>
        <v>#VALUE!</v>
      </c>
      <c r="AS69" s="76">
        <f>AM69</f>
        <v>8.9199999999999946</v>
      </c>
      <c r="AT69">
        <f>IFERROR(AP69,IFERROR(AQ69,IFERROR(AR69,AS69)))</f>
        <v>8.9199999999999946</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8</v>
      </c>
      <c r="AG70" s="89">
        <f>SUM(AG68:AG69)</f>
        <v>14.799999999999999</v>
      </c>
      <c r="AH70" s="84" t="str">
        <f>CONCATENATE("m'(",AD69,")=")</f>
        <v>m'(5.61111111111111)=</v>
      </c>
      <c r="AI70" s="84">
        <f>(2*(AI67^2)/6*AG70)+(AI69*AD68*WLS)</f>
        <v>85.169333333333284</v>
      </c>
      <c r="AJ70" s="84" t="str">
        <f>CONCATENATE("M(",AD68,")=")</f>
        <v>M(5)=</v>
      </c>
      <c r="AK70" s="84">
        <f>VLOOKUP(AD68,STN_TABLE,4,FALSE)</f>
        <v>1.0759999999999961</v>
      </c>
      <c r="AL70" t="str">
        <f>CONCATENATE("M(",AD69,")=")</f>
        <v>M(5.61111111111111)=</v>
      </c>
      <c r="AM70">
        <f>AI70+AK70</f>
        <v>86.245333333333278</v>
      </c>
      <c r="AO70" s="82" t="str">
        <f>AA70</f>
        <v>M(5.61111111111111)=</v>
      </c>
      <c r="AP70" s="82">
        <f>VLOOKUP(AO70,Rise_Results,2,FALSE)</f>
        <v>86.245333333333278</v>
      </c>
      <c r="AQ70" s="82" t="e">
        <f>N70</f>
        <v>#N/A</v>
      </c>
      <c r="AR70" s="82" t="e">
        <f>IF(OR(AB69&lt;=0,AB70&lt;=0),1/0,AB70)</f>
        <v>#VALUE!</v>
      </c>
      <c r="AS70" s="82">
        <f>AM70</f>
        <v>86.245333333333278</v>
      </c>
      <c r="AT70">
        <f>IFERROR(AP70,IFERROR(AQ70,IFERROR(AR70,AS70)))</f>
        <v>86.245333333333278</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0</v>
      </c>
      <c r="E72" s="102">
        <v>1</v>
      </c>
      <c r="F72" s="68">
        <f>D72*E72</f>
        <v>0</v>
      </c>
      <c r="G72" s="69">
        <f>C72</f>
        <v>4</v>
      </c>
      <c r="H72" s="69">
        <f>F72*G72</f>
        <v>0</v>
      </c>
      <c r="I72" s="6" t="s">
        <v>93</v>
      </c>
      <c r="J72" s="70" t="str">
        <f>IF(OR(D72=0,D73=0,D74=0),"#NA",IF(AND(C74-C73=C73-C72,C73&lt;&gt;C74,C72&lt;&gt;C73,C72&lt;&gt;C74,D74&lt;&gt;0,OR(D72&lt;&gt;0,D73&lt;&gt;0)),WLS*(C74-C73),"#NA"))</f>
        <v>#NA</v>
      </c>
      <c r="O72" s="99">
        <f>O71+1</f>
        <v>9</v>
      </c>
      <c r="P72" s="99">
        <f t="shared" si="23"/>
        <v>5.6111111111111107</v>
      </c>
      <c r="Q72" s="68">
        <f>IF(OR(P74-P73=P73-P72,P75-P73=P73-P72),P72,IF(OR(P74-P73=P73-P71,P75-P73=P73-P71),P71,"-"))</f>
        <v>5</v>
      </c>
      <c r="R72" s="69">
        <f>VLOOKUP(Q72,STN_TABLE,2,FALSE)</f>
        <v>1.2</v>
      </c>
      <c r="S72" s="69">
        <v>5</v>
      </c>
      <c r="T72" s="68">
        <f>R72*S72</f>
        <v>6</v>
      </c>
      <c r="U72" s="79">
        <v>3</v>
      </c>
      <c r="V72" s="68">
        <f>R72*U72</f>
        <v>3.5999999999999996</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1.2</v>
      </c>
      <c r="E73" s="81">
        <v>4</v>
      </c>
      <c r="F73" s="76">
        <f>D73*E73</f>
        <v>4.8</v>
      </c>
      <c r="G73" s="77">
        <f>C73</f>
        <v>5</v>
      </c>
      <c r="H73" s="77">
        <f>F73*G73</f>
        <v>24</v>
      </c>
      <c r="I73" s="512" t="s">
        <v>97</v>
      </c>
      <c r="J73" s="513"/>
      <c r="K73" s="78" t="s">
        <v>98</v>
      </c>
      <c r="L73" s="78"/>
      <c r="M73" s="7" t="s">
        <v>99</v>
      </c>
      <c r="N73" s="7"/>
      <c r="O73" s="99">
        <f>O72+1</f>
        <v>10</v>
      </c>
      <c r="P73" s="99">
        <f t="shared" si="23"/>
        <v>6</v>
      </c>
      <c r="Q73" s="76">
        <f>P73</f>
        <v>6</v>
      </c>
      <c r="R73" s="77">
        <f>VLOOKUP(Q73,STN_TABLE,2,FALSE)</f>
        <v>8.4600000000000009</v>
      </c>
      <c r="S73" s="77">
        <v>8</v>
      </c>
      <c r="T73" s="76">
        <f>R73*S73</f>
        <v>67.680000000000007</v>
      </c>
      <c r="U73" s="80">
        <v>10</v>
      </c>
      <c r="V73" s="76">
        <f>R73*U73</f>
        <v>84.600000000000009</v>
      </c>
      <c r="W73" s="513" t="s">
        <v>97</v>
      </c>
      <c r="X73" s="513"/>
      <c r="Y73" s="513" t="s">
        <v>98</v>
      </c>
      <c r="Z73" s="513"/>
      <c r="AA73" s="511" t="s">
        <v>99</v>
      </c>
      <c r="AB73" s="511"/>
      <c r="AC73" s="99">
        <f>AC68+1</f>
        <v>9</v>
      </c>
      <c r="AD73" s="95">
        <f>VLOOKUP(AC73,STN_TABLE_2,2,FALSE)</f>
        <v>5.6111111111111107</v>
      </c>
      <c r="AE73" s="68">
        <f>VLOOKUP(AD73,STN_TABLE,2,FALSE)</f>
        <v>6.8</v>
      </c>
      <c r="AF73" s="68">
        <v>1</v>
      </c>
      <c r="AG73" s="69">
        <f>AE73*AF73</f>
        <v>6.8</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8.4600000000000009</v>
      </c>
      <c r="E74" s="92">
        <v>1</v>
      </c>
      <c r="F74" s="82">
        <f>D74*E74</f>
        <v>8.4600000000000009</v>
      </c>
      <c r="G74" s="83">
        <f>C74</f>
        <v>6</v>
      </c>
      <c r="H74" s="83">
        <f>F74*G74</f>
        <v>50.760000000000005</v>
      </c>
      <c r="I74" s="84" t="str">
        <f>CONCATENATE("a'(",C74,")=")</f>
        <v>a'(6)=</v>
      </c>
      <c r="J74" s="84" t="e">
        <f>2*J72/3*F75</f>
        <v>#VALUE!</v>
      </c>
      <c r="K74" s="84" t="str">
        <f>CONCATENATE("A(",C72,")=")</f>
        <v>A(4)=</v>
      </c>
      <c r="L74" s="84">
        <f>VLOOKUP(C72,STN_TABLE,3,FALSE)</f>
        <v>0</v>
      </c>
      <c r="M74" t="str">
        <f>CONCATENATE("A(",C74,")=")</f>
        <v>A(6)=</v>
      </c>
      <c r="N74" t="e">
        <f>J74+L74</f>
        <v>#VALUE!</v>
      </c>
      <c r="O74" s="99">
        <f>O73+1</f>
        <v>11</v>
      </c>
      <c r="P74" s="99">
        <f t="shared" si="23"/>
        <v>7</v>
      </c>
      <c r="Q74" s="82">
        <f>IF(P74-P73=P73-P72,P74,IF(P75-P73=P73-P72,P75,IF(P74-P73=P73-P71,P74,IF(P75-P73=P73-P71,P75,"-"))))</f>
        <v>7</v>
      </c>
      <c r="R74" s="83">
        <f>VLOOKUP(Q74,STN_TABLE,2,FALSE)</f>
        <v>10.63</v>
      </c>
      <c r="S74" s="83">
        <v>-1</v>
      </c>
      <c r="T74" s="82">
        <f>R74*S74</f>
        <v>-10.63</v>
      </c>
      <c r="U74" s="88">
        <v>-1</v>
      </c>
      <c r="V74" s="82">
        <f>R74*U74</f>
        <v>-10.63</v>
      </c>
      <c r="W74" s="84" t="str">
        <f>CONCATENATE("a'(",Q73,")=")</f>
        <v>a'(6)=</v>
      </c>
      <c r="X74" s="84">
        <f>2*X72/12*T75</f>
        <v>18.914999999999999</v>
      </c>
      <c r="Y74" s="84" t="str">
        <f>CONCATENATE("A(",Q72,")=")</f>
        <v>A(5)=</v>
      </c>
      <c r="Z74" s="84">
        <f>VLOOKUP(Q72,STN_TABLE,3,FALSE)</f>
        <v>0.11999999999999957</v>
      </c>
      <c r="AA74" t="str">
        <f>CONCATENATE("A(",Q73,")=")</f>
        <v>A(6)=</v>
      </c>
      <c r="AB74">
        <f>X74+Z74</f>
        <v>19.035</v>
      </c>
      <c r="AC74" s="99">
        <f>AC73+1</f>
        <v>10</v>
      </c>
      <c r="AD74" s="100">
        <f>VLOOKUP(AC74,STN_TABLE_2,2,FALSE)</f>
        <v>6</v>
      </c>
      <c r="AE74" s="82">
        <f>VLOOKUP(AD74,STN_TABLE,2,FALSE)</f>
        <v>8.4600000000000009</v>
      </c>
      <c r="AF74" s="82">
        <v>2</v>
      </c>
      <c r="AG74" s="83">
        <f>AE74*AF74</f>
        <v>16.920000000000002</v>
      </c>
      <c r="AH74" s="84" t="str">
        <f>CONCATENATE("a'(",AD74,")=")</f>
        <v>a'(6)=</v>
      </c>
      <c r="AI74" s="84">
        <f>2*AI72/2*AE75</f>
        <v>10.682000000000013</v>
      </c>
      <c r="AJ74" s="84" t="str">
        <f>CONCATENATE("A(",AD73,")=")</f>
        <v>A(5.61111111111111)=</v>
      </c>
      <c r="AK74" s="84">
        <f>VLOOKUP(AD73,STN_TABLE,3,FALSE)</f>
        <v>8.9199999999999946</v>
      </c>
      <c r="AL74" t="str">
        <f>CONCATENATE("A(",AD74,")=")</f>
        <v>A(6)=</v>
      </c>
      <c r="AM74">
        <f>AI74+AK74</f>
        <v>19.602000000000007</v>
      </c>
      <c r="AO74" s="68" t="str">
        <f>AA74</f>
        <v>A(6)=</v>
      </c>
      <c r="AP74" s="68">
        <f>VLOOKUP(AO74,Rise_Results,2,FALSE)</f>
        <v>19.035</v>
      </c>
      <c r="AQ74" s="76" t="e">
        <f>N74</f>
        <v>#VALUE!</v>
      </c>
      <c r="AR74" s="76">
        <f>IF(OR(AB74&lt;=0,AB75&lt;=0),1/0,AB74)</f>
        <v>19.035</v>
      </c>
      <c r="AS74" s="76">
        <f>AM74</f>
        <v>19.602000000000007</v>
      </c>
      <c r="AT74">
        <f>IFERROR(AP74,IFERROR(AQ74,IFERROR(AR74,AS74)))</f>
        <v>19.035</v>
      </c>
      <c r="AU74" s="81"/>
    </row>
    <row r="75" spans="1:47" x14ac:dyDescent="0.25">
      <c r="A75" s="84">
        <f>A74+1</f>
        <v>10</v>
      </c>
      <c r="B75" s="84">
        <f t="shared" si="27"/>
        <v>6</v>
      </c>
      <c r="F75" s="82">
        <f>SUM(F72:F74)</f>
        <v>13.260000000000002</v>
      </c>
      <c r="H75" s="82">
        <f>SUM(H72:H74)</f>
        <v>74.760000000000005</v>
      </c>
      <c r="I75" s="84" t="str">
        <f>CONCATENATE("m'(",C74,")=")</f>
        <v>m'(6)=</v>
      </c>
      <c r="J75" s="84" t="e">
        <f>2*(J72*(WLS))/3*H75</f>
        <v>#VALUE!</v>
      </c>
      <c r="K75" s="84" t="str">
        <f>CONCATENATE("M(",C72,")=")</f>
        <v>M(4)=</v>
      </c>
      <c r="L75" s="84">
        <f>VLOOKUP(C72,STN_TABLE,4,FALSE)</f>
        <v>0</v>
      </c>
      <c r="M75" t="str">
        <f>CONCATENATE("M(",C74,")=")</f>
        <v>M(6)=</v>
      </c>
      <c r="N75" t="e">
        <f>J75+L75</f>
        <v>#VALUE!</v>
      </c>
      <c r="O75" s="99">
        <f>O74+1</f>
        <v>12</v>
      </c>
      <c r="P75" s="99">
        <f t="shared" si="23"/>
        <v>7.8833333333333329</v>
      </c>
      <c r="T75" s="89">
        <f>SUM(T72:T74)</f>
        <v>63.050000000000004</v>
      </c>
      <c r="V75" s="82">
        <f>SUM(V72:V74)</f>
        <v>77.570000000000007</v>
      </c>
      <c r="W75" s="84" t="str">
        <f>CONCATENATE("m'(",Q73,")=")</f>
        <v>m'(6)=</v>
      </c>
      <c r="X75" s="84">
        <f>(2*(X72^2)/24*V75)+(X74*Q72*WLS)</f>
        <v>191.1789</v>
      </c>
      <c r="Y75" s="84" t="str">
        <f>CONCATENATE("M(",Q72,")=")</f>
        <v>M(5)=</v>
      </c>
      <c r="Z75" s="84">
        <f>VLOOKUP(Q72,STN_TABLE,4,FALSE)</f>
        <v>1.0759999999999961</v>
      </c>
      <c r="AA75" t="str">
        <f>CONCATENATE("M(",Q73,")=")</f>
        <v>M(6)=</v>
      </c>
      <c r="AB75">
        <f>X75+Z75</f>
        <v>192.25489999999999</v>
      </c>
      <c r="AE75" s="89">
        <f>SUM(AE73:AE74)</f>
        <v>15.260000000000002</v>
      </c>
      <c r="AG75" s="89">
        <f>SUM(AG73:AG74)</f>
        <v>23.720000000000002</v>
      </c>
      <c r="AH75" s="84" t="str">
        <f>CONCATENATE("m'(",AD74,")=")</f>
        <v>m'(6)=</v>
      </c>
      <c r="AI75" s="84">
        <f>(2*(AI72^2)/6*AG75)+(AI74*AD73*WLS)</f>
        <v>111.7624666666668</v>
      </c>
      <c r="AJ75" s="84" t="str">
        <f>CONCATENATE("M(",AD73,")=")</f>
        <v>M(5.61111111111111)=</v>
      </c>
      <c r="AK75" s="84">
        <f>VLOOKUP(AD73,STN_TABLE,4,FALSE)</f>
        <v>86.245333333333278</v>
      </c>
      <c r="AL75" t="str">
        <f>CONCATENATE("M(",AD74,")=")</f>
        <v>M(6)=</v>
      </c>
      <c r="AM75">
        <f>AI75+AK75</f>
        <v>198.00780000000009</v>
      </c>
      <c r="AO75" s="82" t="str">
        <f>AA75</f>
        <v>M(6)=</v>
      </c>
      <c r="AP75" s="82">
        <f>VLOOKUP(AO75,Rise_Results,2,FALSE)</f>
        <v>192.25489999999999</v>
      </c>
      <c r="AQ75" s="82" t="e">
        <f>N75</f>
        <v>#VALUE!</v>
      </c>
      <c r="AR75" s="82">
        <f>IF(OR(AB74&lt;=0,AB75&lt;=0),1/0,AB75)</f>
        <v>192.25489999999999</v>
      </c>
      <c r="AS75" s="82">
        <f>AM75</f>
        <v>198.00780000000009</v>
      </c>
      <c r="AT75">
        <f>IFERROR(AP75,IFERROR(AQ75,IFERROR(AR75,AS75)))</f>
        <v>192.25489999999999</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1.2</v>
      </c>
      <c r="E77" s="102">
        <v>1</v>
      </c>
      <c r="F77" s="68">
        <f>D77*E77</f>
        <v>1.2</v>
      </c>
      <c r="G77" s="69">
        <f>C77</f>
        <v>5</v>
      </c>
      <c r="H77" s="69">
        <f>F77*G77</f>
        <v>6</v>
      </c>
      <c r="I77" s="6" t="s">
        <v>93</v>
      </c>
      <c r="J77" s="70">
        <f>IF(OR(D77=0,D78=0,D79=0),"#NA",IF(AND(C79-C78=C78-C77,C78&lt;&gt;C79,C77&lt;&gt;C78,C77&lt;&gt;C79,D79&lt;&gt;0,OR(D77&lt;&gt;0,D78&lt;&gt;0)),WLS*(C79-C78),"#NA"))</f>
        <v>1.8</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8.4600000000000009</v>
      </c>
      <c r="E78" s="81">
        <v>4</v>
      </c>
      <c r="F78" s="76">
        <f>D78*E78</f>
        <v>33.840000000000003</v>
      </c>
      <c r="G78" s="77">
        <f>C78</f>
        <v>6</v>
      </c>
      <c r="H78" s="77">
        <f>F78*G78</f>
        <v>203.04000000000002</v>
      </c>
      <c r="I78" s="512" t="s">
        <v>97</v>
      </c>
      <c r="J78" s="513"/>
      <c r="K78" s="78" t="s">
        <v>98</v>
      </c>
      <c r="L78" s="78"/>
      <c r="M78" s="7" t="s">
        <v>99</v>
      </c>
      <c r="N78" s="7"/>
      <c r="O78" s="99">
        <f>O77+1</f>
        <v>11</v>
      </c>
      <c r="P78" s="99">
        <f t="shared" si="23"/>
        <v>7</v>
      </c>
      <c r="Q78" s="76">
        <f>P78</f>
        <v>7</v>
      </c>
      <c r="R78" s="77">
        <f>VLOOKUP(Q78,STN_TABLE,2,FALSE)</f>
        <v>10.63</v>
      </c>
      <c r="S78" s="77">
        <v>8</v>
      </c>
      <c r="T78" s="76">
        <f>R78*S78</f>
        <v>85.04</v>
      </c>
      <c r="U78" s="80">
        <v>10</v>
      </c>
      <c r="V78" s="76">
        <f>R78*U78</f>
        <v>106.30000000000001</v>
      </c>
      <c r="W78" s="513" t="s">
        <v>97</v>
      </c>
      <c r="X78" s="513"/>
      <c r="Y78" s="513" t="s">
        <v>98</v>
      </c>
      <c r="Z78" s="513"/>
      <c r="AA78" s="511" t="s">
        <v>99</v>
      </c>
      <c r="AB78" s="511"/>
      <c r="AC78" s="99">
        <f>AC73+1</f>
        <v>10</v>
      </c>
      <c r="AD78" s="95">
        <f>VLOOKUP(AC78,STN_TABLE_2,2,FALSE)</f>
        <v>6</v>
      </c>
      <c r="AE78" s="68">
        <f>VLOOKUP(AD78,STN_TABLE,2,FALSE)</f>
        <v>8.4600000000000009</v>
      </c>
      <c r="AF78" s="68">
        <v>1</v>
      </c>
      <c r="AG78" s="69">
        <f>AE78*AF78</f>
        <v>8.4600000000000009</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10.63</v>
      </c>
      <c r="E79" s="92">
        <v>1</v>
      </c>
      <c r="F79" s="82">
        <f>D79*E79</f>
        <v>10.63</v>
      </c>
      <c r="G79" s="83">
        <f>C79</f>
        <v>7</v>
      </c>
      <c r="H79" s="83">
        <f>F79*G79</f>
        <v>74.410000000000011</v>
      </c>
      <c r="I79" s="84" t="str">
        <f>CONCATENATE("a'(",C79,")=")</f>
        <v>a'(7)=</v>
      </c>
      <c r="J79" s="84">
        <f>2*J77/3*F80</f>
        <v>54.804000000000009</v>
      </c>
      <c r="K79" s="84" t="str">
        <f>CONCATENATE("A(",C77,")=")</f>
        <v>A(5)=</v>
      </c>
      <c r="L79" s="84">
        <f>VLOOKUP(C77,STN_TABLE,3,FALSE)</f>
        <v>0.11999999999999957</v>
      </c>
      <c r="M79" t="str">
        <f>CONCATENATE("A(",C79,")=")</f>
        <v>A(7)=</v>
      </c>
      <c r="N79">
        <f>J79+L79</f>
        <v>54.924000000000007</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10.63</v>
      </c>
      <c r="AF79" s="82">
        <v>2</v>
      </c>
      <c r="AG79" s="83">
        <f>AE79*AF79</f>
        <v>21.26</v>
      </c>
      <c r="AH79" s="84" t="str">
        <f>CONCATENATE("a'(",AD79,")=")</f>
        <v>a'(7)=</v>
      </c>
      <c r="AI79" s="84">
        <f>2*AI77/2*AE80</f>
        <v>34.362000000000009</v>
      </c>
      <c r="AJ79" s="84" t="str">
        <f>CONCATENATE("A(",AD78,")=")</f>
        <v>A(6)=</v>
      </c>
      <c r="AK79" s="84">
        <f>VLOOKUP(AD78,STN_TABLE,3,FALSE)</f>
        <v>19.035</v>
      </c>
      <c r="AL79" t="str">
        <f>CONCATENATE("A(",AD79,")=")</f>
        <v>A(7)=</v>
      </c>
      <c r="AM79">
        <f>AI79+AK79</f>
        <v>53.397000000000006</v>
      </c>
      <c r="AO79" s="68" t="str">
        <f>AA79</f>
        <v>A(7)=</v>
      </c>
      <c r="AP79" s="68">
        <f>VLOOKUP(AO79,Rise_Results,2,FALSE)</f>
        <v>54.924000000000007</v>
      </c>
      <c r="AQ79" s="76">
        <f>N79</f>
        <v>54.924000000000007</v>
      </c>
      <c r="AR79" s="76" t="e">
        <f>IF(OR(AB79&lt;=0,AB80&lt;=0),1/0,AB79)</f>
        <v>#VALUE!</v>
      </c>
      <c r="AS79" s="76">
        <f>AM79</f>
        <v>53.397000000000006</v>
      </c>
      <c r="AT79">
        <f>IFERROR(AP79,IFERROR(AQ79,IFERROR(AR79,AS79)))</f>
        <v>54.924000000000007</v>
      </c>
      <c r="AU79" s="81"/>
    </row>
    <row r="80" spans="1:47" x14ac:dyDescent="0.25">
      <c r="A80" s="84">
        <f>A79+1</f>
        <v>11</v>
      </c>
      <c r="B80" s="84">
        <f t="shared" si="27"/>
        <v>7</v>
      </c>
      <c r="F80" s="82">
        <f>SUM(F77:F79)</f>
        <v>45.670000000000009</v>
      </c>
      <c r="H80" s="82">
        <f>SUM(H77:H79)</f>
        <v>283.45000000000005</v>
      </c>
      <c r="I80" s="84" t="str">
        <f>CONCATENATE("m'(",C79,")=")</f>
        <v>m'(7)=</v>
      </c>
      <c r="J80" s="84">
        <f>2*(J77*(WLS))/3*H80</f>
        <v>612.25200000000018</v>
      </c>
      <c r="K80" s="84" t="str">
        <f>CONCATENATE("M(",C77,")=")</f>
        <v>M(5)=</v>
      </c>
      <c r="L80" s="84">
        <f>VLOOKUP(C77,STN_TABLE,4,FALSE)</f>
        <v>1.0759999999999961</v>
      </c>
      <c r="M80" t="str">
        <f>CONCATENATE("M(",C79,")=")</f>
        <v>M(7)=</v>
      </c>
      <c r="N80">
        <f>J80+L80</f>
        <v>613.3280000000002</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19.090000000000003</v>
      </c>
      <c r="AG80" s="89">
        <f>SUM(AG78:AG79)</f>
        <v>29.720000000000002</v>
      </c>
      <c r="AH80" s="84" t="str">
        <f>CONCATENATE("m'(",AD79,")=")</f>
        <v>m'(7)=</v>
      </c>
      <c r="AI80" s="84">
        <f>(2*(AI77^2)/6*AG80)+(AI79*AD78*WLS)</f>
        <v>403.20720000000011</v>
      </c>
      <c r="AJ80" s="84" t="str">
        <f>CONCATENATE("M(",AD78,")=")</f>
        <v>M(6)=</v>
      </c>
      <c r="AK80" s="84">
        <f>VLOOKUP(AD78,STN_TABLE,4,FALSE)</f>
        <v>192.25489999999999</v>
      </c>
      <c r="AL80" t="str">
        <f>CONCATENATE("M(",AD79,")=")</f>
        <v>M(7)=</v>
      </c>
      <c r="AM80">
        <f>AI80+AK80</f>
        <v>595.46210000000008</v>
      </c>
      <c r="AO80" s="82" t="str">
        <f>AA80</f>
        <v>M(7)=</v>
      </c>
      <c r="AP80" s="82">
        <f>VLOOKUP(AO80,Rise_Results,2,FALSE)</f>
        <v>613.3280000000002</v>
      </c>
      <c r="AQ80" s="82">
        <f>N80</f>
        <v>613.3280000000002</v>
      </c>
      <c r="AR80" s="82" t="e">
        <f>IF(OR(AB79&lt;=0,AB80&lt;=0),1/0,AB80)</f>
        <v>#VALUE!</v>
      </c>
      <c r="AS80" s="82">
        <f>AM80</f>
        <v>595.46210000000008</v>
      </c>
      <c r="AT80">
        <f>IFERROR(AP80,IFERROR(AQ80,IFERROR(AR80,AS80)))</f>
        <v>613.3280000000002</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11.52</v>
      </c>
      <c r="S83" s="77">
        <v>8</v>
      </c>
      <c r="T83" s="76">
        <f>R83*S83</f>
        <v>92.16</v>
      </c>
      <c r="U83" s="80">
        <v>10</v>
      </c>
      <c r="V83" s="76">
        <f>R83*U83</f>
        <v>115.19999999999999</v>
      </c>
      <c r="W83" s="513" t="s">
        <v>97</v>
      </c>
      <c r="X83" s="513"/>
      <c r="Y83" s="513" t="s">
        <v>98</v>
      </c>
      <c r="Z83" s="513"/>
      <c r="AA83" s="511" t="s">
        <v>99</v>
      </c>
      <c r="AB83" s="511"/>
      <c r="AC83" s="99">
        <f>AC78+1</f>
        <v>11</v>
      </c>
      <c r="AD83" s="95">
        <f>VLOOKUP(AC83,STN_TABLE_2,2,FALSE)</f>
        <v>7</v>
      </c>
      <c r="AE83" s="68">
        <f>VLOOKUP(AD83,STN_TABLE,2,FALSE)</f>
        <v>10.63</v>
      </c>
      <c r="AF83" s="68">
        <v>1</v>
      </c>
      <c r="AG83" s="69">
        <f>AE83*AF83</f>
        <v>10.63</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11.52</v>
      </c>
      <c r="E84" s="92">
        <v>1</v>
      </c>
      <c r="F84" s="82">
        <f>D84*E84</f>
        <v>11.52</v>
      </c>
      <c r="G84" s="83">
        <f>C84</f>
        <v>7.8833333333333329</v>
      </c>
      <c r="H84" s="83">
        <f>F84*G84</f>
        <v>90.815999999999988</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11.52</v>
      </c>
      <c r="AF84" s="82">
        <v>2</v>
      </c>
      <c r="AG84" s="83">
        <f>AE84*AF84</f>
        <v>23.04</v>
      </c>
      <c r="AH84" s="84" t="str">
        <f>CONCATENATE("a'(",AD84,")=")</f>
        <v>a'(7.88333333333333)=</v>
      </c>
      <c r="AI84" s="84">
        <f>2*AI82/2*AE85</f>
        <v>35.218499999999977</v>
      </c>
      <c r="AJ84" s="84" t="str">
        <f>CONCATENATE("A(",AD83,")=")</f>
        <v>A(7)=</v>
      </c>
      <c r="AK84" s="84">
        <f>VLOOKUP(AD83,STN_TABLE,3,FALSE)</f>
        <v>54.924000000000007</v>
      </c>
      <c r="AL84" t="str">
        <f>CONCATENATE("A(",AD84,")=")</f>
        <v>A(7.88333333333333)=</v>
      </c>
      <c r="AM84">
        <f>AI84+AK84</f>
        <v>90.142499999999984</v>
      </c>
      <c r="AO84" s="68" t="str">
        <f>AA84</f>
        <v>A(7.88333333333333)=</v>
      </c>
      <c r="AP84" s="68" t="e">
        <f>VLOOKUP(AO84,Rise_Results,2,FALSE)</f>
        <v>#N/A</v>
      </c>
      <c r="AQ84" s="76" t="e">
        <f>N84</f>
        <v>#N/A</v>
      </c>
      <c r="AR84" s="76" t="e">
        <f>IF(OR(AB84&lt;=0,AB85&lt;=0),1/0,AB84)</f>
        <v>#VALUE!</v>
      </c>
      <c r="AS84" s="76">
        <f>AM84</f>
        <v>90.142499999999984</v>
      </c>
      <c r="AT84">
        <f>IFERROR(AP84,IFERROR(AQ84,IFERROR(AR84,AS84)))</f>
        <v>90.142499999999984</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22.15</v>
      </c>
      <c r="AG85" s="89">
        <f>SUM(AG83:AG84)</f>
        <v>33.67</v>
      </c>
      <c r="AH85" s="84" t="str">
        <f>CONCATENATE("m'(",AD84,")=")</f>
        <v>m'(7.88333333333333)=</v>
      </c>
      <c r="AI85" s="84">
        <f>(2*(AI82^2)/6*AG85)+(AI84*AD83*WLS)</f>
        <v>472.1268089999997</v>
      </c>
      <c r="AJ85" s="84" t="str">
        <f>CONCATENATE("M(",AD83,")=")</f>
        <v>M(7)=</v>
      </c>
      <c r="AK85" s="84">
        <f>VLOOKUP(AD83,STN_TABLE,4,FALSE)</f>
        <v>613.3280000000002</v>
      </c>
      <c r="AL85" t="str">
        <f>CONCATENATE("M(",AD84,")=")</f>
        <v>M(7.88333333333333)=</v>
      </c>
      <c r="AM85">
        <f>AI85+AK85</f>
        <v>1085.4548089999998</v>
      </c>
      <c r="AO85" s="82" t="str">
        <f>AA85</f>
        <v>M(7.88333333333333)=</v>
      </c>
      <c r="AP85" s="82" t="e">
        <f>VLOOKUP(AO85,Rise_Results,2,FALSE)</f>
        <v>#N/A</v>
      </c>
      <c r="AQ85" s="82" t="e">
        <f>N85</f>
        <v>#N/A</v>
      </c>
      <c r="AR85" s="82" t="e">
        <f>IF(OR(AB84&lt;=0,AB85&lt;=0),1/0,AB85)</f>
        <v>#VALUE!</v>
      </c>
      <c r="AS85" s="82">
        <f>AM85</f>
        <v>1085.4548089999998</v>
      </c>
      <c r="AT85">
        <f>IFERROR(AP85,IFERROR(AQ85,IFERROR(AR85,AS85)))</f>
        <v>1085.4548089999998</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11.52</v>
      </c>
      <c r="AF88" s="68">
        <v>1</v>
      </c>
      <c r="AG88" s="69">
        <f>AE88*AF88</f>
        <v>11.52</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90.142499999999984</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11.52</v>
      </c>
      <c r="AG90" s="89" t="e">
        <f>SUM(AG88:AG89)</f>
        <v>#VALUE!</v>
      </c>
      <c r="AH90" s="84" t="str">
        <f>CONCATENATE("m'(",AD89,")=")</f>
        <v>m'(  )=</v>
      </c>
      <c r="AI90" s="84" t="e">
        <f>(2*(AI87^2)/6*AG90)+(AI89*AD88*WLS)</f>
        <v>#VALUE!</v>
      </c>
      <c r="AJ90" s="84" t="str">
        <f>CONCATENATE("M(",AD88,")=")</f>
        <v>M(7.88333333333333)=</v>
      </c>
      <c r="AK90" s="84">
        <f>VLOOKUP(AD88,STN_TABLE,4,FALSE)</f>
        <v>1085.4548089999998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U171"/>
  <sheetViews>
    <sheetView topLeftCell="O1" zoomScale="90" zoomScaleNormal="90" workbookViewId="0">
      <pane ySplit="1" topLeftCell="A2" activePane="bottomLeft" state="frozen"/>
      <selection activeCell="AG8" sqref="AG8:AG10"/>
      <selection pane="bottomLeft" activeCell="AG8" sqref="AG8:AG10"/>
    </sheetView>
  </sheetViews>
  <sheetFormatPr defaultRowHeight="15" x14ac:dyDescent="0.25"/>
  <sheetData>
    <row r="1" spans="1:46" x14ac:dyDescent="0.25">
      <c r="A1" s="511" t="s">
        <v>90</v>
      </c>
      <c r="B1" s="511"/>
      <c r="C1">
        <f>HLOOKUP(Stn_WL,OFFSET_A,Count_STN+1,FALSE)</f>
        <v>0</v>
      </c>
      <c r="E1" s="511" t="s">
        <v>91</v>
      </c>
      <c r="F1" s="511"/>
      <c r="G1">
        <f>VLOOKUP(Station_No,RISE_CALC,2,FALSE)</f>
        <v>9.9</v>
      </c>
      <c r="L1" s="511" t="s">
        <v>92</v>
      </c>
      <c r="M1" s="511"/>
      <c r="N1">
        <v>1</v>
      </c>
    </row>
    <row r="2" spans="1:46" x14ac:dyDescent="0.25">
      <c r="Q2" s="66" t="str">
        <f t="shared" ref="Q2:R6" si="0">G4</f>
        <v>Rise</v>
      </c>
      <c r="R2" s="67">
        <f t="shared" si="0"/>
        <v>5.5</v>
      </c>
      <c r="S2" s="68" t="str">
        <f>IF(OR(R5-R4=R4-R3,R6-R4=R4-R3),R3,IF(OR(R5-R4=R4-R2,R6-R4=R4-R2),R2,"-"))</f>
        <v>-</v>
      </c>
      <c r="T2" s="69">
        <f>IFERROR(VLOOKUP(S2,STN_TABLE,2,FALSE),IF(R2=RisePerWLS,0,"-"))</f>
        <v>0</v>
      </c>
      <c r="U2" s="69">
        <v>5</v>
      </c>
      <c r="V2" s="69">
        <f>T2*U2</f>
        <v>0</v>
      </c>
      <c r="W2" s="69">
        <v>3</v>
      </c>
      <c r="X2" s="69">
        <f>T2*W2</f>
        <v>0</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5.6111111111111107</v>
      </c>
      <c r="S3" s="76">
        <f>R4</f>
        <v>6</v>
      </c>
      <c r="T3" s="77">
        <f>VLOOKUP(S3,STN_TABLE,2,FALSE)</f>
        <v>6.2</v>
      </c>
      <c r="U3" s="77">
        <v>8</v>
      </c>
      <c r="V3" s="77">
        <f>T3*U3</f>
        <v>49.6</v>
      </c>
      <c r="W3" s="77">
        <v>10</v>
      </c>
      <c r="X3" s="77">
        <f>T3*W3</f>
        <v>62</v>
      </c>
      <c r="Y3" s="78" t="s">
        <v>97</v>
      </c>
      <c r="Z3" s="78"/>
      <c r="AA3" s="78" t="s">
        <v>98</v>
      </c>
      <c r="AB3" s="78"/>
      <c r="AC3" s="7" t="s">
        <v>99</v>
      </c>
      <c r="AD3" s="7"/>
      <c r="AE3" s="66" t="str">
        <f t="shared" ref="AE3:AF7" si="1">G4</f>
        <v>Rise</v>
      </c>
      <c r="AF3" s="67">
        <f t="shared" si="1"/>
        <v>5.5</v>
      </c>
      <c r="AG3" s="79" t="str">
        <f>IF(AF7-AF6=AF6-AF5,AF5,IF(OR(AF7-AF6=AF6-AF4,AF7-AF5=AF5-AF4),AF4,IF(OR(AF7-AF6=AF6-AF3,AF7-AF5=AF5-AF3,AF7-AF4=AF4-AF3),AF3,"#NA")))</f>
        <v>#NA</v>
      </c>
      <c r="AH3" s="69">
        <f>IFERROR(VLOOKUP(AG3,STN_TABLE,2,FALSE),IF(AF3=RisePerWLS,0,"-"))</f>
        <v>0</v>
      </c>
      <c r="AI3" s="69">
        <v>1</v>
      </c>
      <c r="AJ3" s="69">
        <f>AH3*AI3</f>
        <v>0</v>
      </c>
      <c r="AK3" s="69" t="str">
        <f>AG3</f>
        <v>#NA</v>
      </c>
      <c r="AL3" s="69" t="e">
        <f>AJ3*AK3</f>
        <v>#VALUE!</v>
      </c>
      <c r="AM3" s="6" t="s">
        <v>93</v>
      </c>
      <c r="AN3" s="70" t="e">
        <f>IF(AND(AH3=0,AH4=0,AH5=0),WLS*(AG5-AG4),IF(AND(AG5-AG4=AG4-AG3,AG4&lt;&gt;AG5,AG3&lt;&gt;AG4,AG3&lt;&gt;AG5,AH5&lt;&gt;0,OR(AH3&lt;&gt;0,AH4&lt;&gt;0)),WLS*(AG5-AG4),"#NA"))</f>
        <v>#N/A</v>
      </c>
    </row>
    <row r="4" spans="1:46" x14ac:dyDescent="0.25">
      <c r="A4">
        <v>1</v>
      </c>
      <c r="B4" s="80">
        <f t="shared" ref="B4:B28" si="2">VLOOKUP(Stn_WL,OFFSET_A,A4+1,FALSE)</f>
        <v>0</v>
      </c>
      <c r="C4" s="81">
        <f t="shared" ref="C4:C28" si="3">VLOOKUP(Station_No,OFFSET_A,A4+1,FALSE)</f>
        <v>0</v>
      </c>
      <c r="D4" s="81">
        <v>0</v>
      </c>
      <c r="E4" s="77">
        <v>0</v>
      </c>
      <c r="G4" t="s">
        <v>100</v>
      </c>
      <c r="H4">
        <f>Rise/WLS</f>
        <v>5.5</v>
      </c>
      <c r="K4" t="str">
        <f>CONCATENATE("A(",H5,")=")</f>
        <v>A(5.61111111111111)=</v>
      </c>
      <c r="L4">
        <f>IFERROR(N18,N22)</f>
        <v>0.57839999999999792</v>
      </c>
      <c r="Q4" s="66" t="str">
        <f t="shared" si="0"/>
        <v>2nd_UWL</v>
      </c>
      <c r="R4" s="67">
        <f t="shared" si="0"/>
        <v>6</v>
      </c>
      <c r="S4" s="82" t="e">
        <f>IF((S2-S3)=S3-R5,R5,IF(S2-S3=S3-R6,R6,"-"))</f>
        <v>#VALUE!</v>
      </c>
      <c r="T4" s="83" t="e">
        <f>VLOOKUP(S4,STN_TABLE,2,FALSE)</f>
        <v>#VALUE!</v>
      </c>
      <c r="U4" s="83">
        <v>-1</v>
      </c>
      <c r="V4" s="83" t="e">
        <f>T4*U4</f>
        <v>#VALUE!</v>
      </c>
      <c r="W4" s="83">
        <v>-1</v>
      </c>
      <c r="X4" s="83" t="e">
        <f>T4*W4</f>
        <v>#VALUE!</v>
      </c>
      <c r="Y4" s="84" t="str">
        <f>CONCATENATE("a'(",S3,")=")</f>
        <v>a'(6)=</v>
      </c>
      <c r="Z4" s="85" t="e">
        <f>2*Z2/12*V5</f>
        <v>#VALUE!</v>
      </c>
      <c r="AA4" s="84" t="str">
        <f>CONCATENATE("A(",S2,")=")</f>
        <v>A(-)=</v>
      </c>
      <c r="AB4" s="84" t="e">
        <f>IF(S2=RisePerWLS,0,VLOOKUP(S2,STN_TABLE,3,FALSE))</f>
        <v>#N/A</v>
      </c>
      <c r="AC4" t="str">
        <f>CONCATENATE("A(",S3,")=")</f>
        <v>A(6)=</v>
      </c>
      <c r="AD4" t="e">
        <f>Z4+AB4</f>
        <v>#VALUE!</v>
      </c>
      <c r="AE4" s="66" t="str">
        <f t="shared" si="1"/>
        <v>1st_UWL</v>
      </c>
      <c r="AF4" s="67">
        <f t="shared" si="1"/>
        <v>5.6111111111111107</v>
      </c>
      <c r="AG4" s="80" t="str">
        <f>IF(OR(AF7-AF6=AF6-AF5,AF7-AF6=AF6-AF4,AF7-AF6=AF6-AF3),AF6,IF(OR(AF7-AF5=AF5-AF4,AF7-AF5=AF5-AF3),AF5,IF(AF7-AF4=AF4-AF3,AF4,"#NA")))</f>
        <v>#NA</v>
      </c>
      <c r="AH4" s="77" t="e">
        <f>VLOOKUP(AG4,STN_TABLE,2,FALSE)</f>
        <v>#N/A</v>
      </c>
      <c r="AI4" s="77">
        <v>4</v>
      </c>
      <c r="AJ4" s="77" t="e">
        <f>AH4*AI4</f>
        <v>#N/A</v>
      </c>
      <c r="AK4" s="77" t="str">
        <f>AG4</f>
        <v>#NA</v>
      </c>
      <c r="AL4" s="77" t="e">
        <f>AJ4*AK4</f>
        <v>#N/A</v>
      </c>
      <c r="AM4" s="78" t="s">
        <v>97</v>
      </c>
      <c r="AN4" s="78"/>
      <c r="AO4" s="78" t="s">
        <v>98</v>
      </c>
      <c r="AP4" s="78"/>
      <c r="AQ4" s="7" t="s">
        <v>99</v>
      </c>
      <c r="AR4" s="7"/>
      <c r="AS4" s="7"/>
      <c r="AT4" s="7"/>
    </row>
    <row r="5" spans="1:46" x14ac:dyDescent="0.25">
      <c r="A5">
        <v>2</v>
      </c>
      <c r="B5" s="80">
        <f t="shared" si="2"/>
        <v>0.5</v>
      </c>
      <c r="C5" s="81">
        <f t="shared" si="3"/>
        <v>0</v>
      </c>
      <c r="D5" s="81">
        <f t="shared" ref="D5:D28" si="4">IFERROR(VLOOKUP(CONCATENATE("A(",B5,")="),RESULT_TABLE,6,FALSE)," ")</f>
        <v>0</v>
      </c>
      <c r="E5" s="77">
        <f t="shared" ref="E5:E28" si="5">IFERROR(VLOOKUP(CONCATENATE("M(",B5,")="),RESULT_TABLE,6,FALSE)," ")</f>
        <v>0</v>
      </c>
      <c r="G5" t="s">
        <v>101</v>
      </c>
      <c r="H5">
        <f>VLOOKUP(Station_No,RISE_CALC,4,FALSE)</f>
        <v>5.6111111111111107</v>
      </c>
      <c r="K5" t="str">
        <f>CONCATENATE("M(",H5,")=")</f>
        <v>M(5.61111111111111)=</v>
      </c>
      <c r="L5">
        <f>IFERROR(N19,N23)</f>
        <v>5.8032799999999796</v>
      </c>
      <c r="Q5" s="66" t="str">
        <f t="shared" si="0"/>
        <v>3rd_UWL</v>
      </c>
      <c r="R5" s="67">
        <f t="shared" si="0"/>
        <v>7</v>
      </c>
      <c r="V5" s="86" t="e">
        <f>SUM(V2:V4)</f>
        <v>#VALUE!</v>
      </c>
      <c r="X5" s="87" t="e">
        <f>SUM(X2:X4)</f>
        <v>#VALUE!</v>
      </c>
      <c r="Y5" s="84" t="str">
        <f>CONCATENATE("m'(",S3,")=")</f>
        <v>m'(6)=</v>
      </c>
      <c r="Z5" s="85" t="e">
        <f>(2*(Z2^2)/24*X5)+(Z4*S2*WLS)</f>
        <v>#VALUE!</v>
      </c>
      <c r="AA5" s="84" t="str">
        <f>CONCATENATE("M(",S2,")=")</f>
        <v>M(-)=</v>
      </c>
      <c r="AB5" s="84" t="e">
        <f>IF(S2=RisePerWLS,0,VLOOKUP(S2,STN_TABLE,4,FALSE))</f>
        <v>#N/A</v>
      </c>
      <c r="AC5" t="str">
        <f>CONCATENATE("M(",S3,")=")</f>
        <v>M(6)=</v>
      </c>
      <c r="AD5" t="e">
        <f>Z5+AB5</f>
        <v>#VALUE!</v>
      </c>
      <c r="AE5" s="66" t="str">
        <f t="shared" si="1"/>
        <v>2nd_UWL</v>
      </c>
      <c r="AF5" s="67">
        <f t="shared" si="1"/>
        <v>6</v>
      </c>
      <c r="AG5" s="88">
        <f>AF7</f>
        <v>7.8833333333333329</v>
      </c>
      <c r="AH5" s="83">
        <f>VLOOKUP(AG5,STN_TABLE,2,FALSE)</f>
        <v>10.89</v>
      </c>
      <c r="AI5" s="83">
        <v>1</v>
      </c>
      <c r="AJ5" s="83">
        <f>AH5*AI5</f>
        <v>10.89</v>
      </c>
      <c r="AK5" s="83">
        <f>AG5</f>
        <v>7.8833333333333329</v>
      </c>
      <c r="AL5" s="83">
        <f>AJ5*AK5</f>
        <v>85.849500000000006</v>
      </c>
      <c r="AM5" s="84" t="str">
        <f>CONCATENATE("a'(",AG5,")=")</f>
        <v>a'(7.88333333333333)=</v>
      </c>
      <c r="AN5" s="84" t="e">
        <f>2*AN3/3*AJ6</f>
        <v>#N/A</v>
      </c>
      <c r="AO5" s="84" t="str">
        <f>CONCATENATE("A(",AG3,")=")</f>
        <v>A(#NA)=</v>
      </c>
      <c r="AP5" s="84" t="e">
        <f>IF(AG3=RisePerWLS,0,VLOOKUP(AG3,STN_TABLE,3,FALSE))</f>
        <v>#N/A</v>
      </c>
      <c r="AQ5" t="str">
        <f>CONCATENATE("A(",AG5,")=")</f>
        <v>A(7.88333333333333)=</v>
      </c>
      <c r="AR5" t="e">
        <f>AN5+AP5</f>
        <v>#N/A</v>
      </c>
    </row>
    <row r="6" spans="1:46" x14ac:dyDescent="0.25">
      <c r="A6">
        <v>3</v>
      </c>
      <c r="B6" s="80">
        <f t="shared" si="2"/>
        <v>1</v>
      </c>
      <c r="C6" s="81">
        <f t="shared" si="3"/>
        <v>0</v>
      </c>
      <c r="D6" s="81">
        <f t="shared" si="4"/>
        <v>0</v>
      </c>
      <c r="E6" s="77">
        <f t="shared" si="5"/>
        <v>0</v>
      </c>
      <c r="G6" t="s">
        <v>102</v>
      </c>
      <c r="H6">
        <f>VLOOKUP(Station_No,RISE_CALC,5,FALSE)</f>
        <v>6</v>
      </c>
      <c r="K6" t="str">
        <f>CONCATENATE("A(",H6,")=")</f>
        <v>A(6)=</v>
      </c>
      <c r="L6">
        <f>IFERROR(P27,IFERROR(X6,AD9))</f>
        <v>6.9428000000000045</v>
      </c>
      <c r="Q6" s="66" t="str">
        <f t="shared" si="0"/>
        <v>4th_UWL</v>
      </c>
      <c r="R6" s="67">
        <f t="shared" si="0"/>
        <v>7.8833333333333329</v>
      </c>
      <c r="U6" t="s">
        <v>103</v>
      </c>
      <c r="W6" t="str">
        <f>CONCATENATE("A(",S3,")=")</f>
        <v>A(6)=</v>
      </c>
      <c r="X6" t="e">
        <f>IF(OR(AD4&lt;=0,AD5&lt;=0),AD9,AD4)</f>
        <v>#VALUE!</v>
      </c>
      <c r="AE6" s="66" t="str">
        <f t="shared" si="1"/>
        <v>3rd_UWL</v>
      </c>
      <c r="AF6" s="67">
        <f t="shared" si="1"/>
        <v>7</v>
      </c>
      <c r="AJ6" s="89" t="e">
        <f>SUM(AJ3:AJ5)</f>
        <v>#N/A</v>
      </c>
      <c r="AL6" s="89" t="e">
        <f>SUM(AL3:AL5)</f>
        <v>#VALUE!</v>
      </c>
      <c r="AM6" s="84" t="str">
        <f>CONCATENATE("m'(",AG5,")=")</f>
        <v>m'(7.88333333333333)=</v>
      </c>
      <c r="AN6" s="84" t="e">
        <f>2*(AN3*WLS)/3*AL6</f>
        <v>#N/A</v>
      </c>
      <c r="AO6" s="84" t="str">
        <f>CONCATENATE("M(",AG3,")=")</f>
        <v>M(#NA)=</v>
      </c>
      <c r="AP6" s="84" t="e">
        <f>IF(AG3=RisePerWLS,0,VLOOKUP(AG3,STN_TABLE,4,FALSE))</f>
        <v>#N/A</v>
      </c>
      <c r="AQ6" t="str">
        <f>CONCATENATE("M(",AG5,")=")</f>
        <v>M(7.88333333333333)=</v>
      </c>
      <c r="AR6" t="e">
        <f>AN6+AP6</f>
        <v>#N/A</v>
      </c>
    </row>
    <row r="7" spans="1:46" x14ac:dyDescent="0.25">
      <c r="A7">
        <v>4</v>
      </c>
      <c r="B7" s="80">
        <f t="shared" si="2"/>
        <v>1.5</v>
      </c>
      <c r="C7" s="81">
        <f t="shared" si="3"/>
        <v>0</v>
      </c>
      <c r="D7" s="81">
        <f t="shared" si="4"/>
        <v>0</v>
      </c>
      <c r="E7" s="77">
        <f t="shared" si="5"/>
        <v>0</v>
      </c>
      <c r="G7" t="s">
        <v>104</v>
      </c>
      <c r="H7">
        <f>VLOOKUP(Station_No,RISE_CALC,6,FALSE)</f>
        <v>7</v>
      </c>
      <c r="K7" t="str">
        <f>CONCATENATE("M(",H6,")=")</f>
        <v>M(6)=</v>
      </c>
      <c r="L7">
        <f>IFERROR(P28,IFERROR(X7,AD10))</f>
        <v>72.581413333333387</v>
      </c>
      <c r="Q7" s="66"/>
      <c r="R7" s="67"/>
      <c r="W7" t="str">
        <f>CONCATENATE("M(",S3,")=")</f>
        <v>M(6)=</v>
      </c>
      <c r="X7" t="e">
        <f>IF(OR(AD4&lt;=0,AD5&lt;=0),AD10,AD5)</f>
        <v>#VALUE!</v>
      </c>
      <c r="Y7" s="6" t="s">
        <v>93</v>
      </c>
      <c r="Z7" s="70">
        <f>WLS*(U9-U8)</f>
        <v>0.70000000000000073</v>
      </c>
      <c r="AE7" s="66" t="str">
        <f t="shared" si="1"/>
        <v>4th_UWL</v>
      </c>
      <c r="AF7" s="67">
        <f t="shared" si="1"/>
        <v>7.8833333333333329</v>
      </c>
      <c r="AH7" s="81"/>
    </row>
    <row r="8" spans="1:46" x14ac:dyDescent="0.25">
      <c r="A8">
        <v>5</v>
      </c>
      <c r="B8" s="80">
        <f t="shared" si="2"/>
        <v>2</v>
      </c>
      <c r="C8" s="81">
        <f t="shared" si="3"/>
        <v>0</v>
      </c>
      <c r="D8" s="81">
        <f t="shared" si="4"/>
        <v>0</v>
      </c>
      <c r="E8" s="77">
        <f t="shared" si="5"/>
        <v>0</v>
      </c>
      <c r="G8" t="s">
        <v>105</v>
      </c>
      <c r="H8">
        <f>VLOOKUP(Station_No,RISE_CALC,7,FALSE)</f>
        <v>7.8833333333333329</v>
      </c>
      <c r="K8" t="str">
        <f>CONCATENATE("A(",H7,")=")</f>
        <v>A(7)=</v>
      </c>
      <c r="L8">
        <f>IFERROR(AD15,IFERROR(X24,AD27))</f>
        <v>35.382800000000003</v>
      </c>
      <c r="Q8" s="80"/>
      <c r="R8" s="81"/>
      <c r="U8" s="79">
        <f>R3</f>
        <v>5.6111111111111107</v>
      </c>
      <c r="V8" s="68">
        <f>VLOOKUP(U8,STN_TABLE,2,FALSE)</f>
        <v>2.8919999999999999</v>
      </c>
      <c r="W8" s="68">
        <v>1</v>
      </c>
      <c r="X8" s="69">
        <f>V8*W8</f>
        <v>2.8919999999999999</v>
      </c>
      <c r="Y8" s="78" t="s">
        <v>97</v>
      </c>
      <c r="Z8" s="78"/>
      <c r="AA8" s="78" t="s">
        <v>98</v>
      </c>
      <c r="AB8" s="78"/>
      <c r="AC8" s="7" t="s">
        <v>99</v>
      </c>
      <c r="AD8" s="7"/>
      <c r="AE8" s="66"/>
      <c r="AF8" s="67"/>
      <c r="AG8" s="68" t="e">
        <f>IF(OR(AF12-AF11=AF11-AF10,AF13-AF11=AF11-AF10),AF10,IF(OR(AF12-AF11=AF11-AF9,AF13-AF11=AF11-AF9),AF9,"-"))</f>
        <v>#VALUE!</v>
      </c>
      <c r="AH8" s="69" t="str">
        <f>IFERROR(VLOOKUP(AG8,STN_TABLE,2,FALSE),IF(AF8=RisePerWLS,0,"-"))</f>
        <v>-</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3</v>
      </c>
      <c r="C9" s="81">
        <f t="shared" si="3"/>
        <v>0</v>
      </c>
      <c r="D9" s="81">
        <f t="shared" si="4"/>
        <v>0</v>
      </c>
      <c r="E9" s="77">
        <f t="shared" si="5"/>
        <v>0</v>
      </c>
      <c r="G9" t="s">
        <v>106</v>
      </c>
      <c r="H9" t="str">
        <f>VLOOKUP(Station_No,RISE_CALC,8,FALSE)</f>
        <v xml:space="preserve">  </v>
      </c>
      <c r="K9" t="str">
        <f>CONCATENATE("M(",H7,")=")</f>
        <v>M(7)=</v>
      </c>
      <c r="L9">
        <f>IFERROR(AD16,IFERROR(X25,AD28))</f>
        <v>407.16541333333345</v>
      </c>
      <c r="Q9" s="80"/>
      <c r="R9" s="81"/>
      <c r="U9" s="88">
        <f>R4</f>
        <v>6</v>
      </c>
      <c r="V9" s="82">
        <f>VLOOKUP(U9,STN_TABLE,2,FALSE)</f>
        <v>6.2</v>
      </c>
      <c r="W9" s="82">
        <v>2</v>
      </c>
      <c r="X9" s="83">
        <f>V9*W9</f>
        <v>12.4</v>
      </c>
      <c r="Y9" s="84" t="str">
        <f>CONCATENATE("a'(",U9,")=")</f>
        <v>a'(6)=</v>
      </c>
      <c r="Z9" s="84">
        <f>2*Z7/2*V10</f>
        <v>6.3644000000000069</v>
      </c>
      <c r="AA9" s="84" t="str">
        <f>CONCATENATE("A(",U8,")=")</f>
        <v>A(5.61111111111111)=</v>
      </c>
      <c r="AB9" s="84">
        <f>IF(U8=RisePerWLS,0,VLOOKUP(U8,STN_TABLE,3,FALSE))</f>
        <v>0.57839999999999792</v>
      </c>
      <c r="AC9" t="str">
        <f>CONCATENATE("A(",U9,")=")</f>
        <v>A(6)=</v>
      </c>
      <c r="AD9">
        <f>Z9+AB9</f>
        <v>6.9428000000000045</v>
      </c>
      <c r="AE9" s="66" t="str">
        <f t="shared" ref="AE9:AF13" si="6">G6</f>
        <v>2nd_UWL</v>
      </c>
      <c r="AF9" s="67">
        <f t="shared" si="6"/>
        <v>6</v>
      </c>
      <c r="AG9" s="76">
        <f>AF11</f>
        <v>7.8833333333333329</v>
      </c>
      <c r="AH9" s="77">
        <f>VLOOKUP(AG9,STN_TABLE,2,FALSE)</f>
        <v>10.89</v>
      </c>
      <c r="AI9" s="77">
        <v>8</v>
      </c>
      <c r="AJ9" s="77">
        <f>AH9*AI9</f>
        <v>87.12</v>
      </c>
      <c r="AK9" s="77">
        <v>10</v>
      </c>
      <c r="AL9" s="77">
        <f>AH9*AK9</f>
        <v>108.9</v>
      </c>
      <c r="AM9" s="78" t="s">
        <v>97</v>
      </c>
      <c r="AN9" s="78"/>
      <c r="AO9" s="78" t="s">
        <v>98</v>
      </c>
      <c r="AP9" s="78"/>
      <c r="AQ9" s="7" t="s">
        <v>99</v>
      </c>
      <c r="AR9" s="7"/>
      <c r="AS9" s="7"/>
      <c r="AT9" s="7"/>
    </row>
    <row r="10" spans="1:46" x14ac:dyDescent="0.25">
      <c r="A10">
        <v>7</v>
      </c>
      <c r="B10" s="80">
        <f t="shared" si="2"/>
        <v>4</v>
      </c>
      <c r="C10" s="81">
        <f t="shared" si="3"/>
        <v>0</v>
      </c>
      <c r="D10" s="81">
        <f t="shared" si="4"/>
        <v>0</v>
      </c>
      <c r="E10" s="77">
        <f t="shared" si="5"/>
        <v>0</v>
      </c>
      <c r="G10" t="s">
        <v>107</v>
      </c>
      <c r="H10" t="str">
        <f>VLOOKUP(Station_No,RISE_CALC,9,FALSE)</f>
        <v xml:space="preserve">  </v>
      </c>
      <c r="K10" t="str">
        <f>CONCATENATE("A(",H8,")=")</f>
        <v>A(7.88333333333333)=</v>
      </c>
      <c r="L10">
        <f>IFERROR(AR5,IFERROR(AL12,AR15))</f>
        <v>67.961899999999986</v>
      </c>
      <c r="Q10" s="80"/>
      <c r="R10" s="81"/>
      <c r="V10" s="89">
        <f>SUM(V8:V9)</f>
        <v>9.0920000000000005</v>
      </c>
      <c r="X10" s="89">
        <f>SUM(X8:X9)</f>
        <v>15.292</v>
      </c>
      <c r="Y10" s="84" t="str">
        <f>CONCATENATE("m'(",U9,")=")</f>
        <v>m'(6)=</v>
      </c>
      <c r="Z10" s="84">
        <f>(2*(Z7^2)/6*X10)+(Z9*U8*WLS)</f>
        <v>66.778133333333415</v>
      </c>
      <c r="AA10" s="84" t="str">
        <f>CONCATENATE("M(",U8,")=")</f>
        <v>M(5.61111111111111)=</v>
      </c>
      <c r="AB10" s="84">
        <f>IF(U8=RisePerWLS,0,VLOOKUP(U8,STN_TABLE,4,FALSE))</f>
        <v>5.8032799999999796</v>
      </c>
      <c r="AC10" t="str">
        <f>CONCATENATE("M(",U9,")=")</f>
        <v>M(6)=</v>
      </c>
      <c r="AD10">
        <f>Z10+AB10</f>
        <v>72.581413333333387</v>
      </c>
      <c r="AE10" s="66" t="str">
        <f t="shared" si="6"/>
        <v>3rd_UWL</v>
      </c>
      <c r="AF10" s="67">
        <f t="shared" si="6"/>
        <v>7</v>
      </c>
      <c r="AG10" s="82" t="e">
        <f>IF(AG8-AG9=AG9-AF12,AF12,IF(AG8-AG9=AG9-AF13,AF13,"-"))</f>
        <v>#VALUE!</v>
      </c>
      <c r="AH10" s="83" t="e">
        <f>VLOOKUP(AG10,STN_TABLE,2,FALSE)</f>
        <v>#VALUE!</v>
      </c>
      <c r="AI10" s="83">
        <v>-1</v>
      </c>
      <c r="AJ10" s="83" t="e">
        <f>AH10*AI10</f>
        <v>#VALUE!</v>
      </c>
      <c r="AK10" s="83">
        <v>-1</v>
      </c>
      <c r="AL10" s="83" t="e">
        <f>AH10*AK10</f>
        <v>#VALUE!</v>
      </c>
      <c r="AM10" s="84" t="str">
        <f>CONCATENATE("a'(",AG9,")=")</f>
        <v>a'(7.88333333333333)=</v>
      </c>
      <c r="AN10" s="84" t="e">
        <f>2*AN8/12*AJ11</f>
        <v>#VALUE!</v>
      </c>
      <c r="AO10" s="84" t="e">
        <f>CONCATENATE("A(",AG8,")=")</f>
        <v>#VALUE!</v>
      </c>
      <c r="AP10" s="84" t="e">
        <f>VLOOKUP(AG8,STN_TABLE,3,FALSE)</f>
        <v>#VALUE!</v>
      </c>
      <c r="AQ10" t="str">
        <f>CONCATENATE("A(",AG9,")=")</f>
        <v>A(7.88333333333333)=</v>
      </c>
      <c r="AR10" t="e">
        <f>AN10+AP10</f>
        <v>#VALUE!</v>
      </c>
    </row>
    <row r="11" spans="1:46" x14ac:dyDescent="0.25">
      <c r="A11">
        <v>8</v>
      </c>
      <c r="B11" s="80">
        <f t="shared" si="2"/>
        <v>5</v>
      </c>
      <c r="C11" s="81">
        <f t="shared" si="3"/>
        <v>0</v>
      </c>
      <c r="D11" s="81">
        <f t="shared" si="4"/>
        <v>0</v>
      </c>
      <c r="E11" s="77">
        <f t="shared" si="5"/>
        <v>0</v>
      </c>
      <c r="G11" t="s">
        <v>108</v>
      </c>
      <c r="H11" t="str">
        <f>VLOOKUP(Station_No,RISE_CALC,10,FALSE)</f>
        <v xml:space="preserve">  </v>
      </c>
      <c r="K11" t="str">
        <f>CONCATENATE("M(",H8,")=")</f>
        <v>M(7.88333333333333)=</v>
      </c>
      <c r="L11">
        <f>IFERROR(AR6,IFERROR(AL13,AR16))</f>
        <v>844.10599933333333</v>
      </c>
      <c r="Q11" s="80"/>
      <c r="R11" s="81"/>
      <c r="AE11" s="66" t="str">
        <f t="shared" si="6"/>
        <v>4th_UWL</v>
      </c>
      <c r="AF11" s="67">
        <f t="shared" si="6"/>
        <v>7.8833333333333329</v>
      </c>
      <c r="AJ11" s="89" t="e">
        <f>SUM(AJ8:AJ10)</f>
        <v>#VALUE!</v>
      </c>
      <c r="AL11" s="89" t="e">
        <f>SUM(AL8:AL10)</f>
        <v>#VALUE!</v>
      </c>
      <c r="AM11" s="84" t="str">
        <f>CONCATENATE("m'(",AG9,")=")</f>
        <v>m'(7.88333333333333)=</v>
      </c>
      <c r="AN11" s="84" t="e">
        <f>(2*(AN8^2)/24*AL11)+(AN10*AG8*WLS)</f>
        <v>#VALUE!</v>
      </c>
      <c r="AO11" s="84" t="e">
        <f>CONCATENATE("M(",AG8,")=")</f>
        <v>#VALUE!</v>
      </c>
      <c r="AP11" s="84" t="e">
        <f>VLOOKUP(AG8,STN_TABLE,4,FALSE)</f>
        <v>#VALUE!</v>
      </c>
      <c r="AQ11" t="str">
        <f>CONCATENATE("M(",AG9,")=")</f>
        <v>M(7.88333333333333)=</v>
      </c>
      <c r="AR11" t="e">
        <f>AN11+AP11</f>
        <v>#VALUE!</v>
      </c>
    </row>
    <row r="12" spans="1:46" x14ac:dyDescent="0.25">
      <c r="A12">
        <v>9</v>
      </c>
      <c r="B12" s="80">
        <f t="shared" si="2"/>
        <v>5.6111111111111107</v>
      </c>
      <c r="C12" s="81">
        <f t="shared" si="3"/>
        <v>2.8919999999999999</v>
      </c>
      <c r="D12" s="81">
        <f t="shared" si="4"/>
        <v>0.57839999999999792</v>
      </c>
      <c r="E12" s="77">
        <f t="shared" si="5"/>
        <v>5.8032799999999796</v>
      </c>
      <c r="Q12" s="90" t="s">
        <v>109</v>
      </c>
      <c r="R12" s="81"/>
      <c r="AE12" s="66" t="str">
        <f t="shared" si="6"/>
        <v>5th_UWL</v>
      </c>
      <c r="AF12" s="67" t="str">
        <f t="shared" si="6"/>
        <v xml:space="preserve">  </v>
      </c>
      <c r="AI12" t="s">
        <v>103</v>
      </c>
      <c r="AK12" t="str">
        <f>CONCATENATE("A(",AG9,")=")</f>
        <v>A(7.88333333333333)=</v>
      </c>
      <c r="AL12" t="e">
        <f>IF(OR(AR10&lt;=0,AR11&lt;=0),AR15,AR10)</f>
        <v>#VALUE!</v>
      </c>
    </row>
    <row r="13" spans="1:46" x14ac:dyDescent="0.25">
      <c r="A13">
        <v>10</v>
      </c>
      <c r="B13" s="80">
        <f t="shared" si="2"/>
        <v>6</v>
      </c>
      <c r="C13" s="81">
        <f t="shared" si="3"/>
        <v>6.2</v>
      </c>
      <c r="D13" s="81">
        <f t="shared" si="4"/>
        <v>6.9428000000000045</v>
      </c>
      <c r="E13" s="77">
        <f t="shared" si="5"/>
        <v>72.581413333333387</v>
      </c>
      <c r="G13" s="71" t="s">
        <v>110</v>
      </c>
      <c r="Q13" s="66" t="str">
        <f t="shared" ref="Q13:R16" si="7">G4</f>
        <v>Rise</v>
      </c>
      <c r="R13" s="67">
        <f t="shared" si="7"/>
        <v>5.5</v>
      </c>
      <c r="S13" s="68" t="str">
        <f>IF(R16-R15=R15-R14,R14,IF(R16-R14=R14-R13,R13,"-"))</f>
        <v>-</v>
      </c>
      <c r="T13" s="69">
        <f>IFERROR(VLOOKUP(S13,STN_TABLE,2,FALSE),IF(R13=RisePerWLS,0,"-"))</f>
        <v>0</v>
      </c>
      <c r="U13" s="69">
        <v>1</v>
      </c>
      <c r="V13" s="69">
        <f>T13*U13</f>
        <v>0</v>
      </c>
      <c r="W13" s="69" t="str">
        <f>S13</f>
        <v>-</v>
      </c>
      <c r="X13" s="69" t="e">
        <f>V13*W13</f>
        <v>#VALUE!</v>
      </c>
      <c r="Y13" s="6" t="s">
        <v>93</v>
      </c>
      <c r="Z13" s="70" t="e">
        <f>IF(AND(T13=0,T14=0,T15=0),WLS*(S15-S14),IF(AND(S15-S14=S14-S13,S14&lt;&gt;S15,S13&lt;&gt;S14,S13&lt;&gt;S15,T15&lt;&gt;0,OR(T13&lt;&gt;0,T14&lt;&gt;0)),WLS*(S15-S14),"#NA"))</f>
        <v>#N/A</v>
      </c>
      <c r="AE13" s="66" t="str">
        <f t="shared" si="6"/>
        <v>6th_UWL</v>
      </c>
      <c r="AF13" s="67" t="str">
        <f t="shared" si="6"/>
        <v xml:space="preserve">  </v>
      </c>
      <c r="AK13" t="str">
        <f>CONCATENATE("M(",AG9,")=")</f>
        <v>M(7.88333333333333)=</v>
      </c>
      <c r="AL13" t="e">
        <f>IF(OR(AR10&lt;=0,AR11&lt;=0),AR16,AR11)</f>
        <v>#VALUE!</v>
      </c>
      <c r="AM13" s="6" t="s">
        <v>93</v>
      </c>
      <c r="AN13" s="70">
        <f>WLS*(AI15-AI14)</f>
        <v>1.5899999999999992</v>
      </c>
    </row>
    <row r="14" spans="1:46" x14ac:dyDescent="0.25">
      <c r="A14">
        <v>11</v>
      </c>
      <c r="B14" s="80">
        <f t="shared" si="2"/>
        <v>7</v>
      </c>
      <c r="C14" s="81">
        <f t="shared" si="3"/>
        <v>9.6</v>
      </c>
      <c r="D14" s="81">
        <f t="shared" si="4"/>
        <v>35.382800000000003</v>
      </c>
      <c r="E14" s="77">
        <f t="shared" si="5"/>
        <v>407.16541333333345</v>
      </c>
      <c r="G14" s="91" t="str">
        <f>G4</f>
        <v>Rise</v>
      </c>
      <c r="H14" s="91">
        <f>RisePerWLS</f>
        <v>5.5</v>
      </c>
      <c r="I14" s="68">
        <f>H14</f>
        <v>5.5</v>
      </c>
      <c r="J14" s="69">
        <v>0</v>
      </c>
      <c r="K14" s="69">
        <v>5</v>
      </c>
      <c r="L14" s="69">
        <f>J14*K14</f>
        <v>0</v>
      </c>
      <c r="M14" s="69">
        <v>3</v>
      </c>
      <c r="N14" s="69">
        <f>J14*M14</f>
        <v>0</v>
      </c>
      <c r="O14" t="s">
        <v>93</v>
      </c>
      <c r="P14" t="e">
        <f>IF(AND(NOT(AND(J14=0,J15=0)),I14&lt;&gt;I15,I15&lt;&gt;I16,I16-I15=I15-I14),(I16-I15)*WLS,"#NA")</f>
        <v>#VALUE!</v>
      </c>
      <c r="Q14" s="66" t="str">
        <f t="shared" si="7"/>
        <v>1st_UWL</v>
      </c>
      <c r="R14" s="67">
        <f t="shared" si="7"/>
        <v>5.6111111111111107</v>
      </c>
      <c r="S14" s="76" t="str">
        <f>IF(R16-R15=R15-R14,R15,IF(R16-R14=R14-R13,R14,"-"))</f>
        <v>-</v>
      </c>
      <c r="T14" s="77" t="e">
        <f>VLOOKUP(S14,STN_TABLE,2,FALSE)</f>
        <v>#N/A</v>
      </c>
      <c r="U14" s="77">
        <v>4</v>
      </c>
      <c r="V14" s="77" t="e">
        <f>T14*U14</f>
        <v>#N/A</v>
      </c>
      <c r="W14" s="77" t="str">
        <f>S14</f>
        <v>-</v>
      </c>
      <c r="X14" s="77" t="e">
        <f>V14*W14</f>
        <v>#N/A</v>
      </c>
      <c r="Y14" s="78" t="s">
        <v>97</v>
      </c>
      <c r="Z14" s="78"/>
      <c r="AA14" s="78" t="s">
        <v>98</v>
      </c>
      <c r="AB14" s="78"/>
      <c r="AC14" s="7" t="s">
        <v>99</v>
      </c>
      <c r="AD14" s="7"/>
      <c r="AE14" s="66"/>
      <c r="AF14" s="67"/>
      <c r="AI14" s="79">
        <f>AF10</f>
        <v>7</v>
      </c>
      <c r="AJ14" s="68">
        <f>VLOOKUP(AI14,STN_TABLE,2,FALSE)</f>
        <v>9.6</v>
      </c>
      <c r="AK14" s="68">
        <v>1</v>
      </c>
      <c r="AL14" s="69">
        <f>AJ14*AK14</f>
        <v>9.6</v>
      </c>
      <c r="AM14" s="78" t="s">
        <v>97</v>
      </c>
      <c r="AN14" s="78"/>
      <c r="AO14" s="78" t="s">
        <v>98</v>
      </c>
      <c r="AP14" s="78"/>
      <c r="AQ14" s="7" t="s">
        <v>99</v>
      </c>
      <c r="AR14" s="7"/>
      <c r="AS14" s="7"/>
      <c r="AT14" s="7"/>
    </row>
    <row r="15" spans="1:46" x14ac:dyDescent="0.25">
      <c r="A15">
        <v>12</v>
      </c>
      <c r="B15" s="80">
        <f t="shared" si="2"/>
        <v>7.8833333333333329</v>
      </c>
      <c r="C15" s="81">
        <f t="shared" si="3"/>
        <v>10.89</v>
      </c>
      <c r="D15" s="81">
        <f t="shared" si="4"/>
        <v>67.961899999999986</v>
      </c>
      <c r="E15" s="77">
        <f t="shared" si="5"/>
        <v>844.10599933333333</v>
      </c>
      <c r="G15" s="91" t="str">
        <f>G5</f>
        <v>1st_UWL</v>
      </c>
      <c r="H15" s="91">
        <f>H5</f>
        <v>5.6111111111111107</v>
      </c>
      <c r="I15" s="76">
        <f>H15</f>
        <v>5.6111111111111107</v>
      </c>
      <c r="J15" s="77">
        <f>VLOOKUP(I15,STN_TABLE,2,FALSE)</f>
        <v>2.8919999999999999</v>
      </c>
      <c r="K15" s="77">
        <v>8</v>
      </c>
      <c r="L15" s="77">
        <f>J15*K15</f>
        <v>23.135999999999999</v>
      </c>
      <c r="M15" s="77">
        <v>10</v>
      </c>
      <c r="N15" s="77">
        <f>J15*M15</f>
        <v>28.919999999999998</v>
      </c>
      <c r="O15" t="str">
        <f>CONCATENATE("A(",I15,")=")</f>
        <v>A(5.61111111111111)=</v>
      </c>
      <c r="P15" t="e">
        <f>2*P14/12*L17</f>
        <v>#VALUE!</v>
      </c>
      <c r="Q15" s="66" t="str">
        <f t="shared" si="7"/>
        <v>2nd_UWL</v>
      </c>
      <c r="R15" s="67">
        <f t="shared" si="7"/>
        <v>6</v>
      </c>
      <c r="S15" s="82">
        <f>R16</f>
        <v>7</v>
      </c>
      <c r="T15" s="83">
        <f>VLOOKUP(S15,STN_TABLE,2,FALSE)</f>
        <v>9.6</v>
      </c>
      <c r="U15" s="83">
        <v>1</v>
      </c>
      <c r="V15" s="83">
        <f>T15*U15</f>
        <v>9.6</v>
      </c>
      <c r="W15" s="83">
        <f>S15</f>
        <v>7</v>
      </c>
      <c r="X15" s="83">
        <f>V15*W15</f>
        <v>67.2</v>
      </c>
      <c r="Y15" s="84" t="str">
        <f>CONCATENATE("a'(",S15,")=")</f>
        <v>a'(7)=</v>
      </c>
      <c r="Z15" s="84" t="e">
        <f>2*Z13/3*V16</f>
        <v>#N/A</v>
      </c>
      <c r="AA15" s="84" t="str">
        <f>CONCATENATE("A(",S13,")=")</f>
        <v>A(-)=</v>
      </c>
      <c r="AB15" s="84" t="e">
        <f>IF(S13=RisePerWLS,0,VLOOKUP(S13,STN_TABLE,3,FALSE))</f>
        <v>#N/A</v>
      </c>
      <c r="AC15" t="str">
        <f>CONCATENATE("A(",S15,")=")</f>
        <v>A(7)=</v>
      </c>
      <c r="AD15" t="e">
        <f>Z15+AB15</f>
        <v>#N/A</v>
      </c>
      <c r="AE15" s="80"/>
      <c r="AI15" s="88">
        <f>AF11</f>
        <v>7.8833333333333329</v>
      </c>
      <c r="AJ15" s="82">
        <f>VLOOKUP(AI15,STN_TABLE,2,FALSE)</f>
        <v>10.89</v>
      </c>
      <c r="AK15" s="82">
        <v>2</v>
      </c>
      <c r="AL15" s="83">
        <f>AJ15*AK15</f>
        <v>21.78</v>
      </c>
      <c r="AM15" s="84" t="str">
        <f>CONCATENATE("a'(",AI15,")=")</f>
        <v>a'(7.88333333333333)=</v>
      </c>
      <c r="AN15" s="84">
        <f>2*AN13/2*AJ16</f>
        <v>32.57909999999999</v>
      </c>
      <c r="AO15" s="84" t="str">
        <f>CONCATENATE("A(",AI14,")=")</f>
        <v>A(7)=</v>
      </c>
      <c r="AP15" s="84">
        <f>IF(AI14=RisePerWLS,0,VLOOKUP(AI14,STN_TABLE,3,FALSE))</f>
        <v>35.382800000000003</v>
      </c>
      <c r="AQ15" t="str">
        <f>CONCATENATE("A(",AI15,")=")</f>
        <v>A(7.88333333333333)=</v>
      </c>
      <c r="AR15">
        <f>AN15+AP15</f>
        <v>67.961899999999986</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6</v>
      </c>
      <c r="I16" s="82" t="str">
        <f>IF(H16-H15=H15-H14,H16,"#NA")</f>
        <v>#NA</v>
      </c>
      <c r="J16" s="83" t="e">
        <f>VLOOKUP(I16,STN_TABLE,2,FALSE)</f>
        <v>#N/A</v>
      </c>
      <c r="K16" s="83">
        <v>-1</v>
      </c>
      <c r="L16" s="83" t="e">
        <f>J16*K16</f>
        <v>#N/A</v>
      </c>
      <c r="M16" s="83">
        <v>-1</v>
      </c>
      <c r="N16" s="83" t="e">
        <f>J16*M16</f>
        <v>#N/A</v>
      </c>
      <c r="O16" t="str">
        <f>CONCATENATE("M(",I15,")=")</f>
        <v>M(5.61111111111111)=</v>
      </c>
      <c r="P16" t="e">
        <f>(2*(P14^2)/24*N17)+P15*I14*WLS</f>
        <v>#VALUE!</v>
      </c>
      <c r="Q16" s="66" t="str">
        <f t="shared" si="7"/>
        <v>3rd_UWL</v>
      </c>
      <c r="R16" s="67">
        <f t="shared" si="7"/>
        <v>7</v>
      </c>
      <c r="V16" s="89" t="e">
        <f>SUM(V13:V15)</f>
        <v>#N/A</v>
      </c>
      <c r="X16" s="89" t="e">
        <f>SUM(X13:X15)</f>
        <v>#VALUE!</v>
      </c>
      <c r="Y16" s="84" t="str">
        <f>CONCATENATE("m'(",S15,")=")</f>
        <v>m'(7)=</v>
      </c>
      <c r="Z16" s="84" t="e">
        <f>2*(Z13*WLS)/3*X16</f>
        <v>#N/A</v>
      </c>
      <c r="AA16" s="84" t="str">
        <f>CONCATENATE("M(",S13,")=")</f>
        <v>M(-)=</v>
      </c>
      <c r="AB16" s="84" t="e">
        <f>IF(S13=RisePerWLS,0,VLOOKUP(S13,STN_TABLE,4,FALSE))</f>
        <v>#N/A</v>
      </c>
      <c r="AC16" t="str">
        <f>CONCATENATE("M(",S15,")=")</f>
        <v>M(7)=</v>
      </c>
      <c r="AD16" t="e">
        <f>Z16+AB16</f>
        <v>#N/A</v>
      </c>
      <c r="AE16" s="80"/>
      <c r="AJ16" s="89">
        <f>SUM(AJ14:AJ15)</f>
        <v>20.490000000000002</v>
      </c>
      <c r="AL16" s="89">
        <f>SUM(AL14:AL15)</f>
        <v>31.380000000000003</v>
      </c>
      <c r="AM16" s="84" t="str">
        <f>CONCATENATE("m'(",AI15,")=")</f>
        <v>m'(7.88333333333333)=</v>
      </c>
      <c r="AN16" s="84">
        <f>(2*(AN13^2)/6*AL16)+(AN15*AI14*WLS)</f>
        <v>436.94058599999988</v>
      </c>
      <c r="AO16" s="84" t="str">
        <f>CONCATENATE("M(",AI14,")=")</f>
        <v>M(7)=</v>
      </c>
      <c r="AP16" s="84">
        <f>IF(AI14=RisePerWLS,0,VLOOKUP(AI14,STN_TABLE,4,FALSE))</f>
        <v>407.16541333333345</v>
      </c>
      <c r="AQ16" t="str">
        <f>CONCATENATE("M(",AI15,")=")</f>
        <v>M(7.88333333333333)=</v>
      </c>
      <c r="AR16">
        <f>AN16+AP16</f>
        <v>844.10599933333333</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A(5.61111111111111)=</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M(5.61111111111111)=</v>
      </c>
      <c r="N19" t="e">
        <f>IF(OR(P15&lt;=0,P16&lt;=0),N23,P16)</f>
        <v>#VALUE!</v>
      </c>
      <c r="Q19" s="66"/>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IFERROR(VLOOKUP(S20,STN_TABLE,2,FALSE),IF(#REF!=RisePerWLS,0,"-"))</f>
        <v>#REF!</v>
      </c>
      <c r="U20" s="69">
        <v>5</v>
      </c>
      <c r="V20" s="69" t="e">
        <f>T20*U20</f>
        <v>#REF!</v>
      </c>
      <c r="W20" s="69">
        <v>3</v>
      </c>
      <c r="X20" s="69" t="e">
        <f>T20*W20</f>
        <v>#REF!</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5.5</v>
      </c>
      <c r="J21" s="68">
        <v>0</v>
      </c>
      <c r="K21" s="68">
        <v>1</v>
      </c>
      <c r="L21" s="69">
        <f>J21*K21</f>
        <v>0</v>
      </c>
      <c r="M21" t="s">
        <v>93</v>
      </c>
      <c r="N21">
        <f>(I22-I21)*WLS</f>
        <v>0.19999999999999929</v>
      </c>
      <c r="Q21" s="66" t="str">
        <f t="shared" ref="Q21:R25" si="8">G5</f>
        <v>1st_UWL</v>
      </c>
      <c r="R21" s="67">
        <f t="shared" si="8"/>
        <v>5.6111111111111107</v>
      </c>
      <c r="S21" s="76">
        <f>R23</f>
        <v>7</v>
      </c>
      <c r="T21" s="77">
        <f>VLOOKUP(S21,STN_TABLE,2,FALSE)</f>
        <v>9.6</v>
      </c>
      <c r="U21" s="77">
        <v>8</v>
      </c>
      <c r="V21" s="77">
        <f>T21*U21</f>
        <v>76.8</v>
      </c>
      <c r="W21" s="77">
        <v>10</v>
      </c>
      <c r="X21" s="77">
        <f>T21*W21</f>
        <v>96</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5.6111111111111107</v>
      </c>
      <c r="J22" s="82">
        <f>VLOOKUP(I22,STN_TABLE,2,FALSE)</f>
        <v>2.8919999999999999</v>
      </c>
      <c r="K22" s="82">
        <v>2</v>
      </c>
      <c r="L22" s="83">
        <f>J22*K22</f>
        <v>5.7839999999999998</v>
      </c>
      <c r="M22" t="str">
        <f>CONCATENATE("A(",I22,")=")</f>
        <v>A(5.61111111111111)=</v>
      </c>
      <c r="N22">
        <f>2*N21/2*J23</f>
        <v>0.57839999999999792</v>
      </c>
      <c r="Q22" s="66" t="str">
        <f t="shared" si="8"/>
        <v>2nd_UWL</v>
      </c>
      <c r="R22" s="67">
        <f t="shared" si="8"/>
        <v>6</v>
      </c>
      <c r="S22" s="82" t="e">
        <f>IF(S20-S21=S21-R24,R24,IF(S20-S21=S21-R25,R25,"-"))</f>
        <v>#VALUE!</v>
      </c>
      <c r="T22" s="83" t="e">
        <f>VLOOKUP(S22,STN_TABLE,2,FALSE)</f>
        <v>#VALUE!</v>
      </c>
      <c r="U22" s="83">
        <v>-1</v>
      </c>
      <c r="V22" s="83" t="e">
        <f>T22*U22</f>
        <v>#VALUE!</v>
      </c>
      <c r="W22" s="83">
        <v>-1</v>
      </c>
      <c r="X22" s="83" t="e">
        <f>T22*W22</f>
        <v>#VALUE!</v>
      </c>
      <c r="Y22" s="84" t="str">
        <f>CONCATENATE("a'(",S21,")=")</f>
        <v>a'(7)=</v>
      </c>
      <c r="Z22" s="84" t="e">
        <f>2*Z20/12*V23</f>
        <v>#VALUE!</v>
      </c>
      <c r="AA22" s="84" t="e">
        <f>CONCATENATE("A(",S20,")=")</f>
        <v>#VALUE!</v>
      </c>
      <c r="AB22" s="84" t="e">
        <f>IF(S20=RisePerWLS,0,VLOOKUP(S20,STN_TABLE,3,FALSE))</f>
        <v>#VALUE!</v>
      </c>
      <c r="AC22" t="str">
        <f>CONCATENATE("A(",S21,")=")</f>
        <v>A(7)=</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2.8919999999999999</v>
      </c>
      <c r="L23" s="89">
        <f>SUM(L21:L22)</f>
        <v>5.7839999999999998</v>
      </c>
      <c r="M23" t="str">
        <f>CONCATENATE("M(",I22,")=")</f>
        <v>M(5.61111111111111)=</v>
      </c>
      <c r="N23">
        <f>(2*(N21^2)/6*L23)+N22*I21*WLS</f>
        <v>5.8032799999999796</v>
      </c>
      <c r="Q23" s="66" t="str">
        <f t="shared" si="8"/>
        <v>3rd_UWL</v>
      </c>
      <c r="R23" s="67">
        <f t="shared" si="8"/>
        <v>7</v>
      </c>
      <c r="V23" s="89" t="e">
        <f>SUM(V20:V22)</f>
        <v>#REF!</v>
      </c>
      <c r="X23" s="89" t="e">
        <f>SUM(X20:X22)</f>
        <v>#REF!</v>
      </c>
      <c r="Y23" s="84" t="str">
        <f>CONCATENATE("m'(",S21,")=")</f>
        <v>m'(7)=</v>
      </c>
      <c r="Z23" s="84" t="e">
        <f>(2*(Z20^2)/24*X23)+(Z22*S20*WLS)</f>
        <v>#VALUE!</v>
      </c>
      <c r="AA23" s="84" t="e">
        <f>CONCATENATE("M(",S20,")=")</f>
        <v>#VALUE!</v>
      </c>
      <c r="AB23" s="84" t="e">
        <f>IF(S20=RisePerWLS,0,VLOOKUP(S20,STN_TABLE,4,FALSE))</f>
        <v>#VALUE!</v>
      </c>
      <c r="AC23" t="str">
        <f>CONCATENATE("M(",S21,")=")</f>
        <v>M(7)=</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7.8833333333333329</v>
      </c>
      <c r="U24" t="s">
        <v>103</v>
      </c>
      <c r="W24" t="str">
        <f>CONCATENATE("A(",S21,")=")</f>
        <v>A(7)=</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 xml:space="preserve">  </v>
      </c>
      <c r="W25" t="str">
        <f>CONCATENATE("M(",S21,")=")</f>
        <v>M(7)=</v>
      </c>
      <c r="X25" t="e">
        <f>IF(OR(AD22&lt;=0,AD23&lt;=0),AD28,AD23)</f>
        <v>#VALUE!</v>
      </c>
      <c r="Y25" s="6" t="s">
        <v>93</v>
      </c>
      <c r="Z25" s="70">
        <f>WLS*(U27-U26)</f>
        <v>1.8</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5.5</v>
      </c>
      <c r="I26" s="68">
        <f>H26</f>
        <v>5.5</v>
      </c>
      <c r="J26" s="69">
        <v>0</v>
      </c>
      <c r="K26" s="69">
        <v>1</v>
      </c>
      <c r="L26" s="69">
        <f>J26*K26</f>
        <v>0</v>
      </c>
      <c r="M26" s="69">
        <f>I26</f>
        <v>5.5</v>
      </c>
      <c r="N26" s="69">
        <f>L26*M26</f>
        <v>0</v>
      </c>
      <c r="O26" t="s">
        <v>93</v>
      </c>
      <c r="P26" t="e">
        <f>IF(OR(J26=0,J27=0,J28=0),"#NA",IF(I28-I27=I27-I26,WLS*(I27-I26),"#NA"))</f>
        <v>#N/A</v>
      </c>
      <c r="Q26" s="66"/>
      <c r="R26" s="67"/>
      <c r="U26" s="79">
        <f>R22</f>
        <v>6</v>
      </c>
      <c r="V26" s="68">
        <f>VLOOKUP(U26,STN_TABLE,2,FALSE)</f>
        <v>6.2</v>
      </c>
      <c r="W26" s="68">
        <v>1</v>
      </c>
      <c r="X26" s="69">
        <f>V26*W26</f>
        <v>6.2</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5.6111111111111107</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7</v>
      </c>
      <c r="V27" s="82">
        <f>VLOOKUP(U27,STN_TABLE,2,FALSE)</f>
        <v>9.6</v>
      </c>
      <c r="W27" s="82">
        <v>2</v>
      </c>
      <c r="X27" s="83">
        <f>V27*W27</f>
        <v>19.2</v>
      </c>
      <c r="Y27" s="84" t="str">
        <f>CONCATENATE("a'(",U27,")=")</f>
        <v>a'(7)=</v>
      </c>
      <c r="Z27" s="84">
        <f>2*Z25/2*V28</f>
        <v>28.44</v>
      </c>
      <c r="AA27" s="84" t="str">
        <f>CONCATENATE("A(",U26,")=")</f>
        <v>A(6)=</v>
      </c>
      <c r="AB27" s="84">
        <f>IF(U26=RisePerWLS,0,VLOOKUP(U26,STN_TABLE,3,FALSE))</f>
        <v>6.9428000000000045</v>
      </c>
      <c r="AC27" t="str">
        <f>CONCATENATE("A(",U27,")=")</f>
        <v>A(7)=</v>
      </c>
      <c r="AD27">
        <f>Z27+AB27</f>
        <v>35.382800000000003</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6</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15.8</v>
      </c>
      <c r="X28" s="89">
        <f>SUM(X26:X27)</f>
        <v>25.4</v>
      </c>
      <c r="Y28" s="84" t="str">
        <f>CONCATENATE("m'(",U27,")=")</f>
        <v>m'(7)=</v>
      </c>
      <c r="Z28" s="84">
        <f>(2*(Z25^2)/6*X28)+(Z27*U26*WLS)</f>
        <v>334.58400000000006</v>
      </c>
      <c r="AA28" s="84" t="str">
        <f>CONCATENATE("M(",U26,")=")</f>
        <v>M(6)=</v>
      </c>
      <c r="AB28" s="84">
        <f>IF(U26=RisePerWLS,0,VLOOKUP(U26,STN_TABLE,4,FALSE))</f>
        <v>72.581413333333387</v>
      </c>
      <c r="AC28" t="str">
        <f>CONCATENATE("M(",U27,")=")</f>
        <v>M(7)=</v>
      </c>
      <c r="AD28">
        <f>Z28+AB28</f>
        <v>407.16541333333345</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0.9</v>
      </c>
      <c r="AD32" s="93"/>
      <c r="AH32" s="6" t="s">
        <v>93</v>
      </c>
      <c r="AI32" s="70">
        <f>WLS*(AD34-AD33)</f>
        <v>0.9</v>
      </c>
    </row>
    <row r="33" spans="1:47" x14ac:dyDescent="0.25">
      <c r="Q33" s="76">
        <f>B5</f>
        <v>0.5</v>
      </c>
      <c r="R33" s="77">
        <f>VLOOKUP(Q33,STN_TABLE,2,FALSE)</f>
        <v>0</v>
      </c>
      <c r="S33" s="77">
        <v>8</v>
      </c>
      <c r="T33" s="76">
        <f>R33*S33</f>
        <v>0</v>
      </c>
      <c r="U33" s="80">
        <v>10</v>
      </c>
      <c r="V33" s="76">
        <f>R33*U33</f>
        <v>0</v>
      </c>
      <c r="W33" s="512" t="s">
        <v>97</v>
      </c>
      <c r="X33" s="513"/>
      <c r="Y33" s="513" t="s">
        <v>98</v>
      </c>
      <c r="Z33" s="513"/>
      <c r="AA33" s="511" t="s">
        <v>99</v>
      </c>
      <c r="AB33" s="511"/>
      <c r="AC33" s="94">
        <v>1</v>
      </c>
      <c r="AD33" s="95">
        <f>VLOOKUP(AC33,STN_TABLE_2,2,FALSE)</f>
        <v>0</v>
      </c>
      <c r="AE33" s="68">
        <f>VLOOKUP(AD33,STN_TABLE,2,FALSE)</f>
        <v>0</v>
      </c>
      <c r="AF33" s="68">
        <v>1</v>
      </c>
      <c r="AG33" s="69">
        <f>AE33*AF33</f>
        <v>0</v>
      </c>
      <c r="AH33" s="513" t="s">
        <v>97</v>
      </c>
      <c r="AI33" s="513"/>
      <c r="AJ33" s="513" t="s">
        <v>98</v>
      </c>
      <c r="AK33" s="513"/>
      <c r="AL33" s="511" t="s">
        <v>99</v>
      </c>
      <c r="AM33" s="511"/>
      <c r="AP33" s="96" t="s">
        <v>112</v>
      </c>
      <c r="AQ33" s="89" t="s">
        <v>113</v>
      </c>
      <c r="AR33" s="89" t="s">
        <v>114</v>
      </c>
      <c r="AS33" s="89" t="s">
        <v>115</v>
      </c>
      <c r="AT33" s="97" t="s">
        <v>116</v>
      </c>
      <c r="AU33" s="98"/>
    </row>
    <row r="34" spans="1:47" x14ac:dyDescent="0.25">
      <c r="Q34" s="82">
        <f>B6</f>
        <v>1</v>
      </c>
      <c r="R34" s="83">
        <f>VLOOKUP(Q34,STN_TABLE,2,FALSE)</f>
        <v>0</v>
      </c>
      <c r="S34" s="83">
        <v>-1</v>
      </c>
      <c r="T34" s="82">
        <f>R34*S34</f>
        <v>0</v>
      </c>
      <c r="U34" s="88">
        <v>-1</v>
      </c>
      <c r="V34" s="82">
        <f>R34*U34</f>
        <v>0</v>
      </c>
      <c r="W34" s="84" t="str">
        <f>CONCATENATE("a'(",Q33,")=")</f>
        <v>a'(0.5)=</v>
      </c>
      <c r="X34" s="84">
        <f>2*X32/12*T35</f>
        <v>0</v>
      </c>
      <c r="Y34" s="84" t="str">
        <f>CONCATENATE("A(",Q32,")=")</f>
        <v>A(0)=</v>
      </c>
      <c r="Z34" s="84">
        <f>VLOOKUP(Q32,STN_TABLE,3,FALSE)</f>
        <v>0</v>
      </c>
      <c r="AA34" t="str">
        <f>CONCATENATE("A(",Q33,")=")</f>
        <v>A(0.5)=</v>
      </c>
      <c r="AB34">
        <f>X34+Z34</f>
        <v>0</v>
      </c>
      <c r="AC34" s="99">
        <f>AC33+1</f>
        <v>2</v>
      </c>
      <c r="AD34" s="100">
        <f>VLOOKUP(AC34,STN_TABLE_2,2,FALSE)</f>
        <v>0.5</v>
      </c>
      <c r="AE34" s="82">
        <f>VLOOKUP(AD34,STN_TABLE,2,FALSE)</f>
        <v>0</v>
      </c>
      <c r="AF34" s="82">
        <v>2</v>
      </c>
      <c r="AG34" s="83">
        <f>AE34*AF34</f>
        <v>0</v>
      </c>
      <c r="AH34" s="84" t="str">
        <f>CONCATENATE("a'(",AD34,")=")</f>
        <v>a'(0.5)=</v>
      </c>
      <c r="AI34" s="84">
        <f>2*AI32/2*AE35</f>
        <v>0</v>
      </c>
      <c r="AJ34" s="84" t="str">
        <f>CONCATENATE("A(",AD33,")=")</f>
        <v>A(0)=</v>
      </c>
      <c r="AK34" s="84">
        <f>VLOOKUP(AD33,STN_TABLE,3,FALSE)</f>
        <v>0</v>
      </c>
      <c r="AL34" t="str">
        <f>CONCATENATE("A(",AD34,")=")</f>
        <v>A(0.5)=</v>
      </c>
      <c r="AM34">
        <f>AI34+AK34</f>
        <v>0</v>
      </c>
      <c r="AO34" s="68" t="str">
        <f>AA34</f>
        <v>A(0.5)=</v>
      </c>
      <c r="AP34" s="79" t="e">
        <f>VLOOKUP(AO34,Rise_Results,2,FALSE)</f>
        <v>#N/A</v>
      </c>
      <c r="AQ34" s="76" t="s">
        <v>117</v>
      </c>
      <c r="AR34" s="76" t="e">
        <f>IF(OR(AB34&lt;=0,AB35&lt;=0),1/0,AB34)</f>
        <v>#DIV/0!</v>
      </c>
      <c r="AS34" s="76">
        <f>AM34</f>
        <v>0</v>
      </c>
      <c r="AT34" s="80">
        <f>IFERROR(AP34,IFERROR(AR34,AS34))</f>
        <v>0</v>
      </c>
    </row>
    <row r="35" spans="1:47" x14ac:dyDescent="0.25">
      <c r="A35" s="101"/>
      <c r="T35" s="89">
        <f>SUM(T32:T34)</f>
        <v>0</v>
      </c>
      <c r="V35" s="82">
        <f>SUM(V32:V34)</f>
        <v>0</v>
      </c>
      <c r="W35" s="84" t="str">
        <f>CONCATENATE("m'(",Q33,")=")</f>
        <v>m'(0.5)=</v>
      </c>
      <c r="X35" s="84">
        <f>(2*(X32^2)/24*V35)</f>
        <v>0</v>
      </c>
      <c r="Y35" s="84" t="str">
        <f>CONCATENATE("M(",Q32,")=")</f>
        <v>M(0)=</v>
      </c>
      <c r="Z35" s="84">
        <f>VLOOKUP(Q32,STN_TABLE,4,FALSE)</f>
        <v>0</v>
      </c>
      <c r="AA35" t="str">
        <f>CONCATENATE("M(",Q33,")=")</f>
        <v>M(0.5)=</v>
      </c>
      <c r="AB35">
        <f>X35+Z35</f>
        <v>0</v>
      </c>
      <c r="AE35" s="89">
        <f>SUM(AE33:AE34)</f>
        <v>0</v>
      </c>
      <c r="AG35" s="89">
        <f>SUM(AG33:AG34)</f>
        <v>0</v>
      </c>
      <c r="AH35" s="84" t="str">
        <f>CONCATENATE("m'(",AD34,")=")</f>
        <v>m'(0.5)=</v>
      </c>
      <c r="AI35" s="84">
        <f>(2*(AI32^2)/6*AG35)+(AI34*AD33*WLS)</f>
        <v>0</v>
      </c>
      <c r="AJ35" s="84" t="str">
        <f>CONCATENATE("M(",AD33,")=")</f>
        <v>M(0)=</v>
      </c>
      <c r="AK35" s="84">
        <f>VLOOKUP(AD33,STN_TABLE,4,FALSE)</f>
        <v>0</v>
      </c>
      <c r="AL35" t="str">
        <f>CONCATENATE("M(",AD34,")=")</f>
        <v>M(0.5)=</v>
      </c>
      <c r="AM35">
        <f>AI35+AK35</f>
        <v>0</v>
      </c>
      <c r="AO35" s="82" t="str">
        <f>AA35</f>
        <v>M(0.5)=</v>
      </c>
      <c r="AP35" s="88" t="e">
        <f>VLOOKUP(AO35,Rise_Results,2,FALSE)</f>
        <v>#N/A</v>
      </c>
      <c r="AQ35" s="82" t="s">
        <v>117</v>
      </c>
      <c r="AR35" s="82" t="e">
        <f>IF(OR(AB34&lt;=0,AB35&lt;=0),1/0,AB35)</f>
        <v>#DIV/0!</v>
      </c>
      <c r="AS35" s="82">
        <f>AM35</f>
        <v>0</v>
      </c>
      <c r="AT35" s="80">
        <f>IFERROR(AP35,IFERROR(AR35,AS35))</f>
        <v>0</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0.5</v>
      </c>
      <c r="Q37" s="68">
        <f>IF(OR(P39-P38=P38-P37,P40-P38=P38-P37),P37,IF(OR(P39-P38=P38-P36,P40-P38=P38-P36),P36,"-"))</f>
        <v>0.5</v>
      </c>
      <c r="R37" s="69">
        <f>VLOOKUP(Q37,STN_TABLE,2,FALSE)</f>
        <v>0</v>
      </c>
      <c r="S37" s="69">
        <v>5</v>
      </c>
      <c r="T37" s="68">
        <f>R37*S37</f>
        <v>0</v>
      </c>
      <c r="U37" s="79">
        <v>3</v>
      </c>
      <c r="V37" s="68">
        <f>R37*U37</f>
        <v>0</v>
      </c>
      <c r="W37" s="6" t="s">
        <v>93</v>
      </c>
      <c r="X37" s="70">
        <f>IF(AND(Q39-Q38=Q38-Q37,NOT(AND(Q37=0,Q38=0)),NOT(AND(Q38=0,Q39=0))),WLS*(Q39-Q38),"#NA")</f>
        <v>0.9</v>
      </c>
      <c r="AD37" s="93"/>
      <c r="AH37" s="6" t="s">
        <v>93</v>
      </c>
      <c r="AI37" s="70">
        <f>WLS*(AD39-AD38)</f>
        <v>0.9</v>
      </c>
      <c r="AU37" s="81"/>
    </row>
    <row r="38" spans="1:47" x14ac:dyDescent="0.25">
      <c r="A38" s="94">
        <f>A37+1</f>
        <v>2</v>
      </c>
      <c r="B38" s="94">
        <f>VLOOKUP(A38,STN_TABLE_2,2,FALSE)</f>
        <v>0.5</v>
      </c>
      <c r="C38" s="80">
        <f>B38</f>
        <v>0.5</v>
      </c>
      <c r="D38" s="76">
        <f>VLOOKUP(C38,STN_TABLE,2,FALSE)</f>
        <v>0</v>
      </c>
      <c r="E38" s="81">
        <v>4</v>
      </c>
      <c r="F38" s="76">
        <f>D38*E38</f>
        <v>0</v>
      </c>
      <c r="G38" s="77">
        <f>C38</f>
        <v>0.5</v>
      </c>
      <c r="H38" s="77">
        <f>F38*G38</f>
        <v>0</v>
      </c>
      <c r="I38" s="513" t="s">
        <v>97</v>
      </c>
      <c r="J38" s="513"/>
      <c r="K38" s="78" t="s">
        <v>98</v>
      </c>
      <c r="L38" s="78"/>
      <c r="M38" s="7" t="s">
        <v>99</v>
      </c>
      <c r="N38" s="7"/>
      <c r="O38" s="99">
        <f>O37+1</f>
        <v>3</v>
      </c>
      <c r="P38" s="99">
        <f t="shared" si="10"/>
        <v>1</v>
      </c>
      <c r="Q38" s="76">
        <f>P38</f>
        <v>1</v>
      </c>
      <c r="R38" s="77">
        <f>VLOOKUP(Q38,STN_TABLE,2,FALSE)</f>
        <v>0</v>
      </c>
      <c r="S38" s="77">
        <v>8</v>
      </c>
      <c r="T38" s="76">
        <f>R38*S38</f>
        <v>0</v>
      </c>
      <c r="U38" s="80">
        <v>10</v>
      </c>
      <c r="V38" s="76">
        <f>R38*U38</f>
        <v>0</v>
      </c>
      <c r="W38" s="513" t="s">
        <v>97</v>
      </c>
      <c r="X38" s="513"/>
      <c r="Y38" s="513" t="s">
        <v>98</v>
      </c>
      <c r="Z38" s="513"/>
      <c r="AA38" s="511" t="s">
        <v>99</v>
      </c>
      <c r="AB38" s="511"/>
      <c r="AC38" s="99">
        <f>AC33+1</f>
        <v>2</v>
      </c>
      <c r="AD38" s="95">
        <f>VLOOKUP(AC38,STN_TABLE_2,2,FALSE)</f>
        <v>0.5</v>
      </c>
      <c r="AE38" s="68">
        <f>VLOOKUP(AD38,STN_TABLE,2,FALSE)</f>
        <v>0</v>
      </c>
      <c r="AF38" s="68">
        <v>1</v>
      </c>
      <c r="AG38" s="69">
        <f>AE38*AF38</f>
        <v>0</v>
      </c>
      <c r="AH38" s="513" t="s">
        <v>97</v>
      </c>
      <c r="AI38" s="513"/>
      <c r="AJ38" s="513" t="s">
        <v>98</v>
      </c>
      <c r="AK38" s="513"/>
      <c r="AL38" s="511" t="s">
        <v>99</v>
      </c>
      <c r="AM38" s="511"/>
      <c r="AP38" s="86" t="s">
        <v>112</v>
      </c>
      <c r="AQ38" s="89" t="s">
        <v>113</v>
      </c>
      <c r="AR38" s="89" t="s">
        <v>114</v>
      </c>
      <c r="AS38" s="89" t="s">
        <v>115</v>
      </c>
    </row>
    <row r="39" spans="1:47" x14ac:dyDescent="0.25">
      <c r="A39" s="94">
        <f>A38+1</f>
        <v>3</v>
      </c>
      <c r="B39" s="94">
        <f>VLOOKUP(A39,STN_TABLE_2,2,FALSE)</f>
        <v>1</v>
      </c>
      <c r="C39" s="88">
        <f>B39</f>
        <v>1</v>
      </c>
      <c r="D39" s="82">
        <f>VLOOKUP(C39,STN_TABLE,2,FALSE)</f>
        <v>0</v>
      </c>
      <c r="E39" s="92">
        <v>1</v>
      </c>
      <c r="F39" s="82">
        <f>D39*E39</f>
        <v>0</v>
      </c>
      <c r="G39" s="83">
        <f>C39</f>
        <v>1</v>
      </c>
      <c r="H39" s="83">
        <f>F39*G39</f>
        <v>0</v>
      </c>
      <c r="I39" s="84" t="str">
        <f>CONCATENATE("a'(",C39,")=")</f>
        <v>a'(1)=</v>
      </c>
      <c r="J39" s="84" t="e">
        <f>2*J37/3*F40</f>
        <v>#VALUE!</v>
      </c>
      <c r="K39" s="84" t="str">
        <f>CONCATENATE("A(",C37,")=")</f>
        <v>A(0)=</v>
      </c>
      <c r="L39" s="84">
        <f>VLOOKUP(C37,STN_TABLE,3,FALSE)</f>
        <v>0</v>
      </c>
      <c r="M39" t="str">
        <f>CONCATENATE("A(",C39,")=")</f>
        <v>A(1)=</v>
      </c>
      <c r="N39" t="e">
        <f>J39+L39</f>
        <v>#VALUE!</v>
      </c>
      <c r="O39" s="99">
        <f>O38+1</f>
        <v>4</v>
      </c>
      <c r="P39" s="99">
        <f t="shared" si="10"/>
        <v>1.5</v>
      </c>
      <c r="Q39" s="82">
        <f>IF(P39-P38=P38-P37,P39,IF(P40-P38=P38-P37,P40,IF(P39-P38=P38-P36,P39,IF(P40-P38=P38-P36,P40,"-"))))</f>
        <v>1.5</v>
      </c>
      <c r="R39" s="83">
        <f>VLOOKUP(Q39,STN_TABLE,2,FALSE)</f>
        <v>0</v>
      </c>
      <c r="S39" s="83">
        <v>-1</v>
      </c>
      <c r="T39" s="82">
        <f>R39*S39</f>
        <v>0</v>
      </c>
      <c r="U39" s="88">
        <v>-1</v>
      </c>
      <c r="V39" s="82">
        <f>R39*U39</f>
        <v>0</v>
      </c>
      <c r="W39" s="84" t="str">
        <f>CONCATENATE("a'(",Q38,")=")</f>
        <v>a'(1)=</v>
      </c>
      <c r="X39" s="84">
        <f>2*X37/12*T40</f>
        <v>0</v>
      </c>
      <c r="Y39" s="84" t="str">
        <f>CONCATENATE("A(",Q37,")=")</f>
        <v>A(0.5)=</v>
      </c>
      <c r="Z39" s="84">
        <f>VLOOKUP(Q37,STN_TABLE,3,FALSE)</f>
        <v>0</v>
      </c>
      <c r="AA39" t="str">
        <f>CONCATENATE("A(",Q38,")=")</f>
        <v>A(1)=</v>
      </c>
      <c r="AB39">
        <f>X39+Z39</f>
        <v>0</v>
      </c>
      <c r="AC39" s="99">
        <f>AC38+1</f>
        <v>3</v>
      </c>
      <c r="AD39" s="100">
        <f>VLOOKUP(AC39,STN_TABLE_2,2,FALSE)</f>
        <v>1</v>
      </c>
      <c r="AE39" s="82">
        <f>VLOOKUP(AD39,STN_TABLE,2,FALSE)</f>
        <v>0</v>
      </c>
      <c r="AF39" s="82">
        <v>2</v>
      </c>
      <c r="AG39" s="83">
        <f>AE39*AF39</f>
        <v>0</v>
      </c>
      <c r="AH39" s="84" t="str">
        <f>CONCATENATE("a'(",AD39,")=")</f>
        <v>a'(1)=</v>
      </c>
      <c r="AI39" s="84">
        <f>2*AI37/2*AE40</f>
        <v>0</v>
      </c>
      <c r="AJ39" s="84" t="str">
        <f>CONCATENATE("A(",AD38,")=")</f>
        <v>A(0.5)=</v>
      </c>
      <c r="AK39" s="84">
        <f>VLOOKUP(AD38,STN_TABLE,3,FALSE)</f>
        <v>0</v>
      </c>
      <c r="AL39" t="str">
        <f>CONCATENATE("A(",AD39,")=")</f>
        <v>A(1)=</v>
      </c>
      <c r="AM39">
        <f>AI39+AK39</f>
        <v>0</v>
      </c>
      <c r="AO39" s="68" t="str">
        <f>AA39</f>
        <v>A(1)=</v>
      </c>
      <c r="AP39" s="68" t="e">
        <f>VLOOKUP(AO39,Rise_Results,2,FALSE)</f>
        <v>#N/A</v>
      </c>
      <c r="AQ39" s="76" t="e">
        <f>N39</f>
        <v>#VALUE!</v>
      </c>
      <c r="AR39" s="76" t="e">
        <f>IF(OR(AB39&lt;=0,AB40&lt;=0),1/0,AB39)</f>
        <v>#DIV/0!</v>
      </c>
      <c r="AS39" s="76">
        <f>AM39</f>
        <v>0</v>
      </c>
      <c r="AT39">
        <f>IFERROR(AP39,IFERROR(AQ39,IFERROR(AR39,AS39)))</f>
        <v>0</v>
      </c>
    </row>
    <row r="40" spans="1:47" x14ac:dyDescent="0.25">
      <c r="A40">
        <v>4</v>
      </c>
      <c r="F40" s="82">
        <f>SUM(F37:F39)</f>
        <v>0</v>
      </c>
      <c r="H40" s="82">
        <f>SUM(H37:H39)</f>
        <v>0</v>
      </c>
      <c r="I40" s="84" t="str">
        <f>CONCATENATE("m'(",C39,")=")</f>
        <v>m'(1)=</v>
      </c>
      <c r="J40" s="84" t="e">
        <f>2*(J37*(WLS))/3*H40</f>
        <v>#VALUE!</v>
      </c>
      <c r="K40" s="84" t="str">
        <f>CONCATENATE("M(",C37,")=")</f>
        <v>M(0)=</v>
      </c>
      <c r="L40" s="84">
        <f>VLOOKUP(C37,STN_TABLE,4,FALSE)</f>
        <v>0</v>
      </c>
      <c r="M40" t="str">
        <f>CONCATENATE("M(",C39,")=")</f>
        <v>M(1)=</v>
      </c>
      <c r="N40" t="e">
        <f>J40+L40</f>
        <v>#VALUE!</v>
      </c>
      <c r="O40" s="99">
        <f>O39+1</f>
        <v>5</v>
      </c>
      <c r="P40" s="99">
        <f t="shared" si="10"/>
        <v>2</v>
      </c>
      <c r="T40" s="89">
        <f>SUM(T37:T39)</f>
        <v>0</v>
      </c>
      <c r="V40" s="82">
        <f>SUM(V37:V39)</f>
        <v>0</v>
      </c>
      <c r="W40" s="84" t="str">
        <f>CONCATENATE("m'(",Q38,")=")</f>
        <v>m'(1)=</v>
      </c>
      <c r="X40" s="84">
        <f>(2*(X37^2)/24*V40)+(X39*Q37*WLS)</f>
        <v>0</v>
      </c>
      <c r="Y40" s="84" t="str">
        <f>CONCATENATE("M(",Q37,")=")</f>
        <v>M(0.5)=</v>
      </c>
      <c r="Z40" s="84">
        <f>VLOOKUP(Q37,STN_TABLE,4,FALSE)</f>
        <v>0</v>
      </c>
      <c r="AA40" t="str">
        <f>CONCATENATE("M(",Q38,")=")</f>
        <v>M(1)=</v>
      </c>
      <c r="AB40">
        <f>X40+Z40</f>
        <v>0</v>
      </c>
      <c r="AE40" s="89">
        <f>SUM(AE38:AE39)</f>
        <v>0</v>
      </c>
      <c r="AG40" s="89">
        <f>SUM(AG38:AG39)</f>
        <v>0</v>
      </c>
      <c r="AH40" s="84" t="str">
        <f>CONCATENATE("m'(",AD39,")=")</f>
        <v>m'(1)=</v>
      </c>
      <c r="AI40" s="84">
        <f>(2*(AI37^2)/6*AG40)+(AI39*AD38*WLS)</f>
        <v>0</v>
      </c>
      <c r="AJ40" s="84" t="str">
        <f>CONCATENATE("M(",AD38,")=")</f>
        <v>M(0.5)=</v>
      </c>
      <c r="AK40" s="84">
        <f>VLOOKUP(AD38,STN_TABLE,4,FALSE)</f>
        <v>0</v>
      </c>
      <c r="AL40" t="str">
        <f>CONCATENATE("M(",AD39,")=")</f>
        <v>M(1)=</v>
      </c>
      <c r="AM40">
        <f>AI40+AK40</f>
        <v>0</v>
      </c>
      <c r="AO40" s="82" t="str">
        <f>AA40</f>
        <v>M(1)=</v>
      </c>
      <c r="AP40" s="82" t="e">
        <f>VLOOKUP(AO40,Rise_Results,2,FALSE)</f>
        <v>#N/A</v>
      </c>
      <c r="AQ40" s="82" t="e">
        <f>N40</f>
        <v>#VALUE!</v>
      </c>
      <c r="AR40" s="82" t="e">
        <f>IF(OR(AB39&lt;=0,AB40&lt;=0),1/0,AB40)</f>
        <v>#DIV/0!</v>
      </c>
      <c r="AS40" s="82">
        <f>AM40</f>
        <v>0</v>
      </c>
      <c r="AT40">
        <f>IFERROR(AP40,IFERROR(AQ40,IFERROR(AR40,AS40)))</f>
        <v>0</v>
      </c>
    </row>
    <row r="41" spans="1:47" x14ac:dyDescent="0.25">
      <c r="A41" s="106">
        <v>0</v>
      </c>
      <c r="O41" s="101">
        <f>O36+1</f>
        <v>2</v>
      </c>
      <c r="P41" s="101">
        <f t="shared" si="10"/>
        <v>0.5</v>
      </c>
    </row>
    <row r="42" spans="1:47" x14ac:dyDescent="0.25">
      <c r="A42" s="94">
        <f>A41+1</f>
        <v>1</v>
      </c>
      <c r="B42" s="94">
        <f t="shared" ref="B42:B73" si="11">VLOOKUP(A42,STN_TABLE_2,2,FALSE)</f>
        <v>0</v>
      </c>
      <c r="C42" s="79">
        <f>IF(C43=B43,B42,IF(C43=B44,IF(C44-C43=C43-B43,B43,IF(C44-C43=C43-B42,B42,"NA"))))</f>
        <v>0.5</v>
      </c>
      <c r="D42" s="68">
        <f>VLOOKUP(C42,STN_TABLE,2,FALSE)</f>
        <v>0</v>
      </c>
      <c r="E42" s="102">
        <v>1</v>
      </c>
      <c r="F42" s="68">
        <f>D42*E42</f>
        <v>0</v>
      </c>
      <c r="G42" s="69">
        <f>C42</f>
        <v>0.5</v>
      </c>
      <c r="H42" s="69">
        <f>F42*G42</f>
        <v>0</v>
      </c>
      <c r="I42" s="6" t="s">
        <v>93</v>
      </c>
      <c r="J42" s="70" t="str">
        <f>IF(OR(D42=0,D43=0,D44=0),"#NA",IF(AND(C44-C43=C43-C42,C43&lt;&gt;C44,C42&lt;&gt;C43,C42&lt;&gt;C44,D44&lt;&gt;0,OR(D42&lt;&gt;0,D43&lt;&gt;0)),WLS*(C44-C43),"#NA"))</f>
        <v>#NA</v>
      </c>
      <c r="O42" s="99">
        <f>O41+1</f>
        <v>3</v>
      </c>
      <c r="P42" s="99">
        <f t="shared" si="10"/>
        <v>1</v>
      </c>
      <c r="Q42" s="68">
        <f>IF(OR(P44-P43=P43-P42,P45-P43=P43-P42),P42,IF(OR(P44-P43=P43-P41,P45-P43=P43-P41),P41,"-"))</f>
        <v>1</v>
      </c>
      <c r="R42" s="69">
        <f>VLOOKUP(Q42,STN_TABLE,2,FALSE)</f>
        <v>0</v>
      </c>
      <c r="S42" s="69">
        <v>5</v>
      </c>
      <c r="T42" s="68">
        <f>R42*S42</f>
        <v>0</v>
      </c>
      <c r="U42" s="79">
        <v>3</v>
      </c>
      <c r="V42" s="68">
        <f>R42*U42</f>
        <v>0</v>
      </c>
      <c r="W42" s="6" t="s">
        <v>93</v>
      </c>
      <c r="X42" s="70">
        <f>IF(AND(Q44-Q43=Q43-Q42,NOT(AND(Q42=0,Q43=0)),NOT(AND(Q43=0,Q44=0))),WLS*(Q44-Q43),"#NA")</f>
        <v>0.9</v>
      </c>
      <c r="AD42" s="93"/>
      <c r="AH42" s="6" t="s">
        <v>93</v>
      </c>
      <c r="AI42" s="70">
        <f>WLS*(AD44-AD43)</f>
        <v>0.9</v>
      </c>
      <c r="AU42" s="81"/>
    </row>
    <row r="43" spans="1:47" x14ac:dyDescent="0.25">
      <c r="A43" s="94">
        <f>A42+1</f>
        <v>2</v>
      </c>
      <c r="B43" s="94">
        <f t="shared" si="11"/>
        <v>0.5</v>
      </c>
      <c r="C43" s="80">
        <f>IF(OR(B45-B44=B44-B43,B45-B44=B44-B42,),B44,IF(B45-B43=B43-B42,B43,"#NA"))</f>
        <v>1</v>
      </c>
      <c r="D43" s="76">
        <f>VLOOKUP(C43,STN_TABLE,2,FALSE)</f>
        <v>0</v>
      </c>
      <c r="E43" s="81">
        <v>4</v>
      </c>
      <c r="F43" s="76">
        <f>D43*E43</f>
        <v>0</v>
      </c>
      <c r="G43" s="77">
        <f>C43</f>
        <v>1</v>
      </c>
      <c r="H43" s="77">
        <f>F43*G43</f>
        <v>0</v>
      </c>
      <c r="I43" s="513" t="s">
        <v>97</v>
      </c>
      <c r="J43" s="513"/>
      <c r="K43" s="78" t="s">
        <v>98</v>
      </c>
      <c r="L43" s="78"/>
      <c r="M43" s="7" t="s">
        <v>99</v>
      </c>
      <c r="N43" s="7"/>
      <c r="O43" s="99">
        <f>O42+1</f>
        <v>4</v>
      </c>
      <c r="P43" s="99">
        <f t="shared" si="10"/>
        <v>1.5</v>
      </c>
      <c r="Q43" s="76">
        <f>P43</f>
        <v>1.5</v>
      </c>
      <c r="R43" s="77">
        <f>VLOOKUP(Q43,STN_TABLE,2,FALSE)</f>
        <v>0</v>
      </c>
      <c r="S43" s="77">
        <v>8</v>
      </c>
      <c r="T43" s="76">
        <f>R43*S43</f>
        <v>0</v>
      </c>
      <c r="U43" s="80">
        <v>10</v>
      </c>
      <c r="V43" s="76">
        <f>R43*U43</f>
        <v>0</v>
      </c>
      <c r="W43" s="513" t="s">
        <v>97</v>
      </c>
      <c r="X43" s="513"/>
      <c r="Y43" s="513" t="s">
        <v>98</v>
      </c>
      <c r="Z43" s="513"/>
      <c r="AA43" s="511" t="s">
        <v>99</v>
      </c>
      <c r="AB43" s="511"/>
      <c r="AC43" s="99">
        <f>AC38+1</f>
        <v>3</v>
      </c>
      <c r="AD43" s="95">
        <f>VLOOKUP(AC43,STN_TABLE_2,2,FALSE)</f>
        <v>1</v>
      </c>
      <c r="AE43" s="68">
        <f>VLOOKUP(AD43,STN_TABLE,2,FALSE)</f>
        <v>0</v>
      </c>
      <c r="AF43" s="68">
        <v>1</v>
      </c>
      <c r="AG43" s="69">
        <f>AE43*AF43</f>
        <v>0</v>
      </c>
      <c r="AH43" s="513" t="s">
        <v>97</v>
      </c>
      <c r="AI43" s="513"/>
      <c r="AJ43" s="513" t="s">
        <v>98</v>
      </c>
      <c r="AK43" s="513"/>
      <c r="AL43" s="511" t="s">
        <v>99</v>
      </c>
      <c r="AM43" s="511"/>
      <c r="AP43" s="86" t="s">
        <v>112</v>
      </c>
      <c r="AQ43" s="89" t="s">
        <v>113</v>
      </c>
      <c r="AR43" s="89" t="s">
        <v>114</v>
      </c>
      <c r="AS43" s="89" t="s">
        <v>115</v>
      </c>
      <c r="AU43" s="81"/>
    </row>
    <row r="44" spans="1:47" x14ac:dyDescent="0.25">
      <c r="A44" s="94">
        <f>A43+1</f>
        <v>3</v>
      </c>
      <c r="B44" s="94">
        <f t="shared" si="11"/>
        <v>1</v>
      </c>
      <c r="C44" s="88">
        <f>B45</f>
        <v>1.5</v>
      </c>
      <c r="D44" s="82">
        <f>VLOOKUP(C44,STN_TABLE,2,FALSE)</f>
        <v>0</v>
      </c>
      <c r="E44" s="92">
        <v>1</v>
      </c>
      <c r="F44" s="82">
        <f>D44*E44</f>
        <v>0</v>
      </c>
      <c r="G44" s="83">
        <f>C44</f>
        <v>1.5</v>
      </c>
      <c r="H44" s="83">
        <f>F44*G44</f>
        <v>0</v>
      </c>
      <c r="I44" s="84" t="str">
        <f>CONCATENATE("a'(",C44,")=")</f>
        <v>a'(1.5)=</v>
      </c>
      <c r="J44" s="84" t="e">
        <f>2*J42/3*F45</f>
        <v>#VALUE!</v>
      </c>
      <c r="K44" s="84" t="str">
        <f>CONCATENATE("A(",C42,")=")</f>
        <v>A(0.5)=</v>
      </c>
      <c r="L44" s="84">
        <f>VLOOKUP(C42,STN_TABLE,3,FALSE)</f>
        <v>0</v>
      </c>
      <c r="M44" t="str">
        <f>CONCATENATE("A(",C44,")=")</f>
        <v>A(1.5)=</v>
      </c>
      <c r="N44" t="e">
        <f>J44+L44</f>
        <v>#VALUE!</v>
      </c>
      <c r="O44" s="99">
        <f>O43+1</f>
        <v>5</v>
      </c>
      <c r="P44" s="99">
        <f t="shared" si="10"/>
        <v>2</v>
      </c>
      <c r="Q44" s="82">
        <f>IF(P44-P43=P43-P42,P44,IF(P45-P43=P43-P42,P45,IF(P44-P43=P43-P41,P44,IF(P45-P43=P43-P41,P45,"-"))))</f>
        <v>2</v>
      </c>
      <c r="R44" s="83">
        <f>VLOOKUP(Q44,STN_TABLE,2,FALSE)</f>
        <v>0</v>
      </c>
      <c r="S44" s="83">
        <v>-1</v>
      </c>
      <c r="T44" s="82">
        <f>R44*S44</f>
        <v>0</v>
      </c>
      <c r="U44" s="88">
        <v>-1</v>
      </c>
      <c r="V44" s="82">
        <f>R44*U44</f>
        <v>0</v>
      </c>
      <c r="W44" s="84" t="str">
        <f>CONCATENATE("a'(",Q43,")=")</f>
        <v>a'(1.5)=</v>
      </c>
      <c r="X44" s="84">
        <f>2*X42/12*T45</f>
        <v>0</v>
      </c>
      <c r="Y44" s="84" t="str">
        <f>CONCATENATE("A(",Q42,")=")</f>
        <v>A(1)=</v>
      </c>
      <c r="Z44" s="84">
        <f>VLOOKUP(Q42,STN_TABLE,3,FALSE)</f>
        <v>0</v>
      </c>
      <c r="AA44" t="str">
        <f>CONCATENATE("A(",Q43,")=")</f>
        <v>A(1.5)=</v>
      </c>
      <c r="AB44">
        <f>X44+Z44</f>
        <v>0</v>
      </c>
      <c r="AC44" s="99">
        <f>AC43+1</f>
        <v>4</v>
      </c>
      <c r="AD44" s="100">
        <f>VLOOKUP(AC44,STN_TABLE_2,2,FALSE)</f>
        <v>1.5</v>
      </c>
      <c r="AE44" s="82">
        <f>VLOOKUP(AD44,STN_TABLE,2,FALSE)</f>
        <v>0</v>
      </c>
      <c r="AF44" s="82">
        <v>2</v>
      </c>
      <c r="AG44" s="83">
        <f>AE44*AF44</f>
        <v>0</v>
      </c>
      <c r="AH44" s="84" t="str">
        <f>CONCATENATE("a'(",AD44,")=")</f>
        <v>a'(1.5)=</v>
      </c>
      <c r="AI44" s="84">
        <f>2*AI42/2*AE45</f>
        <v>0</v>
      </c>
      <c r="AJ44" s="84" t="str">
        <f>CONCATENATE("A(",AD43,")=")</f>
        <v>A(1)=</v>
      </c>
      <c r="AK44" s="84">
        <f>VLOOKUP(AD43,STN_TABLE,3,FALSE)</f>
        <v>0</v>
      </c>
      <c r="AL44" t="str">
        <f>CONCATENATE("A(",AD44,")=")</f>
        <v>A(1.5)=</v>
      </c>
      <c r="AM44">
        <f>AI44+AK44</f>
        <v>0</v>
      </c>
      <c r="AO44" s="68" t="str">
        <f>AA44</f>
        <v>A(1.5)=</v>
      </c>
      <c r="AP44" s="68" t="e">
        <f>VLOOKUP(AO44,Rise_Results,2,FALSE)</f>
        <v>#N/A</v>
      </c>
      <c r="AQ44" s="76" t="e">
        <f>N44</f>
        <v>#VALUE!</v>
      </c>
      <c r="AR44" s="76" t="e">
        <f>IF(OR(AB44&lt;=0,AB45&lt;=0),1/0,AB44)</f>
        <v>#DIV/0!</v>
      </c>
      <c r="AS44" s="76">
        <f>AM44</f>
        <v>0</v>
      </c>
      <c r="AT44">
        <f>IFERROR(AP44,IFERROR(AQ44,IFERROR(AR44,AS44)))</f>
        <v>0</v>
      </c>
      <c r="AU44" s="81"/>
    </row>
    <row r="45" spans="1:47" x14ac:dyDescent="0.25">
      <c r="A45" s="94">
        <f>A44+1</f>
        <v>4</v>
      </c>
      <c r="B45" s="94">
        <f t="shared" si="11"/>
        <v>1.5</v>
      </c>
      <c r="F45" s="82">
        <f>SUM(F42:F44)</f>
        <v>0</v>
      </c>
      <c r="H45" s="82">
        <f>SUM(H42:H44)</f>
        <v>0</v>
      </c>
      <c r="I45" s="84" t="str">
        <f>CONCATENATE("m'(",C44,")=")</f>
        <v>m'(1.5)=</v>
      </c>
      <c r="J45" s="84" t="e">
        <f>2*(J42*(WLS))/3*H45</f>
        <v>#VALUE!</v>
      </c>
      <c r="K45" s="84" t="str">
        <f>CONCATENATE("M(",C42,")=")</f>
        <v>M(0.5)=</v>
      </c>
      <c r="L45" s="84">
        <f>VLOOKUP(C42,STN_TABLE,4,FALSE)</f>
        <v>0</v>
      </c>
      <c r="M45" t="str">
        <f>CONCATENATE("M(",C44,")=")</f>
        <v>M(1.5)=</v>
      </c>
      <c r="N45" t="e">
        <f>J45+L45</f>
        <v>#VALUE!</v>
      </c>
      <c r="O45" s="99">
        <f>O44+1</f>
        <v>6</v>
      </c>
      <c r="P45" s="99">
        <f t="shared" si="10"/>
        <v>3</v>
      </c>
      <c r="T45" s="89">
        <f>SUM(T42:T44)</f>
        <v>0</v>
      </c>
      <c r="V45" s="82">
        <f>SUM(V42:V44)</f>
        <v>0</v>
      </c>
      <c r="W45" s="84" t="str">
        <f>CONCATENATE("m'(",Q43,")=")</f>
        <v>m'(1.5)=</v>
      </c>
      <c r="X45" s="84">
        <f>(2*(X42^2)/24*V45)+(X44*Q42*WLS)</f>
        <v>0</v>
      </c>
      <c r="Y45" s="84" t="str">
        <f>CONCATENATE("M(",Q42,")=")</f>
        <v>M(1)=</v>
      </c>
      <c r="Z45" s="84">
        <f>VLOOKUP(Q42,STN_TABLE,4,FALSE)</f>
        <v>0</v>
      </c>
      <c r="AA45" t="str">
        <f>CONCATENATE("M(",Q43,")=")</f>
        <v>M(1.5)=</v>
      </c>
      <c r="AB45">
        <f>X45+Z45</f>
        <v>0</v>
      </c>
      <c r="AE45" s="89">
        <f>SUM(AE43:AE44)</f>
        <v>0</v>
      </c>
      <c r="AG45" s="89">
        <f>SUM(AG43:AG44)</f>
        <v>0</v>
      </c>
      <c r="AH45" s="84" t="str">
        <f>CONCATENATE("m'(",AD44,")=")</f>
        <v>m'(1.5)=</v>
      </c>
      <c r="AI45" s="84">
        <f>(2*(AI42^2)/6*AG45)+(AI44*AD43*WLS)</f>
        <v>0</v>
      </c>
      <c r="AJ45" s="84" t="str">
        <f>CONCATENATE("M(",AD43,")=")</f>
        <v>M(1)=</v>
      </c>
      <c r="AK45" s="84">
        <f>VLOOKUP(AD43,STN_TABLE,4,FALSE)</f>
        <v>0</v>
      </c>
      <c r="AL45" t="str">
        <f>CONCATENATE("M(",AD44,")=")</f>
        <v>M(1.5)=</v>
      </c>
      <c r="AM45">
        <f>AI45+AK45</f>
        <v>0</v>
      </c>
      <c r="AO45" s="82" t="str">
        <f>AA45</f>
        <v>M(1.5)=</v>
      </c>
      <c r="AP45" s="82" t="e">
        <f>VLOOKUP(AO45,Rise_Results,2,FALSE)</f>
        <v>#N/A</v>
      </c>
      <c r="AQ45" s="82" t="e">
        <f>N45</f>
        <v>#VALUE!</v>
      </c>
      <c r="AR45" s="82" t="e">
        <f>IF(OR(AB44&lt;=0,AB45&lt;=0),1/0,AB45)</f>
        <v>#DIV/0!</v>
      </c>
      <c r="AS45" s="82">
        <f>AM45</f>
        <v>0</v>
      </c>
      <c r="AT45">
        <f>IFERROR(AP45,IFERROR(AQ45,IFERROR(AR45,AS45)))</f>
        <v>0</v>
      </c>
      <c r="AU45" s="81"/>
    </row>
    <row r="46" spans="1:47" x14ac:dyDescent="0.25">
      <c r="A46" s="101">
        <f>A41+1</f>
        <v>1</v>
      </c>
      <c r="B46" s="101">
        <f t="shared" si="11"/>
        <v>0</v>
      </c>
      <c r="O46" s="101">
        <f>O41+1</f>
        <v>3</v>
      </c>
      <c r="P46" s="101">
        <f t="shared" si="10"/>
        <v>1</v>
      </c>
      <c r="AU46" s="81"/>
    </row>
    <row r="47" spans="1:47" x14ac:dyDescent="0.25">
      <c r="A47" s="84">
        <f>A46+1</f>
        <v>2</v>
      </c>
      <c r="B47" s="84">
        <f t="shared" si="11"/>
        <v>0.5</v>
      </c>
      <c r="C47" s="79">
        <f>IF(C48=B49,IF(C49-C48=C48-B48,B48,IF(C49-C48=C48-B47,B47,"#NA")),IF(C48=B48,IF(C49-C48=C48-B47,B47,IF(C49-C48=C48-B46,B46,"#NA")),"#NA"))</f>
        <v>1</v>
      </c>
      <c r="D47" s="68">
        <f>VLOOKUP(C47,STN_TABLE,2,FALSE)</f>
        <v>0</v>
      </c>
      <c r="E47" s="102">
        <v>1</v>
      </c>
      <c r="F47" s="68">
        <f>D47*E47</f>
        <v>0</v>
      </c>
      <c r="G47" s="69">
        <f>C47</f>
        <v>1</v>
      </c>
      <c r="H47" s="69">
        <f>F47*G47</f>
        <v>0</v>
      </c>
      <c r="I47" s="6" t="s">
        <v>93</v>
      </c>
      <c r="J47" s="70" t="str">
        <f>IF(OR(D47=0,D48=0,D49=0),"#NA",IF(AND(C49-C48=C48-C47,C48&lt;&gt;C49,C47&lt;&gt;C48,C47&lt;&gt;C49,D49&lt;&gt;0,OR(D47&lt;&gt;0,D48&lt;&gt;0)),WLS*(C49-C48),"#NA"))</f>
        <v>#NA</v>
      </c>
      <c r="O47" s="99">
        <f>O46+1</f>
        <v>4</v>
      </c>
      <c r="P47" s="99">
        <f t="shared" si="10"/>
        <v>1.5</v>
      </c>
      <c r="Q47" s="68">
        <f>IF(OR(P49-P48=P48-P47,P50-P48=P48-P47),P47,IF(OR(P49-P48=P48-P46,P50-P48=P48-P46),P46,"-"))</f>
        <v>1</v>
      </c>
      <c r="R47" s="69">
        <f>VLOOKUP(Q47,STN_TABLE,2,FALSE)</f>
        <v>0</v>
      </c>
      <c r="S47" s="69">
        <v>5</v>
      </c>
      <c r="T47" s="68">
        <f>R47*S47</f>
        <v>0</v>
      </c>
      <c r="U47" s="79">
        <v>3</v>
      </c>
      <c r="V47" s="68">
        <f>R47*U47</f>
        <v>0</v>
      </c>
      <c r="W47" s="6" t="s">
        <v>93</v>
      </c>
      <c r="X47" s="70">
        <f>IF(AND(Q49-Q48=Q48-Q47,NOT(AND(Q47=0,Q48=0)),NOT(AND(Q48=0,Q49=0))),WLS*(Q49-Q48),"#NA")</f>
        <v>1.8</v>
      </c>
      <c r="AD47" s="93"/>
      <c r="AH47" s="6" t="s">
        <v>93</v>
      </c>
      <c r="AI47" s="70">
        <f>WLS*(AD49-AD48)</f>
        <v>0.9</v>
      </c>
      <c r="AU47" s="81"/>
    </row>
    <row r="48" spans="1:47" x14ac:dyDescent="0.25">
      <c r="A48" s="84">
        <f>A47+1</f>
        <v>3</v>
      </c>
      <c r="B48" s="84">
        <f t="shared" si="11"/>
        <v>1</v>
      </c>
      <c r="C48" s="80">
        <f>IF(OR(B50-B49=B49-B48,B50-B49=B49-B47,B50-B49=B49-B46),B49,IF(OR(B50-B48=B48-B47,B50-B48=B48-B46),B48,IF(B50-B47=B47-B46,B47,"#NA")))</f>
        <v>1.5</v>
      </c>
      <c r="D48" s="76">
        <f>VLOOKUP(C48,STN_TABLE,2,FALSE)</f>
        <v>0</v>
      </c>
      <c r="E48" s="81">
        <v>4</v>
      </c>
      <c r="F48" s="76">
        <f>D48*E48</f>
        <v>0</v>
      </c>
      <c r="G48" s="77">
        <f>C48</f>
        <v>1.5</v>
      </c>
      <c r="H48" s="77">
        <f>F48*G48</f>
        <v>0</v>
      </c>
      <c r="I48" s="513" t="s">
        <v>97</v>
      </c>
      <c r="J48" s="513"/>
      <c r="K48" s="78" t="s">
        <v>98</v>
      </c>
      <c r="L48" s="78"/>
      <c r="M48" s="7" t="s">
        <v>99</v>
      </c>
      <c r="N48" s="7"/>
      <c r="O48" s="99">
        <f>O47+1</f>
        <v>5</v>
      </c>
      <c r="P48" s="99">
        <f t="shared" si="10"/>
        <v>2</v>
      </c>
      <c r="Q48" s="76">
        <f>P48</f>
        <v>2</v>
      </c>
      <c r="R48" s="77">
        <f>VLOOKUP(Q48,STN_TABLE,2,FALSE)</f>
        <v>0</v>
      </c>
      <c r="S48" s="77">
        <v>8</v>
      </c>
      <c r="T48" s="76">
        <f>R48*S48</f>
        <v>0</v>
      </c>
      <c r="U48" s="80">
        <v>10</v>
      </c>
      <c r="V48" s="76">
        <f>R48*U48</f>
        <v>0</v>
      </c>
      <c r="W48" s="513" t="s">
        <v>97</v>
      </c>
      <c r="X48" s="513"/>
      <c r="Y48" s="513" t="s">
        <v>98</v>
      </c>
      <c r="Z48" s="513"/>
      <c r="AA48" s="511" t="s">
        <v>99</v>
      </c>
      <c r="AB48" s="511"/>
      <c r="AC48" s="99">
        <f>AC43+1</f>
        <v>4</v>
      </c>
      <c r="AD48" s="95">
        <f>VLOOKUP(AC48,STN_TABLE_2,2,FALSE)</f>
        <v>1.5</v>
      </c>
      <c r="AE48" s="68">
        <f>VLOOKUP(AD48,STN_TABLE,2,FALSE)</f>
        <v>0</v>
      </c>
      <c r="AF48" s="68">
        <v>1</v>
      </c>
      <c r="AG48" s="69">
        <f>AE48*AF48</f>
        <v>0</v>
      </c>
      <c r="AH48" s="513" t="s">
        <v>97</v>
      </c>
      <c r="AI48" s="513"/>
      <c r="AJ48" s="513" t="s">
        <v>98</v>
      </c>
      <c r="AK48" s="513"/>
      <c r="AL48" s="511" t="s">
        <v>99</v>
      </c>
      <c r="AM48" s="511"/>
      <c r="AP48" s="86" t="s">
        <v>112</v>
      </c>
      <c r="AQ48" s="89" t="s">
        <v>113</v>
      </c>
      <c r="AR48" s="89" t="s">
        <v>114</v>
      </c>
      <c r="AS48" s="89" t="s">
        <v>115</v>
      </c>
      <c r="AU48" s="81"/>
    </row>
    <row r="49" spans="1:47" x14ac:dyDescent="0.25">
      <c r="A49" s="84">
        <f>A48+1</f>
        <v>4</v>
      </c>
      <c r="B49" s="84">
        <f t="shared" si="11"/>
        <v>1.5</v>
      </c>
      <c r="C49" s="88">
        <f>B50</f>
        <v>2</v>
      </c>
      <c r="D49" s="82">
        <f>VLOOKUP(C49,STN_TABLE,2,FALSE)</f>
        <v>0</v>
      </c>
      <c r="E49" s="92">
        <v>1</v>
      </c>
      <c r="F49" s="82">
        <f>D49*E49</f>
        <v>0</v>
      </c>
      <c r="G49" s="83">
        <f>C49</f>
        <v>2</v>
      </c>
      <c r="H49" s="83">
        <f>F49*G49</f>
        <v>0</v>
      </c>
      <c r="I49" s="84" t="str">
        <f>CONCATENATE("a'(",C49,")=")</f>
        <v>a'(2)=</v>
      </c>
      <c r="J49" s="84" t="e">
        <f>2*J47/3*F50</f>
        <v>#VALUE!</v>
      </c>
      <c r="K49" s="84" t="str">
        <f>CONCATENATE("A(",C47,")=")</f>
        <v>A(1)=</v>
      </c>
      <c r="L49" s="84">
        <f>VLOOKUP(C47,STN_TABLE,3,FALSE)</f>
        <v>0</v>
      </c>
      <c r="M49" t="str">
        <f>CONCATENATE("A(",C49,")=")</f>
        <v>A(2)=</v>
      </c>
      <c r="N49" t="e">
        <f>J49+L49</f>
        <v>#VALUE!</v>
      </c>
      <c r="O49" s="99">
        <f>O48+1</f>
        <v>6</v>
      </c>
      <c r="P49" s="99">
        <f t="shared" si="10"/>
        <v>3</v>
      </c>
      <c r="Q49" s="82">
        <f>IF(P49-P48=P48-P47,P49,IF(P50-P48=P48-P47,P50,IF(P49-P48=P48-P46,P49,IF(P50-P48=P48-P46,P50,"-"))))</f>
        <v>3</v>
      </c>
      <c r="R49" s="83">
        <f>VLOOKUP(Q49,STN_TABLE,2,FALSE)</f>
        <v>0</v>
      </c>
      <c r="S49" s="83">
        <v>-1</v>
      </c>
      <c r="T49" s="82">
        <f>R49*S49</f>
        <v>0</v>
      </c>
      <c r="U49" s="88">
        <v>-1</v>
      </c>
      <c r="V49" s="82">
        <f>R49*U49</f>
        <v>0</v>
      </c>
      <c r="W49" s="84" t="str">
        <f>CONCATENATE("a'(",Q48,")=")</f>
        <v>a'(2)=</v>
      </c>
      <c r="X49" s="84">
        <f>2*X47/12*T50</f>
        <v>0</v>
      </c>
      <c r="Y49" s="84" t="str">
        <f>CONCATENATE("A(",Q47,")=")</f>
        <v>A(1)=</v>
      </c>
      <c r="Z49" s="84">
        <f>VLOOKUP(Q47,STN_TABLE,3,FALSE)</f>
        <v>0</v>
      </c>
      <c r="AA49" t="str">
        <f>CONCATENATE("A(",Q48,")=")</f>
        <v>A(2)=</v>
      </c>
      <c r="AB49">
        <f>X49+Z49</f>
        <v>0</v>
      </c>
      <c r="AC49" s="99">
        <f>AC48+1</f>
        <v>5</v>
      </c>
      <c r="AD49" s="100">
        <f>VLOOKUP(AC49,STN_TABLE_2,2,FALSE)</f>
        <v>2</v>
      </c>
      <c r="AE49" s="82">
        <f>VLOOKUP(AD49,STN_TABLE,2,FALSE)</f>
        <v>0</v>
      </c>
      <c r="AF49" s="82">
        <v>2</v>
      </c>
      <c r="AG49" s="83">
        <f>AE49*AF49</f>
        <v>0</v>
      </c>
      <c r="AH49" s="84" t="str">
        <f>CONCATENATE("a'(",AD49,")=")</f>
        <v>a'(2)=</v>
      </c>
      <c r="AI49" s="84">
        <f>2*AI47/2*AE50</f>
        <v>0</v>
      </c>
      <c r="AJ49" s="84" t="str">
        <f>CONCATENATE("A(",AD48,")=")</f>
        <v>A(1.5)=</v>
      </c>
      <c r="AK49" s="84">
        <f>VLOOKUP(AD48,STN_TABLE,3,FALSE)</f>
        <v>0</v>
      </c>
      <c r="AL49" t="str">
        <f>CONCATENATE("A(",AD49,")=")</f>
        <v>A(2)=</v>
      </c>
      <c r="AM49">
        <f>AI49+AK49</f>
        <v>0</v>
      </c>
      <c r="AO49" s="68" t="str">
        <f>AA49</f>
        <v>A(2)=</v>
      </c>
      <c r="AP49" s="68" t="e">
        <f>VLOOKUP(AO49,Rise_Results,2,FALSE)</f>
        <v>#N/A</v>
      </c>
      <c r="AQ49" s="76" t="e">
        <f>N49</f>
        <v>#VALUE!</v>
      </c>
      <c r="AR49" s="76" t="e">
        <f>IF(OR(AB49&lt;=0,AB50&lt;=0),1/0,AB49)</f>
        <v>#DIV/0!</v>
      </c>
      <c r="AS49" s="76">
        <f>AM49</f>
        <v>0</v>
      </c>
      <c r="AT49">
        <f>IFERROR(AP49,IFERROR(AQ49,IFERROR(AR49,AS49)))</f>
        <v>0</v>
      </c>
      <c r="AU49" s="81"/>
    </row>
    <row r="50" spans="1:47" x14ac:dyDescent="0.25">
      <c r="A50" s="84">
        <f>A49+1</f>
        <v>5</v>
      </c>
      <c r="B50" s="84">
        <f t="shared" si="11"/>
        <v>2</v>
      </c>
      <c r="F50" s="82">
        <f>SUM(F47:F49)</f>
        <v>0</v>
      </c>
      <c r="H50" s="82">
        <f>SUM(H47:H49)</f>
        <v>0</v>
      </c>
      <c r="I50" s="84" t="str">
        <f>CONCATENATE("m'(",C49,")=")</f>
        <v>m'(2)=</v>
      </c>
      <c r="J50" s="84" t="e">
        <f>2*(J47*(WLS))/3*H50</f>
        <v>#VALUE!</v>
      </c>
      <c r="K50" s="84" t="str">
        <f>CONCATENATE("M(",C47,")=")</f>
        <v>M(1)=</v>
      </c>
      <c r="L50" s="84">
        <f>VLOOKUP(C47,STN_TABLE,4,FALSE)</f>
        <v>0</v>
      </c>
      <c r="M50" t="str">
        <f>CONCATENATE("M(",C49,")=")</f>
        <v>M(2)=</v>
      </c>
      <c r="N50" t="e">
        <f>J50+L50</f>
        <v>#VALUE!</v>
      </c>
      <c r="O50" s="99">
        <f>O49+1</f>
        <v>7</v>
      </c>
      <c r="P50" s="99">
        <f t="shared" si="10"/>
        <v>4</v>
      </c>
      <c r="T50" s="89">
        <f>SUM(T47:T49)</f>
        <v>0</v>
      </c>
      <c r="V50" s="82">
        <f>SUM(V47:V49)</f>
        <v>0</v>
      </c>
      <c r="W50" s="84" t="str">
        <f>CONCATENATE("m'(",Q48,")=")</f>
        <v>m'(2)=</v>
      </c>
      <c r="X50" s="84">
        <f>(2*(X47^2)/24*V50)+(X49*Q47*WLS)</f>
        <v>0</v>
      </c>
      <c r="Y50" s="84" t="str">
        <f>CONCATENATE("M(",Q47,")=")</f>
        <v>M(1)=</v>
      </c>
      <c r="Z50" s="84">
        <f>VLOOKUP(Q47,STN_TABLE,4,FALSE)</f>
        <v>0</v>
      </c>
      <c r="AA50" t="str">
        <f>CONCATENATE("M(",Q48,")=")</f>
        <v>M(2)=</v>
      </c>
      <c r="AB50">
        <f>X50+Z50</f>
        <v>0</v>
      </c>
      <c r="AE50" s="89">
        <f>SUM(AE48:AE49)</f>
        <v>0</v>
      </c>
      <c r="AG50" s="89">
        <f>SUM(AG48:AG49)</f>
        <v>0</v>
      </c>
      <c r="AH50" s="84" t="str">
        <f>CONCATENATE("m'(",AD49,")=")</f>
        <v>m'(2)=</v>
      </c>
      <c r="AI50" s="84">
        <f>(2*(AI47^2)/6*AG50)+(AI49*AD48*WLS)</f>
        <v>0</v>
      </c>
      <c r="AJ50" s="84" t="str">
        <f>CONCATENATE("M(",AD48,")=")</f>
        <v>M(1.5)=</v>
      </c>
      <c r="AK50" s="84">
        <f>VLOOKUP(AD48,STN_TABLE,4,FALSE)</f>
        <v>0</v>
      </c>
      <c r="AL50" t="str">
        <f>CONCATENATE("M(",AD49,")=")</f>
        <v>M(2)=</v>
      </c>
      <c r="AM50">
        <f>AI50+AK50</f>
        <v>0</v>
      </c>
      <c r="AO50" s="82" t="str">
        <f>AA50</f>
        <v>M(2)=</v>
      </c>
      <c r="AP50" s="82" t="e">
        <f>VLOOKUP(AO50,Rise_Results,2,FALSE)</f>
        <v>#N/A</v>
      </c>
      <c r="AQ50" s="82" t="e">
        <f>N50</f>
        <v>#VALUE!</v>
      </c>
      <c r="AR50" s="82" t="e">
        <f>IF(OR(AB49&lt;=0,AB50&lt;=0),1/0,AB50)</f>
        <v>#DIV/0!</v>
      </c>
      <c r="AS50" s="82">
        <f>AM50</f>
        <v>0</v>
      </c>
      <c r="AT50">
        <f>IFERROR(AP50,IFERROR(AQ50,IFERROR(AR50,AS50)))</f>
        <v>0</v>
      </c>
      <c r="AU50" s="81"/>
    </row>
    <row r="51" spans="1:47" x14ac:dyDescent="0.25">
      <c r="A51" s="101">
        <f>A46+1</f>
        <v>2</v>
      </c>
      <c r="B51" s="101">
        <f t="shared" si="11"/>
        <v>0.5</v>
      </c>
      <c r="O51" s="101">
        <f>O46+1</f>
        <v>4</v>
      </c>
      <c r="P51" s="101">
        <f t="shared" si="10"/>
        <v>1.5</v>
      </c>
      <c r="AU51" s="81"/>
    </row>
    <row r="52" spans="1:47" x14ac:dyDescent="0.25">
      <c r="A52" s="84">
        <f>A51+1</f>
        <v>3</v>
      </c>
      <c r="B52" s="84">
        <f t="shared" si="11"/>
        <v>1</v>
      </c>
      <c r="C52" s="79">
        <f t="shared" ref="C52" si="12">IF(C53=B54,IF(C54-C53=C53-B53,B53,IF(C54-C53=C53-B52,B52,"#NA")),IF(C53=B53,IF(C54-C53=C53-B52,B52,IF(C54-C53=C53-B51,B51,"#NA")),"#NA"))</f>
        <v>1</v>
      </c>
      <c r="D52" s="68">
        <f>VLOOKUP(C52,STN_TABLE,2,FALSE)</f>
        <v>0</v>
      </c>
      <c r="E52" s="102">
        <v>1</v>
      </c>
      <c r="F52" s="68">
        <f>D52*E52</f>
        <v>0</v>
      </c>
      <c r="G52" s="69">
        <f>C52</f>
        <v>1</v>
      </c>
      <c r="H52" s="69">
        <f>F52*G52</f>
        <v>0</v>
      </c>
      <c r="I52" s="6" t="s">
        <v>93</v>
      </c>
      <c r="J52" s="70" t="str">
        <f>IF(OR(D52=0,D53=0,D54=0),"#NA",IF(AND(C54-C53=C53-C52,C53&lt;&gt;C54,C52&lt;&gt;C53,C52&lt;&gt;C54,D54&lt;&gt;0,OR(D52&lt;&gt;0,D53&lt;&gt;0)),WLS*(C54-C53),"#NA"))</f>
        <v>#NA</v>
      </c>
      <c r="O52" s="99">
        <f>O51+1</f>
        <v>5</v>
      </c>
      <c r="P52" s="99">
        <f t="shared" si="10"/>
        <v>2</v>
      </c>
      <c r="Q52" s="68">
        <f>IF(OR(P54-P53=P53-P52,P55-P53=P53-P52),P52,IF(OR(P54-P53=P53-P51,P55-P53=P53-P51),P51,"-"))</f>
        <v>2</v>
      </c>
      <c r="R52" s="69">
        <f>VLOOKUP(Q52,STN_TABLE,2,FALSE)</f>
        <v>0</v>
      </c>
      <c r="S52" s="69">
        <v>5</v>
      </c>
      <c r="T52" s="68">
        <f>R52*S52</f>
        <v>0</v>
      </c>
      <c r="U52" s="79">
        <v>3</v>
      </c>
      <c r="V52" s="68">
        <f>R52*U52</f>
        <v>0</v>
      </c>
      <c r="W52" s="6" t="s">
        <v>93</v>
      </c>
      <c r="X52" s="70">
        <f>IF(AND(Q54-Q53=Q53-Q52,NOT(AND(Q52=0,Q53=0)),NOT(AND(Q53=0,Q54=0))),WLS*(Q54-Q53),"#NA")</f>
        <v>1.8</v>
      </c>
      <c r="AD52" s="93"/>
      <c r="AH52" s="6" t="s">
        <v>93</v>
      </c>
      <c r="AI52" s="70">
        <f>WLS*(AD54-AD53)</f>
        <v>1.8</v>
      </c>
      <c r="AU52" s="81"/>
    </row>
    <row r="53" spans="1:47" x14ac:dyDescent="0.25">
      <c r="A53" s="84">
        <f>A52+1</f>
        <v>4</v>
      </c>
      <c r="B53" s="84">
        <f t="shared" si="11"/>
        <v>1.5</v>
      </c>
      <c r="C53" s="80">
        <f t="shared" ref="C53" si="13">IF(OR(B55-B54=B54-B53,B55-B54=B54-B52,B55-B54=B54-B51),B54,IF(OR(B55-B53=B53-B52,B55-B53=B53-B51),B53,IF(B55-B52=B52-B51,B52,"#NA")))</f>
        <v>2</v>
      </c>
      <c r="D53" s="76">
        <f>VLOOKUP(C53,STN_TABLE,2,FALSE)</f>
        <v>0</v>
      </c>
      <c r="E53" s="81">
        <v>4</v>
      </c>
      <c r="F53" s="76">
        <f>D53*E53</f>
        <v>0</v>
      </c>
      <c r="G53" s="77">
        <f>C53</f>
        <v>2</v>
      </c>
      <c r="H53" s="77">
        <f>F53*G53</f>
        <v>0</v>
      </c>
      <c r="I53" s="512" t="s">
        <v>97</v>
      </c>
      <c r="J53" s="513"/>
      <c r="K53" s="78" t="s">
        <v>98</v>
      </c>
      <c r="L53" s="78"/>
      <c r="M53" s="7" t="s">
        <v>99</v>
      </c>
      <c r="N53" s="7"/>
      <c r="O53" s="99">
        <f>O52+1</f>
        <v>6</v>
      </c>
      <c r="P53" s="99">
        <f t="shared" si="10"/>
        <v>3</v>
      </c>
      <c r="Q53" s="76">
        <f>P53</f>
        <v>3</v>
      </c>
      <c r="R53" s="77">
        <f>VLOOKUP(Q53,STN_TABLE,2,FALSE)</f>
        <v>0</v>
      </c>
      <c r="S53" s="77">
        <v>8</v>
      </c>
      <c r="T53" s="76">
        <f>R53*S53</f>
        <v>0</v>
      </c>
      <c r="U53" s="80">
        <v>10</v>
      </c>
      <c r="V53" s="76">
        <f>R53*U53</f>
        <v>0</v>
      </c>
      <c r="W53" s="513" t="s">
        <v>97</v>
      </c>
      <c r="X53" s="513"/>
      <c r="Y53" s="513" t="s">
        <v>98</v>
      </c>
      <c r="Z53" s="513"/>
      <c r="AA53" s="511" t="s">
        <v>99</v>
      </c>
      <c r="AB53" s="511"/>
      <c r="AC53" s="99">
        <f>AC48+1</f>
        <v>5</v>
      </c>
      <c r="AD53" s="95">
        <f>VLOOKUP(AC53,STN_TABLE_2,2,FALSE)</f>
        <v>2</v>
      </c>
      <c r="AE53" s="68">
        <f>VLOOKUP(AD53,STN_TABLE,2,FALSE)</f>
        <v>0</v>
      </c>
      <c r="AF53" s="68">
        <v>1</v>
      </c>
      <c r="AG53" s="69">
        <f>AE53*AF53</f>
        <v>0</v>
      </c>
      <c r="AH53" s="513" t="s">
        <v>97</v>
      </c>
      <c r="AI53" s="513"/>
      <c r="AJ53" s="513" t="s">
        <v>98</v>
      </c>
      <c r="AK53" s="513"/>
      <c r="AL53" s="511" t="s">
        <v>99</v>
      </c>
      <c r="AM53" s="511"/>
      <c r="AP53" s="86" t="s">
        <v>112</v>
      </c>
      <c r="AQ53" s="89" t="s">
        <v>113</v>
      </c>
      <c r="AR53" s="89" t="s">
        <v>114</v>
      </c>
      <c r="AS53" s="89" t="s">
        <v>115</v>
      </c>
      <c r="AU53" s="81"/>
    </row>
    <row r="54" spans="1:47" x14ac:dyDescent="0.25">
      <c r="A54" s="84">
        <f>A53+1</f>
        <v>5</v>
      </c>
      <c r="B54" s="84">
        <f t="shared" si="11"/>
        <v>2</v>
      </c>
      <c r="C54" s="88">
        <f t="shared" ref="C54" si="14">B55</f>
        <v>3</v>
      </c>
      <c r="D54" s="82">
        <f>VLOOKUP(C54,STN_TABLE,2,FALSE)</f>
        <v>0</v>
      </c>
      <c r="E54" s="92">
        <v>1</v>
      </c>
      <c r="F54" s="82">
        <f>D54*E54</f>
        <v>0</v>
      </c>
      <c r="G54" s="83">
        <f>C54</f>
        <v>3</v>
      </c>
      <c r="H54" s="83">
        <f>F54*G54</f>
        <v>0</v>
      </c>
      <c r="I54" s="84" t="str">
        <f>CONCATENATE("a'(",C54,")=")</f>
        <v>a'(3)=</v>
      </c>
      <c r="J54" s="84" t="e">
        <f>2*J52/3*F55</f>
        <v>#VALUE!</v>
      </c>
      <c r="K54" s="84" t="str">
        <f>CONCATENATE("A(",C52,")=")</f>
        <v>A(1)=</v>
      </c>
      <c r="L54" s="84">
        <f>VLOOKUP(C52,STN_TABLE,3,FALSE)</f>
        <v>0</v>
      </c>
      <c r="M54" t="str">
        <f>CONCATENATE("A(",C54,")=")</f>
        <v>A(3)=</v>
      </c>
      <c r="N54" t="e">
        <f>J54+L54</f>
        <v>#VALUE!</v>
      </c>
      <c r="O54" s="99">
        <f>O53+1</f>
        <v>7</v>
      </c>
      <c r="P54" s="99">
        <f t="shared" si="10"/>
        <v>4</v>
      </c>
      <c r="Q54" s="82">
        <f>IF(P54-P53=P53-P52,P54,IF(P55-P53=P53-P52,P55,IF(P54-P53=P53-P51,P54,IF(P55-P53=P53-P51,P55,"-"))))</f>
        <v>4</v>
      </c>
      <c r="R54" s="83">
        <f>VLOOKUP(Q54,STN_TABLE,2,FALSE)</f>
        <v>0</v>
      </c>
      <c r="S54" s="83">
        <v>-1</v>
      </c>
      <c r="T54" s="82">
        <f>R54*S54</f>
        <v>0</v>
      </c>
      <c r="U54" s="88">
        <v>-1</v>
      </c>
      <c r="V54" s="82">
        <f>R54*U54</f>
        <v>0</v>
      </c>
      <c r="W54" s="84" t="str">
        <f>CONCATENATE("a'(",Q53,")=")</f>
        <v>a'(3)=</v>
      </c>
      <c r="X54" s="84">
        <f>2*X52/12*T55</f>
        <v>0</v>
      </c>
      <c r="Y54" s="84" t="str">
        <f>CONCATENATE("A(",Q52,")=")</f>
        <v>A(2)=</v>
      </c>
      <c r="Z54" s="84">
        <f>VLOOKUP(Q52,STN_TABLE,3,FALSE)</f>
        <v>0</v>
      </c>
      <c r="AA54" t="str">
        <f>CONCATENATE("A(",Q53,")=")</f>
        <v>A(3)=</v>
      </c>
      <c r="AB54">
        <f>X54+Z54</f>
        <v>0</v>
      </c>
      <c r="AC54" s="99">
        <f>AC53+1</f>
        <v>6</v>
      </c>
      <c r="AD54" s="100">
        <f>VLOOKUP(AC54,STN_TABLE_2,2,FALSE)</f>
        <v>3</v>
      </c>
      <c r="AE54" s="82">
        <f>VLOOKUP(AD54,STN_TABLE,2,FALSE)</f>
        <v>0</v>
      </c>
      <c r="AF54" s="82">
        <v>2</v>
      </c>
      <c r="AG54" s="83">
        <f>AE54*AF54</f>
        <v>0</v>
      </c>
      <c r="AH54" s="84" t="str">
        <f>CONCATENATE("a'(",AD54,")=")</f>
        <v>a'(3)=</v>
      </c>
      <c r="AI54" s="84">
        <f>2*AI52/2*AE55</f>
        <v>0</v>
      </c>
      <c r="AJ54" s="84" t="str">
        <f>CONCATENATE("A(",AD53,")=")</f>
        <v>A(2)=</v>
      </c>
      <c r="AK54" s="84">
        <f>VLOOKUP(AD53,STN_TABLE,3,FALSE)</f>
        <v>0</v>
      </c>
      <c r="AL54" t="str">
        <f>CONCATENATE("A(",AD54,")=")</f>
        <v>A(3)=</v>
      </c>
      <c r="AM54">
        <f>AI54+AK54</f>
        <v>0</v>
      </c>
      <c r="AO54" s="68" t="str">
        <f>AA54</f>
        <v>A(3)=</v>
      </c>
      <c r="AP54" s="68" t="e">
        <f>VLOOKUP(AO54,Rise_Results,2,FALSE)</f>
        <v>#N/A</v>
      </c>
      <c r="AQ54" s="76" t="e">
        <f>N54</f>
        <v>#VALUE!</v>
      </c>
      <c r="AR54" s="76" t="e">
        <f>IF(OR(AB54&lt;=0,AB55&lt;=0),1/0,AB54)</f>
        <v>#DIV/0!</v>
      </c>
      <c r="AS54" s="76">
        <f>AM54</f>
        <v>0</v>
      </c>
      <c r="AT54">
        <f>IFERROR(AP54,IFERROR(AQ54,IFERROR(AR54,AS54)))</f>
        <v>0</v>
      </c>
      <c r="AU54" s="81"/>
    </row>
    <row r="55" spans="1:47" x14ac:dyDescent="0.25">
      <c r="A55" s="84">
        <f>A54+1</f>
        <v>6</v>
      </c>
      <c r="B55" s="84">
        <f t="shared" si="11"/>
        <v>3</v>
      </c>
      <c r="F55" s="82">
        <f>SUM(F52:F54)</f>
        <v>0</v>
      </c>
      <c r="H55" s="82">
        <f>SUM(H52:H54)</f>
        <v>0</v>
      </c>
      <c r="I55" s="84" t="str">
        <f>CONCATENATE("m'(",C54,")=")</f>
        <v>m'(3)=</v>
      </c>
      <c r="J55" s="84" t="e">
        <f>2*(J52*(WLS))/3*H55</f>
        <v>#VALUE!</v>
      </c>
      <c r="K55" s="84" t="str">
        <f>CONCATENATE("M(",C52,")=")</f>
        <v>M(1)=</v>
      </c>
      <c r="L55" s="84">
        <f>VLOOKUP(C52,STN_TABLE,4,FALSE)</f>
        <v>0</v>
      </c>
      <c r="M55" t="str">
        <f>CONCATENATE("M(",C54,")=")</f>
        <v>M(3)=</v>
      </c>
      <c r="N55" t="e">
        <f>J55+L55</f>
        <v>#VALUE!</v>
      </c>
      <c r="O55" s="99">
        <f>O54+1</f>
        <v>8</v>
      </c>
      <c r="P55" s="99">
        <f t="shared" si="10"/>
        <v>5</v>
      </c>
      <c r="T55" s="89">
        <f>SUM(T52:T54)</f>
        <v>0</v>
      </c>
      <c r="V55" s="82">
        <f>SUM(V52:V54)</f>
        <v>0</v>
      </c>
      <c r="W55" s="84" t="str">
        <f>CONCATENATE("m'(",Q53,")=")</f>
        <v>m'(3)=</v>
      </c>
      <c r="X55" s="84">
        <f>(2*(X52^2)/24*V55)+(X54*Q52*WLS)</f>
        <v>0</v>
      </c>
      <c r="Y55" s="84" t="str">
        <f>CONCATENATE("M(",Q52,")=")</f>
        <v>M(2)=</v>
      </c>
      <c r="Z55" s="84">
        <f>VLOOKUP(Q52,STN_TABLE,4,FALSE)</f>
        <v>0</v>
      </c>
      <c r="AA55" t="str">
        <f>CONCATENATE("M(",Q53,")=")</f>
        <v>M(3)=</v>
      </c>
      <c r="AB55">
        <f>X55+Z55</f>
        <v>0</v>
      </c>
      <c r="AE55" s="89">
        <f>SUM(AE53:AE54)</f>
        <v>0</v>
      </c>
      <c r="AG55" s="89">
        <f>SUM(AG53:AG54)</f>
        <v>0</v>
      </c>
      <c r="AH55" s="84" t="str">
        <f>CONCATENATE("m'(",AD54,")=")</f>
        <v>m'(3)=</v>
      </c>
      <c r="AI55" s="84">
        <f>(2*(AI52^2)/6*AG55)+(AI54*AD53*WLS)</f>
        <v>0</v>
      </c>
      <c r="AJ55" s="84" t="str">
        <f>CONCATENATE("M(",AD53,")=")</f>
        <v>M(2)=</v>
      </c>
      <c r="AK55" s="84">
        <f>VLOOKUP(AD53,STN_TABLE,4,FALSE)</f>
        <v>0</v>
      </c>
      <c r="AL55" t="str">
        <f>CONCATENATE("M(",AD54,")=")</f>
        <v>M(3)=</v>
      </c>
      <c r="AM55">
        <f>AI55+AK55</f>
        <v>0</v>
      </c>
      <c r="AO55" s="82" t="str">
        <f>AA55</f>
        <v>M(3)=</v>
      </c>
      <c r="AP55" s="82" t="e">
        <f>VLOOKUP(AO55,Rise_Results,2,FALSE)</f>
        <v>#N/A</v>
      </c>
      <c r="AQ55" s="82" t="e">
        <f>N55</f>
        <v>#VALUE!</v>
      </c>
      <c r="AR55" s="82" t="e">
        <f>IF(OR(AB54&lt;=0,AB55&lt;=0),1/0,AB55)</f>
        <v>#DIV/0!</v>
      </c>
      <c r="AS55" s="82">
        <f>AM55</f>
        <v>0</v>
      </c>
      <c r="AT55">
        <f>IFERROR(AP55,IFERROR(AQ55,IFERROR(AR55,AS55)))</f>
        <v>0</v>
      </c>
      <c r="AU55" s="81"/>
    </row>
    <row r="56" spans="1:47" x14ac:dyDescent="0.25">
      <c r="A56" s="101">
        <f>A51+1</f>
        <v>3</v>
      </c>
      <c r="B56" s="101">
        <f t="shared" si="11"/>
        <v>1</v>
      </c>
      <c r="O56" s="101">
        <f>O51+1</f>
        <v>5</v>
      </c>
      <c r="P56" s="101">
        <f t="shared" si="10"/>
        <v>2</v>
      </c>
      <c r="AU56" s="81"/>
    </row>
    <row r="57" spans="1:47" x14ac:dyDescent="0.25">
      <c r="A57" s="84">
        <f>A56+1</f>
        <v>4</v>
      </c>
      <c r="B57" s="84">
        <f t="shared" si="11"/>
        <v>1.5</v>
      </c>
      <c r="C57" s="79">
        <f t="shared" ref="C57" si="15">IF(C58=B59,IF(C59-C58=C58-B58,B58,IF(C59-C58=C58-B57,B57,"#NA")),IF(C58=B58,IF(C59-C58=C58-B57,B57,IF(C59-C58=C58-B56,B56,"#NA")),"#NA"))</f>
        <v>2</v>
      </c>
      <c r="D57" s="68">
        <f>VLOOKUP(C57,STN_TABLE,2,FALSE)</f>
        <v>0</v>
      </c>
      <c r="E57" s="102">
        <v>1</v>
      </c>
      <c r="F57" s="68">
        <f>D57*E57</f>
        <v>0</v>
      </c>
      <c r="G57" s="69">
        <f>C57</f>
        <v>2</v>
      </c>
      <c r="H57" s="69">
        <f>F57*G57</f>
        <v>0</v>
      </c>
      <c r="I57" s="6" t="s">
        <v>93</v>
      </c>
      <c r="J57" s="70" t="str">
        <f>IF(OR(D57=0,D58=0,D59=0),"#NA",IF(AND(C59-C58=C58-C57,C58&lt;&gt;C59,C57&lt;&gt;C58,C57&lt;&gt;C59,D59&lt;&gt;0,OR(D57&lt;&gt;0,D58&lt;&gt;0)),WLS*(C59-C58),"#NA"))</f>
        <v>#NA</v>
      </c>
      <c r="O57" s="99">
        <f>O56+1</f>
        <v>6</v>
      </c>
      <c r="P57" s="99">
        <f t="shared" si="10"/>
        <v>3</v>
      </c>
      <c r="Q57" s="68">
        <f>IF(OR(P59-P58=P58-P57,P60-P58=P58-P57),P57,IF(OR(P59-P58=P58-P56,P60-P58=P58-P56),P56,"-"))</f>
        <v>3</v>
      </c>
      <c r="R57" s="69">
        <f>VLOOKUP(Q57,STN_TABLE,2,FALSE)</f>
        <v>0</v>
      </c>
      <c r="S57" s="69">
        <v>5</v>
      </c>
      <c r="T57" s="68">
        <f>R57*S57</f>
        <v>0</v>
      </c>
      <c r="U57" s="79">
        <v>3</v>
      </c>
      <c r="V57" s="68">
        <f>R57*U57</f>
        <v>0</v>
      </c>
      <c r="W57" s="6" t="s">
        <v>93</v>
      </c>
      <c r="X57" s="70">
        <f>IF(AND(Q59-Q58=Q58-Q57,NOT(AND(Q57=0,Q58=0)),NOT(AND(Q58=0,Q59=0))),WLS*(Q59-Q58),"#NA")</f>
        <v>1.8</v>
      </c>
      <c r="AD57" s="93"/>
      <c r="AH57" s="6" t="s">
        <v>93</v>
      </c>
      <c r="AI57" s="70">
        <f>WLS*(AD59-AD58)</f>
        <v>1.8</v>
      </c>
      <c r="AU57" s="81"/>
    </row>
    <row r="58" spans="1:47" x14ac:dyDescent="0.25">
      <c r="A58" s="84">
        <f>A57+1</f>
        <v>5</v>
      </c>
      <c r="B58" s="84">
        <f t="shared" si="11"/>
        <v>2</v>
      </c>
      <c r="C58" s="80">
        <f t="shared" ref="C58" si="16">IF(OR(B60-B59=B59-B58,B60-B59=B59-B57,B60-B59=B59-B56),B59,IF(OR(B60-B58=B58-B57,B60-B58=B58-B56),B58,IF(B60-B57=B57-B56,B57,"#NA")))</f>
        <v>3</v>
      </c>
      <c r="D58" s="76">
        <f>VLOOKUP(C58,STN_TABLE,2,FALSE)</f>
        <v>0</v>
      </c>
      <c r="E58" s="81">
        <v>4</v>
      </c>
      <c r="F58" s="76">
        <f>D58*E58</f>
        <v>0</v>
      </c>
      <c r="G58" s="77">
        <f>C58</f>
        <v>3</v>
      </c>
      <c r="H58" s="77">
        <f>F58*G58</f>
        <v>0</v>
      </c>
      <c r="I58" s="512" t="s">
        <v>97</v>
      </c>
      <c r="J58" s="513"/>
      <c r="K58" s="78" t="s">
        <v>98</v>
      </c>
      <c r="L58" s="78"/>
      <c r="M58" s="7" t="s">
        <v>99</v>
      </c>
      <c r="N58" s="7"/>
      <c r="O58" s="99">
        <f>O57+1</f>
        <v>7</v>
      </c>
      <c r="P58" s="99">
        <f t="shared" si="10"/>
        <v>4</v>
      </c>
      <c r="Q58" s="76">
        <f>P58</f>
        <v>4</v>
      </c>
      <c r="R58" s="77">
        <f>VLOOKUP(Q58,STN_TABLE,2,FALSE)</f>
        <v>0</v>
      </c>
      <c r="S58" s="77">
        <v>8</v>
      </c>
      <c r="T58" s="76">
        <f>R58*S58</f>
        <v>0</v>
      </c>
      <c r="U58" s="80">
        <v>10</v>
      </c>
      <c r="V58" s="76">
        <f>R58*U58</f>
        <v>0</v>
      </c>
      <c r="W58" s="78" t="s">
        <v>97</v>
      </c>
      <c r="X58" s="78"/>
      <c r="Y58" s="78" t="s">
        <v>98</v>
      </c>
      <c r="Z58" s="78"/>
      <c r="AA58" s="7" t="s">
        <v>99</v>
      </c>
      <c r="AB58" s="7"/>
      <c r="AC58" s="99">
        <f>AC53+1</f>
        <v>6</v>
      </c>
      <c r="AD58" s="95">
        <f>VLOOKUP(AC58,STN_TABLE_2,2,FALSE)</f>
        <v>3</v>
      </c>
      <c r="AE58" s="68">
        <f>VLOOKUP(AD58,STN_TABLE,2,FALSE)</f>
        <v>0</v>
      </c>
      <c r="AF58" s="68">
        <v>1</v>
      </c>
      <c r="AG58" s="69">
        <f>AE58*AF58</f>
        <v>0</v>
      </c>
      <c r="AH58" s="513" t="s">
        <v>97</v>
      </c>
      <c r="AI58" s="513"/>
      <c r="AJ58" s="513" t="s">
        <v>98</v>
      </c>
      <c r="AK58" s="513"/>
      <c r="AL58" s="511" t="s">
        <v>99</v>
      </c>
      <c r="AM58" s="511"/>
      <c r="AP58" s="86" t="s">
        <v>112</v>
      </c>
      <c r="AQ58" s="89" t="s">
        <v>113</v>
      </c>
      <c r="AR58" s="89" t="s">
        <v>114</v>
      </c>
      <c r="AS58" s="89" t="s">
        <v>115</v>
      </c>
      <c r="AU58" s="81"/>
    </row>
    <row r="59" spans="1:47" x14ac:dyDescent="0.25">
      <c r="A59" s="84">
        <f>A58+1</f>
        <v>6</v>
      </c>
      <c r="B59" s="84">
        <f t="shared" si="11"/>
        <v>3</v>
      </c>
      <c r="C59" s="88">
        <f t="shared" ref="C59" si="17">B60</f>
        <v>4</v>
      </c>
      <c r="D59" s="82">
        <f>VLOOKUP(C59,STN_TABLE,2,FALSE)</f>
        <v>0</v>
      </c>
      <c r="E59" s="92">
        <v>1</v>
      </c>
      <c r="F59" s="82">
        <f>D59*E59</f>
        <v>0</v>
      </c>
      <c r="G59" s="83">
        <f>C59</f>
        <v>4</v>
      </c>
      <c r="H59" s="83">
        <f>F59*G59</f>
        <v>0</v>
      </c>
      <c r="I59" s="84" t="str">
        <f>CONCATENATE("a'(",C59,")=")</f>
        <v>a'(4)=</v>
      </c>
      <c r="J59" s="84" t="e">
        <f>2*J57/3*F60</f>
        <v>#VALUE!</v>
      </c>
      <c r="K59" s="84" t="str">
        <f>CONCATENATE("A(",C57,")=")</f>
        <v>A(2)=</v>
      </c>
      <c r="L59" s="84">
        <f>VLOOKUP(C57,STN_TABLE,3,FALSE)</f>
        <v>0</v>
      </c>
      <c r="M59" t="str">
        <f>CONCATENATE("A(",C59,")=")</f>
        <v>A(4)=</v>
      </c>
      <c r="N59" t="e">
        <f>J59+L59</f>
        <v>#VALUE!</v>
      </c>
      <c r="O59" s="99">
        <f>O58+1</f>
        <v>8</v>
      </c>
      <c r="P59" s="99">
        <f t="shared" si="10"/>
        <v>5</v>
      </c>
      <c r="Q59" s="82">
        <f>IF(P59-P58=P58-P57,P59,IF(P60-P58=P58-P57,P60,IF(P59-P58=P58-P56,P59,IF(P60-P58=P58-P56,P60,"-"))))</f>
        <v>5</v>
      </c>
      <c r="R59" s="83">
        <f>VLOOKUP(Q59,STN_TABLE,2,FALSE)</f>
        <v>0</v>
      </c>
      <c r="S59" s="83">
        <v>-1</v>
      </c>
      <c r="T59" s="82">
        <f>R59*S59</f>
        <v>0</v>
      </c>
      <c r="U59" s="88">
        <v>-1</v>
      </c>
      <c r="V59" s="82">
        <f>R59*U59</f>
        <v>0</v>
      </c>
      <c r="W59" s="84" t="str">
        <f>CONCATENATE("a'(",Q58,")=")</f>
        <v>a'(4)=</v>
      </c>
      <c r="X59" s="84">
        <f>2*X57/12*T60</f>
        <v>0</v>
      </c>
      <c r="Y59" s="84" t="str">
        <f>CONCATENATE("A(",Q57,")=")</f>
        <v>A(3)=</v>
      </c>
      <c r="Z59" s="84">
        <f>VLOOKUP(Q57,STN_TABLE,3,FALSE)</f>
        <v>0</v>
      </c>
      <c r="AA59" t="str">
        <f>CONCATENATE("A(",Q58,")=")</f>
        <v>A(4)=</v>
      </c>
      <c r="AB59">
        <f>X59+Z59</f>
        <v>0</v>
      </c>
      <c r="AC59" s="99">
        <f>AC58+1</f>
        <v>7</v>
      </c>
      <c r="AD59" s="100">
        <f>VLOOKUP(AC59,STN_TABLE_2,2,FALSE)</f>
        <v>4</v>
      </c>
      <c r="AE59" s="82">
        <f>VLOOKUP(AD59,STN_TABLE,2,FALSE)</f>
        <v>0</v>
      </c>
      <c r="AF59" s="82">
        <v>2</v>
      </c>
      <c r="AG59" s="83">
        <f>AE59*AF59</f>
        <v>0</v>
      </c>
      <c r="AH59" s="84" t="str">
        <f>CONCATENATE("a'(",AD59,")=")</f>
        <v>a'(4)=</v>
      </c>
      <c r="AI59" s="84">
        <f>2*AI57/2*AE60</f>
        <v>0</v>
      </c>
      <c r="AJ59" s="84" t="str">
        <f>CONCATENATE("A(",AD58,")=")</f>
        <v>A(3)=</v>
      </c>
      <c r="AK59" s="84">
        <f>VLOOKUP(AD58,STN_TABLE,3,FALSE)</f>
        <v>0</v>
      </c>
      <c r="AL59" t="str">
        <f>CONCATENATE("A(",AD59,")=")</f>
        <v>A(4)=</v>
      </c>
      <c r="AM59">
        <f>AI59+AK59</f>
        <v>0</v>
      </c>
      <c r="AO59" s="68" t="str">
        <f>AA59</f>
        <v>A(4)=</v>
      </c>
      <c r="AP59" s="68" t="e">
        <f>VLOOKUP(AO59,Rise_Results,2,FALSE)</f>
        <v>#N/A</v>
      </c>
      <c r="AQ59" s="76" t="e">
        <f>N59</f>
        <v>#VALUE!</v>
      </c>
      <c r="AR59" s="76" t="e">
        <f>IF(OR(AB59&lt;=0,AB60&lt;=0),1/0,AB59)</f>
        <v>#DIV/0!</v>
      </c>
      <c r="AS59" s="76">
        <f>AM59</f>
        <v>0</v>
      </c>
      <c r="AT59">
        <f>IFERROR(AP59,IFERROR(AQ59,IFERROR(AR59,AS59)))</f>
        <v>0</v>
      </c>
      <c r="AU59" s="81"/>
    </row>
    <row r="60" spans="1:47" x14ac:dyDescent="0.25">
      <c r="A60" s="84">
        <f>A59+1</f>
        <v>7</v>
      </c>
      <c r="B60" s="84">
        <f t="shared" si="11"/>
        <v>4</v>
      </c>
      <c r="F60" s="82">
        <f>SUM(F57:F59)</f>
        <v>0</v>
      </c>
      <c r="H60" s="82">
        <f>SUM(H57:H59)</f>
        <v>0</v>
      </c>
      <c r="I60" s="84" t="str">
        <f>CONCATENATE("m'(",C59,")=")</f>
        <v>m'(4)=</v>
      </c>
      <c r="J60" s="84" t="e">
        <f>2*(J57*(WLS))/3*H60</f>
        <v>#VALUE!</v>
      </c>
      <c r="K60" s="84" t="str">
        <f>CONCATENATE("M(",C57,")=")</f>
        <v>M(2)=</v>
      </c>
      <c r="L60" s="84">
        <f>VLOOKUP(C57,STN_TABLE,4,FALSE)</f>
        <v>0</v>
      </c>
      <c r="M60" t="str">
        <f>CONCATENATE("M(",C59,")=")</f>
        <v>M(4)=</v>
      </c>
      <c r="N60" t="e">
        <f>J60+L60</f>
        <v>#VALUE!</v>
      </c>
      <c r="O60" s="99">
        <f>O59+1</f>
        <v>9</v>
      </c>
      <c r="P60" s="99">
        <f t="shared" si="10"/>
        <v>5.6111111111111107</v>
      </c>
      <c r="T60" s="89">
        <f>SUM(T57:T59)</f>
        <v>0</v>
      </c>
      <c r="V60" s="82">
        <f>SUM(V57:V59)</f>
        <v>0</v>
      </c>
      <c r="W60" s="84" t="str">
        <f>CONCATENATE("m'(",Q58,")=")</f>
        <v>m'(4)=</v>
      </c>
      <c r="X60" s="84">
        <f>(2*(X57^2)/24*V60)+(X59*Q57*WLS)</f>
        <v>0</v>
      </c>
      <c r="Y60" s="84" t="str">
        <f>CONCATENATE("M(",Q57,")=")</f>
        <v>M(3)=</v>
      </c>
      <c r="Z60" s="84">
        <f>VLOOKUP(Q57,STN_TABLE,4,FALSE)</f>
        <v>0</v>
      </c>
      <c r="AA60" t="str">
        <f>CONCATENATE("M(",Q58,")=")</f>
        <v>M(4)=</v>
      </c>
      <c r="AB60">
        <f>X60+Z60</f>
        <v>0</v>
      </c>
      <c r="AE60" s="89">
        <f>SUM(AE58:AE59)</f>
        <v>0</v>
      </c>
      <c r="AG60" s="89">
        <f>SUM(AG58:AG59)</f>
        <v>0</v>
      </c>
      <c r="AH60" s="84" t="str">
        <f>CONCATENATE("m'(",AD59,")=")</f>
        <v>m'(4)=</v>
      </c>
      <c r="AI60" s="84">
        <f>(2*(AI57^2)/6*AG60)+(AI59*AD58*WLS)</f>
        <v>0</v>
      </c>
      <c r="AJ60" s="84" t="str">
        <f>CONCATENATE("M(",AD58,")=")</f>
        <v>M(3)=</v>
      </c>
      <c r="AK60" s="84">
        <f>VLOOKUP(AD57,STN_TABLE,4,FALSE)</f>
        <v>0</v>
      </c>
      <c r="AL60" t="str">
        <f>CONCATENATE("M(",AD59,")=")</f>
        <v>M(4)=</v>
      </c>
      <c r="AM60">
        <f>AI60+AK60</f>
        <v>0</v>
      </c>
      <c r="AO60" s="82" t="str">
        <f>AA60</f>
        <v>M(4)=</v>
      </c>
      <c r="AP60" s="82" t="e">
        <f>VLOOKUP(AO60,Rise_Results,2,FALSE)</f>
        <v>#N/A</v>
      </c>
      <c r="AQ60" s="82" t="e">
        <f>N60</f>
        <v>#VALUE!</v>
      </c>
      <c r="AR60" s="82" t="e">
        <f>IF(OR(AB59&lt;=0,AB60&lt;=0),1/0,AB60)</f>
        <v>#DIV/0!</v>
      </c>
      <c r="AS60" s="82">
        <f>AM60</f>
        <v>0</v>
      </c>
      <c r="AT60">
        <f>IFERROR(AP60,IFERROR(AQ60,IFERROR(AR60,AS60)))</f>
        <v>0</v>
      </c>
      <c r="AU60" s="81"/>
    </row>
    <row r="61" spans="1:47" x14ac:dyDescent="0.25">
      <c r="A61" s="101">
        <f>A56+1</f>
        <v>4</v>
      </c>
      <c r="B61" s="101">
        <f t="shared" si="11"/>
        <v>1.5</v>
      </c>
      <c r="O61" s="101">
        <f>O56+1</f>
        <v>6</v>
      </c>
      <c r="P61" s="101">
        <f t="shared" si="10"/>
        <v>3</v>
      </c>
      <c r="AU61" s="81"/>
    </row>
    <row r="62" spans="1:47" x14ac:dyDescent="0.25">
      <c r="A62" s="84">
        <f>A61+1</f>
        <v>5</v>
      </c>
      <c r="B62" s="84">
        <f t="shared" si="11"/>
        <v>2</v>
      </c>
      <c r="C62" s="79">
        <f t="shared" ref="C62" si="18">IF(C63=B64,IF(C64-C63=C63-B63,B63,IF(C64-C63=C63-B62,B62,"#NA")),IF(C63=B63,IF(C64-C63=C63-B62,B62,IF(C64-C63=C63-B61,B61,"#NA")),"#NA"))</f>
        <v>3</v>
      </c>
      <c r="D62" s="68">
        <f>VLOOKUP(C62,STN_TABLE,2,FALSE)</f>
        <v>0</v>
      </c>
      <c r="E62" s="102">
        <v>1</v>
      </c>
      <c r="F62" s="68">
        <f>D62*E62</f>
        <v>0</v>
      </c>
      <c r="G62" s="69">
        <f>C62</f>
        <v>3</v>
      </c>
      <c r="H62" s="69">
        <f>F62*G62</f>
        <v>0</v>
      </c>
      <c r="I62" s="6" t="s">
        <v>93</v>
      </c>
      <c r="J62" s="70" t="str">
        <f>IF(OR(D62=0,D63=0,D64=0),"#NA",IF(AND(C64-C63=C63-C62,C63&lt;&gt;C64,C62&lt;&gt;C63,C62&lt;&gt;C64,D64&lt;&gt;0,OR(D62&lt;&gt;0,D63&lt;&gt;0)),WLS*(C64-C63),"#NA"))</f>
        <v>#NA</v>
      </c>
      <c r="O62" s="99">
        <f>O61+1</f>
        <v>7</v>
      </c>
      <c r="P62" s="99">
        <f t="shared" si="10"/>
        <v>4</v>
      </c>
      <c r="Q62" s="68">
        <f>IF(OR(P64-P63=P63-P62,P65-P63=P63-P62),P62,IF(OR(P64-P63=P63-P61,P65-P63=P63-P61),P61,"-"))</f>
        <v>4</v>
      </c>
      <c r="R62" s="69">
        <f>VLOOKUP(Q62,STN_TABLE,2,FALSE)</f>
        <v>0</v>
      </c>
      <c r="S62" s="69">
        <v>5</v>
      </c>
      <c r="T62" s="68">
        <f>R62*S62</f>
        <v>0</v>
      </c>
      <c r="U62" s="79">
        <v>3</v>
      </c>
      <c r="V62" s="68">
        <f>R62*U62</f>
        <v>0</v>
      </c>
      <c r="W62" s="6" t="s">
        <v>93</v>
      </c>
      <c r="X62" s="70">
        <f>IF(AND(Q64-Q63=Q63-Q62,NOT(AND(Q62=0,Q63=0)),NOT(AND(Q63=0,Q64=0))),WLS*(Q64-Q63),"#NA")</f>
        <v>1.8</v>
      </c>
      <c r="AD62" s="93"/>
      <c r="AH62" s="6" t="s">
        <v>93</v>
      </c>
      <c r="AI62" s="70">
        <f>WLS*(AD64-AD63)</f>
        <v>1.8</v>
      </c>
      <c r="AU62" s="81"/>
    </row>
    <row r="63" spans="1:47" x14ac:dyDescent="0.25">
      <c r="A63" s="84">
        <f>A62+1</f>
        <v>6</v>
      </c>
      <c r="B63" s="84">
        <f t="shared" si="11"/>
        <v>3</v>
      </c>
      <c r="C63" s="80">
        <f t="shared" ref="C63" si="19">IF(OR(B65-B64=B64-B63,B65-B64=B64-B62,B65-B64=B64-B61),B64,IF(OR(B65-B63=B63-B62,B65-B63=B63-B61),B63,IF(B65-B62=B62-B61,B62,"#NA")))</f>
        <v>4</v>
      </c>
      <c r="D63" s="76">
        <f>VLOOKUP(C63,STN_TABLE,2,FALSE)</f>
        <v>0</v>
      </c>
      <c r="E63" s="81">
        <v>4</v>
      </c>
      <c r="F63" s="76">
        <f>D63*E63</f>
        <v>0</v>
      </c>
      <c r="G63" s="77">
        <f>C63</f>
        <v>4</v>
      </c>
      <c r="H63" s="77">
        <f>F63*G63</f>
        <v>0</v>
      </c>
      <c r="I63" s="512" t="s">
        <v>97</v>
      </c>
      <c r="J63" s="513"/>
      <c r="K63" s="78" t="s">
        <v>98</v>
      </c>
      <c r="L63" s="78"/>
      <c r="M63" s="7" t="s">
        <v>99</v>
      </c>
      <c r="N63" s="7"/>
      <c r="O63" s="99">
        <f>O62+1</f>
        <v>8</v>
      </c>
      <c r="P63" s="99">
        <f t="shared" si="10"/>
        <v>5</v>
      </c>
      <c r="Q63" s="76">
        <f>P63</f>
        <v>5</v>
      </c>
      <c r="R63" s="77">
        <f>VLOOKUP(Q63,STN_TABLE,2,FALSE)</f>
        <v>0</v>
      </c>
      <c r="S63" s="77">
        <v>8</v>
      </c>
      <c r="T63" s="76">
        <f>R63*S63</f>
        <v>0</v>
      </c>
      <c r="U63" s="80">
        <v>10</v>
      </c>
      <c r="V63" s="76">
        <f>R63*U63</f>
        <v>0</v>
      </c>
      <c r="W63" s="513" t="s">
        <v>97</v>
      </c>
      <c r="X63" s="513"/>
      <c r="Y63" s="513" t="s">
        <v>98</v>
      </c>
      <c r="Z63" s="513"/>
      <c r="AA63" s="511" t="s">
        <v>99</v>
      </c>
      <c r="AB63" s="511"/>
      <c r="AC63" s="99">
        <f>AC58+1</f>
        <v>7</v>
      </c>
      <c r="AD63" s="95">
        <f>VLOOKUP(AC63,STN_TABLE_2,2,FALSE)</f>
        <v>4</v>
      </c>
      <c r="AE63" s="68">
        <f>VLOOKUP(AD63,STN_TABLE,2,FALSE)</f>
        <v>0</v>
      </c>
      <c r="AF63" s="68">
        <v>1</v>
      </c>
      <c r="AG63" s="69">
        <f>AE63*AF63</f>
        <v>0</v>
      </c>
      <c r="AH63" s="513" t="s">
        <v>97</v>
      </c>
      <c r="AI63" s="513"/>
      <c r="AJ63" s="513" t="s">
        <v>98</v>
      </c>
      <c r="AK63" s="513"/>
      <c r="AL63" s="511" t="s">
        <v>99</v>
      </c>
      <c r="AM63" s="511"/>
      <c r="AP63" s="86" t="s">
        <v>112</v>
      </c>
      <c r="AQ63" s="89" t="s">
        <v>113</v>
      </c>
      <c r="AR63" s="89" t="s">
        <v>114</v>
      </c>
      <c r="AS63" s="89" t="s">
        <v>115</v>
      </c>
      <c r="AU63" s="81"/>
    </row>
    <row r="64" spans="1:47" x14ac:dyDescent="0.25">
      <c r="A64" s="84">
        <f>A63+1</f>
        <v>7</v>
      </c>
      <c r="B64" s="84">
        <f t="shared" si="11"/>
        <v>4</v>
      </c>
      <c r="C64" s="88">
        <f t="shared" ref="C64" si="20">B65</f>
        <v>5</v>
      </c>
      <c r="D64" s="82">
        <f>VLOOKUP(C64,STN_TABLE,2,FALSE)</f>
        <v>0</v>
      </c>
      <c r="E64" s="92">
        <v>1</v>
      </c>
      <c r="F64" s="82">
        <f>D64*E64</f>
        <v>0</v>
      </c>
      <c r="G64" s="83">
        <f>C64</f>
        <v>5</v>
      </c>
      <c r="H64" s="83">
        <f>F64*G64</f>
        <v>0</v>
      </c>
      <c r="I64" s="84" t="str">
        <f>CONCATENATE("a'(",C64,")=")</f>
        <v>a'(5)=</v>
      </c>
      <c r="J64" s="84" t="e">
        <f>2*J62/3*F65</f>
        <v>#VALUE!</v>
      </c>
      <c r="K64" s="84" t="str">
        <f>CONCATENATE("A(",C62,")=")</f>
        <v>A(3)=</v>
      </c>
      <c r="L64" s="84">
        <f>VLOOKUP(C62,STN_TABLE,3,FALSE)</f>
        <v>0</v>
      </c>
      <c r="M64" t="str">
        <f>CONCATENATE("A(",C64,")=")</f>
        <v>A(5)=</v>
      </c>
      <c r="N64" t="e">
        <f>J64+L64</f>
        <v>#VALUE!</v>
      </c>
      <c r="O64" s="99">
        <f>O63+1</f>
        <v>9</v>
      </c>
      <c r="P64" s="99">
        <f t="shared" si="10"/>
        <v>5.6111111111111107</v>
      </c>
      <c r="Q64" s="82">
        <f>IF(P64-P63=P63-P62,P64,IF(P65-P63=P63-P62,P65,IF(P64-P63=P63-P61,P64,IF(P65-P63=P63-P61,P65,"-"))))</f>
        <v>6</v>
      </c>
      <c r="R64" s="83">
        <f>VLOOKUP(Q64,STN_TABLE,2,FALSE)</f>
        <v>6.2</v>
      </c>
      <c r="S64" s="83">
        <v>-1</v>
      </c>
      <c r="T64" s="82">
        <f>R64*S64</f>
        <v>-6.2</v>
      </c>
      <c r="U64" s="88">
        <v>-1</v>
      </c>
      <c r="V64" s="82">
        <f>R64*U64</f>
        <v>-6.2</v>
      </c>
      <c r="W64" s="84" t="str">
        <f>CONCATENATE("a'(",Q63,")=")</f>
        <v>a'(5)=</v>
      </c>
      <c r="X64" s="84">
        <f>2*X62/12*T65</f>
        <v>-1.8599999999999999</v>
      </c>
      <c r="Y64" s="84" t="str">
        <f>CONCATENATE("A(",Q62,")=")</f>
        <v>A(4)=</v>
      </c>
      <c r="Z64" s="84">
        <f>VLOOKUP(Q62,STN_TABLE,3,FALSE)</f>
        <v>0</v>
      </c>
      <c r="AA64" t="str">
        <f>CONCATENATE("A(",Q63,")=")</f>
        <v>A(5)=</v>
      </c>
      <c r="AB64">
        <f>X64+Z64</f>
        <v>-1.8599999999999999</v>
      </c>
      <c r="AC64" s="99">
        <f>AC63+1</f>
        <v>8</v>
      </c>
      <c r="AD64" s="100">
        <f>VLOOKUP(AC64,STN_TABLE_2,2,FALSE)</f>
        <v>5</v>
      </c>
      <c r="AE64" s="82">
        <f>VLOOKUP(AD64,STN_TABLE,2,FALSE)</f>
        <v>0</v>
      </c>
      <c r="AF64" s="82">
        <v>2</v>
      </c>
      <c r="AG64" s="83">
        <f>AE64*AF64</f>
        <v>0</v>
      </c>
      <c r="AH64" s="84" t="str">
        <f>CONCATENATE("a'(",AD64,")=")</f>
        <v>a'(5)=</v>
      </c>
      <c r="AI64" s="84">
        <f>2*AI62/2*AE65</f>
        <v>0</v>
      </c>
      <c r="AJ64" s="84" t="str">
        <f>CONCATENATE("A(",AD63,")=")</f>
        <v>A(4)=</v>
      </c>
      <c r="AK64" s="84">
        <f>VLOOKUP(AD63,STN_TABLE,3,FALSE)</f>
        <v>0</v>
      </c>
      <c r="AL64" t="str">
        <f>CONCATENATE("A(",AD64,")=")</f>
        <v>A(5)=</v>
      </c>
      <c r="AM64">
        <f>AI64+AK64</f>
        <v>0</v>
      </c>
      <c r="AO64" s="68" t="str">
        <f>AA64</f>
        <v>A(5)=</v>
      </c>
      <c r="AP64" s="68" t="e">
        <f>VLOOKUP(AO64,Rise_Results,2,FALSE)</f>
        <v>#N/A</v>
      </c>
      <c r="AQ64" s="76" t="e">
        <f>N64</f>
        <v>#VALUE!</v>
      </c>
      <c r="AR64" s="76" t="e">
        <f>IF(OR(AB64&lt;=0,AB65&lt;=0),1/0,AB64)</f>
        <v>#DIV/0!</v>
      </c>
      <c r="AS64" s="76">
        <f>AM64</f>
        <v>0</v>
      </c>
      <c r="AT64">
        <f>IFERROR(AP64,IFERROR(AQ64,IFERROR(AR64,AS64)))</f>
        <v>0</v>
      </c>
      <c r="AU64" s="81"/>
    </row>
    <row r="65" spans="1:47" x14ac:dyDescent="0.25">
      <c r="A65" s="84">
        <f>A64+1</f>
        <v>8</v>
      </c>
      <c r="B65" s="84">
        <f t="shared" si="11"/>
        <v>5</v>
      </c>
      <c r="F65" s="82">
        <f>SUM(F62:F64)</f>
        <v>0</v>
      </c>
      <c r="H65" s="82">
        <f>SUM(H62:H64)</f>
        <v>0</v>
      </c>
      <c r="I65" s="84" t="str">
        <f>CONCATENATE("m'(",C64,")=")</f>
        <v>m'(5)=</v>
      </c>
      <c r="J65" s="84" t="e">
        <f>2*(J62*(WLS))/3*H65</f>
        <v>#VALUE!</v>
      </c>
      <c r="K65" s="84" t="str">
        <f>CONCATENATE("M(",C62,")=")</f>
        <v>M(3)=</v>
      </c>
      <c r="L65" s="84">
        <f>VLOOKUP(C62,STN_TABLE,4,FALSE)</f>
        <v>0</v>
      </c>
      <c r="M65" t="str">
        <f>CONCATENATE("M(",C64,")=")</f>
        <v>M(5)=</v>
      </c>
      <c r="N65" t="e">
        <f>J65+L65</f>
        <v>#VALUE!</v>
      </c>
      <c r="O65" s="99">
        <f>O64+1</f>
        <v>10</v>
      </c>
      <c r="P65" s="99">
        <f t="shared" si="10"/>
        <v>6</v>
      </c>
      <c r="T65" s="89">
        <f>SUM(T62:T64)</f>
        <v>-6.2</v>
      </c>
      <c r="V65" s="82">
        <f>SUM(V62:V64)</f>
        <v>-6.2</v>
      </c>
      <c r="W65" s="84" t="str">
        <f>CONCATENATE("m'(",Q63,")=")</f>
        <v>m'(5)=</v>
      </c>
      <c r="X65" s="84">
        <f>(2*(X62^2)/24*V65)+(X64*Q62*WLS)</f>
        <v>-15.065999999999999</v>
      </c>
      <c r="Y65" s="84" t="str">
        <f>CONCATENATE("M(",Q62,")=")</f>
        <v>M(4)=</v>
      </c>
      <c r="Z65" s="84">
        <f>VLOOKUP(Q62,STN_TABLE,4,FALSE)</f>
        <v>0</v>
      </c>
      <c r="AA65" t="str">
        <f>CONCATENATE("M(",Q63,")=")</f>
        <v>M(5)=</v>
      </c>
      <c r="AB65">
        <f>X65+Z65</f>
        <v>-15.065999999999999</v>
      </c>
      <c r="AE65" s="89">
        <f>SUM(AE63:AE64)</f>
        <v>0</v>
      </c>
      <c r="AG65" s="89">
        <f>SUM(AG63:AG64)</f>
        <v>0</v>
      </c>
      <c r="AH65" s="84" t="str">
        <f>CONCATENATE("m'(",AD64,")=")</f>
        <v>m'(5)=</v>
      </c>
      <c r="AI65" s="84">
        <f>(2*(AI62^2)/6*AG65)+(AI64*AD63*WLS)</f>
        <v>0</v>
      </c>
      <c r="AJ65" s="84" t="str">
        <f>CONCATENATE("M(",AD63,")=")</f>
        <v>M(4)=</v>
      </c>
      <c r="AK65" s="84">
        <f>VLOOKUP(AD63,STN_TABLE,4,FALSE)</f>
        <v>0</v>
      </c>
      <c r="AL65" t="str">
        <f>CONCATENATE("M(",AD64,")=")</f>
        <v>M(5)=</v>
      </c>
      <c r="AM65">
        <f>AI65+AK65</f>
        <v>0</v>
      </c>
      <c r="AO65" s="82" t="str">
        <f>AA65</f>
        <v>M(5)=</v>
      </c>
      <c r="AP65" s="82" t="e">
        <f>VLOOKUP(AO65,Rise_Results,2,FALSE)</f>
        <v>#N/A</v>
      </c>
      <c r="AQ65" s="82" t="e">
        <f>N65</f>
        <v>#VALUE!</v>
      </c>
      <c r="AR65" s="82" t="e">
        <f>IF(OR(AB64&lt;=0,AB65&lt;=0),1/0,AB65)</f>
        <v>#DIV/0!</v>
      </c>
      <c r="AS65" s="82">
        <f>AM65</f>
        <v>0</v>
      </c>
      <c r="AT65">
        <f>IFERROR(AP65,IFERROR(AQ65,IFERROR(AR65,AS65)))</f>
        <v>0</v>
      </c>
      <c r="AU65" s="81"/>
    </row>
    <row r="66" spans="1:47" x14ac:dyDescent="0.25">
      <c r="A66" s="101">
        <f>A61+1</f>
        <v>5</v>
      </c>
      <c r="B66" s="101">
        <f t="shared" si="11"/>
        <v>2</v>
      </c>
      <c r="O66" s="101">
        <f>O61+1</f>
        <v>7</v>
      </c>
      <c r="P66" s="101">
        <f t="shared" si="10"/>
        <v>4</v>
      </c>
      <c r="AU66" s="81"/>
    </row>
    <row r="67" spans="1:47" x14ac:dyDescent="0.25">
      <c r="A67" s="84">
        <f>A66+1</f>
        <v>6</v>
      </c>
      <c r="B67" s="84">
        <f t="shared" si="11"/>
        <v>3</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5</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1.0999999999999994</v>
      </c>
      <c r="AU67" s="81"/>
    </row>
    <row r="68" spans="1:47" x14ac:dyDescent="0.25">
      <c r="A68" s="84">
        <f>A67+1</f>
        <v>7</v>
      </c>
      <c r="B68" s="84">
        <f t="shared" si="11"/>
        <v>4</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512" t="s">
        <v>97</v>
      </c>
      <c r="J68" s="513"/>
      <c r="K68" s="78" t="s">
        <v>98</v>
      </c>
      <c r="L68" s="78"/>
      <c r="M68" s="7" t="s">
        <v>99</v>
      </c>
      <c r="N68" s="7"/>
      <c r="O68" s="99">
        <f>O67+1</f>
        <v>9</v>
      </c>
      <c r="P68" s="99">
        <f t="shared" ref="P68:P99" si="23">VLOOKUP(O68,STN_TABLE_2,2,FALSE)</f>
        <v>5.6111111111111107</v>
      </c>
      <c r="Q68" s="76">
        <f>P68</f>
        <v>5.6111111111111107</v>
      </c>
      <c r="R68" s="77">
        <f>VLOOKUP(Q68,STN_TABLE,2,FALSE)</f>
        <v>2.8919999999999999</v>
      </c>
      <c r="S68" s="77">
        <v>8</v>
      </c>
      <c r="T68" s="76">
        <f>R68*S68</f>
        <v>23.135999999999999</v>
      </c>
      <c r="U68" s="80">
        <v>10</v>
      </c>
      <c r="V68" s="76">
        <f>R68*U68</f>
        <v>28.919999999999998</v>
      </c>
      <c r="W68" s="513" t="s">
        <v>97</v>
      </c>
      <c r="X68" s="513"/>
      <c r="Y68" s="513" t="s">
        <v>98</v>
      </c>
      <c r="Z68" s="513"/>
      <c r="AA68" s="511" t="s">
        <v>99</v>
      </c>
      <c r="AB68" s="511"/>
      <c r="AC68" s="99">
        <f>AC63+1</f>
        <v>8</v>
      </c>
      <c r="AD68" s="95">
        <f>VLOOKUP(AC68,STN_TABLE_2,2,FALSE)</f>
        <v>5</v>
      </c>
      <c r="AE68" s="68">
        <f>VLOOKUP(AD68,STN_TABLE,2,FALSE)</f>
        <v>0</v>
      </c>
      <c r="AF68" s="68">
        <v>1</v>
      </c>
      <c r="AG68" s="69">
        <f>AE68*AF68</f>
        <v>0</v>
      </c>
      <c r="AH68" s="513" t="s">
        <v>97</v>
      </c>
      <c r="AI68" s="513"/>
      <c r="AJ68" s="513" t="s">
        <v>98</v>
      </c>
      <c r="AK68" s="513"/>
      <c r="AL68" s="511" t="s">
        <v>99</v>
      </c>
      <c r="AM68" s="511"/>
      <c r="AP68" s="86" t="s">
        <v>112</v>
      </c>
      <c r="AQ68" s="89" t="s">
        <v>113</v>
      </c>
      <c r="AR68" s="89" t="s">
        <v>114</v>
      </c>
      <c r="AS68" s="89" t="s">
        <v>115</v>
      </c>
      <c r="AU68" s="81"/>
    </row>
    <row r="69" spans="1:47" x14ac:dyDescent="0.25">
      <c r="A69" s="84">
        <f>A68+1</f>
        <v>8</v>
      </c>
      <c r="B69" s="84">
        <f t="shared" si="11"/>
        <v>5</v>
      </c>
      <c r="C69" s="88">
        <f t="shared" ref="C69" si="24">B70</f>
        <v>5.6111111111111107</v>
      </c>
      <c r="D69" s="82">
        <f>VLOOKUP(C69,STN_TABLE,2,FALSE)</f>
        <v>2.8919999999999999</v>
      </c>
      <c r="E69" s="92">
        <v>1</v>
      </c>
      <c r="F69" s="82">
        <f>D69*E69</f>
        <v>2.8919999999999999</v>
      </c>
      <c r="G69" s="83">
        <f>C69</f>
        <v>5.6111111111111107</v>
      </c>
      <c r="H69" s="83">
        <f>F69*G69</f>
        <v>16.227333333333331</v>
      </c>
      <c r="I69" s="84" t="str">
        <f>CONCATENATE("a'(",C69,")=")</f>
        <v>a'(5.61111111111111)=</v>
      </c>
      <c r="J69" s="84" t="e">
        <f>2*J67/3*F70</f>
        <v>#N/A</v>
      </c>
      <c r="K69" s="84" t="str">
        <f>CONCATENATE("A(",C67,")=")</f>
        <v>A(#NA)=</v>
      </c>
      <c r="L69" s="84" t="e">
        <f>VLOOKUP(C67,STN_TABLE,3,FALSE)</f>
        <v>#N/A</v>
      </c>
      <c r="M69" t="str">
        <f>CONCATENATE("A(",C69,")=")</f>
        <v>A(5.61111111111111)=</v>
      </c>
      <c r="N69" t="e">
        <f>J69+L69</f>
        <v>#N/A</v>
      </c>
      <c r="O69" s="99">
        <f>O68+1</f>
        <v>10</v>
      </c>
      <c r="P69" s="99">
        <f t="shared" si="23"/>
        <v>6</v>
      </c>
      <c r="Q69" s="82" t="str">
        <f>IF(P69-P68=P68-P67,P69,IF(P70-P68=P68-P67,P70,IF(P69-P68=P68-P66,P69,IF(P70-P68=P68-P66,P70,"-"))))</f>
        <v>-</v>
      </c>
      <c r="R69" s="83" t="e">
        <f>VLOOKUP(Q69,STN_TABLE,2,FALSE)</f>
        <v>#N/A</v>
      </c>
      <c r="S69" s="83">
        <v>-1</v>
      </c>
      <c r="T69" s="82" t="e">
        <f>R69*S69</f>
        <v>#N/A</v>
      </c>
      <c r="U69" s="88">
        <v>-1</v>
      </c>
      <c r="V69" s="82" t="e">
        <f>R69*U69</f>
        <v>#N/A</v>
      </c>
      <c r="W69" s="84" t="str">
        <f>CONCATENATE("a'(",Q68,")=")</f>
        <v>a'(5.61111111111111)=</v>
      </c>
      <c r="X69" s="84" t="e">
        <f>2*X67/12*T70</f>
        <v>#VALUE!</v>
      </c>
      <c r="Y69" s="84" t="str">
        <f>CONCATENATE("A(",Q67,")=")</f>
        <v>A(-)=</v>
      </c>
      <c r="Z69" s="84" t="e">
        <f>VLOOKUP(Q67,STN_TABLE,3,FALSE)</f>
        <v>#N/A</v>
      </c>
      <c r="AA69" t="str">
        <f>CONCATENATE("A(",Q68,")=")</f>
        <v>A(5.61111111111111)=</v>
      </c>
      <c r="AB69" t="e">
        <f>X69+Z69</f>
        <v>#VALUE!</v>
      </c>
      <c r="AC69" s="99">
        <f>AC68+1</f>
        <v>9</v>
      </c>
      <c r="AD69" s="100">
        <f>VLOOKUP(AC69,STN_TABLE_2,2,FALSE)</f>
        <v>5.6111111111111107</v>
      </c>
      <c r="AE69" s="82">
        <f>VLOOKUP(AD69,STN_TABLE,2,FALSE)</f>
        <v>2.8919999999999999</v>
      </c>
      <c r="AF69" s="82">
        <v>2</v>
      </c>
      <c r="AG69" s="83">
        <f>AE69*AF69</f>
        <v>5.7839999999999998</v>
      </c>
      <c r="AH69" s="84" t="str">
        <f>CONCATENATE("a'(",AD69,")=")</f>
        <v>a'(5.61111111111111)=</v>
      </c>
      <c r="AI69" s="84">
        <f>2*AI67/2*AE70</f>
        <v>3.1811999999999983</v>
      </c>
      <c r="AJ69" s="84" t="str">
        <f>CONCATENATE("A(",AD68,")=")</f>
        <v>A(5)=</v>
      </c>
      <c r="AK69" s="84">
        <f>VLOOKUP(AD68,STN_TABLE,3,FALSE)</f>
        <v>0</v>
      </c>
      <c r="AL69" t="str">
        <f>CONCATENATE("A(",AD69,")=")</f>
        <v>A(5.61111111111111)=</v>
      </c>
      <c r="AM69">
        <f>AI69+AK69</f>
        <v>3.1811999999999983</v>
      </c>
      <c r="AO69" s="68" t="str">
        <f>AA69</f>
        <v>A(5.61111111111111)=</v>
      </c>
      <c r="AP69" s="68">
        <f>VLOOKUP(AO69,Rise_Results,2,FALSE)</f>
        <v>0.57839999999999792</v>
      </c>
      <c r="AQ69" s="76" t="e">
        <f>N69</f>
        <v>#N/A</v>
      </c>
      <c r="AR69" s="76" t="e">
        <f>IF(OR(AB69&lt;=0,AB70&lt;=0),1/0,AB69)</f>
        <v>#VALUE!</v>
      </c>
      <c r="AS69" s="76">
        <f>AM69</f>
        <v>3.1811999999999983</v>
      </c>
      <c r="AT69">
        <f>IFERROR(AP69,IFERROR(AQ69,IFERROR(AR69,AS69)))</f>
        <v>0.57839999999999792</v>
      </c>
      <c r="AU69" s="81"/>
    </row>
    <row r="70" spans="1:47" x14ac:dyDescent="0.25">
      <c r="A70" s="84">
        <f>A69+1</f>
        <v>9</v>
      </c>
      <c r="B70" s="84">
        <f t="shared" si="11"/>
        <v>5.6111111111111107</v>
      </c>
      <c r="F70" s="82" t="e">
        <f>SUM(F67:F69)</f>
        <v>#N/A</v>
      </c>
      <c r="H70" s="82" t="e">
        <f>SUM(H67:H69)</f>
        <v>#N/A</v>
      </c>
      <c r="I70" s="84" t="str">
        <f>CONCATENATE("m'(",C69,")=")</f>
        <v>m'(5.61111111111111)=</v>
      </c>
      <c r="J70" s="84" t="e">
        <f>2*(J67*(WLS))/3*H70</f>
        <v>#N/A</v>
      </c>
      <c r="K70" s="84" t="str">
        <f>CONCATENATE("M(",C67,")=")</f>
        <v>M(#NA)=</v>
      </c>
      <c r="L70" s="84" t="e">
        <f>VLOOKUP(C67,STN_TABLE,4,FALSE)</f>
        <v>#N/A</v>
      </c>
      <c r="M70" t="str">
        <f>CONCATENATE("M(",C69,")=")</f>
        <v>M(5.61111111111111)=</v>
      </c>
      <c r="N70" t="e">
        <f>J70+L70</f>
        <v>#N/A</v>
      </c>
      <c r="O70" s="99">
        <f>O69+1</f>
        <v>11</v>
      </c>
      <c r="P70" s="99">
        <f t="shared" si="23"/>
        <v>7</v>
      </c>
      <c r="T70" s="89" t="e">
        <f>SUM(T67:T69)</f>
        <v>#N/A</v>
      </c>
      <c r="V70" s="82" t="e">
        <f>SUM(V67:V69)</f>
        <v>#N/A</v>
      </c>
      <c r="W70" s="84" t="str">
        <f>CONCATENATE("m'(",Q68,")=")</f>
        <v>m'(5.61111111111111)=</v>
      </c>
      <c r="X70" s="84" t="e">
        <f>(2*(X67^2)/24*V70)+(X69*Q67*WLS)</f>
        <v>#VALUE!</v>
      </c>
      <c r="Y70" s="84" t="str">
        <f>CONCATENATE("M(",Q67,")=")</f>
        <v>M(-)=</v>
      </c>
      <c r="Z70" s="84" t="e">
        <f>VLOOKUP(Q67,STN_TABLE,4,FALSE)</f>
        <v>#N/A</v>
      </c>
      <c r="AA70" t="str">
        <f>CONCATENATE("M(",Q68,")=")</f>
        <v>M(5.61111111111111)=</v>
      </c>
      <c r="AB70" t="e">
        <f>X70+Z70</f>
        <v>#VALUE!</v>
      </c>
      <c r="AE70" s="89">
        <f>SUM(AE68:AE69)</f>
        <v>2.8919999999999999</v>
      </c>
      <c r="AG70" s="89">
        <f>SUM(AG68:AG69)</f>
        <v>5.7839999999999998</v>
      </c>
      <c r="AH70" s="84" t="str">
        <f>CONCATENATE("m'(",AD69,")=")</f>
        <v>m'(5.61111111111111)=</v>
      </c>
      <c r="AI70" s="84">
        <f>(2*(AI67^2)/6*AG70)+(AI69*AD68*WLS)</f>
        <v>30.963679999999982</v>
      </c>
      <c r="AJ70" s="84" t="str">
        <f>CONCATENATE("M(",AD68,")=")</f>
        <v>M(5)=</v>
      </c>
      <c r="AK70" s="84">
        <f>VLOOKUP(AD68,STN_TABLE,4,FALSE)</f>
        <v>0</v>
      </c>
      <c r="AL70" t="str">
        <f>CONCATENATE("M(",AD69,")=")</f>
        <v>M(5.61111111111111)=</v>
      </c>
      <c r="AM70">
        <f>AI70+AK70</f>
        <v>30.963679999999982</v>
      </c>
      <c r="AO70" s="82" t="str">
        <f>AA70</f>
        <v>M(5.61111111111111)=</v>
      </c>
      <c r="AP70" s="82">
        <f>VLOOKUP(AO70,Rise_Results,2,FALSE)</f>
        <v>5.8032799999999796</v>
      </c>
      <c r="AQ70" s="82" t="e">
        <f>N70</f>
        <v>#N/A</v>
      </c>
      <c r="AR70" s="82" t="e">
        <f>IF(OR(AB69&lt;=0,AB70&lt;=0),1/0,AB70)</f>
        <v>#VALUE!</v>
      </c>
      <c r="AS70" s="82">
        <f>AM70</f>
        <v>30.963679999999982</v>
      </c>
      <c r="AT70">
        <f>IFERROR(AP70,IFERROR(AQ70,IFERROR(AR70,AS70)))</f>
        <v>5.8032799999999796</v>
      </c>
      <c r="AU70" s="81"/>
    </row>
    <row r="71" spans="1:47" x14ac:dyDescent="0.25">
      <c r="A71" s="101">
        <f>A66+1</f>
        <v>6</v>
      </c>
      <c r="B71" s="101">
        <f t="shared" si="11"/>
        <v>3</v>
      </c>
      <c r="O71" s="101">
        <f>O66+1</f>
        <v>8</v>
      </c>
      <c r="P71" s="101">
        <f t="shared" si="23"/>
        <v>5</v>
      </c>
      <c r="AU71" s="81"/>
    </row>
    <row r="72" spans="1:47" x14ac:dyDescent="0.25">
      <c r="A72" s="84">
        <f>A71+1</f>
        <v>7</v>
      </c>
      <c r="B72" s="84">
        <f t="shared" si="11"/>
        <v>4</v>
      </c>
      <c r="C72" s="79">
        <f t="shared" ref="C72" si="25">IF(C73=B74,IF(C74-C73=C73-B73,B73,IF(C74-C73=C73-B72,B72,"#NA")),IF(C73=B73,IF(C74-C73=C73-B72,B72,IF(C74-C73=C73-B71,B71,"#NA")),"#NA"))</f>
        <v>4</v>
      </c>
      <c r="D72" s="68">
        <f>VLOOKUP(C72,STN_TABLE,2,FALSE)</f>
        <v>0</v>
      </c>
      <c r="E72" s="102">
        <v>1</v>
      </c>
      <c r="F72" s="68">
        <f>D72*E72</f>
        <v>0</v>
      </c>
      <c r="G72" s="69">
        <f>C72</f>
        <v>4</v>
      </c>
      <c r="H72" s="69">
        <f>F72*G72</f>
        <v>0</v>
      </c>
      <c r="I72" s="6" t="s">
        <v>93</v>
      </c>
      <c r="J72" s="70" t="str">
        <f>IF(OR(D72=0,D73=0,D74=0),"#NA",IF(AND(C74-C73=C73-C72,C73&lt;&gt;C74,C72&lt;&gt;C73,C72&lt;&gt;C74,D74&lt;&gt;0,OR(D72&lt;&gt;0,D73&lt;&gt;0)),WLS*(C74-C73),"#NA"))</f>
        <v>#NA</v>
      </c>
      <c r="O72" s="99">
        <f>O71+1</f>
        <v>9</v>
      </c>
      <c r="P72" s="99">
        <f t="shared" si="23"/>
        <v>5.6111111111111107</v>
      </c>
      <c r="Q72" s="68">
        <f>IF(OR(P74-P73=P73-P72,P75-P73=P73-P72),P72,IF(OR(P74-P73=P73-P71,P75-P73=P73-P71),P71,"-"))</f>
        <v>5</v>
      </c>
      <c r="R72" s="69">
        <f>VLOOKUP(Q72,STN_TABLE,2,FALSE)</f>
        <v>0</v>
      </c>
      <c r="S72" s="69">
        <v>5</v>
      </c>
      <c r="T72" s="68">
        <f>R72*S72</f>
        <v>0</v>
      </c>
      <c r="U72" s="79">
        <v>3</v>
      </c>
      <c r="V72" s="68">
        <f>R72*U72</f>
        <v>0</v>
      </c>
      <c r="W72" s="6" t="s">
        <v>93</v>
      </c>
      <c r="X72" s="70">
        <f>IF(AND(Q74-Q73=Q73-Q72,NOT(AND(Q72=0,Q73=0)),NOT(AND(Q73=0,Q74=0))),WLS*(Q74-Q73),"#NA")</f>
        <v>1.8</v>
      </c>
      <c r="AD72" s="93"/>
      <c r="AH72" s="6" t="s">
        <v>93</v>
      </c>
      <c r="AI72" s="70">
        <f>WLS*(AD74-AD73)</f>
        <v>0.70000000000000073</v>
      </c>
      <c r="AU72" s="81"/>
    </row>
    <row r="73" spans="1:47" x14ac:dyDescent="0.25">
      <c r="A73" s="84">
        <f>A72+1</f>
        <v>8</v>
      </c>
      <c r="B73" s="84">
        <f t="shared" si="11"/>
        <v>5</v>
      </c>
      <c r="C73" s="80">
        <f t="shared" ref="C73" si="26">IF(OR(B75-B74=B74-B73,B75-B74=B74-B72,B75-B74=B74-B71),B74,IF(OR(B75-B73=B73-B72,B75-B73=B73-B71),B73,IF(B75-B72=B72-B71,B72,"#NA")))</f>
        <v>5</v>
      </c>
      <c r="D73" s="76">
        <f>VLOOKUP(C73,STN_TABLE,2,FALSE)</f>
        <v>0</v>
      </c>
      <c r="E73" s="81">
        <v>4</v>
      </c>
      <c r="F73" s="76">
        <f>D73*E73</f>
        <v>0</v>
      </c>
      <c r="G73" s="77">
        <f>C73</f>
        <v>5</v>
      </c>
      <c r="H73" s="77">
        <f>F73*G73</f>
        <v>0</v>
      </c>
      <c r="I73" s="512" t="s">
        <v>97</v>
      </c>
      <c r="J73" s="513"/>
      <c r="K73" s="78" t="s">
        <v>98</v>
      </c>
      <c r="L73" s="78"/>
      <c r="M73" s="7" t="s">
        <v>99</v>
      </c>
      <c r="N73" s="7"/>
      <c r="O73" s="99">
        <f>O72+1</f>
        <v>10</v>
      </c>
      <c r="P73" s="99">
        <f t="shared" si="23"/>
        <v>6</v>
      </c>
      <c r="Q73" s="76">
        <f>P73</f>
        <v>6</v>
      </c>
      <c r="R73" s="77">
        <f>VLOOKUP(Q73,STN_TABLE,2,FALSE)</f>
        <v>6.2</v>
      </c>
      <c r="S73" s="77">
        <v>8</v>
      </c>
      <c r="T73" s="76">
        <f>R73*S73</f>
        <v>49.6</v>
      </c>
      <c r="U73" s="80">
        <v>10</v>
      </c>
      <c r="V73" s="76">
        <f>R73*U73</f>
        <v>62</v>
      </c>
      <c r="W73" s="513" t="s">
        <v>97</v>
      </c>
      <c r="X73" s="513"/>
      <c r="Y73" s="513" t="s">
        <v>98</v>
      </c>
      <c r="Z73" s="513"/>
      <c r="AA73" s="511" t="s">
        <v>99</v>
      </c>
      <c r="AB73" s="511"/>
      <c r="AC73" s="99">
        <f>AC68+1</f>
        <v>9</v>
      </c>
      <c r="AD73" s="95">
        <f>VLOOKUP(AC73,STN_TABLE_2,2,FALSE)</f>
        <v>5.6111111111111107</v>
      </c>
      <c r="AE73" s="68">
        <f>VLOOKUP(AD73,STN_TABLE,2,FALSE)</f>
        <v>2.8919999999999999</v>
      </c>
      <c r="AF73" s="68">
        <v>1</v>
      </c>
      <c r="AG73" s="69">
        <f>AE73*AF73</f>
        <v>2.8919999999999999</v>
      </c>
      <c r="AH73" s="513" t="s">
        <v>97</v>
      </c>
      <c r="AI73" s="513"/>
      <c r="AJ73" s="513" t="s">
        <v>98</v>
      </c>
      <c r="AK73" s="513"/>
      <c r="AL73" s="511" t="s">
        <v>99</v>
      </c>
      <c r="AM73" s="511"/>
      <c r="AP73" s="86" t="s">
        <v>112</v>
      </c>
      <c r="AQ73" s="89" t="s">
        <v>113</v>
      </c>
      <c r="AR73" s="89" t="s">
        <v>114</v>
      </c>
      <c r="AS73" s="89" t="s">
        <v>115</v>
      </c>
      <c r="AU73" s="81"/>
    </row>
    <row r="74" spans="1:47" x14ac:dyDescent="0.25">
      <c r="A74" s="84">
        <f>A73+1</f>
        <v>9</v>
      </c>
      <c r="B74" s="84">
        <f t="shared" ref="B74:B105" si="27">VLOOKUP(A74,STN_TABLE_2,2,FALSE)</f>
        <v>5.6111111111111107</v>
      </c>
      <c r="C74" s="88">
        <f t="shared" ref="C74" si="28">B75</f>
        <v>6</v>
      </c>
      <c r="D74" s="82">
        <f>VLOOKUP(C74,STN_TABLE,2,FALSE)</f>
        <v>6.2</v>
      </c>
      <c r="E74" s="92">
        <v>1</v>
      </c>
      <c r="F74" s="82">
        <f>D74*E74</f>
        <v>6.2</v>
      </c>
      <c r="G74" s="83">
        <f>C74</f>
        <v>6</v>
      </c>
      <c r="H74" s="83">
        <f>F74*G74</f>
        <v>37.200000000000003</v>
      </c>
      <c r="I74" s="84" t="str">
        <f>CONCATENATE("a'(",C74,")=")</f>
        <v>a'(6)=</v>
      </c>
      <c r="J74" s="84" t="e">
        <f>2*J72/3*F75</f>
        <v>#VALUE!</v>
      </c>
      <c r="K74" s="84" t="str">
        <f>CONCATENATE("A(",C72,")=")</f>
        <v>A(4)=</v>
      </c>
      <c r="L74" s="84">
        <f>VLOOKUP(C72,STN_TABLE,3,FALSE)</f>
        <v>0</v>
      </c>
      <c r="M74" t="str">
        <f>CONCATENATE("A(",C74,")=")</f>
        <v>A(6)=</v>
      </c>
      <c r="N74" t="e">
        <f>J74+L74</f>
        <v>#VALUE!</v>
      </c>
      <c r="O74" s="99">
        <f>O73+1</f>
        <v>11</v>
      </c>
      <c r="P74" s="99">
        <f t="shared" si="23"/>
        <v>7</v>
      </c>
      <c r="Q74" s="82">
        <f>IF(P74-P73=P73-P72,P74,IF(P75-P73=P73-P72,P75,IF(P74-P73=P73-P71,P74,IF(P75-P73=P73-P71,P75,"-"))))</f>
        <v>7</v>
      </c>
      <c r="R74" s="83">
        <f>VLOOKUP(Q74,STN_TABLE,2,FALSE)</f>
        <v>9.6</v>
      </c>
      <c r="S74" s="83">
        <v>-1</v>
      </c>
      <c r="T74" s="82">
        <f>R74*S74</f>
        <v>-9.6</v>
      </c>
      <c r="U74" s="88">
        <v>-1</v>
      </c>
      <c r="V74" s="82">
        <f>R74*U74</f>
        <v>-9.6</v>
      </c>
      <c r="W74" s="84" t="str">
        <f>CONCATENATE("a'(",Q73,")=")</f>
        <v>a'(6)=</v>
      </c>
      <c r="X74" s="84">
        <f>2*X72/12*T75</f>
        <v>12</v>
      </c>
      <c r="Y74" s="84" t="str">
        <f>CONCATENATE("A(",Q72,")=")</f>
        <v>A(5)=</v>
      </c>
      <c r="Z74" s="84">
        <f>VLOOKUP(Q72,STN_TABLE,3,FALSE)</f>
        <v>0</v>
      </c>
      <c r="AA74" t="str">
        <f>CONCATENATE("A(",Q73,")=")</f>
        <v>A(6)=</v>
      </c>
      <c r="AB74">
        <f>X74+Z74</f>
        <v>12</v>
      </c>
      <c r="AC74" s="99">
        <f>AC73+1</f>
        <v>10</v>
      </c>
      <c r="AD74" s="100">
        <f>VLOOKUP(AC74,STN_TABLE_2,2,FALSE)</f>
        <v>6</v>
      </c>
      <c r="AE74" s="82">
        <f>VLOOKUP(AD74,STN_TABLE,2,FALSE)</f>
        <v>6.2</v>
      </c>
      <c r="AF74" s="82">
        <v>2</v>
      </c>
      <c r="AG74" s="83">
        <f>AE74*AF74</f>
        <v>12.4</v>
      </c>
      <c r="AH74" s="84" t="str">
        <f>CONCATENATE("a'(",AD74,")=")</f>
        <v>a'(6)=</v>
      </c>
      <c r="AI74" s="84">
        <f>2*AI72/2*AE75</f>
        <v>6.3644000000000069</v>
      </c>
      <c r="AJ74" s="84" t="str">
        <f>CONCATENATE("A(",AD73,")=")</f>
        <v>A(5.61111111111111)=</v>
      </c>
      <c r="AK74" s="84">
        <f>VLOOKUP(AD73,STN_TABLE,3,FALSE)</f>
        <v>0.57839999999999792</v>
      </c>
      <c r="AL74" t="str">
        <f>CONCATENATE("A(",AD74,")=")</f>
        <v>A(6)=</v>
      </c>
      <c r="AM74">
        <f>AI74+AK74</f>
        <v>6.9428000000000045</v>
      </c>
      <c r="AO74" s="68" t="str">
        <f>AA74</f>
        <v>A(6)=</v>
      </c>
      <c r="AP74" s="68">
        <f>VLOOKUP(AO74,Rise_Results,2,FALSE)</f>
        <v>6.9428000000000045</v>
      </c>
      <c r="AQ74" s="76" t="e">
        <f>N74</f>
        <v>#VALUE!</v>
      </c>
      <c r="AR74" s="76">
        <f>IF(OR(AB74&lt;=0,AB75&lt;=0),1/0,AB74)</f>
        <v>12</v>
      </c>
      <c r="AS74" s="76">
        <f>AM74</f>
        <v>6.9428000000000045</v>
      </c>
      <c r="AT74">
        <f>IFERROR(AP74,IFERROR(AQ74,IFERROR(AR74,AS74)))</f>
        <v>6.9428000000000045</v>
      </c>
      <c r="AU74" s="81"/>
    </row>
    <row r="75" spans="1:47" x14ac:dyDescent="0.25">
      <c r="A75" s="84">
        <f>A74+1</f>
        <v>10</v>
      </c>
      <c r="B75" s="84">
        <f t="shared" si="27"/>
        <v>6</v>
      </c>
      <c r="F75" s="82">
        <f>SUM(F72:F74)</f>
        <v>6.2</v>
      </c>
      <c r="H75" s="82">
        <f>SUM(H72:H74)</f>
        <v>37.200000000000003</v>
      </c>
      <c r="I75" s="84" t="str">
        <f>CONCATENATE("m'(",C74,")=")</f>
        <v>m'(6)=</v>
      </c>
      <c r="J75" s="84" t="e">
        <f>2*(J72*(WLS))/3*H75</f>
        <v>#VALUE!</v>
      </c>
      <c r="K75" s="84" t="str">
        <f>CONCATENATE("M(",C72,")=")</f>
        <v>M(4)=</v>
      </c>
      <c r="L75" s="84">
        <f>VLOOKUP(C72,STN_TABLE,4,FALSE)</f>
        <v>0</v>
      </c>
      <c r="M75" t="str">
        <f>CONCATENATE("M(",C74,")=")</f>
        <v>M(6)=</v>
      </c>
      <c r="N75" t="e">
        <f>J75+L75</f>
        <v>#VALUE!</v>
      </c>
      <c r="O75" s="99">
        <f>O74+1</f>
        <v>12</v>
      </c>
      <c r="P75" s="99">
        <f t="shared" si="23"/>
        <v>7.8833333333333329</v>
      </c>
      <c r="T75" s="89">
        <f>SUM(T72:T74)</f>
        <v>40</v>
      </c>
      <c r="V75" s="82">
        <f>SUM(V72:V74)</f>
        <v>52.4</v>
      </c>
      <c r="W75" s="84" t="str">
        <f>CONCATENATE("m'(",Q73,")=")</f>
        <v>m'(6)=</v>
      </c>
      <c r="X75" s="84">
        <f>(2*(X72^2)/24*V75)+(X74*Q72*WLS)</f>
        <v>122.148</v>
      </c>
      <c r="Y75" s="84" t="str">
        <f>CONCATENATE("M(",Q72,")=")</f>
        <v>M(5)=</v>
      </c>
      <c r="Z75" s="84">
        <f>VLOOKUP(Q72,STN_TABLE,4,FALSE)</f>
        <v>0</v>
      </c>
      <c r="AA75" t="str">
        <f>CONCATENATE("M(",Q73,")=")</f>
        <v>M(6)=</v>
      </c>
      <c r="AB75">
        <f>X75+Z75</f>
        <v>122.148</v>
      </c>
      <c r="AE75" s="89">
        <f>SUM(AE73:AE74)</f>
        <v>9.0920000000000005</v>
      </c>
      <c r="AG75" s="89">
        <f>SUM(AG73:AG74)</f>
        <v>15.292</v>
      </c>
      <c r="AH75" s="84" t="str">
        <f>CONCATENATE("m'(",AD74,")=")</f>
        <v>m'(6)=</v>
      </c>
      <c r="AI75" s="84">
        <f>(2*(AI72^2)/6*AG75)+(AI74*AD73*WLS)</f>
        <v>66.778133333333415</v>
      </c>
      <c r="AJ75" s="84" t="str">
        <f>CONCATENATE("M(",AD73,")=")</f>
        <v>M(5.61111111111111)=</v>
      </c>
      <c r="AK75" s="84">
        <f>VLOOKUP(AD73,STN_TABLE,4,FALSE)</f>
        <v>5.8032799999999796</v>
      </c>
      <c r="AL75" t="str">
        <f>CONCATENATE("M(",AD74,")=")</f>
        <v>M(6)=</v>
      </c>
      <c r="AM75">
        <f>AI75+AK75</f>
        <v>72.581413333333387</v>
      </c>
      <c r="AO75" s="82" t="str">
        <f>AA75</f>
        <v>M(6)=</v>
      </c>
      <c r="AP75" s="82">
        <f>VLOOKUP(AO75,Rise_Results,2,FALSE)</f>
        <v>72.581413333333387</v>
      </c>
      <c r="AQ75" s="82" t="e">
        <f>N75</f>
        <v>#VALUE!</v>
      </c>
      <c r="AR75" s="82">
        <f>IF(OR(AB74&lt;=0,AB75&lt;=0),1/0,AB75)</f>
        <v>122.148</v>
      </c>
      <c r="AS75" s="82">
        <f>AM75</f>
        <v>72.581413333333387</v>
      </c>
      <c r="AT75">
        <f>IFERROR(AP75,IFERROR(AQ75,IFERROR(AR75,AS75)))</f>
        <v>72.581413333333387</v>
      </c>
      <c r="AU75" s="81"/>
    </row>
    <row r="76" spans="1:47" x14ac:dyDescent="0.25">
      <c r="A76" s="101">
        <f>A71+1</f>
        <v>7</v>
      </c>
      <c r="B76" s="101">
        <f t="shared" si="27"/>
        <v>4</v>
      </c>
      <c r="O76" s="101">
        <f>O71+1</f>
        <v>9</v>
      </c>
      <c r="P76" s="101">
        <f t="shared" si="23"/>
        <v>5.6111111111111107</v>
      </c>
      <c r="AU76" s="81"/>
    </row>
    <row r="77" spans="1:47" x14ac:dyDescent="0.25">
      <c r="A77" s="84">
        <f>A76+1</f>
        <v>8</v>
      </c>
      <c r="B77" s="84">
        <f t="shared" si="27"/>
        <v>5</v>
      </c>
      <c r="C77" s="79">
        <f t="shared" ref="C77" si="29">IF(C78=B79,IF(C79-C78=C78-B78,B78,IF(C79-C78=C78-B77,B77,"#NA")),IF(C78=B78,IF(C79-C78=C78-B77,B77,IF(C79-C78=C78-B76,B76,"#NA")),"#NA"))</f>
        <v>5</v>
      </c>
      <c r="D77" s="68">
        <f>VLOOKUP(C77,STN_TABLE,2,FALSE)</f>
        <v>0</v>
      </c>
      <c r="E77" s="102">
        <v>1</v>
      </c>
      <c r="F77" s="68">
        <f>D77*E77</f>
        <v>0</v>
      </c>
      <c r="G77" s="69">
        <f>C77</f>
        <v>5</v>
      </c>
      <c r="H77" s="69">
        <f>F77*G77</f>
        <v>0</v>
      </c>
      <c r="I77" s="6" t="s">
        <v>93</v>
      </c>
      <c r="J77" s="70" t="str">
        <f>IF(OR(D77=0,D78=0,D79=0),"#NA",IF(AND(C79-C78=C78-C77,C78&lt;&gt;C79,C77&lt;&gt;C78,C77&lt;&gt;C79,D79&lt;&gt;0,OR(D77&lt;&gt;0,D78&lt;&gt;0)),WLS*(C79-C78),"#NA"))</f>
        <v>#NA</v>
      </c>
      <c r="O77" s="99">
        <f>O76+1</f>
        <v>10</v>
      </c>
      <c r="P77" s="99">
        <f t="shared" si="23"/>
        <v>6</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1.8</v>
      </c>
      <c r="AU77" s="81"/>
    </row>
    <row r="78" spans="1:47" x14ac:dyDescent="0.25">
      <c r="A78" s="84">
        <f>A77+1</f>
        <v>9</v>
      </c>
      <c r="B78" s="84">
        <f t="shared" si="27"/>
        <v>5.6111111111111107</v>
      </c>
      <c r="C78" s="80">
        <f t="shared" ref="C78" si="30">IF(OR(B80-B79=B79-B78,B80-B79=B79-B77,B80-B79=B79-B76),B79,IF(OR(B80-B78=B78-B77,B80-B78=B78-B76),B78,IF(B80-B77=B77-B76,B77,"#NA")))</f>
        <v>6</v>
      </c>
      <c r="D78" s="76">
        <f>VLOOKUP(C78,STN_TABLE,2,FALSE)</f>
        <v>6.2</v>
      </c>
      <c r="E78" s="81">
        <v>4</v>
      </c>
      <c r="F78" s="76">
        <f>D78*E78</f>
        <v>24.8</v>
      </c>
      <c r="G78" s="77">
        <f>C78</f>
        <v>6</v>
      </c>
      <c r="H78" s="77">
        <f>F78*G78</f>
        <v>148.80000000000001</v>
      </c>
      <c r="I78" s="512" t="s">
        <v>97</v>
      </c>
      <c r="J78" s="513"/>
      <c r="K78" s="78" t="s">
        <v>98</v>
      </c>
      <c r="L78" s="78"/>
      <c r="M78" s="7" t="s">
        <v>99</v>
      </c>
      <c r="N78" s="7"/>
      <c r="O78" s="99">
        <f>O77+1</f>
        <v>11</v>
      </c>
      <c r="P78" s="99">
        <f t="shared" si="23"/>
        <v>7</v>
      </c>
      <c r="Q78" s="76">
        <f>P78</f>
        <v>7</v>
      </c>
      <c r="R78" s="77">
        <f>VLOOKUP(Q78,STN_TABLE,2,FALSE)</f>
        <v>9.6</v>
      </c>
      <c r="S78" s="77">
        <v>8</v>
      </c>
      <c r="T78" s="76">
        <f>R78*S78</f>
        <v>76.8</v>
      </c>
      <c r="U78" s="80">
        <v>10</v>
      </c>
      <c r="V78" s="76">
        <f>R78*U78</f>
        <v>96</v>
      </c>
      <c r="W78" s="513" t="s">
        <v>97</v>
      </c>
      <c r="X78" s="513"/>
      <c r="Y78" s="513" t="s">
        <v>98</v>
      </c>
      <c r="Z78" s="513"/>
      <c r="AA78" s="511" t="s">
        <v>99</v>
      </c>
      <c r="AB78" s="511"/>
      <c r="AC78" s="99">
        <f>AC73+1</f>
        <v>10</v>
      </c>
      <c r="AD78" s="95">
        <f>VLOOKUP(AC78,STN_TABLE_2,2,FALSE)</f>
        <v>6</v>
      </c>
      <c r="AE78" s="68">
        <f>VLOOKUP(AD78,STN_TABLE,2,FALSE)</f>
        <v>6.2</v>
      </c>
      <c r="AF78" s="68">
        <v>1</v>
      </c>
      <c r="AG78" s="69">
        <f>AE78*AF78</f>
        <v>6.2</v>
      </c>
      <c r="AH78" s="513" t="s">
        <v>97</v>
      </c>
      <c r="AI78" s="513"/>
      <c r="AJ78" s="513" t="s">
        <v>98</v>
      </c>
      <c r="AK78" s="513"/>
      <c r="AL78" s="511" t="s">
        <v>99</v>
      </c>
      <c r="AM78" s="511"/>
      <c r="AP78" s="86" t="s">
        <v>112</v>
      </c>
      <c r="AQ78" s="89" t="s">
        <v>113</v>
      </c>
      <c r="AR78" s="89" t="s">
        <v>114</v>
      </c>
      <c r="AS78" s="89" t="s">
        <v>115</v>
      </c>
      <c r="AU78" s="81"/>
    </row>
    <row r="79" spans="1:47" x14ac:dyDescent="0.25">
      <c r="A79" s="84">
        <f>A78+1</f>
        <v>10</v>
      </c>
      <c r="B79" s="84">
        <f t="shared" si="27"/>
        <v>6</v>
      </c>
      <c r="C79" s="88">
        <f t="shared" ref="C79" si="31">B80</f>
        <v>7</v>
      </c>
      <c r="D79" s="82">
        <f>VLOOKUP(C79,STN_TABLE,2,FALSE)</f>
        <v>9.6</v>
      </c>
      <c r="E79" s="92">
        <v>1</v>
      </c>
      <c r="F79" s="82">
        <f>D79*E79</f>
        <v>9.6</v>
      </c>
      <c r="G79" s="83">
        <f>C79</f>
        <v>7</v>
      </c>
      <c r="H79" s="83">
        <f>F79*G79</f>
        <v>67.2</v>
      </c>
      <c r="I79" s="84" t="str">
        <f>CONCATENATE("a'(",C79,")=")</f>
        <v>a'(7)=</v>
      </c>
      <c r="J79" s="84" t="e">
        <f>2*J77/3*F80</f>
        <v>#VALUE!</v>
      </c>
      <c r="K79" s="84" t="str">
        <f>CONCATENATE("A(",C77,")=")</f>
        <v>A(5)=</v>
      </c>
      <c r="L79" s="84">
        <f>VLOOKUP(C77,STN_TABLE,3,FALSE)</f>
        <v>0</v>
      </c>
      <c r="M79" t="str">
        <f>CONCATENATE("A(",C79,")=")</f>
        <v>A(7)=</v>
      </c>
      <c r="N79" t="e">
        <f>J79+L79</f>
        <v>#VALUE!</v>
      </c>
      <c r="O79" s="99">
        <f>O78+1</f>
        <v>12</v>
      </c>
      <c r="P79" s="99">
        <f t="shared" si="23"/>
        <v>7.8833333333333329</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a'(7)=</v>
      </c>
      <c r="X79" s="84" t="e">
        <f>2*X77/12*T80</f>
        <v>#VALUE!</v>
      </c>
      <c r="Y79" s="84" t="e">
        <f>CONCATENATE("A(",Q77,")=")</f>
        <v>#VALUE!</v>
      </c>
      <c r="Z79" s="84" t="e">
        <f>VLOOKUP(Q77,STN_TABLE,3,FALSE)</f>
        <v>#VALUE!</v>
      </c>
      <c r="AA79" t="str">
        <f>CONCATENATE("A(",Q78,")=")</f>
        <v>A(7)=</v>
      </c>
      <c r="AB79" t="e">
        <f>X79+Z79</f>
        <v>#VALUE!</v>
      </c>
      <c r="AC79" s="99">
        <f>AC78+1</f>
        <v>11</v>
      </c>
      <c r="AD79" s="100">
        <f>VLOOKUP(AC79,STN_TABLE_2,2,FALSE)</f>
        <v>7</v>
      </c>
      <c r="AE79" s="82">
        <f>VLOOKUP(AD79,STN_TABLE,2,FALSE)</f>
        <v>9.6</v>
      </c>
      <c r="AF79" s="82">
        <v>2</v>
      </c>
      <c r="AG79" s="83">
        <f>AE79*AF79</f>
        <v>19.2</v>
      </c>
      <c r="AH79" s="84" t="str">
        <f>CONCATENATE("a'(",AD79,")=")</f>
        <v>a'(7)=</v>
      </c>
      <c r="AI79" s="84">
        <f>2*AI77/2*AE80</f>
        <v>28.44</v>
      </c>
      <c r="AJ79" s="84" t="str">
        <f>CONCATENATE("A(",AD78,")=")</f>
        <v>A(6)=</v>
      </c>
      <c r="AK79" s="84">
        <f>VLOOKUP(AD78,STN_TABLE,3,FALSE)</f>
        <v>6.9428000000000045</v>
      </c>
      <c r="AL79" t="str">
        <f>CONCATENATE("A(",AD79,")=")</f>
        <v>A(7)=</v>
      </c>
      <c r="AM79">
        <f>AI79+AK79</f>
        <v>35.382800000000003</v>
      </c>
      <c r="AO79" s="68" t="str">
        <f>AA79</f>
        <v>A(7)=</v>
      </c>
      <c r="AP79" s="68">
        <f>VLOOKUP(AO79,Rise_Results,2,FALSE)</f>
        <v>35.382800000000003</v>
      </c>
      <c r="AQ79" s="76" t="e">
        <f>N79</f>
        <v>#VALUE!</v>
      </c>
      <c r="AR79" s="76" t="e">
        <f>IF(OR(AB79&lt;=0,AB80&lt;=0),1/0,AB79)</f>
        <v>#VALUE!</v>
      </c>
      <c r="AS79" s="76">
        <f>AM79</f>
        <v>35.382800000000003</v>
      </c>
      <c r="AT79">
        <f>IFERROR(AP79,IFERROR(AQ79,IFERROR(AR79,AS79)))</f>
        <v>35.382800000000003</v>
      </c>
      <c r="AU79" s="81"/>
    </row>
    <row r="80" spans="1:47" x14ac:dyDescent="0.25">
      <c r="A80" s="84">
        <f>A79+1</f>
        <v>11</v>
      </c>
      <c r="B80" s="84">
        <f t="shared" si="27"/>
        <v>7</v>
      </c>
      <c r="F80" s="82">
        <f>SUM(F77:F79)</f>
        <v>34.4</v>
      </c>
      <c r="H80" s="82">
        <f>SUM(H77:H79)</f>
        <v>216</v>
      </c>
      <c r="I80" s="84" t="str">
        <f>CONCATENATE("m'(",C79,")=")</f>
        <v>m'(7)=</v>
      </c>
      <c r="J80" s="84" t="e">
        <f>2*(J77*(WLS))/3*H80</f>
        <v>#VALUE!</v>
      </c>
      <c r="K80" s="84" t="str">
        <f>CONCATENATE("M(",C77,")=")</f>
        <v>M(5)=</v>
      </c>
      <c r="L80" s="84">
        <f>VLOOKUP(C77,STN_TABLE,4,FALSE)</f>
        <v>0</v>
      </c>
      <c r="M80" t="str">
        <f>CONCATENATE("M(",C79,")=")</f>
        <v>M(7)=</v>
      </c>
      <c r="N80" t="e">
        <f>J80+L80</f>
        <v>#VALUE!</v>
      </c>
      <c r="O80" s="99">
        <f>O79+1</f>
        <v>13</v>
      </c>
      <c r="P80" s="99" t="str">
        <f t="shared" si="23"/>
        <v xml:space="preserve">  </v>
      </c>
      <c r="T80" s="89" t="e">
        <f>SUM(T77:T79)</f>
        <v>#VALUE!</v>
      </c>
      <c r="V80" s="82" t="e">
        <f>SUM(V77:V79)</f>
        <v>#VALUE!</v>
      </c>
      <c r="W80" s="84" t="str">
        <f>CONCATENATE("m'(",Q78,")=")</f>
        <v>m'(7)=</v>
      </c>
      <c r="X80" s="84" t="e">
        <f>(2*(X77^2)/24*V80)+(X79*Q77*WLS)</f>
        <v>#VALUE!</v>
      </c>
      <c r="Y80" s="84" t="e">
        <f>CONCATENATE("M(",Q77,")=")</f>
        <v>#VALUE!</v>
      </c>
      <c r="Z80" s="84" t="e">
        <f>VLOOKUP(Q77,STN_TABLE,4,FALSE)</f>
        <v>#VALUE!</v>
      </c>
      <c r="AA80" t="str">
        <f>CONCATENATE("M(",Q78,")=")</f>
        <v>M(7)=</v>
      </c>
      <c r="AB80" t="e">
        <f>X80+Z80</f>
        <v>#VALUE!</v>
      </c>
      <c r="AE80" s="89">
        <f>SUM(AE78:AE79)</f>
        <v>15.8</v>
      </c>
      <c r="AG80" s="89">
        <f>SUM(AG78:AG79)</f>
        <v>25.4</v>
      </c>
      <c r="AH80" s="84" t="str">
        <f>CONCATENATE("m'(",AD79,")=")</f>
        <v>m'(7)=</v>
      </c>
      <c r="AI80" s="84">
        <f>(2*(AI77^2)/6*AG80)+(AI79*AD78*WLS)</f>
        <v>334.58400000000006</v>
      </c>
      <c r="AJ80" s="84" t="str">
        <f>CONCATENATE("M(",AD78,")=")</f>
        <v>M(6)=</v>
      </c>
      <c r="AK80" s="84">
        <f>VLOOKUP(AD78,STN_TABLE,4,FALSE)</f>
        <v>72.581413333333387</v>
      </c>
      <c r="AL80" t="str">
        <f>CONCATENATE("M(",AD79,")=")</f>
        <v>M(7)=</v>
      </c>
      <c r="AM80">
        <f>AI80+AK80</f>
        <v>407.16541333333345</v>
      </c>
      <c r="AO80" s="82" t="str">
        <f>AA80</f>
        <v>M(7)=</v>
      </c>
      <c r="AP80" s="82">
        <f>VLOOKUP(AO80,Rise_Results,2,FALSE)</f>
        <v>407.16541333333345</v>
      </c>
      <c r="AQ80" s="82" t="e">
        <f>N80</f>
        <v>#VALUE!</v>
      </c>
      <c r="AR80" s="82" t="e">
        <f>IF(OR(AB79&lt;=0,AB80&lt;=0),1/0,AB80)</f>
        <v>#VALUE!</v>
      </c>
      <c r="AS80" s="82">
        <f>AM80</f>
        <v>407.16541333333345</v>
      </c>
      <c r="AT80">
        <f>IFERROR(AP80,IFERROR(AQ80,IFERROR(AR80,AS80)))</f>
        <v>407.16541333333345</v>
      </c>
      <c r="AU80" s="81"/>
    </row>
    <row r="81" spans="1:47" x14ac:dyDescent="0.25">
      <c r="A81" s="101">
        <f>A76+1</f>
        <v>8</v>
      </c>
      <c r="B81" s="101">
        <f t="shared" si="27"/>
        <v>5</v>
      </c>
      <c r="O81" s="101">
        <f>O76+1</f>
        <v>10</v>
      </c>
      <c r="P81" s="101">
        <f t="shared" si="23"/>
        <v>6</v>
      </c>
      <c r="AU81" s="81"/>
    </row>
    <row r="82" spans="1:47" x14ac:dyDescent="0.25">
      <c r="A82" s="84">
        <f>A81+1</f>
        <v>9</v>
      </c>
      <c r="B82" s="84">
        <f t="shared" si="27"/>
        <v>5.6111111111111107</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7</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1.5899999999999992</v>
      </c>
      <c r="AU82" s="81"/>
    </row>
    <row r="83" spans="1:47" x14ac:dyDescent="0.25">
      <c r="A83" s="84">
        <f>A82+1</f>
        <v>10</v>
      </c>
      <c r="B83" s="84">
        <f t="shared" si="27"/>
        <v>6</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512" t="s">
        <v>97</v>
      </c>
      <c r="J83" s="513"/>
      <c r="K83" s="78" t="s">
        <v>98</v>
      </c>
      <c r="L83" s="78"/>
      <c r="M83" s="7" t="s">
        <v>99</v>
      </c>
      <c r="N83" s="7"/>
      <c r="O83" s="99">
        <f>O82+1</f>
        <v>12</v>
      </c>
      <c r="P83" s="99">
        <f t="shared" si="23"/>
        <v>7.8833333333333329</v>
      </c>
      <c r="Q83" s="76">
        <f>P83</f>
        <v>7.8833333333333329</v>
      </c>
      <c r="R83" s="77">
        <f>VLOOKUP(Q83,STN_TABLE,2,FALSE)</f>
        <v>10.89</v>
      </c>
      <c r="S83" s="77">
        <v>8</v>
      </c>
      <c r="T83" s="76">
        <f>R83*S83</f>
        <v>87.12</v>
      </c>
      <c r="U83" s="80">
        <v>10</v>
      </c>
      <c r="V83" s="76">
        <f>R83*U83</f>
        <v>108.9</v>
      </c>
      <c r="W83" s="513" t="s">
        <v>97</v>
      </c>
      <c r="X83" s="513"/>
      <c r="Y83" s="513" t="s">
        <v>98</v>
      </c>
      <c r="Z83" s="513"/>
      <c r="AA83" s="511" t="s">
        <v>99</v>
      </c>
      <c r="AB83" s="511"/>
      <c r="AC83" s="99">
        <f>AC78+1</f>
        <v>11</v>
      </c>
      <c r="AD83" s="95">
        <f>VLOOKUP(AC83,STN_TABLE_2,2,FALSE)</f>
        <v>7</v>
      </c>
      <c r="AE83" s="68">
        <f>VLOOKUP(AD83,STN_TABLE,2,FALSE)</f>
        <v>9.6</v>
      </c>
      <c r="AF83" s="68">
        <v>1</v>
      </c>
      <c r="AG83" s="69">
        <f>AE83*AF83</f>
        <v>9.6</v>
      </c>
      <c r="AH83" s="513" t="s">
        <v>97</v>
      </c>
      <c r="AI83" s="513"/>
      <c r="AJ83" s="513" t="s">
        <v>98</v>
      </c>
      <c r="AK83" s="513"/>
      <c r="AL83" s="511" t="s">
        <v>99</v>
      </c>
      <c r="AM83" s="511"/>
      <c r="AP83" s="86" t="s">
        <v>112</v>
      </c>
      <c r="AQ83" s="89" t="s">
        <v>113</v>
      </c>
      <c r="AR83" s="89" t="s">
        <v>114</v>
      </c>
      <c r="AS83" s="89" t="s">
        <v>115</v>
      </c>
      <c r="AU83" s="81"/>
    </row>
    <row r="84" spans="1:47" x14ac:dyDescent="0.25">
      <c r="A84" s="84">
        <f>A83+1</f>
        <v>11</v>
      </c>
      <c r="B84" s="84">
        <f t="shared" si="27"/>
        <v>7</v>
      </c>
      <c r="C84" s="88">
        <f t="shared" ref="C84" si="34">B85</f>
        <v>7.8833333333333329</v>
      </c>
      <c r="D84" s="82">
        <f>VLOOKUP(C84,STN_TABLE,2,FALSE)</f>
        <v>10.89</v>
      </c>
      <c r="E84" s="92">
        <v>1</v>
      </c>
      <c r="F84" s="82">
        <f>D84*E84</f>
        <v>10.89</v>
      </c>
      <c r="G84" s="83">
        <f>C84</f>
        <v>7.8833333333333329</v>
      </c>
      <c r="H84" s="83">
        <f>F84*G84</f>
        <v>85.849500000000006</v>
      </c>
      <c r="I84" s="84" t="str">
        <f>CONCATENATE("a'(",C84,")=")</f>
        <v>a'(7.88333333333333)=</v>
      </c>
      <c r="J84" s="84" t="e">
        <f>2*J82/3*F85</f>
        <v>#N/A</v>
      </c>
      <c r="K84" s="84" t="str">
        <f>CONCATENATE("A(",C82,")=")</f>
        <v>A(#NA)=</v>
      </c>
      <c r="L84" s="84" t="e">
        <f>VLOOKUP(C82,STN_TABLE,3,FALSE)</f>
        <v>#N/A</v>
      </c>
      <c r="M84" t="str">
        <f>CONCATENATE("A(",C84,")=")</f>
        <v>A(7.88333333333333)=</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a'(7.88333333333333)=</v>
      </c>
      <c r="X84" s="84" t="e">
        <f>2*X82/12*T85</f>
        <v>#VALUE!</v>
      </c>
      <c r="Y84" s="84" t="e">
        <f>CONCATENATE("A(",Q82,")=")</f>
        <v>#VALUE!</v>
      </c>
      <c r="Z84" s="84" t="e">
        <f>VLOOKUP(Q82,STN_TABLE,3,FALSE)</f>
        <v>#VALUE!</v>
      </c>
      <c r="AA84" t="str">
        <f>CONCATENATE("A(",Q83,")=")</f>
        <v>A(7.88333333333333)=</v>
      </c>
      <c r="AB84" t="e">
        <f>X84+Z84</f>
        <v>#VALUE!</v>
      </c>
      <c r="AC84" s="99">
        <f>AC83+1</f>
        <v>12</v>
      </c>
      <c r="AD84" s="100">
        <f>VLOOKUP(AC84,STN_TABLE_2,2,FALSE)</f>
        <v>7.8833333333333329</v>
      </c>
      <c r="AE84" s="82">
        <f>VLOOKUP(AD84,STN_TABLE,2,FALSE)</f>
        <v>10.89</v>
      </c>
      <c r="AF84" s="82">
        <v>2</v>
      </c>
      <c r="AG84" s="83">
        <f>AE84*AF84</f>
        <v>21.78</v>
      </c>
      <c r="AH84" s="84" t="str">
        <f>CONCATENATE("a'(",AD84,")=")</f>
        <v>a'(7.88333333333333)=</v>
      </c>
      <c r="AI84" s="84">
        <f>2*AI82/2*AE85</f>
        <v>32.57909999999999</v>
      </c>
      <c r="AJ84" s="84" t="str">
        <f>CONCATENATE("A(",AD83,")=")</f>
        <v>A(7)=</v>
      </c>
      <c r="AK84" s="84">
        <f>VLOOKUP(AD83,STN_TABLE,3,FALSE)</f>
        <v>35.382800000000003</v>
      </c>
      <c r="AL84" t="str">
        <f>CONCATENATE("A(",AD84,")=")</f>
        <v>A(7.88333333333333)=</v>
      </c>
      <c r="AM84">
        <f>AI84+AK84</f>
        <v>67.961899999999986</v>
      </c>
      <c r="AO84" s="68" t="str">
        <f>AA84</f>
        <v>A(7.88333333333333)=</v>
      </c>
      <c r="AP84" s="68">
        <f>VLOOKUP(AO84,Rise_Results,2,FALSE)</f>
        <v>67.961899999999986</v>
      </c>
      <c r="AQ84" s="76" t="e">
        <f>N84</f>
        <v>#N/A</v>
      </c>
      <c r="AR84" s="76" t="e">
        <f>IF(OR(AB84&lt;=0,AB85&lt;=0),1/0,AB84)</f>
        <v>#VALUE!</v>
      </c>
      <c r="AS84" s="76">
        <f>AM84</f>
        <v>67.961899999999986</v>
      </c>
      <c r="AT84">
        <f>IFERROR(AP84,IFERROR(AQ84,IFERROR(AR84,AS84)))</f>
        <v>67.961899999999986</v>
      </c>
      <c r="AU84" s="81"/>
    </row>
    <row r="85" spans="1:47" x14ac:dyDescent="0.25">
      <c r="A85" s="84">
        <f>A84+1</f>
        <v>12</v>
      </c>
      <c r="B85" s="84">
        <f t="shared" si="27"/>
        <v>7.8833333333333329</v>
      </c>
      <c r="F85" s="82" t="e">
        <f>SUM(F82:F84)</f>
        <v>#N/A</v>
      </c>
      <c r="H85" s="82" t="e">
        <f>SUM(H82:H84)</f>
        <v>#N/A</v>
      </c>
      <c r="I85" s="84" t="str">
        <f>CONCATENATE("m'(",C84,")=")</f>
        <v>m'(7.88333333333333)=</v>
      </c>
      <c r="J85" s="84" t="e">
        <f>2*(J82*(WLS))/3*H85</f>
        <v>#N/A</v>
      </c>
      <c r="K85" s="84" t="str">
        <f>CONCATENATE("M(",C82,")=")</f>
        <v>M(#NA)=</v>
      </c>
      <c r="L85" s="84" t="e">
        <f>VLOOKUP(C82,STN_TABLE,4,FALSE)</f>
        <v>#N/A</v>
      </c>
      <c r="M85" t="str">
        <f>CONCATENATE("M(",C84,")=")</f>
        <v>M(7.88333333333333)=</v>
      </c>
      <c r="N85" t="e">
        <f>J85+L85</f>
        <v>#N/A</v>
      </c>
      <c r="O85" s="99">
        <f>O84+1</f>
        <v>14</v>
      </c>
      <c r="P85" s="99" t="str">
        <f t="shared" si="23"/>
        <v xml:space="preserve">  </v>
      </c>
      <c r="T85" s="89" t="e">
        <f>SUM(T82:T84)</f>
        <v>#VALUE!</v>
      </c>
      <c r="V85" s="82" t="e">
        <f>SUM(V82:V84)</f>
        <v>#VALUE!</v>
      </c>
      <c r="W85" s="84" t="str">
        <f>CONCATENATE("m'(",Q83,")=")</f>
        <v>m'(7.88333333333333)=</v>
      </c>
      <c r="X85" s="84" t="e">
        <f>(2*(X82^2)/24*V85)+(X84*Q82*WLS)</f>
        <v>#VALUE!</v>
      </c>
      <c r="Y85" s="84" t="e">
        <f>CONCATENATE("M(",Q82,")=")</f>
        <v>#VALUE!</v>
      </c>
      <c r="Z85" s="84" t="e">
        <f>VLOOKUP(Q82,STN_TABLE,4,FALSE)</f>
        <v>#VALUE!</v>
      </c>
      <c r="AA85" t="str">
        <f>CONCATENATE("M(",Q83,")=")</f>
        <v>M(7.88333333333333)=</v>
      </c>
      <c r="AB85" t="e">
        <f>X85+Z85</f>
        <v>#VALUE!</v>
      </c>
      <c r="AE85" s="89">
        <f>SUM(AE83:AE84)</f>
        <v>20.490000000000002</v>
      </c>
      <c r="AG85" s="89">
        <f>SUM(AG83:AG84)</f>
        <v>31.380000000000003</v>
      </c>
      <c r="AH85" s="84" t="str">
        <f>CONCATENATE("m'(",AD84,")=")</f>
        <v>m'(7.88333333333333)=</v>
      </c>
      <c r="AI85" s="84">
        <f>(2*(AI82^2)/6*AG85)+(AI84*AD83*WLS)</f>
        <v>436.94058599999988</v>
      </c>
      <c r="AJ85" s="84" t="str">
        <f>CONCATENATE("M(",AD83,")=")</f>
        <v>M(7)=</v>
      </c>
      <c r="AK85" s="84">
        <f>VLOOKUP(AD83,STN_TABLE,4,FALSE)</f>
        <v>407.16541333333345</v>
      </c>
      <c r="AL85" t="str">
        <f>CONCATENATE("M(",AD84,")=")</f>
        <v>M(7.88333333333333)=</v>
      </c>
      <c r="AM85">
        <f>AI85+AK85</f>
        <v>844.10599933333333</v>
      </c>
      <c r="AO85" s="82" t="str">
        <f>AA85</f>
        <v>M(7.88333333333333)=</v>
      </c>
      <c r="AP85" s="82">
        <f>VLOOKUP(AO85,Rise_Results,2,FALSE)</f>
        <v>844.10599933333333</v>
      </c>
      <c r="AQ85" s="82" t="e">
        <f>N85</f>
        <v>#N/A</v>
      </c>
      <c r="AR85" s="82" t="e">
        <f>IF(OR(AB84&lt;=0,AB85&lt;=0),1/0,AB85)</f>
        <v>#VALUE!</v>
      </c>
      <c r="AS85" s="82">
        <f>AM85</f>
        <v>844.10599933333333</v>
      </c>
      <c r="AT85">
        <f>IFERROR(AP85,IFERROR(AQ85,IFERROR(AR85,AS85)))</f>
        <v>844.10599933333333</v>
      </c>
      <c r="AU85" s="81"/>
    </row>
    <row r="86" spans="1:47" x14ac:dyDescent="0.25">
      <c r="A86" s="101">
        <f>A81+1</f>
        <v>9</v>
      </c>
      <c r="B86" s="101">
        <f t="shared" si="27"/>
        <v>5.6111111111111107</v>
      </c>
      <c r="O86" s="101">
        <f>O81+1</f>
        <v>11</v>
      </c>
      <c r="P86" s="101">
        <f t="shared" si="23"/>
        <v>7</v>
      </c>
      <c r="AU86" s="81"/>
    </row>
    <row r="87" spans="1:47" x14ac:dyDescent="0.25">
      <c r="A87" s="84">
        <f>A86+1</f>
        <v>10</v>
      </c>
      <c r="B87" s="84">
        <f t="shared" si="27"/>
        <v>6</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7.8833333333333329</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7</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512" t="s">
        <v>97</v>
      </c>
      <c r="J88" s="513"/>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513" t="s">
        <v>97</v>
      </c>
      <c r="X88" s="513"/>
      <c r="Y88" s="513" t="s">
        <v>98</v>
      </c>
      <c r="Z88" s="513"/>
      <c r="AA88" s="511" t="s">
        <v>99</v>
      </c>
      <c r="AB88" s="511"/>
      <c r="AC88" s="99">
        <f>AC83+1</f>
        <v>12</v>
      </c>
      <c r="AD88" s="95">
        <f>VLOOKUP(AC88,STN_TABLE_2,2,FALSE)</f>
        <v>7.8833333333333329</v>
      </c>
      <c r="AE88" s="68">
        <f>VLOOKUP(AD88,STN_TABLE,2,FALSE)</f>
        <v>10.89</v>
      </c>
      <c r="AF88" s="68">
        <v>1</v>
      </c>
      <c r="AG88" s="69">
        <f>AE88*AF88</f>
        <v>10.89</v>
      </c>
      <c r="AH88" s="513" t="s">
        <v>97</v>
      </c>
      <c r="AI88" s="513"/>
      <c r="AJ88" s="513" t="s">
        <v>98</v>
      </c>
      <c r="AK88" s="513"/>
      <c r="AL88" s="511" t="s">
        <v>99</v>
      </c>
      <c r="AM88" s="511"/>
      <c r="AP88" s="86" t="s">
        <v>112</v>
      </c>
      <c r="AQ88" s="89" t="s">
        <v>113</v>
      </c>
      <c r="AR88" s="89" t="s">
        <v>114</v>
      </c>
      <c r="AS88" s="89" t="s">
        <v>115</v>
      </c>
      <c r="AU88" s="81"/>
    </row>
    <row r="89" spans="1:47" x14ac:dyDescent="0.25">
      <c r="A89" s="84">
        <f>A88+1</f>
        <v>12</v>
      </c>
      <c r="B89" s="84">
        <f t="shared" si="27"/>
        <v>7.8833333333333329</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A(7.88333333333333)=</v>
      </c>
      <c r="AK89" s="84">
        <f>VLOOKUP(AD88,STN_TABLE,3,FALSE)</f>
        <v>67.961899999999986</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10.89</v>
      </c>
      <c r="AG90" s="89" t="e">
        <f>SUM(AG88:AG89)</f>
        <v>#VALUE!</v>
      </c>
      <c r="AH90" s="84" t="str">
        <f>CONCATENATE("m'(",AD89,")=")</f>
        <v>m'(  )=</v>
      </c>
      <c r="AI90" s="84" t="e">
        <f>(2*(AI87^2)/6*AG90)+(AI89*AD88*WLS)</f>
        <v>#VALUE!</v>
      </c>
      <c r="AJ90" s="84" t="str">
        <f>CONCATENATE("M(",AD88,")=")</f>
        <v>M(7.88333333333333)=</v>
      </c>
      <c r="AK90" s="84">
        <f>VLOOKUP(AD88,STN_TABLE,4,FALSE)</f>
        <v>844.10599933333333</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6</v>
      </c>
      <c r="O91" s="101">
        <f>O86+1</f>
        <v>12</v>
      </c>
      <c r="P91" s="101">
        <f t="shared" si="23"/>
        <v>7.8833333333333329</v>
      </c>
      <c r="AU91" s="81"/>
    </row>
    <row r="92" spans="1:47" x14ac:dyDescent="0.25">
      <c r="A92" s="84">
        <f>A91+1</f>
        <v>11</v>
      </c>
      <c r="B92" s="84">
        <f t="shared" si="27"/>
        <v>7</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7.8833333333333329</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512" t="s">
        <v>97</v>
      </c>
      <c r="J93" s="513"/>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513" t="s">
        <v>97</v>
      </c>
      <c r="X93" s="513"/>
      <c r="Y93" s="513" t="s">
        <v>98</v>
      </c>
      <c r="Z93" s="513"/>
      <c r="AA93" s="511" t="s">
        <v>99</v>
      </c>
      <c r="AB93" s="511"/>
      <c r="AC93" s="99">
        <f>AC88+1</f>
        <v>13</v>
      </c>
      <c r="AD93" s="95" t="str">
        <f>VLOOKUP(AC93,STN_TABLE_2,2,FALSE)</f>
        <v xml:space="preserve">  </v>
      </c>
      <c r="AE93" s="68" t="str">
        <f>VLOOKUP(AD93,STN_TABLE,2,FALSE)</f>
        <v xml:space="preserve">  </v>
      </c>
      <c r="AF93" s="68">
        <v>1</v>
      </c>
      <c r="AG93" s="69" t="e">
        <f>AE93*AF93</f>
        <v>#VALUE!</v>
      </c>
      <c r="AH93" s="513" t="s">
        <v>97</v>
      </c>
      <c r="AI93" s="513"/>
      <c r="AJ93" s="513" t="s">
        <v>98</v>
      </c>
      <c r="AK93" s="513"/>
      <c r="AL93" s="511" t="s">
        <v>99</v>
      </c>
      <c r="AM93" s="511"/>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7</v>
      </c>
      <c r="O96" s="101">
        <f>O91+1</f>
        <v>13</v>
      </c>
      <c r="P96" s="101" t="str">
        <f t="shared" si="23"/>
        <v xml:space="preserve">  </v>
      </c>
      <c r="AU96" s="81"/>
    </row>
    <row r="97" spans="1:47" x14ac:dyDescent="0.25">
      <c r="A97" s="84">
        <f>A96+1</f>
        <v>12</v>
      </c>
      <c r="B97" s="84">
        <f t="shared" si="27"/>
        <v>7.8833333333333329</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512" t="s">
        <v>97</v>
      </c>
      <c r="J98" s="513"/>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513" t="s">
        <v>97</v>
      </c>
      <c r="X98" s="513"/>
      <c r="Y98" s="513" t="s">
        <v>98</v>
      </c>
      <c r="Z98" s="513"/>
      <c r="AA98" s="511" t="s">
        <v>99</v>
      </c>
      <c r="AB98" s="511"/>
      <c r="AC98" s="99">
        <f>AC93+1</f>
        <v>14</v>
      </c>
      <c r="AD98" s="95" t="str">
        <f>VLOOKUP(AC98,STN_TABLE_2,2,FALSE)</f>
        <v xml:space="preserve">  </v>
      </c>
      <c r="AE98" s="68" t="str">
        <f>VLOOKUP(AD98,STN_TABLE,2,FALSE)</f>
        <v xml:space="preserve">  </v>
      </c>
      <c r="AF98" s="68">
        <v>1</v>
      </c>
      <c r="AG98" s="69" t="e">
        <f>AE98*AF98</f>
        <v>#VALUE!</v>
      </c>
      <c r="AH98" s="513" t="s">
        <v>97</v>
      </c>
      <c r="AI98" s="513"/>
      <c r="AJ98" s="513" t="s">
        <v>98</v>
      </c>
      <c r="AK98" s="513"/>
      <c r="AL98" s="511" t="s">
        <v>99</v>
      </c>
      <c r="AM98" s="511"/>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7.8833333333333329</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512" t="s">
        <v>97</v>
      </c>
      <c r="J103" s="513"/>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513" t="s">
        <v>97</v>
      </c>
      <c r="X103" s="513"/>
      <c r="Y103" s="513" t="s">
        <v>98</v>
      </c>
      <c r="Z103" s="513"/>
      <c r="AA103" s="511" t="s">
        <v>99</v>
      </c>
      <c r="AB103" s="511"/>
      <c r="AC103" s="99">
        <f>AC98+1</f>
        <v>15</v>
      </c>
      <c r="AD103" s="95" t="str">
        <f>VLOOKUP(AC103,STN_TABLE_2,2,FALSE)</f>
        <v xml:space="preserve">  </v>
      </c>
      <c r="AE103" s="68" t="str">
        <f>VLOOKUP(AD103,STN_TABLE,2,FALSE)</f>
        <v xml:space="preserve">  </v>
      </c>
      <c r="AF103" s="68">
        <v>1</v>
      </c>
      <c r="AG103" s="69" t="e">
        <f>AE103*AF103</f>
        <v>#VALUE!</v>
      </c>
      <c r="AH103" s="513" t="s">
        <v>97</v>
      </c>
      <c r="AI103" s="513"/>
      <c r="AJ103" s="513" t="s">
        <v>98</v>
      </c>
      <c r="AK103" s="513"/>
      <c r="AL103" s="511" t="s">
        <v>99</v>
      </c>
      <c r="AM103" s="511"/>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512" t="s">
        <v>97</v>
      </c>
      <c r="J108" s="513"/>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513" t="s">
        <v>97</v>
      </c>
      <c r="X108" s="513"/>
      <c r="Y108" s="513" t="s">
        <v>98</v>
      </c>
      <c r="Z108" s="513"/>
      <c r="AA108" s="511" t="s">
        <v>99</v>
      </c>
      <c r="AB108" s="511"/>
      <c r="AC108" s="99">
        <f>AC103+1</f>
        <v>16</v>
      </c>
      <c r="AD108" s="95" t="str">
        <f>VLOOKUP(AC108,STN_TABLE_2,2,FALSE)</f>
        <v xml:space="preserve">  </v>
      </c>
      <c r="AE108" s="68" t="str">
        <f>VLOOKUP(AD108,STN_TABLE,2,FALSE)</f>
        <v xml:space="preserve">  </v>
      </c>
      <c r="AF108" s="68">
        <v>1</v>
      </c>
      <c r="AG108" s="69" t="e">
        <f>AE108*AF108</f>
        <v>#VALUE!</v>
      </c>
      <c r="AH108" s="513" t="s">
        <v>97</v>
      </c>
      <c r="AI108" s="513"/>
      <c r="AJ108" s="513" t="s">
        <v>98</v>
      </c>
      <c r="AK108" s="513"/>
      <c r="AL108" s="511" t="s">
        <v>99</v>
      </c>
      <c r="AM108" s="511"/>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512" t="s">
        <v>97</v>
      </c>
      <c r="J113" s="513"/>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513" t="s">
        <v>97</v>
      </c>
      <c r="X113" s="513"/>
      <c r="Y113" s="513" t="s">
        <v>98</v>
      </c>
      <c r="Z113" s="513"/>
      <c r="AA113" s="511" t="s">
        <v>99</v>
      </c>
      <c r="AB113" s="511"/>
      <c r="AC113" s="99">
        <f>AC108+1</f>
        <v>17</v>
      </c>
      <c r="AD113" s="95" t="str">
        <f>VLOOKUP(AC113,STN_TABLE_2,2,FALSE)</f>
        <v xml:space="preserve">  </v>
      </c>
      <c r="AE113" s="68" t="str">
        <f>VLOOKUP(AD113,STN_TABLE,2,FALSE)</f>
        <v xml:space="preserve">  </v>
      </c>
      <c r="AF113" s="68">
        <v>1</v>
      </c>
      <c r="AG113" s="69" t="e">
        <f>AE113*AF113</f>
        <v>#VALUE!</v>
      </c>
      <c r="AH113" s="513" t="s">
        <v>97</v>
      </c>
      <c r="AI113" s="513"/>
      <c r="AJ113" s="513" t="s">
        <v>98</v>
      </c>
      <c r="AK113" s="513"/>
      <c r="AL113" s="511" t="s">
        <v>99</v>
      </c>
      <c r="AM113" s="511"/>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512" t="s">
        <v>97</v>
      </c>
      <c r="J118" s="513"/>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513" t="s">
        <v>97</v>
      </c>
      <c r="X118" s="513"/>
      <c r="Y118" s="513" t="s">
        <v>98</v>
      </c>
      <c r="Z118" s="513"/>
      <c r="AA118" s="511" t="s">
        <v>99</v>
      </c>
      <c r="AB118" s="511"/>
      <c r="AC118" s="99">
        <f>AC113+1</f>
        <v>18</v>
      </c>
      <c r="AD118" s="95" t="str">
        <f>VLOOKUP(AC118,STN_TABLE_2,2,FALSE)</f>
        <v xml:space="preserve">  </v>
      </c>
      <c r="AE118" s="68" t="str">
        <f>VLOOKUP(AD118,STN_TABLE,2,FALSE)</f>
        <v xml:space="preserve">  </v>
      </c>
      <c r="AF118" s="68">
        <v>1</v>
      </c>
      <c r="AG118" s="69" t="e">
        <f>AE118*AF118</f>
        <v>#VALUE!</v>
      </c>
      <c r="AH118" s="513" t="s">
        <v>97</v>
      </c>
      <c r="AI118" s="513"/>
      <c r="AJ118" s="513" t="s">
        <v>98</v>
      </c>
      <c r="AK118" s="513"/>
      <c r="AL118" s="511" t="s">
        <v>99</v>
      </c>
      <c r="AM118" s="511"/>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512" t="s">
        <v>97</v>
      </c>
      <c r="J123" s="513"/>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513" t="s">
        <v>97</v>
      </c>
      <c r="X123" s="513"/>
      <c r="Y123" s="513" t="s">
        <v>98</v>
      </c>
      <c r="Z123" s="513"/>
      <c r="AA123" s="511" t="s">
        <v>99</v>
      </c>
      <c r="AB123" s="511"/>
      <c r="AC123" s="99">
        <f>AC118+1</f>
        <v>19</v>
      </c>
      <c r="AD123" s="95" t="str">
        <f>VLOOKUP(AC123,STN_TABLE_2,2,FALSE)</f>
        <v xml:space="preserve">  </v>
      </c>
      <c r="AE123" s="68" t="str">
        <f>VLOOKUP(AD123,STN_TABLE,2,FALSE)</f>
        <v xml:space="preserve">  </v>
      </c>
      <c r="AF123" s="68">
        <v>1</v>
      </c>
      <c r="AG123" s="69" t="e">
        <f>AE123*AF123</f>
        <v>#VALUE!</v>
      </c>
      <c r="AH123" s="513" t="s">
        <v>97</v>
      </c>
      <c r="AI123" s="513"/>
      <c r="AJ123" s="513" t="s">
        <v>98</v>
      </c>
      <c r="AK123" s="513"/>
      <c r="AL123" s="511" t="s">
        <v>99</v>
      </c>
      <c r="AM123" s="511"/>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512" t="s">
        <v>97</v>
      </c>
      <c r="J128" s="513"/>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513" t="s">
        <v>97</v>
      </c>
      <c r="X128" s="513"/>
      <c r="Y128" s="513" t="s">
        <v>98</v>
      </c>
      <c r="Z128" s="513"/>
      <c r="AA128" s="511" t="s">
        <v>99</v>
      </c>
      <c r="AB128" s="511"/>
      <c r="AC128" s="99">
        <f>AC123+1</f>
        <v>20</v>
      </c>
      <c r="AD128" s="95" t="str">
        <f>VLOOKUP(AC128,STN_TABLE_2,2,FALSE)</f>
        <v xml:space="preserve">  </v>
      </c>
      <c r="AE128" s="68" t="str">
        <f>VLOOKUP(AD128,STN_TABLE,2,FALSE)</f>
        <v xml:space="preserve">  </v>
      </c>
      <c r="AF128" s="68">
        <v>1</v>
      </c>
      <c r="AG128" s="69" t="e">
        <f>AE128*AF128</f>
        <v>#VALUE!</v>
      </c>
      <c r="AH128" s="513" t="s">
        <v>97</v>
      </c>
      <c r="AI128" s="513"/>
      <c r="AJ128" s="513" t="s">
        <v>98</v>
      </c>
      <c r="AK128" s="513"/>
      <c r="AL128" s="511" t="s">
        <v>99</v>
      </c>
      <c r="AM128" s="511"/>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512" t="s">
        <v>97</v>
      </c>
      <c r="J133" s="513"/>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513" t="s">
        <v>97</v>
      </c>
      <c r="X133" s="513"/>
      <c r="Y133" s="513" t="s">
        <v>98</v>
      </c>
      <c r="Z133" s="513"/>
      <c r="AA133" s="511" t="s">
        <v>99</v>
      </c>
      <c r="AB133" s="511"/>
      <c r="AC133" s="99">
        <f>AC128+1</f>
        <v>21</v>
      </c>
      <c r="AD133" s="95" t="str">
        <f>VLOOKUP(AC133,STN_TABLE_2,2,FALSE)</f>
        <v xml:space="preserve">  </v>
      </c>
      <c r="AE133" s="68" t="str">
        <f>VLOOKUP(AD133,STN_TABLE,2,FALSE)</f>
        <v xml:space="preserve">  </v>
      </c>
      <c r="AF133" s="68">
        <v>1</v>
      </c>
      <c r="AG133" s="69" t="e">
        <f>AE133*AF133</f>
        <v>#VALUE!</v>
      </c>
      <c r="AH133" s="513" t="s">
        <v>97</v>
      </c>
      <c r="AI133" s="513"/>
      <c r="AJ133" s="513" t="s">
        <v>98</v>
      </c>
      <c r="AK133" s="513"/>
      <c r="AL133" s="511" t="s">
        <v>99</v>
      </c>
      <c r="AM133" s="511"/>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512" t="s">
        <v>97</v>
      </c>
      <c r="J138" s="513"/>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513" t="s">
        <v>97</v>
      </c>
      <c r="X138" s="513"/>
      <c r="Y138" s="513" t="s">
        <v>98</v>
      </c>
      <c r="Z138" s="513"/>
      <c r="AA138" s="511" t="s">
        <v>99</v>
      </c>
      <c r="AB138" s="511"/>
      <c r="AC138" s="99">
        <f>AC133+1</f>
        <v>22</v>
      </c>
      <c r="AD138" s="95" t="str">
        <f>VLOOKUP(AC138,STN_TABLE_2,2,FALSE)</f>
        <v xml:space="preserve">  </v>
      </c>
      <c r="AE138" s="68" t="str">
        <f>VLOOKUP(AD138,STN_TABLE,2,FALSE)</f>
        <v xml:space="preserve">  </v>
      </c>
      <c r="AF138" s="68">
        <v>1</v>
      </c>
      <c r="AG138" s="69" t="e">
        <f>AE138*AF138</f>
        <v>#VALUE!</v>
      </c>
      <c r="AH138" s="513" t="s">
        <v>97</v>
      </c>
      <c r="AI138" s="513"/>
      <c r="AJ138" s="513" t="s">
        <v>98</v>
      </c>
      <c r="AK138" s="513"/>
      <c r="AL138" s="511" t="s">
        <v>99</v>
      </c>
      <c r="AM138" s="511"/>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512" t="s">
        <v>97</v>
      </c>
      <c r="J143" s="513"/>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513" t="s">
        <v>97</v>
      </c>
      <c r="X143" s="513"/>
      <c r="Y143" s="513" t="s">
        <v>98</v>
      </c>
      <c r="Z143" s="513"/>
      <c r="AA143" s="511" t="s">
        <v>99</v>
      </c>
      <c r="AB143" s="511"/>
      <c r="AC143" s="99">
        <f>AC138+1</f>
        <v>23</v>
      </c>
      <c r="AD143" s="95" t="str">
        <f>VLOOKUP(AC143,STN_TABLE_2,2,FALSE)</f>
        <v xml:space="preserve">  </v>
      </c>
      <c r="AE143" s="68" t="str">
        <f>VLOOKUP(AD143,STN_TABLE,2,FALSE)</f>
        <v xml:space="preserve">  </v>
      </c>
      <c r="AF143" s="68">
        <v>1</v>
      </c>
      <c r="AG143" s="69" t="e">
        <f>AE143*AF143</f>
        <v>#VALUE!</v>
      </c>
      <c r="AH143" s="513" t="s">
        <v>97</v>
      </c>
      <c r="AI143" s="513"/>
      <c r="AJ143" s="513" t="s">
        <v>98</v>
      </c>
      <c r="AK143" s="513"/>
      <c r="AL143" s="511" t="s">
        <v>99</v>
      </c>
      <c r="AM143" s="511"/>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512" t="s">
        <v>97</v>
      </c>
      <c r="J148" s="513"/>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513" t="s">
        <v>97</v>
      </c>
      <c r="X148" s="513"/>
      <c r="Y148" s="513" t="s">
        <v>98</v>
      </c>
      <c r="Z148" s="513"/>
      <c r="AA148" s="511" t="s">
        <v>99</v>
      </c>
      <c r="AB148" s="511"/>
      <c r="AC148" s="99">
        <f>AC143+1</f>
        <v>24</v>
      </c>
      <c r="AD148" s="95" t="str">
        <f>VLOOKUP(AC148,STN_TABLE_2,2,FALSE)</f>
        <v xml:space="preserve">  </v>
      </c>
      <c r="AE148" s="68" t="str">
        <f>VLOOKUP(AD148,STN_TABLE,2,FALSE)</f>
        <v xml:space="preserve">  </v>
      </c>
      <c r="AF148" s="68">
        <v>1</v>
      </c>
      <c r="AG148" s="69" t="e">
        <f>AE148*AF148</f>
        <v>#VALUE!</v>
      </c>
      <c r="AH148" s="513" t="s">
        <v>97</v>
      </c>
      <c r="AI148" s="513"/>
      <c r="AJ148" s="513" t="s">
        <v>98</v>
      </c>
      <c r="AK148" s="513"/>
      <c r="AL148" s="511" t="s">
        <v>99</v>
      </c>
      <c r="AM148" s="511"/>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5" tint="-0.249977111117893"/>
  </sheetPr>
  <dimension ref="Q1:AQ27"/>
  <sheetViews>
    <sheetView showGridLines="0" showRowColHeaders="0" tabSelected="1" zoomScale="70" zoomScaleNormal="70" workbookViewId="0">
      <selection activeCell="S4" sqref="S4"/>
    </sheetView>
  </sheetViews>
  <sheetFormatPr defaultRowHeight="15" x14ac:dyDescent="0.25"/>
  <cols>
    <col min="1" max="1" width="12.42578125" style="123" customWidth="1"/>
    <col min="2" max="2" width="12" style="123" customWidth="1"/>
    <col min="3" max="3" width="9.140625" style="123"/>
    <col min="4" max="4" width="7.28515625" style="123" customWidth="1"/>
    <col min="5" max="5" width="7" style="123" customWidth="1"/>
    <col min="6" max="6" width="7.28515625" style="123" customWidth="1"/>
    <col min="7" max="7" width="7.42578125" style="123" customWidth="1"/>
    <col min="8" max="8" width="6.85546875" style="123" customWidth="1"/>
    <col min="9" max="9" width="6.5703125" style="123" customWidth="1"/>
    <col min="10" max="11" width="7" style="123" customWidth="1"/>
    <col min="12" max="12" width="6.85546875" style="123" customWidth="1"/>
    <col min="13" max="13" width="6.5703125" style="123" customWidth="1"/>
    <col min="14" max="14" width="6.85546875" style="123" customWidth="1"/>
    <col min="15" max="15" width="7" style="123" customWidth="1"/>
    <col min="16" max="16" width="10.42578125" style="123" customWidth="1"/>
    <col min="17" max="17" width="3" style="123" customWidth="1"/>
    <col min="18" max="16384" width="9.140625" style="123"/>
  </cols>
  <sheetData>
    <row r="1" spans="17:43" ht="18.75" x14ac:dyDescent="0.3">
      <c r="Q1" s="434"/>
      <c r="R1" s="435" t="s">
        <v>303</v>
      </c>
      <c r="S1" s="434"/>
    </row>
    <row r="2" spans="17:43" x14ac:dyDescent="0.25">
      <c r="R2" s="413" t="s">
        <v>133</v>
      </c>
      <c r="S2" s="413">
        <v>0</v>
      </c>
      <c r="T2" s="413">
        <v>0.5</v>
      </c>
      <c r="U2" s="413">
        <v>1</v>
      </c>
      <c r="V2" s="413">
        <v>1.5</v>
      </c>
      <c r="W2" s="413">
        <v>2</v>
      </c>
      <c r="X2" s="413">
        <v>3</v>
      </c>
      <c r="Y2" s="413">
        <v>4</v>
      </c>
      <c r="Z2" s="413">
        <v>5</v>
      </c>
      <c r="AA2" s="413" t="s">
        <v>134</v>
      </c>
      <c r="AB2" s="413">
        <v>6</v>
      </c>
      <c r="AC2" s="413">
        <v>7</v>
      </c>
      <c r="AD2" s="413" t="s">
        <v>135</v>
      </c>
      <c r="AE2" s="413"/>
      <c r="AF2" s="413"/>
      <c r="AG2" s="122"/>
      <c r="AH2" s="122"/>
      <c r="AI2" s="122"/>
      <c r="AJ2" s="122"/>
      <c r="AK2" s="122"/>
      <c r="AL2" s="122"/>
      <c r="AM2" s="122"/>
      <c r="AN2" s="122"/>
      <c r="AO2" s="122"/>
      <c r="AP2" s="122"/>
      <c r="AQ2" s="122"/>
    </row>
    <row r="3" spans="17:43" x14ac:dyDescent="0.25">
      <c r="R3" s="413">
        <v>0</v>
      </c>
      <c r="S3" s="124">
        <v>0</v>
      </c>
      <c r="T3" s="124">
        <v>0</v>
      </c>
      <c r="U3" s="124">
        <v>0</v>
      </c>
      <c r="V3" s="124">
        <v>0</v>
      </c>
      <c r="W3" s="124">
        <v>0</v>
      </c>
      <c r="X3" s="124">
        <v>0</v>
      </c>
      <c r="Y3" s="124">
        <v>0</v>
      </c>
      <c r="Z3" s="124">
        <v>0</v>
      </c>
      <c r="AA3" s="124">
        <v>2.8919999999999999</v>
      </c>
      <c r="AB3" s="124">
        <v>6.2</v>
      </c>
      <c r="AC3" s="124">
        <v>9.6</v>
      </c>
      <c r="AD3" s="124">
        <v>10.89</v>
      </c>
      <c r="AE3" s="124"/>
      <c r="AF3" s="124"/>
      <c r="AG3" s="125"/>
      <c r="AH3" s="125"/>
      <c r="AI3" s="125"/>
      <c r="AJ3" s="125"/>
      <c r="AK3" s="125"/>
      <c r="AL3" s="125"/>
      <c r="AM3" s="125"/>
      <c r="AN3" s="125"/>
      <c r="AO3" s="125"/>
      <c r="AP3" s="125"/>
      <c r="AQ3" s="125"/>
    </row>
    <row r="4" spans="17:43" x14ac:dyDescent="0.25">
      <c r="R4" s="413">
        <v>0.5</v>
      </c>
      <c r="S4" s="124">
        <v>0</v>
      </c>
      <c r="T4" s="124">
        <v>0</v>
      </c>
      <c r="U4" s="124">
        <v>0</v>
      </c>
      <c r="V4" s="124">
        <v>0</v>
      </c>
      <c r="W4" s="124">
        <v>0</v>
      </c>
      <c r="X4" s="124">
        <v>0</v>
      </c>
      <c r="Y4" s="124">
        <v>0</v>
      </c>
      <c r="Z4" s="124">
        <v>1.2</v>
      </c>
      <c r="AA4" s="124">
        <v>6.8</v>
      </c>
      <c r="AB4" s="124">
        <v>8.4600000000000009</v>
      </c>
      <c r="AC4" s="124">
        <v>10.63</v>
      </c>
      <c r="AD4" s="124">
        <v>11.52</v>
      </c>
      <c r="AE4" s="124"/>
      <c r="AF4" s="124"/>
      <c r="AG4" s="125"/>
      <c r="AH4" s="125"/>
      <c r="AI4" s="125"/>
      <c r="AJ4" s="125"/>
      <c r="AK4" s="125"/>
      <c r="AL4" s="125"/>
      <c r="AM4" s="125"/>
      <c r="AN4" s="125"/>
      <c r="AO4" s="125"/>
      <c r="AP4" s="125"/>
      <c r="AQ4" s="125"/>
    </row>
    <row r="5" spans="17:43" x14ac:dyDescent="0.25">
      <c r="R5" s="413">
        <v>1</v>
      </c>
      <c r="S5" s="124">
        <v>0</v>
      </c>
      <c r="T5" s="124">
        <v>0</v>
      </c>
      <c r="U5" s="124">
        <v>0</v>
      </c>
      <c r="V5" s="124">
        <v>0</v>
      </c>
      <c r="W5" s="124">
        <v>0</v>
      </c>
      <c r="X5" s="124">
        <v>0</v>
      </c>
      <c r="Y5" s="124">
        <v>0</v>
      </c>
      <c r="Z5" s="124">
        <v>6.12</v>
      </c>
      <c r="AA5" s="124">
        <v>8.8000000000000007</v>
      </c>
      <c r="AB5" s="124">
        <v>9.84</v>
      </c>
      <c r="AC5" s="124">
        <v>11.33</v>
      </c>
      <c r="AD5" s="124">
        <v>11.9</v>
      </c>
      <c r="AE5" s="124"/>
      <c r="AF5" s="124"/>
      <c r="AG5" s="125"/>
      <c r="AH5" s="125"/>
      <c r="AI5" s="125"/>
      <c r="AJ5" s="125"/>
      <c r="AK5" s="125"/>
      <c r="AL5" s="125"/>
      <c r="AM5" s="125"/>
      <c r="AN5" s="125"/>
      <c r="AO5" s="125"/>
      <c r="AP5" s="125"/>
      <c r="AQ5" s="125"/>
    </row>
    <row r="6" spans="17:43" x14ac:dyDescent="0.25">
      <c r="R6" s="413">
        <v>1.5</v>
      </c>
      <c r="S6" s="124">
        <v>0</v>
      </c>
      <c r="T6" s="124">
        <v>0</v>
      </c>
      <c r="U6" s="124">
        <v>0</v>
      </c>
      <c r="V6" s="124">
        <v>0.4</v>
      </c>
      <c r="W6" s="124">
        <v>0.7</v>
      </c>
      <c r="X6" s="124">
        <v>1.2</v>
      </c>
      <c r="Y6" s="124">
        <v>2.4</v>
      </c>
      <c r="Z6" s="124">
        <v>8.5500000000000007</v>
      </c>
      <c r="AA6" s="124">
        <v>10.14</v>
      </c>
      <c r="AB6" s="124">
        <v>10.78</v>
      </c>
      <c r="AC6" s="124">
        <v>11.77</v>
      </c>
      <c r="AD6" s="124">
        <v>12.1</v>
      </c>
      <c r="AE6" s="124"/>
      <c r="AF6" s="124"/>
      <c r="AG6" s="125"/>
      <c r="AH6" s="125"/>
      <c r="AI6" s="125"/>
      <c r="AJ6" s="125"/>
      <c r="AK6" s="125"/>
      <c r="AL6" s="125"/>
      <c r="AM6" s="125"/>
      <c r="AN6" s="125"/>
      <c r="AO6" s="125"/>
      <c r="AP6" s="125"/>
      <c r="AQ6" s="125"/>
    </row>
    <row r="7" spans="17:43" x14ac:dyDescent="0.25">
      <c r="R7" s="413">
        <v>2</v>
      </c>
      <c r="S7" s="124">
        <v>0</v>
      </c>
      <c r="T7" s="124">
        <v>0.4</v>
      </c>
      <c r="U7" s="124">
        <v>1.04</v>
      </c>
      <c r="V7" s="124">
        <v>1.5</v>
      </c>
      <c r="W7" s="124">
        <v>1.7</v>
      </c>
      <c r="X7" s="124">
        <v>2.7</v>
      </c>
      <c r="Y7" s="124">
        <v>5.5</v>
      </c>
      <c r="Z7" s="124">
        <v>9.9</v>
      </c>
      <c r="AA7" s="124">
        <v>10.9</v>
      </c>
      <c r="AB7" s="124">
        <v>11.34</v>
      </c>
      <c r="AC7" s="124">
        <v>12</v>
      </c>
      <c r="AD7" s="124">
        <v>12.2</v>
      </c>
      <c r="AE7" s="124"/>
      <c r="AF7" s="124"/>
      <c r="AG7" s="125"/>
      <c r="AH7" s="125"/>
      <c r="AI7" s="125"/>
      <c r="AJ7" s="125"/>
      <c r="AK7" s="125"/>
      <c r="AL7" s="125"/>
      <c r="AM7" s="125"/>
      <c r="AN7" s="125"/>
      <c r="AO7" s="125"/>
      <c r="AP7" s="125"/>
      <c r="AQ7" s="125"/>
    </row>
    <row r="8" spans="17:43" x14ac:dyDescent="0.25">
      <c r="R8" s="413">
        <v>3</v>
      </c>
      <c r="S8" s="124">
        <v>0.3</v>
      </c>
      <c r="T8" s="124">
        <v>1.67</v>
      </c>
      <c r="U8" s="124">
        <v>2.2999999999999998</v>
      </c>
      <c r="V8" s="124">
        <v>2.7</v>
      </c>
      <c r="W8" s="124">
        <v>3.1</v>
      </c>
      <c r="X8" s="124">
        <v>5.7</v>
      </c>
      <c r="Y8" s="124">
        <v>9.6999999999999993</v>
      </c>
      <c r="Z8" s="124">
        <v>11.23</v>
      </c>
      <c r="AA8" s="124">
        <v>11.7</v>
      </c>
      <c r="AB8" s="124">
        <v>11.93</v>
      </c>
      <c r="AC8" s="124">
        <v>12.21</v>
      </c>
      <c r="AD8" s="124">
        <v>12.23</v>
      </c>
      <c r="AE8" s="124"/>
      <c r="AF8" s="124"/>
      <c r="AG8" s="125"/>
      <c r="AH8" s="125"/>
      <c r="AI8" s="125"/>
      <c r="AJ8" s="125"/>
      <c r="AK8" s="125"/>
      <c r="AL8" s="125"/>
      <c r="AM8" s="125"/>
      <c r="AN8" s="125"/>
      <c r="AO8" s="125"/>
      <c r="AP8" s="125"/>
      <c r="AQ8" s="125"/>
    </row>
    <row r="9" spans="17:43" x14ac:dyDescent="0.25">
      <c r="R9" s="413">
        <v>4</v>
      </c>
      <c r="S9" s="124">
        <v>1</v>
      </c>
      <c r="T9" s="124">
        <v>3.17</v>
      </c>
      <c r="U9" s="124">
        <v>4.08</v>
      </c>
      <c r="V9" s="124">
        <v>4.8</v>
      </c>
      <c r="W9" s="124">
        <v>5.8</v>
      </c>
      <c r="X9" s="124">
        <v>9.1999999999999993</v>
      </c>
      <c r="Y9" s="124">
        <v>11.17</v>
      </c>
      <c r="Z9" s="124">
        <v>11.91</v>
      </c>
      <c r="AA9" s="124">
        <v>12.14</v>
      </c>
      <c r="AB9" s="124">
        <v>12.2</v>
      </c>
      <c r="AC9" s="124">
        <v>12.25</v>
      </c>
      <c r="AD9" s="124">
        <v>12.25</v>
      </c>
      <c r="AE9" s="124"/>
      <c r="AF9" s="124"/>
      <c r="AG9" s="125"/>
      <c r="AH9" s="125"/>
      <c r="AI9" s="125"/>
      <c r="AJ9" s="125"/>
      <c r="AK9" s="125"/>
      <c r="AL9" s="125"/>
      <c r="AM9" s="125"/>
      <c r="AN9" s="125"/>
      <c r="AO9" s="125"/>
      <c r="AP9" s="125"/>
      <c r="AQ9" s="125"/>
    </row>
    <row r="10" spans="17:43" x14ac:dyDescent="0.25">
      <c r="R10" s="413">
        <v>5</v>
      </c>
      <c r="S10" s="124">
        <v>1.62</v>
      </c>
      <c r="T10" s="124">
        <v>4.8099999999999996</v>
      </c>
      <c r="U10" s="124">
        <v>6.09</v>
      </c>
      <c r="V10" s="124">
        <v>7.37</v>
      </c>
      <c r="W10" s="124">
        <v>9.0299999999999994</v>
      </c>
      <c r="X10" s="124">
        <v>11.15</v>
      </c>
      <c r="Y10" s="124">
        <v>11.95</v>
      </c>
      <c r="Z10" s="124">
        <v>12.22</v>
      </c>
      <c r="AA10" s="124">
        <v>12.25</v>
      </c>
      <c r="AB10" s="124">
        <v>12.25</v>
      </c>
      <c r="AC10" s="124">
        <v>12.25</v>
      </c>
      <c r="AD10" s="124">
        <v>12.25</v>
      </c>
      <c r="AE10" s="124"/>
      <c r="AF10" s="124"/>
      <c r="AG10" s="125"/>
      <c r="AH10" s="125"/>
      <c r="AI10" s="125"/>
      <c r="AJ10" s="125"/>
      <c r="AK10" s="125"/>
      <c r="AL10" s="125"/>
      <c r="AM10" s="125"/>
      <c r="AN10" s="125"/>
      <c r="AO10" s="125"/>
      <c r="AP10" s="125"/>
      <c r="AQ10" s="125"/>
    </row>
    <row r="11" spans="17:43" x14ac:dyDescent="0.25">
      <c r="R11" s="413">
        <v>6</v>
      </c>
      <c r="S11" s="124">
        <v>2.2000000000000002</v>
      </c>
      <c r="T11" s="124">
        <v>6.59</v>
      </c>
      <c r="U11" s="124">
        <v>8.34</v>
      </c>
      <c r="V11" s="124">
        <v>9.82</v>
      </c>
      <c r="W11" s="124">
        <v>10.92</v>
      </c>
      <c r="X11" s="124">
        <v>11.97</v>
      </c>
      <c r="Y11" s="124">
        <v>12.25</v>
      </c>
      <c r="Z11" s="124">
        <v>12.25</v>
      </c>
      <c r="AA11" s="124">
        <v>12.25</v>
      </c>
      <c r="AB11" s="124">
        <v>12.25</v>
      </c>
      <c r="AC11" s="124">
        <v>12.25</v>
      </c>
      <c r="AD11" s="124">
        <v>12.25</v>
      </c>
      <c r="AE11" s="124"/>
      <c r="AF11" s="124"/>
      <c r="AG11" s="125"/>
      <c r="AH11" s="125"/>
      <c r="AI11" s="125"/>
      <c r="AJ11" s="125"/>
      <c r="AK11" s="125"/>
      <c r="AL11" s="125"/>
      <c r="AM11" s="125"/>
      <c r="AN11" s="125"/>
      <c r="AO11" s="125"/>
      <c r="AP11" s="125"/>
      <c r="AQ11" s="125"/>
    </row>
    <row r="12" spans="17:43" x14ac:dyDescent="0.25">
      <c r="R12" s="413">
        <v>7</v>
      </c>
      <c r="S12" s="124">
        <v>3.71</v>
      </c>
      <c r="T12" s="124">
        <v>8.58</v>
      </c>
      <c r="U12" s="124">
        <v>10.26</v>
      </c>
      <c r="V12" s="124">
        <v>11.25</v>
      </c>
      <c r="W12" s="124">
        <v>11.86</v>
      </c>
      <c r="X12" s="124">
        <v>12.25</v>
      </c>
      <c r="Y12" s="124">
        <v>12.25</v>
      </c>
      <c r="Z12" s="124">
        <v>12.25</v>
      </c>
      <c r="AA12" s="124">
        <v>12.25</v>
      </c>
      <c r="AB12" s="124">
        <v>12.25</v>
      </c>
      <c r="AC12" s="124">
        <v>12.25</v>
      </c>
      <c r="AD12" s="124">
        <v>12.25</v>
      </c>
      <c r="AE12" s="124"/>
      <c r="AF12" s="124"/>
      <c r="AG12" s="125"/>
      <c r="AH12" s="125"/>
      <c r="AI12" s="125"/>
      <c r="AJ12" s="125"/>
      <c r="AK12" s="125"/>
      <c r="AL12" s="125"/>
      <c r="AM12" s="125"/>
      <c r="AN12" s="125"/>
      <c r="AO12" s="125"/>
      <c r="AP12" s="125"/>
      <c r="AQ12" s="125"/>
    </row>
    <row r="13" spans="17:43" x14ac:dyDescent="0.25">
      <c r="R13" s="413">
        <v>8</v>
      </c>
      <c r="S13" s="124">
        <v>5.9</v>
      </c>
      <c r="T13" s="124">
        <v>10.16</v>
      </c>
      <c r="U13" s="124">
        <v>11.35</v>
      </c>
      <c r="V13" s="124">
        <v>11.9</v>
      </c>
      <c r="W13" s="124">
        <v>12.18</v>
      </c>
      <c r="X13" s="124">
        <v>12.25</v>
      </c>
      <c r="Y13" s="124">
        <v>12.25</v>
      </c>
      <c r="Z13" s="124">
        <v>12.25</v>
      </c>
      <c r="AA13" s="124">
        <v>12.25</v>
      </c>
      <c r="AB13" s="124">
        <v>12.25</v>
      </c>
      <c r="AC13" s="124">
        <v>12.25</v>
      </c>
      <c r="AD13" s="124">
        <v>12.25</v>
      </c>
      <c r="AE13" s="124"/>
      <c r="AF13" s="124"/>
      <c r="AG13" s="125"/>
      <c r="AH13" s="125"/>
      <c r="AI13" s="125"/>
      <c r="AJ13" s="125"/>
      <c r="AK13" s="125"/>
      <c r="AL13" s="125"/>
      <c r="AM13" s="125"/>
      <c r="AN13" s="125"/>
      <c r="AO13" s="125"/>
      <c r="AP13" s="125"/>
      <c r="AQ13" s="125"/>
    </row>
    <row r="14" spans="17:43" x14ac:dyDescent="0.25">
      <c r="R14" s="413">
        <v>9</v>
      </c>
      <c r="S14" s="124">
        <v>7.2</v>
      </c>
      <c r="T14" s="124">
        <v>10.78</v>
      </c>
      <c r="U14" s="124">
        <v>11.72</v>
      </c>
      <c r="V14" s="124">
        <v>12.12</v>
      </c>
      <c r="W14" s="124">
        <v>12.25</v>
      </c>
      <c r="X14" s="124">
        <v>12.25</v>
      </c>
      <c r="Y14" s="124">
        <v>12.25</v>
      </c>
      <c r="Z14" s="124">
        <v>12.25</v>
      </c>
      <c r="AA14" s="124">
        <v>12.25</v>
      </c>
      <c r="AB14" s="124">
        <v>12.25</v>
      </c>
      <c r="AC14" s="124">
        <v>12.25</v>
      </c>
      <c r="AD14" s="124">
        <v>12.25</v>
      </c>
      <c r="AE14" s="124"/>
      <c r="AF14" s="124"/>
      <c r="AG14" s="125"/>
      <c r="AH14" s="125"/>
      <c r="AI14" s="125"/>
      <c r="AJ14" s="125"/>
      <c r="AK14" s="125"/>
      <c r="AL14" s="125"/>
      <c r="AM14" s="125"/>
      <c r="AN14" s="125"/>
      <c r="AO14" s="125"/>
      <c r="AP14" s="125"/>
      <c r="AQ14" s="125"/>
    </row>
    <row r="15" spans="17:43" x14ac:dyDescent="0.25">
      <c r="R15" s="413">
        <v>10</v>
      </c>
      <c r="S15" s="124">
        <v>8.25</v>
      </c>
      <c r="T15" s="124">
        <v>10.84</v>
      </c>
      <c r="U15" s="124">
        <v>11.76</v>
      </c>
      <c r="V15" s="124">
        <v>12.14</v>
      </c>
      <c r="W15" s="124">
        <v>12.25</v>
      </c>
      <c r="X15" s="124">
        <v>12.25</v>
      </c>
      <c r="Y15" s="124">
        <v>12.25</v>
      </c>
      <c r="Z15" s="124">
        <v>12.25</v>
      </c>
      <c r="AA15" s="124">
        <v>12.25</v>
      </c>
      <c r="AB15" s="124">
        <v>12.25</v>
      </c>
      <c r="AC15" s="124">
        <v>12.25</v>
      </c>
      <c r="AD15" s="124">
        <v>12.25</v>
      </c>
      <c r="AE15" s="124"/>
      <c r="AF15" s="124"/>
      <c r="AG15" s="125"/>
      <c r="AH15" s="125"/>
      <c r="AI15" s="125"/>
      <c r="AJ15" s="125"/>
      <c r="AK15" s="125"/>
      <c r="AL15" s="125"/>
      <c r="AM15" s="125"/>
      <c r="AN15" s="125"/>
      <c r="AO15" s="125"/>
      <c r="AP15" s="125"/>
      <c r="AQ15" s="125"/>
    </row>
    <row r="16" spans="17:43" x14ac:dyDescent="0.25">
      <c r="R16" s="413">
        <v>11</v>
      </c>
      <c r="S16" s="124">
        <v>8.6</v>
      </c>
      <c r="T16" s="124">
        <v>10.65</v>
      </c>
      <c r="U16" s="124">
        <v>11.62</v>
      </c>
      <c r="V16" s="124">
        <v>12.04</v>
      </c>
      <c r="W16" s="124">
        <v>12.21</v>
      </c>
      <c r="X16" s="124">
        <v>12.25</v>
      </c>
      <c r="Y16" s="124">
        <v>12.25</v>
      </c>
      <c r="Z16" s="124">
        <v>12.25</v>
      </c>
      <c r="AA16" s="124">
        <v>12.25</v>
      </c>
      <c r="AB16" s="124">
        <v>12.25</v>
      </c>
      <c r="AC16" s="124">
        <v>12.25</v>
      </c>
      <c r="AD16" s="124">
        <v>12.25</v>
      </c>
      <c r="AE16" s="124"/>
      <c r="AF16" s="124"/>
      <c r="AG16" s="125"/>
      <c r="AH16" s="125"/>
      <c r="AI16" s="125"/>
      <c r="AJ16" s="125"/>
      <c r="AK16" s="125"/>
      <c r="AL16" s="125"/>
      <c r="AM16" s="125"/>
      <c r="AN16" s="125"/>
      <c r="AO16" s="125"/>
      <c r="AP16" s="125"/>
      <c r="AQ16" s="125"/>
    </row>
    <row r="17" spans="18:43" x14ac:dyDescent="0.25">
      <c r="R17" s="413">
        <v>12</v>
      </c>
      <c r="S17" s="124">
        <v>7.85</v>
      </c>
      <c r="T17" s="124">
        <v>10.02</v>
      </c>
      <c r="U17" s="124">
        <v>11.1</v>
      </c>
      <c r="V17" s="124">
        <v>11.63</v>
      </c>
      <c r="W17" s="124">
        <v>11.92</v>
      </c>
      <c r="X17" s="124">
        <v>12.2</v>
      </c>
      <c r="Y17" s="124">
        <v>12.25</v>
      </c>
      <c r="Z17" s="124">
        <v>12.25</v>
      </c>
      <c r="AA17" s="124">
        <v>12.25</v>
      </c>
      <c r="AB17" s="124">
        <v>12.25</v>
      </c>
      <c r="AC17" s="124">
        <v>12.25</v>
      </c>
      <c r="AD17" s="124">
        <v>12.25</v>
      </c>
      <c r="AE17" s="124"/>
      <c r="AF17" s="124"/>
      <c r="AG17" s="125"/>
      <c r="AH17" s="125"/>
      <c r="AI17" s="125"/>
      <c r="AJ17" s="125"/>
      <c r="AK17" s="125"/>
      <c r="AL17" s="125"/>
      <c r="AM17" s="125"/>
      <c r="AN17" s="125"/>
      <c r="AO17" s="125"/>
      <c r="AP17" s="125"/>
      <c r="AQ17" s="125"/>
    </row>
    <row r="18" spans="18:43" x14ac:dyDescent="0.25">
      <c r="R18" s="413">
        <v>13</v>
      </c>
      <c r="S18" s="124">
        <v>6.7</v>
      </c>
      <c r="T18" s="124">
        <v>8.84</v>
      </c>
      <c r="U18" s="124">
        <v>10.029999999999999</v>
      </c>
      <c r="V18" s="124">
        <v>10.68</v>
      </c>
      <c r="W18" s="124">
        <v>11.1</v>
      </c>
      <c r="X18" s="124">
        <v>11.64</v>
      </c>
      <c r="Y18" s="124">
        <v>11.97</v>
      </c>
      <c r="Z18" s="124">
        <v>12.18</v>
      </c>
      <c r="AA18" s="124">
        <v>12.22</v>
      </c>
      <c r="AB18" s="124">
        <v>12.23</v>
      </c>
      <c r="AC18" s="124">
        <v>12.23</v>
      </c>
      <c r="AD18" s="124">
        <v>12.25</v>
      </c>
      <c r="AE18" s="124"/>
      <c r="AF18" s="124"/>
      <c r="AG18" s="125"/>
      <c r="AH18" s="125"/>
      <c r="AI18" s="125"/>
      <c r="AJ18" s="125"/>
      <c r="AK18" s="125"/>
      <c r="AL18" s="125"/>
      <c r="AM18" s="125"/>
      <c r="AN18" s="125"/>
      <c r="AO18" s="125"/>
      <c r="AP18" s="125"/>
      <c r="AQ18" s="125"/>
    </row>
    <row r="19" spans="18:43" x14ac:dyDescent="0.25">
      <c r="R19" s="413">
        <v>14</v>
      </c>
      <c r="S19" s="124">
        <v>5.35</v>
      </c>
      <c r="T19" s="124">
        <v>7.29</v>
      </c>
      <c r="U19" s="124">
        <v>8.15</v>
      </c>
      <c r="V19" s="124">
        <v>9.25</v>
      </c>
      <c r="W19" s="124">
        <v>9.75</v>
      </c>
      <c r="X19" s="124">
        <v>10.5</v>
      </c>
      <c r="Y19" s="124">
        <v>11.06</v>
      </c>
      <c r="Z19" s="124">
        <v>11.46</v>
      </c>
      <c r="AA19" s="124">
        <v>11.67</v>
      </c>
      <c r="AB19" s="124">
        <v>11.79</v>
      </c>
      <c r="AC19" s="124">
        <v>12.07</v>
      </c>
      <c r="AD19" s="124">
        <v>12.23</v>
      </c>
      <c r="AE19" s="124"/>
      <c r="AF19" s="124"/>
      <c r="AG19" s="125"/>
      <c r="AH19" s="125"/>
      <c r="AI19" s="125"/>
      <c r="AJ19" s="125"/>
      <c r="AK19" s="125"/>
      <c r="AL19" s="125"/>
      <c r="AM19" s="125"/>
      <c r="AN19" s="125"/>
      <c r="AO19" s="125"/>
      <c r="AP19" s="125"/>
      <c r="AQ19" s="125"/>
    </row>
    <row r="20" spans="18:43" x14ac:dyDescent="0.25">
      <c r="R20" s="413">
        <v>15</v>
      </c>
      <c r="S20" s="124">
        <v>3.8</v>
      </c>
      <c r="T20" s="124">
        <v>5.65</v>
      </c>
      <c r="U20" s="124">
        <v>6.8</v>
      </c>
      <c r="V20" s="124">
        <v>7.54</v>
      </c>
      <c r="W20" s="124">
        <v>8.08</v>
      </c>
      <c r="X20" s="124">
        <v>8.91</v>
      </c>
      <c r="Y20" s="124">
        <v>9.64</v>
      </c>
      <c r="Z20" s="124">
        <v>10.26</v>
      </c>
      <c r="AA20" s="124">
        <v>10.6</v>
      </c>
      <c r="AB20" s="124">
        <v>10.8</v>
      </c>
      <c r="AC20" s="124">
        <v>11.29</v>
      </c>
      <c r="AD20" s="124">
        <v>12.15</v>
      </c>
      <c r="AE20" s="124"/>
      <c r="AF20" s="124"/>
      <c r="AG20" s="125"/>
      <c r="AH20" s="125"/>
      <c r="AI20" s="125"/>
      <c r="AJ20" s="125"/>
      <c r="AK20" s="125"/>
      <c r="AL20" s="125"/>
      <c r="AM20" s="125"/>
      <c r="AN20" s="125"/>
      <c r="AO20" s="125"/>
      <c r="AP20" s="125"/>
      <c r="AQ20" s="125"/>
    </row>
    <row r="21" spans="18:43" x14ac:dyDescent="0.25">
      <c r="R21" s="413">
        <v>16</v>
      </c>
      <c r="S21" s="124">
        <v>2.2200000000000002</v>
      </c>
      <c r="T21" s="124">
        <v>4.05</v>
      </c>
      <c r="U21" s="124">
        <v>5.0999999999999996</v>
      </c>
      <c r="V21" s="124">
        <v>5.74</v>
      </c>
      <c r="W21" s="124">
        <v>6.23</v>
      </c>
      <c r="X21" s="124">
        <v>7.02</v>
      </c>
      <c r="Y21" s="124">
        <v>7.81</v>
      </c>
      <c r="Z21" s="124">
        <v>8.6300000000000008</v>
      </c>
      <c r="AA21" s="124">
        <v>9.1199999999999992</v>
      </c>
      <c r="AB21" s="124">
        <v>9.43</v>
      </c>
      <c r="AC21" s="124">
        <v>10.199999999999999</v>
      </c>
      <c r="AD21" s="124">
        <v>11.75</v>
      </c>
      <c r="AE21" s="124"/>
      <c r="AF21" s="124"/>
      <c r="AG21" s="125"/>
      <c r="AH21" s="125"/>
      <c r="AI21" s="125"/>
      <c r="AJ21" s="125"/>
      <c r="AK21" s="125"/>
      <c r="AL21" s="125"/>
      <c r="AM21" s="125"/>
      <c r="AN21" s="125"/>
      <c r="AO21" s="125"/>
      <c r="AP21" s="125"/>
      <c r="AQ21" s="125"/>
    </row>
    <row r="22" spans="18:43" x14ac:dyDescent="0.25">
      <c r="R22" s="413">
        <v>17</v>
      </c>
      <c r="S22" s="124">
        <v>0.65</v>
      </c>
      <c r="T22" s="124">
        <v>2.63</v>
      </c>
      <c r="U22" s="124">
        <v>3.52</v>
      </c>
      <c r="V22" s="124">
        <v>4.0599999999999996</v>
      </c>
      <c r="W22" s="124">
        <v>4.43</v>
      </c>
      <c r="X22" s="124">
        <v>5.03</v>
      </c>
      <c r="Y22" s="124">
        <v>5.69</v>
      </c>
      <c r="Z22" s="124">
        <v>6.59</v>
      </c>
      <c r="AA22" s="124">
        <v>7.22</v>
      </c>
      <c r="AB22" s="124">
        <v>7.64</v>
      </c>
      <c r="AC22" s="124">
        <v>8.73</v>
      </c>
      <c r="AD22" s="124">
        <v>10.94</v>
      </c>
      <c r="AE22" s="124"/>
      <c r="AF22" s="124"/>
      <c r="AG22" s="125"/>
      <c r="AH22" s="125"/>
      <c r="AI22" s="125"/>
      <c r="AJ22" s="125"/>
      <c r="AK22" s="125"/>
      <c r="AL22" s="125"/>
      <c r="AM22" s="125"/>
      <c r="AN22" s="125"/>
      <c r="AO22" s="125"/>
      <c r="AP22" s="125"/>
      <c r="AQ22" s="125"/>
    </row>
    <row r="23" spans="18:43" x14ac:dyDescent="0.25">
      <c r="R23" s="413">
        <v>18</v>
      </c>
      <c r="S23" s="124">
        <v>0</v>
      </c>
      <c r="T23" s="124">
        <v>1.49</v>
      </c>
      <c r="U23" s="124">
        <v>2.23</v>
      </c>
      <c r="V23" s="124">
        <v>2.69</v>
      </c>
      <c r="W23" s="124">
        <v>2.97</v>
      </c>
      <c r="X23" s="124">
        <v>3.25</v>
      </c>
      <c r="Y23" s="124">
        <v>3.51</v>
      </c>
      <c r="Z23" s="124">
        <v>4.28</v>
      </c>
      <c r="AA23" s="124">
        <v>4.97</v>
      </c>
      <c r="AB23" s="124">
        <v>5.47</v>
      </c>
      <c r="AC23" s="124">
        <v>6.84</v>
      </c>
      <c r="AD23" s="124">
        <v>9.77</v>
      </c>
      <c r="AE23" s="124"/>
      <c r="AF23" s="124"/>
      <c r="AG23" s="125"/>
      <c r="AH23" s="125"/>
      <c r="AI23" s="125"/>
      <c r="AJ23" s="125"/>
      <c r="AK23" s="125"/>
      <c r="AL23" s="125"/>
      <c r="AM23" s="125"/>
      <c r="AN23" s="125"/>
      <c r="AO23" s="125"/>
      <c r="AP23" s="125"/>
      <c r="AQ23" s="125"/>
    </row>
    <row r="24" spans="18:43" x14ac:dyDescent="0.25">
      <c r="R24" s="413">
        <v>18.5</v>
      </c>
      <c r="S24" s="124">
        <v>0</v>
      </c>
      <c r="T24" s="124">
        <v>1.04</v>
      </c>
      <c r="U24" s="124">
        <v>1.7</v>
      </c>
      <c r="V24" s="124">
        <v>2.14</v>
      </c>
      <c r="W24" s="124">
        <v>2.4</v>
      </c>
      <c r="X24" s="124">
        <v>2.57</v>
      </c>
      <c r="Y24" s="124">
        <v>2.5499999999999998</v>
      </c>
      <c r="Z24" s="124">
        <v>3.12</v>
      </c>
      <c r="AA24" s="124">
        <v>3.79</v>
      </c>
      <c r="AB24" s="124">
        <v>4.3</v>
      </c>
      <c r="AC24" s="124">
        <v>5.71</v>
      </c>
      <c r="AD24" s="124">
        <v>8.1</v>
      </c>
      <c r="AE24" s="124"/>
      <c r="AF24" s="124"/>
      <c r="AG24" s="125"/>
      <c r="AH24" s="125"/>
      <c r="AI24" s="125"/>
      <c r="AJ24" s="125"/>
      <c r="AK24" s="125"/>
      <c r="AL24" s="125"/>
      <c r="AM24" s="125"/>
      <c r="AN24" s="125"/>
      <c r="AO24" s="125"/>
      <c r="AP24" s="125"/>
      <c r="AQ24" s="125"/>
    </row>
    <row r="25" spans="18:43" x14ac:dyDescent="0.25">
      <c r="R25" s="413">
        <v>19</v>
      </c>
      <c r="S25" s="124">
        <v>0</v>
      </c>
      <c r="T25" s="124">
        <v>0.64</v>
      </c>
      <c r="U25" s="124">
        <v>1.27</v>
      </c>
      <c r="V25" s="124">
        <v>1.68</v>
      </c>
      <c r="W25" s="124">
        <v>1.96</v>
      </c>
      <c r="X25" s="124">
        <v>2.1</v>
      </c>
      <c r="Y25" s="124">
        <v>1.8</v>
      </c>
      <c r="Z25" s="124">
        <v>2</v>
      </c>
      <c r="AA25" s="124">
        <v>2.61</v>
      </c>
      <c r="AB25" s="124">
        <v>3.1</v>
      </c>
      <c r="AC25" s="124">
        <v>4.42</v>
      </c>
      <c r="AD25" s="124">
        <v>5.76</v>
      </c>
      <c r="AE25" s="124"/>
      <c r="AF25" s="124"/>
      <c r="AG25" s="125"/>
      <c r="AH25" s="125"/>
      <c r="AI25" s="125"/>
      <c r="AJ25" s="125"/>
      <c r="AK25" s="125"/>
      <c r="AL25" s="125"/>
      <c r="AM25" s="125"/>
      <c r="AN25" s="125"/>
      <c r="AO25" s="125"/>
      <c r="AP25" s="125"/>
      <c r="AQ25" s="125"/>
    </row>
    <row r="26" spans="18:43" x14ac:dyDescent="0.25">
      <c r="R26" s="413">
        <v>19.5</v>
      </c>
      <c r="S26" s="124">
        <v>0</v>
      </c>
      <c r="T26" s="124">
        <v>0</v>
      </c>
      <c r="U26" s="124">
        <v>0.86</v>
      </c>
      <c r="V26" s="124">
        <v>1.29</v>
      </c>
      <c r="W26" s="124">
        <v>1.6</v>
      </c>
      <c r="X26" s="124">
        <v>1.77</v>
      </c>
      <c r="Y26" s="124">
        <v>1.31</v>
      </c>
      <c r="Z26" s="124">
        <v>1</v>
      </c>
      <c r="AA26" s="124">
        <v>1.44</v>
      </c>
      <c r="AB26" s="124">
        <v>1.74</v>
      </c>
      <c r="AC26" s="124">
        <v>2.79</v>
      </c>
      <c r="AD26" s="124">
        <v>4.0999999999999996</v>
      </c>
      <c r="AE26" s="124"/>
      <c r="AF26" s="124"/>
      <c r="AG26" s="125"/>
      <c r="AH26" s="125"/>
      <c r="AI26" s="125"/>
      <c r="AJ26" s="125"/>
      <c r="AK26" s="125"/>
      <c r="AL26" s="125"/>
      <c r="AM26" s="125"/>
      <c r="AN26" s="125"/>
      <c r="AO26" s="125"/>
      <c r="AP26" s="125"/>
      <c r="AQ26" s="125"/>
    </row>
    <row r="27" spans="18:43" x14ac:dyDescent="0.25">
      <c r="R27" s="413">
        <v>20</v>
      </c>
      <c r="S27" s="124">
        <v>0</v>
      </c>
      <c r="T27" s="124">
        <v>0</v>
      </c>
      <c r="U27" s="124">
        <v>0</v>
      </c>
      <c r="V27" s="124">
        <v>0.76</v>
      </c>
      <c r="W27" s="124">
        <v>1.1499999999999999</v>
      </c>
      <c r="X27" s="124">
        <v>1.45</v>
      </c>
      <c r="Y27" s="124">
        <v>1.04</v>
      </c>
      <c r="Z27" s="124">
        <v>0</v>
      </c>
      <c r="AA27" s="124">
        <v>0</v>
      </c>
      <c r="AB27" s="124">
        <v>0.25</v>
      </c>
      <c r="AC27" s="124">
        <v>0.85</v>
      </c>
      <c r="AD27" s="124">
        <v>1.78</v>
      </c>
      <c r="AE27" s="124"/>
      <c r="AF27" s="124"/>
      <c r="AG27" s="125"/>
      <c r="AH27" s="125"/>
      <c r="AI27" s="125"/>
      <c r="AJ27" s="125"/>
      <c r="AK27" s="125"/>
      <c r="AL27" s="125"/>
      <c r="AM27" s="125"/>
      <c r="AN27" s="125"/>
      <c r="AO27" s="125"/>
      <c r="AP27" s="125"/>
      <c r="AQ27" s="125"/>
    </row>
  </sheetData>
  <sheetProtection password="CC2F" sheet="1" objects="1" scenarios="1"/>
  <conditionalFormatting sqref="S3:AQ27">
    <cfRule type="notContainsBlanks" dxfId="117" priority="9">
      <formula>LEN(TRIM(S3))&gt;0</formula>
    </cfRule>
  </conditionalFormatting>
  <conditionalFormatting sqref="R2:AQ2 R3:R27">
    <cfRule type="notContainsBlanks" dxfId="116" priority="8">
      <formula>LEN(TRIM(R2))&gt;0</formula>
    </cfRule>
  </conditionalFormatting>
  <conditionalFormatting sqref="R2:AQ27">
    <cfRule type="containsBlanks" dxfId="115" priority="1">
      <formula>LEN(TRIM(R2))=0</formula>
    </cfRule>
  </conditionalFormatting>
  <dataValidations count="2">
    <dataValidation type="decimal" operator="greaterThanOrEqual" allowBlank="1" showInputMessage="1" showErrorMessage="1" errorTitle="Offset" error="No -ve values allowed" promptTitle="Offset" sqref="R3:AQ27">
      <formula1>0</formula1>
    </dataValidation>
    <dataValidation type="whole" operator="equal" allowBlank="1" showInputMessage="1" showErrorMessage="1" errorTitle="Offset" error="Offset should have Waterline 0" sqref="S2">
      <formula1>0</formula1>
    </dataValidation>
  </dataValidations>
  <pageMargins left="0.7" right="0.7" top="0.75" bottom="0.75" header="0.3" footer="0.3"/>
  <pageSetup paperSize="9"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4" tint="0.79998168889431442"/>
  </sheetPr>
  <dimension ref="A1:BG62"/>
  <sheetViews>
    <sheetView topLeftCell="AP1" zoomScale="85" zoomScaleNormal="85" workbookViewId="0">
      <pane ySplit="1" topLeftCell="A2"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59" x14ac:dyDescent="0.25">
      <c r="A1" s="1" t="s">
        <v>0</v>
      </c>
      <c r="B1" s="2">
        <f>VLOOKUP(Stn_WL,OFFSET_A,Count_WL+1,FALSE)</f>
        <v>3</v>
      </c>
      <c r="C1" s="3"/>
      <c r="D1" s="4"/>
      <c r="E1" s="4" t="s">
        <v>1</v>
      </c>
      <c r="F1" s="5">
        <f>HLOOKUP('Hydros Calc'!D2,OFFSET_A,27,FALSE)</f>
        <v>6</v>
      </c>
      <c r="G1" s="4"/>
      <c r="H1" s="4"/>
      <c r="I1" s="4"/>
      <c r="J1" s="4"/>
      <c r="K1" s="4"/>
      <c r="L1" s="4"/>
      <c r="M1" s="4"/>
      <c r="N1" s="4"/>
      <c r="O1" s="4"/>
      <c r="P1" s="4"/>
      <c r="Q1" s="4"/>
      <c r="R1" s="4"/>
      <c r="S1" s="4"/>
      <c r="V1" t="s">
        <v>2</v>
      </c>
      <c r="W1">
        <f ca="1">COUNTIF(OFFSET(Z4,,,ROUNDDOWN(Max_STN_count/2+1,0),1),TRUE)</f>
        <v>5</v>
      </c>
      <c r="X1">
        <f ca="1">COUNTIF(OFFSET(AA4,,,ROUNDDOWN(Max_STN_count/2+1,0),1),TRUE)</f>
        <v>3</v>
      </c>
      <c r="Y1">
        <f ca="1">W1-X1</f>
        <v>2</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2</v>
      </c>
      <c r="AW1">
        <f ca="1">COUNTIF(OFFSET(AG4,,,Max_STN_count,1),TRUE)</f>
        <v>17</v>
      </c>
    </row>
    <row r="2" spans="1:59" x14ac:dyDescent="0.25">
      <c r="A2" s="508" t="s">
        <v>5</v>
      </c>
      <c r="B2" s="509"/>
      <c r="C2" s="509"/>
      <c r="D2" s="509"/>
      <c r="E2" s="509"/>
      <c r="F2" s="509"/>
      <c r="G2" s="509"/>
      <c r="H2" s="509"/>
      <c r="I2" s="510"/>
      <c r="J2" s="15" t="s">
        <v>136</v>
      </c>
      <c r="K2" s="508" t="s">
        <v>6</v>
      </c>
      <c r="L2" s="509"/>
      <c r="M2" s="509"/>
      <c r="N2" s="509"/>
      <c r="O2" s="510"/>
      <c r="P2" s="15" t="s">
        <v>136</v>
      </c>
      <c r="Q2" s="15" t="s">
        <v>136</v>
      </c>
      <c r="R2" s="15" t="s">
        <v>136</v>
      </c>
      <c r="S2" s="15" t="s">
        <v>136</v>
      </c>
      <c r="V2" s="11"/>
      <c r="W2" s="11"/>
      <c r="X2" s="11"/>
      <c r="Y2" s="11"/>
      <c r="Z2" s="11"/>
      <c r="AA2" s="11"/>
      <c r="AB2" s="11"/>
      <c r="AC2" s="11"/>
      <c r="AD2" s="11"/>
      <c r="AE2" s="11"/>
      <c r="AF2" s="11"/>
      <c r="AG2" s="11"/>
      <c r="AH2" s="11"/>
      <c r="AI2" s="11"/>
      <c r="AJ2" s="11"/>
      <c r="AK2" s="11"/>
      <c r="AL2" s="11"/>
      <c r="AM2" s="11"/>
      <c r="AN2" s="11"/>
      <c r="AO2" s="508" t="s">
        <v>5</v>
      </c>
      <c r="AP2" s="509"/>
      <c r="AQ2" s="509"/>
      <c r="AR2" s="509"/>
      <c r="AS2" s="509"/>
      <c r="AT2" s="509"/>
      <c r="AU2" s="509"/>
      <c r="AV2" s="509"/>
      <c r="AW2" s="510"/>
      <c r="AX2" s="15" t="s">
        <v>136</v>
      </c>
      <c r="AY2" s="508" t="s">
        <v>6</v>
      </c>
      <c r="AZ2" s="509"/>
      <c r="BA2" s="509"/>
      <c r="BB2" s="509"/>
      <c r="BC2" s="510"/>
      <c r="BD2" s="15" t="s">
        <v>136</v>
      </c>
      <c r="BE2" s="15" t="s">
        <v>136</v>
      </c>
      <c r="BF2" s="15" t="s">
        <v>136</v>
      </c>
      <c r="BG2" s="15" t="s">
        <v>136</v>
      </c>
    </row>
    <row r="3" spans="1:59" x14ac:dyDescent="0.25">
      <c r="A3" s="12" t="s">
        <v>9</v>
      </c>
      <c r="B3" s="13" t="s">
        <v>10</v>
      </c>
      <c r="C3" s="14" t="s">
        <v>11</v>
      </c>
      <c r="D3" s="14" t="s">
        <v>12</v>
      </c>
      <c r="E3" s="14" t="s">
        <v>13</v>
      </c>
      <c r="F3" s="14" t="s">
        <v>14</v>
      </c>
      <c r="G3" s="14" t="s">
        <v>15</v>
      </c>
      <c r="H3" s="14" t="s">
        <v>16</v>
      </c>
      <c r="I3" s="14" t="s">
        <v>17</v>
      </c>
      <c r="J3" s="15" t="s">
        <v>136</v>
      </c>
      <c r="K3" s="14" t="s">
        <v>18</v>
      </c>
      <c r="L3" s="14" t="s">
        <v>19</v>
      </c>
      <c r="M3" s="14" t="s">
        <v>20</v>
      </c>
      <c r="N3" s="14" t="s">
        <v>21</v>
      </c>
      <c r="O3" s="14" t="s">
        <v>22</v>
      </c>
      <c r="P3" s="15" t="s">
        <v>136</v>
      </c>
      <c r="Q3" s="8" t="s">
        <v>7</v>
      </c>
      <c r="R3" s="9" t="s">
        <v>8</v>
      </c>
      <c r="S3" s="10">
        <f>WLS</f>
        <v>1.8</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t="s">
        <v>11</v>
      </c>
      <c r="AR3" s="14" t="s">
        <v>12</v>
      </c>
      <c r="AS3" s="14" t="s">
        <v>13</v>
      </c>
      <c r="AT3" s="14" t="s">
        <v>14</v>
      </c>
      <c r="AU3" s="14" t="s">
        <v>15</v>
      </c>
      <c r="AV3" s="14" t="s">
        <v>16</v>
      </c>
      <c r="AW3" s="14" t="s">
        <v>17</v>
      </c>
      <c r="AX3" s="15" t="s">
        <v>136</v>
      </c>
      <c r="AY3" s="14" t="s">
        <v>18</v>
      </c>
      <c r="AZ3" s="14" t="s">
        <v>19</v>
      </c>
      <c r="BA3" s="14" t="s">
        <v>20</v>
      </c>
      <c r="BB3" s="14" t="s">
        <v>21</v>
      </c>
      <c r="BC3" s="14" t="s">
        <v>22</v>
      </c>
      <c r="BD3" s="15" t="s">
        <v>136</v>
      </c>
      <c r="BE3" s="8" t="s">
        <v>7</v>
      </c>
      <c r="BF3" s="9" t="s">
        <v>8</v>
      </c>
      <c r="BG3" s="10">
        <f>WLS</f>
        <v>1.8</v>
      </c>
    </row>
    <row r="4" spans="1:59"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15" t="s">
        <v>136</v>
      </c>
      <c r="K4" s="25">
        <f t="shared" ref="K4:K28" si="2">VLOOKUP(A4,AREA_TABLE,Count_WL+1,FALSE)</f>
        <v>0</v>
      </c>
      <c r="L4" s="23">
        <f>IFERROR(K4*C4,"  ")</f>
        <v>0</v>
      </c>
      <c r="M4" s="26">
        <f t="shared" ref="M4:M28" si="3">VLOOKUP(A4,MOMENT_TABLE,Count_WL+1,FALSE)</f>
        <v>0</v>
      </c>
      <c r="N4" s="27">
        <f>IFERROR(M4*C4,"  ")</f>
        <v>0</v>
      </c>
      <c r="O4" s="23">
        <f>IFERROR(L4*E4,"  ")</f>
        <v>0</v>
      </c>
      <c r="P4" s="15" t="s">
        <v>136</v>
      </c>
      <c r="Q4" s="16" t="s">
        <v>23</v>
      </c>
      <c r="R4" s="9" t="s">
        <v>8</v>
      </c>
      <c r="S4" s="10">
        <f>STN_GAP</f>
        <v>6.5849999999999991</v>
      </c>
      <c r="W4" s="29">
        <f>IF(AO4="  ","  ",IF(AO5="  ","?",1*(AO5-AO4)))</f>
        <v>0.5</v>
      </c>
      <c r="X4" s="30" t="str">
        <f t="shared" ref="X4:X28" si="4">IF(Y4=0,"--",CONCATENATE(IF(AO4=0,"-",IF(Y3=0,"-",IF(AO4-AO3=0.5,"D",IF(AO4-AO3=1,"W","-")))),IF(AO4=Long_Div,"-",IF(Y5=0,"-",IF(AO5-AO4=0.5,"D",IF(AO5-AO4=1,"W","-"))))))</f>
        <v>--</v>
      </c>
      <c r="Y4" s="30">
        <f t="shared" ref="Y4:Y28" si="5">IF(ISNUMBER(AO4),IF(AO4=Long_Div/2,"-",IF(AND(AO4=Long_Div,$AP4=0,$AP3=0),0,IF(AND(AO4=0,$AP4=0,$AP5=0),0,IF($AO4&lt;Long_Div/2,IF(AND(Y3=0,$AP4=0,$AP5=0),0,"-"),IF(AND(Y5=0,$AP4=0,$AP3=0),0,"-")))))," ")</f>
        <v>0</v>
      </c>
      <c r="Z4" s="29" t="b">
        <f t="shared" ref="Z4:Z28" si="6">IF(ISNUMBER(AO4),IF(AO4=0,IF(AO5=0.5,TRUE,FALSE),IF(AO4=Long_Div,IF(AO3=Long_Div-0.5,TRUE,FALSE),IF(OR(AO5-AO4=0.5,AO4-AO3=0.5),TRUE,FALSE)))," ")</f>
        <v>1</v>
      </c>
      <c r="AA4" s="29" t="str">
        <f t="shared" ref="AA4:AA28" si="7">IF(ISNUMBER(AO4),IF(Y4=0," ",IF(AO4=0,IF(AO5=0.5,TRUE,"-"),IF(AO4=Long_Div,IF(AO3=Long_Div-0.5,TRUE,"-"),IF(OR(AO5-AO4=0.5,AO4-AO3=0.5),TRUE,FALSE))))," ")</f>
        <v xml:space="preserve"> </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str">
        <f t="shared" ref="AG4:AG28" si="11">IF(ISNUMBER(AO4),IF(AA4=" "," ",IF(AO4=0,IF(AO5-AO4=1,TRUE,FALSE),IF(AO4=Long_Div,IF(AO4-AO3=1,TRUE,FALSE),IF(OR(AO5-AO4=1,AO4-AO3=1),TRUE,FALSE))))," ")</f>
        <v xml:space="preserve"> </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
      </c>
      <c r="AJ4" s="29">
        <f t="shared" ref="AJ4:AJ28" ca="1" si="14">IF(OR(AB4="1331-1",AB4="1331-1,141-1"),(1/2)*(3/8),IF(AB4="1331-3",(1/2)*(9/8),IF(AB4="141-1",(1/2)*(1/3),IF(AB4="141-2",(1/2)*(2/3),IF(AB4="141-4",(1/2)*(4/3),0)))))</f>
        <v>0</v>
      </c>
      <c r="AK4" s="29" t="str">
        <f t="shared" ref="AK4:AK28" si="15">IF(AH4="1331-1,141-1","(1*3/8)+(1/3)",IF(LEFT(AH4,4)="141-",CONCATENATE(RIGHT(AH4,1),"/3"),IF(LEFT(AH4,4)="1331",CONCATENATE(RIGHT(AH4,1),"*3/8"),"")))</f>
        <v/>
      </c>
      <c r="AL4" s="29">
        <f t="shared" ref="AL4:AL28" si="16">IF(AH4="1331-1,141-1",(1*3/8)+(1/3),IF(LEFT(AH4,4)="141-",(RIGHT(AH4,1)/3),IF(LEFT(AH4,4)="1331",RIGHT(AH4,1)*3/8,0)))</f>
        <v>0</v>
      </c>
      <c r="AM4" s="32" t="str">
        <f ca="1">IF(AQ4=""," ",AJ4+AL4)</f>
        <v xml:space="preserve"> </v>
      </c>
      <c r="AO4" s="20">
        <f>Tools!$AD3</f>
        <v>0</v>
      </c>
      <c r="AP4" s="33">
        <f t="shared" ref="AP4" si="17">VLOOKUP(AO4,OFFSET_A,Count_WL+1,FALSE)</f>
        <v>0</v>
      </c>
      <c r="AQ4" s="34" t="str">
        <f t="shared" ref="AQ4:AQ28" ca="1" si="18">CONCATENATE(AI4,IF(NOT(OR(AI4="",AK4="")),"+",""),AK4)</f>
        <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f t="shared" ref="AV4:AV28" si="21">IFERROR(AP4^3,"  ")</f>
        <v>0</v>
      </c>
      <c r="AW4" s="23" t="str">
        <f t="shared" ref="AW4:AW28" ca="1" si="22">IFERROR(AV4*AM4,"  ")</f>
        <v xml:space="preserve">  </v>
      </c>
      <c r="AX4" s="15" t="s">
        <v>136</v>
      </c>
      <c r="AY4" s="35">
        <f t="shared" ref="AY4:AY28" si="23">IF(ROW(AY4)-3&gt;Max_STN_count," ",VLOOKUP(AO4,AREA_TABLE,Count_WL+1,FALSE))</f>
        <v>0</v>
      </c>
      <c r="AZ4" s="23" t="str">
        <f t="shared" ref="AZ4:AZ7" ca="1" si="24">IFERROR(AY4*AM4,"  ")</f>
        <v xml:space="preserve">  </v>
      </c>
      <c r="BA4" s="36">
        <f t="shared" ref="BA4:BA28" si="25">IF(ROW(AY4)-3&gt;Max_STN_count," ",VLOOKUP(AO4,MOMENT_TABLE,Count_WL+1,FALSE))</f>
        <v>0</v>
      </c>
      <c r="BB4" s="27" t="str">
        <f ca="1">IFERROR(BA4*AM4,"  ")</f>
        <v xml:space="preserve">  </v>
      </c>
      <c r="BC4" s="23" t="str">
        <f ca="1">IFERROR(AZ4*AS4,"  ")</f>
        <v xml:space="preserve">  </v>
      </c>
      <c r="BD4" s="15" t="s">
        <v>136</v>
      </c>
      <c r="BE4" s="16" t="s">
        <v>23</v>
      </c>
      <c r="BF4" s="9" t="s">
        <v>8</v>
      </c>
      <c r="BG4" s="10">
        <f>STN_GAP</f>
        <v>6.5849999999999991</v>
      </c>
    </row>
    <row r="5" spans="1:59" x14ac:dyDescent="0.25">
      <c r="A5" s="20">
        <f>Tools!$AD4</f>
        <v>0.5</v>
      </c>
      <c r="B5" s="33">
        <f t="shared" si="0"/>
        <v>0</v>
      </c>
      <c r="C5" s="22">
        <f>IF(A5="  ","  ",IF(AND(A4="  ",A6="  "),"?",IF(A4="  ",2*(A6-A5),IF(A6="  ",2*(A5-A4),2*(A6-A4)))))</f>
        <v>2</v>
      </c>
      <c r="D5" s="23">
        <f t="shared" ref="D5:D28" si="26">IFERROR(B5*C5,"  ")</f>
        <v>0</v>
      </c>
      <c r="E5" s="24">
        <f t="shared" si="1"/>
        <v>-9.5</v>
      </c>
      <c r="F5" s="23">
        <f t="shared" ref="F5:F28" si="27">IFERROR(D5*E5,"  ")</f>
        <v>0</v>
      </c>
      <c r="G5" s="23">
        <f t="shared" ref="G5:G28" si="28">IFERROR(F5*E5,"  ")</f>
        <v>0</v>
      </c>
      <c r="H5" s="23">
        <f t="shared" ref="H5:H28" si="29">IFERROR(B5^3,"  ")</f>
        <v>0</v>
      </c>
      <c r="I5" s="23">
        <f t="shared" ref="I5:I28" si="30">IFERROR(H5*C5,"  ")</f>
        <v>0</v>
      </c>
      <c r="J5" s="15" t="s">
        <v>136</v>
      </c>
      <c r="K5" s="37">
        <f t="shared" si="2"/>
        <v>0</v>
      </c>
      <c r="L5" s="23">
        <f t="shared" ref="L5:L28" si="31">IFERROR(K5*C5,"  ")</f>
        <v>0</v>
      </c>
      <c r="M5" s="38">
        <f t="shared" si="3"/>
        <v>0</v>
      </c>
      <c r="N5" s="27">
        <f t="shared" ref="N5:N28" si="32">IFERROR(M5*C5,"  ")</f>
        <v>0</v>
      </c>
      <c r="O5" s="23">
        <f t="shared" ref="O5:O28" si="33">IFERROR(L5*E5,"  ")</f>
        <v>0</v>
      </c>
      <c r="P5" s="15" t="s">
        <v>136</v>
      </c>
      <c r="Q5" s="16" t="s">
        <v>26</v>
      </c>
      <c r="R5" s="9" t="s">
        <v>8</v>
      </c>
      <c r="S5" s="28">
        <f>LBP</f>
        <v>131.69999999999999</v>
      </c>
      <c r="W5" s="29">
        <f>IF(AO5="  ","  ",IF(AND(AO4="  ",AO6="  "),"?",IF(AO4="  ",2*(AO6-AO5),IF(AO6="  ",2*(AO5-AO4),2*(AO6-AO4)))))</f>
        <v>2</v>
      </c>
      <c r="X5" s="30" t="str">
        <f t="shared" si="4"/>
        <v>--</v>
      </c>
      <c r="Y5" s="30">
        <f t="shared" si="5"/>
        <v>0</v>
      </c>
      <c r="Z5" s="29" t="b">
        <f t="shared" si="6"/>
        <v>1</v>
      </c>
      <c r="AA5" s="29" t="str">
        <f t="shared" si="7"/>
        <v xml:space="preserve"> </v>
      </c>
      <c r="AB5" s="29" t="str">
        <f t="shared" ca="1" si="8"/>
        <v>--</v>
      </c>
      <c r="AC5" s="29">
        <f t="shared" ref="AC5:AC27" si="34">IF(ISNUMBER(AO5),IF(ISNUMBER(AO5),IF(OR(AO5=0,AO5=Long_Div),1,IF(AO5&gt;Long_Div/2,AC6+1,IF(AO5&lt;=Long_Div/2,AC4+1,"?")))," --")," ")</f>
        <v>2</v>
      </c>
      <c r="AD5" s="29">
        <f t="shared" ca="1" si="9"/>
        <v>0</v>
      </c>
      <c r="AE5" s="29">
        <v>2</v>
      </c>
      <c r="AF5" s="31" t="str">
        <f t="shared" si="10"/>
        <v xml:space="preserve"> </v>
      </c>
      <c r="AG5" s="29" t="str">
        <f t="shared" si="11"/>
        <v xml:space="preserve"> </v>
      </c>
      <c r="AH5" s="30" t="str">
        <f t="shared" si="12"/>
        <v>-</v>
      </c>
      <c r="AI5" s="30" t="str">
        <f t="shared" ca="1" si="13"/>
        <v/>
      </c>
      <c r="AJ5" s="29">
        <f t="shared" ca="1" si="14"/>
        <v>0</v>
      </c>
      <c r="AK5" s="29" t="str">
        <f t="shared" si="15"/>
        <v/>
      </c>
      <c r="AL5" s="29">
        <f t="shared" si="16"/>
        <v>0</v>
      </c>
      <c r="AM5" s="32" t="str">
        <f t="shared" ref="AM5:AM28" ca="1" si="35">IF(AQ5=""," ",AJ5+AL5)</f>
        <v xml:space="preserve"> </v>
      </c>
      <c r="AO5" s="20">
        <f>Tools!$AD4</f>
        <v>0.5</v>
      </c>
      <c r="AP5" s="33">
        <f t="shared" ref="AP5:AP28" si="36">VLOOKUP(AO5,OFFSET_A,Count_WL+1,FALSE)</f>
        <v>0</v>
      </c>
      <c r="AQ5" s="34" t="str">
        <f t="shared" ca="1" si="18"/>
        <v/>
      </c>
      <c r="AR5" s="23" t="str">
        <f t="shared" ca="1" si="19"/>
        <v xml:space="preserve">  </v>
      </c>
      <c r="AS5" s="24">
        <f t="shared" si="20"/>
        <v>-9.5</v>
      </c>
      <c r="AT5" s="23" t="str">
        <f t="shared" ref="AT5:AT28" ca="1" si="37">IFERROR(AR5*AS5,"  ")</f>
        <v xml:space="preserve">  </v>
      </c>
      <c r="AU5" s="23" t="str">
        <f ca="1">IFERROR(AT5*AS5,"  ")</f>
        <v xml:space="preserve">  </v>
      </c>
      <c r="AV5" s="23">
        <f t="shared" si="21"/>
        <v>0</v>
      </c>
      <c r="AW5" s="23" t="str">
        <f t="shared" ca="1" si="22"/>
        <v xml:space="preserve">  </v>
      </c>
      <c r="AX5" s="15" t="s">
        <v>136</v>
      </c>
      <c r="AY5" s="35">
        <f t="shared" si="23"/>
        <v>0</v>
      </c>
      <c r="AZ5" s="23" t="str">
        <f t="shared" ca="1" si="24"/>
        <v xml:space="preserve">  </v>
      </c>
      <c r="BA5" s="36">
        <f t="shared" si="25"/>
        <v>0</v>
      </c>
      <c r="BB5" s="27" t="str">
        <f t="shared" ref="BB5:BB28" ca="1" si="38">IFERROR(BA5*AM5,"  ")</f>
        <v xml:space="preserve">  </v>
      </c>
      <c r="BC5" s="23" t="str">
        <f t="shared" ref="BC5:BC28" ca="1" si="39">IFERROR(AZ5*AS5,"  ")</f>
        <v xml:space="preserve">  </v>
      </c>
      <c r="BD5" s="15" t="s">
        <v>136</v>
      </c>
      <c r="BE5" s="16" t="s">
        <v>26</v>
      </c>
      <c r="BF5" s="9" t="s">
        <v>8</v>
      </c>
      <c r="BG5" s="28">
        <f>LBP</f>
        <v>131.69999999999999</v>
      </c>
    </row>
    <row r="6" spans="1:59" x14ac:dyDescent="0.25">
      <c r="A6" s="20">
        <f>Tools!$AD5</f>
        <v>1</v>
      </c>
      <c r="B6" s="33">
        <f t="shared" si="0"/>
        <v>0</v>
      </c>
      <c r="C6" s="22">
        <f>IF(A6="  ","  ",IF(AND(A5="  ",A7="  "),"?",IF(A5="  ",1*(A7-A6),IF(A7="  ",1*(A6-A5),1*(A7-A5)))))</f>
        <v>1</v>
      </c>
      <c r="D6" s="23">
        <f t="shared" si="26"/>
        <v>0</v>
      </c>
      <c r="E6" s="24">
        <f t="shared" si="1"/>
        <v>-9</v>
      </c>
      <c r="F6" s="23">
        <f t="shared" si="27"/>
        <v>0</v>
      </c>
      <c r="G6" s="23">
        <f t="shared" si="28"/>
        <v>0</v>
      </c>
      <c r="H6" s="23">
        <f t="shared" si="29"/>
        <v>0</v>
      </c>
      <c r="I6" s="23">
        <f t="shared" si="30"/>
        <v>0</v>
      </c>
      <c r="J6" s="15" t="s">
        <v>136</v>
      </c>
      <c r="K6" s="37">
        <f t="shared" si="2"/>
        <v>0</v>
      </c>
      <c r="L6" s="23">
        <f t="shared" si="31"/>
        <v>0</v>
      </c>
      <c r="M6" s="38">
        <f t="shared" si="3"/>
        <v>0</v>
      </c>
      <c r="N6" s="27">
        <f t="shared" si="32"/>
        <v>0</v>
      </c>
      <c r="O6" s="23">
        <f t="shared" si="33"/>
        <v>0</v>
      </c>
      <c r="P6" s="15" t="s">
        <v>136</v>
      </c>
      <c r="Q6" s="8" t="s">
        <v>27</v>
      </c>
      <c r="R6" s="9" t="s">
        <v>8</v>
      </c>
      <c r="S6" s="10">
        <f>BREADTH</f>
        <v>24.5</v>
      </c>
      <c r="W6" s="29">
        <f>IF(AO6="  ","  ",IF(AND(AO5="  ",AO7="  "),"?",IF(AO5="  ",1*(AO7-AO6),IF(AO7="  ",1*(AO6-AO5),1*(AO7-AO5)))))</f>
        <v>1</v>
      </c>
      <c r="X6" s="30" t="str">
        <f t="shared" si="4"/>
        <v>-D</v>
      </c>
      <c r="Y6" s="30" t="str">
        <f t="shared" si="5"/>
        <v>-</v>
      </c>
      <c r="Z6" s="29" t="b">
        <f t="shared" si="6"/>
        <v>1</v>
      </c>
      <c r="AA6" s="29" t="b">
        <f t="shared" si="7"/>
        <v>1</v>
      </c>
      <c r="AB6" s="29" t="str">
        <f t="shared" ca="1" si="8"/>
        <v>141-1</v>
      </c>
      <c r="AC6" s="29">
        <f t="shared" si="34"/>
        <v>3</v>
      </c>
      <c r="AD6" s="29">
        <f t="shared" ca="1" si="9"/>
        <v>1</v>
      </c>
      <c r="AE6" s="29">
        <v>3</v>
      </c>
      <c r="AF6" s="31" t="str">
        <f t="shared" si="10"/>
        <v xml:space="preserve"> </v>
      </c>
      <c r="AG6" s="29" t="b">
        <f t="shared" si="11"/>
        <v>0</v>
      </c>
      <c r="AH6" s="30" t="str">
        <f t="shared" si="12"/>
        <v>-</v>
      </c>
      <c r="AI6" s="30" t="str">
        <f t="shared" ca="1" si="13"/>
        <v>(1/2)*(1/3)</v>
      </c>
      <c r="AJ6" s="29">
        <f t="shared" ca="1" si="14"/>
        <v>0.16666666666666666</v>
      </c>
      <c r="AK6" s="29" t="str">
        <f t="shared" si="15"/>
        <v/>
      </c>
      <c r="AL6" s="29">
        <f t="shared" si="16"/>
        <v>0</v>
      </c>
      <c r="AM6" s="32">
        <f t="shared" ca="1" si="35"/>
        <v>0.16666666666666666</v>
      </c>
      <c r="AO6" s="20">
        <f>Tools!$AD5</f>
        <v>1</v>
      </c>
      <c r="AP6" s="33">
        <f t="shared" si="36"/>
        <v>0</v>
      </c>
      <c r="AQ6" s="34" t="str">
        <f t="shared" ca="1" si="18"/>
        <v>(1/2)*(1/3)</v>
      </c>
      <c r="AR6" s="23">
        <f t="shared" ca="1" si="19"/>
        <v>0</v>
      </c>
      <c r="AS6" s="24">
        <f t="shared" si="20"/>
        <v>-9</v>
      </c>
      <c r="AT6" s="23">
        <f t="shared" ca="1" si="37"/>
        <v>0</v>
      </c>
      <c r="AU6" s="23">
        <f ca="1">IFERROR(AT6*AS6,"  ")</f>
        <v>0</v>
      </c>
      <c r="AV6" s="23">
        <f t="shared" si="21"/>
        <v>0</v>
      </c>
      <c r="AW6" s="23">
        <f t="shared" ca="1" si="22"/>
        <v>0</v>
      </c>
      <c r="AX6" s="15" t="s">
        <v>136</v>
      </c>
      <c r="AY6" s="35">
        <f t="shared" si="23"/>
        <v>0</v>
      </c>
      <c r="AZ6" s="23">
        <f t="shared" ca="1" si="24"/>
        <v>0</v>
      </c>
      <c r="BA6" s="36">
        <f t="shared" si="25"/>
        <v>0</v>
      </c>
      <c r="BB6" s="27">
        <f t="shared" ca="1" si="38"/>
        <v>0</v>
      </c>
      <c r="BC6" s="23">
        <f t="shared" ca="1" si="39"/>
        <v>0</v>
      </c>
      <c r="BD6" s="15" t="s">
        <v>136</v>
      </c>
      <c r="BE6" s="8" t="s">
        <v>27</v>
      </c>
      <c r="BF6" s="9" t="s">
        <v>8</v>
      </c>
      <c r="BG6" s="10">
        <f>BREADTH</f>
        <v>24.5</v>
      </c>
    </row>
    <row r="7" spans="1:59" x14ac:dyDescent="0.25">
      <c r="A7" s="20">
        <f>Tools!$AD6</f>
        <v>1.5</v>
      </c>
      <c r="B7" s="33">
        <f t="shared" si="0"/>
        <v>1.2</v>
      </c>
      <c r="C7" s="22">
        <f>IF(A7="  ","  ",IF(AND(A6="  ",A8="  "),"?",IF(A6="  ",2*(A8-A7),IF(A8="  ",2*(A7-A6),2*(A8-A6)))))</f>
        <v>2</v>
      </c>
      <c r="D7" s="23">
        <f t="shared" si="26"/>
        <v>2.4</v>
      </c>
      <c r="E7" s="24">
        <f t="shared" si="1"/>
        <v>-8.5</v>
      </c>
      <c r="F7" s="23">
        <f t="shared" si="27"/>
        <v>-20.399999999999999</v>
      </c>
      <c r="G7" s="23">
        <f t="shared" si="28"/>
        <v>173.39999999999998</v>
      </c>
      <c r="H7" s="23">
        <f t="shared" si="29"/>
        <v>1.728</v>
      </c>
      <c r="I7" s="23">
        <f t="shared" si="30"/>
        <v>3.456</v>
      </c>
      <c r="J7" s="15" t="s">
        <v>136</v>
      </c>
      <c r="K7" s="37">
        <f t="shared" si="2"/>
        <v>4.5</v>
      </c>
      <c r="L7" s="23">
        <f t="shared" si="31"/>
        <v>9</v>
      </c>
      <c r="M7" s="38">
        <f t="shared" si="3"/>
        <v>18.609000000000002</v>
      </c>
      <c r="N7" s="27">
        <f t="shared" si="32"/>
        <v>37.218000000000004</v>
      </c>
      <c r="O7" s="23">
        <f t="shared" si="33"/>
        <v>-76.5</v>
      </c>
      <c r="P7" s="15" t="s">
        <v>136</v>
      </c>
      <c r="Q7" s="8" t="s">
        <v>28</v>
      </c>
      <c r="R7" s="9" t="s">
        <v>8</v>
      </c>
      <c r="S7" s="10">
        <f>DEPTH</f>
        <v>14.19</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2</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1.2</v>
      </c>
      <c r="AQ7" s="34" t="str">
        <f t="shared" ca="1" si="18"/>
        <v>(1/2)*(4/3)</v>
      </c>
      <c r="AR7" s="23">
        <f t="shared" ca="1" si="19"/>
        <v>0.79999999999999993</v>
      </c>
      <c r="AS7" s="24">
        <f t="shared" si="20"/>
        <v>-8.5</v>
      </c>
      <c r="AT7" s="23">
        <f t="shared" ca="1" si="37"/>
        <v>-6.8</v>
      </c>
      <c r="AU7" s="23">
        <f t="shared" ref="AU7:AU28" ca="1" si="40">IFERROR(AT7*AS7,"  ")</f>
        <v>57.8</v>
      </c>
      <c r="AV7" s="23">
        <f t="shared" si="21"/>
        <v>1.728</v>
      </c>
      <c r="AW7" s="23">
        <f t="shared" ca="1" si="22"/>
        <v>1.1519999999999999</v>
      </c>
      <c r="AX7" s="15" t="s">
        <v>136</v>
      </c>
      <c r="AY7" s="35">
        <f t="shared" si="23"/>
        <v>4.5</v>
      </c>
      <c r="AZ7" s="23">
        <f t="shared" ca="1" si="24"/>
        <v>3</v>
      </c>
      <c r="BA7" s="36">
        <f t="shared" si="25"/>
        <v>18.609000000000002</v>
      </c>
      <c r="BB7" s="27">
        <f t="shared" ca="1" si="38"/>
        <v>12.406000000000001</v>
      </c>
      <c r="BC7" s="23">
        <f t="shared" ca="1" si="39"/>
        <v>-25.5</v>
      </c>
      <c r="BD7" s="15" t="s">
        <v>136</v>
      </c>
      <c r="BE7" s="8" t="s">
        <v>28</v>
      </c>
      <c r="BF7" s="9" t="s">
        <v>8</v>
      </c>
      <c r="BG7" s="10">
        <f>DEPTH</f>
        <v>14.19</v>
      </c>
    </row>
    <row r="8" spans="1:59" x14ac:dyDescent="0.25">
      <c r="A8" s="20">
        <f>Tools!$AD7</f>
        <v>2</v>
      </c>
      <c r="B8" s="33">
        <f t="shared" si="0"/>
        <v>2.7</v>
      </c>
      <c r="C8" s="22">
        <f>IF(A8="  ","  ",IF(AND(A7="  ",A9="  "),"?",IF(A7="  ",1*(A9-A8),IF(A9="  ",1*(A8-A7),1*(A9-A7)))))</f>
        <v>1.5</v>
      </c>
      <c r="D8" s="23">
        <f t="shared" si="26"/>
        <v>4.0500000000000007</v>
      </c>
      <c r="E8" s="24">
        <f t="shared" si="1"/>
        <v>-8</v>
      </c>
      <c r="F8" s="23">
        <f t="shared" si="27"/>
        <v>-32.400000000000006</v>
      </c>
      <c r="G8" s="23">
        <f t="shared" si="28"/>
        <v>259.20000000000005</v>
      </c>
      <c r="H8" s="23">
        <f t="shared" si="29"/>
        <v>19.683000000000003</v>
      </c>
      <c r="I8" s="23">
        <f t="shared" si="30"/>
        <v>29.524500000000003</v>
      </c>
      <c r="J8" s="15" t="s">
        <v>136</v>
      </c>
      <c r="K8" s="37">
        <f t="shared" si="2"/>
        <v>14.102999999999998</v>
      </c>
      <c r="L8" s="23">
        <f t="shared" si="31"/>
        <v>21.154499999999999</v>
      </c>
      <c r="M8" s="38">
        <f t="shared" si="3"/>
        <v>51.095130000000012</v>
      </c>
      <c r="N8" s="27">
        <f t="shared" si="32"/>
        <v>76.642695000000018</v>
      </c>
      <c r="O8" s="23">
        <f t="shared" si="33"/>
        <v>-169.23599999999999</v>
      </c>
      <c r="P8" s="15" t="s">
        <v>136</v>
      </c>
      <c r="Q8" s="39" t="s">
        <v>29</v>
      </c>
      <c r="R8" s="40" t="s">
        <v>8</v>
      </c>
      <c r="S8" s="41">
        <f>IF(MAX(B4:B28)=0," ",2*MAX(B4:B28))</f>
        <v>24.5</v>
      </c>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3</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2.7</v>
      </c>
      <c r="AQ8" s="34" t="str">
        <f t="shared" ca="1" si="18"/>
        <v>(1/2)*(1/3)+1/3</v>
      </c>
      <c r="AR8" s="23">
        <f t="shared" ca="1" si="19"/>
        <v>1.35</v>
      </c>
      <c r="AS8" s="24">
        <f t="shared" si="20"/>
        <v>-8</v>
      </c>
      <c r="AT8" s="23">
        <f t="shared" ca="1" si="37"/>
        <v>-10.8</v>
      </c>
      <c r="AU8" s="23">
        <f t="shared" ca="1" si="40"/>
        <v>86.4</v>
      </c>
      <c r="AV8" s="23">
        <f t="shared" si="21"/>
        <v>19.683000000000003</v>
      </c>
      <c r="AW8" s="23">
        <f t="shared" ca="1" si="22"/>
        <v>9.8415000000000017</v>
      </c>
      <c r="AX8" s="15" t="s">
        <v>136</v>
      </c>
      <c r="AY8" s="35">
        <f t="shared" si="23"/>
        <v>14.102999999999998</v>
      </c>
      <c r="AZ8" s="23">
        <f ca="1">IFERROR(AY8*AM8,"  ")</f>
        <v>7.051499999999999</v>
      </c>
      <c r="BA8" s="36">
        <f t="shared" si="25"/>
        <v>51.095130000000012</v>
      </c>
      <c r="BB8" s="27">
        <f t="shared" ca="1" si="38"/>
        <v>25.547565000000006</v>
      </c>
      <c r="BC8" s="23">
        <f t="shared" ca="1" si="39"/>
        <v>-56.411999999999992</v>
      </c>
      <c r="BD8" s="15" t="s">
        <v>136</v>
      </c>
      <c r="BE8" s="8" t="s">
        <v>29</v>
      </c>
      <c r="BF8" s="9" t="s">
        <v>8</v>
      </c>
      <c r="BG8" s="10">
        <f>IF(MAX(AP4:AP28)=0," ",2*MAX(AP4:AP28))</f>
        <v>24.5</v>
      </c>
    </row>
    <row r="9" spans="1:59" x14ac:dyDescent="0.25">
      <c r="A9" s="20">
        <f>Tools!$AD8</f>
        <v>3</v>
      </c>
      <c r="B9" s="33">
        <f t="shared" si="0"/>
        <v>5.7</v>
      </c>
      <c r="C9" s="22">
        <f>IF(A9="  ","  ",IF(AND(A8="  ",A10="  "),"?",IF(A8="  ",2*(A10-A9),IF(A10="  ",2*(A9-A8),2*(A10-A8)))))</f>
        <v>4</v>
      </c>
      <c r="D9" s="23">
        <f t="shared" si="26"/>
        <v>22.8</v>
      </c>
      <c r="E9" s="24">
        <f t="shared" si="1"/>
        <v>-7</v>
      </c>
      <c r="F9" s="23">
        <f t="shared" si="27"/>
        <v>-159.6</v>
      </c>
      <c r="G9" s="23">
        <f t="shared" si="28"/>
        <v>1117.2</v>
      </c>
      <c r="H9" s="23">
        <f t="shared" si="29"/>
        <v>185.19300000000001</v>
      </c>
      <c r="I9" s="23">
        <f t="shared" si="30"/>
        <v>740.77200000000005</v>
      </c>
      <c r="J9" s="15" t="s">
        <v>136</v>
      </c>
      <c r="K9" s="37">
        <f t="shared" si="2"/>
        <v>30.047999999999995</v>
      </c>
      <c r="L9" s="23">
        <f t="shared" si="31"/>
        <v>120.19199999999998</v>
      </c>
      <c r="M9" s="38">
        <f t="shared" si="3"/>
        <v>101.56320000000001</v>
      </c>
      <c r="N9" s="27">
        <f t="shared" si="32"/>
        <v>406.25280000000004</v>
      </c>
      <c r="O9" s="23">
        <f t="shared" si="33"/>
        <v>-841.34399999999982</v>
      </c>
      <c r="P9" s="15" t="s">
        <v>136</v>
      </c>
      <c r="Q9" s="15" t="s">
        <v>136</v>
      </c>
      <c r="R9" s="15" t="s">
        <v>136</v>
      </c>
      <c r="S9" s="15" t="s">
        <v>136</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4</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5.7</v>
      </c>
      <c r="AQ9" s="34" t="str">
        <f t="shared" ca="1" si="18"/>
        <v>4/3</v>
      </c>
      <c r="AR9" s="23">
        <f t="shared" ca="1" si="19"/>
        <v>7.6</v>
      </c>
      <c r="AS9" s="24">
        <f t="shared" si="20"/>
        <v>-7</v>
      </c>
      <c r="AT9" s="23">
        <f t="shared" ca="1" si="37"/>
        <v>-53.199999999999996</v>
      </c>
      <c r="AU9" s="23">
        <f t="shared" ca="1" si="40"/>
        <v>372.4</v>
      </c>
      <c r="AV9" s="23">
        <f t="shared" si="21"/>
        <v>185.19300000000001</v>
      </c>
      <c r="AW9" s="23">
        <f t="shared" ca="1" si="22"/>
        <v>246.92400000000001</v>
      </c>
      <c r="AX9" s="15" t="s">
        <v>136</v>
      </c>
      <c r="AY9" s="35">
        <f t="shared" si="23"/>
        <v>30.047999999999995</v>
      </c>
      <c r="AZ9" s="23">
        <f t="shared" ref="AZ9:AZ28" ca="1" si="41">IFERROR(AY9*AM9,"  ")</f>
        <v>40.063999999999993</v>
      </c>
      <c r="BA9" s="36">
        <f t="shared" si="25"/>
        <v>101.56320000000001</v>
      </c>
      <c r="BB9" s="27">
        <f t="shared" ca="1" si="38"/>
        <v>135.41759999999999</v>
      </c>
      <c r="BC9" s="23">
        <f t="shared" ca="1" si="39"/>
        <v>-280.44799999999998</v>
      </c>
      <c r="BD9" s="15" t="s">
        <v>136</v>
      </c>
      <c r="BE9" s="8" t="s">
        <v>30</v>
      </c>
      <c r="BF9" s="9" t="s">
        <v>8</v>
      </c>
      <c r="BG9" s="10">
        <f ca="1">LBP-AJ33</f>
        <v>125.11499999999999</v>
      </c>
    </row>
    <row r="10" spans="1:59" x14ac:dyDescent="0.25">
      <c r="A10" s="20">
        <f>Tools!$AD9</f>
        <v>4</v>
      </c>
      <c r="B10" s="33">
        <f t="shared" si="0"/>
        <v>9.1999999999999993</v>
      </c>
      <c r="C10" s="22">
        <f>IF(A10="  ","  ",IF(AND(A9="  ",A11="  "),"?",IF(A9="  ",1*(A11-A10),IF(A11="  ",1*(A10-A9),1*(A11-A9)))))</f>
        <v>2</v>
      </c>
      <c r="D10" s="23">
        <f t="shared" si="26"/>
        <v>18.399999999999999</v>
      </c>
      <c r="E10" s="24">
        <f t="shared" si="1"/>
        <v>-6</v>
      </c>
      <c r="F10" s="23">
        <f t="shared" si="27"/>
        <v>-110.39999999999999</v>
      </c>
      <c r="G10" s="23">
        <f t="shared" si="28"/>
        <v>662.4</v>
      </c>
      <c r="H10" s="23">
        <f t="shared" si="29"/>
        <v>778.68799999999976</v>
      </c>
      <c r="I10" s="23">
        <f>IFERROR(H10*C10,"  ")</f>
        <v>1557.3759999999995</v>
      </c>
      <c r="J10" s="15" t="s">
        <v>136</v>
      </c>
      <c r="K10" s="37">
        <f t="shared" si="2"/>
        <v>54.432000000000002</v>
      </c>
      <c r="L10" s="23">
        <f t="shared" si="31"/>
        <v>108.864</v>
      </c>
      <c r="M10" s="38">
        <f t="shared" si="3"/>
        <v>179.90640000000002</v>
      </c>
      <c r="N10" s="27">
        <f t="shared" si="32"/>
        <v>359.81280000000004</v>
      </c>
      <c r="O10" s="23">
        <f t="shared" si="33"/>
        <v>-653.18399999999997</v>
      </c>
      <c r="P10" s="15" t="s">
        <v>136</v>
      </c>
      <c r="Q10" s="15" t="s">
        <v>136</v>
      </c>
      <c r="R10" s="15" t="s">
        <v>136</v>
      </c>
      <c r="S10" s="15" t="s">
        <v>136</v>
      </c>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5</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9.1999999999999993</v>
      </c>
      <c r="AQ10" s="34" t="str">
        <f t="shared" ca="1" si="18"/>
        <v>2/3</v>
      </c>
      <c r="AR10" s="23">
        <f t="shared" ca="1" si="19"/>
        <v>6.1333333333333329</v>
      </c>
      <c r="AS10" s="24">
        <f t="shared" si="20"/>
        <v>-6</v>
      </c>
      <c r="AT10" s="23">
        <f t="shared" ca="1" si="37"/>
        <v>-36.799999999999997</v>
      </c>
      <c r="AU10" s="23">
        <f ca="1">IFERROR(AT10*AS10,"  ")</f>
        <v>220.79999999999998</v>
      </c>
      <c r="AV10" s="23">
        <f t="shared" si="21"/>
        <v>778.68799999999976</v>
      </c>
      <c r="AW10" s="23">
        <f t="shared" ca="1" si="22"/>
        <v>519.12533333333317</v>
      </c>
      <c r="AX10" s="15" t="s">
        <v>136</v>
      </c>
      <c r="AY10" s="35">
        <f t="shared" si="23"/>
        <v>54.432000000000002</v>
      </c>
      <c r="AZ10" s="23">
        <f t="shared" ca="1" si="41"/>
        <v>36.287999999999997</v>
      </c>
      <c r="BA10" s="36">
        <f t="shared" si="25"/>
        <v>179.90640000000002</v>
      </c>
      <c r="BB10" s="27">
        <f t="shared" ca="1" si="38"/>
        <v>119.9376</v>
      </c>
      <c r="BC10" s="23">
        <f t="shared" ca="1" si="39"/>
        <v>-217.72799999999998</v>
      </c>
      <c r="BD10" s="15" t="s">
        <v>136</v>
      </c>
      <c r="BE10" s="15" t="s">
        <v>136</v>
      </c>
      <c r="BF10" s="15" t="s">
        <v>136</v>
      </c>
      <c r="BG10" t="str">
        <f ca="1">IF(AJ33&gt;0,CONCATENATE("(LWL is assumed between stations ",$AH$31," and ",$AH$33," as offset values extreme to these stations are zeros.)"),"")</f>
        <v>(LWL is assumed between stations 1 and 20 as offset values extreme to these stations are zeros.)</v>
      </c>
    </row>
    <row r="11" spans="1:59" x14ac:dyDescent="0.25">
      <c r="A11" s="20">
        <f>Tools!$AD10</f>
        <v>5</v>
      </c>
      <c r="B11" s="33">
        <f t="shared" si="0"/>
        <v>11.15</v>
      </c>
      <c r="C11" s="22">
        <f>IF(A11="  ","  ",IF(AND(A10="  ",A12="  "),"?",IF(A10="  ",2*(A12-A11),IF(A12="  ",2*(A11-A10),2*(A12-A10)))))</f>
        <v>4</v>
      </c>
      <c r="D11" s="23">
        <f t="shared" si="26"/>
        <v>44.6</v>
      </c>
      <c r="E11" s="24">
        <f t="shared" si="1"/>
        <v>-5</v>
      </c>
      <c r="F11" s="23">
        <f t="shared" si="27"/>
        <v>-223</v>
      </c>
      <c r="G11" s="23">
        <f t="shared" si="28"/>
        <v>1115</v>
      </c>
      <c r="H11" s="23">
        <f t="shared" si="29"/>
        <v>1386.1958750000001</v>
      </c>
      <c r="I11" s="23">
        <f t="shared" si="30"/>
        <v>5544.7835000000005</v>
      </c>
      <c r="J11" s="15" t="s">
        <v>136</v>
      </c>
      <c r="K11" s="37">
        <f t="shared" si="2"/>
        <v>80.201999999999984</v>
      </c>
      <c r="L11" s="23">
        <f t="shared" si="31"/>
        <v>320.80799999999994</v>
      </c>
      <c r="M11" s="38">
        <f t="shared" si="3"/>
        <v>258.41160000000002</v>
      </c>
      <c r="N11" s="27">
        <f t="shared" si="32"/>
        <v>1033.6464000000001</v>
      </c>
      <c r="O11" s="23">
        <f t="shared" si="33"/>
        <v>-1604.0399999999997</v>
      </c>
      <c r="P11" s="15" t="s">
        <v>136</v>
      </c>
      <c r="Q11" s="15" t="s">
        <v>136</v>
      </c>
      <c r="R11" s="15" t="s">
        <v>136</v>
      </c>
      <c r="S11" s="15" t="s">
        <v>136</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6</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11.15</v>
      </c>
      <c r="AQ11" s="34" t="str">
        <f t="shared" ca="1" si="18"/>
        <v>4/3</v>
      </c>
      <c r="AR11" s="23">
        <f t="shared" ca="1" si="19"/>
        <v>14.866666666666667</v>
      </c>
      <c r="AS11" s="24">
        <f t="shared" si="20"/>
        <v>-5</v>
      </c>
      <c r="AT11" s="23">
        <f t="shared" ca="1" si="37"/>
        <v>-74.333333333333343</v>
      </c>
      <c r="AU11" s="23">
        <f t="shared" ca="1" si="40"/>
        <v>371.66666666666674</v>
      </c>
      <c r="AV11" s="23">
        <f t="shared" si="21"/>
        <v>1386.1958750000001</v>
      </c>
      <c r="AW11" s="23">
        <f t="shared" ca="1" si="22"/>
        <v>1848.2611666666667</v>
      </c>
      <c r="AX11" s="15" t="s">
        <v>136</v>
      </c>
      <c r="AY11" s="35">
        <f t="shared" si="23"/>
        <v>80.201999999999984</v>
      </c>
      <c r="AZ11" s="23">
        <f t="shared" ca="1" si="41"/>
        <v>106.93599999999998</v>
      </c>
      <c r="BA11" s="36">
        <f t="shared" si="25"/>
        <v>258.41160000000002</v>
      </c>
      <c r="BB11" s="27">
        <f t="shared" ca="1" si="38"/>
        <v>344.54880000000003</v>
      </c>
      <c r="BC11" s="23">
        <f ca="1">IFERROR(AZ11*AS11,"  ")</f>
        <v>-534.67999999999984</v>
      </c>
      <c r="BD11" s="15" t="s">
        <v>136</v>
      </c>
      <c r="BE11" s="15" t="s">
        <v>136</v>
      </c>
      <c r="BF11" s="15" t="s">
        <v>136</v>
      </c>
      <c r="BG11" s="15" t="s">
        <v>136</v>
      </c>
    </row>
    <row r="12" spans="1:59" x14ac:dyDescent="0.25">
      <c r="A12" s="20">
        <f>Tools!$AD11</f>
        <v>6</v>
      </c>
      <c r="B12" s="33">
        <f t="shared" si="0"/>
        <v>11.97</v>
      </c>
      <c r="C12" s="22">
        <f>IF(A12="  ","  ",IF(AND(A11="  ",A13="  "),"?",IF(A11="  ",1*(A13-A12),IF(A13="  ",1*(A12-A11),1*(A13-A11)))))</f>
        <v>2</v>
      </c>
      <c r="D12" s="23">
        <f t="shared" si="26"/>
        <v>23.94</v>
      </c>
      <c r="E12" s="24">
        <f t="shared" si="1"/>
        <v>-4</v>
      </c>
      <c r="F12" s="23">
        <f t="shared" si="27"/>
        <v>-95.76</v>
      </c>
      <c r="G12" s="23">
        <f t="shared" si="28"/>
        <v>383.04</v>
      </c>
      <c r="H12" s="23">
        <f t="shared" si="29"/>
        <v>1715.0723730000002</v>
      </c>
      <c r="I12" s="23">
        <f t="shared" si="30"/>
        <v>3430.1447460000004</v>
      </c>
      <c r="J12" s="15" t="s">
        <v>136</v>
      </c>
      <c r="K12" s="37">
        <f t="shared" si="2"/>
        <v>98.927999999999997</v>
      </c>
      <c r="L12" s="23">
        <f t="shared" si="31"/>
        <v>197.85599999999999</v>
      </c>
      <c r="M12" s="38">
        <f t="shared" si="3"/>
        <v>307.51920000000007</v>
      </c>
      <c r="N12" s="27">
        <f t="shared" si="32"/>
        <v>615.03840000000014</v>
      </c>
      <c r="O12" s="23">
        <f t="shared" si="33"/>
        <v>-791.42399999999998</v>
      </c>
      <c r="P12" s="15" t="s">
        <v>136</v>
      </c>
      <c r="Q12" s="43" t="s">
        <v>31</v>
      </c>
      <c r="R12" s="44" t="s">
        <v>32</v>
      </c>
      <c r="S12" s="126" t="s">
        <v>33</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7</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11.97</v>
      </c>
      <c r="AQ12" s="34" t="str">
        <f t="shared" ca="1" si="18"/>
        <v>2/3</v>
      </c>
      <c r="AR12" s="23">
        <f t="shared" ca="1" si="19"/>
        <v>7.98</v>
      </c>
      <c r="AS12" s="24">
        <f t="shared" si="20"/>
        <v>-4</v>
      </c>
      <c r="AT12" s="23">
        <f t="shared" ca="1" si="37"/>
        <v>-31.92</v>
      </c>
      <c r="AU12" s="23">
        <f t="shared" ca="1" si="40"/>
        <v>127.68</v>
      </c>
      <c r="AV12" s="23">
        <f t="shared" si="21"/>
        <v>1715.0723730000002</v>
      </c>
      <c r="AW12" s="23">
        <f t="shared" ca="1" si="22"/>
        <v>1143.381582</v>
      </c>
      <c r="AX12" s="15" t="s">
        <v>136</v>
      </c>
      <c r="AY12" s="35">
        <f t="shared" si="23"/>
        <v>98.927999999999997</v>
      </c>
      <c r="AZ12" s="23">
        <f t="shared" ca="1" si="41"/>
        <v>65.951999999999998</v>
      </c>
      <c r="BA12" s="36">
        <f t="shared" si="25"/>
        <v>307.51920000000007</v>
      </c>
      <c r="BB12" s="27">
        <f t="shared" ca="1" si="38"/>
        <v>205.01280000000003</v>
      </c>
      <c r="BC12" s="23">
        <f t="shared" ca="1" si="39"/>
        <v>-263.80799999999999</v>
      </c>
      <c r="BD12" s="15" t="s">
        <v>136</v>
      </c>
      <c r="BE12" s="43" t="s">
        <v>31</v>
      </c>
      <c r="BF12" s="44" t="s">
        <v>32</v>
      </c>
      <c r="BG12" s="126" t="s">
        <v>33</v>
      </c>
    </row>
    <row r="13" spans="1:59" x14ac:dyDescent="0.25">
      <c r="A13" s="20">
        <f>Tools!$AD12</f>
        <v>7</v>
      </c>
      <c r="B13" s="33">
        <f t="shared" si="0"/>
        <v>12.25</v>
      </c>
      <c r="C13" s="22">
        <f>IF(A13="  ","  ",IF(AND(A12="  ",A14="  "),"?",IF(A12="  ",2*(A14-A13),IF(A14="  ",2*(A13-A12),2*(A14-A12)))))</f>
        <v>4</v>
      </c>
      <c r="D13" s="23">
        <f t="shared" si="26"/>
        <v>49</v>
      </c>
      <c r="E13" s="24">
        <f t="shared" si="1"/>
        <v>-3</v>
      </c>
      <c r="F13" s="23">
        <f t="shared" si="27"/>
        <v>-147</v>
      </c>
      <c r="G13" s="23">
        <f t="shared" si="28"/>
        <v>441</v>
      </c>
      <c r="H13" s="23">
        <f t="shared" si="29"/>
        <v>1838.265625</v>
      </c>
      <c r="I13" s="23">
        <f t="shared" si="30"/>
        <v>7353.0625</v>
      </c>
      <c r="J13" s="15" t="s">
        <v>136</v>
      </c>
      <c r="K13" s="37">
        <f t="shared" si="2"/>
        <v>112.91399999999999</v>
      </c>
      <c r="L13" s="23">
        <f t="shared" si="31"/>
        <v>451.65599999999995</v>
      </c>
      <c r="M13" s="38">
        <f t="shared" si="3"/>
        <v>336.096</v>
      </c>
      <c r="N13" s="27">
        <f t="shared" si="32"/>
        <v>1344.384</v>
      </c>
      <c r="O13" s="23">
        <f t="shared" si="33"/>
        <v>-1354.9679999999998</v>
      </c>
      <c r="P13" s="15" t="s">
        <v>136</v>
      </c>
      <c r="Q13" s="47" t="s">
        <v>34</v>
      </c>
      <c r="R13" s="48" t="s">
        <v>35</v>
      </c>
      <c r="S13" s="49">
        <f>IFERROR(IF(WL_No="  ","  ",2/3*h*$D$29),"-")</f>
        <v>2152.5486999999994</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8</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12.25</v>
      </c>
      <c r="AQ13" s="34" t="str">
        <f t="shared" ca="1" si="18"/>
        <v>4/3</v>
      </c>
      <c r="AR13" s="23">
        <f t="shared" ca="1" si="19"/>
        <v>16.333333333333332</v>
      </c>
      <c r="AS13" s="24">
        <f t="shared" si="20"/>
        <v>-3</v>
      </c>
      <c r="AT13" s="23">
        <f t="shared" ca="1" si="37"/>
        <v>-49</v>
      </c>
      <c r="AU13" s="23">
        <f t="shared" ca="1" si="40"/>
        <v>147</v>
      </c>
      <c r="AV13" s="23">
        <f t="shared" si="21"/>
        <v>1838.265625</v>
      </c>
      <c r="AW13" s="23">
        <f t="shared" ca="1" si="22"/>
        <v>2451.020833333333</v>
      </c>
      <c r="AX13" s="15" t="s">
        <v>136</v>
      </c>
      <c r="AY13" s="35">
        <f t="shared" si="23"/>
        <v>112.91399999999999</v>
      </c>
      <c r="AZ13" s="23">
        <f t="shared" ca="1" si="41"/>
        <v>150.55199999999996</v>
      </c>
      <c r="BA13" s="36">
        <f t="shared" si="25"/>
        <v>336.096</v>
      </c>
      <c r="BB13" s="27">
        <f t="shared" ca="1" si="38"/>
        <v>448.12799999999999</v>
      </c>
      <c r="BC13" s="23">
        <f t="shared" ca="1" si="39"/>
        <v>-451.65599999999989</v>
      </c>
      <c r="BD13" s="15" t="s">
        <v>136</v>
      </c>
      <c r="BE13" s="47" t="s">
        <v>34</v>
      </c>
      <c r="BF13" s="48" t="s">
        <v>38</v>
      </c>
      <c r="BG13" s="49">
        <f ca="1">IF(WL_No="  ","  ",2*h*$AR$29)</f>
        <v>2152.5486999999998</v>
      </c>
    </row>
    <row r="14" spans="1:59" x14ac:dyDescent="0.25">
      <c r="A14" s="20">
        <f>Tools!$AD13</f>
        <v>8</v>
      </c>
      <c r="B14" s="33">
        <f t="shared" si="0"/>
        <v>12.25</v>
      </c>
      <c r="C14" s="22">
        <f>IF(A14="  ","  ",IF(AND(A13="  ",A15="  "),"?",IF(A13="  ",1*(A15-A14),IF(A15="  ",1*(A14-A13),1*(A15-A13)))))</f>
        <v>2</v>
      </c>
      <c r="D14" s="23">
        <f t="shared" si="26"/>
        <v>24.5</v>
      </c>
      <c r="E14" s="24">
        <f t="shared" si="1"/>
        <v>-2</v>
      </c>
      <c r="F14" s="23">
        <f t="shared" si="27"/>
        <v>-49</v>
      </c>
      <c r="G14" s="23">
        <f t="shared" si="28"/>
        <v>98</v>
      </c>
      <c r="H14" s="23">
        <f t="shared" si="29"/>
        <v>1838.265625</v>
      </c>
      <c r="I14" s="23">
        <f t="shared" si="30"/>
        <v>3676.53125</v>
      </c>
      <c r="J14" s="15" t="s">
        <v>136</v>
      </c>
      <c r="K14" s="37">
        <f t="shared" si="2"/>
        <v>121.518</v>
      </c>
      <c r="L14" s="23">
        <f t="shared" si="31"/>
        <v>243.036</v>
      </c>
      <c r="M14" s="38">
        <f t="shared" si="3"/>
        <v>348.57</v>
      </c>
      <c r="N14" s="27">
        <f t="shared" si="32"/>
        <v>697.14</v>
      </c>
      <c r="O14" s="23">
        <f t="shared" si="33"/>
        <v>-486.072</v>
      </c>
      <c r="P14" s="15" t="s">
        <v>136</v>
      </c>
      <c r="Q14" s="47" t="s">
        <v>36</v>
      </c>
      <c r="R14" s="48" t="s">
        <v>37</v>
      </c>
      <c r="S14" s="49">
        <f>IFERROR(IF(WL_No="  ","  ",2/3*(h^2)*$F$29),"-")</f>
        <v>-558.79453949999754</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9</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12.25</v>
      </c>
      <c r="AQ14" s="34" t="str">
        <f t="shared" ca="1" si="18"/>
        <v>2/3</v>
      </c>
      <c r="AR14" s="23">
        <f t="shared" ca="1" si="19"/>
        <v>8.1666666666666661</v>
      </c>
      <c r="AS14" s="24">
        <f t="shared" si="20"/>
        <v>-2</v>
      </c>
      <c r="AT14" s="23">
        <f t="shared" ca="1" si="37"/>
        <v>-16.333333333333332</v>
      </c>
      <c r="AU14" s="23">
        <f t="shared" ca="1" si="40"/>
        <v>32.666666666666664</v>
      </c>
      <c r="AV14" s="23">
        <f t="shared" si="21"/>
        <v>1838.265625</v>
      </c>
      <c r="AW14" s="23">
        <f t="shared" ca="1" si="22"/>
        <v>1225.5104166666665</v>
      </c>
      <c r="AX14" s="15" t="s">
        <v>136</v>
      </c>
      <c r="AY14" s="35">
        <f t="shared" si="23"/>
        <v>121.518</v>
      </c>
      <c r="AZ14" s="23">
        <f t="shared" ca="1" si="41"/>
        <v>81.012</v>
      </c>
      <c r="BA14" s="36">
        <f t="shared" si="25"/>
        <v>348.57</v>
      </c>
      <c r="BB14" s="27">
        <f t="shared" ca="1" si="38"/>
        <v>232.38</v>
      </c>
      <c r="BC14" s="23">
        <f t="shared" ca="1" si="39"/>
        <v>-162.024</v>
      </c>
      <c r="BD14" s="15" t="s">
        <v>136</v>
      </c>
      <c r="BE14" s="47" t="s">
        <v>36</v>
      </c>
      <c r="BF14" s="48" t="s">
        <v>41</v>
      </c>
      <c r="BG14" s="49">
        <f ca="1">IF(WL_No="  ","  ",2*(h^2)*$AT$29)</f>
        <v>-558.79453950000277</v>
      </c>
    </row>
    <row r="15" spans="1:59" x14ac:dyDescent="0.25">
      <c r="A15" s="20">
        <f>Tools!$AD14</f>
        <v>9</v>
      </c>
      <c r="B15" s="33">
        <f t="shared" si="0"/>
        <v>12.25</v>
      </c>
      <c r="C15" s="22">
        <f>IF(A15="  ","  ",IF(AND(A14="  ",A16="  "),"?",IF(A14="  ",2*(A16-A15),IF(A16="  ",2*(A15-A14),2*(A16-A14)))))</f>
        <v>4</v>
      </c>
      <c r="D15" s="23">
        <f t="shared" si="26"/>
        <v>49</v>
      </c>
      <c r="E15" s="24">
        <f t="shared" si="1"/>
        <v>-1</v>
      </c>
      <c r="F15" s="23">
        <f t="shared" si="27"/>
        <v>-49</v>
      </c>
      <c r="G15" s="23">
        <f t="shared" si="28"/>
        <v>49</v>
      </c>
      <c r="H15" s="23">
        <f t="shared" si="29"/>
        <v>1838.265625</v>
      </c>
      <c r="I15" s="23">
        <f t="shared" si="30"/>
        <v>7353.0625</v>
      </c>
      <c r="J15" s="15" t="s">
        <v>136</v>
      </c>
      <c r="K15" s="37">
        <f t="shared" si="2"/>
        <v>124.78799999999998</v>
      </c>
      <c r="L15" s="23">
        <f t="shared" si="31"/>
        <v>499.15199999999993</v>
      </c>
      <c r="M15" s="38">
        <f t="shared" si="3"/>
        <v>352.31760000000003</v>
      </c>
      <c r="N15" s="27">
        <f t="shared" si="32"/>
        <v>1409.2704000000001</v>
      </c>
      <c r="O15" s="23">
        <f t="shared" si="33"/>
        <v>-499.15199999999993</v>
      </c>
      <c r="P15" s="15" t="s">
        <v>136</v>
      </c>
      <c r="Q15" s="50" t="s">
        <v>39</v>
      </c>
      <c r="R15" s="48" t="s">
        <v>40</v>
      </c>
      <c r="S15" s="49">
        <f>IFERROR(IF(WL_No="  ","  ",Mmid/AWP),"-")</f>
        <v>-0.25959670018150932</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10</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12.25</v>
      </c>
      <c r="AQ15" s="34" t="str">
        <f t="shared" ca="1" si="18"/>
        <v>4/3</v>
      </c>
      <c r="AR15" s="23">
        <f t="shared" ca="1" si="19"/>
        <v>16.333333333333332</v>
      </c>
      <c r="AS15" s="24">
        <f t="shared" si="20"/>
        <v>-1</v>
      </c>
      <c r="AT15" s="23">
        <f t="shared" ca="1" si="37"/>
        <v>-16.333333333333332</v>
      </c>
      <c r="AU15" s="23">
        <f t="shared" ca="1" si="40"/>
        <v>16.333333333333332</v>
      </c>
      <c r="AV15" s="23">
        <f t="shared" si="21"/>
        <v>1838.265625</v>
      </c>
      <c r="AW15" s="23">
        <f t="shared" ca="1" si="22"/>
        <v>2451.020833333333</v>
      </c>
      <c r="AX15" s="15" t="s">
        <v>136</v>
      </c>
      <c r="AY15" s="35">
        <f t="shared" si="23"/>
        <v>124.78799999999998</v>
      </c>
      <c r="AZ15" s="23">
        <f t="shared" ca="1" si="41"/>
        <v>166.38399999999996</v>
      </c>
      <c r="BA15" s="36">
        <f t="shared" si="25"/>
        <v>352.31760000000003</v>
      </c>
      <c r="BB15" s="27">
        <f ca="1">IFERROR(BA15*AM15,"  ")</f>
        <v>469.7568</v>
      </c>
      <c r="BC15" s="23">
        <f t="shared" ca="1" si="39"/>
        <v>-166.38399999999996</v>
      </c>
      <c r="BD15" s="15" t="s">
        <v>136</v>
      </c>
      <c r="BE15" s="50" t="s">
        <v>39</v>
      </c>
      <c r="BF15" s="48" t="s">
        <v>40</v>
      </c>
      <c r="BG15" s="49">
        <f>IF(WL_No="  ","  ",Mmid/AWP)</f>
        <v>-0.25959670018150932</v>
      </c>
    </row>
    <row r="16" spans="1:59" x14ac:dyDescent="0.25">
      <c r="A16" s="20">
        <f>Tools!$AD15</f>
        <v>10</v>
      </c>
      <c r="B16" s="33">
        <f t="shared" si="0"/>
        <v>12.25</v>
      </c>
      <c r="C16" s="22">
        <f>IF(A16="  ","  ",IF(AND(A15="  ",A17="  "),"?",IF(A15="  ",1*(A17-A16),IF(A17="  ",1*(A16-A15),1*(A17-A15)))))</f>
        <v>2</v>
      </c>
      <c r="D16" s="23">
        <f t="shared" si="26"/>
        <v>24.5</v>
      </c>
      <c r="E16" s="24">
        <f t="shared" si="1"/>
        <v>0</v>
      </c>
      <c r="F16" s="23">
        <f t="shared" si="27"/>
        <v>0</v>
      </c>
      <c r="G16" s="23">
        <f t="shared" si="28"/>
        <v>0</v>
      </c>
      <c r="H16" s="23">
        <f t="shared" si="29"/>
        <v>1838.265625</v>
      </c>
      <c r="I16" s="23">
        <f t="shared" si="30"/>
        <v>3676.53125</v>
      </c>
      <c r="J16" s="15" t="s">
        <v>136</v>
      </c>
      <c r="K16" s="37">
        <f t="shared" si="2"/>
        <v>125.63399999999999</v>
      </c>
      <c r="L16" s="23">
        <f t="shared" si="31"/>
        <v>251.26799999999997</v>
      </c>
      <c r="M16" s="38">
        <f t="shared" si="3"/>
        <v>352.57679999999999</v>
      </c>
      <c r="N16" s="27">
        <f t="shared" si="32"/>
        <v>705.15359999999998</v>
      </c>
      <c r="O16" s="23">
        <f t="shared" si="33"/>
        <v>0</v>
      </c>
      <c r="P16" s="15" t="s">
        <v>136</v>
      </c>
      <c r="Q16" s="50" t="s">
        <v>42</v>
      </c>
      <c r="R16" s="48" t="s">
        <v>43</v>
      </c>
      <c r="S16" s="49">
        <f>IFERROR(IF(WL_No="  ","  ",2/3*(h^3)*$G$29),"-")</f>
        <v>1680432.9348382868</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11</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12.25</v>
      </c>
      <c r="AQ16" s="34" t="str">
        <f t="shared" ca="1" si="18"/>
        <v>2/3</v>
      </c>
      <c r="AR16" s="23">
        <f t="shared" ca="1" si="19"/>
        <v>8.1666666666666661</v>
      </c>
      <c r="AS16" s="24">
        <f t="shared" si="20"/>
        <v>0</v>
      </c>
      <c r="AT16" s="23">
        <f t="shared" ca="1" si="37"/>
        <v>0</v>
      </c>
      <c r="AU16" s="23">
        <f t="shared" ca="1" si="40"/>
        <v>0</v>
      </c>
      <c r="AV16" s="23">
        <f t="shared" si="21"/>
        <v>1838.265625</v>
      </c>
      <c r="AW16" s="23">
        <f t="shared" ca="1" si="22"/>
        <v>1225.5104166666665</v>
      </c>
      <c r="AX16" s="15" t="s">
        <v>136</v>
      </c>
      <c r="AY16" s="35">
        <f t="shared" si="23"/>
        <v>125.63399999999999</v>
      </c>
      <c r="AZ16" s="23">
        <f t="shared" ca="1" si="41"/>
        <v>83.755999999999986</v>
      </c>
      <c r="BA16" s="36">
        <f t="shared" si="25"/>
        <v>352.57679999999999</v>
      </c>
      <c r="BB16" s="27">
        <f t="shared" ca="1" si="38"/>
        <v>235.05119999999999</v>
      </c>
      <c r="BC16" s="23">
        <f ca="1">IFERROR(AZ16*AS16,"  ")</f>
        <v>0</v>
      </c>
      <c r="BD16" s="15" t="s">
        <v>136</v>
      </c>
      <c r="BE16" s="50" t="s">
        <v>42</v>
      </c>
      <c r="BF16" s="48" t="s">
        <v>46</v>
      </c>
      <c r="BG16" s="49">
        <f ca="1">IF(WL_No="  ","  ",2*(h^3)*$AU$29)</f>
        <v>1680432.9348382864</v>
      </c>
    </row>
    <row r="17" spans="1:59" x14ac:dyDescent="0.25">
      <c r="A17" s="20">
        <f>Tools!$AD16</f>
        <v>11</v>
      </c>
      <c r="B17" s="33">
        <f t="shared" si="0"/>
        <v>12.25</v>
      </c>
      <c r="C17" s="22">
        <f>IF(A17="  ","  ",IF(AND(A16="  ",A18="  "),"?",IF(A16="  ",2*(A18-A17),IF(A18="  ",2*(A17-A16),2*(A18-A16)))))</f>
        <v>4</v>
      </c>
      <c r="D17" s="23">
        <f t="shared" si="26"/>
        <v>49</v>
      </c>
      <c r="E17" s="24">
        <f t="shared" si="1"/>
        <v>1</v>
      </c>
      <c r="F17" s="23">
        <f t="shared" si="27"/>
        <v>49</v>
      </c>
      <c r="G17" s="23">
        <f t="shared" si="28"/>
        <v>49</v>
      </c>
      <c r="H17" s="23">
        <f t="shared" si="29"/>
        <v>1838.265625</v>
      </c>
      <c r="I17" s="23">
        <f t="shared" si="30"/>
        <v>7353.0625</v>
      </c>
      <c r="J17" s="15" t="s">
        <v>136</v>
      </c>
      <c r="K17" s="37">
        <f t="shared" si="2"/>
        <v>124.94400000000002</v>
      </c>
      <c r="L17" s="23">
        <f t="shared" si="31"/>
        <v>499.77600000000007</v>
      </c>
      <c r="M17" s="38">
        <f t="shared" si="3"/>
        <v>351.02160000000003</v>
      </c>
      <c r="N17" s="27">
        <f t="shared" si="32"/>
        <v>1404.0864000000001</v>
      </c>
      <c r="O17" s="23">
        <f t="shared" si="33"/>
        <v>499.77600000000007</v>
      </c>
      <c r="P17" s="15" t="s">
        <v>136</v>
      </c>
      <c r="Q17" s="51" t="s">
        <v>44</v>
      </c>
      <c r="R17" s="48" t="s">
        <v>45</v>
      </c>
      <c r="S17" s="49">
        <f>IFERROR(IF(WL_No="  ","  ",2/9*h*$I$29),"-")</f>
        <v>83572.881411993309</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12.25</v>
      </c>
      <c r="AQ17" s="34" t="str">
        <f t="shared" ca="1" si="18"/>
        <v>4/3</v>
      </c>
      <c r="AR17" s="23">
        <f t="shared" ca="1" si="19"/>
        <v>16.333333333333332</v>
      </c>
      <c r="AS17" s="24">
        <f t="shared" si="20"/>
        <v>1</v>
      </c>
      <c r="AT17" s="23">
        <f t="shared" ca="1" si="37"/>
        <v>16.333333333333332</v>
      </c>
      <c r="AU17" s="23">
        <f t="shared" ca="1" si="40"/>
        <v>16.333333333333332</v>
      </c>
      <c r="AV17" s="23">
        <f t="shared" si="21"/>
        <v>1838.265625</v>
      </c>
      <c r="AW17" s="23">
        <f t="shared" ca="1" si="22"/>
        <v>2451.020833333333</v>
      </c>
      <c r="AX17" s="15" t="s">
        <v>136</v>
      </c>
      <c r="AY17" s="35">
        <f t="shared" si="23"/>
        <v>124.94400000000002</v>
      </c>
      <c r="AZ17" s="23">
        <f t="shared" ca="1" si="41"/>
        <v>166.59200000000001</v>
      </c>
      <c r="BA17" s="36">
        <f t="shared" si="25"/>
        <v>351.02160000000003</v>
      </c>
      <c r="BB17" s="27">
        <f t="shared" ca="1" si="38"/>
        <v>468.02880000000005</v>
      </c>
      <c r="BC17" s="23">
        <f t="shared" ca="1" si="39"/>
        <v>166.59200000000001</v>
      </c>
      <c r="BD17" s="15" t="s">
        <v>136</v>
      </c>
      <c r="BE17" s="51" t="s">
        <v>44</v>
      </c>
      <c r="BF17" s="48" t="s">
        <v>49</v>
      </c>
      <c r="BG17" s="49">
        <f ca="1">IF(WL_No="  ","  ",2/3*h*$AW$29)</f>
        <v>83572.881411993309</v>
      </c>
    </row>
    <row r="18" spans="1:59" x14ac:dyDescent="0.25">
      <c r="A18" s="20">
        <f>Tools!$AD17</f>
        <v>12</v>
      </c>
      <c r="B18" s="33">
        <f t="shared" si="0"/>
        <v>12.2</v>
      </c>
      <c r="C18" s="22">
        <f>IF(A18="  ","  ",IF(AND(A17="  ",A19="  "),"?",IF(A17="  ",1*(A19-A18),IF(A19="  ",1*(A18-A17),1*(A19-A17)))))</f>
        <v>2</v>
      </c>
      <c r="D18" s="23">
        <f t="shared" si="26"/>
        <v>24.4</v>
      </c>
      <c r="E18" s="24">
        <f t="shared" si="1"/>
        <v>2</v>
      </c>
      <c r="F18" s="23">
        <f t="shared" si="27"/>
        <v>48.8</v>
      </c>
      <c r="G18" s="23">
        <f t="shared" si="28"/>
        <v>97.6</v>
      </c>
      <c r="H18" s="23">
        <f t="shared" si="29"/>
        <v>1815.8479999999995</v>
      </c>
      <c r="I18" s="23">
        <f t="shared" si="30"/>
        <v>3631.695999999999</v>
      </c>
      <c r="J18" s="15" t="s">
        <v>136</v>
      </c>
      <c r="K18" s="37">
        <f t="shared" si="2"/>
        <v>120.59399999999999</v>
      </c>
      <c r="L18" s="23">
        <f t="shared" si="31"/>
        <v>241.18799999999999</v>
      </c>
      <c r="M18" s="38">
        <f t="shared" si="3"/>
        <v>342.64080000000001</v>
      </c>
      <c r="N18" s="27">
        <f t="shared" si="32"/>
        <v>685.28160000000003</v>
      </c>
      <c r="O18" s="23">
        <f t="shared" si="33"/>
        <v>482.37599999999998</v>
      </c>
      <c r="P18" s="15" t="s">
        <v>136</v>
      </c>
      <c r="Q18" s="50" t="s">
        <v>47</v>
      </c>
      <c r="R18" s="48" t="s">
        <v>48</v>
      </c>
      <c r="S18" s="49">
        <f>IFERROR(IF(WL_No="  ","  ",IL-AWP*(LCF^2)),"-")</f>
        <v>1680287.8736197532</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12.2</v>
      </c>
      <c r="AQ18" s="34" t="str">
        <f t="shared" ca="1" si="18"/>
        <v>2/3</v>
      </c>
      <c r="AR18" s="23">
        <f t="shared" ca="1" si="19"/>
        <v>8.1333333333333329</v>
      </c>
      <c r="AS18" s="24">
        <f t="shared" si="20"/>
        <v>2</v>
      </c>
      <c r="AT18" s="23">
        <f t="shared" ca="1" si="37"/>
        <v>16.266666666666666</v>
      </c>
      <c r="AU18" s="23">
        <f t="shared" ca="1" si="40"/>
        <v>32.533333333333331</v>
      </c>
      <c r="AV18" s="23">
        <f t="shared" si="21"/>
        <v>1815.8479999999995</v>
      </c>
      <c r="AW18" s="23">
        <f t="shared" ca="1" si="22"/>
        <v>1210.565333333333</v>
      </c>
      <c r="AX18" s="15" t="s">
        <v>136</v>
      </c>
      <c r="AY18" s="35">
        <f t="shared" si="23"/>
        <v>120.59399999999999</v>
      </c>
      <c r="AZ18" s="23">
        <f t="shared" ca="1" si="41"/>
        <v>80.395999999999987</v>
      </c>
      <c r="BA18" s="36">
        <f t="shared" si="25"/>
        <v>342.64080000000001</v>
      </c>
      <c r="BB18" s="27">
        <f t="shared" ca="1" si="38"/>
        <v>228.4272</v>
      </c>
      <c r="BC18" s="23">
        <f t="shared" ca="1" si="39"/>
        <v>160.79199999999997</v>
      </c>
      <c r="BD18" s="15" t="s">
        <v>136</v>
      </c>
      <c r="BE18" s="50" t="s">
        <v>47</v>
      </c>
      <c r="BF18" s="48" t="s">
        <v>48</v>
      </c>
      <c r="BG18" s="49">
        <f>IF(WL_No="  ","  ",IL-AWP*(LCF^2))</f>
        <v>1680287.8736197532</v>
      </c>
    </row>
    <row r="19" spans="1:59" x14ac:dyDescent="0.25">
      <c r="A19" s="20">
        <f>Tools!$AD18</f>
        <v>13</v>
      </c>
      <c r="B19" s="33">
        <f t="shared" si="0"/>
        <v>11.64</v>
      </c>
      <c r="C19" s="22">
        <f>IF(A19="  ","  ",IF(AND(A18="  ",A20="  "),"?",IF(A18="  ",2*(A20-A19),IF(A20="  ",2*(A19-A18),2*(A20-A18)))))</f>
        <v>4</v>
      </c>
      <c r="D19" s="23">
        <f t="shared" si="26"/>
        <v>46.56</v>
      </c>
      <c r="E19" s="24">
        <f t="shared" si="1"/>
        <v>3</v>
      </c>
      <c r="F19" s="23">
        <f t="shared" si="27"/>
        <v>139.68</v>
      </c>
      <c r="G19" s="23">
        <f t="shared" si="28"/>
        <v>419.04</v>
      </c>
      <c r="H19" s="23">
        <f t="shared" si="29"/>
        <v>1577.0989440000003</v>
      </c>
      <c r="I19" s="23">
        <f t="shared" si="30"/>
        <v>6308.3957760000012</v>
      </c>
      <c r="J19" s="15" t="s">
        <v>136</v>
      </c>
      <c r="K19" s="37">
        <f t="shared" si="2"/>
        <v>110.538</v>
      </c>
      <c r="L19" s="23">
        <f t="shared" si="31"/>
        <v>442.15199999999999</v>
      </c>
      <c r="M19" s="38">
        <f t="shared" si="3"/>
        <v>318.82680000000005</v>
      </c>
      <c r="N19" s="27">
        <f t="shared" si="32"/>
        <v>1275.3072000000002</v>
      </c>
      <c r="O19" s="23">
        <f t="shared" si="33"/>
        <v>1326.4559999999999</v>
      </c>
      <c r="P19" s="15" t="s">
        <v>136</v>
      </c>
      <c r="Q19" s="50" t="s">
        <v>50</v>
      </c>
      <c r="R19" s="48" t="s">
        <v>51</v>
      </c>
      <c r="S19" s="49">
        <f>IFERROR(IF(WL_No="  ","  ",h/3*$L$29),"-")</f>
        <v>9448.0125812500009</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11.64</v>
      </c>
      <c r="AQ19" s="34" t="str">
        <f t="shared" ca="1" si="18"/>
        <v>4/3</v>
      </c>
      <c r="AR19" s="23">
        <f t="shared" ca="1" si="19"/>
        <v>15.52</v>
      </c>
      <c r="AS19" s="24">
        <f t="shared" si="20"/>
        <v>3</v>
      </c>
      <c r="AT19" s="23">
        <f t="shared" ca="1" si="37"/>
        <v>46.56</v>
      </c>
      <c r="AU19" s="23">
        <f t="shared" ca="1" si="40"/>
        <v>139.68</v>
      </c>
      <c r="AV19" s="23">
        <f t="shared" si="21"/>
        <v>1577.0989440000003</v>
      </c>
      <c r="AW19" s="23">
        <f t="shared" ca="1" si="22"/>
        <v>2102.7985920000001</v>
      </c>
      <c r="AX19" s="15" t="s">
        <v>136</v>
      </c>
      <c r="AY19" s="35">
        <f t="shared" si="23"/>
        <v>110.538</v>
      </c>
      <c r="AZ19" s="23">
        <f t="shared" ca="1" si="41"/>
        <v>147.38399999999999</v>
      </c>
      <c r="BA19" s="36">
        <f t="shared" si="25"/>
        <v>318.82680000000005</v>
      </c>
      <c r="BB19" s="27">
        <f t="shared" ca="1" si="38"/>
        <v>425.10240000000005</v>
      </c>
      <c r="BC19" s="23">
        <f t="shared" ca="1" si="39"/>
        <v>442.15199999999993</v>
      </c>
      <c r="BD19" s="15" t="s">
        <v>136</v>
      </c>
      <c r="BE19" s="50" t="s">
        <v>50</v>
      </c>
      <c r="BF19" s="48" t="s">
        <v>54</v>
      </c>
      <c r="BG19" s="49">
        <f ca="1">IF(WL_No="  ","  ",h*$AZ$29)</f>
        <v>9448.0125812499955</v>
      </c>
    </row>
    <row r="20" spans="1:59" x14ac:dyDescent="0.25">
      <c r="A20" s="20">
        <f>Tools!$AD19</f>
        <v>14</v>
      </c>
      <c r="B20" s="33">
        <f t="shared" si="0"/>
        <v>10.5</v>
      </c>
      <c r="C20" s="22">
        <f>IF(A20="  ","  ",IF(AND(A19="  ",A21="  "),"?",IF(A19="  ",1*(A21-A20),IF(A21="  ",1*(A20-A19),1*(A21-A19)))))</f>
        <v>2</v>
      </c>
      <c r="D20" s="23">
        <f t="shared" si="26"/>
        <v>21</v>
      </c>
      <c r="E20" s="24">
        <f t="shared" si="1"/>
        <v>4</v>
      </c>
      <c r="F20" s="23">
        <f t="shared" si="27"/>
        <v>84</v>
      </c>
      <c r="G20" s="23">
        <f t="shared" si="28"/>
        <v>336</v>
      </c>
      <c r="H20" s="23">
        <f t="shared" si="29"/>
        <v>1157.625</v>
      </c>
      <c r="I20" s="23">
        <f t="shared" si="30"/>
        <v>2315.25</v>
      </c>
      <c r="J20" s="15" t="s">
        <v>136</v>
      </c>
      <c r="K20" s="37">
        <f t="shared" si="2"/>
        <v>94.775999999999982</v>
      </c>
      <c r="L20" s="23">
        <f t="shared" si="31"/>
        <v>189.55199999999996</v>
      </c>
      <c r="M20" s="38">
        <f t="shared" si="3"/>
        <v>278.67240000000004</v>
      </c>
      <c r="N20" s="27">
        <f t="shared" si="32"/>
        <v>557.34480000000008</v>
      </c>
      <c r="O20" s="23">
        <f t="shared" si="33"/>
        <v>758.20799999999986</v>
      </c>
      <c r="P20" s="15" t="s">
        <v>136</v>
      </c>
      <c r="Q20" s="50" t="s">
        <v>52</v>
      </c>
      <c r="R20" s="48" t="s">
        <v>53</v>
      </c>
      <c r="S20" s="49">
        <f>IFERROR(IF(WL_No="  ","  ",V_Disp*1.025*1.006),"-")</f>
        <v>9742.3181731559362</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10.5</v>
      </c>
      <c r="AQ20" s="34" t="str">
        <f t="shared" ca="1" si="18"/>
        <v>2/3</v>
      </c>
      <c r="AR20" s="23">
        <f t="shared" ca="1" si="19"/>
        <v>7</v>
      </c>
      <c r="AS20" s="24">
        <f t="shared" si="20"/>
        <v>4</v>
      </c>
      <c r="AT20" s="23">
        <f t="shared" ca="1" si="37"/>
        <v>28</v>
      </c>
      <c r="AU20" s="23">
        <f t="shared" ca="1" si="40"/>
        <v>112</v>
      </c>
      <c r="AV20" s="23">
        <f t="shared" si="21"/>
        <v>1157.625</v>
      </c>
      <c r="AW20" s="23">
        <f t="shared" ca="1" si="22"/>
        <v>771.75</v>
      </c>
      <c r="AX20" s="15" t="s">
        <v>136</v>
      </c>
      <c r="AY20" s="35">
        <f t="shared" si="23"/>
        <v>94.775999999999982</v>
      </c>
      <c r="AZ20" s="23">
        <f t="shared" ca="1" si="41"/>
        <v>63.183999999999983</v>
      </c>
      <c r="BA20" s="36">
        <f t="shared" si="25"/>
        <v>278.67240000000004</v>
      </c>
      <c r="BB20" s="27">
        <f t="shared" ca="1" si="38"/>
        <v>185.78160000000003</v>
      </c>
      <c r="BC20" s="23">
        <f t="shared" ca="1" si="39"/>
        <v>252.73599999999993</v>
      </c>
      <c r="BD20" s="15" t="s">
        <v>136</v>
      </c>
      <c r="BE20" s="50" t="s">
        <v>52</v>
      </c>
      <c r="BF20" s="48" t="s">
        <v>53</v>
      </c>
      <c r="BG20" s="49">
        <f>IF(WL_No="  ","  ",V_Disp*1.025*1.006)</f>
        <v>9742.3181731559362</v>
      </c>
    </row>
    <row r="21" spans="1:59" x14ac:dyDescent="0.25">
      <c r="A21" s="20">
        <f>Tools!$AD20</f>
        <v>15</v>
      </c>
      <c r="B21" s="33">
        <f t="shared" si="0"/>
        <v>8.91</v>
      </c>
      <c r="C21" s="22">
        <f>IF(A21="  ","  ",IF(AND(A20="  ",A22="  "),"?",IF(A20="  ",2*(A22-A21),IF(A22="  ",2*(A21-A20),2*(A22-A20)))))</f>
        <v>4</v>
      </c>
      <c r="D21" s="23">
        <f t="shared" si="26"/>
        <v>35.64</v>
      </c>
      <c r="E21" s="24">
        <f t="shared" si="1"/>
        <v>5</v>
      </c>
      <c r="F21" s="23">
        <f t="shared" si="27"/>
        <v>178.2</v>
      </c>
      <c r="G21" s="23">
        <f t="shared" si="28"/>
        <v>891</v>
      </c>
      <c r="H21" s="23">
        <f t="shared" si="29"/>
        <v>707.34797100000014</v>
      </c>
      <c r="I21" s="23">
        <f t="shared" si="30"/>
        <v>2829.3918840000006</v>
      </c>
      <c r="J21" s="15" t="s">
        <v>136</v>
      </c>
      <c r="K21" s="37">
        <f t="shared" si="2"/>
        <v>77.555999999999997</v>
      </c>
      <c r="L21" s="23">
        <f t="shared" si="31"/>
        <v>310.22399999999999</v>
      </c>
      <c r="M21" s="38">
        <f t="shared" si="3"/>
        <v>231.59520000000001</v>
      </c>
      <c r="N21" s="27">
        <f t="shared" si="32"/>
        <v>926.38080000000002</v>
      </c>
      <c r="O21" s="23">
        <f t="shared" si="33"/>
        <v>1551.12</v>
      </c>
      <c r="P21" s="15" t="s">
        <v>136</v>
      </c>
      <c r="Q21" s="50" t="s">
        <v>55</v>
      </c>
      <c r="R21" s="48" t="s">
        <v>56</v>
      </c>
      <c r="S21" s="49">
        <f>IFERROR(IF(WL_No="  ","  ",h/3*$N$29),"-")</f>
        <v>28099.332793980837</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8.91</v>
      </c>
      <c r="AQ21" s="34" t="str">
        <f t="shared" ca="1" si="18"/>
        <v>4/3</v>
      </c>
      <c r="AR21" s="23">
        <f t="shared" ca="1" si="19"/>
        <v>11.879999999999999</v>
      </c>
      <c r="AS21" s="24">
        <f t="shared" si="20"/>
        <v>5</v>
      </c>
      <c r="AT21" s="23">
        <f t="shared" ca="1" si="37"/>
        <v>59.399999999999991</v>
      </c>
      <c r="AU21" s="23">
        <f t="shared" ca="1" si="40"/>
        <v>296.99999999999994</v>
      </c>
      <c r="AV21" s="23">
        <f t="shared" si="21"/>
        <v>707.34797100000014</v>
      </c>
      <c r="AW21" s="23">
        <f t="shared" ca="1" si="22"/>
        <v>943.13062800000012</v>
      </c>
      <c r="AX21" s="15" t="s">
        <v>136</v>
      </c>
      <c r="AY21" s="35">
        <f t="shared" si="23"/>
        <v>77.555999999999997</v>
      </c>
      <c r="AZ21" s="23">
        <f t="shared" ca="1" si="41"/>
        <v>103.40799999999999</v>
      </c>
      <c r="BA21" s="36">
        <f t="shared" si="25"/>
        <v>231.59520000000001</v>
      </c>
      <c r="BB21" s="27">
        <f t="shared" ca="1" si="38"/>
        <v>308.79359999999997</v>
      </c>
      <c r="BC21" s="23">
        <f t="shared" ca="1" si="39"/>
        <v>517.04</v>
      </c>
      <c r="BD21" s="15" t="s">
        <v>136</v>
      </c>
      <c r="BE21" s="50" t="s">
        <v>55</v>
      </c>
      <c r="BF21" s="48" t="s">
        <v>59</v>
      </c>
      <c r="BG21" s="49">
        <f ca="1">IF(WL_No="  ","  ",h*$BB$29)</f>
        <v>28099.33279398083</v>
      </c>
    </row>
    <row r="22" spans="1:59" x14ac:dyDescent="0.25">
      <c r="A22" s="20">
        <f>Tools!$AD21</f>
        <v>16</v>
      </c>
      <c r="B22" s="33">
        <f t="shared" si="0"/>
        <v>7.02</v>
      </c>
      <c r="C22" s="22">
        <f>IF(A22="  ","  ",IF(AND(A21="  ",A23="  "),"?",IF(A21="  ",1*(A23-A22),IF(A23="  ",1*(A22-A21),1*(A23-A21)))))</f>
        <v>2</v>
      </c>
      <c r="D22" s="23">
        <f t="shared" si="26"/>
        <v>14.04</v>
      </c>
      <c r="E22" s="24">
        <f t="shared" si="1"/>
        <v>6</v>
      </c>
      <c r="F22" s="23">
        <f t="shared" si="27"/>
        <v>84.24</v>
      </c>
      <c r="G22" s="23">
        <f t="shared" si="28"/>
        <v>505.43999999999994</v>
      </c>
      <c r="H22" s="23">
        <f t="shared" si="29"/>
        <v>345.94840799999992</v>
      </c>
      <c r="I22" s="23">
        <f t="shared" si="30"/>
        <v>691.89681599999983</v>
      </c>
      <c r="J22" s="15" t="s">
        <v>136</v>
      </c>
      <c r="K22" s="37">
        <f t="shared" si="2"/>
        <v>58.56</v>
      </c>
      <c r="L22" s="23">
        <f t="shared" si="31"/>
        <v>117.12</v>
      </c>
      <c r="M22" s="38">
        <f t="shared" si="3"/>
        <v>178.41600000000003</v>
      </c>
      <c r="N22" s="27">
        <f t="shared" si="32"/>
        <v>356.83200000000005</v>
      </c>
      <c r="O22" s="23">
        <f t="shared" si="33"/>
        <v>702.72</v>
      </c>
      <c r="P22" s="15" t="s">
        <v>136</v>
      </c>
      <c r="Q22" s="50" t="s">
        <v>57</v>
      </c>
      <c r="R22" s="48" t="s">
        <v>58</v>
      </c>
      <c r="S22" s="49">
        <f>IFERROR(IF(WL_No="  ","  ",(h^2)/3*$O$29),"-")</f>
        <v>14611.419169635001</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7.02</v>
      </c>
      <c r="AQ22" s="34" t="str">
        <f t="shared" ca="1" si="18"/>
        <v>2/3</v>
      </c>
      <c r="AR22" s="23">
        <f t="shared" ca="1" si="19"/>
        <v>4.68</v>
      </c>
      <c r="AS22" s="24">
        <f t="shared" si="20"/>
        <v>6</v>
      </c>
      <c r="AT22" s="23">
        <f t="shared" ca="1" si="37"/>
        <v>28.08</v>
      </c>
      <c r="AU22" s="23">
        <f t="shared" ca="1" si="40"/>
        <v>168.48</v>
      </c>
      <c r="AV22" s="23">
        <f t="shared" si="21"/>
        <v>345.94840799999992</v>
      </c>
      <c r="AW22" s="23">
        <f t="shared" ca="1" si="22"/>
        <v>230.63227199999994</v>
      </c>
      <c r="AX22" s="15" t="s">
        <v>136</v>
      </c>
      <c r="AY22" s="35">
        <f t="shared" si="23"/>
        <v>58.56</v>
      </c>
      <c r="AZ22" s="23">
        <f t="shared" ca="1" si="41"/>
        <v>39.04</v>
      </c>
      <c r="BA22" s="36">
        <f t="shared" si="25"/>
        <v>178.41600000000003</v>
      </c>
      <c r="BB22" s="27">
        <f t="shared" ca="1" si="38"/>
        <v>118.94400000000002</v>
      </c>
      <c r="BC22" s="23">
        <f t="shared" ca="1" si="39"/>
        <v>234.24</v>
      </c>
      <c r="BD22" s="15" t="s">
        <v>136</v>
      </c>
      <c r="BE22" s="50" t="s">
        <v>57</v>
      </c>
      <c r="BF22" s="48" t="s">
        <v>62</v>
      </c>
      <c r="BG22" s="49">
        <f ca="1">IF(WL_No="  ","  ",(h^2)*$BC$29)</f>
        <v>14611.419169634994</v>
      </c>
    </row>
    <row r="23" spans="1:59" x14ac:dyDescent="0.25">
      <c r="A23" s="20">
        <f>Tools!$AD22</f>
        <v>17</v>
      </c>
      <c r="B23" s="33">
        <f t="shared" si="0"/>
        <v>5.03</v>
      </c>
      <c r="C23" s="22">
        <f>IF(A23="  ","  ",IF(AND(A22="  ",A24="  "),"?",IF(A22="  ",2*(A24-A23),IF(A24="  ",2*(A23-A22),2*(A24-A22)))))</f>
        <v>4</v>
      </c>
      <c r="D23" s="23">
        <f t="shared" si="26"/>
        <v>20.12</v>
      </c>
      <c r="E23" s="24">
        <f t="shared" si="1"/>
        <v>7</v>
      </c>
      <c r="F23" s="23">
        <f t="shared" si="27"/>
        <v>140.84</v>
      </c>
      <c r="G23" s="23">
        <f t="shared" si="28"/>
        <v>985.88</v>
      </c>
      <c r="H23" s="23">
        <f t="shared" si="29"/>
        <v>127.26352700000001</v>
      </c>
      <c r="I23" s="23">
        <f t="shared" si="30"/>
        <v>509.05410800000004</v>
      </c>
      <c r="J23" s="15" t="s">
        <v>136</v>
      </c>
      <c r="K23" s="37">
        <f t="shared" si="2"/>
        <v>40.337999999999994</v>
      </c>
      <c r="L23" s="23">
        <f t="shared" si="31"/>
        <v>161.35199999999998</v>
      </c>
      <c r="M23" s="38">
        <f t="shared" si="3"/>
        <v>126.2304</v>
      </c>
      <c r="N23" s="27">
        <f t="shared" si="32"/>
        <v>504.92160000000001</v>
      </c>
      <c r="O23" s="23">
        <f t="shared" si="33"/>
        <v>1129.4639999999999</v>
      </c>
      <c r="P23" s="15" t="s">
        <v>136</v>
      </c>
      <c r="Q23" s="50" t="s">
        <v>60</v>
      </c>
      <c r="R23" s="48" t="s">
        <v>61</v>
      </c>
      <c r="S23" s="49">
        <f>IFERROR(IF(WL_No="  ","  ",IF/V_Disp),"-")</f>
        <v>177.84564310957404</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5.03</v>
      </c>
      <c r="AQ23" s="34" t="str">
        <f t="shared" ca="1" si="18"/>
        <v>4/3</v>
      </c>
      <c r="AR23" s="23">
        <f t="shared" ca="1" si="19"/>
        <v>6.706666666666667</v>
      </c>
      <c r="AS23" s="24">
        <f t="shared" si="20"/>
        <v>7</v>
      </c>
      <c r="AT23" s="23">
        <f t="shared" ca="1" si="37"/>
        <v>46.946666666666673</v>
      </c>
      <c r="AU23" s="23">
        <f t="shared" ca="1" si="40"/>
        <v>328.62666666666672</v>
      </c>
      <c r="AV23" s="23">
        <f t="shared" si="21"/>
        <v>127.26352700000001</v>
      </c>
      <c r="AW23" s="23">
        <f t="shared" ca="1" si="22"/>
        <v>169.68470266666668</v>
      </c>
      <c r="AX23" s="15" t="s">
        <v>136</v>
      </c>
      <c r="AY23" s="35">
        <f t="shared" si="23"/>
        <v>40.337999999999994</v>
      </c>
      <c r="AZ23" s="23">
        <f t="shared" ca="1" si="41"/>
        <v>53.783999999999992</v>
      </c>
      <c r="BA23" s="36">
        <f t="shared" si="25"/>
        <v>126.2304</v>
      </c>
      <c r="BB23" s="27">
        <f t="shared" ca="1" si="38"/>
        <v>168.30719999999999</v>
      </c>
      <c r="BC23" s="23">
        <f t="shared" ca="1" si="39"/>
        <v>376.48799999999994</v>
      </c>
      <c r="BD23" s="15" t="s">
        <v>136</v>
      </c>
      <c r="BE23" s="50" t="s">
        <v>60</v>
      </c>
      <c r="BF23" s="48" t="s">
        <v>61</v>
      </c>
      <c r="BG23" s="49">
        <f>IF(WL_No="  ","  ",IF/V_Disp)</f>
        <v>177.84564310957404</v>
      </c>
    </row>
    <row r="24" spans="1:59" x14ac:dyDescent="0.25">
      <c r="A24" s="20">
        <f>Tools!$AD23</f>
        <v>18</v>
      </c>
      <c r="B24" s="33">
        <f t="shared" si="0"/>
        <v>3.25</v>
      </c>
      <c r="C24" s="22">
        <f>IF(A24="  ","  ",IF(AND(A23="  ",A25="  "),"?",IF(A23="  ",1*(A25-A24),IF(A25="  ",1*(A24-A23),1*(A25-A23)))))</f>
        <v>1.5</v>
      </c>
      <c r="D24" s="23">
        <f t="shared" si="26"/>
        <v>4.875</v>
      </c>
      <c r="E24" s="24">
        <f t="shared" si="1"/>
        <v>8</v>
      </c>
      <c r="F24" s="23">
        <f t="shared" si="27"/>
        <v>39</v>
      </c>
      <c r="G24" s="23">
        <f t="shared" si="28"/>
        <v>312</v>
      </c>
      <c r="H24" s="23">
        <f t="shared" si="29"/>
        <v>34.328125</v>
      </c>
      <c r="I24" s="23">
        <f t="shared" si="30"/>
        <v>51.4921875</v>
      </c>
      <c r="J24" s="15" t="s">
        <v>136</v>
      </c>
      <c r="K24" s="37">
        <f t="shared" si="2"/>
        <v>25.675499999999996</v>
      </c>
      <c r="L24" s="23">
        <f t="shared" si="31"/>
        <v>38.513249999999992</v>
      </c>
      <c r="M24" s="38">
        <f t="shared" si="3"/>
        <v>82.730025000000012</v>
      </c>
      <c r="N24" s="27">
        <f t="shared" si="32"/>
        <v>124.09503750000002</v>
      </c>
      <c r="O24" s="23">
        <f t="shared" si="33"/>
        <v>308.10599999999994</v>
      </c>
      <c r="P24" s="15" t="s">
        <v>136</v>
      </c>
      <c r="Q24" s="50" t="s">
        <v>63</v>
      </c>
      <c r="R24" s="48" t="s">
        <v>64</v>
      </c>
      <c r="S24" s="49">
        <f>IFERROR(IF(WL_No="  ","  ",IT/V_Disp),"-")</f>
        <v>8.8455514525718755</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3.25</v>
      </c>
      <c r="AQ24" s="34" t="str">
        <f t="shared" ca="1" si="18"/>
        <v>(1/2)*(1/3)+1/3</v>
      </c>
      <c r="AR24" s="23">
        <f t="shared" ca="1" si="19"/>
        <v>1.625</v>
      </c>
      <c r="AS24" s="24">
        <f t="shared" si="20"/>
        <v>8</v>
      </c>
      <c r="AT24" s="23">
        <f t="shared" ca="1" si="37"/>
        <v>13</v>
      </c>
      <c r="AU24" s="23">
        <f t="shared" ca="1" si="40"/>
        <v>104</v>
      </c>
      <c r="AV24" s="23">
        <f t="shared" si="21"/>
        <v>34.328125</v>
      </c>
      <c r="AW24" s="23">
        <f t="shared" ca="1" si="22"/>
        <v>17.1640625</v>
      </c>
      <c r="AX24" s="15" t="s">
        <v>136</v>
      </c>
      <c r="AY24" s="35">
        <f t="shared" si="23"/>
        <v>25.675499999999996</v>
      </c>
      <c r="AZ24" s="23">
        <f t="shared" ca="1" si="41"/>
        <v>12.837749999999998</v>
      </c>
      <c r="BA24" s="36">
        <f t="shared" si="25"/>
        <v>82.730025000000012</v>
      </c>
      <c r="BB24" s="27">
        <f t="shared" ca="1" si="38"/>
        <v>41.365012500000006</v>
      </c>
      <c r="BC24" s="23">
        <f t="shared" ca="1" si="39"/>
        <v>102.70199999999998</v>
      </c>
      <c r="BD24" s="15" t="s">
        <v>136</v>
      </c>
      <c r="BE24" s="50" t="s">
        <v>63</v>
      </c>
      <c r="BF24" s="48" t="s">
        <v>64</v>
      </c>
      <c r="BG24" s="49">
        <f>IF(WL_No="  ","  ",IT/V_Disp)</f>
        <v>8.8455514525718755</v>
      </c>
    </row>
    <row r="25" spans="1:59" x14ac:dyDescent="0.25">
      <c r="A25" s="20">
        <f>Tools!$AD24</f>
        <v>18.5</v>
      </c>
      <c r="B25" s="33">
        <f t="shared" si="0"/>
        <v>2.57</v>
      </c>
      <c r="C25" s="22">
        <f>IF(A25="  ","  ",IF(AND(A24="  ",A26="  "),"?",IF(A24="  ",2*(A26-A25),IF(A26="  ",2*(A25-A24),2*(A26-A24)))))</f>
        <v>2</v>
      </c>
      <c r="D25" s="23">
        <f t="shared" si="26"/>
        <v>5.14</v>
      </c>
      <c r="E25" s="24">
        <f t="shared" si="1"/>
        <v>8.5</v>
      </c>
      <c r="F25" s="23">
        <f t="shared" si="27"/>
        <v>43.69</v>
      </c>
      <c r="G25" s="23">
        <f t="shared" si="28"/>
        <v>371.36500000000001</v>
      </c>
      <c r="H25" s="23">
        <f t="shared" si="29"/>
        <v>16.974592999999995</v>
      </c>
      <c r="I25" s="23">
        <f t="shared" si="30"/>
        <v>33.94918599999999</v>
      </c>
      <c r="J25" s="15" t="s">
        <v>136</v>
      </c>
      <c r="K25" s="37">
        <f t="shared" si="2"/>
        <v>19.746199999999998</v>
      </c>
      <c r="L25" s="23">
        <f t="shared" si="31"/>
        <v>39.492399999999996</v>
      </c>
      <c r="M25" s="38">
        <f t="shared" si="3"/>
        <v>65.686611333333332</v>
      </c>
      <c r="N25" s="27">
        <f t="shared" si="32"/>
        <v>131.37322266666666</v>
      </c>
      <c r="O25" s="23">
        <f t="shared" si="33"/>
        <v>335.68539999999996</v>
      </c>
      <c r="P25" s="15" t="s">
        <v>136</v>
      </c>
      <c r="Q25" s="50" t="s">
        <v>65</v>
      </c>
      <c r="R25" s="48" t="s">
        <v>66</v>
      </c>
      <c r="S25" s="49">
        <f>IFERROR(IF(WL_No="  ","  ",MT/V_Disp),"-")</f>
        <v>2.9740998492894906</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2.57</v>
      </c>
      <c r="AQ25" s="34" t="str">
        <f t="shared" ca="1" si="18"/>
        <v>(1/2)*(4/3)</v>
      </c>
      <c r="AR25" s="23">
        <f t="shared" ca="1" si="19"/>
        <v>1.7133333333333332</v>
      </c>
      <c r="AS25" s="24">
        <f t="shared" si="20"/>
        <v>8.5</v>
      </c>
      <c r="AT25" s="23">
        <f t="shared" ca="1" si="37"/>
        <v>14.563333333333333</v>
      </c>
      <c r="AU25" s="23">
        <f t="shared" ca="1" si="40"/>
        <v>123.78833333333333</v>
      </c>
      <c r="AV25" s="23">
        <f t="shared" si="21"/>
        <v>16.974592999999995</v>
      </c>
      <c r="AW25" s="23">
        <f t="shared" ca="1" si="22"/>
        <v>11.316395333333329</v>
      </c>
      <c r="AX25" s="15" t="s">
        <v>136</v>
      </c>
      <c r="AY25" s="35">
        <f t="shared" si="23"/>
        <v>19.746199999999998</v>
      </c>
      <c r="AZ25" s="23">
        <f t="shared" ca="1" si="41"/>
        <v>13.164133333333332</v>
      </c>
      <c r="BA25" s="36">
        <f t="shared" si="25"/>
        <v>65.686611333333332</v>
      </c>
      <c r="BB25" s="27">
        <f t="shared" ca="1" si="38"/>
        <v>43.791074222222221</v>
      </c>
      <c r="BC25" s="23">
        <f t="shared" ca="1" si="39"/>
        <v>111.89513333333332</v>
      </c>
      <c r="BD25" s="15" t="s">
        <v>136</v>
      </c>
      <c r="BE25" s="50" t="s">
        <v>65</v>
      </c>
      <c r="BF25" s="48" t="s">
        <v>66</v>
      </c>
      <c r="BG25" s="49">
        <f>IF(WL_No="  ","  ",MT/V_Disp)</f>
        <v>2.9740998492894906</v>
      </c>
    </row>
    <row r="26" spans="1:59" x14ac:dyDescent="0.25">
      <c r="A26" s="20">
        <f>Tools!$AD25</f>
        <v>19</v>
      </c>
      <c r="B26" s="33">
        <f t="shared" si="0"/>
        <v>2.1</v>
      </c>
      <c r="C26" s="22">
        <f>IF(A26="  ","  ",IF(AND(A25="  ",A27="  "),"?",IF(A25="  ",1*(A27-A26),IF(A27="  ",1*(A26-A25),1*(A27-A25)))))</f>
        <v>1</v>
      </c>
      <c r="D26" s="23">
        <f t="shared" si="26"/>
        <v>2.1</v>
      </c>
      <c r="E26" s="24">
        <f t="shared" si="1"/>
        <v>9</v>
      </c>
      <c r="F26" s="23">
        <f t="shared" si="27"/>
        <v>18.900000000000002</v>
      </c>
      <c r="G26" s="23">
        <f t="shared" si="28"/>
        <v>170.10000000000002</v>
      </c>
      <c r="H26" s="23">
        <f t="shared" si="29"/>
        <v>9.261000000000001</v>
      </c>
      <c r="I26" s="23">
        <f t="shared" si="30"/>
        <v>9.261000000000001</v>
      </c>
      <c r="J26" s="15" t="s">
        <v>136</v>
      </c>
      <c r="K26" s="37">
        <f t="shared" si="2"/>
        <v>15.357599999999998</v>
      </c>
      <c r="L26" s="23">
        <f t="shared" si="31"/>
        <v>15.357599999999998</v>
      </c>
      <c r="M26" s="38">
        <f t="shared" si="3"/>
        <v>52.796202000000008</v>
      </c>
      <c r="N26" s="27">
        <f t="shared" si="32"/>
        <v>52.796202000000008</v>
      </c>
      <c r="O26" s="23">
        <f t="shared" si="33"/>
        <v>138.21839999999997</v>
      </c>
      <c r="P26" s="15" t="s">
        <v>136</v>
      </c>
      <c r="Q26" s="50" t="s">
        <v>67</v>
      </c>
      <c r="R26" s="48" t="s">
        <v>68</v>
      </c>
      <c r="S26" s="49">
        <f>IFERROR(IF(WL_No="  ","  ",KB+BMT),"-")</f>
        <v>11.819651301861366</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2.1</v>
      </c>
      <c r="AQ26" s="34" t="str">
        <f t="shared" ca="1" si="18"/>
        <v>(1/2)*(2/3)</v>
      </c>
      <c r="AR26" s="23">
        <f t="shared" ca="1" si="19"/>
        <v>0.7</v>
      </c>
      <c r="AS26" s="24">
        <f t="shared" si="20"/>
        <v>9</v>
      </c>
      <c r="AT26" s="23">
        <f t="shared" ca="1" si="37"/>
        <v>6.3</v>
      </c>
      <c r="AU26" s="23">
        <f t="shared" ca="1" si="40"/>
        <v>56.699999999999996</v>
      </c>
      <c r="AV26" s="23">
        <f t="shared" si="21"/>
        <v>9.261000000000001</v>
      </c>
      <c r="AW26" s="23">
        <f t="shared" ca="1" si="22"/>
        <v>3.0870000000000002</v>
      </c>
      <c r="AX26" s="15" t="s">
        <v>136</v>
      </c>
      <c r="AY26" s="35">
        <f t="shared" si="23"/>
        <v>15.357599999999998</v>
      </c>
      <c r="AZ26" s="23">
        <f t="shared" ca="1" si="41"/>
        <v>5.1191999999999993</v>
      </c>
      <c r="BA26" s="36">
        <f t="shared" si="25"/>
        <v>52.796202000000008</v>
      </c>
      <c r="BB26" s="27">
        <f t="shared" ca="1" si="38"/>
        <v>17.598734</v>
      </c>
      <c r="BC26" s="23">
        <f t="shared" ca="1" si="39"/>
        <v>46.072799999999994</v>
      </c>
      <c r="BD26" s="15" t="s">
        <v>136</v>
      </c>
      <c r="BE26" s="50" t="s">
        <v>67</v>
      </c>
      <c r="BF26" s="48" t="s">
        <v>68</v>
      </c>
      <c r="BG26" s="49">
        <f>IF(WL_No="  ","  ",KB+BMT)</f>
        <v>11.819651301861366</v>
      </c>
    </row>
    <row r="27" spans="1:59" x14ac:dyDescent="0.25">
      <c r="A27" s="20">
        <f>Tools!$AD26</f>
        <v>19.5</v>
      </c>
      <c r="B27" s="33">
        <f t="shared" si="0"/>
        <v>1.77</v>
      </c>
      <c r="C27" s="22">
        <f>IF(A27="  ","  ",IF(AND(A26="  ",A28="  "),"?",IF(A26="  ",2*(A28-A27),IF(A28="  ",2*(A27-A26),2*(A28-A26)))))</f>
        <v>2</v>
      </c>
      <c r="D27" s="23">
        <f t="shared" si="26"/>
        <v>3.54</v>
      </c>
      <c r="E27" s="24">
        <f t="shared" si="1"/>
        <v>9.5</v>
      </c>
      <c r="F27" s="23">
        <f t="shared" si="27"/>
        <v>33.630000000000003</v>
      </c>
      <c r="G27" s="23">
        <f t="shared" si="28"/>
        <v>319.48500000000001</v>
      </c>
      <c r="H27" s="23">
        <f t="shared" si="29"/>
        <v>5.5452330000000005</v>
      </c>
      <c r="I27" s="23">
        <f t="shared" si="30"/>
        <v>11.090466000000001</v>
      </c>
      <c r="J27" s="15" t="s">
        <v>136</v>
      </c>
      <c r="K27" s="37">
        <f t="shared" si="2"/>
        <v>11.524000000000001</v>
      </c>
      <c r="L27" s="23">
        <f t="shared" si="31"/>
        <v>23.048000000000002</v>
      </c>
      <c r="M27" s="38">
        <f t="shared" si="3"/>
        <v>42.030133333333332</v>
      </c>
      <c r="N27" s="27">
        <f t="shared" si="32"/>
        <v>84.060266666666664</v>
      </c>
      <c r="O27" s="23">
        <f t="shared" si="33"/>
        <v>218.95600000000002</v>
      </c>
      <c r="P27" s="15" t="s">
        <v>136</v>
      </c>
      <c r="Q27" s="50" t="s">
        <v>69</v>
      </c>
      <c r="R27" s="48" t="s">
        <v>70</v>
      </c>
      <c r="S27" s="49">
        <f>IFERROR(IF(WL_No="  ","  ",KB+BML),"-")</f>
        <v>180.81974295886354</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si="36"/>
        <v>1.77</v>
      </c>
      <c r="AQ27" s="34" t="str">
        <f t="shared" ca="1" si="18"/>
        <v>(1/2)*(4/3)</v>
      </c>
      <c r="AR27" s="23">
        <f t="shared" ca="1" si="19"/>
        <v>1.18</v>
      </c>
      <c r="AS27" s="24">
        <f t="shared" si="20"/>
        <v>9.5</v>
      </c>
      <c r="AT27" s="23">
        <f t="shared" ca="1" si="37"/>
        <v>11.209999999999999</v>
      </c>
      <c r="AU27" s="23">
        <f t="shared" ca="1" si="40"/>
        <v>106.49499999999999</v>
      </c>
      <c r="AV27" s="23">
        <f t="shared" si="21"/>
        <v>5.5452330000000005</v>
      </c>
      <c r="AW27" s="23">
        <f t="shared" ca="1" si="22"/>
        <v>3.6968220000000001</v>
      </c>
      <c r="AX27" s="15" t="s">
        <v>136</v>
      </c>
      <c r="AY27" s="35">
        <f t="shared" si="23"/>
        <v>11.524000000000001</v>
      </c>
      <c r="AZ27" s="23">
        <f t="shared" ca="1" si="41"/>
        <v>7.682666666666667</v>
      </c>
      <c r="BA27" s="36">
        <f t="shared" si="25"/>
        <v>42.030133333333332</v>
      </c>
      <c r="BB27" s="27">
        <f t="shared" ca="1" si="38"/>
        <v>28.020088888888885</v>
      </c>
      <c r="BC27" s="23">
        <f t="shared" ca="1" si="39"/>
        <v>72.98533333333333</v>
      </c>
      <c r="BD27" s="15" t="s">
        <v>136</v>
      </c>
      <c r="BE27" s="50" t="s">
        <v>69</v>
      </c>
      <c r="BF27" s="48" t="s">
        <v>70</v>
      </c>
      <c r="BG27" s="49">
        <f>IF(WL_No="  ","  ",KB+BML)</f>
        <v>180.81974295886354</v>
      </c>
    </row>
    <row r="28" spans="1:59" ht="15.75" thickBot="1" x14ac:dyDescent="0.3">
      <c r="A28" s="20">
        <f>Tools!$AD27</f>
        <v>20</v>
      </c>
      <c r="B28" s="52">
        <f t="shared" si="0"/>
        <v>1.45</v>
      </c>
      <c r="C28" s="22">
        <f>IF(A28="  ","  ",IF(A27="  ","?",1*(A28-A27)))</f>
        <v>0.5</v>
      </c>
      <c r="D28" s="53">
        <f t="shared" si="26"/>
        <v>0.72499999999999998</v>
      </c>
      <c r="E28" s="24">
        <f t="shared" si="1"/>
        <v>10</v>
      </c>
      <c r="F28" s="53">
        <f t="shared" si="27"/>
        <v>7.25</v>
      </c>
      <c r="G28" s="53">
        <f t="shared" si="28"/>
        <v>72.5</v>
      </c>
      <c r="H28" s="23">
        <f t="shared" si="29"/>
        <v>3.0486249999999999</v>
      </c>
      <c r="I28" s="53">
        <f t="shared" si="30"/>
        <v>1.5243125</v>
      </c>
      <c r="J28" s="15" t="s">
        <v>136</v>
      </c>
      <c r="K28" s="35">
        <f t="shared" si="2"/>
        <v>7.1440000000000001</v>
      </c>
      <c r="L28" s="53">
        <f t="shared" si="31"/>
        <v>3.5720000000000001</v>
      </c>
      <c r="M28" s="36">
        <f t="shared" si="3"/>
        <v>28.960266666666669</v>
      </c>
      <c r="N28" s="54">
        <f t="shared" si="32"/>
        <v>14.480133333333335</v>
      </c>
      <c r="O28" s="53">
        <f t="shared" si="33"/>
        <v>35.72</v>
      </c>
      <c r="P28" s="15" t="s">
        <v>136</v>
      </c>
      <c r="Q28" s="50" t="s">
        <v>71</v>
      </c>
      <c r="R28" s="48" t="s">
        <v>72</v>
      </c>
      <c r="S28" s="49">
        <f>IFERROR(IF(WL_No="  ","  ",AWP*1.025/100),"-")</f>
        <v>22.06362417499999</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36"/>
        <v>1.45</v>
      </c>
      <c r="AQ28" s="34" t="str">
        <f t="shared" ca="1" si="18"/>
        <v>(1/2)*(1/3)</v>
      </c>
      <c r="AR28" s="23">
        <f t="shared" ca="1" si="19"/>
        <v>0.24166666666666664</v>
      </c>
      <c r="AS28" s="24">
        <f t="shared" si="20"/>
        <v>10</v>
      </c>
      <c r="AT28" s="53">
        <f t="shared" ca="1" si="37"/>
        <v>2.4166666666666665</v>
      </c>
      <c r="AU28" s="53">
        <f t="shared" ca="1" si="40"/>
        <v>24.166666666666664</v>
      </c>
      <c r="AV28" s="23">
        <f t="shared" si="21"/>
        <v>3.0486249999999999</v>
      </c>
      <c r="AW28" s="23">
        <f t="shared" ca="1" si="22"/>
        <v>0.50810416666666658</v>
      </c>
      <c r="AX28" s="15" t="s">
        <v>136</v>
      </c>
      <c r="AY28" s="35">
        <f t="shared" si="23"/>
        <v>7.1440000000000001</v>
      </c>
      <c r="AZ28" s="23">
        <f t="shared" ca="1" si="41"/>
        <v>1.1906666666666665</v>
      </c>
      <c r="BA28" s="36">
        <f t="shared" si="25"/>
        <v>28.960266666666669</v>
      </c>
      <c r="BB28" s="27">
        <f t="shared" ca="1" si="38"/>
        <v>4.826711111111111</v>
      </c>
      <c r="BC28" s="53">
        <f t="shared" ca="1" si="39"/>
        <v>11.906666666666666</v>
      </c>
      <c r="BD28" s="15" t="s">
        <v>136</v>
      </c>
      <c r="BE28" s="50" t="s">
        <v>71</v>
      </c>
      <c r="BF28" s="48" t="s">
        <v>72</v>
      </c>
      <c r="BG28" s="49">
        <f>IF(WL_No="  ","  ",AWP*1.025/100)</f>
        <v>22.06362417499999</v>
      </c>
    </row>
    <row r="29" spans="1:59" ht="15.75" thickBot="1" x14ac:dyDescent="0.3">
      <c r="A29" s="56" t="s">
        <v>77</v>
      </c>
      <c r="B29" s="15" t="s">
        <v>136</v>
      </c>
      <c r="C29" s="15" t="s">
        <v>136</v>
      </c>
      <c r="D29" s="57">
        <f>SUM(D4:D28)</f>
        <v>490.33000000000004</v>
      </c>
      <c r="E29" s="15" t="s">
        <v>136</v>
      </c>
      <c r="F29" s="58">
        <f>SUM(F4:F28)</f>
        <v>-19.32999999999992</v>
      </c>
      <c r="G29" s="58">
        <f>SUM(G4:G28)</f>
        <v>8827.6500000000015</v>
      </c>
      <c r="H29" s="15" t="s">
        <v>136</v>
      </c>
      <c r="I29" s="58">
        <f>SUM(I4:I28)</f>
        <v>57111.308481999993</v>
      </c>
      <c r="J29" s="15" t="s">
        <v>136</v>
      </c>
      <c r="K29" s="15" t="s">
        <v>136</v>
      </c>
      <c r="L29" s="58">
        <f>SUM(L4:L28)</f>
        <v>4304.3337500000007</v>
      </c>
      <c r="M29" s="15" t="s">
        <v>136</v>
      </c>
      <c r="N29" s="58">
        <f>SUM(N4:N28)</f>
        <v>12801.518357166669</v>
      </c>
      <c r="O29" s="58">
        <f>SUM(O4:O28)</f>
        <v>1010.8858000000004</v>
      </c>
      <c r="P29" s="15" t="s">
        <v>136</v>
      </c>
      <c r="Q29" s="50" t="s">
        <v>73</v>
      </c>
      <c r="R29" s="48" t="s">
        <v>74</v>
      </c>
      <c r="S29" s="49">
        <f>IFERROR(IF(WL_No="  ","  ",ML/V_Disp),"-")</f>
        <v>1.5465071668757098</v>
      </c>
      <c r="W29" s="56"/>
      <c r="X29" s="56"/>
      <c r="Y29" s="56"/>
      <c r="Z29" s="56"/>
      <c r="AA29" s="56"/>
      <c r="AB29" s="56"/>
      <c r="AC29" s="56"/>
      <c r="AD29" s="56"/>
      <c r="AE29" s="56"/>
      <c r="AF29" s="56"/>
      <c r="AG29" s="56"/>
      <c r="AH29" s="56"/>
      <c r="AI29" s="56"/>
      <c r="AJ29" s="56"/>
      <c r="AK29" s="56"/>
      <c r="AL29" s="56"/>
      <c r="AM29" s="56"/>
      <c r="AN29" s="56"/>
      <c r="AO29" s="56" t="s">
        <v>77</v>
      </c>
      <c r="AP29" s="15" t="s">
        <v>136</v>
      </c>
      <c r="AQ29" s="15" t="s">
        <v>136</v>
      </c>
      <c r="AR29" s="57">
        <f ca="1">SUM(AR4:AR28)</f>
        <v>163.44333333333333</v>
      </c>
      <c r="AS29" s="15" t="s">
        <v>136</v>
      </c>
      <c r="AT29" s="58">
        <f ca="1">SUM(AT4:AT28)</f>
        <v>-6.4433333333333671</v>
      </c>
      <c r="AU29" s="58">
        <f ca="1">SUM(AU4:AU28)</f>
        <v>2942.5499999999993</v>
      </c>
      <c r="AV29" s="15" t="s">
        <v>136</v>
      </c>
      <c r="AW29" s="58">
        <f ca="1">SUM(AW4:AW28)</f>
        <v>19037.102827333332</v>
      </c>
      <c r="AX29" s="15" t="s">
        <v>136</v>
      </c>
      <c r="AY29" s="15" t="s">
        <v>136</v>
      </c>
      <c r="AZ29" s="58">
        <f ca="1">SUM(AZ4:AZ28)</f>
        <v>1434.7779166666662</v>
      </c>
      <c r="BA29" s="15" t="s">
        <v>136</v>
      </c>
      <c r="BB29" s="58">
        <f ca="1">SUM(BB4:BB28)</f>
        <v>4267.1727857222222</v>
      </c>
      <c r="BC29" s="58">
        <f ca="1">SUM(BC4:BC28)</f>
        <v>336.96193333333326</v>
      </c>
      <c r="BD29" s="15" t="s">
        <v>136</v>
      </c>
      <c r="BE29" s="50" t="s">
        <v>73</v>
      </c>
      <c r="BF29" s="48" t="s">
        <v>74</v>
      </c>
      <c r="BG29" s="49">
        <f>IF(WL_No="  ","  ",ML/V_Disp)</f>
        <v>1.5465071668757098</v>
      </c>
    </row>
    <row r="30" spans="1:59" x14ac:dyDescent="0.25">
      <c r="A30" s="15" t="s">
        <v>136</v>
      </c>
      <c r="B30" s="15" t="s">
        <v>136</v>
      </c>
      <c r="C30" s="15" t="s">
        <v>136</v>
      </c>
      <c r="D30" s="15" t="s">
        <v>136</v>
      </c>
      <c r="E30" s="15" t="s">
        <v>136</v>
      </c>
      <c r="F30" s="15" t="s">
        <v>136</v>
      </c>
      <c r="G30" s="15" t="s">
        <v>136</v>
      </c>
      <c r="H30" s="15" t="s">
        <v>136</v>
      </c>
      <c r="I30" s="15" t="s">
        <v>136</v>
      </c>
      <c r="J30" s="15" t="s">
        <v>136</v>
      </c>
      <c r="K30" s="15" t="s">
        <v>136</v>
      </c>
      <c r="L30" s="15" t="s">
        <v>136</v>
      </c>
      <c r="M30" s="15" t="s">
        <v>136</v>
      </c>
      <c r="N30" s="15" t="s">
        <v>136</v>
      </c>
      <c r="O30" s="15" t="s">
        <v>136</v>
      </c>
      <c r="P30" s="15" t="s">
        <v>136</v>
      </c>
      <c r="Q30" s="50" t="s">
        <v>75</v>
      </c>
      <c r="R30" s="55" t="s">
        <v>76</v>
      </c>
      <c r="S30" s="49">
        <f>IFERROR(IF(WL_No="  ","  ",M_Disp*BML/100/LBP),"-")</f>
        <v>131.55875784988672</v>
      </c>
      <c r="AA30" s="60"/>
      <c r="AB30" s="60"/>
      <c r="AO30" s="15" t="s">
        <v>136</v>
      </c>
      <c r="AP30" s="15" t="s">
        <v>136</v>
      </c>
      <c r="AQ30" s="15" t="s">
        <v>136</v>
      </c>
      <c r="AR30" s="15" t="s">
        <v>136</v>
      </c>
      <c r="AS30" s="15" t="s">
        <v>136</v>
      </c>
      <c r="AT30" s="15" t="s">
        <v>136</v>
      </c>
      <c r="AU30" s="15" t="s">
        <v>136</v>
      </c>
      <c r="AV30" s="15" t="s">
        <v>136</v>
      </c>
      <c r="AW30" s="15" t="s">
        <v>136</v>
      </c>
      <c r="AX30" s="15" t="s">
        <v>136</v>
      </c>
      <c r="AY30" s="15" t="s">
        <v>136</v>
      </c>
      <c r="AZ30" s="15" t="s">
        <v>136</v>
      </c>
      <c r="BA30" s="15" t="s">
        <v>136</v>
      </c>
      <c r="BB30" s="15" t="s">
        <v>136</v>
      </c>
      <c r="BC30" s="15" t="s">
        <v>136</v>
      </c>
      <c r="BD30" s="15" t="s">
        <v>136</v>
      </c>
      <c r="BE30" s="50" t="s">
        <v>75</v>
      </c>
      <c r="BF30" s="55" t="s">
        <v>76</v>
      </c>
      <c r="BG30" s="49">
        <f ca="1">IF(WL_No="  ","  ",M_Disp*BML/100/LWL)</f>
        <v>138.48290299988074</v>
      </c>
    </row>
    <row r="31" spans="1:59" x14ac:dyDescent="0.25">
      <c r="A31" s="15" t="s">
        <v>136</v>
      </c>
      <c r="B31" s="15" t="s">
        <v>136</v>
      </c>
      <c r="C31" s="15" t="s">
        <v>136</v>
      </c>
      <c r="D31" s="15" t="s">
        <v>136</v>
      </c>
      <c r="E31" s="15" t="s">
        <v>136</v>
      </c>
      <c r="F31" s="15" t="s">
        <v>136</v>
      </c>
      <c r="G31" s="15" t="s">
        <v>136</v>
      </c>
      <c r="H31" s="15" t="s">
        <v>136</v>
      </c>
      <c r="I31" s="15" t="s">
        <v>136</v>
      </c>
      <c r="J31" s="15" t="s">
        <v>136</v>
      </c>
      <c r="K31" s="15" t="s">
        <v>136</v>
      </c>
      <c r="L31" s="15" t="s">
        <v>136</v>
      </c>
      <c r="M31" s="15" t="s">
        <v>136</v>
      </c>
      <c r="N31" s="15" t="s">
        <v>136</v>
      </c>
      <c r="O31" s="15" t="s">
        <v>136</v>
      </c>
      <c r="P31" s="15" t="s">
        <v>136</v>
      </c>
      <c r="Q31" s="50" t="s">
        <v>78</v>
      </c>
      <c r="R31" s="48" t="s">
        <v>79</v>
      </c>
      <c r="S31" s="49">
        <f>IFERROR(IF(WL_No="  ","  ",WLS*WL_No),"-")</f>
        <v>5.4</v>
      </c>
      <c r="AF31" s="61" t="s">
        <v>84</v>
      </c>
      <c r="AG31" s="62">
        <f ca="1">COUNTIF(OFFSET(AQ4,,,ROUNDUP(Max_STN_count/2,0),1),"")</f>
        <v>2</v>
      </c>
      <c r="AH31" s="63">
        <f ca="1">HLOOKUP(Stn_WL,AREA_TABLE,AG31+2,FALSE)</f>
        <v>1</v>
      </c>
      <c r="AI31" s="63">
        <f ca="1">IF(AH31&gt;Long_Div/2,Long_Div/2,AH31)</f>
        <v>1</v>
      </c>
      <c r="AJ31" s="63">
        <f ca="1">AI31*STN_GAP</f>
        <v>6.5849999999999991</v>
      </c>
      <c r="AO31" s="15" t="s">
        <v>136</v>
      </c>
      <c r="AP31" s="15" t="s">
        <v>136</v>
      </c>
      <c r="AQ31" s="15" t="s">
        <v>136</v>
      </c>
      <c r="AR31" s="15" t="s">
        <v>136</v>
      </c>
      <c r="AS31" s="15" t="s">
        <v>136</v>
      </c>
      <c r="AT31" s="15" t="s">
        <v>136</v>
      </c>
      <c r="AU31" s="15" t="s">
        <v>136</v>
      </c>
      <c r="AV31" s="15" t="s">
        <v>136</v>
      </c>
      <c r="AW31" s="15" t="s">
        <v>136</v>
      </c>
      <c r="AX31" s="15" t="s">
        <v>136</v>
      </c>
      <c r="AY31" s="15" t="s">
        <v>136</v>
      </c>
      <c r="AZ31" s="15" t="s">
        <v>136</v>
      </c>
      <c r="BA31" s="15" t="s">
        <v>136</v>
      </c>
      <c r="BB31" s="15" t="s">
        <v>136</v>
      </c>
      <c r="BC31" s="15" t="s">
        <v>136</v>
      </c>
      <c r="BD31" s="15" t="s">
        <v>136</v>
      </c>
      <c r="BE31" s="50" t="s">
        <v>78</v>
      </c>
      <c r="BF31" s="48" t="s">
        <v>79</v>
      </c>
      <c r="BG31" s="49">
        <f>IF(WL_No="  ","  ",WLS*WL_No)</f>
        <v>5.4</v>
      </c>
    </row>
    <row r="32" spans="1:59" x14ac:dyDescent="0.25">
      <c r="A32" s="15" t="s">
        <v>136</v>
      </c>
      <c r="B32" s="15" t="s">
        <v>136</v>
      </c>
      <c r="C32" s="15" t="s">
        <v>136</v>
      </c>
      <c r="D32" s="15" t="s">
        <v>136</v>
      </c>
      <c r="E32" s="15" t="s">
        <v>136</v>
      </c>
      <c r="F32" s="15" t="s">
        <v>136</v>
      </c>
      <c r="G32" s="15" t="s">
        <v>136</v>
      </c>
      <c r="H32" s="15" t="s">
        <v>136</v>
      </c>
      <c r="I32" s="15" t="s">
        <v>136</v>
      </c>
      <c r="J32" s="15" t="s">
        <v>136</v>
      </c>
      <c r="K32" s="15" t="s">
        <v>136</v>
      </c>
      <c r="L32" s="15" t="s">
        <v>136</v>
      </c>
      <c r="M32" s="15" t="s">
        <v>136</v>
      </c>
      <c r="N32" s="15" t="s">
        <v>136</v>
      </c>
      <c r="O32" s="15" t="s">
        <v>136</v>
      </c>
      <c r="P32" s="15" t="s">
        <v>136</v>
      </c>
      <c r="Q32" s="50" t="s">
        <v>80</v>
      </c>
      <c r="R32" s="48" t="s">
        <v>81</v>
      </c>
      <c r="S32" s="49">
        <f>IFERROR(IF(WL_No="  ","  ",AWP/(LBP*B_current)),"-")</f>
        <v>0.66711564625850328</v>
      </c>
      <c r="AF32" s="61" t="s">
        <v>87</v>
      </c>
      <c r="AG32" s="62">
        <f ca="1">COUNTIF(OFFSET(AQ4,ROUNDUP(Max_STN_count/2,0),,ROUNDDOWN(Max_STN_count/2,0),1),"")</f>
        <v>0</v>
      </c>
      <c r="AH32" s="63">
        <f ca="1">HLOOKUP(Stn_WL,AREA_TABLE,AG32+2,FALSE)</f>
        <v>0</v>
      </c>
      <c r="AI32" s="63">
        <f ca="1">IF(AH32&gt;Long_Div/2,Long_Div/2,AH32)</f>
        <v>0</v>
      </c>
      <c r="AJ32" s="63">
        <f ca="1">AI32*STN_GAP</f>
        <v>0</v>
      </c>
      <c r="AO32" s="15" t="s">
        <v>136</v>
      </c>
      <c r="AP32" s="15" t="s">
        <v>136</v>
      </c>
      <c r="AQ32" s="15" t="s">
        <v>136</v>
      </c>
      <c r="AR32" s="15" t="s">
        <v>136</v>
      </c>
      <c r="AS32" s="15" t="s">
        <v>136</v>
      </c>
      <c r="AT32" s="15" t="s">
        <v>136</v>
      </c>
      <c r="AU32" s="15" t="s">
        <v>136</v>
      </c>
      <c r="AV32" s="15" t="s">
        <v>136</v>
      </c>
      <c r="AW32" s="15" t="s">
        <v>136</v>
      </c>
      <c r="AX32" s="15" t="s">
        <v>136</v>
      </c>
      <c r="AY32" s="15" t="s">
        <v>136</v>
      </c>
      <c r="AZ32" s="15" t="s">
        <v>136</v>
      </c>
      <c r="BA32" s="15" t="s">
        <v>136</v>
      </c>
      <c r="BB32" s="15" t="s">
        <v>136</v>
      </c>
      <c r="BC32" s="15" t="s">
        <v>136</v>
      </c>
      <c r="BD32" s="15" t="s">
        <v>136</v>
      </c>
      <c r="BE32" s="50" t="s">
        <v>80</v>
      </c>
      <c r="BF32" s="48" t="s">
        <v>81</v>
      </c>
      <c r="BG32" s="49">
        <f ca="1">IF(WL_No="  ","  ",AWP/(LWL*B_current))</f>
        <v>0.70222699606158245</v>
      </c>
    </row>
    <row r="33" spans="1:59" x14ac:dyDescent="0.25">
      <c r="A33" s="15" t="s">
        <v>136</v>
      </c>
      <c r="B33" s="15" t="s">
        <v>136</v>
      </c>
      <c r="C33" s="15" t="s">
        <v>136</v>
      </c>
      <c r="D33" s="15" t="s">
        <v>136</v>
      </c>
      <c r="E33" s="15" t="s">
        <v>136</v>
      </c>
      <c r="F33" s="15" t="s">
        <v>136</v>
      </c>
      <c r="G33" s="15" t="s">
        <v>136</v>
      </c>
      <c r="H33" s="15" t="s">
        <v>136</v>
      </c>
      <c r="I33" s="15" t="s">
        <v>136</v>
      </c>
      <c r="J33" s="15" t="s">
        <v>136</v>
      </c>
      <c r="K33" s="15" t="s">
        <v>136</v>
      </c>
      <c r="L33" s="15" t="s">
        <v>136</v>
      </c>
      <c r="M33" s="15" t="s">
        <v>136</v>
      </c>
      <c r="N33" s="15" t="s">
        <v>136</v>
      </c>
      <c r="O33" s="15" t="s">
        <v>136</v>
      </c>
      <c r="P33" s="15" t="s">
        <v>136</v>
      </c>
      <c r="Q33" s="50" t="s">
        <v>82</v>
      </c>
      <c r="R33" s="48" t="s">
        <v>83</v>
      </c>
      <c r="S33" s="49">
        <f>IFERROR(IF(WL_No="  ","  ",V_Disp/(LBP*B_current*T)),"-")</f>
        <v>0.5422441106072059</v>
      </c>
      <c r="AF33" s="63"/>
      <c r="AG33" s="63"/>
      <c r="AH33" s="63">
        <f ca="1">Long_Div-AH32</f>
        <v>20</v>
      </c>
      <c r="AI33" s="63"/>
      <c r="AJ33" s="63">
        <f ca="1">AJ32+AJ31</f>
        <v>6.5849999999999991</v>
      </c>
      <c r="AO33" s="15" t="s">
        <v>136</v>
      </c>
      <c r="AP33" s="15" t="s">
        <v>136</v>
      </c>
      <c r="AQ33" s="15" t="s">
        <v>136</v>
      </c>
      <c r="AR33" s="15" t="s">
        <v>136</v>
      </c>
      <c r="AS33" s="15" t="s">
        <v>136</v>
      </c>
      <c r="AT33" s="15" t="s">
        <v>136</v>
      </c>
      <c r="AU33" s="15" t="s">
        <v>136</v>
      </c>
      <c r="AV33" s="15" t="s">
        <v>136</v>
      </c>
      <c r="AW33" s="15" t="s">
        <v>136</v>
      </c>
      <c r="AX33" s="15" t="s">
        <v>136</v>
      </c>
      <c r="AY33" s="15" t="s">
        <v>136</v>
      </c>
      <c r="AZ33" s="15" t="s">
        <v>136</v>
      </c>
      <c r="BA33" s="15" t="s">
        <v>136</v>
      </c>
      <c r="BB33" s="15" t="s">
        <v>136</v>
      </c>
      <c r="BC33" s="15" t="s">
        <v>136</v>
      </c>
      <c r="BD33" s="15" t="s">
        <v>136</v>
      </c>
      <c r="BE33" s="50" t="s">
        <v>82</v>
      </c>
      <c r="BF33" s="48" t="s">
        <v>83</v>
      </c>
      <c r="BG33" s="49">
        <f ca="1">IF(WL_No="  ","  ",V_Disp/(LWL*B_current*T))</f>
        <v>0.57078327432337472</v>
      </c>
    </row>
    <row r="34" spans="1:59" x14ac:dyDescent="0.25">
      <c r="A34" s="15" t="s">
        <v>136</v>
      </c>
      <c r="B34" s="15" t="s">
        <v>136</v>
      </c>
      <c r="C34" s="15" t="s">
        <v>136</v>
      </c>
      <c r="D34" s="15" t="s">
        <v>136</v>
      </c>
      <c r="E34" s="15" t="s">
        <v>136</v>
      </c>
      <c r="F34" s="15" t="s">
        <v>136</v>
      </c>
      <c r="G34" s="15" t="s">
        <v>136</v>
      </c>
      <c r="H34" s="15" t="s">
        <v>136</v>
      </c>
      <c r="I34" s="15" t="s">
        <v>136</v>
      </c>
      <c r="J34" s="15" t="s">
        <v>136</v>
      </c>
      <c r="K34" s="15" t="s">
        <v>136</v>
      </c>
      <c r="L34" s="15" t="s">
        <v>136</v>
      </c>
      <c r="M34" s="15" t="s">
        <v>136</v>
      </c>
      <c r="N34" s="15" t="s">
        <v>136</v>
      </c>
      <c r="O34" s="15" t="s">
        <v>136</v>
      </c>
      <c r="P34" s="15" t="s">
        <v>136</v>
      </c>
      <c r="Q34" s="50" t="s">
        <v>85</v>
      </c>
      <c r="R34" s="48" t="s">
        <v>86</v>
      </c>
      <c r="S34" s="65">
        <f>IFERROR(IF(WL_No="  ","  ",(VLOOKUP(Long_Div/2,AREA_TABLE,Count_WL+1,FALSE))/(B_current*T)),"-")</f>
        <v>0.94961451247165518</v>
      </c>
      <c r="AO34" s="15" t="s">
        <v>136</v>
      </c>
      <c r="AP34" s="15" t="s">
        <v>136</v>
      </c>
      <c r="AQ34" s="15" t="s">
        <v>136</v>
      </c>
      <c r="AR34" s="15" t="s">
        <v>136</v>
      </c>
      <c r="AS34" s="15" t="s">
        <v>136</v>
      </c>
      <c r="AT34" s="15" t="s">
        <v>136</v>
      </c>
      <c r="AU34" s="15" t="s">
        <v>136</v>
      </c>
      <c r="AV34" s="15" t="s">
        <v>136</v>
      </c>
      <c r="AW34" s="15" t="s">
        <v>136</v>
      </c>
      <c r="AX34" s="15" t="s">
        <v>136</v>
      </c>
      <c r="AY34" s="15" t="s">
        <v>136</v>
      </c>
      <c r="AZ34" s="15" t="s">
        <v>136</v>
      </c>
      <c r="BA34" s="15" t="s">
        <v>136</v>
      </c>
      <c r="BB34" s="15" t="s">
        <v>136</v>
      </c>
      <c r="BC34" s="15" t="s">
        <v>136</v>
      </c>
      <c r="BD34" s="15" t="s">
        <v>136</v>
      </c>
      <c r="BE34" s="50" t="s">
        <v>85</v>
      </c>
      <c r="BF34" s="48" t="s">
        <v>86</v>
      </c>
      <c r="BG34" s="65">
        <f>IFERROR(IF(WL_No="  ","  ",(VLOOKUP(Long_Div/2,AREA_TABLE,Count_WL+1,FALSE))/(B_current*T)),"-")</f>
        <v>0.94961451247165518</v>
      </c>
    </row>
    <row r="35" spans="1:59" x14ac:dyDescent="0.25">
      <c r="A35" s="15" t="s">
        <v>136</v>
      </c>
      <c r="B35" s="15" t="s">
        <v>136</v>
      </c>
      <c r="C35" s="15" t="s">
        <v>136</v>
      </c>
      <c r="D35" s="15" t="s">
        <v>136</v>
      </c>
      <c r="E35" s="15" t="s">
        <v>136</v>
      </c>
      <c r="F35" s="15" t="s">
        <v>136</v>
      </c>
      <c r="G35" s="15" t="s">
        <v>136</v>
      </c>
      <c r="H35" s="15" t="s">
        <v>136</v>
      </c>
      <c r="I35" s="15" t="s">
        <v>136</v>
      </c>
      <c r="J35" s="15" t="s">
        <v>136</v>
      </c>
      <c r="K35" s="15" t="s">
        <v>136</v>
      </c>
      <c r="L35" s="15" t="s">
        <v>136</v>
      </c>
      <c r="M35" s="15" t="s">
        <v>136</v>
      </c>
      <c r="N35" s="15" t="s">
        <v>136</v>
      </c>
      <c r="O35" s="15" t="s">
        <v>136</v>
      </c>
      <c r="P35" s="15" t="s">
        <v>136</v>
      </c>
      <c r="Q35" s="50" t="s">
        <v>88</v>
      </c>
      <c r="R35" s="48" t="s">
        <v>89</v>
      </c>
      <c r="S35" s="49">
        <f>IFERROR(IF(WL_No="  ","  ",CB/CM),"-")</f>
        <v>0.57101497869472717</v>
      </c>
      <c r="AO35" s="15" t="s">
        <v>136</v>
      </c>
      <c r="AP35" s="15" t="s">
        <v>136</v>
      </c>
      <c r="AQ35" s="15" t="s">
        <v>136</v>
      </c>
      <c r="AR35" s="15" t="s">
        <v>136</v>
      </c>
      <c r="AS35" s="15" t="s">
        <v>136</v>
      </c>
      <c r="AT35" s="15" t="s">
        <v>136</v>
      </c>
      <c r="AU35" s="15" t="s">
        <v>136</v>
      </c>
      <c r="AV35" s="15" t="s">
        <v>136</v>
      </c>
      <c r="AW35" s="15" t="s">
        <v>136</v>
      </c>
      <c r="AX35" s="15" t="s">
        <v>136</v>
      </c>
      <c r="AY35" s="15" t="s">
        <v>136</v>
      </c>
      <c r="AZ35" s="15" t="s">
        <v>136</v>
      </c>
      <c r="BA35" s="15" t="s">
        <v>136</v>
      </c>
      <c r="BB35" s="15" t="s">
        <v>136</v>
      </c>
      <c r="BC35" s="15" t="s">
        <v>136</v>
      </c>
      <c r="BD35" s="15" t="s">
        <v>136</v>
      </c>
      <c r="BE35" s="50" t="s">
        <v>88</v>
      </c>
      <c r="BF35" s="48" t="s">
        <v>89</v>
      </c>
      <c r="BG35" s="49">
        <f>IF(WL_No="  ","  ",CB/CM)</f>
        <v>0.57101497869472717</v>
      </c>
    </row>
    <row r="38" spans="1:59" x14ac:dyDescent="0.25">
      <c r="Q38" s="43" t="s">
        <v>31</v>
      </c>
      <c r="R38" s="44" t="s">
        <v>32</v>
      </c>
      <c r="S38" s="506" t="s">
        <v>33</v>
      </c>
    </row>
    <row r="39" spans="1:59" x14ac:dyDescent="0.25">
      <c r="Q39" s="45"/>
      <c r="R39" s="46"/>
      <c r="S39" s="507"/>
    </row>
    <row r="40" spans="1:59" x14ac:dyDescent="0.25">
      <c r="Q40" s="47" t="s">
        <v>34</v>
      </c>
      <c r="R40" s="48" t="s">
        <v>35</v>
      </c>
      <c r="S40">
        <f>IF(Tools!$L$49="Use 141 rule only",S13,IF(Tools!$L$49="Use 141 and 1331 rules",BG13," "))</f>
        <v>2152.5486999999994</v>
      </c>
    </row>
    <row r="41" spans="1:59" x14ac:dyDescent="0.25">
      <c r="Q41" s="47" t="s">
        <v>36</v>
      </c>
      <c r="R41" s="48" t="s">
        <v>37</v>
      </c>
      <c r="S41">
        <f>IF(Tools!$L$49="Use 141 rule only",S14,IF(Tools!$L$49="Use 141 and 1331 rules",BG14," "))</f>
        <v>-558.79453949999754</v>
      </c>
    </row>
    <row r="42" spans="1:59" x14ac:dyDescent="0.25">
      <c r="Q42" s="50" t="s">
        <v>39</v>
      </c>
      <c r="R42" s="48" t="s">
        <v>40</v>
      </c>
      <c r="S42">
        <f>IF(Tools!$L$49="Use 141 rule only",S15,IF(Tools!$L$49="Use 141 and 1331 rules",BG15," "))</f>
        <v>-0.25959670018150932</v>
      </c>
    </row>
    <row r="43" spans="1:59" x14ac:dyDescent="0.25">
      <c r="Q43" s="50" t="s">
        <v>42</v>
      </c>
      <c r="R43" s="48" t="s">
        <v>43</v>
      </c>
      <c r="S43">
        <f>IF(Tools!$L$49="Use 141 rule only",S16,IF(Tools!$L$49="Use 141 and 1331 rules",BG16," "))</f>
        <v>1680432.9348382868</v>
      </c>
    </row>
    <row r="44" spans="1:59" x14ac:dyDescent="0.25">
      <c r="Q44" s="51" t="s">
        <v>44</v>
      </c>
      <c r="R44" s="48" t="s">
        <v>45</v>
      </c>
      <c r="S44">
        <f>IF(Tools!$L$49="Use 141 rule only",S17,IF(Tools!$L$49="Use 141 and 1331 rules",BG17," "))</f>
        <v>83572.881411993309</v>
      </c>
    </row>
    <row r="45" spans="1:59" x14ac:dyDescent="0.25">
      <c r="Q45" s="50" t="s">
        <v>47</v>
      </c>
      <c r="R45" s="48" t="s">
        <v>48</v>
      </c>
      <c r="S45">
        <f>IF(Tools!$L$49="Use 141 rule only",S18,IF(Tools!$L$49="Use 141 and 1331 rules",BG18," "))</f>
        <v>1680287.8736197532</v>
      </c>
    </row>
    <row r="46" spans="1:59" x14ac:dyDescent="0.25">
      <c r="Q46" s="50" t="s">
        <v>50</v>
      </c>
      <c r="R46" s="48" t="s">
        <v>51</v>
      </c>
      <c r="S46">
        <f>IF(Tools!$L$49="Use 141 rule only",S19,IF(Tools!$L$49="Use 141 and 1331 rules",BG19," "))</f>
        <v>9448.0125812500009</v>
      </c>
    </row>
    <row r="47" spans="1:59" x14ac:dyDescent="0.25">
      <c r="Q47" s="50" t="s">
        <v>52</v>
      </c>
      <c r="R47" s="48" t="s">
        <v>53</v>
      </c>
      <c r="S47">
        <f>IF(Tools!$L$49="Use 141 rule only",S20,IF(Tools!$L$49="Use 141 and 1331 rules",BG20," "))</f>
        <v>9742.3181731559362</v>
      </c>
    </row>
    <row r="48" spans="1:59" x14ac:dyDescent="0.25">
      <c r="Q48" s="50" t="s">
        <v>55</v>
      </c>
      <c r="R48" s="48" t="s">
        <v>56</v>
      </c>
      <c r="S48">
        <f>IF(Tools!$L$49="Use 141 rule only",S21,IF(Tools!$L$49="Use 141 and 1331 rules",BG21," "))</f>
        <v>28099.332793980837</v>
      </c>
    </row>
    <row r="49" spans="17:19" x14ac:dyDescent="0.25">
      <c r="Q49" s="50" t="s">
        <v>57</v>
      </c>
      <c r="R49" s="48" t="s">
        <v>58</v>
      </c>
      <c r="S49">
        <f>IF(Tools!$L$49="Use 141 rule only",S22,IF(Tools!$L$49="Use 141 and 1331 rules",BG22," "))</f>
        <v>14611.419169635001</v>
      </c>
    </row>
    <row r="50" spans="17:19" x14ac:dyDescent="0.25">
      <c r="Q50" s="50" t="s">
        <v>60</v>
      </c>
      <c r="R50" s="48" t="s">
        <v>61</v>
      </c>
      <c r="S50">
        <f>IF(Tools!$L$49="Use 141 rule only",S23,IF(Tools!$L$49="Use 141 and 1331 rules",BG23," "))</f>
        <v>177.84564310957404</v>
      </c>
    </row>
    <row r="51" spans="17:19" x14ac:dyDescent="0.25">
      <c r="Q51" s="50" t="s">
        <v>63</v>
      </c>
      <c r="R51" s="48" t="s">
        <v>64</v>
      </c>
      <c r="S51">
        <f>IF(Tools!$L$49="Use 141 rule only",S24,IF(Tools!$L$49="Use 141 and 1331 rules",BG24," "))</f>
        <v>8.8455514525718755</v>
      </c>
    </row>
    <row r="52" spans="17:19" x14ac:dyDescent="0.25">
      <c r="Q52" s="50" t="s">
        <v>65</v>
      </c>
      <c r="R52" s="48" t="s">
        <v>66</v>
      </c>
      <c r="S52">
        <f>IF(Tools!$L$49="Use 141 rule only",S25,IF(Tools!$L$49="Use 141 and 1331 rules",BG25," "))</f>
        <v>2.9740998492894906</v>
      </c>
    </row>
    <row r="53" spans="17:19" x14ac:dyDescent="0.25">
      <c r="Q53" s="50" t="s">
        <v>67</v>
      </c>
      <c r="R53" s="48" t="s">
        <v>68</v>
      </c>
      <c r="S53">
        <f>IF(Tools!$L$49="Use 141 rule only",S26,IF(Tools!$L$49="Use 141 and 1331 rules",BG26," "))</f>
        <v>11.819651301861366</v>
      </c>
    </row>
    <row r="54" spans="17:19" x14ac:dyDescent="0.25">
      <c r="Q54" s="50" t="s">
        <v>69</v>
      </c>
      <c r="R54" s="48" t="s">
        <v>70</v>
      </c>
      <c r="S54">
        <f>IF(Tools!$L$49="Use 141 rule only",S27,IF(Tools!$L$49="Use 141 and 1331 rules",BG27," "))</f>
        <v>180.81974295886354</v>
      </c>
    </row>
    <row r="55" spans="17:19" x14ac:dyDescent="0.25">
      <c r="Q55" s="50" t="s">
        <v>71</v>
      </c>
      <c r="R55" s="48" t="s">
        <v>72</v>
      </c>
      <c r="S55">
        <f>IF(Tools!$L$49="Use 141 rule only",S28,IF(Tools!$L$49="Use 141 and 1331 rules",BG28," "))</f>
        <v>22.06362417499999</v>
      </c>
    </row>
    <row r="56" spans="17:19" x14ac:dyDescent="0.25">
      <c r="Q56" s="50" t="s">
        <v>73</v>
      </c>
      <c r="R56" s="48" t="s">
        <v>74</v>
      </c>
      <c r="S56">
        <f>IF(Tools!$L$49="Use 141 rule only",S29,IF(Tools!$L$49="Use 141 and 1331 rules",BG29," "))</f>
        <v>1.5465071668757098</v>
      </c>
    </row>
    <row r="57" spans="17:19" x14ac:dyDescent="0.25">
      <c r="Q57" s="50" t="s">
        <v>75</v>
      </c>
      <c r="R57" s="55" t="s">
        <v>76</v>
      </c>
      <c r="S57">
        <f>IF(Tools!$L$49="Use 141 rule only",S30,IF(Tools!$L$49="Use 141 and 1331 rules",BG30," "))</f>
        <v>131.55875784988672</v>
      </c>
    </row>
    <row r="58" spans="17:19" x14ac:dyDescent="0.25">
      <c r="Q58" s="50" t="s">
        <v>78</v>
      </c>
      <c r="R58" s="48" t="s">
        <v>79</v>
      </c>
      <c r="S58">
        <f>IF(Tools!$L$49="Use 141 rule only",S31,IF(Tools!$L$49="Use 141 and 1331 rules",BG31," "))</f>
        <v>5.4</v>
      </c>
    </row>
    <row r="59" spans="17:19" x14ac:dyDescent="0.25">
      <c r="Q59" s="50" t="s">
        <v>80</v>
      </c>
      <c r="R59" s="48" t="s">
        <v>81</v>
      </c>
      <c r="S59">
        <f>IF(Tools!$L$49="Use 141 rule only",S32,IF(Tools!$L$49="Use 141 and 1331 rules",BG32," "))</f>
        <v>0.66711564625850328</v>
      </c>
    </row>
    <row r="60" spans="17:19" x14ac:dyDescent="0.25">
      <c r="Q60" s="50" t="s">
        <v>82</v>
      </c>
      <c r="R60" s="48" t="s">
        <v>83</v>
      </c>
      <c r="S60">
        <f>IF(Tools!$L$49="Use 141 rule only",S33,IF(Tools!$L$49="Use 141 and 1331 rules",BG33," "))</f>
        <v>0.5422441106072059</v>
      </c>
    </row>
    <row r="61" spans="17:19" x14ac:dyDescent="0.25">
      <c r="Q61" s="50" t="s">
        <v>85</v>
      </c>
      <c r="R61" s="48" t="s">
        <v>86</v>
      </c>
      <c r="S61">
        <f>IF(Tools!$L$49="Use 141 rule only",S34,IF(Tools!$L$49="Use 141 and 1331 rules",BG34," "))</f>
        <v>0.94961451247165518</v>
      </c>
    </row>
    <row r="62" spans="17:19" x14ac:dyDescent="0.25">
      <c r="Q62" s="50" t="s">
        <v>88</v>
      </c>
      <c r="R62" s="48" t="s">
        <v>89</v>
      </c>
      <c r="S62">
        <f>IF(Tools!$L$49="Use 141 rule only",S35,IF(Tools!$L$49="Use 141 and 1331 rules",BG35," "))</f>
        <v>0.57101497869472717</v>
      </c>
    </row>
  </sheetData>
  <sheetProtection password="C89D" sheet="1" objects="1" scenarios="1"/>
  <mergeCells count="5">
    <mergeCell ref="A2:I2"/>
    <mergeCell ref="K2:O2"/>
    <mergeCell ref="AO2:AW2"/>
    <mergeCell ref="AY2:BC2"/>
    <mergeCell ref="S38:S39"/>
  </mergeCells>
  <conditionalFormatting sqref="CB4:XFD30 BW4:BW28 BS4:BT28 W29:AN29 V2:AO2 BP29:BW29 A74:XFD1048576 BM31:XFD33 BM30:BW30 BH29:BI33 BH2:XFD3 U30:AN30 W3:AM28 BH38:XFD40 J36:T37 A1:AN1 AV1:XFD1 AM31 U31:AG31 AK32:AN32 O38:P62 J38:K62 T57:V62 Q40:R62 Q38:S39 T38:T56 X32:AG32 X33:AN33 Z36:XFD37 Z38:BD62 A63:V66 Z63:BF66 T2:T10 Q3:S8 T12:T35 A67:BF73 BJ41:XFD73 Z34:AN35 BH34:XFD35 A2:F62 G2:P35 BD2:BD28 Q12:S12 AO3:AW28">
    <cfRule type="containsErrors" dxfId="114" priority="65">
      <formula>ISERROR(A1)</formula>
    </cfRule>
  </conditionalFormatting>
  <conditionalFormatting sqref="Q13:R35">
    <cfRule type="containsErrors" dxfId="113" priority="64">
      <formula>ISERROR(Q13)</formula>
    </cfRule>
  </conditionalFormatting>
  <conditionalFormatting sqref="T12:T33">
    <cfRule type="containsErrors" dxfId="112" priority="63">
      <formula>ISERROR(T12)</formula>
    </cfRule>
  </conditionalFormatting>
  <conditionalFormatting sqref="S13:S35">
    <cfRule type="containsErrors" dxfId="111" priority="62">
      <formula>ISERROR(S13)</formula>
    </cfRule>
  </conditionalFormatting>
  <conditionalFormatting sqref="AY2:BC28">
    <cfRule type="containsErrors" dxfId="110" priority="59">
      <formula>ISERROR(AY2)</formula>
    </cfRule>
  </conditionalFormatting>
  <conditionalFormatting sqref="BE13:BF35">
    <cfRule type="containsErrors" dxfId="109" priority="61">
      <formula>ISERROR(BE13)</formula>
    </cfRule>
  </conditionalFormatting>
  <conditionalFormatting sqref="BG13:BG33 BG35">
    <cfRule type="containsErrors" dxfId="108" priority="60">
      <formula>ISERROR(BG13)</formula>
    </cfRule>
  </conditionalFormatting>
  <conditionalFormatting sqref="BE3:BG7">
    <cfRule type="containsErrors" dxfId="107" priority="58">
      <formula>ISERROR(BE3)</formula>
    </cfRule>
  </conditionalFormatting>
  <conditionalFormatting sqref="BF8:BG9">
    <cfRule type="containsErrors" dxfId="106" priority="56">
      <formula>ISERROR(BF8)</formula>
    </cfRule>
  </conditionalFormatting>
  <conditionalFormatting sqref="BE8:BE9">
    <cfRule type="containsErrors" dxfId="105" priority="57">
      <formula>ISERROR(BE8)</formula>
    </cfRule>
  </conditionalFormatting>
  <conditionalFormatting sqref="S59:S62">
    <cfRule type="containsErrors" dxfId="104" priority="55">
      <formula>ISERROR(S59)</formula>
    </cfRule>
  </conditionalFormatting>
  <conditionalFormatting sqref="A30:P35">
    <cfRule type="containsText" dxfId="103" priority="54" operator="containsText" text="     ">
      <formula>NOT(ISERROR(SEARCH("     ",A30)))</formula>
    </cfRule>
  </conditionalFormatting>
  <conditionalFormatting sqref="B29">
    <cfRule type="containsText" dxfId="102" priority="53" operator="containsText" text="     ">
      <formula>NOT(ISERROR(SEARCH("     ",B29)))</formula>
    </cfRule>
  </conditionalFormatting>
  <conditionalFormatting sqref="C29">
    <cfRule type="containsText" dxfId="101" priority="52" operator="containsText" text="     ">
      <formula>NOT(ISERROR(SEARCH("     ",C29)))</formula>
    </cfRule>
  </conditionalFormatting>
  <conditionalFormatting sqref="E29">
    <cfRule type="containsText" dxfId="100" priority="51" operator="containsText" text="     ">
      <formula>NOT(ISERROR(SEARCH("     ",E29)))</formula>
    </cfRule>
  </conditionalFormatting>
  <conditionalFormatting sqref="H29">
    <cfRule type="containsText" dxfId="99" priority="50" operator="containsText" text="     ">
      <formula>NOT(ISERROR(SEARCH("     ",H29)))</formula>
    </cfRule>
  </conditionalFormatting>
  <conditionalFormatting sqref="B30:I30">
    <cfRule type="containsText" dxfId="98" priority="49" operator="containsText" text="     ">
      <formula>NOT(ISERROR(SEARCH("     ",B30)))</formula>
    </cfRule>
  </conditionalFormatting>
  <conditionalFormatting sqref="K29">
    <cfRule type="containsText" dxfId="97" priority="48" operator="containsText" text="     ">
      <formula>NOT(ISERROR(SEARCH("     ",K29)))</formula>
    </cfRule>
  </conditionalFormatting>
  <conditionalFormatting sqref="M29">
    <cfRule type="containsText" dxfId="96" priority="47" operator="containsText" text="     ">
      <formula>NOT(ISERROR(SEARCH("     ",M29)))</formula>
    </cfRule>
  </conditionalFormatting>
  <conditionalFormatting sqref="P2:P29">
    <cfRule type="containsText" dxfId="95" priority="46" operator="containsText" text="     ">
      <formula>NOT(ISERROR(SEARCH("     ",P2)))</formula>
    </cfRule>
  </conditionalFormatting>
  <conditionalFormatting sqref="J2:J29">
    <cfRule type="containsText" dxfId="94" priority="45" operator="containsText" text="     ">
      <formula>NOT(ISERROR(SEARCH("     ",J2)))</formula>
    </cfRule>
  </conditionalFormatting>
  <conditionalFormatting sqref="Q9:S10">
    <cfRule type="containsErrors" dxfId="93" priority="44">
      <formula>ISERROR(Q9)</formula>
    </cfRule>
  </conditionalFormatting>
  <conditionalFormatting sqref="Q9:S10">
    <cfRule type="containsText" dxfId="92" priority="43" operator="containsText" text="     ">
      <formula>NOT(ISERROR(SEARCH("     ",Q9)))</formula>
    </cfRule>
  </conditionalFormatting>
  <conditionalFormatting sqref="AO29:BD35">
    <cfRule type="containsErrors" dxfId="91" priority="42">
      <formula>ISERROR(AO29)</formula>
    </cfRule>
  </conditionalFormatting>
  <conditionalFormatting sqref="AO30:BD35">
    <cfRule type="containsText" dxfId="90" priority="41" operator="containsText" text="     ">
      <formula>NOT(ISERROR(SEARCH("     ",AO30)))</formula>
    </cfRule>
  </conditionalFormatting>
  <conditionalFormatting sqref="AP29">
    <cfRule type="containsText" dxfId="89" priority="40" operator="containsText" text="     ">
      <formula>NOT(ISERROR(SEARCH("     ",AP29)))</formula>
    </cfRule>
  </conditionalFormatting>
  <conditionalFormatting sqref="AQ29">
    <cfRule type="containsText" dxfId="88" priority="39" operator="containsText" text="     ">
      <formula>NOT(ISERROR(SEARCH("     ",AQ29)))</formula>
    </cfRule>
  </conditionalFormatting>
  <conditionalFormatting sqref="AS29">
    <cfRule type="containsText" dxfId="87" priority="38" operator="containsText" text="     ">
      <formula>NOT(ISERROR(SEARCH("     ",AS29)))</formula>
    </cfRule>
  </conditionalFormatting>
  <conditionalFormatting sqref="AV29">
    <cfRule type="containsText" dxfId="86" priority="37" operator="containsText" text="     ">
      <formula>NOT(ISERROR(SEARCH("     ",AV29)))</formula>
    </cfRule>
  </conditionalFormatting>
  <conditionalFormatting sqref="AP30:AW30">
    <cfRule type="containsText" dxfId="85" priority="36" operator="containsText" text="     ">
      <formula>NOT(ISERROR(SEARCH("     ",AP30)))</formula>
    </cfRule>
  </conditionalFormatting>
  <conditionalFormatting sqref="AY29">
    <cfRule type="containsText" dxfId="84" priority="35" operator="containsText" text="     ">
      <formula>NOT(ISERROR(SEARCH("     ",AY29)))</formula>
    </cfRule>
  </conditionalFormatting>
  <conditionalFormatting sqref="BA29">
    <cfRule type="containsText" dxfId="83" priority="34" operator="containsText" text="     ">
      <formula>NOT(ISERROR(SEARCH("     ",BA29)))</formula>
    </cfRule>
  </conditionalFormatting>
  <conditionalFormatting sqref="BD29">
    <cfRule type="containsText" dxfId="82" priority="33" operator="containsText" text="     ">
      <formula>NOT(ISERROR(SEARCH("     ",BD29)))</formula>
    </cfRule>
  </conditionalFormatting>
  <conditionalFormatting sqref="AX29">
    <cfRule type="containsText" dxfId="81" priority="32" operator="containsText" text="     ">
      <formula>NOT(ISERROR(SEARCH("     ",AX29)))</formula>
    </cfRule>
  </conditionalFormatting>
  <conditionalFormatting sqref="AX2:AX28">
    <cfRule type="containsErrors" dxfId="80" priority="31">
      <formula>ISERROR(AX2)</formula>
    </cfRule>
  </conditionalFormatting>
  <conditionalFormatting sqref="AX2:AX28">
    <cfRule type="containsText" dxfId="79" priority="30" operator="containsText" text="     ">
      <formula>NOT(ISERROR(SEARCH("     ",AX2)))</formula>
    </cfRule>
  </conditionalFormatting>
  <conditionalFormatting sqref="BD2:BD28">
    <cfRule type="containsText" dxfId="78" priority="29" operator="containsText" text="     ">
      <formula>NOT(ISERROR(SEARCH("     ",BD2)))</formula>
    </cfRule>
  </conditionalFormatting>
  <conditionalFormatting sqref="BD2:BD28">
    <cfRule type="containsText" dxfId="77" priority="28" operator="containsText" text="     ">
      <formula>NOT(ISERROR(SEARCH("     ",BD2)))</formula>
    </cfRule>
  </conditionalFormatting>
  <conditionalFormatting sqref="BE2">
    <cfRule type="containsErrors" dxfId="76" priority="27">
      <formula>ISERROR(BE2)</formula>
    </cfRule>
  </conditionalFormatting>
  <conditionalFormatting sqref="BE2">
    <cfRule type="containsText" dxfId="75" priority="26" operator="containsText" text="     ">
      <formula>NOT(ISERROR(SEARCH("     ",BE2)))</formula>
    </cfRule>
  </conditionalFormatting>
  <conditionalFormatting sqref="BE2">
    <cfRule type="containsText" dxfId="74" priority="25" operator="containsText" text="     ">
      <formula>NOT(ISERROR(SEARCH("     ",BE2)))</formula>
    </cfRule>
  </conditionalFormatting>
  <conditionalFormatting sqref="BF2">
    <cfRule type="containsErrors" dxfId="73" priority="24">
      <formula>ISERROR(BF2)</formula>
    </cfRule>
  </conditionalFormatting>
  <conditionalFormatting sqref="BF2">
    <cfRule type="containsText" dxfId="72" priority="23" operator="containsText" text="     ">
      <formula>NOT(ISERROR(SEARCH("     ",BF2)))</formula>
    </cfRule>
  </conditionalFormatting>
  <conditionalFormatting sqref="BF2">
    <cfRule type="containsText" dxfId="71" priority="22" operator="containsText" text="     ">
      <formula>NOT(ISERROR(SEARCH("     ",BF2)))</formula>
    </cfRule>
  </conditionalFormatting>
  <conditionalFormatting sqref="BG2">
    <cfRule type="containsErrors" dxfId="70" priority="21">
      <formula>ISERROR(BG2)</formula>
    </cfRule>
  </conditionalFormatting>
  <conditionalFormatting sqref="BG2">
    <cfRule type="containsText" dxfId="69" priority="20" operator="containsText" text="     ">
      <formula>NOT(ISERROR(SEARCH("     ",BG2)))</formula>
    </cfRule>
  </conditionalFormatting>
  <conditionalFormatting sqref="BG2">
    <cfRule type="containsText" dxfId="68" priority="19" operator="containsText" text="     ">
      <formula>NOT(ISERROR(SEARCH("     ",BG2)))</formula>
    </cfRule>
  </conditionalFormatting>
  <conditionalFormatting sqref="BF10">
    <cfRule type="containsErrors" dxfId="67" priority="18">
      <formula>ISERROR(BF10)</formula>
    </cfRule>
  </conditionalFormatting>
  <conditionalFormatting sqref="BF10">
    <cfRule type="containsText" dxfId="66" priority="17" operator="containsText" text="     ">
      <formula>NOT(ISERROR(SEARCH("     ",BF10)))</formula>
    </cfRule>
  </conditionalFormatting>
  <conditionalFormatting sqref="BF10">
    <cfRule type="containsText" dxfId="65" priority="16" operator="containsText" text="     ">
      <formula>NOT(ISERROR(SEARCH("     ",BF10)))</formula>
    </cfRule>
  </conditionalFormatting>
  <conditionalFormatting sqref="BE10">
    <cfRule type="containsErrors" dxfId="64" priority="15">
      <formula>ISERROR(BE10)</formula>
    </cfRule>
  </conditionalFormatting>
  <conditionalFormatting sqref="BE10">
    <cfRule type="containsText" dxfId="63" priority="14" operator="containsText" text="     ">
      <formula>NOT(ISERROR(SEARCH("     ",BE10)))</formula>
    </cfRule>
  </conditionalFormatting>
  <conditionalFormatting sqref="BE10">
    <cfRule type="containsText" dxfId="62" priority="13" operator="containsText" text="     ">
      <formula>NOT(ISERROR(SEARCH("     ",BE10)))</formula>
    </cfRule>
  </conditionalFormatting>
  <conditionalFormatting sqref="Q2">
    <cfRule type="containsErrors" dxfId="61" priority="12">
      <formula>ISERROR(Q2)</formula>
    </cfRule>
  </conditionalFormatting>
  <conditionalFormatting sqref="Q2">
    <cfRule type="containsText" dxfId="60" priority="11" operator="containsText" text="     ">
      <formula>NOT(ISERROR(SEARCH("     ",Q2)))</formula>
    </cfRule>
  </conditionalFormatting>
  <conditionalFormatting sqref="R2">
    <cfRule type="containsErrors" dxfId="59" priority="10">
      <formula>ISERROR(R2)</formula>
    </cfRule>
  </conditionalFormatting>
  <conditionalFormatting sqref="R2">
    <cfRule type="containsText" dxfId="58" priority="9" operator="containsText" text="     ">
      <formula>NOT(ISERROR(SEARCH("     ",R2)))</formula>
    </cfRule>
  </conditionalFormatting>
  <conditionalFormatting sqref="S2">
    <cfRule type="containsErrors" dxfId="57" priority="8">
      <formula>ISERROR(S2)</formula>
    </cfRule>
  </conditionalFormatting>
  <conditionalFormatting sqref="S2">
    <cfRule type="containsText" dxfId="56" priority="7" operator="containsText" text="     ">
      <formula>NOT(ISERROR(SEARCH("     ",S2)))</formula>
    </cfRule>
  </conditionalFormatting>
  <conditionalFormatting sqref="Q11:S11">
    <cfRule type="containsErrors" dxfId="55" priority="6">
      <formula>ISERROR(Q11)</formula>
    </cfRule>
  </conditionalFormatting>
  <conditionalFormatting sqref="Q11:S11">
    <cfRule type="containsText" dxfId="54" priority="5" operator="containsText" text="     ">
      <formula>NOT(ISERROR(SEARCH("     ",Q11)))</formula>
    </cfRule>
  </conditionalFormatting>
  <conditionalFormatting sqref="BE12:BG12">
    <cfRule type="containsErrors" dxfId="53" priority="4">
      <formula>ISERROR(BE12)</formula>
    </cfRule>
  </conditionalFormatting>
  <conditionalFormatting sqref="BE11:BG11">
    <cfRule type="containsErrors" dxfId="52" priority="3">
      <formula>ISERROR(BE11)</formula>
    </cfRule>
  </conditionalFormatting>
  <conditionalFormatting sqref="BE11:BG11">
    <cfRule type="containsText" dxfId="51" priority="2" operator="containsText" text="     ">
      <formula>NOT(ISERROR(SEARCH("     ",BE11)))</formula>
    </cfRule>
  </conditionalFormatting>
  <conditionalFormatting sqref="BG34">
    <cfRule type="containsErrors" dxfId="50" priority="1">
      <formula>ISERROR(BG34)</formula>
    </cfRule>
  </conditionalFormatting>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5" tint="-0.499984740745262"/>
  </sheetPr>
  <dimension ref="A1:R43"/>
  <sheetViews>
    <sheetView showGridLines="0" showRowColHeaders="0" zoomScale="115" zoomScaleNormal="115" workbookViewId="0">
      <selection activeCell="E4" sqref="E4"/>
    </sheetView>
  </sheetViews>
  <sheetFormatPr defaultRowHeight="15" x14ac:dyDescent="0.25"/>
  <cols>
    <col min="1" max="2" width="9.140625" style="108"/>
    <col min="3" max="3" width="10.42578125" style="108" bestFit="1" customWidth="1"/>
    <col min="4" max="9" width="9.140625" style="108"/>
    <col min="10" max="10" width="15" style="108" customWidth="1"/>
    <col min="11" max="11" width="15.7109375" style="108" customWidth="1"/>
    <col min="12" max="12" width="9.140625" style="108"/>
    <col min="13" max="14" width="9.140625" style="108" customWidth="1"/>
    <col min="15" max="15" width="9.140625" style="108"/>
    <col min="16" max="16" width="12.85546875" style="108" customWidth="1"/>
    <col min="17" max="16384" width="9.140625" style="108"/>
  </cols>
  <sheetData>
    <row r="1" spans="1:17" ht="20.100000000000001" customHeight="1" x14ac:dyDescent="0.25">
      <c r="A1" s="107"/>
    </row>
    <row r="2" spans="1:17" ht="24.95" customHeight="1" x14ac:dyDescent="0.4">
      <c r="C2" s="515" t="s">
        <v>118</v>
      </c>
      <c r="D2" s="515"/>
      <c r="E2" s="515"/>
      <c r="K2" s="514" t="s">
        <v>122</v>
      </c>
      <c r="L2" s="514"/>
      <c r="M2" s="110">
        <f>IFERROR(STN_GAP,"-")</f>
        <v>6.5849999999999991</v>
      </c>
    </row>
    <row r="3" spans="1:17" ht="17.25" customHeight="1" x14ac:dyDescent="0.25">
      <c r="C3" s="514" t="s">
        <v>26</v>
      </c>
      <c r="D3" s="514"/>
      <c r="E3" s="109">
        <v>131.69999999999999</v>
      </c>
      <c r="F3" s="108" t="str">
        <f>IF(E3=0,"","m")</f>
        <v>m</v>
      </c>
      <c r="L3" s="108" t="s">
        <v>123</v>
      </c>
      <c r="M3" s="108">
        <f>IFERROR(Tools!D60,"  ")</f>
        <v>4416.7448604152214</v>
      </c>
    </row>
    <row r="4" spans="1:17" ht="18" x14ac:dyDescent="0.35">
      <c r="C4" s="514" t="s">
        <v>27</v>
      </c>
      <c r="D4" s="514"/>
      <c r="E4" s="499">
        <f>MAX(Tools!B2:Z26)*2</f>
        <v>24.5</v>
      </c>
      <c r="F4" s="108" t="str">
        <f t="shared" ref="F4:F7" si="0">IF(E4=0,"","m")</f>
        <v>m</v>
      </c>
      <c r="L4" s="108" t="s">
        <v>124</v>
      </c>
      <c r="M4" s="110">
        <f>IFERROR(Tools!D49,"-")</f>
        <v>240.78399999999999</v>
      </c>
    </row>
    <row r="5" spans="1:17" ht="18" x14ac:dyDescent="0.35">
      <c r="C5" s="514" t="s">
        <v>28</v>
      </c>
      <c r="D5" s="514"/>
      <c r="E5" s="109">
        <v>14.19</v>
      </c>
      <c r="F5" s="108" t="str">
        <f>IF(E5=0,"",IF(E5&lt;Tools!F45,"(invalid)","m"))</f>
        <v>m</v>
      </c>
      <c r="L5" s="108" t="s">
        <v>125</v>
      </c>
      <c r="M5" s="110">
        <f>IFERROR(Tools!D50,"  ")</f>
        <v>13.323999999999998</v>
      </c>
    </row>
    <row r="6" spans="1:17" x14ac:dyDescent="0.25">
      <c r="C6" s="514" t="s">
        <v>78</v>
      </c>
      <c r="D6" s="514"/>
      <c r="E6" s="109">
        <v>10.1</v>
      </c>
      <c r="F6" s="108" t="str">
        <f>IF(E6=0,"",IF(E6&gt;E5,"(invalid)","m"))</f>
        <v>m</v>
      </c>
      <c r="L6" s="108" t="s">
        <v>50</v>
      </c>
      <c r="M6" s="112">
        <f>IFERROR(Tools!D51,"  ")</f>
        <v>20682.076797749993</v>
      </c>
    </row>
    <row r="7" spans="1:17" x14ac:dyDescent="0.25">
      <c r="C7" s="514" t="s">
        <v>126</v>
      </c>
      <c r="D7" s="514"/>
      <c r="E7" s="109">
        <v>1.8</v>
      </c>
      <c r="F7" s="108" t="str">
        <f t="shared" si="0"/>
        <v>m</v>
      </c>
      <c r="K7" s="113"/>
      <c r="L7" s="108" t="s">
        <v>52</v>
      </c>
      <c r="M7" s="112">
        <f>IFERROR(Tools!D52," ")</f>
        <v>21326.323489999904</v>
      </c>
    </row>
    <row r="8" spans="1:17" x14ac:dyDescent="0.25">
      <c r="K8" s="113"/>
      <c r="L8" s="108" t="s">
        <v>65</v>
      </c>
      <c r="M8" s="110">
        <f>IFERROR(Tools!D53,"  ")</f>
        <v>5.6134552346428039</v>
      </c>
    </row>
    <row r="9" spans="1:17" x14ac:dyDescent="0.25">
      <c r="C9" s="412" t="s">
        <v>321</v>
      </c>
      <c r="K9" s="113"/>
      <c r="L9" s="108" t="s">
        <v>71</v>
      </c>
      <c r="M9" s="110">
        <f>IFERROR(Tools!D54,"  ")</f>
        <v>27.350425447499997</v>
      </c>
    </row>
    <row r="10" spans="1:17" x14ac:dyDescent="0.25">
      <c r="C10" s="412" t="s">
        <v>322</v>
      </c>
      <c r="K10" s="113"/>
      <c r="L10" s="108" t="s">
        <v>73</v>
      </c>
      <c r="M10" s="110">
        <f>IFERROR(Tools!D55,"  ")</f>
        <v>-1.003949401012229</v>
      </c>
    </row>
    <row r="11" spans="1:17" x14ac:dyDescent="0.25">
      <c r="C11" s="412" t="s">
        <v>320</v>
      </c>
      <c r="K11" s="113"/>
      <c r="L11" s="108" t="s">
        <v>127</v>
      </c>
      <c r="M11" s="110">
        <f>IFERROR(Tools!D56,"  ")</f>
        <v>224.42636161621462</v>
      </c>
    </row>
    <row r="12" spans="1:17" ht="18" x14ac:dyDescent="0.35">
      <c r="C12" s="412" t="s">
        <v>323</v>
      </c>
      <c r="L12" s="108" t="s">
        <v>128</v>
      </c>
      <c r="M12" s="110">
        <f>IFERROR(Tools!D57,"  ")</f>
        <v>0.63463046069913098</v>
      </c>
      <c r="N12" s="108" t="str">
        <f>"=δ"</f>
        <v>=δ</v>
      </c>
    </row>
    <row r="13" spans="1:17" ht="18" x14ac:dyDescent="0.35">
      <c r="A13" s="114"/>
      <c r="B13" s="114"/>
      <c r="C13" s="114"/>
      <c r="D13" s="114"/>
      <c r="L13" s="108" t="s">
        <v>129</v>
      </c>
      <c r="M13" s="110">
        <f>IFERROR(Tools!D58,"  ")</f>
        <v>0.97306122448979593</v>
      </c>
    </row>
    <row r="14" spans="1:17" ht="18" x14ac:dyDescent="0.35">
      <c r="A14" s="114"/>
      <c r="B14" s="116" t="str">
        <f>Tools!C37</f>
        <v xml:space="preserve"> </v>
      </c>
      <c r="C14" s="114"/>
      <c r="D14" s="114"/>
      <c r="L14" s="108" t="s">
        <v>130</v>
      </c>
      <c r="M14" s="110">
        <f>IFERROR(Tools!D59,"  ")</f>
        <v>0.65219992815137207</v>
      </c>
      <c r="N14" s="115" t="str">
        <f>"=ϕ"</f>
        <v>=ϕ</v>
      </c>
    </row>
    <row r="15" spans="1:17" x14ac:dyDescent="0.25">
      <c r="A15" s="114"/>
      <c r="B15" s="116" t="str">
        <f>Tools!C38</f>
        <v/>
      </c>
      <c r="C15" s="114"/>
      <c r="D15" s="114"/>
    </row>
    <row r="16" spans="1:17" x14ac:dyDescent="0.25">
      <c r="A16" s="436" t="s">
        <v>131</v>
      </c>
      <c r="B16" s="114"/>
      <c r="C16" s="114"/>
      <c r="D16" s="114"/>
      <c r="Q16" s="113"/>
    </row>
    <row r="17" spans="1:18" x14ac:dyDescent="0.25">
      <c r="A17" s="436" t="s">
        <v>132</v>
      </c>
      <c r="B17" s="114"/>
      <c r="C17" s="114"/>
      <c r="D17" s="114"/>
      <c r="P17" s="113"/>
      <c r="Q17" s="113"/>
    </row>
    <row r="18" spans="1:18" x14ac:dyDescent="0.25">
      <c r="A18" s="452" t="s">
        <v>337</v>
      </c>
      <c r="B18" s="114"/>
      <c r="C18" s="114"/>
      <c r="D18" s="114"/>
      <c r="P18" s="113"/>
      <c r="Q18" s="113"/>
    </row>
    <row r="19" spans="1:18" x14ac:dyDescent="0.25">
      <c r="A19" s="437" t="s">
        <v>332</v>
      </c>
      <c r="C19" s="114"/>
      <c r="D19" s="114"/>
      <c r="N19" s="113"/>
      <c r="O19" s="113"/>
      <c r="P19" s="113"/>
      <c r="R19" s="317"/>
    </row>
    <row r="20" spans="1:18" x14ac:dyDescent="0.25">
      <c r="N20" s="113"/>
      <c r="O20" s="113"/>
      <c r="P20" s="113"/>
      <c r="R20" s="317"/>
    </row>
    <row r="21" spans="1:18" ht="15.75" customHeight="1" x14ac:dyDescent="0.25">
      <c r="A21" s="438" t="s">
        <v>304</v>
      </c>
      <c r="N21" s="113"/>
      <c r="O21" s="113"/>
      <c r="P21" s="117"/>
      <c r="Q21" s="116"/>
      <c r="R21" s="317"/>
    </row>
    <row r="22" spans="1:18" x14ac:dyDescent="0.25">
      <c r="A22" s="438" t="s">
        <v>305</v>
      </c>
      <c r="B22" s="113"/>
      <c r="N22" s="113"/>
      <c r="O22" s="113"/>
      <c r="P22" s="113"/>
      <c r="Q22" s="113"/>
      <c r="R22" s="415"/>
    </row>
    <row r="23" spans="1:18" x14ac:dyDescent="0.25">
      <c r="B23" s="113"/>
      <c r="N23" s="113"/>
      <c r="O23" s="113"/>
      <c r="Q23" s="113"/>
      <c r="R23" s="416"/>
    </row>
    <row r="24" spans="1:18" x14ac:dyDescent="0.25">
      <c r="B24" s="118"/>
      <c r="C24" s="119"/>
      <c r="Q24" s="419"/>
    </row>
    <row r="25" spans="1:18" x14ac:dyDescent="0.25">
      <c r="B25" s="113"/>
      <c r="P25" s="113"/>
      <c r="Q25" s="420"/>
    </row>
    <row r="26" spans="1:18" x14ac:dyDescent="0.25">
      <c r="P26" s="113"/>
    </row>
    <row r="27" spans="1:18" ht="14.25" customHeight="1" x14ac:dyDescent="0.3">
      <c r="B27" s="414"/>
      <c r="P27" s="120"/>
    </row>
    <row r="28" spans="1:18" x14ac:dyDescent="0.25">
      <c r="B28" s="414"/>
    </row>
    <row r="32" spans="1:18" x14ac:dyDescent="0.25">
      <c r="N32" s="117"/>
    </row>
    <row r="33" spans="7:14" x14ac:dyDescent="0.25">
      <c r="N33" s="117"/>
    </row>
    <row r="34" spans="7:14" x14ac:dyDescent="0.25">
      <c r="N34" s="117"/>
    </row>
    <row r="43" spans="7:14" x14ac:dyDescent="0.25">
      <c r="G43" s="121"/>
      <c r="H43" s="121"/>
      <c r="I43" s="121"/>
    </row>
  </sheetData>
  <sheetProtection password="81E2" sheet="1" objects="1" scenarios="1"/>
  <dataConsolidate/>
  <mergeCells count="7">
    <mergeCell ref="C6:D6"/>
    <mergeCell ref="C7:D7"/>
    <mergeCell ref="C2:E2"/>
    <mergeCell ref="C3:D3"/>
    <mergeCell ref="K2:L2"/>
    <mergeCell ref="C4:D4"/>
    <mergeCell ref="C5:D5"/>
  </mergeCells>
  <dataValidations count="14">
    <dataValidation allowBlank="1" showInputMessage="1" showErrorMessage="1" promptTitle="Prismatic coeficient" prompt=" " sqref="M14"/>
    <dataValidation allowBlank="1" showInputMessage="1" showErrorMessage="1" promptTitle="Wetted surface area (WSA)" prompt="S" sqref="M3"/>
    <dataValidation allowBlank="1" showInputMessage="1" showErrorMessage="1" promptTitle="Midship Section Coefficient" prompt=" " sqref="M13"/>
    <dataValidation allowBlank="1" showInputMessage="1" showErrorMessage="1" promptTitle="Block coefficient" prompt="δ" sqref="M12"/>
    <dataValidation allowBlank="1" showInputMessage="1" showErrorMessage="1" promptTitle="Moment to change trim by 1cm" prompt="MCT1cm" sqref="M11"/>
    <dataValidation allowBlank="1" showInputMessage="1" showErrorMessage="1" promptTitle="Longitudinal Center of Buoyancy" prompt="LCB" sqref="M10"/>
    <dataValidation allowBlank="1" showInputMessage="1" showErrorMessage="1" promptTitle="Tonnes per cm immersion" prompt="TPC" sqref="M9"/>
    <dataValidation allowBlank="1" showInputMessage="1" showErrorMessage="1" promptTitle="Mass Displacement" prompt="(tonnes)" sqref="M7"/>
    <dataValidation allowBlank="1" showInputMessage="1" showErrorMessage="1" promptTitle="Volume Displacement" prompt="(in meter cubes)" sqref="M6"/>
    <dataValidation allowBlank="1" showInputMessage="1" showErrorMessage="1" promptTitle="Bulbous bow" prompt="Transverse area" sqref="M5"/>
    <dataValidation allowBlank="1" showInputMessage="1" showErrorMessage="1" promptTitle="Area of midship" prompt="(Area upto LWL)" sqref="M4 M2"/>
    <dataValidation type="decimal" allowBlank="1" showInputMessage="1" showErrorMessage="1" errorTitle="Draft" error="Solutions:_x000a_&gt; Enter positive number._x000a_&gt; Should not be greater than depth._x000a_Press Esc" prompt="Draft" sqref="E6">
      <formula1>1E-32</formula1>
      <formula2>DEPTH</formula2>
    </dataValidation>
    <dataValidation type="decimal" operator="greaterThan" allowBlank="1" showInputMessage="1" showErrorMessage="1" errorTitle="Length between Perpendiculars" error="Enter positive number" promptTitle="Length between perpendiculars" prompt=" " sqref="E3">
      <formula1>0</formula1>
    </dataValidation>
    <dataValidation type="decimal" allowBlank="1" showInputMessage="1" showErrorMessage="1" errorTitle="Waterline Spacing" error="Solutions:_x000a_&gt; Enter positive number._x000a_&gt; Should not be greater than depth" promptTitle="Waterline Spacing" prompt=" " sqref="E7">
      <formula1>1E-31</formula1>
      <formula2>DEPTH</formula2>
    </dataValidation>
  </dataValidations>
  <hyperlinks>
    <hyperlink ref="A16:A17" r:id="rId1" display="This workbook may contain errors"/>
    <hyperlink ref="A18" r:id="rId2"/>
  </hyperlinks>
  <pageMargins left="0.7" right="0.7" top="0.75" bottom="0.75" header="0.3" footer="0.3"/>
  <pageSetup paperSize="9" orientation="portrait" r:id="rId3"/>
  <legacyDrawing r:id="rId4"/>
  <extLst>
    <ext xmlns:x14="http://schemas.microsoft.com/office/spreadsheetml/2009/9/main" uri="{CCE6A557-97BC-4b89-ADB6-D9C93CAAB3DF}">
      <x14:dataValidations xmlns:xm="http://schemas.microsoft.com/office/excel/2006/main" count="2">
        <x14:dataValidation type="decimal" operator="equal" allowBlank="1" showInputMessage="1" showErrorMessage="1" errorTitle="Breadth" error="Reasons_x000a_1. Enter positive  number._x000a_2. Not matching with offset._x000a_Press Esc." prompt="Breadth">
          <x14:formula1>
            <xm:f>MAX(Offset!S3:AQ27)*2</xm:f>
          </x14:formula1>
          <xm:sqref>E4</xm:sqref>
        </x14:dataValidation>
        <x14:dataValidation type="decimal" operator="greaterThanOrEqual" allowBlank="1" showInputMessage="1" showErrorMessage="1" errorTitle="Depth" error="Reasons:_x000a_1. Enter positive number. _x000a_2. Dont match with the offset. _x000a_3. Enter correct Waterline Spacing first" prompt="Depth">
          <x14:formula1>
            <xm:f>Tools!F45</xm:f>
          </x14:formula1>
          <xm:sqref>E5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theme="5" tint="-0.249977111117893"/>
  </sheetPr>
  <dimension ref="O2:AE56"/>
  <sheetViews>
    <sheetView showGridLines="0" showRowColHeaders="0" topLeftCell="E1" zoomScale="70" zoomScaleNormal="70" workbookViewId="0">
      <selection activeCell="S5" sqref="S5:T10"/>
    </sheetView>
  </sheetViews>
  <sheetFormatPr defaultRowHeight="15" x14ac:dyDescent="0.25"/>
  <cols>
    <col min="1" max="5" width="9.140625" style="446"/>
    <col min="6" max="6" width="12.5703125" style="446" customWidth="1"/>
    <col min="7" max="11" width="9.140625" style="446"/>
    <col min="12" max="12" width="9.140625" style="446" customWidth="1"/>
    <col min="13" max="13" width="7.7109375" style="446" customWidth="1"/>
    <col min="14" max="14" width="9" style="446" customWidth="1"/>
    <col min="15" max="15" width="10.28515625" style="446" customWidth="1"/>
    <col min="16" max="16" width="9.7109375" style="446" customWidth="1"/>
    <col min="17" max="17" width="4" style="446" customWidth="1"/>
    <col min="18" max="18" width="8.5703125" style="446" customWidth="1"/>
    <col min="19" max="19" width="9.7109375" style="446" customWidth="1"/>
    <col min="20" max="33" width="9.140625" style="446"/>
    <col min="34" max="34" width="16.140625" style="446" customWidth="1"/>
    <col min="35" max="16384" width="9.140625" style="446"/>
  </cols>
  <sheetData>
    <row r="2" spans="15:22" ht="18.75" x14ac:dyDescent="0.3">
      <c r="O2" s="516" t="s">
        <v>119</v>
      </c>
      <c r="P2" s="516"/>
      <c r="R2" s="516" t="s">
        <v>354</v>
      </c>
      <c r="S2" s="516"/>
      <c r="T2" s="516"/>
    </row>
    <row r="3" spans="15:22" ht="41.25" customHeight="1" x14ac:dyDescent="0.35">
      <c r="O3" s="475" t="s">
        <v>120</v>
      </c>
      <c r="P3" s="476" t="s">
        <v>121</v>
      </c>
      <c r="R3" s="478" t="s">
        <v>0</v>
      </c>
      <c r="S3" s="477" t="s">
        <v>353</v>
      </c>
      <c r="T3" s="477" t="s">
        <v>344</v>
      </c>
    </row>
    <row r="4" spans="15:22" x14ac:dyDescent="0.25">
      <c r="O4" s="111">
        <f>Tools!AD3</f>
        <v>0</v>
      </c>
      <c r="P4" s="472">
        <v>9.9</v>
      </c>
      <c r="R4" s="473">
        <f>'Graph tools'!B63</f>
        <v>0</v>
      </c>
      <c r="S4" s="474">
        <v>-13</v>
      </c>
      <c r="T4" s="472">
        <v>15.41</v>
      </c>
    </row>
    <row r="5" spans="15:22" x14ac:dyDescent="0.25">
      <c r="O5" s="111">
        <f>Tools!AD4</f>
        <v>0.5</v>
      </c>
      <c r="P5" s="472">
        <v>8.9</v>
      </c>
      <c r="R5" s="473">
        <f>'Graph tools'!B64</f>
        <v>0.5</v>
      </c>
      <c r="S5" s="474">
        <v>-3.9</v>
      </c>
      <c r="T5" s="472">
        <v>12.2</v>
      </c>
    </row>
    <row r="6" spans="15:22" x14ac:dyDescent="0.25">
      <c r="O6" s="111">
        <f>Tools!AD5</f>
        <v>1</v>
      </c>
      <c r="P6" s="472">
        <v>7.8</v>
      </c>
      <c r="R6" s="473">
        <f>'Graph tools'!B65</f>
        <v>1</v>
      </c>
      <c r="S6" s="474">
        <v>-0.6</v>
      </c>
      <c r="T6" s="472">
        <v>10.199999999999999</v>
      </c>
    </row>
    <row r="7" spans="15:22" x14ac:dyDescent="0.25">
      <c r="O7" s="111">
        <f>Tools!AD6</f>
        <v>1.5</v>
      </c>
      <c r="P7" s="472">
        <v>1.95</v>
      </c>
      <c r="R7" s="473">
        <f>'Graph tools'!B66</f>
        <v>1.5</v>
      </c>
      <c r="S7" s="474">
        <v>1.3</v>
      </c>
      <c r="T7" s="472">
        <v>8.9</v>
      </c>
    </row>
    <row r="8" spans="15:22" x14ac:dyDescent="0.25">
      <c r="O8" s="111">
        <f>Tools!AD7</f>
        <v>2</v>
      </c>
      <c r="P8" s="472">
        <v>0.56999999999999995</v>
      </c>
      <c r="R8" s="473">
        <f>'Graph tools'!B67</f>
        <v>2</v>
      </c>
      <c r="S8" s="474">
        <v>2.81</v>
      </c>
      <c r="T8" s="472">
        <v>7.8</v>
      </c>
    </row>
    <row r="9" spans="15:22" x14ac:dyDescent="0.25">
      <c r="O9" s="111">
        <f>Tools!AD8</f>
        <v>3</v>
      </c>
      <c r="P9" s="472"/>
      <c r="R9" s="473">
        <f>'Graph tools'!B68</f>
        <v>3</v>
      </c>
      <c r="S9" s="474">
        <v>3.71</v>
      </c>
      <c r="T9" s="472">
        <v>9</v>
      </c>
    </row>
    <row r="10" spans="15:22" x14ac:dyDescent="0.25">
      <c r="O10" s="111">
        <f>Tools!AD9</f>
        <v>4</v>
      </c>
      <c r="P10" s="472"/>
      <c r="R10" s="473">
        <f>'Graph tools'!B69</f>
        <v>4</v>
      </c>
      <c r="S10" s="474">
        <v>3.71</v>
      </c>
      <c r="T10" s="472">
        <v>8.1999999999999993</v>
      </c>
    </row>
    <row r="11" spans="15:22" ht="15.75" x14ac:dyDescent="0.25">
      <c r="O11" s="111">
        <f>Tools!AD10</f>
        <v>5</v>
      </c>
      <c r="P11" s="472"/>
      <c r="R11" s="473">
        <f>'Graph tools'!B70</f>
        <v>5</v>
      </c>
      <c r="S11" s="474">
        <v>2.1</v>
      </c>
      <c r="T11" s="472">
        <v>3.05</v>
      </c>
      <c r="V11" s="491" t="s">
        <v>369</v>
      </c>
    </row>
    <row r="12" spans="15:22" x14ac:dyDescent="0.25">
      <c r="O12" s="111">
        <f>Tools!AD11</f>
        <v>6</v>
      </c>
      <c r="P12" s="472"/>
      <c r="R12" s="473" t="str">
        <f>'Graph tools'!B71</f>
        <v>LWL</v>
      </c>
      <c r="S12" s="474">
        <v>-0.1</v>
      </c>
      <c r="T12" s="472">
        <v>-1.1000000000000001</v>
      </c>
    </row>
    <row r="13" spans="15:22" x14ac:dyDescent="0.25">
      <c r="O13" s="111">
        <f>Tools!AD12</f>
        <v>7</v>
      </c>
      <c r="P13" s="472"/>
      <c r="R13" s="473">
        <f>'Graph tools'!B72</f>
        <v>6</v>
      </c>
      <c r="S13" s="474">
        <v>0.5</v>
      </c>
      <c r="T13" s="472">
        <v>-3.9</v>
      </c>
    </row>
    <row r="14" spans="15:22" x14ac:dyDescent="0.25">
      <c r="O14" s="111">
        <f>Tools!AD13</f>
        <v>8</v>
      </c>
      <c r="P14" s="472"/>
      <c r="R14" s="473">
        <f>'Graph tools'!B73</f>
        <v>7</v>
      </c>
      <c r="S14" s="474">
        <v>2</v>
      </c>
      <c r="T14" s="472">
        <v>-5.3</v>
      </c>
    </row>
    <row r="15" spans="15:22" x14ac:dyDescent="0.25">
      <c r="O15" s="111">
        <f>Tools!AD14</f>
        <v>9</v>
      </c>
      <c r="P15" s="472"/>
      <c r="R15" s="473" t="str">
        <f>'Graph tools'!B74</f>
        <v>MDK</v>
      </c>
      <c r="S15" s="474">
        <v>3.3</v>
      </c>
      <c r="T15" s="472">
        <v>-5.65</v>
      </c>
    </row>
    <row r="16" spans="15:22" x14ac:dyDescent="0.25">
      <c r="O16" s="111">
        <f>Tools!AD15</f>
        <v>10</v>
      </c>
      <c r="P16" s="472"/>
      <c r="R16" s="473" t="str">
        <f>'Graph tools'!B75</f>
        <v/>
      </c>
      <c r="S16" s="474"/>
      <c r="T16" s="472"/>
    </row>
    <row r="17" spans="15:20" x14ac:dyDescent="0.25">
      <c r="O17" s="111">
        <f>Tools!AD16</f>
        <v>11</v>
      </c>
      <c r="P17" s="472"/>
      <c r="R17" s="473" t="str">
        <f>'Graph tools'!B76</f>
        <v/>
      </c>
      <c r="S17" s="474"/>
      <c r="T17" s="472"/>
    </row>
    <row r="18" spans="15:20" x14ac:dyDescent="0.25">
      <c r="O18" s="111">
        <f>Tools!AD17</f>
        <v>12</v>
      </c>
      <c r="P18" s="472"/>
      <c r="R18" s="473" t="str">
        <f>'Graph tools'!B77</f>
        <v/>
      </c>
      <c r="S18" s="474"/>
      <c r="T18" s="472"/>
    </row>
    <row r="19" spans="15:20" x14ac:dyDescent="0.25">
      <c r="O19" s="111">
        <f>Tools!AD18</f>
        <v>13</v>
      </c>
      <c r="P19" s="472"/>
      <c r="R19" s="473" t="str">
        <f>'Graph tools'!B78</f>
        <v/>
      </c>
      <c r="S19" s="474"/>
      <c r="T19" s="472"/>
    </row>
    <row r="20" spans="15:20" x14ac:dyDescent="0.25">
      <c r="O20" s="111">
        <f>Tools!AD19</f>
        <v>14</v>
      </c>
      <c r="P20" s="472"/>
      <c r="R20" s="473" t="str">
        <f>'Graph tools'!B79</f>
        <v/>
      </c>
      <c r="S20" s="474"/>
      <c r="T20" s="472"/>
    </row>
    <row r="21" spans="15:20" x14ac:dyDescent="0.25">
      <c r="O21" s="111">
        <f>Tools!AD20</f>
        <v>15</v>
      </c>
      <c r="P21" s="472"/>
      <c r="R21" s="473" t="str">
        <f>'Graph tools'!B80</f>
        <v/>
      </c>
      <c r="S21" s="474"/>
      <c r="T21" s="472"/>
    </row>
    <row r="22" spans="15:20" x14ac:dyDescent="0.25">
      <c r="O22" s="111">
        <f>Tools!AD21</f>
        <v>16</v>
      </c>
      <c r="P22" s="472"/>
      <c r="R22" s="473" t="str">
        <f>'Graph tools'!B81</f>
        <v/>
      </c>
      <c r="S22" s="474"/>
      <c r="T22" s="472"/>
    </row>
    <row r="23" spans="15:20" x14ac:dyDescent="0.25">
      <c r="O23" s="111">
        <f>Tools!AD22</f>
        <v>17</v>
      </c>
      <c r="P23" s="472"/>
      <c r="R23" s="473" t="str">
        <f>'Graph tools'!B82</f>
        <v/>
      </c>
      <c r="S23" s="474"/>
      <c r="T23" s="472"/>
    </row>
    <row r="24" spans="15:20" x14ac:dyDescent="0.25">
      <c r="O24" s="111">
        <f>Tools!AD23</f>
        <v>18</v>
      </c>
      <c r="P24" s="472"/>
      <c r="R24" s="473" t="str">
        <f>'Graph tools'!B83</f>
        <v/>
      </c>
      <c r="S24" s="474"/>
      <c r="T24" s="472"/>
    </row>
    <row r="25" spans="15:20" x14ac:dyDescent="0.25">
      <c r="O25" s="111">
        <f>Tools!AD24</f>
        <v>18.5</v>
      </c>
      <c r="P25" s="472">
        <v>0.32</v>
      </c>
      <c r="R25" s="473" t="str">
        <f>'Graph tools'!B84</f>
        <v/>
      </c>
      <c r="S25" s="474"/>
      <c r="T25" s="472"/>
    </row>
    <row r="26" spans="15:20" x14ac:dyDescent="0.25">
      <c r="O26" s="111">
        <f>Tools!AD25</f>
        <v>19</v>
      </c>
      <c r="P26" s="472">
        <v>0.66</v>
      </c>
      <c r="R26" s="473" t="str">
        <f>'Graph tools'!B85</f>
        <v/>
      </c>
      <c r="S26" s="474"/>
      <c r="T26" s="472"/>
    </row>
    <row r="27" spans="15:20" x14ac:dyDescent="0.25">
      <c r="O27" s="111">
        <f>Tools!AD26</f>
        <v>19.5</v>
      </c>
      <c r="P27" s="472">
        <v>1</v>
      </c>
      <c r="R27" s="473" t="str">
        <f>'Graph tools'!B86</f>
        <v/>
      </c>
      <c r="S27" s="474"/>
      <c r="T27" s="472"/>
    </row>
    <row r="28" spans="15:20" x14ac:dyDescent="0.25">
      <c r="O28" s="111">
        <f>Tools!AD27</f>
        <v>20</v>
      </c>
      <c r="P28" s="472">
        <v>2</v>
      </c>
      <c r="R28" s="473" t="str">
        <f>'Graph tools'!B87</f>
        <v/>
      </c>
      <c r="S28" s="474"/>
      <c r="T28" s="472"/>
    </row>
    <row r="56" spans="31:31" x14ac:dyDescent="0.25">
      <c r="AE56" s="446" t="s">
        <v>159</v>
      </c>
    </row>
  </sheetData>
  <sheetProtection password="CC2F" sheet="1" objects="1" scenarios="1"/>
  <mergeCells count="2">
    <mergeCell ref="O2:P2"/>
    <mergeCell ref="R2:T2"/>
  </mergeCells>
  <dataValidations count="1">
    <dataValidation type="decimal" allowBlank="1" showInputMessage="1" showErrorMessage="1" errorTitle="Rise of keel" error="Value should not be lesser than depth" sqref="P4:P28">
      <formula1>0</formula1>
      <formula2>DEPTH</formula2>
    </dataValidation>
  </dataValidations>
  <pageMargins left="0.7" right="0.7" top="0.75" bottom="0.75" header="0.3" footer="0.3"/>
  <pageSetup paperSize="9"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AT88"/>
  <sheetViews>
    <sheetView topLeftCell="A47" zoomScale="60" zoomScaleNormal="60" workbookViewId="0">
      <selection activeCell="S80" sqref="S80"/>
    </sheetView>
  </sheetViews>
  <sheetFormatPr defaultRowHeight="15" x14ac:dyDescent="0.25"/>
  <cols>
    <col min="3" max="4" width="9.140625" customWidth="1"/>
    <col min="6" max="6" width="9.42578125" customWidth="1"/>
    <col min="8" max="20" width="9.140625" customWidth="1"/>
    <col min="23" max="23" width="10" customWidth="1"/>
  </cols>
  <sheetData>
    <row r="1" spans="1:46" x14ac:dyDescent="0.25">
      <c r="V1">
        <v>1</v>
      </c>
      <c r="W1">
        <v>2</v>
      </c>
      <c r="X1">
        <v>3</v>
      </c>
      <c r="Y1">
        <v>4</v>
      </c>
      <c r="Z1">
        <v>5</v>
      </c>
      <c r="AA1">
        <v>6</v>
      </c>
      <c r="AB1">
        <v>7</v>
      </c>
      <c r="AC1">
        <v>8</v>
      </c>
      <c r="AD1">
        <v>9</v>
      </c>
      <c r="AE1">
        <v>10</v>
      </c>
      <c r="AF1">
        <v>11</v>
      </c>
      <c r="AG1">
        <v>12</v>
      </c>
      <c r="AH1">
        <v>13</v>
      </c>
      <c r="AI1">
        <v>14</v>
      </c>
      <c r="AJ1">
        <v>15</v>
      </c>
      <c r="AK1">
        <v>16</v>
      </c>
      <c r="AL1">
        <v>17</v>
      </c>
      <c r="AM1">
        <v>18</v>
      </c>
      <c r="AN1">
        <v>19</v>
      </c>
      <c r="AO1">
        <v>20</v>
      </c>
      <c r="AP1">
        <v>21</v>
      </c>
      <c r="AQ1">
        <v>22</v>
      </c>
      <c r="AR1">
        <v>23</v>
      </c>
      <c r="AS1">
        <v>24</v>
      </c>
      <c r="AT1">
        <v>25</v>
      </c>
    </row>
    <row r="2" spans="1:46" x14ac:dyDescent="0.25">
      <c r="U2" t="str">
        <f t="array" ref="U2:AT2">TRANSPOSE(G5:G30)</f>
        <v>Stern</v>
      </c>
      <c r="V2">
        <f ca="1"/>
        <v>2.3401670463173883</v>
      </c>
      <c r="W2">
        <f ca="1"/>
        <v>1.8526955201214883</v>
      </c>
      <c r="X2">
        <f ca="1"/>
        <v>1.5489749430523918</v>
      </c>
      <c r="Y2">
        <f ca="1"/>
        <v>1.3515565679574795</v>
      </c>
      <c r="Z2">
        <f ca="1"/>
        <v>1.1845102505694762</v>
      </c>
      <c r="AA2">
        <f ca="1"/>
        <v>1.3667425968109341</v>
      </c>
      <c r="AB2">
        <f ca="1"/>
        <v>1.2452543659832955</v>
      </c>
      <c r="AC2">
        <f ca="1"/>
        <v>0.46317388003037208</v>
      </c>
      <c r="AD2">
        <f ca="1"/>
        <v>-0.16704631738800307</v>
      </c>
      <c r="AE2">
        <f ca="1"/>
        <v>-0.59225512528473812</v>
      </c>
      <c r="AF2">
        <f ca="1"/>
        <v>-0.80485952923310566</v>
      </c>
      <c r="AG2">
        <f ca="1"/>
        <v>-0.85801063022019763</v>
      </c>
      <c r="AH2" t="e">
        <f ca="1"/>
        <v>#N/A</v>
      </c>
      <c r="AI2" t="e">
        <f ca="1"/>
        <v>#N/A</v>
      </c>
      <c r="AJ2" t="e">
        <f ca="1"/>
        <v>#N/A</v>
      </c>
      <c r="AK2" t="e">
        <f ca="1"/>
        <v>#N/A</v>
      </c>
      <c r="AL2" t="e">
        <f ca="1"/>
        <v>#N/A</v>
      </c>
      <c r="AM2" t="e">
        <f ca="1"/>
        <v>#N/A</v>
      </c>
      <c r="AN2" t="e">
        <f ca="1"/>
        <v>#N/A</v>
      </c>
      <c r="AO2" t="e">
        <f ca="1"/>
        <v>#N/A</v>
      </c>
      <c r="AP2" t="e">
        <f ca="1"/>
        <v>#N/A</v>
      </c>
      <c r="AQ2" t="e">
        <f ca="1"/>
        <v>#N/A</v>
      </c>
      <c r="AR2" t="e">
        <f ca="1"/>
        <v>#N/A</v>
      </c>
      <c r="AS2" t="e">
        <f ca="1"/>
        <v>#N/A</v>
      </c>
      <c r="AT2" t="e">
        <f ca="1"/>
        <v>#N/A</v>
      </c>
    </row>
    <row r="3" spans="1:46" x14ac:dyDescent="0.25">
      <c r="U3" t="str">
        <f t="array" ref="U3:AT3">TRANSPOSE(E5:E30)</f>
        <v>Stem</v>
      </c>
      <c r="V3">
        <f ca="1"/>
        <v>18.025816249050873</v>
      </c>
      <c r="W3">
        <f ca="1"/>
        <v>19.407744874715263</v>
      </c>
      <c r="X3">
        <f ca="1"/>
        <v>19.908883826879272</v>
      </c>
      <c r="Y3">
        <f ca="1"/>
        <v>20.197418375094916</v>
      </c>
      <c r="Z3">
        <f ca="1"/>
        <v>20.426727410782082</v>
      </c>
      <c r="AA3">
        <f ca="1"/>
        <v>20.563401670463175</v>
      </c>
      <c r="AB3">
        <f ca="1"/>
        <v>20.563401670463175</v>
      </c>
      <c r="AC3">
        <f ca="1"/>
        <v>20.318906605922553</v>
      </c>
      <c r="AD3">
        <f ca="1"/>
        <v>19.984813971146547</v>
      </c>
      <c r="AE3">
        <f ca="1"/>
        <v>20.075930144267275</v>
      </c>
      <c r="AF3">
        <f ca="1"/>
        <v>20.303720577069097</v>
      </c>
      <c r="AG3">
        <f ca="1"/>
        <v>20.501138952164013</v>
      </c>
      <c r="AH3" t="e">
        <f ca="1"/>
        <v>#N/A</v>
      </c>
      <c r="AI3" t="e">
        <f ca="1"/>
        <v>#N/A</v>
      </c>
      <c r="AJ3" t="e">
        <f ca="1"/>
        <v>#N/A</v>
      </c>
      <c r="AK3" t="e">
        <f ca="1"/>
        <v>#N/A</v>
      </c>
      <c r="AL3" t="e">
        <f ca="1"/>
        <v>#N/A</v>
      </c>
      <c r="AM3" t="e">
        <f ca="1"/>
        <v>#N/A</v>
      </c>
      <c r="AN3" t="e">
        <f ca="1"/>
        <v>#N/A</v>
      </c>
      <c r="AO3" t="e">
        <f ca="1"/>
        <v>#N/A</v>
      </c>
      <c r="AP3" t="e">
        <f ca="1"/>
        <v>#N/A</v>
      </c>
      <c r="AQ3" t="e">
        <f ca="1"/>
        <v>#N/A</v>
      </c>
      <c r="AR3" t="e">
        <f ca="1"/>
        <v>#N/A</v>
      </c>
      <c r="AS3" t="e">
        <f ca="1"/>
        <v>#N/A</v>
      </c>
      <c r="AT3" t="e">
        <f ca="1"/>
        <v>#N/A</v>
      </c>
    </row>
    <row r="4" spans="1:46" x14ac:dyDescent="0.25">
      <c r="U4" s="468" t="str">
        <f>IF(Tools!AD2="  ",NA(),Tools!AD2)</f>
        <v>STN/WL</v>
      </c>
      <c r="V4" s="468">
        <f>IF(Tools!AE2="  ",NA(),Tools!AE2)</f>
        <v>0</v>
      </c>
      <c r="W4" s="468">
        <f>IF(Tools!AF2="  ",NA(),Tools!AF2)</f>
        <v>0.5</v>
      </c>
      <c r="X4" s="468">
        <f>IF(Tools!AG2="  ",NA(),Tools!AG2)</f>
        <v>1</v>
      </c>
      <c r="Y4" s="468">
        <f>IF(Tools!AH2="  ",NA(),Tools!AH2)</f>
        <v>1.5</v>
      </c>
      <c r="Z4" s="468">
        <f>IF(Tools!AI2="  ",NA(),Tools!AI2)</f>
        <v>2</v>
      </c>
      <c r="AA4" s="468">
        <f>IF(Tools!AJ2="  ",NA(),Tools!AJ2)</f>
        <v>3</v>
      </c>
      <c r="AB4" s="468">
        <f>IF(Tools!AK2="  ",NA(),Tools!AK2)</f>
        <v>4</v>
      </c>
      <c r="AC4" s="468">
        <f>IF(Tools!AL2="  ",NA(),Tools!AL2)</f>
        <v>5</v>
      </c>
      <c r="AD4" s="468">
        <f>IF(Tools!AM2="  ",NA(),Tools!AM2)</f>
        <v>5.6111111111111107</v>
      </c>
      <c r="AE4" s="468">
        <f>IF(Tools!AN2="  ",NA(),Tools!AN2)</f>
        <v>6</v>
      </c>
      <c r="AF4" s="468">
        <f>IF(Tools!AO2="  ",NA(),Tools!AO2)</f>
        <v>7</v>
      </c>
      <c r="AG4" s="468">
        <f>IF(Tools!AP2="  ",NA(),Tools!AP2)</f>
        <v>7.8833333333333329</v>
      </c>
      <c r="AH4" s="468" t="e">
        <f>IF(Tools!AQ2="  ",NA(),Tools!AQ2)</f>
        <v>#N/A</v>
      </c>
      <c r="AI4" s="468" t="e">
        <f>IF(Tools!AR2="  ",NA(),Tools!AR2)</f>
        <v>#N/A</v>
      </c>
      <c r="AJ4" s="468" t="e">
        <f>IF(Tools!AS2="  ",NA(),Tools!AS2)</f>
        <v>#N/A</v>
      </c>
      <c r="AK4" s="468" t="e">
        <f>IF(Tools!AT2="  ",NA(),Tools!AT2)</f>
        <v>#N/A</v>
      </c>
      <c r="AL4" s="468" t="e">
        <f>IF(Tools!AU2="  ",NA(),Tools!AU2)</f>
        <v>#N/A</v>
      </c>
      <c r="AM4" s="468" t="e">
        <f>IF(Tools!AV2="  ",NA(),Tools!AV2)</f>
        <v>#N/A</v>
      </c>
      <c r="AN4" s="468" t="e">
        <f>IF(Tools!AW2="  ",NA(),Tools!AW2)</f>
        <v>#N/A</v>
      </c>
      <c r="AO4" s="468" t="e">
        <f>IF(Tools!AX2="  ",NA(),Tools!AX2)</f>
        <v>#N/A</v>
      </c>
      <c r="AP4" s="468" t="e">
        <f>IF(Tools!AY2="  ",NA(),Tools!AY2)</f>
        <v>#N/A</v>
      </c>
      <c r="AQ4" s="468" t="e">
        <f>IF(Tools!AZ2="  ",NA(),Tools!AZ2)</f>
        <v>#N/A</v>
      </c>
      <c r="AR4" s="468" t="e">
        <f>IF(Tools!BA2="  ",NA(),Tools!BA2)</f>
        <v>#N/A</v>
      </c>
      <c r="AS4" s="468" t="e">
        <f>IF(Tools!BB2="  ",NA(),Tools!BB2)</f>
        <v>#N/A</v>
      </c>
      <c r="AT4" s="468" t="e">
        <f>IF(Tools!BC2="  ",NA(),Tools!BC2)</f>
        <v>#N/A</v>
      </c>
    </row>
    <row r="5" spans="1:46" x14ac:dyDescent="0.25">
      <c r="B5" s="463" t="s">
        <v>352</v>
      </c>
      <c r="C5" s="463" t="s">
        <v>350</v>
      </c>
      <c r="D5" s="463"/>
      <c r="E5" s="471" t="s">
        <v>350</v>
      </c>
      <c r="F5" s="463" t="s">
        <v>351</v>
      </c>
      <c r="G5" s="471" t="s">
        <v>351</v>
      </c>
      <c r="H5" s="463"/>
      <c r="J5" s="63" t="s">
        <v>345</v>
      </c>
      <c r="K5" s="63" t="s">
        <v>346</v>
      </c>
      <c r="L5" s="464" t="s">
        <v>348</v>
      </c>
      <c r="M5" s="63" t="s">
        <v>347</v>
      </c>
      <c r="N5" s="465" t="s">
        <v>349</v>
      </c>
      <c r="P5" s="467">
        <v>1</v>
      </c>
      <c r="Q5" s="467" t="e">
        <f t="shared" ref="Q5:Q29" ca="1" si="0">HLOOKUP($F$5,$F$5:$F$30,27-P5,FALSE)/STN_GAP</f>
        <v>#N/A</v>
      </c>
      <c r="R5" s="467" t="e">
        <f t="shared" ref="R5:R17" si="1">HLOOKUP($B$5,$B$5:$B$30,27-P5,FALSE)</f>
        <v>#N/A</v>
      </c>
      <c r="S5" s="63" t="str">
        <f t="shared" ref="S5:S36" ca="1" si="2">IFERROR(CONCATENATE(Q5*STN_GAP,",",R5," "),"")</f>
        <v/>
      </c>
      <c r="V5">
        <f>IF(ISNUMBER(V4),0,NA())</f>
        <v>0</v>
      </c>
      <c r="W5">
        <f t="shared" ref="W5:AT5" si="3">IF(ISNUMBER(W4),0,NA())</f>
        <v>0</v>
      </c>
      <c r="X5">
        <f t="shared" si="3"/>
        <v>0</v>
      </c>
      <c r="Y5">
        <f t="shared" si="3"/>
        <v>0</v>
      </c>
      <c r="Z5">
        <f t="shared" si="3"/>
        <v>0</v>
      </c>
      <c r="AA5">
        <f t="shared" si="3"/>
        <v>0</v>
      </c>
      <c r="AB5">
        <f t="shared" si="3"/>
        <v>0</v>
      </c>
      <c r="AC5">
        <f t="shared" si="3"/>
        <v>0</v>
      </c>
      <c r="AD5">
        <f t="shared" si="3"/>
        <v>0</v>
      </c>
      <c r="AE5">
        <f t="shared" si="3"/>
        <v>0</v>
      </c>
      <c r="AF5">
        <f t="shared" si="3"/>
        <v>0</v>
      </c>
      <c r="AG5">
        <f t="shared" si="3"/>
        <v>0</v>
      </c>
      <c r="AH5" t="e">
        <f t="shared" si="3"/>
        <v>#N/A</v>
      </c>
      <c r="AI5" t="e">
        <f t="shared" si="3"/>
        <v>#N/A</v>
      </c>
      <c r="AJ5" t="e">
        <f t="shared" si="3"/>
        <v>#N/A</v>
      </c>
      <c r="AK5" t="e">
        <f t="shared" si="3"/>
        <v>#N/A</v>
      </c>
      <c r="AL5" t="e">
        <f t="shared" si="3"/>
        <v>#N/A</v>
      </c>
      <c r="AM5" t="e">
        <f t="shared" si="3"/>
        <v>#N/A</v>
      </c>
      <c r="AN5" t="e">
        <f t="shared" si="3"/>
        <v>#N/A</v>
      </c>
      <c r="AO5" t="e">
        <f t="shared" si="3"/>
        <v>#N/A</v>
      </c>
      <c r="AP5" t="e">
        <f t="shared" si="3"/>
        <v>#N/A</v>
      </c>
      <c r="AQ5" t="e">
        <f t="shared" si="3"/>
        <v>#N/A</v>
      </c>
      <c r="AR5" t="e">
        <f t="shared" si="3"/>
        <v>#N/A</v>
      </c>
      <c r="AS5" t="e">
        <f t="shared" si="3"/>
        <v>#N/A</v>
      </c>
      <c r="AT5" t="e">
        <f t="shared" si="3"/>
        <v>#N/A</v>
      </c>
    </row>
    <row r="6" spans="1:46" x14ac:dyDescent="0.25">
      <c r="A6">
        <f t="shared" ref="A6:A30" si="4">B6*WLS</f>
        <v>0</v>
      </c>
      <c r="B6" s="108">
        <f>IFERROR(Tools!$BE3*WLS,NA())</f>
        <v>0</v>
      </c>
      <c r="C6" s="466">
        <f ca="1">IF(ISNUMBER('Graph tools'!F63),'Graph tools'!F63,NA())</f>
        <v>-13</v>
      </c>
      <c r="D6" s="466">
        <f ca="1">C6/STN_GAP</f>
        <v>-1.9741837509491271</v>
      </c>
      <c r="E6" s="466">
        <f t="shared" ref="E6:E30" ca="1" si="5">(LBP+C6)/STN_GAP</f>
        <v>18.025816249050873</v>
      </c>
      <c r="F6" s="466">
        <f ca="1">IF(ISNUMBER('Graph tools'!G63),'Graph tools'!G63,NA())</f>
        <v>15.41</v>
      </c>
      <c r="G6" s="466">
        <f t="shared" ref="G6:G30" ca="1" si="6">F6/STN_GAP</f>
        <v>2.3401670463173883</v>
      </c>
      <c r="H6" s="470"/>
      <c r="I6">
        <f ca="1">C6/STN_GAP</f>
        <v>-1.9741837509491271</v>
      </c>
      <c r="J6" s="63">
        <f>IFERROR(Tools!AD3*1,NA())</f>
        <v>0</v>
      </c>
      <c r="K6" s="63">
        <f>IF(ISNUMBER('Rise, etc.'!P4),'Rise, etc.'!P4,"-")</f>
        <v>9.9</v>
      </c>
      <c r="L6" s="63">
        <f t="array" ref="L6:L30">TRANSPOSE(Tools!B124:Z124)</f>
        <v>8</v>
      </c>
      <c r="M6" s="63">
        <f>IF(L6=0,0,VLOOKUP(Stn_WL,Tools!$AD$2:$BC$2,L6+1,FALSE)*WLS)</f>
        <v>9</v>
      </c>
      <c r="N6" s="465">
        <f>IF(ISNUMBER(J6),IFERROR(K6*1,M6*1),NA())</f>
        <v>9.9</v>
      </c>
      <c r="P6" s="467">
        <v>2</v>
      </c>
      <c r="Q6" s="467" t="e">
        <f t="shared" ca="1" si="0"/>
        <v>#N/A</v>
      </c>
      <c r="R6" s="467" t="e">
        <f t="shared" si="1"/>
        <v>#N/A</v>
      </c>
      <c r="S6" s="63" t="str">
        <f t="shared" ca="1" si="2"/>
        <v/>
      </c>
      <c r="U6" s="468">
        <f>IF(Tools!AD3="  ",NA(),Tools!AD3)</f>
        <v>0</v>
      </c>
      <c r="V6" s="469" t="e">
        <f ca="1">IF(OR(IF(ISNUMBER(V$2),V$2&gt;=$U6,FALSE),IF(ISNUMBER(V$3),V$3&lt;=$U6,FALSE)),NA(),IF(Tools!AE3="  ",NA(),Tools!AE3))</f>
        <v>#N/A</v>
      </c>
      <c r="W6" s="469" t="e">
        <f ca="1">IF(OR(IF(ISNUMBER(W$2),W$2&gt;=$U6,FALSE),IF(ISNUMBER(W$3),W$3&lt;=$U6,FALSE)),NA(),IF(Tools!AF3="  ",NA(),Tools!AF3))</f>
        <v>#N/A</v>
      </c>
      <c r="X6" s="469" t="e">
        <f ca="1">IF(OR(IF(ISNUMBER(X$2),X$2&gt;=$U6,FALSE),IF(ISNUMBER(X$3),X$3&lt;=$U6,FALSE)),NA(),IF(Tools!AG3="  ",NA(),Tools!AG3))</f>
        <v>#N/A</v>
      </c>
      <c r="Y6" s="469" t="e">
        <f ca="1">IF(OR(IF(ISNUMBER(Y$2),Y$2&gt;=$U6,FALSE),IF(ISNUMBER(Y$3),Y$3&lt;=$U6,FALSE)),NA(),IF(Tools!AH3="  ",NA(),Tools!AH3))</f>
        <v>#N/A</v>
      </c>
      <c r="Z6" s="469" t="e">
        <f ca="1">IF(OR(IF(ISNUMBER(Z$2),Z$2&gt;=$U6,FALSE),IF(ISNUMBER(Z$3),Z$3&lt;=$U6,FALSE)),NA(),IF(Tools!AI3="  ",NA(),Tools!AI3))</f>
        <v>#N/A</v>
      </c>
      <c r="AA6" s="469" t="e">
        <f ca="1">IF(OR(IF(ISNUMBER(AA$2),AA$2&gt;=$U6,FALSE),IF(ISNUMBER(AA$3),AA$3&lt;=$U6,FALSE)),NA(),IF(Tools!AJ3="  ",NA(),Tools!AJ3))</f>
        <v>#N/A</v>
      </c>
      <c r="AB6" s="469" t="e">
        <f ca="1">IF(OR(IF(ISNUMBER(AB$2),AB$2&gt;=$U6,FALSE),IF(ISNUMBER(AB$3),AB$3&lt;=$U6,FALSE)),NA(),IF(Tools!AK3="  ",NA(),Tools!AK3))</f>
        <v>#N/A</v>
      </c>
      <c r="AC6" s="469" t="e">
        <f ca="1">IF(OR(IF(ISNUMBER(AC$2),AC$2&gt;=$U6,FALSE),IF(ISNUMBER(AC$3),AC$3&lt;=$U6,FALSE)),NA(),IF(Tools!AL3="  ",NA(),Tools!AL3))</f>
        <v>#N/A</v>
      </c>
      <c r="AD6" s="469">
        <f ca="1">IF(OR(IF(ISNUMBER(AD$2),AD$2&gt;=$U6,FALSE),IF(ISNUMBER(AD$3),AD$3&lt;=$U6,FALSE)),NA(),IF(Tools!AM3="  ",NA(),Tools!AM3))</f>
        <v>2.8919999999999999</v>
      </c>
      <c r="AE6" s="469">
        <f ca="1">IF(OR(IF(ISNUMBER(AE$2),AE$2&gt;=$U6,FALSE),IF(ISNUMBER(AE$3),AE$3&lt;=$U6,FALSE)),NA(),IF(Tools!AN3="  ",NA(),Tools!AN3))</f>
        <v>6.2</v>
      </c>
      <c r="AF6" s="469">
        <f ca="1">IF(OR(IF(ISNUMBER(AF$2),AF$2&gt;=$U6,FALSE),IF(ISNUMBER(AF$3),AF$3&lt;=$U6,FALSE)),NA(),IF(Tools!AO3="  ",NA(),Tools!AO3))</f>
        <v>9.6</v>
      </c>
      <c r="AG6" s="469">
        <f ca="1">IF(OR(IF(ISNUMBER(AG$2),AG$2&gt;=$U6,FALSE),IF(ISNUMBER(AG$3),AG$3&lt;=$U6,FALSE)),NA(),IF(Tools!AP3="  ",NA(),Tools!AP3))</f>
        <v>10.89</v>
      </c>
      <c r="AH6" s="469" t="e">
        <f ca="1">IF(OR(IF(ISNUMBER(AH$2),AH$2&gt;=$U6,FALSE),IF(ISNUMBER(AH$3),AH$3&lt;=$U6,FALSE)),NA(),IF(Tools!AQ3="  ",NA(),Tools!AQ3))</f>
        <v>#N/A</v>
      </c>
      <c r="AI6" s="469" t="e">
        <f ca="1">IF(OR(IF(ISNUMBER(AI$2),AI$2&gt;=$U6,FALSE),IF(ISNUMBER(AI$3),AI$3&lt;=$U6,FALSE)),NA(),IF(Tools!AR3="  ",NA(),Tools!AR3))</f>
        <v>#N/A</v>
      </c>
      <c r="AJ6" s="469" t="e">
        <f ca="1">IF(OR(IF(ISNUMBER(AJ$2),AJ$2&gt;=$U6,FALSE),IF(ISNUMBER(AJ$3),AJ$3&lt;=$U6,FALSE)),NA(),IF(Tools!AS3="  ",NA(),Tools!AS3))</f>
        <v>#N/A</v>
      </c>
      <c r="AK6" s="469" t="e">
        <f ca="1">IF(OR(IF(ISNUMBER(AK$2),AK$2&gt;=$U6,FALSE),IF(ISNUMBER(AK$3),AK$3&lt;=$U6,FALSE)),NA(),IF(Tools!AT3="  ",NA(),Tools!AT3))</f>
        <v>#N/A</v>
      </c>
      <c r="AL6" s="469" t="e">
        <f ca="1">IF(OR(IF(ISNUMBER(AL$2),AL$2&gt;=$U6,FALSE),IF(ISNUMBER(AL$3),AL$3&lt;=$U6,FALSE)),NA(),IF(Tools!AU3="  ",NA(),Tools!AU3))</f>
        <v>#N/A</v>
      </c>
      <c r="AM6" s="469" t="e">
        <f ca="1">IF(OR(IF(ISNUMBER(AM$2),AM$2&gt;=$U6,FALSE),IF(ISNUMBER(AM$3),AM$3&lt;=$U6,FALSE)),NA(),IF(Tools!AV3="  ",NA(),Tools!AV3))</f>
        <v>#N/A</v>
      </c>
      <c r="AN6" s="469" t="e">
        <f ca="1">IF(OR(IF(ISNUMBER(AN$2),AN$2&gt;=$U6,FALSE),IF(ISNUMBER(AN$3),AN$3&lt;=$U6,FALSE)),NA(),IF(Tools!AW3="  ",NA(),Tools!AW3))</f>
        <v>#N/A</v>
      </c>
      <c r="AO6" s="469" t="e">
        <f ca="1">IF(OR(IF(ISNUMBER(AO$2),AO$2&gt;=$U6,FALSE),IF(ISNUMBER(AO$3),AO$3&lt;=$U6,FALSE)),NA(),IF(Tools!AX3="  ",NA(),Tools!AX3))</f>
        <v>#N/A</v>
      </c>
      <c r="AP6" s="469" t="e">
        <f ca="1">IF(OR(IF(ISNUMBER(AP$2),AP$2&gt;=$U6,FALSE),IF(ISNUMBER(AP$3),AP$3&lt;=$U6,FALSE)),NA(),IF(Tools!AY3="  ",NA(),Tools!AY3))</f>
        <v>#N/A</v>
      </c>
      <c r="AQ6" s="469" t="e">
        <f ca="1">IF(OR(IF(ISNUMBER(AQ$2),AQ$2&gt;=$U6,FALSE),IF(ISNUMBER(AQ$3),AQ$3&lt;=$U6,FALSE)),NA(),IF(Tools!AZ3="  ",NA(),Tools!AZ3))</f>
        <v>#N/A</v>
      </c>
      <c r="AR6" s="469" t="e">
        <f ca="1">IF(OR(IF(ISNUMBER(AR$2),AR$2&gt;=$U6,FALSE),IF(ISNUMBER(AR$3),AR$3&lt;=$U6,FALSE)),NA(),IF(Tools!BA3="  ",NA(),Tools!BA3))</f>
        <v>#N/A</v>
      </c>
      <c r="AS6" s="469" t="e">
        <f ca="1">IF(OR(IF(ISNUMBER(AS$2),AS$2&gt;=$U6,FALSE),IF(ISNUMBER(AS$3),AS$3&lt;=$U6,FALSE)),NA(),IF(Tools!BB3="  ",NA(),Tools!BB3))</f>
        <v>#N/A</v>
      </c>
      <c r="AT6" s="469" t="e">
        <f ca="1">IF(OR(IF(ISNUMBER(AT$2),AT$2&gt;=$U6,FALSE),IF(ISNUMBER(AT$3),AT$3&lt;=$U6,FALSE)),NA(),IF(Tools!BC3="  ",NA(),Tools!BC3))</f>
        <v>#N/A</v>
      </c>
    </row>
    <row r="7" spans="1:46" x14ac:dyDescent="0.25">
      <c r="A7">
        <f t="shared" si="4"/>
        <v>1.62</v>
      </c>
      <c r="B7" s="108">
        <f>IFERROR(Tools!$BE4*WLS,NA())</f>
        <v>0.9</v>
      </c>
      <c r="C7" s="466">
        <f ca="1">IF(ISNUMBER('Graph tools'!F64),'Graph tools'!F64,NA())</f>
        <v>-3.9</v>
      </c>
      <c r="D7" s="466"/>
      <c r="E7" s="466">
        <f t="shared" ca="1" si="5"/>
        <v>19.407744874715263</v>
      </c>
      <c r="F7" s="466">
        <f ca="1">IF(ISNUMBER('Graph tools'!G64),'Graph tools'!G64,NA())</f>
        <v>12.2</v>
      </c>
      <c r="G7" s="466">
        <f t="shared" ca="1" si="6"/>
        <v>1.8526955201214883</v>
      </c>
      <c r="H7" s="470"/>
      <c r="J7" s="63">
        <f>IFERROR(Tools!AD4*1,NA())</f>
        <v>0.5</v>
      </c>
      <c r="K7" s="63">
        <f>IF(ISNUMBER('Rise, etc.'!P5),'Rise, etc.'!P5,"-")</f>
        <v>8.9</v>
      </c>
      <c r="L7" s="63">
        <v>7</v>
      </c>
      <c r="M7" s="63">
        <f>IF(L7=0,0,VLOOKUP(Stn_WL,Tools!$AD$2:$BC$2,L7+1,FALSE)*WLS)</f>
        <v>7.2</v>
      </c>
      <c r="N7" s="465">
        <v>5</v>
      </c>
      <c r="P7" s="467">
        <v>3</v>
      </c>
      <c r="Q7" s="467" t="e">
        <f t="shared" ca="1" si="0"/>
        <v>#N/A</v>
      </c>
      <c r="R7" s="467" t="e">
        <f t="shared" si="1"/>
        <v>#N/A</v>
      </c>
      <c r="S7" s="63" t="str">
        <f t="shared" ca="1" si="2"/>
        <v/>
      </c>
      <c r="U7" s="468">
        <f>IF(Tools!AD4="  ",NA(),Tools!AD4)</f>
        <v>0.5</v>
      </c>
      <c r="V7" s="469" t="e">
        <f ca="1">IF(OR(IF(ISNUMBER(V$2),V$2&gt;=$U7,FALSE),IF(ISNUMBER(V$3),V$3&lt;=$U7,FALSE)),NA(),IF(Tools!AE4="  ",NA(),Tools!AE4))</f>
        <v>#N/A</v>
      </c>
      <c r="W7" s="469" t="e">
        <f ca="1">IF(OR(IF(ISNUMBER(W$2),W$2&gt;=$U7,FALSE),IF(ISNUMBER(W$3),W$3&lt;=$U7,FALSE)),NA(),IF(Tools!AF4="  ",NA(),Tools!AF4))</f>
        <v>#N/A</v>
      </c>
      <c r="X7" s="469" t="e">
        <f ca="1">IF(OR(IF(ISNUMBER(X$2),X$2&gt;=$U7,FALSE),IF(ISNUMBER(X$3),X$3&lt;=$U7,FALSE)),NA(),IF(Tools!AG4="  ",NA(),Tools!AG4))</f>
        <v>#N/A</v>
      </c>
      <c r="Y7" s="469" t="e">
        <f ca="1">IF(OR(IF(ISNUMBER(Y$2),Y$2&gt;=$U7,FALSE),IF(ISNUMBER(Y$3),Y$3&lt;=$U7,FALSE)),NA(),IF(Tools!AH4="  ",NA(),Tools!AH4))</f>
        <v>#N/A</v>
      </c>
      <c r="Z7" s="469" t="e">
        <f ca="1">IF(OR(IF(ISNUMBER(Z$2),Z$2&gt;=$U7,FALSE),IF(ISNUMBER(Z$3),Z$3&lt;=$U7,FALSE)),NA(),IF(Tools!AI4="  ",NA(),Tools!AI4))</f>
        <v>#N/A</v>
      </c>
      <c r="AA7" s="469" t="e">
        <f ca="1">IF(OR(IF(ISNUMBER(AA$2),AA$2&gt;=$U7,FALSE),IF(ISNUMBER(AA$3),AA$3&lt;=$U7,FALSE)),NA(),IF(Tools!AJ4="  ",NA(),Tools!AJ4))</f>
        <v>#N/A</v>
      </c>
      <c r="AB7" s="469" t="e">
        <f ca="1">IF(OR(IF(ISNUMBER(AB$2),AB$2&gt;=$U7,FALSE),IF(ISNUMBER(AB$3),AB$3&lt;=$U7,FALSE)),NA(),IF(Tools!AK4="  ",NA(),Tools!AK4))</f>
        <v>#N/A</v>
      </c>
      <c r="AC7" s="469">
        <f ca="1">IF(OR(IF(ISNUMBER(AC$2),AC$2&gt;=$U7,FALSE),IF(ISNUMBER(AC$3),AC$3&lt;=$U7,FALSE)),NA(),IF(Tools!AL4="  ",NA(),Tools!AL4))</f>
        <v>1.2</v>
      </c>
      <c r="AD7" s="469">
        <f ca="1">IF(OR(IF(ISNUMBER(AD$2),AD$2&gt;=$U7,FALSE),IF(ISNUMBER(AD$3),AD$3&lt;=$U7,FALSE)),NA(),IF(Tools!AM4="  ",NA(),Tools!AM4))</f>
        <v>6.8</v>
      </c>
      <c r="AE7" s="469">
        <f ca="1">IF(OR(IF(ISNUMBER(AE$2),AE$2&gt;=$U7,FALSE),IF(ISNUMBER(AE$3),AE$3&lt;=$U7,FALSE)),NA(),IF(Tools!AN4="  ",NA(),Tools!AN4))</f>
        <v>8.4600000000000009</v>
      </c>
      <c r="AF7" s="469">
        <f ca="1">IF(OR(IF(ISNUMBER(AF$2),AF$2&gt;=$U7,FALSE),IF(ISNUMBER(AF$3),AF$3&lt;=$U7,FALSE)),NA(),IF(Tools!AO4="  ",NA(),Tools!AO4))</f>
        <v>10.63</v>
      </c>
      <c r="AG7" s="469">
        <f ca="1">IF(OR(IF(ISNUMBER(AG$2),AG$2&gt;=$U7,FALSE),IF(ISNUMBER(AG$3),AG$3&lt;=$U7,FALSE)),NA(),IF(Tools!AP4="  ",NA(),Tools!AP4))</f>
        <v>11.52</v>
      </c>
      <c r="AH7" s="469" t="e">
        <f ca="1">IF(OR(IF(ISNUMBER(AH$2),AH$2&gt;=$U7,FALSE),IF(ISNUMBER(AH$3),AH$3&lt;=$U7,FALSE)),NA(),IF(Tools!AQ4="  ",NA(),Tools!AQ4))</f>
        <v>#N/A</v>
      </c>
      <c r="AI7" s="469" t="e">
        <f ca="1">IF(OR(IF(ISNUMBER(AI$2),AI$2&gt;=$U7,FALSE),IF(ISNUMBER(AI$3),AI$3&lt;=$U7,FALSE)),NA(),IF(Tools!AR4="  ",NA(),Tools!AR4))</f>
        <v>#N/A</v>
      </c>
      <c r="AJ7" s="469" t="e">
        <f ca="1">IF(OR(IF(ISNUMBER(AJ$2),AJ$2&gt;=$U7,FALSE),IF(ISNUMBER(AJ$3),AJ$3&lt;=$U7,FALSE)),NA(),IF(Tools!AS4="  ",NA(),Tools!AS4))</f>
        <v>#N/A</v>
      </c>
      <c r="AK7" s="469" t="e">
        <f ca="1">IF(OR(IF(ISNUMBER(AK$2),AK$2&gt;=$U7,FALSE),IF(ISNUMBER(AK$3),AK$3&lt;=$U7,FALSE)),NA(),IF(Tools!AT4="  ",NA(),Tools!AT4))</f>
        <v>#N/A</v>
      </c>
      <c r="AL7" s="469" t="e">
        <f ca="1">IF(OR(IF(ISNUMBER(AL$2),AL$2&gt;=$U7,FALSE),IF(ISNUMBER(AL$3),AL$3&lt;=$U7,FALSE)),NA(),IF(Tools!AU4="  ",NA(),Tools!AU4))</f>
        <v>#N/A</v>
      </c>
      <c r="AM7" s="469" t="e">
        <f ca="1">IF(OR(IF(ISNUMBER(AM$2),AM$2&gt;=$U7,FALSE),IF(ISNUMBER(AM$3),AM$3&lt;=$U7,FALSE)),NA(),IF(Tools!AV4="  ",NA(),Tools!AV4))</f>
        <v>#N/A</v>
      </c>
      <c r="AN7" s="469" t="e">
        <f ca="1">IF(OR(IF(ISNUMBER(AN$2),AN$2&gt;=$U7,FALSE),IF(ISNUMBER(AN$3),AN$3&lt;=$U7,FALSE)),NA(),IF(Tools!AW4="  ",NA(),Tools!AW4))</f>
        <v>#N/A</v>
      </c>
      <c r="AO7" s="469" t="e">
        <f ca="1">IF(OR(IF(ISNUMBER(AO$2),AO$2&gt;=$U7,FALSE),IF(ISNUMBER(AO$3),AO$3&lt;=$U7,FALSE)),NA(),IF(Tools!AX4="  ",NA(),Tools!AX4))</f>
        <v>#N/A</v>
      </c>
      <c r="AP7" s="469" t="e">
        <f ca="1">IF(OR(IF(ISNUMBER(AP$2),AP$2&gt;=$U7,FALSE),IF(ISNUMBER(AP$3),AP$3&lt;=$U7,FALSE)),NA(),IF(Tools!AY4="  ",NA(),Tools!AY4))</f>
        <v>#N/A</v>
      </c>
      <c r="AQ7" s="469" t="e">
        <f ca="1">IF(OR(IF(ISNUMBER(AQ$2),AQ$2&gt;=$U7,FALSE),IF(ISNUMBER(AQ$3),AQ$3&lt;=$U7,FALSE)),NA(),IF(Tools!AZ4="  ",NA(),Tools!AZ4))</f>
        <v>#N/A</v>
      </c>
      <c r="AR7" s="469" t="e">
        <f ca="1">IF(OR(IF(ISNUMBER(AR$2),AR$2&gt;=$U7,FALSE),IF(ISNUMBER(AR$3),AR$3&lt;=$U7,FALSE)),NA(),IF(Tools!BA4="  ",NA(),Tools!BA4))</f>
        <v>#N/A</v>
      </c>
      <c r="AS7" s="469" t="e">
        <f ca="1">IF(OR(IF(ISNUMBER(AS$2),AS$2&gt;=$U7,FALSE),IF(ISNUMBER(AS$3),AS$3&lt;=$U7,FALSE)),NA(),IF(Tools!BB4="  ",NA(),Tools!BB4))</f>
        <v>#N/A</v>
      </c>
      <c r="AT7" s="469" t="e">
        <f ca="1">IF(OR(IF(ISNUMBER(AT$2),AT$2&gt;=$U7,FALSE),IF(ISNUMBER(AT$3),AT$3&lt;=$U7,FALSE)),NA(),IF(Tools!BC4="  ",NA(),Tools!BC4))</f>
        <v>#N/A</v>
      </c>
    </row>
    <row r="8" spans="1:46" x14ac:dyDescent="0.25">
      <c r="A8">
        <f t="shared" si="4"/>
        <v>3.24</v>
      </c>
      <c r="B8" s="108">
        <f>IFERROR(Tools!$BE5*WLS,NA())</f>
        <v>1.8</v>
      </c>
      <c r="C8" s="466">
        <f ca="1">IF(ISNUMBER('Graph tools'!F65),'Graph tools'!F65,NA())</f>
        <v>-0.6</v>
      </c>
      <c r="D8" s="466"/>
      <c r="E8" s="466">
        <f t="shared" ca="1" si="5"/>
        <v>19.908883826879272</v>
      </c>
      <c r="F8" s="466">
        <f ca="1">IF(ISNUMBER('Graph tools'!G65),'Graph tools'!G65,NA())</f>
        <v>10.199999999999999</v>
      </c>
      <c r="G8" s="466">
        <f t="shared" ca="1" si="6"/>
        <v>1.5489749430523918</v>
      </c>
      <c r="H8" s="470"/>
      <c r="J8" s="63">
        <f>IFERROR(Tools!AD5*1,NA())</f>
        <v>1</v>
      </c>
      <c r="K8" s="63">
        <f>IF(ISNUMBER('Rise, etc.'!P6),'Rise, etc.'!P6,"-")</f>
        <v>7.8</v>
      </c>
      <c r="L8" s="63">
        <v>7</v>
      </c>
      <c r="M8" s="63">
        <f>IF(L8=0,0,VLOOKUP(Stn_WL,Tools!$AD$2:$BC$2,L8+1,FALSE)*WLS)</f>
        <v>7.2</v>
      </c>
      <c r="N8" s="465">
        <f t="shared" ref="N8:N30" si="7">IF(ISNUMBER(J8),IFERROR(K8*1,M8*1),NA())</f>
        <v>7.8</v>
      </c>
      <c r="P8" s="467">
        <v>4</v>
      </c>
      <c r="Q8" s="467" t="e">
        <f t="shared" ca="1" si="0"/>
        <v>#N/A</v>
      </c>
      <c r="R8" s="467" t="e">
        <f t="shared" si="1"/>
        <v>#N/A</v>
      </c>
      <c r="S8" s="63" t="str">
        <f t="shared" ca="1" si="2"/>
        <v/>
      </c>
      <c r="U8" s="468">
        <f>IF(Tools!AD5="  ",NA(),Tools!AD5)</f>
        <v>1</v>
      </c>
      <c r="V8" s="469" t="e">
        <f ca="1">IF(OR(IF(ISNUMBER(V$2),V$2&gt;=$U8,FALSE),IF(ISNUMBER(V$3),V$3&lt;=$U8,FALSE)),NA(),IF(Tools!AE5="  ",NA(),Tools!AE5))</f>
        <v>#N/A</v>
      </c>
      <c r="W8" s="469" t="e">
        <f ca="1">IF(OR(IF(ISNUMBER(W$2),W$2&gt;=$U8,FALSE),IF(ISNUMBER(W$3),W$3&lt;=$U8,FALSE)),NA(),IF(Tools!AF5="  ",NA(),Tools!AF5))</f>
        <v>#N/A</v>
      </c>
      <c r="X8" s="469" t="e">
        <f ca="1">IF(OR(IF(ISNUMBER(X$2),X$2&gt;=$U8,FALSE),IF(ISNUMBER(X$3),X$3&lt;=$U8,FALSE)),NA(),IF(Tools!AG5="  ",NA(),Tools!AG5))</f>
        <v>#N/A</v>
      </c>
      <c r="Y8" s="469" t="e">
        <f ca="1">IF(OR(IF(ISNUMBER(Y$2),Y$2&gt;=$U8,FALSE),IF(ISNUMBER(Y$3),Y$3&lt;=$U8,FALSE)),NA(),IF(Tools!AH5="  ",NA(),Tools!AH5))</f>
        <v>#N/A</v>
      </c>
      <c r="Z8" s="469" t="e">
        <f ca="1">IF(OR(IF(ISNUMBER(Z$2),Z$2&gt;=$U8,FALSE),IF(ISNUMBER(Z$3),Z$3&lt;=$U8,FALSE)),NA(),IF(Tools!AI5="  ",NA(),Tools!AI5))</f>
        <v>#N/A</v>
      </c>
      <c r="AA8" s="469" t="e">
        <f ca="1">IF(OR(IF(ISNUMBER(AA$2),AA$2&gt;=$U8,FALSE),IF(ISNUMBER(AA$3),AA$3&lt;=$U8,FALSE)),NA(),IF(Tools!AJ5="  ",NA(),Tools!AJ5))</f>
        <v>#N/A</v>
      </c>
      <c r="AB8" s="469" t="e">
        <f ca="1">IF(OR(IF(ISNUMBER(AB$2),AB$2&gt;=$U8,FALSE),IF(ISNUMBER(AB$3),AB$3&lt;=$U8,FALSE)),NA(),IF(Tools!AK5="  ",NA(),Tools!AK5))</f>
        <v>#N/A</v>
      </c>
      <c r="AC8" s="469">
        <f ca="1">IF(OR(IF(ISNUMBER(AC$2),AC$2&gt;=$U8,FALSE),IF(ISNUMBER(AC$3),AC$3&lt;=$U8,FALSE)),NA(),IF(Tools!AL5="  ",NA(),Tools!AL5))</f>
        <v>6.12</v>
      </c>
      <c r="AD8" s="469">
        <f ca="1">IF(OR(IF(ISNUMBER(AD$2),AD$2&gt;=$U8,FALSE),IF(ISNUMBER(AD$3),AD$3&lt;=$U8,FALSE)),NA(),IF(Tools!AM5="  ",NA(),Tools!AM5))</f>
        <v>8.8000000000000007</v>
      </c>
      <c r="AE8" s="469">
        <f ca="1">IF(OR(IF(ISNUMBER(AE$2),AE$2&gt;=$U8,FALSE),IF(ISNUMBER(AE$3),AE$3&lt;=$U8,FALSE)),NA(),IF(Tools!AN5="  ",NA(),Tools!AN5))</f>
        <v>9.84</v>
      </c>
      <c r="AF8" s="469">
        <f ca="1">IF(OR(IF(ISNUMBER(AF$2),AF$2&gt;=$U8,FALSE),IF(ISNUMBER(AF$3),AF$3&lt;=$U8,FALSE)),NA(),IF(Tools!AO5="  ",NA(),Tools!AO5))</f>
        <v>11.33</v>
      </c>
      <c r="AG8" s="469">
        <f ca="1">IF(OR(IF(ISNUMBER(AG$2),AG$2&gt;=$U8,FALSE),IF(ISNUMBER(AG$3),AG$3&lt;=$U8,FALSE)),NA(),IF(Tools!AP5="  ",NA(),Tools!AP5))</f>
        <v>11.9</v>
      </c>
      <c r="AH8" s="469" t="e">
        <f ca="1">IF(OR(IF(ISNUMBER(AH$2),AH$2&gt;=$U8,FALSE),IF(ISNUMBER(AH$3),AH$3&lt;=$U8,FALSE)),NA(),IF(Tools!AQ5="  ",NA(),Tools!AQ5))</f>
        <v>#N/A</v>
      </c>
      <c r="AI8" s="469" t="e">
        <f ca="1">IF(OR(IF(ISNUMBER(AI$2),AI$2&gt;=$U8,FALSE),IF(ISNUMBER(AI$3),AI$3&lt;=$U8,FALSE)),NA(),IF(Tools!AR5="  ",NA(),Tools!AR5))</f>
        <v>#N/A</v>
      </c>
      <c r="AJ8" s="469" t="e">
        <f ca="1">IF(OR(IF(ISNUMBER(AJ$2),AJ$2&gt;=$U8,FALSE),IF(ISNUMBER(AJ$3),AJ$3&lt;=$U8,FALSE)),NA(),IF(Tools!AS5="  ",NA(),Tools!AS5))</f>
        <v>#N/A</v>
      </c>
      <c r="AK8" s="469" t="e">
        <f ca="1">IF(OR(IF(ISNUMBER(AK$2),AK$2&gt;=$U8,FALSE),IF(ISNUMBER(AK$3),AK$3&lt;=$U8,FALSE)),NA(),IF(Tools!AT5="  ",NA(),Tools!AT5))</f>
        <v>#N/A</v>
      </c>
      <c r="AL8" s="469" t="e">
        <f ca="1">IF(OR(IF(ISNUMBER(AL$2),AL$2&gt;=$U8,FALSE),IF(ISNUMBER(AL$3),AL$3&lt;=$U8,FALSE)),NA(),IF(Tools!AU5="  ",NA(),Tools!AU5))</f>
        <v>#N/A</v>
      </c>
      <c r="AM8" s="469" t="e">
        <f ca="1">IF(OR(IF(ISNUMBER(AM$2),AM$2&gt;=$U8,FALSE),IF(ISNUMBER(AM$3),AM$3&lt;=$U8,FALSE)),NA(),IF(Tools!AV5="  ",NA(),Tools!AV5))</f>
        <v>#N/A</v>
      </c>
      <c r="AN8" s="469" t="e">
        <f ca="1">IF(OR(IF(ISNUMBER(AN$2),AN$2&gt;=$U8,FALSE),IF(ISNUMBER(AN$3),AN$3&lt;=$U8,FALSE)),NA(),IF(Tools!AW5="  ",NA(),Tools!AW5))</f>
        <v>#N/A</v>
      </c>
      <c r="AO8" s="469" t="e">
        <f ca="1">IF(OR(IF(ISNUMBER(AO$2),AO$2&gt;=$U8,FALSE),IF(ISNUMBER(AO$3),AO$3&lt;=$U8,FALSE)),NA(),IF(Tools!AX5="  ",NA(),Tools!AX5))</f>
        <v>#N/A</v>
      </c>
      <c r="AP8" s="469" t="e">
        <f ca="1">IF(OR(IF(ISNUMBER(AP$2),AP$2&gt;=$U8,FALSE),IF(ISNUMBER(AP$3),AP$3&lt;=$U8,FALSE)),NA(),IF(Tools!AY5="  ",NA(),Tools!AY5))</f>
        <v>#N/A</v>
      </c>
      <c r="AQ8" s="469" t="e">
        <f ca="1">IF(OR(IF(ISNUMBER(AQ$2),AQ$2&gt;=$U8,FALSE),IF(ISNUMBER(AQ$3),AQ$3&lt;=$U8,FALSE)),NA(),IF(Tools!AZ5="  ",NA(),Tools!AZ5))</f>
        <v>#N/A</v>
      </c>
      <c r="AR8" s="469" t="e">
        <f ca="1">IF(OR(IF(ISNUMBER(AR$2),AR$2&gt;=$U8,FALSE),IF(ISNUMBER(AR$3),AR$3&lt;=$U8,FALSE)),NA(),IF(Tools!BA5="  ",NA(),Tools!BA5))</f>
        <v>#N/A</v>
      </c>
      <c r="AS8" s="469" t="e">
        <f ca="1">IF(OR(IF(ISNUMBER(AS$2),AS$2&gt;=$U8,FALSE),IF(ISNUMBER(AS$3),AS$3&lt;=$U8,FALSE)),NA(),IF(Tools!BB5="  ",NA(),Tools!BB5))</f>
        <v>#N/A</v>
      </c>
      <c r="AT8" s="469" t="e">
        <f ca="1">IF(OR(IF(ISNUMBER(AT$2),AT$2&gt;=$U8,FALSE),IF(ISNUMBER(AT$3),AT$3&lt;=$U8,FALSE)),NA(),IF(Tools!BC5="  ",NA(),Tools!BC5))</f>
        <v>#N/A</v>
      </c>
    </row>
    <row r="9" spans="1:46" x14ac:dyDescent="0.25">
      <c r="A9">
        <f t="shared" si="4"/>
        <v>4.8600000000000003</v>
      </c>
      <c r="B9" s="108">
        <f>IFERROR(Tools!$BE6*WLS,NA())</f>
        <v>2.7</v>
      </c>
      <c r="C9" s="466">
        <f ca="1">IF(ISNUMBER('Graph tools'!F66),'Graph tools'!F66,NA())</f>
        <v>1.3</v>
      </c>
      <c r="D9" s="466"/>
      <c r="E9" s="466">
        <f t="shared" ca="1" si="5"/>
        <v>20.197418375094916</v>
      </c>
      <c r="F9" s="466">
        <f ca="1">IF(ISNUMBER('Graph tools'!G66),'Graph tools'!G66,NA())</f>
        <v>8.9</v>
      </c>
      <c r="G9" s="466">
        <f t="shared" ca="1" si="6"/>
        <v>1.3515565679574795</v>
      </c>
      <c r="H9" s="470"/>
      <c r="J9" s="63">
        <f>IFERROR(Tools!AD6*1,NA())</f>
        <v>1.5</v>
      </c>
      <c r="K9" s="63">
        <f>IF(ISNUMBER('Rise, etc.'!P7),'Rise, etc.'!P7,"-")</f>
        <v>1.95</v>
      </c>
      <c r="L9" s="63">
        <v>3</v>
      </c>
      <c r="M9" s="63">
        <f>IF(L9=0,0,VLOOKUP(Stn_WL,Tools!$AD$2:$BC$2,L9+1,FALSE)*WLS)</f>
        <v>1.8</v>
      </c>
      <c r="N9" s="465">
        <f t="shared" si="7"/>
        <v>1.95</v>
      </c>
      <c r="P9" s="467">
        <v>5</v>
      </c>
      <c r="Q9" s="467" t="e">
        <f t="shared" ca="1" si="0"/>
        <v>#N/A</v>
      </c>
      <c r="R9" s="467" t="e">
        <f t="shared" si="1"/>
        <v>#N/A</v>
      </c>
      <c r="S9" s="63" t="str">
        <f t="shared" ca="1" si="2"/>
        <v/>
      </c>
      <c r="U9" s="468">
        <f>IF(Tools!AD6="  ",NA(),Tools!AD6)</f>
        <v>1.5</v>
      </c>
      <c r="V9" s="469" t="e">
        <f ca="1">IF(OR(IF(ISNUMBER(V$2),V$2&gt;=$U9,FALSE),IF(ISNUMBER(V$3),V$3&lt;=$U9,FALSE)),NA(),IF(Tools!AE6="  ",NA(),Tools!AE6))</f>
        <v>#N/A</v>
      </c>
      <c r="W9" s="469" t="e">
        <f ca="1">IF(OR(IF(ISNUMBER(W$2),W$2&gt;=$U9,FALSE),IF(ISNUMBER(W$3),W$3&lt;=$U9,FALSE)),NA(),IF(Tools!AF6="  ",NA(),Tools!AF6))</f>
        <v>#N/A</v>
      </c>
      <c r="X9" s="469" t="e">
        <f ca="1">IF(OR(IF(ISNUMBER(X$2),X$2&gt;=$U9,FALSE),IF(ISNUMBER(X$3),X$3&lt;=$U9,FALSE)),NA(),IF(Tools!AG6="  ",NA(),Tools!AG6))</f>
        <v>#N/A</v>
      </c>
      <c r="Y9" s="469">
        <f ca="1">IF(OR(IF(ISNUMBER(Y$2),Y$2&gt;=$U9,FALSE),IF(ISNUMBER(Y$3),Y$3&lt;=$U9,FALSE)),NA(),IF(Tools!AH6="  ",NA(),Tools!AH6))</f>
        <v>0.4</v>
      </c>
      <c r="Z9" s="469">
        <f ca="1">IF(OR(IF(ISNUMBER(Z$2),Z$2&gt;=$U9,FALSE),IF(ISNUMBER(Z$3),Z$3&lt;=$U9,FALSE)),NA(),IF(Tools!AI6="  ",NA(),Tools!AI6))</f>
        <v>0.7</v>
      </c>
      <c r="AA9" s="469">
        <f ca="1">IF(OR(IF(ISNUMBER(AA$2),AA$2&gt;=$U9,FALSE),IF(ISNUMBER(AA$3),AA$3&lt;=$U9,FALSE)),NA(),IF(Tools!AJ6="  ",NA(),Tools!AJ6))</f>
        <v>1.2</v>
      </c>
      <c r="AB9" s="469">
        <f ca="1">IF(OR(IF(ISNUMBER(AB$2),AB$2&gt;=$U9,FALSE),IF(ISNUMBER(AB$3),AB$3&lt;=$U9,FALSE)),NA(),IF(Tools!AK6="  ",NA(),Tools!AK6))</f>
        <v>2.4</v>
      </c>
      <c r="AC9" s="469">
        <f ca="1">IF(OR(IF(ISNUMBER(AC$2),AC$2&gt;=$U9,FALSE),IF(ISNUMBER(AC$3),AC$3&lt;=$U9,FALSE)),NA(),IF(Tools!AL6="  ",NA(),Tools!AL6))</f>
        <v>8.5500000000000007</v>
      </c>
      <c r="AD9" s="469">
        <f ca="1">IF(OR(IF(ISNUMBER(AD$2),AD$2&gt;=$U9,FALSE),IF(ISNUMBER(AD$3),AD$3&lt;=$U9,FALSE)),NA(),IF(Tools!AM6="  ",NA(),Tools!AM6))</f>
        <v>10.14</v>
      </c>
      <c r="AE9" s="469">
        <f ca="1">IF(OR(IF(ISNUMBER(AE$2),AE$2&gt;=$U9,FALSE),IF(ISNUMBER(AE$3),AE$3&lt;=$U9,FALSE)),NA(),IF(Tools!AN6="  ",NA(),Tools!AN6))</f>
        <v>10.78</v>
      </c>
      <c r="AF9" s="469">
        <f ca="1">IF(OR(IF(ISNUMBER(AF$2),AF$2&gt;=$U9,FALSE),IF(ISNUMBER(AF$3),AF$3&lt;=$U9,FALSE)),NA(),IF(Tools!AO6="  ",NA(),Tools!AO6))</f>
        <v>11.77</v>
      </c>
      <c r="AG9" s="469">
        <f ca="1">IF(OR(IF(ISNUMBER(AG$2),AG$2&gt;=$U9,FALSE),IF(ISNUMBER(AG$3),AG$3&lt;=$U9,FALSE)),NA(),IF(Tools!AP6="  ",NA(),Tools!AP6))</f>
        <v>12.1</v>
      </c>
      <c r="AH9" s="469" t="e">
        <f ca="1">IF(OR(IF(ISNUMBER(AH$2),AH$2&gt;=$U9,FALSE),IF(ISNUMBER(AH$3),AH$3&lt;=$U9,FALSE)),NA(),IF(Tools!AQ6="  ",NA(),Tools!AQ6))</f>
        <v>#N/A</v>
      </c>
      <c r="AI9" s="469" t="e">
        <f ca="1">IF(OR(IF(ISNUMBER(AI$2),AI$2&gt;=$U9,FALSE),IF(ISNUMBER(AI$3),AI$3&lt;=$U9,FALSE)),NA(),IF(Tools!AR6="  ",NA(),Tools!AR6))</f>
        <v>#N/A</v>
      </c>
      <c r="AJ9" s="469" t="e">
        <f ca="1">IF(OR(IF(ISNUMBER(AJ$2),AJ$2&gt;=$U9,FALSE),IF(ISNUMBER(AJ$3),AJ$3&lt;=$U9,FALSE)),NA(),IF(Tools!AS6="  ",NA(),Tools!AS6))</f>
        <v>#N/A</v>
      </c>
      <c r="AK9" s="469" t="e">
        <f ca="1">IF(OR(IF(ISNUMBER(AK$2),AK$2&gt;=$U9,FALSE),IF(ISNUMBER(AK$3),AK$3&lt;=$U9,FALSE)),NA(),IF(Tools!AT6="  ",NA(),Tools!AT6))</f>
        <v>#N/A</v>
      </c>
      <c r="AL9" s="469" t="e">
        <f ca="1">IF(OR(IF(ISNUMBER(AL$2),AL$2&gt;=$U9,FALSE),IF(ISNUMBER(AL$3),AL$3&lt;=$U9,FALSE)),NA(),IF(Tools!AU6="  ",NA(),Tools!AU6))</f>
        <v>#N/A</v>
      </c>
      <c r="AM9" s="469" t="e">
        <f ca="1">IF(OR(IF(ISNUMBER(AM$2),AM$2&gt;=$U9,FALSE),IF(ISNUMBER(AM$3),AM$3&lt;=$U9,FALSE)),NA(),IF(Tools!AV6="  ",NA(),Tools!AV6))</f>
        <v>#N/A</v>
      </c>
      <c r="AN9" s="469" t="e">
        <f ca="1">IF(OR(IF(ISNUMBER(AN$2),AN$2&gt;=$U9,FALSE),IF(ISNUMBER(AN$3),AN$3&lt;=$U9,FALSE)),NA(),IF(Tools!AW6="  ",NA(),Tools!AW6))</f>
        <v>#N/A</v>
      </c>
      <c r="AO9" s="469" t="e">
        <f ca="1">IF(OR(IF(ISNUMBER(AO$2),AO$2&gt;=$U9,FALSE),IF(ISNUMBER(AO$3),AO$3&lt;=$U9,FALSE)),NA(),IF(Tools!AX6="  ",NA(),Tools!AX6))</f>
        <v>#N/A</v>
      </c>
      <c r="AP9" s="469" t="e">
        <f ca="1">IF(OR(IF(ISNUMBER(AP$2),AP$2&gt;=$U9,FALSE),IF(ISNUMBER(AP$3),AP$3&lt;=$U9,FALSE)),NA(),IF(Tools!AY6="  ",NA(),Tools!AY6))</f>
        <v>#N/A</v>
      </c>
      <c r="AQ9" s="469" t="e">
        <f ca="1">IF(OR(IF(ISNUMBER(AQ$2),AQ$2&gt;=$U9,FALSE),IF(ISNUMBER(AQ$3),AQ$3&lt;=$U9,FALSE)),NA(),IF(Tools!AZ6="  ",NA(),Tools!AZ6))</f>
        <v>#N/A</v>
      </c>
      <c r="AR9" s="469" t="e">
        <f ca="1">IF(OR(IF(ISNUMBER(AR$2),AR$2&gt;=$U9,FALSE),IF(ISNUMBER(AR$3),AR$3&lt;=$U9,FALSE)),NA(),IF(Tools!BA6="  ",NA(),Tools!BA6))</f>
        <v>#N/A</v>
      </c>
      <c r="AS9" s="469" t="e">
        <f ca="1">IF(OR(IF(ISNUMBER(AS$2),AS$2&gt;=$U9,FALSE),IF(ISNUMBER(AS$3),AS$3&lt;=$U9,FALSE)),NA(),IF(Tools!BB6="  ",NA(),Tools!BB6))</f>
        <v>#N/A</v>
      </c>
      <c r="AT9" s="469" t="e">
        <f ca="1">IF(OR(IF(ISNUMBER(AT$2),AT$2&gt;=$U9,FALSE),IF(ISNUMBER(AT$3),AT$3&lt;=$U9,FALSE)),NA(),IF(Tools!BC6="  ",NA(),Tools!BC6))</f>
        <v>#N/A</v>
      </c>
    </row>
    <row r="10" spans="1:46" x14ac:dyDescent="0.25">
      <c r="A10">
        <f t="shared" si="4"/>
        <v>6.48</v>
      </c>
      <c r="B10" s="108">
        <f>IFERROR(Tools!$BE7*WLS,NA())</f>
        <v>3.6</v>
      </c>
      <c r="C10" s="466">
        <f ca="1">IF(ISNUMBER('Graph tools'!F67),'Graph tools'!F67,NA())</f>
        <v>2.81</v>
      </c>
      <c r="D10" s="466"/>
      <c r="E10" s="466">
        <f t="shared" ca="1" si="5"/>
        <v>20.426727410782082</v>
      </c>
      <c r="F10" s="466">
        <f ca="1">IF(ISNUMBER('Graph tools'!G67),'Graph tools'!G67,NA())</f>
        <v>7.8</v>
      </c>
      <c r="G10" s="466">
        <f t="shared" ca="1" si="6"/>
        <v>1.1845102505694762</v>
      </c>
      <c r="H10" s="470"/>
      <c r="J10" s="63">
        <f>IFERROR(Tools!AD7*1,NA())</f>
        <v>2</v>
      </c>
      <c r="K10" s="63">
        <f>IF(ISNUMBER('Rise, etc.'!P8),'Rise, etc.'!P8,"-")</f>
        <v>0.56999999999999995</v>
      </c>
      <c r="L10" s="63">
        <v>1</v>
      </c>
      <c r="M10" s="63">
        <f>IF(L10=0,0,VLOOKUP(Stn_WL,Tools!$AD$2:$BC$2,L10+1,FALSE)*WLS)</f>
        <v>0</v>
      </c>
      <c r="N10" s="465">
        <f t="shared" si="7"/>
        <v>0.56999999999999995</v>
      </c>
      <c r="P10" s="467">
        <v>6</v>
      </c>
      <c r="Q10" s="467" t="e">
        <f t="shared" ca="1" si="0"/>
        <v>#N/A</v>
      </c>
      <c r="R10" s="467" t="e">
        <f t="shared" si="1"/>
        <v>#N/A</v>
      </c>
      <c r="S10" s="63" t="str">
        <f t="shared" ca="1" si="2"/>
        <v/>
      </c>
      <c r="U10" s="468">
        <f>IF(Tools!AD7="  ",NA(),Tools!AD7)</f>
        <v>2</v>
      </c>
      <c r="V10" s="469" t="e">
        <f ca="1">IF(OR(IF(ISNUMBER(V$2),V$2&gt;=$U10,FALSE),IF(ISNUMBER(V$3),V$3&lt;=$U10,FALSE)),NA(),IF(Tools!AE7="  ",NA(),Tools!AE7))</f>
        <v>#N/A</v>
      </c>
      <c r="W10" s="469">
        <f ca="1">IF(OR(IF(ISNUMBER(W$2),W$2&gt;=$U10,FALSE),IF(ISNUMBER(W$3),W$3&lt;=$U10,FALSE)),NA(),IF(Tools!AF7="  ",NA(),Tools!AF7))</f>
        <v>0.4</v>
      </c>
      <c r="X10" s="469">
        <f ca="1">IF(OR(IF(ISNUMBER(X$2),X$2&gt;=$U10,FALSE),IF(ISNUMBER(X$3),X$3&lt;=$U10,FALSE)),NA(),IF(Tools!AG7="  ",NA(),Tools!AG7))</f>
        <v>1.04</v>
      </c>
      <c r="Y10" s="469">
        <f ca="1">IF(OR(IF(ISNUMBER(Y$2),Y$2&gt;=$U10,FALSE),IF(ISNUMBER(Y$3),Y$3&lt;=$U10,FALSE)),NA(),IF(Tools!AH7="  ",NA(),Tools!AH7))</f>
        <v>1.5</v>
      </c>
      <c r="Z10" s="469">
        <f ca="1">IF(OR(IF(ISNUMBER(Z$2),Z$2&gt;=$U10,FALSE),IF(ISNUMBER(Z$3),Z$3&lt;=$U10,FALSE)),NA(),IF(Tools!AI7="  ",NA(),Tools!AI7))</f>
        <v>1.7</v>
      </c>
      <c r="AA10" s="469">
        <f ca="1">IF(OR(IF(ISNUMBER(AA$2),AA$2&gt;=$U10,FALSE),IF(ISNUMBER(AA$3),AA$3&lt;=$U10,FALSE)),NA(),IF(Tools!AJ7="  ",NA(),Tools!AJ7))</f>
        <v>2.7</v>
      </c>
      <c r="AB10" s="469">
        <f ca="1">IF(OR(IF(ISNUMBER(AB$2),AB$2&gt;=$U10,FALSE),IF(ISNUMBER(AB$3),AB$3&lt;=$U10,FALSE)),NA(),IF(Tools!AK7="  ",NA(),Tools!AK7))</f>
        <v>5.5</v>
      </c>
      <c r="AC10" s="469">
        <f ca="1">IF(OR(IF(ISNUMBER(AC$2),AC$2&gt;=$U10,FALSE),IF(ISNUMBER(AC$3),AC$3&lt;=$U10,FALSE)),NA(),IF(Tools!AL7="  ",NA(),Tools!AL7))</f>
        <v>9.9</v>
      </c>
      <c r="AD10" s="469">
        <f ca="1">IF(OR(IF(ISNUMBER(AD$2),AD$2&gt;=$U10,FALSE),IF(ISNUMBER(AD$3),AD$3&lt;=$U10,FALSE)),NA(),IF(Tools!AM7="  ",NA(),Tools!AM7))</f>
        <v>10.9</v>
      </c>
      <c r="AE10" s="469">
        <f ca="1">IF(OR(IF(ISNUMBER(AE$2),AE$2&gt;=$U10,FALSE),IF(ISNUMBER(AE$3),AE$3&lt;=$U10,FALSE)),NA(),IF(Tools!AN7="  ",NA(),Tools!AN7))</f>
        <v>11.34</v>
      </c>
      <c r="AF10" s="469">
        <f ca="1">IF(OR(IF(ISNUMBER(AF$2),AF$2&gt;=$U10,FALSE),IF(ISNUMBER(AF$3),AF$3&lt;=$U10,FALSE)),NA(),IF(Tools!AO7="  ",NA(),Tools!AO7))</f>
        <v>12</v>
      </c>
      <c r="AG10" s="469">
        <f ca="1">IF(OR(IF(ISNUMBER(AG$2),AG$2&gt;=$U10,FALSE),IF(ISNUMBER(AG$3),AG$3&lt;=$U10,FALSE)),NA(),IF(Tools!AP7="  ",NA(),Tools!AP7))</f>
        <v>12.2</v>
      </c>
      <c r="AH10" s="469" t="e">
        <f ca="1">IF(OR(IF(ISNUMBER(AH$2),AH$2&gt;=$U10,FALSE),IF(ISNUMBER(AH$3),AH$3&lt;=$U10,FALSE)),NA(),IF(Tools!AQ7="  ",NA(),Tools!AQ7))</f>
        <v>#N/A</v>
      </c>
      <c r="AI10" s="469" t="e">
        <f ca="1">IF(OR(IF(ISNUMBER(AI$2),AI$2&gt;=$U10,FALSE),IF(ISNUMBER(AI$3),AI$3&lt;=$U10,FALSE)),NA(),IF(Tools!AR7="  ",NA(),Tools!AR7))</f>
        <v>#N/A</v>
      </c>
      <c r="AJ10" s="469" t="e">
        <f ca="1">IF(OR(IF(ISNUMBER(AJ$2),AJ$2&gt;=$U10,FALSE),IF(ISNUMBER(AJ$3),AJ$3&lt;=$U10,FALSE)),NA(),IF(Tools!AS7="  ",NA(),Tools!AS7))</f>
        <v>#N/A</v>
      </c>
      <c r="AK10" s="469" t="e">
        <f ca="1">IF(OR(IF(ISNUMBER(AK$2),AK$2&gt;=$U10,FALSE),IF(ISNUMBER(AK$3),AK$3&lt;=$U10,FALSE)),NA(),IF(Tools!AT7="  ",NA(),Tools!AT7))</f>
        <v>#N/A</v>
      </c>
      <c r="AL10" s="469" t="e">
        <f ca="1">IF(OR(IF(ISNUMBER(AL$2),AL$2&gt;=$U10,FALSE),IF(ISNUMBER(AL$3),AL$3&lt;=$U10,FALSE)),NA(),IF(Tools!AU7="  ",NA(),Tools!AU7))</f>
        <v>#N/A</v>
      </c>
      <c r="AM10" s="469" t="e">
        <f ca="1">IF(OR(IF(ISNUMBER(AM$2),AM$2&gt;=$U10,FALSE),IF(ISNUMBER(AM$3),AM$3&lt;=$U10,FALSE)),NA(),IF(Tools!AV7="  ",NA(),Tools!AV7))</f>
        <v>#N/A</v>
      </c>
      <c r="AN10" s="469" t="e">
        <f ca="1">IF(OR(IF(ISNUMBER(AN$2),AN$2&gt;=$U10,FALSE),IF(ISNUMBER(AN$3),AN$3&lt;=$U10,FALSE)),NA(),IF(Tools!AW7="  ",NA(),Tools!AW7))</f>
        <v>#N/A</v>
      </c>
      <c r="AO10" s="469" t="e">
        <f ca="1">IF(OR(IF(ISNUMBER(AO$2),AO$2&gt;=$U10,FALSE),IF(ISNUMBER(AO$3),AO$3&lt;=$U10,FALSE)),NA(),IF(Tools!AX7="  ",NA(),Tools!AX7))</f>
        <v>#N/A</v>
      </c>
      <c r="AP10" s="469" t="e">
        <f ca="1">IF(OR(IF(ISNUMBER(AP$2),AP$2&gt;=$U10,FALSE),IF(ISNUMBER(AP$3),AP$3&lt;=$U10,FALSE)),NA(),IF(Tools!AY7="  ",NA(),Tools!AY7))</f>
        <v>#N/A</v>
      </c>
      <c r="AQ10" s="469" t="e">
        <f ca="1">IF(OR(IF(ISNUMBER(AQ$2),AQ$2&gt;=$U10,FALSE),IF(ISNUMBER(AQ$3),AQ$3&lt;=$U10,FALSE)),NA(),IF(Tools!AZ7="  ",NA(),Tools!AZ7))</f>
        <v>#N/A</v>
      </c>
      <c r="AR10" s="469" t="e">
        <f ca="1">IF(OR(IF(ISNUMBER(AR$2),AR$2&gt;=$U10,FALSE),IF(ISNUMBER(AR$3),AR$3&lt;=$U10,FALSE)),NA(),IF(Tools!BA7="  ",NA(),Tools!BA7))</f>
        <v>#N/A</v>
      </c>
      <c r="AS10" s="469" t="e">
        <f ca="1">IF(OR(IF(ISNUMBER(AS$2),AS$2&gt;=$U10,FALSE),IF(ISNUMBER(AS$3),AS$3&lt;=$U10,FALSE)),NA(),IF(Tools!BB7="  ",NA(),Tools!BB7))</f>
        <v>#N/A</v>
      </c>
      <c r="AT10" s="469" t="e">
        <f ca="1">IF(OR(IF(ISNUMBER(AT$2),AT$2&gt;=$U10,FALSE),IF(ISNUMBER(AT$3),AT$3&lt;=$U10,FALSE)),NA(),IF(Tools!BC7="  ",NA(),Tools!BC7))</f>
        <v>#N/A</v>
      </c>
    </row>
    <row r="11" spans="1:46" x14ac:dyDescent="0.25">
      <c r="A11">
        <f t="shared" si="4"/>
        <v>9.7200000000000006</v>
      </c>
      <c r="B11" s="108">
        <f>IFERROR(Tools!$BE8*WLS,NA())</f>
        <v>5.4</v>
      </c>
      <c r="C11" s="466">
        <f ca="1">IF(ISNUMBER('Graph tools'!F68),'Graph tools'!F68,NA())</f>
        <v>3.71</v>
      </c>
      <c r="D11" s="466"/>
      <c r="E11" s="466">
        <f t="shared" ca="1" si="5"/>
        <v>20.563401670463175</v>
      </c>
      <c r="F11" s="466">
        <f ca="1">IF(ISNUMBER('Graph tools'!G68),'Graph tools'!G68,NA())</f>
        <v>9</v>
      </c>
      <c r="G11" s="466">
        <f t="shared" ca="1" si="6"/>
        <v>1.3667425968109341</v>
      </c>
      <c r="H11" s="470"/>
      <c r="J11" s="63">
        <f>IFERROR(Tools!AD8*1,NA())</f>
        <v>3</v>
      </c>
      <c r="K11" s="63" t="str">
        <f>IF(ISNUMBER('Rise, etc.'!P9),'Rise, etc.'!P9,"-")</f>
        <v>-</v>
      </c>
      <c r="L11" s="63">
        <v>0</v>
      </c>
      <c r="M11" s="63">
        <f>IF(L11=0,0,VLOOKUP(Stn_WL,Tools!$AD$2:$BC$2,L11+1,FALSE)*WLS)</f>
        <v>0</v>
      </c>
      <c r="N11" s="465">
        <f t="shared" si="7"/>
        <v>0</v>
      </c>
      <c r="P11" s="467">
        <v>7</v>
      </c>
      <c r="Q11" s="467" t="e">
        <f t="shared" ca="1" si="0"/>
        <v>#N/A</v>
      </c>
      <c r="R11" s="467" t="e">
        <f t="shared" si="1"/>
        <v>#N/A</v>
      </c>
      <c r="S11" s="63" t="str">
        <f t="shared" ca="1" si="2"/>
        <v/>
      </c>
      <c r="U11" s="468">
        <f>IF(Tools!AD8="  ",NA(),Tools!AD8)</f>
        <v>3</v>
      </c>
      <c r="V11" s="469">
        <f ca="1">IF(OR(IF(ISNUMBER(V$2),V$2&gt;=$U11,FALSE),IF(ISNUMBER(V$3),V$3&lt;=$U11,FALSE)),NA(),IF(Tools!AE8="  ",NA(),Tools!AE8))</f>
        <v>0.3</v>
      </c>
      <c r="W11" s="469">
        <f ca="1">IF(OR(IF(ISNUMBER(W$2),W$2&gt;=$U11,FALSE),IF(ISNUMBER(W$3),W$3&lt;=$U11,FALSE)),NA(),IF(Tools!AF8="  ",NA(),Tools!AF8))</f>
        <v>1.67</v>
      </c>
      <c r="X11" s="469">
        <f ca="1">IF(OR(IF(ISNUMBER(X$2),X$2&gt;=$U11,FALSE),IF(ISNUMBER(X$3),X$3&lt;=$U11,FALSE)),NA(),IF(Tools!AG8="  ",NA(),Tools!AG8))</f>
        <v>2.2999999999999998</v>
      </c>
      <c r="Y11" s="469">
        <f ca="1">IF(OR(IF(ISNUMBER(Y$2),Y$2&gt;=$U11,FALSE),IF(ISNUMBER(Y$3),Y$3&lt;=$U11,FALSE)),NA(),IF(Tools!AH8="  ",NA(),Tools!AH8))</f>
        <v>2.7</v>
      </c>
      <c r="Z11" s="469">
        <f ca="1">IF(OR(IF(ISNUMBER(Z$2),Z$2&gt;=$U11,FALSE),IF(ISNUMBER(Z$3),Z$3&lt;=$U11,FALSE)),NA(),IF(Tools!AI8="  ",NA(),Tools!AI8))</f>
        <v>3.1</v>
      </c>
      <c r="AA11" s="469">
        <f ca="1">IF(OR(IF(ISNUMBER(AA$2),AA$2&gt;=$U11,FALSE),IF(ISNUMBER(AA$3),AA$3&lt;=$U11,FALSE)),NA(),IF(Tools!AJ8="  ",NA(),Tools!AJ8))</f>
        <v>5.7</v>
      </c>
      <c r="AB11" s="469">
        <f ca="1">IF(OR(IF(ISNUMBER(AB$2),AB$2&gt;=$U11,FALSE),IF(ISNUMBER(AB$3),AB$3&lt;=$U11,FALSE)),NA(),IF(Tools!AK8="  ",NA(),Tools!AK8))</f>
        <v>9.6999999999999993</v>
      </c>
      <c r="AC11" s="469">
        <f ca="1">IF(OR(IF(ISNUMBER(AC$2),AC$2&gt;=$U11,FALSE),IF(ISNUMBER(AC$3),AC$3&lt;=$U11,FALSE)),NA(),IF(Tools!AL8="  ",NA(),Tools!AL8))</f>
        <v>11.23</v>
      </c>
      <c r="AD11" s="469">
        <f ca="1">IF(OR(IF(ISNUMBER(AD$2),AD$2&gt;=$U11,FALSE),IF(ISNUMBER(AD$3),AD$3&lt;=$U11,FALSE)),NA(),IF(Tools!AM8="  ",NA(),Tools!AM8))</f>
        <v>11.7</v>
      </c>
      <c r="AE11" s="469">
        <f ca="1">IF(OR(IF(ISNUMBER(AE$2),AE$2&gt;=$U11,FALSE),IF(ISNUMBER(AE$3),AE$3&lt;=$U11,FALSE)),NA(),IF(Tools!AN8="  ",NA(),Tools!AN8))</f>
        <v>11.93</v>
      </c>
      <c r="AF11" s="469">
        <f ca="1">IF(OR(IF(ISNUMBER(AF$2),AF$2&gt;=$U11,FALSE),IF(ISNUMBER(AF$3),AF$3&lt;=$U11,FALSE)),NA(),IF(Tools!AO8="  ",NA(),Tools!AO8))</f>
        <v>12.21</v>
      </c>
      <c r="AG11" s="469">
        <f ca="1">IF(OR(IF(ISNUMBER(AG$2),AG$2&gt;=$U11,FALSE),IF(ISNUMBER(AG$3),AG$3&lt;=$U11,FALSE)),NA(),IF(Tools!AP8="  ",NA(),Tools!AP8))</f>
        <v>12.23</v>
      </c>
      <c r="AH11" s="469" t="e">
        <f ca="1">IF(OR(IF(ISNUMBER(AH$2),AH$2&gt;=$U11,FALSE),IF(ISNUMBER(AH$3),AH$3&lt;=$U11,FALSE)),NA(),IF(Tools!AQ8="  ",NA(),Tools!AQ8))</f>
        <v>#N/A</v>
      </c>
      <c r="AI11" s="469" t="e">
        <f ca="1">IF(OR(IF(ISNUMBER(AI$2),AI$2&gt;=$U11,FALSE),IF(ISNUMBER(AI$3),AI$3&lt;=$U11,FALSE)),NA(),IF(Tools!AR8="  ",NA(),Tools!AR8))</f>
        <v>#N/A</v>
      </c>
      <c r="AJ11" s="469" t="e">
        <f ca="1">IF(OR(IF(ISNUMBER(AJ$2),AJ$2&gt;=$U11,FALSE),IF(ISNUMBER(AJ$3),AJ$3&lt;=$U11,FALSE)),NA(),IF(Tools!AS8="  ",NA(),Tools!AS8))</f>
        <v>#N/A</v>
      </c>
      <c r="AK11" s="469" t="e">
        <f ca="1">IF(OR(IF(ISNUMBER(AK$2),AK$2&gt;=$U11,FALSE),IF(ISNUMBER(AK$3),AK$3&lt;=$U11,FALSE)),NA(),IF(Tools!AT8="  ",NA(),Tools!AT8))</f>
        <v>#N/A</v>
      </c>
      <c r="AL11" s="469" t="e">
        <f ca="1">IF(OR(IF(ISNUMBER(AL$2),AL$2&gt;=$U11,FALSE),IF(ISNUMBER(AL$3),AL$3&lt;=$U11,FALSE)),NA(),IF(Tools!AU8="  ",NA(),Tools!AU8))</f>
        <v>#N/A</v>
      </c>
      <c r="AM11" s="469" t="e">
        <f ca="1">IF(OR(IF(ISNUMBER(AM$2),AM$2&gt;=$U11,FALSE),IF(ISNUMBER(AM$3),AM$3&lt;=$U11,FALSE)),NA(),IF(Tools!AV8="  ",NA(),Tools!AV8))</f>
        <v>#N/A</v>
      </c>
      <c r="AN11" s="469" t="e">
        <f ca="1">IF(OR(IF(ISNUMBER(AN$2),AN$2&gt;=$U11,FALSE),IF(ISNUMBER(AN$3),AN$3&lt;=$U11,FALSE)),NA(),IF(Tools!AW8="  ",NA(),Tools!AW8))</f>
        <v>#N/A</v>
      </c>
      <c r="AO11" s="469" t="e">
        <f ca="1">IF(OR(IF(ISNUMBER(AO$2),AO$2&gt;=$U11,FALSE),IF(ISNUMBER(AO$3),AO$3&lt;=$U11,FALSE)),NA(),IF(Tools!AX8="  ",NA(),Tools!AX8))</f>
        <v>#N/A</v>
      </c>
      <c r="AP11" s="469" t="e">
        <f ca="1">IF(OR(IF(ISNUMBER(AP$2),AP$2&gt;=$U11,FALSE),IF(ISNUMBER(AP$3),AP$3&lt;=$U11,FALSE)),NA(),IF(Tools!AY8="  ",NA(),Tools!AY8))</f>
        <v>#N/A</v>
      </c>
      <c r="AQ11" s="469" t="e">
        <f ca="1">IF(OR(IF(ISNUMBER(AQ$2),AQ$2&gt;=$U11,FALSE),IF(ISNUMBER(AQ$3),AQ$3&lt;=$U11,FALSE)),NA(),IF(Tools!AZ8="  ",NA(),Tools!AZ8))</f>
        <v>#N/A</v>
      </c>
      <c r="AR11" s="469" t="e">
        <f ca="1">IF(OR(IF(ISNUMBER(AR$2),AR$2&gt;=$U11,FALSE),IF(ISNUMBER(AR$3),AR$3&lt;=$U11,FALSE)),NA(),IF(Tools!BA8="  ",NA(),Tools!BA8))</f>
        <v>#N/A</v>
      </c>
      <c r="AS11" s="469" t="e">
        <f ca="1">IF(OR(IF(ISNUMBER(AS$2),AS$2&gt;=$U11,FALSE),IF(ISNUMBER(AS$3),AS$3&lt;=$U11,FALSE)),NA(),IF(Tools!BB8="  ",NA(),Tools!BB8))</f>
        <v>#N/A</v>
      </c>
      <c r="AT11" s="469" t="e">
        <f ca="1">IF(OR(IF(ISNUMBER(AT$2),AT$2&gt;=$U11,FALSE),IF(ISNUMBER(AT$3),AT$3&lt;=$U11,FALSE)),NA(),IF(Tools!BC8="  ",NA(),Tools!BC8))</f>
        <v>#N/A</v>
      </c>
    </row>
    <row r="12" spans="1:46" x14ac:dyDescent="0.25">
      <c r="A12">
        <f t="shared" si="4"/>
        <v>12.96</v>
      </c>
      <c r="B12" s="108">
        <f>IFERROR(Tools!$BE9*WLS,NA())</f>
        <v>7.2</v>
      </c>
      <c r="C12" s="466">
        <f ca="1">IF(ISNUMBER('Graph tools'!F69),'Graph tools'!F69,NA())</f>
        <v>3.71</v>
      </c>
      <c r="D12" s="466"/>
      <c r="E12" s="466">
        <f t="shared" ca="1" si="5"/>
        <v>20.563401670463175</v>
      </c>
      <c r="F12" s="466">
        <f ca="1">IF(ISNUMBER('Graph tools'!G69),'Graph tools'!G69,NA())</f>
        <v>8.1999999999999993</v>
      </c>
      <c r="G12" s="466">
        <f t="shared" ca="1" si="6"/>
        <v>1.2452543659832955</v>
      </c>
      <c r="H12" s="470"/>
      <c r="J12" s="63">
        <f>IFERROR(Tools!AD9*1,NA())</f>
        <v>4</v>
      </c>
      <c r="K12" s="63" t="str">
        <f>IF(ISNUMBER('Rise, etc.'!P10),'Rise, etc.'!P10,"-")</f>
        <v>-</v>
      </c>
      <c r="L12" s="63">
        <v>0</v>
      </c>
      <c r="M12" s="63">
        <f>IF(L12=0,0,VLOOKUP(Stn_WL,Tools!$AD$2:$BC$2,L12+1,FALSE)*WLS)</f>
        <v>0</v>
      </c>
      <c r="N12" s="465">
        <f t="shared" si="7"/>
        <v>0</v>
      </c>
      <c r="P12" s="467">
        <v>8</v>
      </c>
      <c r="Q12" s="467" t="e">
        <f t="shared" ca="1" si="0"/>
        <v>#N/A</v>
      </c>
      <c r="R12" s="467" t="e">
        <f t="shared" si="1"/>
        <v>#N/A</v>
      </c>
      <c r="S12" s="63" t="str">
        <f t="shared" ca="1" si="2"/>
        <v/>
      </c>
      <c r="U12" s="468">
        <f>IF(Tools!AD9="  ",NA(),Tools!AD9)</f>
        <v>4</v>
      </c>
      <c r="V12" s="469">
        <f ca="1">IF(OR(IF(ISNUMBER(V$2),V$2&gt;=$U12,FALSE),IF(ISNUMBER(V$3),V$3&lt;=$U12,FALSE)),NA(),IF(Tools!AE9="  ",NA(),Tools!AE9))</f>
        <v>1</v>
      </c>
      <c r="W12" s="469">
        <f ca="1">IF(OR(IF(ISNUMBER(W$2),W$2&gt;=$U12,FALSE),IF(ISNUMBER(W$3),W$3&lt;=$U12,FALSE)),NA(),IF(Tools!AF9="  ",NA(),Tools!AF9))</f>
        <v>3.17</v>
      </c>
      <c r="X12" s="469">
        <f ca="1">IF(OR(IF(ISNUMBER(X$2),X$2&gt;=$U12,FALSE),IF(ISNUMBER(X$3),X$3&lt;=$U12,FALSE)),NA(),IF(Tools!AG9="  ",NA(),Tools!AG9))</f>
        <v>4.08</v>
      </c>
      <c r="Y12" s="469">
        <f ca="1">IF(OR(IF(ISNUMBER(Y$2),Y$2&gt;=$U12,FALSE),IF(ISNUMBER(Y$3),Y$3&lt;=$U12,FALSE)),NA(),IF(Tools!AH9="  ",NA(),Tools!AH9))</f>
        <v>4.8</v>
      </c>
      <c r="Z12" s="469">
        <f ca="1">IF(OR(IF(ISNUMBER(Z$2),Z$2&gt;=$U12,FALSE),IF(ISNUMBER(Z$3),Z$3&lt;=$U12,FALSE)),NA(),IF(Tools!AI9="  ",NA(),Tools!AI9))</f>
        <v>5.8</v>
      </c>
      <c r="AA12" s="469">
        <f ca="1">IF(OR(IF(ISNUMBER(AA$2),AA$2&gt;=$U12,FALSE),IF(ISNUMBER(AA$3),AA$3&lt;=$U12,FALSE)),NA(),IF(Tools!AJ9="  ",NA(),Tools!AJ9))</f>
        <v>9.1999999999999993</v>
      </c>
      <c r="AB12" s="469">
        <f ca="1">IF(OR(IF(ISNUMBER(AB$2),AB$2&gt;=$U12,FALSE),IF(ISNUMBER(AB$3),AB$3&lt;=$U12,FALSE)),NA(),IF(Tools!AK9="  ",NA(),Tools!AK9))</f>
        <v>11.17</v>
      </c>
      <c r="AC12" s="469">
        <f ca="1">IF(OR(IF(ISNUMBER(AC$2),AC$2&gt;=$U12,FALSE),IF(ISNUMBER(AC$3),AC$3&lt;=$U12,FALSE)),NA(),IF(Tools!AL9="  ",NA(),Tools!AL9))</f>
        <v>11.91</v>
      </c>
      <c r="AD12" s="469">
        <f ca="1">IF(OR(IF(ISNUMBER(AD$2),AD$2&gt;=$U12,FALSE),IF(ISNUMBER(AD$3),AD$3&lt;=$U12,FALSE)),NA(),IF(Tools!AM9="  ",NA(),Tools!AM9))</f>
        <v>12.14</v>
      </c>
      <c r="AE12" s="469">
        <f ca="1">IF(OR(IF(ISNUMBER(AE$2),AE$2&gt;=$U12,FALSE),IF(ISNUMBER(AE$3),AE$3&lt;=$U12,FALSE)),NA(),IF(Tools!AN9="  ",NA(),Tools!AN9))</f>
        <v>12.2</v>
      </c>
      <c r="AF12" s="469">
        <f ca="1">IF(OR(IF(ISNUMBER(AF$2),AF$2&gt;=$U12,FALSE),IF(ISNUMBER(AF$3),AF$3&lt;=$U12,FALSE)),NA(),IF(Tools!AO9="  ",NA(),Tools!AO9))</f>
        <v>12.25</v>
      </c>
      <c r="AG12" s="469">
        <f ca="1">IF(OR(IF(ISNUMBER(AG$2),AG$2&gt;=$U12,FALSE),IF(ISNUMBER(AG$3),AG$3&lt;=$U12,FALSE)),NA(),IF(Tools!AP9="  ",NA(),Tools!AP9))</f>
        <v>12.25</v>
      </c>
      <c r="AH12" s="469" t="e">
        <f ca="1">IF(OR(IF(ISNUMBER(AH$2),AH$2&gt;=$U12,FALSE),IF(ISNUMBER(AH$3),AH$3&lt;=$U12,FALSE)),NA(),IF(Tools!AQ9="  ",NA(),Tools!AQ9))</f>
        <v>#N/A</v>
      </c>
      <c r="AI12" s="469" t="e">
        <f ca="1">IF(OR(IF(ISNUMBER(AI$2),AI$2&gt;=$U12,FALSE),IF(ISNUMBER(AI$3),AI$3&lt;=$U12,FALSE)),NA(),IF(Tools!AR9="  ",NA(),Tools!AR9))</f>
        <v>#N/A</v>
      </c>
      <c r="AJ12" s="469" t="e">
        <f ca="1">IF(OR(IF(ISNUMBER(AJ$2),AJ$2&gt;=$U12,FALSE),IF(ISNUMBER(AJ$3),AJ$3&lt;=$U12,FALSE)),NA(),IF(Tools!AS9="  ",NA(),Tools!AS9))</f>
        <v>#N/A</v>
      </c>
      <c r="AK12" s="469" t="e">
        <f ca="1">IF(OR(IF(ISNUMBER(AK$2),AK$2&gt;=$U12,FALSE),IF(ISNUMBER(AK$3),AK$3&lt;=$U12,FALSE)),NA(),IF(Tools!AT9="  ",NA(),Tools!AT9))</f>
        <v>#N/A</v>
      </c>
      <c r="AL12" s="469" t="e">
        <f ca="1">IF(OR(IF(ISNUMBER(AL$2),AL$2&gt;=$U12,FALSE),IF(ISNUMBER(AL$3),AL$3&lt;=$U12,FALSE)),NA(),IF(Tools!AU9="  ",NA(),Tools!AU9))</f>
        <v>#N/A</v>
      </c>
      <c r="AM12" s="469" t="e">
        <f ca="1">IF(OR(IF(ISNUMBER(AM$2),AM$2&gt;=$U12,FALSE),IF(ISNUMBER(AM$3),AM$3&lt;=$U12,FALSE)),NA(),IF(Tools!AV9="  ",NA(),Tools!AV9))</f>
        <v>#N/A</v>
      </c>
      <c r="AN12" s="469" t="e">
        <f ca="1">IF(OR(IF(ISNUMBER(AN$2),AN$2&gt;=$U12,FALSE),IF(ISNUMBER(AN$3),AN$3&lt;=$U12,FALSE)),NA(),IF(Tools!AW9="  ",NA(),Tools!AW9))</f>
        <v>#N/A</v>
      </c>
      <c r="AO12" s="469" t="e">
        <f ca="1">IF(OR(IF(ISNUMBER(AO$2),AO$2&gt;=$U12,FALSE),IF(ISNUMBER(AO$3),AO$3&lt;=$U12,FALSE)),NA(),IF(Tools!AX9="  ",NA(),Tools!AX9))</f>
        <v>#N/A</v>
      </c>
      <c r="AP12" s="469" t="e">
        <f ca="1">IF(OR(IF(ISNUMBER(AP$2),AP$2&gt;=$U12,FALSE),IF(ISNUMBER(AP$3),AP$3&lt;=$U12,FALSE)),NA(),IF(Tools!AY9="  ",NA(),Tools!AY9))</f>
        <v>#N/A</v>
      </c>
      <c r="AQ12" s="469" t="e">
        <f ca="1">IF(OR(IF(ISNUMBER(AQ$2),AQ$2&gt;=$U12,FALSE),IF(ISNUMBER(AQ$3),AQ$3&lt;=$U12,FALSE)),NA(),IF(Tools!AZ9="  ",NA(),Tools!AZ9))</f>
        <v>#N/A</v>
      </c>
      <c r="AR12" s="469" t="e">
        <f ca="1">IF(OR(IF(ISNUMBER(AR$2),AR$2&gt;=$U12,FALSE),IF(ISNUMBER(AR$3),AR$3&lt;=$U12,FALSE)),NA(),IF(Tools!BA9="  ",NA(),Tools!BA9))</f>
        <v>#N/A</v>
      </c>
      <c r="AS12" s="469" t="e">
        <f ca="1">IF(OR(IF(ISNUMBER(AS$2),AS$2&gt;=$U12,FALSE),IF(ISNUMBER(AS$3),AS$3&lt;=$U12,FALSE)),NA(),IF(Tools!BB9="  ",NA(),Tools!BB9))</f>
        <v>#N/A</v>
      </c>
      <c r="AT12" s="469" t="e">
        <f ca="1">IF(OR(IF(ISNUMBER(AT$2),AT$2&gt;=$U12,FALSE),IF(ISNUMBER(AT$3),AT$3&lt;=$U12,FALSE)),NA(),IF(Tools!BC9="  ",NA(),Tools!BC9))</f>
        <v>#N/A</v>
      </c>
    </row>
    <row r="13" spans="1:46" x14ac:dyDescent="0.25">
      <c r="A13">
        <f t="shared" si="4"/>
        <v>16.2</v>
      </c>
      <c r="B13" s="108">
        <f>IFERROR(Tools!$BE10*WLS,NA())</f>
        <v>9</v>
      </c>
      <c r="C13" s="466">
        <f ca="1">IF(ISNUMBER('Graph tools'!F70),'Graph tools'!F70,NA())</f>
        <v>2.1</v>
      </c>
      <c r="D13" s="466"/>
      <c r="E13" s="466">
        <f t="shared" ca="1" si="5"/>
        <v>20.318906605922553</v>
      </c>
      <c r="F13" s="466">
        <f ca="1">IF(ISNUMBER('Graph tools'!G70),'Graph tools'!G70,NA())</f>
        <v>3.05</v>
      </c>
      <c r="G13" s="466">
        <f t="shared" ca="1" si="6"/>
        <v>0.46317388003037208</v>
      </c>
      <c r="H13" s="470"/>
      <c r="J13" s="63">
        <f>IFERROR(Tools!AD10*1,NA())</f>
        <v>5</v>
      </c>
      <c r="K13" s="63" t="str">
        <f>IF(ISNUMBER('Rise, etc.'!P11),'Rise, etc.'!P11,"-")</f>
        <v>-</v>
      </c>
      <c r="L13" s="63">
        <v>0</v>
      </c>
      <c r="M13" s="63">
        <f>IF(L13=0,0,VLOOKUP(Stn_WL,Tools!$AD$2:$BC$2,L13+1,FALSE)*WLS)</f>
        <v>0</v>
      </c>
      <c r="N13" s="465">
        <f t="shared" si="7"/>
        <v>0</v>
      </c>
      <c r="P13" s="467">
        <v>9</v>
      </c>
      <c r="Q13" s="467" t="e">
        <f t="shared" ca="1" si="0"/>
        <v>#N/A</v>
      </c>
      <c r="R13" s="467" t="e">
        <f t="shared" si="1"/>
        <v>#N/A</v>
      </c>
      <c r="S13" s="63" t="str">
        <f t="shared" ca="1" si="2"/>
        <v/>
      </c>
      <c r="U13" s="468">
        <f>IF(Tools!AD10="  ",NA(),Tools!AD10)</f>
        <v>5</v>
      </c>
      <c r="V13" s="469">
        <f ca="1">IF(OR(IF(ISNUMBER(V$2),V$2&gt;=$U13,FALSE),IF(ISNUMBER(V$3),V$3&lt;=$U13,FALSE)),NA(),IF(Tools!AE10="  ",NA(),Tools!AE10))</f>
        <v>1.62</v>
      </c>
      <c r="W13" s="469">
        <f ca="1">IF(OR(IF(ISNUMBER(W$2),W$2&gt;=$U13,FALSE),IF(ISNUMBER(W$3),W$3&lt;=$U13,FALSE)),NA(),IF(Tools!AF10="  ",NA(),Tools!AF10))</f>
        <v>4.8099999999999996</v>
      </c>
      <c r="X13" s="469">
        <f ca="1">IF(OR(IF(ISNUMBER(X$2),X$2&gt;=$U13,FALSE),IF(ISNUMBER(X$3),X$3&lt;=$U13,FALSE)),NA(),IF(Tools!AG10="  ",NA(),Tools!AG10))</f>
        <v>6.09</v>
      </c>
      <c r="Y13" s="469">
        <f ca="1">IF(OR(IF(ISNUMBER(Y$2),Y$2&gt;=$U13,FALSE),IF(ISNUMBER(Y$3),Y$3&lt;=$U13,FALSE)),NA(),IF(Tools!AH10="  ",NA(),Tools!AH10))</f>
        <v>7.37</v>
      </c>
      <c r="Z13" s="469">
        <f ca="1">IF(OR(IF(ISNUMBER(Z$2),Z$2&gt;=$U13,FALSE),IF(ISNUMBER(Z$3),Z$3&lt;=$U13,FALSE)),NA(),IF(Tools!AI10="  ",NA(),Tools!AI10))</f>
        <v>9.0299999999999994</v>
      </c>
      <c r="AA13" s="469">
        <f ca="1">IF(OR(IF(ISNUMBER(AA$2),AA$2&gt;=$U13,FALSE),IF(ISNUMBER(AA$3),AA$3&lt;=$U13,FALSE)),NA(),IF(Tools!AJ10="  ",NA(),Tools!AJ10))</f>
        <v>11.15</v>
      </c>
      <c r="AB13" s="469">
        <f ca="1">IF(OR(IF(ISNUMBER(AB$2),AB$2&gt;=$U13,FALSE),IF(ISNUMBER(AB$3),AB$3&lt;=$U13,FALSE)),NA(),IF(Tools!AK10="  ",NA(),Tools!AK10))</f>
        <v>11.95</v>
      </c>
      <c r="AC13" s="469">
        <f ca="1">IF(OR(IF(ISNUMBER(AC$2),AC$2&gt;=$U13,FALSE),IF(ISNUMBER(AC$3),AC$3&lt;=$U13,FALSE)),NA(),IF(Tools!AL10="  ",NA(),Tools!AL10))</f>
        <v>12.22</v>
      </c>
      <c r="AD13" s="469">
        <f ca="1">IF(OR(IF(ISNUMBER(AD$2),AD$2&gt;=$U13,FALSE),IF(ISNUMBER(AD$3),AD$3&lt;=$U13,FALSE)),NA(),IF(Tools!AM10="  ",NA(),Tools!AM10))</f>
        <v>12.25</v>
      </c>
      <c r="AE13" s="469">
        <f ca="1">IF(OR(IF(ISNUMBER(AE$2),AE$2&gt;=$U13,FALSE),IF(ISNUMBER(AE$3),AE$3&lt;=$U13,FALSE)),NA(),IF(Tools!AN10="  ",NA(),Tools!AN10))</f>
        <v>12.25</v>
      </c>
      <c r="AF13" s="469">
        <f ca="1">IF(OR(IF(ISNUMBER(AF$2),AF$2&gt;=$U13,FALSE),IF(ISNUMBER(AF$3),AF$3&lt;=$U13,FALSE)),NA(),IF(Tools!AO10="  ",NA(),Tools!AO10))</f>
        <v>12.25</v>
      </c>
      <c r="AG13" s="469">
        <f ca="1">IF(OR(IF(ISNUMBER(AG$2),AG$2&gt;=$U13,FALSE),IF(ISNUMBER(AG$3),AG$3&lt;=$U13,FALSE)),NA(),IF(Tools!AP10="  ",NA(),Tools!AP10))</f>
        <v>12.25</v>
      </c>
      <c r="AH13" s="469" t="e">
        <f ca="1">IF(OR(IF(ISNUMBER(AH$2),AH$2&gt;=$U13,FALSE),IF(ISNUMBER(AH$3),AH$3&lt;=$U13,FALSE)),NA(),IF(Tools!AQ10="  ",NA(),Tools!AQ10))</f>
        <v>#N/A</v>
      </c>
      <c r="AI13" s="469" t="e">
        <f ca="1">IF(OR(IF(ISNUMBER(AI$2),AI$2&gt;=$U13,FALSE),IF(ISNUMBER(AI$3),AI$3&lt;=$U13,FALSE)),NA(),IF(Tools!AR10="  ",NA(),Tools!AR10))</f>
        <v>#N/A</v>
      </c>
      <c r="AJ13" s="469" t="e">
        <f ca="1">IF(OR(IF(ISNUMBER(AJ$2),AJ$2&gt;=$U13,FALSE),IF(ISNUMBER(AJ$3),AJ$3&lt;=$U13,FALSE)),NA(),IF(Tools!AS10="  ",NA(),Tools!AS10))</f>
        <v>#N/A</v>
      </c>
      <c r="AK13" s="469" t="e">
        <f ca="1">IF(OR(IF(ISNUMBER(AK$2),AK$2&gt;=$U13,FALSE),IF(ISNUMBER(AK$3),AK$3&lt;=$U13,FALSE)),NA(),IF(Tools!AT10="  ",NA(),Tools!AT10))</f>
        <v>#N/A</v>
      </c>
      <c r="AL13" s="469" t="e">
        <f ca="1">IF(OR(IF(ISNUMBER(AL$2),AL$2&gt;=$U13,FALSE),IF(ISNUMBER(AL$3),AL$3&lt;=$U13,FALSE)),NA(),IF(Tools!AU10="  ",NA(),Tools!AU10))</f>
        <v>#N/A</v>
      </c>
      <c r="AM13" s="469" t="e">
        <f ca="1">IF(OR(IF(ISNUMBER(AM$2),AM$2&gt;=$U13,FALSE),IF(ISNUMBER(AM$3),AM$3&lt;=$U13,FALSE)),NA(),IF(Tools!AV10="  ",NA(),Tools!AV10))</f>
        <v>#N/A</v>
      </c>
      <c r="AN13" s="469" t="e">
        <f ca="1">IF(OR(IF(ISNUMBER(AN$2),AN$2&gt;=$U13,FALSE),IF(ISNUMBER(AN$3),AN$3&lt;=$U13,FALSE)),NA(),IF(Tools!AW10="  ",NA(),Tools!AW10))</f>
        <v>#N/A</v>
      </c>
      <c r="AO13" s="469" t="e">
        <f ca="1">IF(OR(IF(ISNUMBER(AO$2),AO$2&gt;=$U13,FALSE),IF(ISNUMBER(AO$3),AO$3&lt;=$U13,FALSE)),NA(),IF(Tools!AX10="  ",NA(),Tools!AX10))</f>
        <v>#N/A</v>
      </c>
      <c r="AP13" s="469" t="e">
        <f ca="1">IF(OR(IF(ISNUMBER(AP$2),AP$2&gt;=$U13,FALSE),IF(ISNUMBER(AP$3),AP$3&lt;=$U13,FALSE)),NA(),IF(Tools!AY10="  ",NA(),Tools!AY10))</f>
        <v>#N/A</v>
      </c>
      <c r="AQ13" s="469" t="e">
        <f ca="1">IF(OR(IF(ISNUMBER(AQ$2),AQ$2&gt;=$U13,FALSE),IF(ISNUMBER(AQ$3),AQ$3&lt;=$U13,FALSE)),NA(),IF(Tools!AZ10="  ",NA(),Tools!AZ10))</f>
        <v>#N/A</v>
      </c>
      <c r="AR13" s="469" t="e">
        <f ca="1">IF(OR(IF(ISNUMBER(AR$2),AR$2&gt;=$U13,FALSE),IF(ISNUMBER(AR$3),AR$3&lt;=$U13,FALSE)),NA(),IF(Tools!BA10="  ",NA(),Tools!BA10))</f>
        <v>#N/A</v>
      </c>
      <c r="AS13" s="469" t="e">
        <f ca="1">IF(OR(IF(ISNUMBER(AS$2),AS$2&gt;=$U13,FALSE),IF(ISNUMBER(AS$3),AS$3&lt;=$U13,FALSE)),NA(),IF(Tools!BB10="  ",NA(),Tools!BB10))</f>
        <v>#N/A</v>
      </c>
      <c r="AT13" s="469" t="e">
        <f ca="1">IF(OR(IF(ISNUMBER(AT$2),AT$2&gt;=$U13,FALSE),IF(ISNUMBER(AT$3),AT$3&lt;=$U13,FALSE)),NA(),IF(Tools!BC10="  ",NA(),Tools!BC10))</f>
        <v>#N/A</v>
      </c>
    </row>
    <row r="14" spans="1:46" x14ac:dyDescent="0.25">
      <c r="A14">
        <f t="shared" si="4"/>
        <v>18.18</v>
      </c>
      <c r="B14" s="108">
        <f>IFERROR(Tools!$BE11*WLS,NA())</f>
        <v>10.1</v>
      </c>
      <c r="C14" s="466">
        <f ca="1">IF(ISNUMBER('Graph tools'!F71),'Graph tools'!F71,NA())</f>
        <v>-0.1</v>
      </c>
      <c r="D14" s="466"/>
      <c r="E14" s="466">
        <f t="shared" ca="1" si="5"/>
        <v>19.984813971146547</v>
      </c>
      <c r="F14" s="466">
        <f ca="1">IF(ISNUMBER('Graph tools'!G71),'Graph tools'!G71,NA())</f>
        <v>-1.1000000000000001</v>
      </c>
      <c r="G14" s="466">
        <f t="shared" ca="1" si="6"/>
        <v>-0.16704631738800307</v>
      </c>
      <c r="H14" s="470"/>
      <c r="J14" s="63">
        <f>IFERROR(Tools!AD11*1,NA())</f>
        <v>6</v>
      </c>
      <c r="K14" s="63" t="str">
        <f>IF(ISNUMBER('Rise, etc.'!P12),'Rise, etc.'!P12,"-")</f>
        <v>-</v>
      </c>
      <c r="L14" s="63">
        <v>0</v>
      </c>
      <c r="M14" s="63">
        <f>IF(L14=0,0,VLOOKUP(Stn_WL,Tools!$AD$2:$BC$2,L14+1,FALSE)*WLS)</f>
        <v>0</v>
      </c>
      <c r="N14" s="465">
        <f t="shared" si="7"/>
        <v>0</v>
      </c>
      <c r="P14" s="467">
        <v>10</v>
      </c>
      <c r="Q14" s="467" t="e">
        <f t="shared" ca="1" si="0"/>
        <v>#N/A</v>
      </c>
      <c r="R14" s="467" t="e">
        <f t="shared" si="1"/>
        <v>#N/A</v>
      </c>
      <c r="S14" s="63" t="str">
        <f t="shared" ca="1" si="2"/>
        <v/>
      </c>
      <c r="U14" s="468">
        <f>IF(Tools!AD11="  ",NA(),Tools!AD11)</f>
        <v>6</v>
      </c>
      <c r="V14" s="469">
        <f ca="1">IF(OR(IF(ISNUMBER(V$2),V$2&gt;=$U14,FALSE),IF(ISNUMBER(V$3),V$3&lt;=$U14,FALSE)),NA(),IF(Tools!AE11="  ",NA(),Tools!AE11))</f>
        <v>2.2000000000000002</v>
      </c>
      <c r="W14" s="469">
        <f ca="1">IF(OR(IF(ISNUMBER(W$2),W$2&gt;=$U14,FALSE),IF(ISNUMBER(W$3),W$3&lt;=$U14,FALSE)),NA(),IF(Tools!AF11="  ",NA(),Tools!AF11))</f>
        <v>6.59</v>
      </c>
      <c r="X14" s="469">
        <f ca="1">IF(OR(IF(ISNUMBER(X$2),X$2&gt;=$U14,FALSE),IF(ISNUMBER(X$3),X$3&lt;=$U14,FALSE)),NA(),IF(Tools!AG11="  ",NA(),Tools!AG11))</f>
        <v>8.34</v>
      </c>
      <c r="Y14" s="469">
        <f ca="1">IF(OR(IF(ISNUMBER(Y$2),Y$2&gt;=$U14,FALSE),IF(ISNUMBER(Y$3),Y$3&lt;=$U14,FALSE)),NA(),IF(Tools!AH11="  ",NA(),Tools!AH11))</f>
        <v>9.82</v>
      </c>
      <c r="Z14" s="469">
        <f ca="1">IF(OR(IF(ISNUMBER(Z$2),Z$2&gt;=$U14,FALSE),IF(ISNUMBER(Z$3),Z$3&lt;=$U14,FALSE)),NA(),IF(Tools!AI11="  ",NA(),Tools!AI11))</f>
        <v>10.92</v>
      </c>
      <c r="AA14" s="469">
        <f ca="1">IF(OR(IF(ISNUMBER(AA$2),AA$2&gt;=$U14,FALSE),IF(ISNUMBER(AA$3),AA$3&lt;=$U14,FALSE)),NA(),IF(Tools!AJ11="  ",NA(),Tools!AJ11))</f>
        <v>11.97</v>
      </c>
      <c r="AB14" s="469">
        <f ca="1">IF(OR(IF(ISNUMBER(AB$2),AB$2&gt;=$U14,FALSE),IF(ISNUMBER(AB$3),AB$3&lt;=$U14,FALSE)),NA(),IF(Tools!AK11="  ",NA(),Tools!AK11))</f>
        <v>12.25</v>
      </c>
      <c r="AC14" s="469">
        <f ca="1">IF(OR(IF(ISNUMBER(AC$2),AC$2&gt;=$U14,FALSE),IF(ISNUMBER(AC$3),AC$3&lt;=$U14,FALSE)),NA(),IF(Tools!AL11="  ",NA(),Tools!AL11))</f>
        <v>12.25</v>
      </c>
      <c r="AD14" s="469">
        <f ca="1">IF(OR(IF(ISNUMBER(AD$2),AD$2&gt;=$U14,FALSE),IF(ISNUMBER(AD$3),AD$3&lt;=$U14,FALSE)),NA(),IF(Tools!AM11="  ",NA(),Tools!AM11))</f>
        <v>12.25</v>
      </c>
      <c r="AE14" s="469">
        <f ca="1">IF(OR(IF(ISNUMBER(AE$2),AE$2&gt;=$U14,FALSE),IF(ISNUMBER(AE$3),AE$3&lt;=$U14,FALSE)),NA(),IF(Tools!AN11="  ",NA(),Tools!AN11))</f>
        <v>12.25</v>
      </c>
      <c r="AF14" s="469">
        <f ca="1">IF(OR(IF(ISNUMBER(AF$2),AF$2&gt;=$U14,FALSE),IF(ISNUMBER(AF$3),AF$3&lt;=$U14,FALSE)),NA(),IF(Tools!AO11="  ",NA(),Tools!AO11))</f>
        <v>12.25</v>
      </c>
      <c r="AG14" s="469">
        <f ca="1">IF(OR(IF(ISNUMBER(AG$2),AG$2&gt;=$U14,FALSE),IF(ISNUMBER(AG$3),AG$3&lt;=$U14,FALSE)),NA(),IF(Tools!AP11="  ",NA(),Tools!AP11))</f>
        <v>12.25</v>
      </c>
      <c r="AH14" s="469" t="e">
        <f ca="1">IF(OR(IF(ISNUMBER(AH$2),AH$2&gt;=$U14,FALSE),IF(ISNUMBER(AH$3),AH$3&lt;=$U14,FALSE)),NA(),IF(Tools!AQ11="  ",NA(),Tools!AQ11))</f>
        <v>#N/A</v>
      </c>
      <c r="AI14" s="469" t="e">
        <f ca="1">IF(OR(IF(ISNUMBER(AI$2),AI$2&gt;=$U14,FALSE),IF(ISNUMBER(AI$3),AI$3&lt;=$U14,FALSE)),NA(),IF(Tools!AR11="  ",NA(),Tools!AR11))</f>
        <v>#N/A</v>
      </c>
      <c r="AJ14" s="469" t="e">
        <f ca="1">IF(OR(IF(ISNUMBER(AJ$2),AJ$2&gt;=$U14,FALSE),IF(ISNUMBER(AJ$3),AJ$3&lt;=$U14,FALSE)),NA(),IF(Tools!AS11="  ",NA(),Tools!AS11))</f>
        <v>#N/A</v>
      </c>
      <c r="AK14" s="469" t="e">
        <f ca="1">IF(OR(IF(ISNUMBER(AK$2),AK$2&gt;=$U14,FALSE),IF(ISNUMBER(AK$3),AK$3&lt;=$U14,FALSE)),NA(),IF(Tools!AT11="  ",NA(),Tools!AT11))</f>
        <v>#N/A</v>
      </c>
      <c r="AL14" s="469" t="e">
        <f ca="1">IF(OR(IF(ISNUMBER(AL$2),AL$2&gt;=$U14,FALSE),IF(ISNUMBER(AL$3),AL$3&lt;=$U14,FALSE)),NA(),IF(Tools!AU11="  ",NA(),Tools!AU11))</f>
        <v>#N/A</v>
      </c>
      <c r="AM14" s="469" t="e">
        <f ca="1">IF(OR(IF(ISNUMBER(AM$2),AM$2&gt;=$U14,FALSE),IF(ISNUMBER(AM$3),AM$3&lt;=$U14,FALSE)),NA(),IF(Tools!AV11="  ",NA(),Tools!AV11))</f>
        <v>#N/A</v>
      </c>
      <c r="AN14" s="469" t="e">
        <f ca="1">IF(OR(IF(ISNUMBER(AN$2),AN$2&gt;=$U14,FALSE),IF(ISNUMBER(AN$3),AN$3&lt;=$U14,FALSE)),NA(),IF(Tools!AW11="  ",NA(),Tools!AW11))</f>
        <v>#N/A</v>
      </c>
      <c r="AO14" s="469" t="e">
        <f ca="1">IF(OR(IF(ISNUMBER(AO$2),AO$2&gt;=$U14,FALSE),IF(ISNUMBER(AO$3),AO$3&lt;=$U14,FALSE)),NA(),IF(Tools!AX11="  ",NA(),Tools!AX11))</f>
        <v>#N/A</v>
      </c>
      <c r="AP14" s="469" t="e">
        <f ca="1">IF(OR(IF(ISNUMBER(AP$2),AP$2&gt;=$U14,FALSE),IF(ISNUMBER(AP$3),AP$3&lt;=$U14,FALSE)),NA(),IF(Tools!AY11="  ",NA(),Tools!AY11))</f>
        <v>#N/A</v>
      </c>
      <c r="AQ14" s="469" t="e">
        <f ca="1">IF(OR(IF(ISNUMBER(AQ$2),AQ$2&gt;=$U14,FALSE),IF(ISNUMBER(AQ$3),AQ$3&lt;=$U14,FALSE)),NA(),IF(Tools!AZ11="  ",NA(),Tools!AZ11))</f>
        <v>#N/A</v>
      </c>
      <c r="AR14" s="469" t="e">
        <f ca="1">IF(OR(IF(ISNUMBER(AR$2),AR$2&gt;=$U14,FALSE),IF(ISNUMBER(AR$3),AR$3&lt;=$U14,FALSE)),NA(),IF(Tools!BA11="  ",NA(),Tools!BA11))</f>
        <v>#N/A</v>
      </c>
      <c r="AS14" s="469" t="e">
        <f ca="1">IF(OR(IF(ISNUMBER(AS$2),AS$2&gt;=$U14,FALSE),IF(ISNUMBER(AS$3),AS$3&lt;=$U14,FALSE)),NA(),IF(Tools!BB11="  ",NA(),Tools!BB11))</f>
        <v>#N/A</v>
      </c>
      <c r="AT14" s="469" t="e">
        <f ca="1">IF(OR(IF(ISNUMBER(AT$2),AT$2&gt;=$U14,FALSE),IF(ISNUMBER(AT$3),AT$3&lt;=$U14,FALSE)),NA(),IF(Tools!BC11="  ",NA(),Tools!BC11))</f>
        <v>#N/A</v>
      </c>
    </row>
    <row r="15" spans="1:46" x14ac:dyDescent="0.25">
      <c r="A15">
        <f t="shared" si="4"/>
        <v>19.440000000000001</v>
      </c>
      <c r="B15" s="108">
        <f>IFERROR(Tools!$BE12*WLS,NA())</f>
        <v>10.8</v>
      </c>
      <c r="C15" s="466">
        <f ca="1">IF(ISNUMBER('Graph tools'!F72),'Graph tools'!F72,NA())</f>
        <v>0.5</v>
      </c>
      <c r="D15" s="466"/>
      <c r="E15" s="466">
        <f t="shared" ca="1" si="5"/>
        <v>20.075930144267275</v>
      </c>
      <c r="F15" s="466">
        <f ca="1">IF(ISNUMBER('Graph tools'!G72),'Graph tools'!G72,NA())</f>
        <v>-3.9</v>
      </c>
      <c r="G15" s="466">
        <f t="shared" ca="1" si="6"/>
        <v>-0.59225512528473812</v>
      </c>
      <c r="H15" s="470"/>
      <c r="J15" s="63">
        <f>IFERROR(Tools!AD12*1,NA())</f>
        <v>7</v>
      </c>
      <c r="K15" s="63" t="str">
        <f>IF(ISNUMBER('Rise, etc.'!P13),'Rise, etc.'!P13,"-")</f>
        <v>-</v>
      </c>
      <c r="L15" s="63">
        <v>0</v>
      </c>
      <c r="M15" s="63">
        <f>IF(L15=0,0,VLOOKUP(Stn_WL,Tools!$AD$2:$BC$2,L15+1,FALSE)*WLS)</f>
        <v>0</v>
      </c>
      <c r="N15" s="465">
        <f t="shared" si="7"/>
        <v>0</v>
      </c>
      <c r="P15" s="467">
        <v>11</v>
      </c>
      <c r="Q15" s="467" t="e">
        <f t="shared" ca="1" si="0"/>
        <v>#N/A</v>
      </c>
      <c r="R15" s="467" t="e">
        <f t="shared" si="1"/>
        <v>#N/A</v>
      </c>
      <c r="S15" s="63" t="str">
        <f t="shared" ca="1" si="2"/>
        <v/>
      </c>
      <c r="U15" s="468">
        <f>IF(Tools!AD12="  ",NA(),Tools!AD12)</f>
        <v>7</v>
      </c>
      <c r="V15" s="469">
        <f ca="1">IF(OR(IF(ISNUMBER(V$2),V$2&gt;=$U15,FALSE),IF(ISNUMBER(V$3),V$3&lt;=$U15,FALSE)),NA(),IF(Tools!AE12="  ",NA(),Tools!AE12))</f>
        <v>3.71</v>
      </c>
      <c r="W15" s="469">
        <f ca="1">IF(OR(IF(ISNUMBER(W$2),W$2&gt;=$U15,FALSE),IF(ISNUMBER(W$3),W$3&lt;=$U15,FALSE)),NA(),IF(Tools!AF12="  ",NA(),Tools!AF12))</f>
        <v>8.58</v>
      </c>
      <c r="X15" s="469">
        <f ca="1">IF(OR(IF(ISNUMBER(X$2),X$2&gt;=$U15,FALSE),IF(ISNUMBER(X$3),X$3&lt;=$U15,FALSE)),NA(),IF(Tools!AG12="  ",NA(),Tools!AG12))</f>
        <v>10.26</v>
      </c>
      <c r="Y15" s="469">
        <f ca="1">IF(OR(IF(ISNUMBER(Y$2),Y$2&gt;=$U15,FALSE),IF(ISNUMBER(Y$3),Y$3&lt;=$U15,FALSE)),NA(),IF(Tools!AH12="  ",NA(),Tools!AH12))</f>
        <v>11.25</v>
      </c>
      <c r="Z15" s="469">
        <f ca="1">IF(OR(IF(ISNUMBER(Z$2),Z$2&gt;=$U15,FALSE),IF(ISNUMBER(Z$3),Z$3&lt;=$U15,FALSE)),NA(),IF(Tools!AI12="  ",NA(),Tools!AI12))</f>
        <v>11.86</v>
      </c>
      <c r="AA15" s="469">
        <f ca="1">IF(OR(IF(ISNUMBER(AA$2),AA$2&gt;=$U15,FALSE),IF(ISNUMBER(AA$3),AA$3&lt;=$U15,FALSE)),NA(),IF(Tools!AJ12="  ",NA(),Tools!AJ12))</f>
        <v>12.25</v>
      </c>
      <c r="AB15" s="469">
        <f ca="1">IF(OR(IF(ISNUMBER(AB$2),AB$2&gt;=$U15,FALSE),IF(ISNUMBER(AB$3),AB$3&lt;=$U15,FALSE)),NA(),IF(Tools!AK12="  ",NA(),Tools!AK12))</f>
        <v>12.25</v>
      </c>
      <c r="AC15" s="469">
        <f ca="1">IF(OR(IF(ISNUMBER(AC$2),AC$2&gt;=$U15,FALSE),IF(ISNUMBER(AC$3),AC$3&lt;=$U15,FALSE)),NA(),IF(Tools!AL12="  ",NA(),Tools!AL12))</f>
        <v>12.25</v>
      </c>
      <c r="AD15" s="469">
        <f ca="1">IF(OR(IF(ISNUMBER(AD$2),AD$2&gt;=$U15,FALSE),IF(ISNUMBER(AD$3),AD$3&lt;=$U15,FALSE)),NA(),IF(Tools!AM12="  ",NA(),Tools!AM12))</f>
        <v>12.25</v>
      </c>
      <c r="AE15" s="469">
        <f ca="1">IF(OR(IF(ISNUMBER(AE$2),AE$2&gt;=$U15,FALSE),IF(ISNUMBER(AE$3),AE$3&lt;=$U15,FALSE)),NA(),IF(Tools!AN12="  ",NA(),Tools!AN12))</f>
        <v>12.25</v>
      </c>
      <c r="AF15" s="469">
        <f ca="1">IF(OR(IF(ISNUMBER(AF$2),AF$2&gt;=$U15,FALSE),IF(ISNUMBER(AF$3),AF$3&lt;=$U15,FALSE)),NA(),IF(Tools!AO12="  ",NA(),Tools!AO12))</f>
        <v>12.25</v>
      </c>
      <c r="AG15" s="469">
        <f ca="1">IF(OR(IF(ISNUMBER(AG$2),AG$2&gt;=$U15,FALSE),IF(ISNUMBER(AG$3),AG$3&lt;=$U15,FALSE)),NA(),IF(Tools!AP12="  ",NA(),Tools!AP12))</f>
        <v>12.25</v>
      </c>
      <c r="AH15" s="469" t="e">
        <f ca="1">IF(OR(IF(ISNUMBER(AH$2),AH$2&gt;=$U15,FALSE),IF(ISNUMBER(AH$3),AH$3&lt;=$U15,FALSE)),NA(),IF(Tools!AQ12="  ",NA(),Tools!AQ12))</f>
        <v>#N/A</v>
      </c>
      <c r="AI15" s="469" t="e">
        <f ca="1">IF(OR(IF(ISNUMBER(AI$2),AI$2&gt;=$U15,FALSE),IF(ISNUMBER(AI$3),AI$3&lt;=$U15,FALSE)),NA(),IF(Tools!AR12="  ",NA(),Tools!AR12))</f>
        <v>#N/A</v>
      </c>
      <c r="AJ15" s="469" t="e">
        <f ca="1">IF(OR(IF(ISNUMBER(AJ$2),AJ$2&gt;=$U15,FALSE),IF(ISNUMBER(AJ$3),AJ$3&lt;=$U15,FALSE)),NA(),IF(Tools!AS12="  ",NA(),Tools!AS12))</f>
        <v>#N/A</v>
      </c>
      <c r="AK15" s="469" t="e">
        <f ca="1">IF(OR(IF(ISNUMBER(AK$2),AK$2&gt;=$U15,FALSE),IF(ISNUMBER(AK$3),AK$3&lt;=$U15,FALSE)),NA(),IF(Tools!AT12="  ",NA(),Tools!AT12))</f>
        <v>#N/A</v>
      </c>
      <c r="AL15" s="469" t="e">
        <f ca="1">IF(OR(IF(ISNUMBER(AL$2),AL$2&gt;=$U15,FALSE),IF(ISNUMBER(AL$3),AL$3&lt;=$U15,FALSE)),NA(),IF(Tools!AU12="  ",NA(),Tools!AU12))</f>
        <v>#N/A</v>
      </c>
      <c r="AM15" s="469" t="e">
        <f ca="1">IF(OR(IF(ISNUMBER(AM$2),AM$2&gt;=$U15,FALSE),IF(ISNUMBER(AM$3),AM$3&lt;=$U15,FALSE)),NA(),IF(Tools!AV12="  ",NA(),Tools!AV12))</f>
        <v>#N/A</v>
      </c>
      <c r="AN15" s="469" t="e">
        <f ca="1">IF(OR(IF(ISNUMBER(AN$2),AN$2&gt;=$U15,FALSE),IF(ISNUMBER(AN$3),AN$3&lt;=$U15,FALSE)),NA(),IF(Tools!AW12="  ",NA(),Tools!AW12))</f>
        <v>#N/A</v>
      </c>
      <c r="AO15" s="469" t="e">
        <f ca="1">IF(OR(IF(ISNUMBER(AO$2),AO$2&gt;=$U15,FALSE),IF(ISNUMBER(AO$3),AO$3&lt;=$U15,FALSE)),NA(),IF(Tools!AX12="  ",NA(),Tools!AX12))</f>
        <v>#N/A</v>
      </c>
      <c r="AP15" s="469" t="e">
        <f ca="1">IF(OR(IF(ISNUMBER(AP$2),AP$2&gt;=$U15,FALSE),IF(ISNUMBER(AP$3),AP$3&lt;=$U15,FALSE)),NA(),IF(Tools!AY12="  ",NA(),Tools!AY12))</f>
        <v>#N/A</v>
      </c>
      <c r="AQ15" s="469" t="e">
        <f ca="1">IF(OR(IF(ISNUMBER(AQ$2),AQ$2&gt;=$U15,FALSE),IF(ISNUMBER(AQ$3),AQ$3&lt;=$U15,FALSE)),NA(),IF(Tools!AZ12="  ",NA(),Tools!AZ12))</f>
        <v>#N/A</v>
      </c>
      <c r="AR15" s="469" t="e">
        <f ca="1">IF(OR(IF(ISNUMBER(AR$2),AR$2&gt;=$U15,FALSE),IF(ISNUMBER(AR$3),AR$3&lt;=$U15,FALSE)),NA(),IF(Tools!BA12="  ",NA(),Tools!BA12))</f>
        <v>#N/A</v>
      </c>
      <c r="AS15" s="469" t="e">
        <f ca="1">IF(OR(IF(ISNUMBER(AS$2),AS$2&gt;=$U15,FALSE),IF(ISNUMBER(AS$3),AS$3&lt;=$U15,FALSE)),NA(),IF(Tools!BB12="  ",NA(),Tools!BB12))</f>
        <v>#N/A</v>
      </c>
      <c r="AT15" s="469" t="e">
        <f ca="1">IF(OR(IF(ISNUMBER(AT$2),AT$2&gt;=$U15,FALSE),IF(ISNUMBER(AT$3),AT$3&lt;=$U15,FALSE)),NA(),IF(Tools!BC12="  ",NA(),Tools!BC12))</f>
        <v>#N/A</v>
      </c>
    </row>
    <row r="16" spans="1:46" x14ac:dyDescent="0.25">
      <c r="A16">
        <f t="shared" si="4"/>
        <v>22.68</v>
      </c>
      <c r="B16" s="108">
        <f>IFERROR(Tools!$BE13*WLS,NA())</f>
        <v>12.6</v>
      </c>
      <c r="C16" s="466">
        <f ca="1">IF(ISNUMBER('Graph tools'!F73),'Graph tools'!F73,NA())</f>
        <v>2</v>
      </c>
      <c r="D16" s="466"/>
      <c r="E16" s="466">
        <f t="shared" ca="1" si="5"/>
        <v>20.303720577069097</v>
      </c>
      <c r="F16" s="466">
        <f ca="1">IF(ISNUMBER('Graph tools'!G73),'Graph tools'!G73,NA())</f>
        <v>-5.3</v>
      </c>
      <c r="G16" s="466">
        <f t="shared" ca="1" si="6"/>
        <v>-0.80485952923310566</v>
      </c>
      <c r="H16" s="470"/>
      <c r="J16" s="63">
        <f>IFERROR(Tools!AD13*1,NA())</f>
        <v>8</v>
      </c>
      <c r="K16" s="63" t="str">
        <f>IF(ISNUMBER('Rise, etc.'!P14),'Rise, etc.'!P14,"-")</f>
        <v>-</v>
      </c>
      <c r="L16" s="63">
        <v>0</v>
      </c>
      <c r="M16" s="63">
        <f>IF(L16=0,0,VLOOKUP(Stn_WL,Tools!$AD$2:$BC$2,L16+1,FALSE)*WLS)</f>
        <v>0</v>
      </c>
      <c r="N16" s="465">
        <f t="shared" si="7"/>
        <v>0</v>
      </c>
      <c r="P16" s="467">
        <v>12</v>
      </c>
      <c r="Q16" s="467" t="e">
        <f t="shared" ca="1" si="0"/>
        <v>#N/A</v>
      </c>
      <c r="R16" s="467" t="e">
        <f t="shared" si="1"/>
        <v>#N/A</v>
      </c>
      <c r="S16" s="63" t="str">
        <f t="shared" ca="1" si="2"/>
        <v/>
      </c>
      <c r="U16" s="468">
        <f>IF(Tools!AD13="  ",NA(),Tools!AD13)</f>
        <v>8</v>
      </c>
      <c r="V16" s="469">
        <f ca="1">IF(OR(IF(ISNUMBER(V$2),V$2&gt;=$U16,FALSE),IF(ISNUMBER(V$3),V$3&lt;=$U16,FALSE)),NA(),IF(Tools!AE13="  ",NA(),Tools!AE13))</f>
        <v>5.9</v>
      </c>
      <c r="W16" s="469">
        <f ca="1">IF(OR(IF(ISNUMBER(W$2),W$2&gt;=$U16,FALSE),IF(ISNUMBER(W$3),W$3&lt;=$U16,FALSE)),NA(),IF(Tools!AF13="  ",NA(),Tools!AF13))</f>
        <v>10.16</v>
      </c>
      <c r="X16" s="469">
        <f ca="1">IF(OR(IF(ISNUMBER(X$2),X$2&gt;=$U16,FALSE),IF(ISNUMBER(X$3),X$3&lt;=$U16,FALSE)),NA(),IF(Tools!AG13="  ",NA(),Tools!AG13))</f>
        <v>11.35</v>
      </c>
      <c r="Y16" s="469">
        <f ca="1">IF(OR(IF(ISNUMBER(Y$2),Y$2&gt;=$U16,FALSE),IF(ISNUMBER(Y$3),Y$3&lt;=$U16,FALSE)),NA(),IF(Tools!AH13="  ",NA(),Tools!AH13))</f>
        <v>11.9</v>
      </c>
      <c r="Z16" s="469">
        <f ca="1">IF(OR(IF(ISNUMBER(Z$2),Z$2&gt;=$U16,FALSE),IF(ISNUMBER(Z$3),Z$3&lt;=$U16,FALSE)),NA(),IF(Tools!AI13="  ",NA(),Tools!AI13))</f>
        <v>12.18</v>
      </c>
      <c r="AA16" s="469">
        <f ca="1">IF(OR(IF(ISNUMBER(AA$2),AA$2&gt;=$U16,FALSE),IF(ISNUMBER(AA$3),AA$3&lt;=$U16,FALSE)),NA(),IF(Tools!AJ13="  ",NA(),Tools!AJ13))</f>
        <v>12.25</v>
      </c>
      <c r="AB16" s="469">
        <f ca="1">IF(OR(IF(ISNUMBER(AB$2),AB$2&gt;=$U16,FALSE),IF(ISNUMBER(AB$3),AB$3&lt;=$U16,FALSE)),NA(),IF(Tools!AK13="  ",NA(),Tools!AK13))</f>
        <v>12.25</v>
      </c>
      <c r="AC16" s="469">
        <f ca="1">IF(OR(IF(ISNUMBER(AC$2),AC$2&gt;=$U16,FALSE),IF(ISNUMBER(AC$3),AC$3&lt;=$U16,FALSE)),NA(),IF(Tools!AL13="  ",NA(),Tools!AL13))</f>
        <v>12.25</v>
      </c>
      <c r="AD16" s="469">
        <f ca="1">IF(OR(IF(ISNUMBER(AD$2),AD$2&gt;=$U16,FALSE),IF(ISNUMBER(AD$3),AD$3&lt;=$U16,FALSE)),NA(),IF(Tools!AM13="  ",NA(),Tools!AM13))</f>
        <v>12.25</v>
      </c>
      <c r="AE16" s="469">
        <f ca="1">IF(OR(IF(ISNUMBER(AE$2),AE$2&gt;=$U16,FALSE),IF(ISNUMBER(AE$3),AE$3&lt;=$U16,FALSE)),NA(),IF(Tools!AN13="  ",NA(),Tools!AN13))</f>
        <v>12.25</v>
      </c>
      <c r="AF16" s="469">
        <f ca="1">IF(OR(IF(ISNUMBER(AF$2),AF$2&gt;=$U16,FALSE),IF(ISNUMBER(AF$3),AF$3&lt;=$U16,FALSE)),NA(),IF(Tools!AO13="  ",NA(),Tools!AO13))</f>
        <v>12.25</v>
      </c>
      <c r="AG16" s="469">
        <f ca="1">IF(OR(IF(ISNUMBER(AG$2),AG$2&gt;=$U16,FALSE),IF(ISNUMBER(AG$3),AG$3&lt;=$U16,FALSE)),NA(),IF(Tools!AP13="  ",NA(),Tools!AP13))</f>
        <v>12.25</v>
      </c>
      <c r="AH16" s="469" t="e">
        <f ca="1">IF(OR(IF(ISNUMBER(AH$2),AH$2&gt;=$U16,FALSE),IF(ISNUMBER(AH$3),AH$3&lt;=$U16,FALSE)),NA(),IF(Tools!AQ13="  ",NA(),Tools!AQ13))</f>
        <v>#N/A</v>
      </c>
      <c r="AI16" s="469" t="e">
        <f ca="1">IF(OR(IF(ISNUMBER(AI$2),AI$2&gt;=$U16,FALSE),IF(ISNUMBER(AI$3),AI$3&lt;=$U16,FALSE)),NA(),IF(Tools!AR13="  ",NA(),Tools!AR13))</f>
        <v>#N/A</v>
      </c>
      <c r="AJ16" s="469" t="e">
        <f ca="1">IF(OR(IF(ISNUMBER(AJ$2),AJ$2&gt;=$U16,FALSE),IF(ISNUMBER(AJ$3),AJ$3&lt;=$U16,FALSE)),NA(),IF(Tools!AS13="  ",NA(),Tools!AS13))</f>
        <v>#N/A</v>
      </c>
      <c r="AK16" s="469" t="e">
        <f ca="1">IF(OR(IF(ISNUMBER(AK$2),AK$2&gt;=$U16,FALSE),IF(ISNUMBER(AK$3),AK$3&lt;=$U16,FALSE)),NA(),IF(Tools!AT13="  ",NA(),Tools!AT13))</f>
        <v>#N/A</v>
      </c>
      <c r="AL16" s="469" t="e">
        <f ca="1">IF(OR(IF(ISNUMBER(AL$2),AL$2&gt;=$U16,FALSE),IF(ISNUMBER(AL$3),AL$3&lt;=$U16,FALSE)),NA(),IF(Tools!AU13="  ",NA(),Tools!AU13))</f>
        <v>#N/A</v>
      </c>
      <c r="AM16" s="469" t="e">
        <f ca="1">IF(OR(IF(ISNUMBER(AM$2),AM$2&gt;=$U16,FALSE),IF(ISNUMBER(AM$3),AM$3&lt;=$U16,FALSE)),NA(),IF(Tools!AV13="  ",NA(),Tools!AV13))</f>
        <v>#N/A</v>
      </c>
      <c r="AN16" s="469" t="e">
        <f ca="1">IF(OR(IF(ISNUMBER(AN$2),AN$2&gt;=$U16,FALSE),IF(ISNUMBER(AN$3),AN$3&lt;=$U16,FALSE)),NA(),IF(Tools!AW13="  ",NA(),Tools!AW13))</f>
        <v>#N/A</v>
      </c>
      <c r="AO16" s="469" t="e">
        <f ca="1">IF(OR(IF(ISNUMBER(AO$2),AO$2&gt;=$U16,FALSE),IF(ISNUMBER(AO$3),AO$3&lt;=$U16,FALSE)),NA(),IF(Tools!AX13="  ",NA(),Tools!AX13))</f>
        <v>#N/A</v>
      </c>
      <c r="AP16" s="469" t="e">
        <f ca="1">IF(OR(IF(ISNUMBER(AP$2),AP$2&gt;=$U16,FALSE),IF(ISNUMBER(AP$3),AP$3&lt;=$U16,FALSE)),NA(),IF(Tools!AY13="  ",NA(),Tools!AY13))</f>
        <v>#N/A</v>
      </c>
      <c r="AQ16" s="469" t="e">
        <f ca="1">IF(OR(IF(ISNUMBER(AQ$2),AQ$2&gt;=$U16,FALSE),IF(ISNUMBER(AQ$3),AQ$3&lt;=$U16,FALSE)),NA(),IF(Tools!AZ13="  ",NA(),Tools!AZ13))</f>
        <v>#N/A</v>
      </c>
      <c r="AR16" s="469" t="e">
        <f ca="1">IF(OR(IF(ISNUMBER(AR$2),AR$2&gt;=$U16,FALSE),IF(ISNUMBER(AR$3),AR$3&lt;=$U16,FALSE)),NA(),IF(Tools!BA13="  ",NA(),Tools!BA13))</f>
        <v>#N/A</v>
      </c>
      <c r="AS16" s="469" t="e">
        <f ca="1">IF(OR(IF(ISNUMBER(AS$2),AS$2&gt;=$U16,FALSE),IF(ISNUMBER(AS$3),AS$3&lt;=$U16,FALSE)),NA(),IF(Tools!BB13="  ",NA(),Tools!BB13))</f>
        <v>#N/A</v>
      </c>
      <c r="AT16" s="469" t="e">
        <f ca="1">IF(OR(IF(ISNUMBER(AT$2),AT$2&gt;=$U16,FALSE),IF(ISNUMBER(AT$3),AT$3&lt;=$U16,FALSE)),NA(),IF(Tools!BC13="  ",NA(),Tools!BC13))</f>
        <v>#N/A</v>
      </c>
    </row>
    <row r="17" spans="1:46" x14ac:dyDescent="0.25">
      <c r="A17">
        <f t="shared" si="4"/>
        <v>25.541999999999998</v>
      </c>
      <c r="B17" s="108">
        <f>IFERROR(Tools!$BE14*WLS,NA())</f>
        <v>14.19</v>
      </c>
      <c r="C17" s="466">
        <f ca="1">IF(ISNUMBER('Graph tools'!F74),'Graph tools'!F74,NA())</f>
        <v>3.3</v>
      </c>
      <c r="D17" s="466"/>
      <c r="E17" s="466">
        <f t="shared" ca="1" si="5"/>
        <v>20.501138952164013</v>
      </c>
      <c r="F17" s="466">
        <f ca="1">IF(ISNUMBER('Graph tools'!G74),'Graph tools'!G74,NA())</f>
        <v>-5.65</v>
      </c>
      <c r="G17" s="466">
        <f t="shared" ca="1" si="6"/>
        <v>-0.85801063022019763</v>
      </c>
      <c r="H17" s="470"/>
      <c r="J17" s="63">
        <f>IFERROR(Tools!AD14*1,NA())</f>
        <v>9</v>
      </c>
      <c r="K17" s="63" t="str">
        <f>IF(ISNUMBER('Rise, etc.'!P15),'Rise, etc.'!P15,"-")</f>
        <v>-</v>
      </c>
      <c r="L17" s="63">
        <v>0</v>
      </c>
      <c r="M17" s="63">
        <f>IF(L17=0,0,VLOOKUP(Stn_WL,Tools!$AD$2:$BC$2,L17+1,FALSE)*WLS)</f>
        <v>0</v>
      </c>
      <c r="N17" s="465">
        <f t="shared" si="7"/>
        <v>0</v>
      </c>
      <c r="P17" s="467">
        <v>13</v>
      </c>
      <c r="Q17" s="467" t="e">
        <f t="shared" ca="1" si="0"/>
        <v>#N/A</v>
      </c>
      <c r="R17" s="467" t="e">
        <f t="shared" si="1"/>
        <v>#N/A</v>
      </c>
      <c r="S17" s="63" t="str">
        <f t="shared" ca="1" si="2"/>
        <v/>
      </c>
      <c r="U17" s="468">
        <f>IF(Tools!AD14="  ",NA(),Tools!AD14)</f>
        <v>9</v>
      </c>
      <c r="V17" s="469">
        <f ca="1">IF(OR(IF(ISNUMBER(V$2),V$2&gt;=$U17,FALSE),IF(ISNUMBER(V$3),V$3&lt;=$U17,FALSE)),NA(),IF(Tools!AE14="  ",NA(),Tools!AE14))</f>
        <v>7.2</v>
      </c>
      <c r="W17" s="469">
        <f ca="1">IF(OR(IF(ISNUMBER(W$2),W$2&gt;=$U17,FALSE),IF(ISNUMBER(W$3),W$3&lt;=$U17,FALSE)),NA(),IF(Tools!AF14="  ",NA(),Tools!AF14))</f>
        <v>10.78</v>
      </c>
      <c r="X17" s="469">
        <f ca="1">IF(OR(IF(ISNUMBER(X$2),X$2&gt;=$U17,FALSE),IF(ISNUMBER(X$3),X$3&lt;=$U17,FALSE)),NA(),IF(Tools!AG14="  ",NA(),Tools!AG14))</f>
        <v>11.72</v>
      </c>
      <c r="Y17" s="469">
        <f ca="1">IF(OR(IF(ISNUMBER(Y$2),Y$2&gt;=$U17,FALSE),IF(ISNUMBER(Y$3),Y$3&lt;=$U17,FALSE)),NA(),IF(Tools!AH14="  ",NA(),Tools!AH14))</f>
        <v>12.12</v>
      </c>
      <c r="Z17" s="469">
        <f ca="1">IF(OR(IF(ISNUMBER(Z$2),Z$2&gt;=$U17,FALSE),IF(ISNUMBER(Z$3),Z$3&lt;=$U17,FALSE)),NA(),IF(Tools!AI14="  ",NA(),Tools!AI14))</f>
        <v>12.25</v>
      </c>
      <c r="AA17" s="469">
        <f ca="1">IF(OR(IF(ISNUMBER(AA$2),AA$2&gt;=$U17,FALSE),IF(ISNUMBER(AA$3),AA$3&lt;=$U17,FALSE)),NA(),IF(Tools!AJ14="  ",NA(),Tools!AJ14))</f>
        <v>12.25</v>
      </c>
      <c r="AB17" s="469">
        <f ca="1">IF(OR(IF(ISNUMBER(AB$2),AB$2&gt;=$U17,FALSE),IF(ISNUMBER(AB$3),AB$3&lt;=$U17,FALSE)),NA(),IF(Tools!AK14="  ",NA(),Tools!AK14))</f>
        <v>12.25</v>
      </c>
      <c r="AC17" s="469">
        <f ca="1">IF(OR(IF(ISNUMBER(AC$2),AC$2&gt;=$U17,FALSE),IF(ISNUMBER(AC$3),AC$3&lt;=$U17,FALSE)),NA(),IF(Tools!AL14="  ",NA(),Tools!AL14))</f>
        <v>12.25</v>
      </c>
      <c r="AD17" s="469">
        <f ca="1">IF(OR(IF(ISNUMBER(AD$2),AD$2&gt;=$U17,FALSE),IF(ISNUMBER(AD$3),AD$3&lt;=$U17,FALSE)),NA(),IF(Tools!AM14="  ",NA(),Tools!AM14))</f>
        <v>12.25</v>
      </c>
      <c r="AE17" s="469">
        <f ca="1">IF(OR(IF(ISNUMBER(AE$2),AE$2&gt;=$U17,FALSE),IF(ISNUMBER(AE$3),AE$3&lt;=$U17,FALSE)),NA(),IF(Tools!AN14="  ",NA(),Tools!AN14))</f>
        <v>12.25</v>
      </c>
      <c r="AF17" s="469">
        <f ca="1">IF(OR(IF(ISNUMBER(AF$2),AF$2&gt;=$U17,FALSE),IF(ISNUMBER(AF$3),AF$3&lt;=$U17,FALSE)),NA(),IF(Tools!AO14="  ",NA(),Tools!AO14))</f>
        <v>12.25</v>
      </c>
      <c r="AG17" s="469">
        <f ca="1">IF(OR(IF(ISNUMBER(AG$2),AG$2&gt;=$U17,FALSE),IF(ISNUMBER(AG$3),AG$3&lt;=$U17,FALSE)),NA(),IF(Tools!AP14="  ",NA(),Tools!AP14))</f>
        <v>12.25</v>
      </c>
      <c r="AH17" s="469" t="e">
        <f ca="1">IF(OR(IF(ISNUMBER(AH$2),AH$2&gt;=$U17,FALSE),IF(ISNUMBER(AH$3),AH$3&lt;=$U17,FALSE)),NA(),IF(Tools!AQ14="  ",NA(),Tools!AQ14))</f>
        <v>#N/A</v>
      </c>
      <c r="AI17" s="469" t="e">
        <f ca="1">IF(OR(IF(ISNUMBER(AI$2),AI$2&gt;=$U17,FALSE),IF(ISNUMBER(AI$3),AI$3&lt;=$U17,FALSE)),NA(),IF(Tools!AR14="  ",NA(),Tools!AR14))</f>
        <v>#N/A</v>
      </c>
      <c r="AJ17" s="469" t="e">
        <f ca="1">IF(OR(IF(ISNUMBER(AJ$2),AJ$2&gt;=$U17,FALSE),IF(ISNUMBER(AJ$3),AJ$3&lt;=$U17,FALSE)),NA(),IF(Tools!AS14="  ",NA(),Tools!AS14))</f>
        <v>#N/A</v>
      </c>
      <c r="AK17" s="469" t="e">
        <f ca="1">IF(OR(IF(ISNUMBER(AK$2),AK$2&gt;=$U17,FALSE),IF(ISNUMBER(AK$3),AK$3&lt;=$U17,FALSE)),NA(),IF(Tools!AT14="  ",NA(),Tools!AT14))</f>
        <v>#N/A</v>
      </c>
      <c r="AL17" s="469" t="e">
        <f ca="1">IF(OR(IF(ISNUMBER(AL$2),AL$2&gt;=$U17,FALSE),IF(ISNUMBER(AL$3),AL$3&lt;=$U17,FALSE)),NA(),IF(Tools!AU14="  ",NA(),Tools!AU14))</f>
        <v>#N/A</v>
      </c>
      <c r="AM17" s="469" t="e">
        <f ca="1">IF(OR(IF(ISNUMBER(AM$2),AM$2&gt;=$U17,FALSE),IF(ISNUMBER(AM$3),AM$3&lt;=$U17,FALSE)),NA(),IF(Tools!AV14="  ",NA(),Tools!AV14))</f>
        <v>#N/A</v>
      </c>
      <c r="AN17" s="469" t="e">
        <f ca="1">IF(OR(IF(ISNUMBER(AN$2),AN$2&gt;=$U17,FALSE),IF(ISNUMBER(AN$3),AN$3&lt;=$U17,FALSE)),NA(),IF(Tools!AW14="  ",NA(),Tools!AW14))</f>
        <v>#N/A</v>
      </c>
      <c r="AO17" s="469" t="e">
        <f ca="1">IF(OR(IF(ISNUMBER(AO$2),AO$2&gt;=$U17,FALSE),IF(ISNUMBER(AO$3),AO$3&lt;=$U17,FALSE)),NA(),IF(Tools!AX14="  ",NA(),Tools!AX14))</f>
        <v>#N/A</v>
      </c>
      <c r="AP17" s="469" t="e">
        <f ca="1">IF(OR(IF(ISNUMBER(AP$2),AP$2&gt;=$U17,FALSE),IF(ISNUMBER(AP$3),AP$3&lt;=$U17,FALSE)),NA(),IF(Tools!AY14="  ",NA(),Tools!AY14))</f>
        <v>#N/A</v>
      </c>
      <c r="AQ17" s="469" t="e">
        <f ca="1">IF(OR(IF(ISNUMBER(AQ$2),AQ$2&gt;=$U17,FALSE),IF(ISNUMBER(AQ$3),AQ$3&lt;=$U17,FALSE)),NA(),IF(Tools!AZ14="  ",NA(),Tools!AZ14))</f>
        <v>#N/A</v>
      </c>
      <c r="AR17" s="469" t="e">
        <f ca="1">IF(OR(IF(ISNUMBER(AR$2),AR$2&gt;=$U17,FALSE),IF(ISNUMBER(AR$3),AR$3&lt;=$U17,FALSE)),NA(),IF(Tools!BA14="  ",NA(),Tools!BA14))</f>
        <v>#N/A</v>
      </c>
      <c r="AS17" s="469" t="e">
        <f ca="1">IF(OR(IF(ISNUMBER(AS$2),AS$2&gt;=$U17,FALSE),IF(ISNUMBER(AS$3),AS$3&lt;=$U17,FALSE)),NA(),IF(Tools!BB14="  ",NA(),Tools!BB14))</f>
        <v>#N/A</v>
      </c>
      <c r="AT17" s="469" t="e">
        <f ca="1">IF(OR(IF(ISNUMBER(AT$2),AT$2&gt;=$U17,FALSE),IF(ISNUMBER(AT$3),AT$3&lt;=$U17,FALSE)),NA(),IF(Tools!BC14="  ",NA(),Tools!BC14))</f>
        <v>#N/A</v>
      </c>
    </row>
    <row r="18" spans="1:46" x14ac:dyDescent="0.25">
      <c r="A18" t="e">
        <f t="shared" si="4"/>
        <v>#N/A</v>
      </c>
      <c r="B18" s="108" t="e">
        <f>IFERROR(Tools!$BE15*WLS,NA())</f>
        <v>#N/A</v>
      </c>
      <c r="C18" s="466" t="e">
        <f ca="1">IF(ISNUMBER('Graph tools'!F75),'Graph tools'!F75,NA())</f>
        <v>#N/A</v>
      </c>
      <c r="D18" s="466"/>
      <c r="E18" s="466" t="e">
        <f t="shared" ca="1" si="5"/>
        <v>#N/A</v>
      </c>
      <c r="F18" s="466" t="e">
        <f ca="1">IF(ISNUMBER('Graph tools'!G75),'Graph tools'!G75,NA())</f>
        <v>#N/A</v>
      </c>
      <c r="G18" s="466" t="e">
        <f t="shared" ca="1" si="6"/>
        <v>#N/A</v>
      </c>
      <c r="H18" s="470"/>
      <c r="J18" s="63">
        <f>IFERROR(Tools!AD15*1,NA())</f>
        <v>10</v>
      </c>
      <c r="K18" s="63" t="str">
        <f>IF(ISNUMBER('Rise, etc.'!P16),'Rise, etc.'!P16,"-")</f>
        <v>-</v>
      </c>
      <c r="L18" s="63">
        <v>0</v>
      </c>
      <c r="M18" s="63">
        <f>IF(L18=0,0,VLOOKUP(Stn_WL,Tools!$AD$2:$BC$2,L18+1,FALSE)*WLS)</f>
        <v>0</v>
      </c>
      <c r="N18" s="465">
        <f t="shared" si="7"/>
        <v>0</v>
      </c>
      <c r="P18" s="467">
        <v>14</v>
      </c>
      <c r="Q18" s="467">
        <f t="shared" ca="1" si="0"/>
        <v>-0.85801063022019763</v>
      </c>
      <c r="R18" s="467">
        <f>HLOOKUP($B$5,$B$5:$B$30,27-P18,FALSE)</f>
        <v>14.19</v>
      </c>
      <c r="S18" s="63" t="str">
        <f t="shared" ca="1" si="2"/>
        <v xml:space="preserve">-5.65,14.19 </v>
      </c>
      <c r="U18" s="468">
        <f>IF(Tools!AD15="  ",NA(),Tools!AD15)</f>
        <v>10</v>
      </c>
      <c r="V18" s="469">
        <f ca="1">IF(OR(IF(ISNUMBER(V$2),V$2&gt;=$U18,FALSE),IF(ISNUMBER(V$3),V$3&lt;=$U18,FALSE)),NA(),IF(Tools!AE15="  ",NA(),Tools!AE15))</f>
        <v>8.25</v>
      </c>
      <c r="W18" s="469">
        <f ca="1">IF(OR(IF(ISNUMBER(W$2),W$2&gt;=$U18,FALSE),IF(ISNUMBER(W$3),W$3&lt;=$U18,FALSE)),NA(),IF(Tools!AF15="  ",NA(),Tools!AF15))</f>
        <v>10.84</v>
      </c>
      <c r="X18" s="469">
        <f ca="1">IF(OR(IF(ISNUMBER(X$2),X$2&gt;=$U18,FALSE),IF(ISNUMBER(X$3),X$3&lt;=$U18,FALSE)),NA(),IF(Tools!AG15="  ",NA(),Tools!AG15))</f>
        <v>11.76</v>
      </c>
      <c r="Y18" s="469">
        <f ca="1">IF(OR(IF(ISNUMBER(Y$2),Y$2&gt;=$U18,FALSE),IF(ISNUMBER(Y$3),Y$3&lt;=$U18,FALSE)),NA(),IF(Tools!AH15="  ",NA(),Tools!AH15))</f>
        <v>12.14</v>
      </c>
      <c r="Z18" s="469">
        <f ca="1">IF(OR(IF(ISNUMBER(Z$2),Z$2&gt;=$U18,FALSE),IF(ISNUMBER(Z$3),Z$3&lt;=$U18,FALSE)),NA(),IF(Tools!AI15="  ",NA(),Tools!AI15))</f>
        <v>12.25</v>
      </c>
      <c r="AA18" s="469">
        <f ca="1">IF(OR(IF(ISNUMBER(AA$2),AA$2&gt;=$U18,FALSE),IF(ISNUMBER(AA$3),AA$3&lt;=$U18,FALSE)),NA(),IF(Tools!AJ15="  ",NA(),Tools!AJ15))</f>
        <v>12.25</v>
      </c>
      <c r="AB18" s="469">
        <f ca="1">IF(OR(IF(ISNUMBER(AB$2),AB$2&gt;=$U18,FALSE),IF(ISNUMBER(AB$3),AB$3&lt;=$U18,FALSE)),NA(),IF(Tools!AK15="  ",NA(),Tools!AK15))</f>
        <v>12.25</v>
      </c>
      <c r="AC18" s="469">
        <f ca="1">IF(OR(IF(ISNUMBER(AC$2),AC$2&gt;=$U18,FALSE),IF(ISNUMBER(AC$3),AC$3&lt;=$U18,FALSE)),NA(),IF(Tools!AL15="  ",NA(),Tools!AL15))</f>
        <v>12.25</v>
      </c>
      <c r="AD18" s="469">
        <f ca="1">IF(OR(IF(ISNUMBER(AD$2),AD$2&gt;=$U18,FALSE),IF(ISNUMBER(AD$3),AD$3&lt;=$U18,FALSE)),NA(),IF(Tools!AM15="  ",NA(),Tools!AM15))</f>
        <v>12.25</v>
      </c>
      <c r="AE18" s="469">
        <f ca="1">IF(OR(IF(ISNUMBER(AE$2),AE$2&gt;=$U18,FALSE),IF(ISNUMBER(AE$3),AE$3&lt;=$U18,FALSE)),NA(),IF(Tools!AN15="  ",NA(),Tools!AN15))</f>
        <v>12.25</v>
      </c>
      <c r="AF18" s="469">
        <f ca="1">IF(OR(IF(ISNUMBER(AF$2),AF$2&gt;=$U18,FALSE),IF(ISNUMBER(AF$3),AF$3&lt;=$U18,FALSE)),NA(),IF(Tools!AO15="  ",NA(),Tools!AO15))</f>
        <v>12.25</v>
      </c>
      <c r="AG18" s="469">
        <f ca="1">IF(OR(IF(ISNUMBER(AG$2),AG$2&gt;=$U18,FALSE),IF(ISNUMBER(AG$3),AG$3&lt;=$U18,FALSE)),NA(),IF(Tools!AP15="  ",NA(),Tools!AP15))</f>
        <v>12.25</v>
      </c>
      <c r="AH18" s="469" t="e">
        <f ca="1">IF(OR(IF(ISNUMBER(AH$2),AH$2&gt;=$U18,FALSE),IF(ISNUMBER(AH$3),AH$3&lt;=$U18,FALSE)),NA(),IF(Tools!AQ15="  ",NA(),Tools!AQ15))</f>
        <v>#N/A</v>
      </c>
      <c r="AI18" s="469" t="e">
        <f ca="1">IF(OR(IF(ISNUMBER(AI$2),AI$2&gt;=$U18,FALSE),IF(ISNUMBER(AI$3),AI$3&lt;=$U18,FALSE)),NA(),IF(Tools!AR15="  ",NA(),Tools!AR15))</f>
        <v>#N/A</v>
      </c>
      <c r="AJ18" s="469" t="e">
        <f ca="1">IF(OR(IF(ISNUMBER(AJ$2),AJ$2&gt;=$U18,FALSE),IF(ISNUMBER(AJ$3),AJ$3&lt;=$U18,FALSE)),NA(),IF(Tools!AS15="  ",NA(),Tools!AS15))</f>
        <v>#N/A</v>
      </c>
      <c r="AK18" s="469" t="e">
        <f ca="1">IF(OR(IF(ISNUMBER(AK$2),AK$2&gt;=$U18,FALSE),IF(ISNUMBER(AK$3),AK$3&lt;=$U18,FALSE)),NA(),IF(Tools!AT15="  ",NA(),Tools!AT15))</f>
        <v>#N/A</v>
      </c>
      <c r="AL18" s="469" t="e">
        <f ca="1">IF(OR(IF(ISNUMBER(AL$2),AL$2&gt;=$U18,FALSE),IF(ISNUMBER(AL$3),AL$3&lt;=$U18,FALSE)),NA(),IF(Tools!AU15="  ",NA(),Tools!AU15))</f>
        <v>#N/A</v>
      </c>
      <c r="AM18" s="469" t="e">
        <f ca="1">IF(OR(IF(ISNUMBER(AM$2),AM$2&gt;=$U18,FALSE),IF(ISNUMBER(AM$3),AM$3&lt;=$U18,FALSE)),NA(),IF(Tools!AV15="  ",NA(),Tools!AV15))</f>
        <v>#N/A</v>
      </c>
      <c r="AN18" s="469" t="e">
        <f ca="1">IF(OR(IF(ISNUMBER(AN$2),AN$2&gt;=$U18,FALSE),IF(ISNUMBER(AN$3),AN$3&lt;=$U18,FALSE)),NA(),IF(Tools!AW15="  ",NA(),Tools!AW15))</f>
        <v>#N/A</v>
      </c>
      <c r="AO18" s="469" t="e">
        <f ca="1">IF(OR(IF(ISNUMBER(AO$2),AO$2&gt;=$U18,FALSE),IF(ISNUMBER(AO$3),AO$3&lt;=$U18,FALSE)),NA(),IF(Tools!AX15="  ",NA(),Tools!AX15))</f>
        <v>#N/A</v>
      </c>
      <c r="AP18" s="469" t="e">
        <f ca="1">IF(OR(IF(ISNUMBER(AP$2),AP$2&gt;=$U18,FALSE),IF(ISNUMBER(AP$3),AP$3&lt;=$U18,FALSE)),NA(),IF(Tools!AY15="  ",NA(),Tools!AY15))</f>
        <v>#N/A</v>
      </c>
      <c r="AQ18" s="469" t="e">
        <f ca="1">IF(OR(IF(ISNUMBER(AQ$2),AQ$2&gt;=$U18,FALSE),IF(ISNUMBER(AQ$3),AQ$3&lt;=$U18,FALSE)),NA(),IF(Tools!AZ15="  ",NA(),Tools!AZ15))</f>
        <v>#N/A</v>
      </c>
      <c r="AR18" s="469" t="e">
        <f ca="1">IF(OR(IF(ISNUMBER(AR$2),AR$2&gt;=$U18,FALSE),IF(ISNUMBER(AR$3),AR$3&lt;=$U18,FALSE)),NA(),IF(Tools!BA15="  ",NA(),Tools!BA15))</f>
        <v>#N/A</v>
      </c>
      <c r="AS18" s="469" t="e">
        <f ca="1">IF(OR(IF(ISNUMBER(AS$2),AS$2&gt;=$U18,FALSE),IF(ISNUMBER(AS$3),AS$3&lt;=$U18,FALSE)),NA(),IF(Tools!BB15="  ",NA(),Tools!BB15))</f>
        <v>#N/A</v>
      </c>
      <c r="AT18" s="469" t="e">
        <f ca="1">IF(OR(IF(ISNUMBER(AT$2),AT$2&gt;=$U18,FALSE),IF(ISNUMBER(AT$3),AT$3&lt;=$U18,FALSE)),NA(),IF(Tools!BC15="  ",NA(),Tools!BC15))</f>
        <v>#N/A</v>
      </c>
    </row>
    <row r="19" spans="1:46" x14ac:dyDescent="0.25">
      <c r="A19" t="e">
        <f t="shared" si="4"/>
        <v>#N/A</v>
      </c>
      <c r="B19" s="108" t="e">
        <f>IFERROR(Tools!$BE16*WLS,NA())</f>
        <v>#N/A</v>
      </c>
      <c r="C19" s="466" t="e">
        <f ca="1">IF(ISNUMBER('Graph tools'!F76),'Graph tools'!F76,NA())</f>
        <v>#N/A</v>
      </c>
      <c r="D19" s="466"/>
      <c r="E19" s="466" t="e">
        <f t="shared" ca="1" si="5"/>
        <v>#N/A</v>
      </c>
      <c r="F19" s="466" t="e">
        <f ca="1">IF(ISNUMBER('Graph tools'!G76),'Graph tools'!G76,NA())</f>
        <v>#N/A</v>
      </c>
      <c r="G19" s="466" t="e">
        <f t="shared" ca="1" si="6"/>
        <v>#N/A</v>
      </c>
      <c r="H19" s="470"/>
      <c r="J19" s="63">
        <f>IFERROR(Tools!AD16*1,NA())</f>
        <v>11</v>
      </c>
      <c r="K19" s="63" t="str">
        <f>IF(ISNUMBER('Rise, etc.'!P17),'Rise, etc.'!P17,"-")</f>
        <v>-</v>
      </c>
      <c r="L19" s="63">
        <v>0</v>
      </c>
      <c r="M19" s="63">
        <f>IF(L19=0,0,VLOOKUP(Stn_WL,Tools!$AD$2:$BC$2,L19+1,FALSE)*WLS)</f>
        <v>0</v>
      </c>
      <c r="N19" s="465">
        <f t="shared" si="7"/>
        <v>0</v>
      </c>
      <c r="P19" s="467">
        <v>15</v>
      </c>
      <c r="Q19" s="467">
        <f t="shared" ca="1" si="0"/>
        <v>-0.80485952923310566</v>
      </c>
      <c r="R19" s="467">
        <f t="shared" ref="R19:R29" si="8">HLOOKUP($B$5,$B$5:$B$30,27-P19,FALSE)</f>
        <v>12.6</v>
      </c>
      <c r="S19" s="63" t="str">
        <f t="shared" ca="1" si="2"/>
        <v xml:space="preserve">-5.3,12.6 </v>
      </c>
      <c r="U19" s="468">
        <f>IF(Tools!AD16="  ",NA(),Tools!AD16)</f>
        <v>11</v>
      </c>
      <c r="V19" s="469">
        <f ca="1">IF(OR(IF(ISNUMBER(V$2),V$2&gt;=$U19,FALSE),IF(ISNUMBER(V$3),V$3&lt;=$U19,FALSE)),NA(),IF(Tools!AE16="  ",NA(),Tools!AE16))</f>
        <v>8.6</v>
      </c>
      <c r="W19" s="469">
        <f ca="1">IF(OR(IF(ISNUMBER(W$2),W$2&gt;=$U19,FALSE),IF(ISNUMBER(W$3),W$3&lt;=$U19,FALSE)),NA(),IF(Tools!AF16="  ",NA(),Tools!AF16))</f>
        <v>10.65</v>
      </c>
      <c r="X19" s="469">
        <f ca="1">IF(OR(IF(ISNUMBER(X$2),X$2&gt;=$U19,FALSE),IF(ISNUMBER(X$3),X$3&lt;=$U19,FALSE)),NA(),IF(Tools!AG16="  ",NA(),Tools!AG16))</f>
        <v>11.62</v>
      </c>
      <c r="Y19" s="469">
        <f ca="1">IF(OR(IF(ISNUMBER(Y$2),Y$2&gt;=$U19,FALSE),IF(ISNUMBER(Y$3),Y$3&lt;=$U19,FALSE)),NA(),IF(Tools!AH16="  ",NA(),Tools!AH16))</f>
        <v>12.04</v>
      </c>
      <c r="Z19" s="469">
        <f ca="1">IF(OR(IF(ISNUMBER(Z$2),Z$2&gt;=$U19,FALSE),IF(ISNUMBER(Z$3),Z$3&lt;=$U19,FALSE)),NA(),IF(Tools!AI16="  ",NA(),Tools!AI16))</f>
        <v>12.21</v>
      </c>
      <c r="AA19" s="469">
        <f ca="1">IF(OR(IF(ISNUMBER(AA$2),AA$2&gt;=$U19,FALSE),IF(ISNUMBER(AA$3),AA$3&lt;=$U19,FALSE)),NA(),IF(Tools!AJ16="  ",NA(),Tools!AJ16))</f>
        <v>12.25</v>
      </c>
      <c r="AB19" s="469">
        <f ca="1">IF(OR(IF(ISNUMBER(AB$2),AB$2&gt;=$U19,FALSE),IF(ISNUMBER(AB$3),AB$3&lt;=$U19,FALSE)),NA(),IF(Tools!AK16="  ",NA(),Tools!AK16))</f>
        <v>12.25</v>
      </c>
      <c r="AC19" s="469">
        <f ca="1">IF(OR(IF(ISNUMBER(AC$2),AC$2&gt;=$U19,FALSE),IF(ISNUMBER(AC$3),AC$3&lt;=$U19,FALSE)),NA(),IF(Tools!AL16="  ",NA(),Tools!AL16))</f>
        <v>12.25</v>
      </c>
      <c r="AD19" s="469">
        <f ca="1">IF(OR(IF(ISNUMBER(AD$2),AD$2&gt;=$U19,FALSE),IF(ISNUMBER(AD$3),AD$3&lt;=$U19,FALSE)),NA(),IF(Tools!AM16="  ",NA(),Tools!AM16))</f>
        <v>12.25</v>
      </c>
      <c r="AE19" s="469">
        <f ca="1">IF(OR(IF(ISNUMBER(AE$2),AE$2&gt;=$U19,FALSE),IF(ISNUMBER(AE$3),AE$3&lt;=$U19,FALSE)),NA(),IF(Tools!AN16="  ",NA(),Tools!AN16))</f>
        <v>12.25</v>
      </c>
      <c r="AF19" s="469">
        <f ca="1">IF(OR(IF(ISNUMBER(AF$2),AF$2&gt;=$U19,FALSE),IF(ISNUMBER(AF$3),AF$3&lt;=$U19,FALSE)),NA(),IF(Tools!AO16="  ",NA(),Tools!AO16))</f>
        <v>12.25</v>
      </c>
      <c r="AG19" s="469">
        <f ca="1">IF(OR(IF(ISNUMBER(AG$2),AG$2&gt;=$U19,FALSE),IF(ISNUMBER(AG$3),AG$3&lt;=$U19,FALSE)),NA(),IF(Tools!AP16="  ",NA(),Tools!AP16))</f>
        <v>12.25</v>
      </c>
      <c r="AH19" s="469" t="e">
        <f ca="1">IF(OR(IF(ISNUMBER(AH$2),AH$2&gt;=$U19,FALSE),IF(ISNUMBER(AH$3),AH$3&lt;=$U19,FALSE)),NA(),IF(Tools!AQ16="  ",NA(),Tools!AQ16))</f>
        <v>#N/A</v>
      </c>
      <c r="AI19" s="469" t="e">
        <f ca="1">IF(OR(IF(ISNUMBER(AI$2),AI$2&gt;=$U19,FALSE),IF(ISNUMBER(AI$3),AI$3&lt;=$U19,FALSE)),NA(),IF(Tools!AR16="  ",NA(),Tools!AR16))</f>
        <v>#N/A</v>
      </c>
      <c r="AJ19" s="469" t="e">
        <f ca="1">IF(OR(IF(ISNUMBER(AJ$2),AJ$2&gt;=$U19,FALSE),IF(ISNUMBER(AJ$3),AJ$3&lt;=$U19,FALSE)),NA(),IF(Tools!AS16="  ",NA(),Tools!AS16))</f>
        <v>#N/A</v>
      </c>
      <c r="AK19" s="469" t="e">
        <f ca="1">IF(OR(IF(ISNUMBER(AK$2),AK$2&gt;=$U19,FALSE),IF(ISNUMBER(AK$3),AK$3&lt;=$U19,FALSE)),NA(),IF(Tools!AT16="  ",NA(),Tools!AT16))</f>
        <v>#N/A</v>
      </c>
      <c r="AL19" s="469" t="e">
        <f ca="1">IF(OR(IF(ISNUMBER(AL$2),AL$2&gt;=$U19,FALSE),IF(ISNUMBER(AL$3),AL$3&lt;=$U19,FALSE)),NA(),IF(Tools!AU16="  ",NA(),Tools!AU16))</f>
        <v>#N/A</v>
      </c>
      <c r="AM19" s="469" t="e">
        <f ca="1">IF(OR(IF(ISNUMBER(AM$2),AM$2&gt;=$U19,FALSE),IF(ISNUMBER(AM$3),AM$3&lt;=$U19,FALSE)),NA(),IF(Tools!AV16="  ",NA(),Tools!AV16))</f>
        <v>#N/A</v>
      </c>
      <c r="AN19" s="469" t="e">
        <f ca="1">IF(OR(IF(ISNUMBER(AN$2),AN$2&gt;=$U19,FALSE),IF(ISNUMBER(AN$3),AN$3&lt;=$U19,FALSE)),NA(),IF(Tools!AW16="  ",NA(),Tools!AW16))</f>
        <v>#N/A</v>
      </c>
      <c r="AO19" s="469" t="e">
        <f ca="1">IF(OR(IF(ISNUMBER(AO$2),AO$2&gt;=$U19,FALSE),IF(ISNUMBER(AO$3),AO$3&lt;=$U19,FALSE)),NA(),IF(Tools!AX16="  ",NA(),Tools!AX16))</f>
        <v>#N/A</v>
      </c>
      <c r="AP19" s="469" t="e">
        <f ca="1">IF(OR(IF(ISNUMBER(AP$2),AP$2&gt;=$U19,FALSE),IF(ISNUMBER(AP$3),AP$3&lt;=$U19,FALSE)),NA(),IF(Tools!AY16="  ",NA(),Tools!AY16))</f>
        <v>#N/A</v>
      </c>
      <c r="AQ19" s="469" t="e">
        <f ca="1">IF(OR(IF(ISNUMBER(AQ$2),AQ$2&gt;=$U19,FALSE),IF(ISNUMBER(AQ$3),AQ$3&lt;=$U19,FALSE)),NA(),IF(Tools!AZ16="  ",NA(),Tools!AZ16))</f>
        <v>#N/A</v>
      </c>
      <c r="AR19" s="469" t="e">
        <f ca="1">IF(OR(IF(ISNUMBER(AR$2),AR$2&gt;=$U19,FALSE),IF(ISNUMBER(AR$3),AR$3&lt;=$U19,FALSE)),NA(),IF(Tools!BA16="  ",NA(),Tools!BA16))</f>
        <v>#N/A</v>
      </c>
      <c r="AS19" s="469" t="e">
        <f ca="1">IF(OR(IF(ISNUMBER(AS$2),AS$2&gt;=$U19,FALSE),IF(ISNUMBER(AS$3),AS$3&lt;=$U19,FALSE)),NA(),IF(Tools!BB16="  ",NA(),Tools!BB16))</f>
        <v>#N/A</v>
      </c>
      <c r="AT19" s="469" t="e">
        <f ca="1">IF(OR(IF(ISNUMBER(AT$2),AT$2&gt;=$U19,FALSE),IF(ISNUMBER(AT$3),AT$3&lt;=$U19,FALSE)),NA(),IF(Tools!BC16="  ",NA(),Tools!BC16))</f>
        <v>#N/A</v>
      </c>
    </row>
    <row r="20" spans="1:46" x14ac:dyDescent="0.25">
      <c r="A20" t="e">
        <f t="shared" si="4"/>
        <v>#N/A</v>
      </c>
      <c r="B20" s="108" t="e">
        <f>IFERROR(Tools!$BE17*WLS,NA())</f>
        <v>#N/A</v>
      </c>
      <c r="C20" s="466" t="e">
        <f ca="1">IF(ISNUMBER('Graph tools'!F77),'Graph tools'!F77,NA())</f>
        <v>#N/A</v>
      </c>
      <c r="D20" s="466"/>
      <c r="E20" s="466" t="e">
        <f t="shared" ca="1" si="5"/>
        <v>#N/A</v>
      </c>
      <c r="F20" s="466" t="e">
        <f ca="1">IF(ISNUMBER('Graph tools'!G77),'Graph tools'!G77,NA())</f>
        <v>#N/A</v>
      </c>
      <c r="G20" s="466" t="e">
        <f t="shared" ca="1" si="6"/>
        <v>#N/A</v>
      </c>
      <c r="H20" s="470"/>
      <c r="J20" s="63">
        <f>IFERROR(Tools!AD17*1,NA())</f>
        <v>12</v>
      </c>
      <c r="K20" s="63" t="str">
        <f>IF(ISNUMBER('Rise, etc.'!P18),'Rise, etc.'!P18,"-")</f>
        <v>-</v>
      </c>
      <c r="L20" s="63">
        <v>0</v>
      </c>
      <c r="M20" s="63">
        <f>IF(L20=0,0,VLOOKUP(Stn_WL,Tools!$AD$2:$BC$2,L20+1,FALSE)*WLS)</f>
        <v>0</v>
      </c>
      <c r="N20" s="465">
        <f t="shared" si="7"/>
        <v>0</v>
      </c>
      <c r="P20" s="467">
        <v>16</v>
      </c>
      <c r="Q20" s="467">
        <f t="shared" ca="1" si="0"/>
        <v>-0.59225512528473812</v>
      </c>
      <c r="R20" s="467">
        <f t="shared" si="8"/>
        <v>10.8</v>
      </c>
      <c r="S20" s="63" t="str">
        <f t="shared" ca="1" si="2"/>
        <v xml:space="preserve">-3.9,10.8 </v>
      </c>
      <c r="U20" s="468">
        <f>IF(Tools!AD17="  ",NA(),Tools!AD17)</f>
        <v>12</v>
      </c>
      <c r="V20" s="469">
        <f ca="1">IF(OR(IF(ISNUMBER(V$2),V$2&gt;=$U20,FALSE),IF(ISNUMBER(V$3),V$3&lt;=$U20,FALSE)),NA(),IF(Tools!AE17="  ",NA(),Tools!AE17))</f>
        <v>7.85</v>
      </c>
      <c r="W20" s="469">
        <f ca="1">IF(OR(IF(ISNUMBER(W$2),W$2&gt;=$U20,FALSE),IF(ISNUMBER(W$3),W$3&lt;=$U20,FALSE)),NA(),IF(Tools!AF17="  ",NA(),Tools!AF17))</f>
        <v>10.02</v>
      </c>
      <c r="X20" s="469">
        <f ca="1">IF(OR(IF(ISNUMBER(X$2),X$2&gt;=$U20,FALSE),IF(ISNUMBER(X$3),X$3&lt;=$U20,FALSE)),NA(),IF(Tools!AG17="  ",NA(),Tools!AG17))</f>
        <v>11.1</v>
      </c>
      <c r="Y20" s="469">
        <f ca="1">IF(OR(IF(ISNUMBER(Y$2),Y$2&gt;=$U20,FALSE),IF(ISNUMBER(Y$3),Y$3&lt;=$U20,FALSE)),NA(),IF(Tools!AH17="  ",NA(),Tools!AH17))</f>
        <v>11.63</v>
      </c>
      <c r="Z20" s="469">
        <f ca="1">IF(OR(IF(ISNUMBER(Z$2),Z$2&gt;=$U20,FALSE),IF(ISNUMBER(Z$3),Z$3&lt;=$U20,FALSE)),NA(),IF(Tools!AI17="  ",NA(),Tools!AI17))</f>
        <v>11.92</v>
      </c>
      <c r="AA20" s="469">
        <f ca="1">IF(OR(IF(ISNUMBER(AA$2),AA$2&gt;=$U20,FALSE),IF(ISNUMBER(AA$3),AA$3&lt;=$U20,FALSE)),NA(),IF(Tools!AJ17="  ",NA(),Tools!AJ17))</f>
        <v>12.2</v>
      </c>
      <c r="AB20" s="469">
        <f ca="1">IF(OR(IF(ISNUMBER(AB$2),AB$2&gt;=$U20,FALSE),IF(ISNUMBER(AB$3),AB$3&lt;=$U20,FALSE)),NA(),IF(Tools!AK17="  ",NA(),Tools!AK17))</f>
        <v>12.25</v>
      </c>
      <c r="AC20" s="469">
        <f ca="1">IF(OR(IF(ISNUMBER(AC$2),AC$2&gt;=$U20,FALSE),IF(ISNUMBER(AC$3),AC$3&lt;=$U20,FALSE)),NA(),IF(Tools!AL17="  ",NA(),Tools!AL17))</f>
        <v>12.25</v>
      </c>
      <c r="AD20" s="469">
        <f ca="1">IF(OR(IF(ISNUMBER(AD$2),AD$2&gt;=$U20,FALSE),IF(ISNUMBER(AD$3),AD$3&lt;=$U20,FALSE)),NA(),IF(Tools!AM17="  ",NA(),Tools!AM17))</f>
        <v>12.25</v>
      </c>
      <c r="AE20" s="469">
        <f ca="1">IF(OR(IF(ISNUMBER(AE$2),AE$2&gt;=$U20,FALSE),IF(ISNUMBER(AE$3),AE$3&lt;=$U20,FALSE)),NA(),IF(Tools!AN17="  ",NA(),Tools!AN17))</f>
        <v>12.25</v>
      </c>
      <c r="AF20" s="469">
        <f ca="1">IF(OR(IF(ISNUMBER(AF$2),AF$2&gt;=$U20,FALSE),IF(ISNUMBER(AF$3),AF$3&lt;=$U20,FALSE)),NA(),IF(Tools!AO17="  ",NA(),Tools!AO17))</f>
        <v>12.25</v>
      </c>
      <c r="AG20" s="469">
        <f ca="1">IF(OR(IF(ISNUMBER(AG$2),AG$2&gt;=$U20,FALSE),IF(ISNUMBER(AG$3),AG$3&lt;=$U20,FALSE)),NA(),IF(Tools!AP17="  ",NA(),Tools!AP17))</f>
        <v>12.25</v>
      </c>
      <c r="AH20" s="469" t="e">
        <f ca="1">IF(OR(IF(ISNUMBER(AH$2),AH$2&gt;=$U20,FALSE),IF(ISNUMBER(AH$3),AH$3&lt;=$U20,FALSE)),NA(),IF(Tools!AQ17="  ",NA(),Tools!AQ17))</f>
        <v>#N/A</v>
      </c>
      <c r="AI20" s="469" t="e">
        <f ca="1">IF(OR(IF(ISNUMBER(AI$2),AI$2&gt;=$U20,FALSE),IF(ISNUMBER(AI$3),AI$3&lt;=$U20,FALSE)),NA(),IF(Tools!AR17="  ",NA(),Tools!AR17))</f>
        <v>#N/A</v>
      </c>
      <c r="AJ20" s="469" t="e">
        <f ca="1">IF(OR(IF(ISNUMBER(AJ$2),AJ$2&gt;=$U20,FALSE),IF(ISNUMBER(AJ$3),AJ$3&lt;=$U20,FALSE)),NA(),IF(Tools!AS17="  ",NA(),Tools!AS17))</f>
        <v>#N/A</v>
      </c>
      <c r="AK20" s="469" t="e">
        <f ca="1">IF(OR(IF(ISNUMBER(AK$2),AK$2&gt;=$U20,FALSE),IF(ISNUMBER(AK$3),AK$3&lt;=$U20,FALSE)),NA(),IF(Tools!AT17="  ",NA(),Tools!AT17))</f>
        <v>#N/A</v>
      </c>
      <c r="AL20" s="469" t="e">
        <f ca="1">IF(OR(IF(ISNUMBER(AL$2),AL$2&gt;=$U20,FALSE),IF(ISNUMBER(AL$3),AL$3&lt;=$U20,FALSE)),NA(),IF(Tools!AU17="  ",NA(),Tools!AU17))</f>
        <v>#N/A</v>
      </c>
      <c r="AM20" s="469" t="e">
        <f ca="1">IF(OR(IF(ISNUMBER(AM$2),AM$2&gt;=$U20,FALSE),IF(ISNUMBER(AM$3),AM$3&lt;=$U20,FALSE)),NA(),IF(Tools!AV17="  ",NA(),Tools!AV17))</f>
        <v>#N/A</v>
      </c>
      <c r="AN20" s="469" t="e">
        <f ca="1">IF(OR(IF(ISNUMBER(AN$2),AN$2&gt;=$U20,FALSE),IF(ISNUMBER(AN$3),AN$3&lt;=$U20,FALSE)),NA(),IF(Tools!AW17="  ",NA(),Tools!AW17))</f>
        <v>#N/A</v>
      </c>
      <c r="AO20" s="469" t="e">
        <f ca="1">IF(OR(IF(ISNUMBER(AO$2),AO$2&gt;=$U20,FALSE),IF(ISNUMBER(AO$3),AO$3&lt;=$U20,FALSE)),NA(),IF(Tools!AX17="  ",NA(),Tools!AX17))</f>
        <v>#N/A</v>
      </c>
      <c r="AP20" s="469" t="e">
        <f ca="1">IF(OR(IF(ISNUMBER(AP$2),AP$2&gt;=$U20,FALSE),IF(ISNUMBER(AP$3),AP$3&lt;=$U20,FALSE)),NA(),IF(Tools!AY17="  ",NA(),Tools!AY17))</f>
        <v>#N/A</v>
      </c>
      <c r="AQ20" s="469" t="e">
        <f ca="1">IF(OR(IF(ISNUMBER(AQ$2),AQ$2&gt;=$U20,FALSE),IF(ISNUMBER(AQ$3),AQ$3&lt;=$U20,FALSE)),NA(),IF(Tools!AZ17="  ",NA(),Tools!AZ17))</f>
        <v>#N/A</v>
      </c>
      <c r="AR20" s="469" t="e">
        <f ca="1">IF(OR(IF(ISNUMBER(AR$2),AR$2&gt;=$U20,FALSE),IF(ISNUMBER(AR$3),AR$3&lt;=$U20,FALSE)),NA(),IF(Tools!BA17="  ",NA(),Tools!BA17))</f>
        <v>#N/A</v>
      </c>
      <c r="AS20" s="469" t="e">
        <f ca="1">IF(OR(IF(ISNUMBER(AS$2),AS$2&gt;=$U20,FALSE),IF(ISNUMBER(AS$3),AS$3&lt;=$U20,FALSE)),NA(),IF(Tools!BB17="  ",NA(),Tools!BB17))</f>
        <v>#N/A</v>
      </c>
      <c r="AT20" s="469" t="e">
        <f ca="1">IF(OR(IF(ISNUMBER(AT$2),AT$2&gt;=$U20,FALSE),IF(ISNUMBER(AT$3),AT$3&lt;=$U20,FALSE)),NA(),IF(Tools!BC17="  ",NA(),Tools!BC17))</f>
        <v>#N/A</v>
      </c>
    </row>
    <row r="21" spans="1:46" x14ac:dyDescent="0.25">
      <c r="A21" t="e">
        <f t="shared" si="4"/>
        <v>#N/A</v>
      </c>
      <c r="B21" s="108" t="e">
        <f>IFERROR(Tools!$BE18*WLS,NA())</f>
        <v>#N/A</v>
      </c>
      <c r="C21" s="466" t="e">
        <f ca="1">IF(ISNUMBER('Graph tools'!F78),'Graph tools'!F78,NA())</f>
        <v>#N/A</v>
      </c>
      <c r="D21" s="466"/>
      <c r="E21" s="466" t="e">
        <f t="shared" ca="1" si="5"/>
        <v>#N/A</v>
      </c>
      <c r="F21" s="466" t="e">
        <f ca="1">IF(ISNUMBER('Graph tools'!G78),'Graph tools'!G78,NA())</f>
        <v>#N/A</v>
      </c>
      <c r="G21" s="466" t="e">
        <f t="shared" ca="1" si="6"/>
        <v>#N/A</v>
      </c>
      <c r="H21" s="470"/>
      <c r="J21" s="63">
        <f>IFERROR(Tools!AD18*1,NA())</f>
        <v>13</v>
      </c>
      <c r="K21" s="63" t="str">
        <f>IF(ISNUMBER('Rise, etc.'!P19),'Rise, etc.'!P19,"-")</f>
        <v>-</v>
      </c>
      <c r="L21" s="63">
        <v>0</v>
      </c>
      <c r="M21" s="63">
        <f>IF(L21=0,0,VLOOKUP(Stn_WL,Tools!$AD$2:$BC$2,L21+1,FALSE)*WLS)</f>
        <v>0</v>
      </c>
      <c r="N21" s="465">
        <f t="shared" si="7"/>
        <v>0</v>
      </c>
      <c r="P21" s="467">
        <v>17</v>
      </c>
      <c r="Q21" s="467">
        <f t="shared" ca="1" si="0"/>
        <v>-0.16704631738800307</v>
      </c>
      <c r="R21" s="467">
        <f t="shared" si="8"/>
        <v>10.1</v>
      </c>
      <c r="S21" s="63" t="str">
        <f t="shared" ca="1" si="2"/>
        <v xml:space="preserve">-1.1,10.1 </v>
      </c>
      <c r="U21" s="468">
        <f>IF(Tools!AD18="  ",NA(),Tools!AD18)</f>
        <v>13</v>
      </c>
      <c r="V21" s="469">
        <f ca="1">IF(OR(IF(ISNUMBER(V$2),V$2&gt;=$U21,FALSE),IF(ISNUMBER(V$3),V$3&lt;=$U21,FALSE)),NA(),IF(Tools!AE18="  ",NA(),Tools!AE18))</f>
        <v>6.7</v>
      </c>
      <c r="W21" s="469">
        <f ca="1">IF(OR(IF(ISNUMBER(W$2),W$2&gt;=$U21,FALSE),IF(ISNUMBER(W$3),W$3&lt;=$U21,FALSE)),NA(),IF(Tools!AF18="  ",NA(),Tools!AF18))</f>
        <v>8.84</v>
      </c>
      <c r="X21" s="469">
        <f ca="1">IF(OR(IF(ISNUMBER(X$2),X$2&gt;=$U21,FALSE),IF(ISNUMBER(X$3),X$3&lt;=$U21,FALSE)),NA(),IF(Tools!AG18="  ",NA(),Tools!AG18))</f>
        <v>10.029999999999999</v>
      </c>
      <c r="Y21" s="469">
        <f ca="1">IF(OR(IF(ISNUMBER(Y$2),Y$2&gt;=$U21,FALSE),IF(ISNUMBER(Y$3),Y$3&lt;=$U21,FALSE)),NA(),IF(Tools!AH18="  ",NA(),Tools!AH18))</f>
        <v>10.68</v>
      </c>
      <c r="Z21" s="469">
        <f ca="1">IF(OR(IF(ISNUMBER(Z$2),Z$2&gt;=$U21,FALSE),IF(ISNUMBER(Z$3),Z$3&lt;=$U21,FALSE)),NA(),IF(Tools!AI18="  ",NA(),Tools!AI18))</f>
        <v>11.1</v>
      </c>
      <c r="AA21" s="469">
        <f ca="1">IF(OR(IF(ISNUMBER(AA$2),AA$2&gt;=$U21,FALSE),IF(ISNUMBER(AA$3),AA$3&lt;=$U21,FALSE)),NA(),IF(Tools!AJ18="  ",NA(),Tools!AJ18))</f>
        <v>11.64</v>
      </c>
      <c r="AB21" s="469">
        <f ca="1">IF(OR(IF(ISNUMBER(AB$2),AB$2&gt;=$U21,FALSE),IF(ISNUMBER(AB$3),AB$3&lt;=$U21,FALSE)),NA(),IF(Tools!AK18="  ",NA(),Tools!AK18))</f>
        <v>11.97</v>
      </c>
      <c r="AC21" s="469">
        <f ca="1">IF(OR(IF(ISNUMBER(AC$2),AC$2&gt;=$U21,FALSE),IF(ISNUMBER(AC$3),AC$3&lt;=$U21,FALSE)),NA(),IF(Tools!AL18="  ",NA(),Tools!AL18))</f>
        <v>12.18</v>
      </c>
      <c r="AD21" s="469">
        <f ca="1">IF(OR(IF(ISNUMBER(AD$2),AD$2&gt;=$U21,FALSE),IF(ISNUMBER(AD$3),AD$3&lt;=$U21,FALSE)),NA(),IF(Tools!AM18="  ",NA(),Tools!AM18))</f>
        <v>12.22</v>
      </c>
      <c r="AE21" s="469">
        <f ca="1">IF(OR(IF(ISNUMBER(AE$2),AE$2&gt;=$U21,FALSE),IF(ISNUMBER(AE$3),AE$3&lt;=$U21,FALSE)),NA(),IF(Tools!AN18="  ",NA(),Tools!AN18))</f>
        <v>12.23</v>
      </c>
      <c r="AF21" s="469">
        <f ca="1">IF(OR(IF(ISNUMBER(AF$2),AF$2&gt;=$U21,FALSE),IF(ISNUMBER(AF$3),AF$3&lt;=$U21,FALSE)),NA(),IF(Tools!AO18="  ",NA(),Tools!AO18))</f>
        <v>12.23</v>
      </c>
      <c r="AG21" s="469">
        <f ca="1">IF(OR(IF(ISNUMBER(AG$2),AG$2&gt;=$U21,FALSE),IF(ISNUMBER(AG$3),AG$3&lt;=$U21,FALSE)),NA(),IF(Tools!AP18="  ",NA(),Tools!AP18))</f>
        <v>12.25</v>
      </c>
      <c r="AH21" s="469" t="e">
        <f ca="1">IF(OR(IF(ISNUMBER(AH$2),AH$2&gt;=$U21,FALSE),IF(ISNUMBER(AH$3),AH$3&lt;=$U21,FALSE)),NA(),IF(Tools!AQ18="  ",NA(),Tools!AQ18))</f>
        <v>#N/A</v>
      </c>
      <c r="AI21" s="469" t="e">
        <f ca="1">IF(OR(IF(ISNUMBER(AI$2),AI$2&gt;=$U21,FALSE),IF(ISNUMBER(AI$3),AI$3&lt;=$U21,FALSE)),NA(),IF(Tools!AR18="  ",NA(),Tools!AR18))</f>
        <v>#N/A</v>
      </c>
      <c r="AJ21" s="469" t="e">
        <f ca="1">IF(OR(IF(ISNUMBER(AJ$2),AJ$2&gt;=$U21,FALSE),IF(ISNUMBER(AJ$3),AJ$3&lt;=$U21,FALSE)),NA(),IF(Tools!AS18="  ",NA(),Tools!AS18))</f>
        <v>#N/A</v>
      </c>
      <c r="AK21" s="469" t="e">
        <f ca="1">IF(OR(IF(ISNUMBER(AK$2),AK$2&gt;=$U21,FALSE),IF(ISNUMBER(AK$3),AK$3&lt;=$U21,FALSE)),NA(),IF(Tools!AT18="  ",NA(),Tools!AT18))</f>
        <v>#N/A</v>
      </c>
      <c r="AL21" s="469" t="e">
        <f ca="1">IF(OR(IF(ISNUMBER(AL$2),AL$2&gt;=$U21,FALSE),IF(ISNUMBER(AL$3),AL$3&lt;=$U21,FALSE)),NA(),IF(Tools!AU18="  ",NA(),Tools!AU18))</f>
        <v>#N/A</v>
      </c>
      <c r="AM21" s="469" t="e">
        <f ca="1">IF(OR(IF(ISNUMBER(AM$2),AM$2&gt;=$U21,FALSE),IF(ISNUMBER(AM$3),AM$3&lt;=$U21,FALSE)),NA(),IF(Tools!AV18="  ",NA(),Tools!AV18))</f>
        <v>#N/A</v>
      </c>
      <c r="AN21" s="469" t="e">
        <f ca="1">IF(OR(IF(ISNUMBER(AN$2),AN$2&gt;=$U21,FALSE),IF(ISNUMBER(AN$3),AN$3&lt;=$U21,FALSE)),NA(),IF(Tools!AW18="  ",NA(),Tools!AW18))</f>
        <v>#N/A</v>
      </c>
      <c r="AO21" s="469" t="e">
        <f ca="1">IF(OR(IF(ISNUMBER(AO$2),AO$2&gt;=$U21,FALSE),IF(ISNUMBER(AO$3),AO$3&lt;=$U21,FALSE)),NA(),IF(Tools!AX18="  ",NA(),Tools!AX18))</f>
        <v>#N/A</v>
      </c>
      <c r="AP21" s="469" t="e">
        <f ca="1">IF(OR(IF(ISNUMBER(AP$2),AP$2&gt;=$U21,FALSE),IF(ISNUMBER(AP$3),AP$3&lt;=$U21,FALSE)),NA(),IF(Tools!AY18="  ",NA(),Tools!AY18))</f>
        <v>#N/A</v>
      </c>
      <c r="AQ21" s="469" t="e">
        <f ca="1">IF(OR(IF(ISNUMBER(AQ$2),AQ$2&gt;=$U21,FALSE),IF(ISNUMBER(AQ$3),AQ$3&lt;=$U21,FALSE)),NA(),IF(Tools!AZ18="  ",NA(),Tools!AZ18))</f>
        <v>#N/A</v>
      </c>
      <c r="AR21" s="469" t="e">
        <f ca="1">IF(OR(IF(ISNUMBER(AR$2),AR$2&gt;=$U21,FALSE),IF(ISNUMBER(AR$3),AR$3&lt;=$U21,FALSE)),NA(),IF(Tools!BA18="  ",NA(),Tools!BA18))</f>
        <v>#N/A</v>
      </c>
      <c r="AS21" s="469" t="e">
        <f ca="1">IF(OR(IF(ISNUMBER(AS$2),AS$2&gt;=$U21,FALSE),IF(ISNUMBER(AS$3),AS$3&lt;=$U21,FALSE)),NA(),IF(Tools!BB18="  ",NA(),Tools!BB18))</f>
        <v>#N/A</v>
      </c>
      <c r="AT21" s="469" t="e">
        <f ca="1">IF(OR(IF(ISNUMBER(AT$2),AT$2&gt;=$U21,FALSE),IF(ISNUMBER(AT$3),AT$3&lt;=$U21,FALSE)),NA(),IF(Tools!BC18="  ",NA(),Tools!BC18))</f>
        <v>#N/A</v>
      </c>
    </row>
    <row r="22" spans="1:46" x14ac:dyDescent="0.25">
      <c r="A22" t="e">
        <f t="shared" si="4"/>
        <v>#N/A</v>
      </c>
      <c r="B22" s="108" t="e">
        <f>IFERROR(Tools!$BE19*WLS,NA())</f>
        <v>#N/A</v>
      </c>
      <c r="C22" s="466" t="e">
        <f ca="1">IF(ISNUMBER('Graph tools'!F79),'Graph tools'!F79,NA())</f>
        <v>#N/A</v>
      </c>
      <c r="D22" s="466"/>
      <c r="E22" s="466" t="e">
        <f t="shared" ca="1" si="5"/>
        <v>#N/A</v>
      </c>
      <c r="F22" s="466" t="e">
        <f ca="1">IF(ISNUMBER('Graph tools'!G79),'Graph tools'!G79,NA())</f>
        <v>#N/A</v>
      </c>
      <c r="G22" s="466" t="e">
        <f t="shared" ca="1" si="6"/>
        <v>#N/A</v>
      </c>
      <c r="H22" s="470"/>
      <c r="J22" s="63">
        <f>IFERROR(Tools!AD19*1,NA())</f>
        <v>14</v>
      </c>
      <c r="K22" s="63" t="str">
        <f>IF(ISNUMBER('Rise, etc.'!P20),'Rise, etc.'!P20,"-")</f>
        <v>-</v>
      </c>
      <c r="L22" s="63">
        <v>0</v>
      </c>
      <c r="M22" s="63">
        <f>IF(L22=0,0,VLOOKUP(Stn_WL,Tools!$AD$2:$BC$2,L22+1,FALSE)*WLS)</f>
        <v>0</v>
      </c>
      <c r="N22" s="465">
        <f t="shared" si="7"/>
        <v>0</v>
      </c>
      <c r="P22" s="467">
        <v>18</v>
      </c>
      <c r="Q22" s="467">
        <f t="shared" ca="1" si="0"/>
        <v>0.46317388003037208</v>
      </c>
      <c r="R22" s="467">
        <f t="shared" si="8"/>
        <v>9</v>
      </c>
      <c r="S22" s="63" t="str">
        <f t="shared" ca="1" si="2"/>
        <v xml:space="preserve">3.05,9 </v>
      </c>
      <c r="U22" s="468">
        <f>IF(Tools!AD19="  ",NA(),Tools!AD19)</f>
        <v>14</v>
      </c>
      <c r="V22" s="469">
        <f ca="1">IF(OR(IF(ISNUMBER(V$2),V$2&gt;=$U22,FALSE),IF(ISNUMBER(V$3),V$3&lt;=$U22,FALSE)),NA(),IF(Tools!AE19="  ",NA(),Tools!AE19))</f>
        <v>5.35</v>
      </c>
      <c r="W22" s="469">
        <f ca="1">IF(OR(IF(ISNUMBER(W$2),W$2&gt;=$U22,FALSE),IF(ISNUMBER(W$3),W$3&lt;=$U22,FALSE)),NA(),IF(Tools!AF19="  ",NA(),Tools!AF19))</f>
        <v>7.29</v>
      </c>
      <c r="X22" s="469">
        <f ca="1">IF(OR(IF(ISNUMBER(X$2),X$2&gt;=$U22,FALSE),IF(ISNUMBER(X$3),X$3&lt;=$U22,FALSE)),NA(),IF(Tools!AG19="  ",NA(),Tools!AG19))</f>
        <v>8.15</v>
      </c>
      <c r="Y22" s="469">
        <f ca="1">IF(OR(IF(ISNUMBER(Y$2),Y$2&gt;=$U22,FALSE),IF(ISNUMBER(Y$3),Y$3&lt;=$U22,FALSE)),NA(),IF(Tools!AH19="  ",NA(),Tools!AH19))</f>
        <v>9.25</v>
      </c>
      <c r="Z22" s="469">
        <f ca="1">IF(OR(IF(ISNUMBER(Z$2),Z$2&gt;=$U22,FALSE),IF(ISNUMBER(Z$3),Z$3&lt;=$U22,FALSE)),NA(),IF(Tools!AI19="  ",NA(),Tools!AI19))</f>
        <v>9.75</v>
      </c>
      <c r="AA22" s="469">
        <f ca="1">IF(OR(IF(ISNUMBER(AA$2),AA$2&gt;=$U22,FALSE),IF(ISNUMBER(AA$3),AA$3&lt;=$U22,FALSE)),NA(),IF(Tools!AJ19="  ",NA(),Tools!AJ19))</f>
        <v>10.5</v>
      </c>
      <c r="AB22" s="469">
        <f ca="1">IF(OR(IF(ISNUMBER(AB$2),AB$2&gt;=$U22,FALSE),IF(ISNUMBER(AB$3),AB$3&lt;=$U22,FALSE)),NA(),IF(Tools!AK19="  ",NA(),Tools!AK19))</f>
        <v>11.06</v>
      </c>
      <c r="AC22" s="469">
        <f ca="1">IF(OR(IF(ISNUMBER(AC$2),AC$2&gt;=$U22,FALSE),IF(ISNUMBER(AC$3),AC$3&lt;=$U22,FALSE)),NA(),IF(Tools!AL19="  ",NA(),Tools!AL19))</f>
        <v>11.46</v>
      </c>
      <c r="AD22" s="469">
        <f ca="1">IF(OR(IF(ISNUMBER(AD$2),AD$2&gt;=$U22,FALSE),IF(ISNUMBER(AD$3),AD$3&lt;=$U22,FALSE)),NA(),IF(Tools!AM19="  ",NA(),Tools!AM19))</f>
        <v>11.67</v>
      </c>
      <c r="AE22" s="469">
        <f ca="1">IF(OR(IF(ISNUMBER(AE$2),AE$2&gt;=$U22,FALSE),IF(ISNUMBER(AE$3),AE$3&lt;=$U22,FALSE)),NA(),IF(Tools!AN19="  ",NA(),Tools!AN19))</f>
        <v>11.79</v>
      </c>
      <c r="AF22" s="469">
        <f ca="1">IF(OR(IF(ISNUMBER(AF$2),AF$2&gt;=$U22,FALSE),IF(ISNUMBER(AF$3),AF$3&lt;=$U22,FALSE)),NA(),IF(Tools!AO19="  ",NA(),Tools!AO19))</f>
        <v>12.07</v>
      </c>
      <c r="AG22" s="469">
        <f ca="1">IF(OR(IF(ISNUMBER(AG$2),AG$2&gt;=$U22,FALSE),IF(ISNUMBER(AG$3),AG$3&lt;=$U22,FALSE)),NA(),IF(Tools!AP19="  ",NA(),Tools!AP19))</f>
        <v>12.23</v>
      </c>
      <c r="AH22" s="469" t="e">
        <f ca="1">IF(OR(IF(ISNUMBER(AH$2),AH$2&gt;=$U22,FALSE),IF(ISNUMBER(AH$3),AH$3&lt;=$U22,FALSE)),NA(),IF(Tools!AQ19="  ",NA(),Tools!AQ19))</f>
        <v>#N/A</v>
      </c>
      <c r="AI22" s="469" t="e">
        <f ca="1">IF(OR(IF(ISNUMBER(AI$2),AI$2&gt;=$U22,FALSE),IF(ISNUMBER(AI$3),AI$3&lt;=$U22,FALSE)),NA(),IF(Tools!AR19="  ",NA(),Tools!AR19))</f>
        <v>#N/A</v>
      </c>
      <c r="AJ22" s="469" t="e">
        <f ca="1">IF(OR(IF(ISNUMBER(AJ$2),AJ$2&gt;=$U22,FALSE),IF(ISNUMBER(AJ$3),AJ$3&lt;=$U22,FALSE)),NA(),IF(Tools!AS19="  ",NA(),Tools!AS19))</f>
        <v>#N/A</v>
      </c>
      <c r="AK22" s="469" t="e">
        <f ca="1">IF(OR(IF(ISNUMBER(AK$2),AK$2&gt;=$U22,FALSE),IF(ISNUMBER(AK$3),AK$3&lt;=$U22,FALSE)),NA(),IF(Tools!AT19="  ",NA(),Tools!AT19))</f>
        <v>#N/A</v>
      </c>
      <c r="AL22" s="469" t="e">
        <f ca="1">IF(OR(IF(ISNUMBER(AL$2),AL$2&gt;=$U22,FALSE),IF(ISNUMBER(AL$3),AL$3&lt;=$U22,FALSE)),NA(),IF(Tools!AU19="  ",NA(),Tools!AU19))</f>
        <v>#N/A</v>
      </c>
      <c r="AM22" s="469" t="e">
        <f ca="1">IF(OR(IF(ISNUMBER(AM$2),AM$2&gt;=$U22,FALSE),IF(ISNUMBER(AM$3),AM$3&lt;=$U22,FALSE)),NA(),IF(Tools!AV19="  ",NA(),Tools!AV19))</f>
        <v>#N/A</v>
      </c>
      <c r="AN22" s="469" t="e">
        <f ca="1">IF(OR(IF(ISNUMBER(AN$2),AN$2&gt;=$U22,FALSE),IF(ISNUMBER(AN$3),AN$3&lt;=$U22,FALSE)),NA(),IF(Tools!AW19="  ",NA(),Tools!AW19))</f>
        <v>#N/A</v>
      </c>
      <c r="AO22" s="469" t="e">
        <f ca="1">IF(OR(IF(ISNUMBER(AO$2),AO$2&gt;=$U22,FALSE),IF(ISNUMBER(AO$3),AO$3&lt;=$U22,FALSE)),NA(),IF(Tools!AX19="  ",NA(),Tools!AX19))</f>
        <v>#N/A</v>
      </c>
      <c r="AP22" s="469" t="e">
        <f ca="1">IF(OR(IF(ISNUMBER(AP$2),AP$2&gt;=$U22,FALSE),IF(ISNUMBER(AP$3),AP$3&lt;=$U22,FALSE)),NA(),IF(Tools!AY19="  ",NA(),Tools!AY19))</f>
        <v>#N/A</v>
      </c>
      <c r="AQ22" s="469" t="e">
        <f ca="1">IF(OR(IF(ISNUMBER(AQ$2),AQ$2&gt;=$U22,FALSE),IF(ISNUMBER(AQ$3),AQ$3&lt;=$U22,FALSE)),NA(),IF(Tools!AZ19="  ",NA(),Tools!AZ19))</f>
        <v>#N/A</v>
      </c>
      <c r="AR22" s="469" t="e">
        <f ca="1">IF(OR(IF(ISNUMBER(AR$2),AR$2&gt;=$U22,FALSE),IF(ISNUMBER(AR$3),AR$3&lt;=$U22,FALSE)),NA(),IF(Tools!BA19="  ",NA(),Tools!BA19))</f>
        <v>#N/A</v>
      </c>
      <c r="AS22" s="469" t="e">
        <f ca="1">IF(OR(IF(ISNUMBER(AS$2),AS$2&gt;=$U22,FALSE),IF(ISNUMBER(AS$3),AS$3&lt;=$U22,FALSE)),NA(),IF(Tools!BB19="  ",NA(),Tools!BB19))</f>
        <v>#N/A</v>
      </c>
      <c r="AT22" s="469" t="e">
        <f ca="1">IF(OR(IF(ISNUMBER(AT$2),AT$2&gt;=$U22,FALSE),IF(ISNUMBER(AT$3),AT$3&lt;=$U22,FALSE)),NA(),IF(Tools!BC19="  ",NA(),Tools!BC19))</f>
        <v>#N/A</v>
      </c>
    </row>
    <row r="23" spans="1:46" x14ac:dyDescent="0.25">
      <c r="A23" t="e">
        <f t="shared" si="4"/>
        <v>#N/A</v>
      </c>
      <c r="B23" s="108" t="e">
        <f>IFERROR(Tools!$BE20*WLS,NA())</f>
        <v>#N/A</v>
      </c>
      <c r="C23" s="466" t="e">
        <f ca="1">IF(ISNUMBER('Graph tools'!F80),'Graph tools'!F80,NA())</f>
        <v>#N/A</v>
      </c>
      <c r="D23" s="466"/>
      <c r="E23" s="466" t="e">
        <f t="shared" ca="1" si="5"/>
        <v>#N/A</v>
      </c>
      <c r="F23" s="466" t="e">
        <f ca="1">IF(ISNUMBER('Graph tools'!G80),'Graph tools'!G80,NA())</f>
        <v>#N/A</v>
      </c>
      <c r="G23" s="466" t="e">
        <f t="shared" ca="1" si="6"/>
        <v>#N/A</v>
      </c>
      <c r="H23" s="470"/>
      <c r="J23" s="63">
        <f>IFERROR(Tools!AD20*1,NA())</f>
        <v>15</v>
      </c>
      <c r="K23" s="63" t="str">
        <f>IF(ISNUMBER('Rise, etc.'!P21),'Rise, etc.'!P21,"-")</f>
        <v>-</v>
      </c>
      <c r="L23" s="63">
        <v>0</v>
      </c>
      <c r="M23" s="63">
        <f>IF(L23=0,0,VLOOKUP(Stn_WL,Tools!$AD$2:$BC$2,L23+1,FALSE)*WLS)</f>
        <v>0</v>
      </c>
      <c r="N23" s="465">
        <f t="shared" si="7"/>
        <v>0</v>
      </c>
      <c r="P23" s="467">
        <v>19</v>
      </c>
      <c r="Q23" s="467">
        <f t="shared" ca="1" si="0"/>
        <v>1.2452543659832955</v>
      </c>
      <c r="R23" s="467">
        <f t="shared" si="8"/>
        <v>7.2</v>
      </c>
      <c r="S23" s="63" t="str">
        <f t="shared" ca="1" si="2"/>
        <v xml:space="preserve">8.2,7.2 </v>
      </c>
      <c r="U23" s="468">
        <f>IF(Tools!AD20="  ",NA(),Tools!AD20)</f>
        <v>15</v>
      </c>
      <c r="V23" s="469">
        <f ca="1">IF(OR(IF(ISNUMBER(V$2),V$2&gt;=$U23,FALSE),IF(ISNUMBER(V$3),V$3&lt;=$U23,FALSE)),NA(),IF(Tools!AE20="  ",NA(),Tools!AE20))</f>
        <v>3.8</v>
      </c>
      <c r="W23" s="469">
        <f ca="1">IF(OR(IF(ISNUMBER(W$2),W$2&gt;=$U23,FALSE),IF(ISNUMBER(W$3),W$3&lt;=$U23,FALSE)),NA(),IF(Tools!AF20="  ",NA(),Tools!AF20))</f>
        <v>5.65</v>
      </c>
      <c r="X23" s="469">
        <f ca="1">IF(OR(IF(ISNUMBER(X$2),X$2&gt;=$U23,FALSE),IF(ISNUMBER(X$3),X$3&lt;=$U23,FALSE)),NA(),IF(Tools!AG20="  ",NA(),Tools!AG20))</f>
        <v>6.8</v>
      </c>
      <c r="Y23" s="469">
        <f ca="1">IF(OR(IF(ISNUMBER(Y$2),Y$2&gt;=$U23,FALSE),IF(ISNUMBER(Y$3),Y$3&lt;=$U23,FALSE)),NA(),IF(Tools!AH20="  ",NA(),Tools!AH20))</f>
        <v>7.54</v>
      </c>
      <c r="Z23" s="469">
        <f ca="1">IF(OR(IF(ISNUMBER(Z$2),Z$2&gt;=$U23,FALSE),IF(ISNUMBER(Z$3),Z$3&lt;=$U23,FALSE)),NA(),IF(Tools!AI20="  ",NA(),Tools!AI20))</f>
        <v>8.08</v>
      </c>
      <c r="AA23" s="469">
        <f ca="1">IF(OR(IF(ISNUMBER(AA$2),AA$2&gt;=$U23,FALSE),IF(ISNUMBER(AA$3),AA$3&lt;=$U23,FALSE)),NA(),IF(Tools!AJ20="  ",NA(),Tools!AJ20))</f>
        <v>8.91</v>
      </c>
      <c r="AB23" s="469">
        <f ca="1">IF(OR(IF(ISNUMBER(AB$2),AB$2&gt;=$U23,FALSE),IF(ISNUMBER(AB$3),AB$3&lt;=$U23,FALSE)),NA(),IF(Tools!AK20="  ",NA(),Tools!AK20))</f>
        <v>9.64</v>
      </c>
      <c r="AC23" s="469">
        <f ca="1">IF(OR(IF(ISNUMBER(AC$2),AC$2&gt;=$U23,FALSE),IF(ISNUMBER(AC$3),AC$3&lt;=$U23,FALSE)),NA(),IF(Tools!AL20="  ",NA(),Tools!AL20))</f>
        <v>10.26</v>
      </c>
      <c r="AD23" s="469">
        <f ca="1">IF(OR(IF(ISNUMBER(AD$2),AD$2&gt;=$U23,FALSE),IF(ISNUMBER(AD$3),AD$3&lt;=$U23,FALSE)),NA(),IF(Tools!AM20="  ",NA(),Tools!AM20))</f>
        <v>10.6</v>
      </c>
      <c r="AE23" s="469">
        <f ca="1">IF(OR(IF(ISNUMBER(AE$2),AE$2&gt;=$U23,FALSE),IF(ISNUMBER(AE$3),AE$3&lt;=$U23,FALSE)),NA(),IF(Tools!AN20="  ",NA(),Tools!AN20))</f>
        <v>10.8</v>
      </c>
      <c r="AF23" s="469">
        <f ca="1">IF(OR(IF(ISNUMBER(AF$2),AF$2&gt;=$U23,FALSE),IF(ISNUMBER(AF$3),AF$3&lt;=$U23,FALSE)),NA(),IF(Tools!AO20="  ",NA(),Tools!AO20))</f>
        <v>11.29</v>
      </c>
      <c r="AG23" s="469">
        <f ca="1">IF(OR(IF(ISNUMBER(AG$2),AG$2&gt;=$U23,FALSE),IF(ISNUMBER(AG$3),AG$3&lt;=$U23,FALSE)),NA(),IF(Tools!AP20="  ",NA(),Tools!AP20))</f>
        <v>12.15</v>
      </c>
      <c r="AH23" s="469" t="e">
        <f ca="1">IF(OR(IF(ISNUMBER(AH$2),AH$2&gt;=$U23,FALSE),IF(ISNUMBER(AH$3),AH$3&lt;=$U23,FALSE)),NA(),IF(Tools!AQ20="  ",NA(),Tools!AQ20))</f>
        <v>#N/A</v>
      </c>
      <c r="AI23" s="469" t="e">
        <f ca="1">IF(OR(IF(ISNUMBER(AI$2),AI$2&gt;=$U23,FALSE),IF(ISNUMBER(AI$3),AI$3&lt;=$U23,FALSE)),NA(),IF(Tools!AR20="  ",NA(),Tools!AR20))</f>
        <v>#N/A</v>
      </c>
      <c r="AJ23" s="469" t="e">
        <f ca="1">IF(OR(IF(ISNUMBER(AJ$2),AJ$2&gt;=$U23,FALSE),IF(ISNUMBER(AJ$3),AJ$3&lt;=$U23,FALSE)),NA(),IF(Tools!AS20="  ",NA(),Tools!AS20))</f>
        <v>#N/A</v>
      </c>
      <c r="AK23" s="469" t="e">
        <f ca="1">IF(OR(IF(ISNUMBER(AK$2),AK$2&gt;=$U23,FALSE),IF(ISNUMBER(AK$3),AK$3&lt;=$U23,FALSE)),NA(),IF(Tools!AT20="  ",NA(),Tools!AT20))</f>
        <v>#N/A</v>
      </c>
      <c r="AL23" s="469" t="e">
        <f ca="1">IF(OR(IF(ISNUMBER(AL$2),AL$2&gt;=$U23,FALSE),IF(ISNUMBER(AL$3),AL$3&lt;=$U23,FALSE)),NA(),IF(Tools!AU20="  ",NA(),Tools!AU20))</f>
        <v>#N/A</v>
      </c>
      <c r="AM23" s="469" t="e">
        <f ca="1">IF(OR(IF(ISNUMBER(AM$2),AM$2&gt;=$U23,FALSE),IF(ISNUMBER(AM$3),AM$3&lt;=$U23,FALSE)),NA(),IF(Tools!AV20="  ",NA(),Tools!AV20))</f>
        <v>#N/A</v>
      </c>
      <c r="AN23" s="469" t="e">
        <f ca="1">IF(OR(IF(ISNUMBER(AN$2),AN$2&gt;=$U23,FALSE),IF(ISNUMBER(AN$3),AN$3&lt;=$U23,FALSE)),NA(),IF(Tools!AW20="  ",NA(),Tools!AW20))</f>
        <v>#N/A</v>
      </c>
      <c r="AO23" s="469" t="e">
        <f ca="1">IF(OR(IF(ISNUMBER(AO$2),AO$2&gt;=$U23,FALSE),IF(ISNUMBER(AO$3),AO$3&lt;=$U23,FALSE)),NA(),IF(Tools!AX20="  ",NA(),Tools!AX20))</f>
        <v>#N/A</v>
      </c>
      <c r="AP23" s="469" t="e">
        <f ca="1">IF(OR(IF(ISNUMBER(AP$2),AP$2&gt;=$U23,FALSE),IF(ISNUMBER(AP$3),AP$3&lt;=$U23,FALSE)),NA(),IF(Tools!AY20="  ",NA(),Tools!AY20))</f>
        <v>#N/A</v>
      </c>
      <c r="AQ23" s="469" t="e">
        <f ca="1">IF(OR(IF(ISNUMBER(AQ$2),AQ$2&gt;=$U23,FALSE),IF(ISNUMBER(AQ$3),AQ$3&lt;=$U23,FALSE)),NA(),IF(Tools!AZ20="  ",NA(),Tools!AZ20))</f>
        <v>#N/A</v>
      </c>
      <c r="AR23" s="469" t="e">
        <f ca="1">IF(OR(IF(ISNUMBER(AR$2),AR$2&gt;=$U23,FALSE),IF(ISNUMBER(AR$3),AR$3&lt;=$U23,FALSE)),NA(),IF(Tools!BA20="  ",NA(),Tools!BA20))</f>
        <v>#N/A</v>
      </c>
      <c r="AS23" s="469" t="e">
        <f ca="1">IF(OR(IF(ISNUMBER(AS$2),AS$2&gt;=$U23,FALSE),IF(ISNUMBER(AS$3),AS$3&lt;=$U23,FALSE)),NA(),IF(Tools!BB20="  ",NA(),Tools!BB20))</f>
        <v>#N/A</v>
      </c>
      <c r="AT23" s="469" t="e">
        <f ca="1">IF(OR(IF(ISNUMBER(AT$2),AT$2&gt;=$U23,FALSE),IF(ISNUMBER(AT$3),AT$3&lt;=$U23,FALSE)),NA(),IF(Tools!BC20="  ",NA(),Tools!BC20))</f>
        <v>#N/A</v>
      </c>
    </row>
    <row r="24" spans="1:46" x14ac:dyDescent="0.25">
      <c r="A24" t="e">
        <f t="shared" si="4"/>
        <v>#N/A</v>
      </c>
      <c r="B24" s="108" t="e">
        <f>IFERROR(Tools!$BE21*WLS,NA())</f>
        <v>#N/A</v>
      </c>
      <c r="C24" s="466" t="e">
        <f ca="1">IF(ISNUMBER('Graph tools'!F81),'Graph tools'!F81,NA())</f>
        <v>#N/A</v>
      </c>
      <c r="D24" s="466"/>
      <c r="E24" s="466" t="e">
        <f t="shared" ca="1" si="5"/>
        <v>#N/A</v>
      </c>
      <c r="F24" s="466" t="e">
        <f ca="1">IF(ISNUMBER('Graph tools'!G81),'Graph tools'!G81,NA())</f>
        <v>#N/A</v>
      </c>
      <c r="G24" s="466" t="e">
        <f t="shared" ca="1" si="6"/>
        <v>#N/A</v>
      </c>
      <c r="H24" s="470"/>
      <c r="J24" s="63">
        <f>IFERROR(Tools!AD21*1,NA())</f>
        <v>16</v>
      </c>
      <c r="K24" s="63" t="str">
        <f>IF(ISNUMBER('Rise, etc.'!P22),'Rise, etc.'!P22,"-")</f>
        <v>-</v>
      </c>
      <c r="L24" s="63">
        <v>0</v>
      </c>
      <c r="M24" s="63">
        <f>IF(L24=0,0,VLOOKUP(Stn_WL,Tools!$AD$2:$BC$2,L24+1,FALSE)*WLS)</f>
        <v>0</v>
      </c>
      <c r="N24" s="465">
        <f t="shared" si="7"/>
        <v>0</v>
      </c>
      <c r="P24" s="467">
        <v>20</v>
      </c>
      <c r="Q24" s="467">
        <f t="shared" ca="1" si="0"/>
        <v>1.3667425968109341</v>
      </c>
      <c r="R24" s="467">
        <f t="shared" si="8"/>
        <v>5.4</v>
      </c>
      <c r="S24" s="63" t="str">
        <f t="shared" ca="1" si="2"/>
        <v xml:space="preserve">9,5.4 </v>
      </c>
      <c r="U24" s="468">
        <f>IF(Tools!AD21="  ",NA(),Tools!AD21)</f>
        <v>16</v>
      </c>
      <c r="V24" s="469">
        <f ca="1">IF(OR(IF(ISNUMBER(V$2),V$2&gt;=$U24,FALSE),IF(ISNUMBER(V$3),V$3&lt;=$U24,FALSE)),NA(),IF(Tools!AE21="  ",NA(),Tools!AE21))</f>
        <v>2.2200000000000002</v>
      </c>
      <c r="W24" s="469">
        <f ca="1">IF(OR(IF(ISNUMBER(W$2),W$2&gt;=$U24,FALSE),IF(ISNUMBER(W$3),W$3&lt;=$U24,FALSE)),NA(),IF(Tools!AF21="  ",NA(),Tools!AF21))</f>
        <v>4.05</v>
      </c>
      <c r="X24" s="469">
        <f ca="1">IF(OR(IF(ISNUMBER(X$2),X$2&gt;=$U24,FALSE),IF(ISNUMBER(X$3),X$3&lt;=$U24,FALSE)),NA(),IF(Tools!AG21="  ",NA(),Tools!AG21))</f>
        <v>5.0999999999999996</v>
      </c>
      <c r="Y24" s="469">
        <f ca="1">IF(OR(IF(ISNUMBER(Y$2),Y$2&gt;=$U24,FALSE),IF(ISNUMBER(Y$3),Y$3&lt;=$U24,FALSE)),NA(),IF(Tools!AH21="  ",NA(),Tools!AH21))</f>
        <v>5.74</v>
      </c>
      <c r="Z24" s="469">
        <f ca="1">IF(OR(IF(ISNUMBER(Z$2),Z$2&gt;=$U24,FALSE),IF(ISNUMBER(Z$3),Z$3&lt;=$U24,FALSE)),NA(),IF(Tools!AI21="  ",NA(),Tools!AI21))</f>
        <v>6.23</v>
      </c>
      <c r="AA24" s="469">
        <f ca="1">IF(OR(IF(ISNUMBER(AA$2),AA$2&gt;=$U24,FALSE),IF(ISNUMBER(AA$3),AA$3&lt;=$U24,FALSE)),NA(),IF(Tools!AJ21="  ",NA(),Tools!AJ21))</f>
        <v>7.02</v>
      </c>
      <c r="AB24" s="469">
        <f ca="1">IF(OR(IF(ISNUMBER(AB$2),AB$2&gt;=$U24,FALSE),IF(ISNUMBER(AB$3),AB$3&lt;=$U24,FALSE)),NA(),IF(Tools!AK21="  ",NA(),Tools!AK21))</f>
        <v>7.81</v>
      </c>
      <c r="AC24" s="469">
        <f ca="1">IF(OR(IF(ISNUMBER(AC$2),AC$2&gt;=$U24,FALSE),IF(ISNUMBER(AC$3),AC$3&lt;=$U24,FALSE)),NA(),IF(Tools!AL21="  ",NA(),Tools!AL21))</f>
        <v>8.6300000000000008</v>
      </c>
      <c r="AD24" s="469">
        <f ca="1">IF(OR(IF(ISNUMBER(AD$2),AD$2&gt;=$U24,FALSE),IF(ISNUMBER(AD$3),AD$3&lt;=$U24,FALSE)),NA(),IF(Tools!AM21="  ",NA(),Tools!AM21))</f>
        <v>9.1199999999999992</v>
      </c>
      <c r="AE24" s="469">
        <f ca="1">IF(OR(IF(ISNUMBER(AE$2),AE$2&gt;=$U24,FALSE),IF(ISNUMBER(AE$3),AE$3&lt;=$U24,FALSE)),NA(),IF(Tools!AN21="  ",NA(),Tools!AN21))</f>
        <v>9.43</v>
      </c>
      <c r="AF24" s="469">
        <f ca="1">IF(OR(IF(ISNUMBER(AF$2),AF$2&gt;=$U24,FALSE),IF(ISNUMBER(AF$3),AF$3&lt;=$U24,FALSE)),NA(),IF(Tools!AO21="  ",NA(),Tools!AO21))</f>
        <v>10.199999999999999</v>
      </c>
      <c r="AG24" s="469">
        <f ca="1">IF(OR(IF(ISNUMBER(AG$2),AG$2&gt;=$U24,FALSE),IF(ISNUMBER(AG$3),AG$3&lt;=$U24,FALSE)),NA(),IF(Tools!AP21="  ",NA(),Tools!AP21))</f>
        <v>11.75</v>
      </c>
      <c r="AH24" s="469" t="e">
        <f ca="1">IF(OR(IF(ISNUMBER(AH$2),AH$2&gt;=$U24,FALSE),IF(ISNUMBER(AH$3),AH$3&lt;=$U24,FALSE)),NA(),IF(Tools!AQ21="  ",NA(),Tools!AQ21))</f>
        <v>#N/A</v>
      </c>
      <c r="AI24" s="469" t="e">
        <f ca="1">IF(OR(IF(ISNUMBER(AI$2),AI$2&gt;=$U24,FALSE),IF(ISNUMBER(AI$3),AI$3&lt;=$U24,FALSE)),NA(),IF(Tools!AR21="  ",NA(),Tools!AR21))</f>
        <v>#N/A</v>
      </c>
      <c r="AJ24" s="469" t="e">
        <f ca="1">IF(OR(IF(ISNUMBER(AJ$2),AJ$2&gt;=$U24,FALSE),IF(ISNUMBER(AJ$3),AJ$3&lt;=$U24,FALSE)),NA(),IF(Tools!AS21="  ",NA(),Tools!AS21))</f>
        <v>#N/A</v>
      </c>
      <c r="AK24" s="469" t="e">
        <f ca="1">IF(OR(IF(ISNUMBER(AK$2),AK$2&gt;=$U24,FALSE),IF(ISNUMBER(AK$3),AK$3&lt;=$U24,FALSE)),NA(),IF(Tools!AT21="  ",NA(),Tools!AT21))</f>
        <v>#N/A</v>
      </c>
      <c r="AL24" s="469" t="e">
        <f ca="1">IF(OR(IF(ISNUMBER(AL$2),AL$2&gt;=$U24,FALSE),IF(ISNUMBER(AL$3),AL$3&lt;=$U24,FALSE)),NA(),IF(Tools!AU21="  ",NA(),Tools!AU21))</f>
        <v>#N/A</v>
      </c>
      <c r="AM24" s="469" t="e">
        <f ca="1">IF(OR(IF(ISNUMBER(AM$2),AM$2&gt;=$U24,FALSE),IF(ISNUMBER(AM$3),AM$3&lt;=$U24,FALSE)),NA(),IF(Tools!AV21="  ",NA(),Tools!AV21))</f>
        <v>#N/A</v>
      </c>
      <c r="AN24" s="469" t="e">
        <f ca="1">IF(OR(IF(ISNUMBER(AN$2),AN$2&gt;=$U24,FALSE),IF(ISNUMBER(AN$3),AN$3&lt;=$U24,FALSE)),NA(),IF(Tools!AW21="  ",NA(),Tools!AW21))</f>
        <v>#N/A</v>
      </c>
      <c r="AO24" s="469" t="e">
        <f ca="1">IF(OR(IF(ISNUMBER(AO$2),AO$2&gt;=$U24,FALSE),IF(ISNUMBER(AO$3),AO$3&lt;=$U24,FALSE)),NA(),IF(Tools!AX21="  ",NA(),Tools!AX21))</f>
        <v>#N/A</v>
      </c>
      <c r="AP24" s="469" t="e">
        <f ca="1">IF(OR(IF(ISNUMBER(AP$2),AP$2&gt;=$U24,FALSE),IF(ISNUMBER(AP$3),AP$3&lt;=$U24,FALSE)),NA(),IF(Tools!AY21="  ",NA(),Tools!AY21))</f>
        <v>#N/A</v>
      </c>
      <c r="AQ24" s="469" t="e">
        <f ca="1">IF(OR(IF(ISNUMBER(AQ$2),AQ$2&gt;=$U24,FALSE),IF(ISNUMBER(AQ$3),AQ$3&lt;=$U24,FALSE)),NA(),IF(Tools!AZ21="  ",NA(),Tools!AZ21))</f>
        <v>#N/A</v>
      </c>
      <c r="AR24" s="469" t="e">
        <f ca="1">IF(OR(IF(ISNUMBER(AR$2),AR$2&gt;=$U24,FALSE),IF(ISNUMBER(AR$3),AR$3&lt;=$U24,FALSE)),NA(),IF(Tools!BA21="  ",NA(),Tools!BA21))</f>
        <v>#N/A</v>
      </c>
      <c r="AS24" s="469" t="e">
        <f ca="1">IF(OR(IF(ISNUMBER(AS$2),AS$2&gt;=$U24,FALSE),IF(ISNUMBER(AS$3),AS$3&lt;=$U24,FALSE)),NA(),IF(Tools!BB21="  ",NA(),Tools!BB21))</f>
        <v>#N/A</v>
      </c>
      <c r="AT24" s="469" t="e">
        <f ca="1">IF(OR(IF(ISNUMBER(AT$2),AT$2&gt;=$U24,FALSE),IF(ISNUMBER(AT$3),AT$3&lt;=$U24,FALSE)),NA(),IF(Tools!BC21="  ",NA(),Tools!BC21))</f>
        <v>#N/A</v>
      </c>
    </row>
    <row r="25" spans="1:46" x14ac:dyDescent="0.25">
      <c r="A25" t="e">
        <f t="shared" si="4"/>
        <v>#N/A</v>
      </c>
      <c r="B25" s="108" t="e">
        <f>IFERROR(Tools!$BE22*WLS,NA())</f>
        <v>#N/A</v>
      </c>
      <c r="C25" s="466" t="e">
        <f ca="1">IF(ISNUMBER('Graph tools'!F82),'Graph tools'!F82,NA())</f>
        <v>#N/A</v>
      </c>
      <c r="D25" s="466"/>
      <c r="E25" s="466" t="e">
        <f t="shared" ca="1" si="5"/>
        <v>#N/A</v>
      </c>
      <c r="F25" s="466" t="e">
        <f ca="1">IF(ISNUMBER('Graph tools'!G82),'Graph tools'!G82,NA())</f>
        <v>#N/A</v>
      </c>
      <c r="G25" s="466" t="e">
        <f t="shared" ca="1" si="6"/>
        <v>#N/A</v>
      </c>
      <c r="H25" s="470"/>
      <c r="J25" s="63">
        <f>IFERROR(Tools!AD22*1,NA())</f>
        <v>17</v>
      </c>
      <c r="K25" s="63" t="str">
        <f>IF(ISNUMBER('Rise, etc.'!P23),'Rise, etc.'!P23,"-")</f>
        <v>-</v>
      </c>
      <c r="L25" s="63">
        <v>0</v>
      </c>
      <c r="M25" s="63">
        <f>IF(L25=0,0,VLOOKUP(Stn_WL,Tools!$AD$2:$BC$2,L25+1,FALSE)*WLS)</f>
        <v>0</v>
      </c>
      <c r="N25" s="465">
        <f t="shared" si="7"/>
        <v>0</v>
      </c>
      <c r="P25" s="467">
        <v>21</v>
      </c>
      <c r="Q25" s="467">
        <f t="shared" ca="1" si="0"/>
        <v>1.1845102505694762</v>
      </c>
      <c r="R25" s="467">
        <f t="shared" si="8"/>
        <v>3.6</v>
      </c>
      <c r="S25" s="63" t="str">
        <f t="shared" ca="1" si="2"/>
        <v xml:space="preserve">7.8,3.6 </v>
      </c>
      <c r="U25" s="468">
        <f>IF(Tools!AD22="  ",NA(),Tools!AD22)</f>
        <v>17</v>
      </c>
      <c r="V25" s="469">
        <f ca="1">IF(OR(IF(ISNUMBER(V$2),V$2&gt;=$U25,FALSE),IF(ISNUMBER(V$3),V$3&lt;=$U25,FALSE)),NA(),IF(Tools!AE22="  ",NA(),Tools!AE22))</f>
        <v>0.65</v>
      </c>
      <c r="W25" s="469">
        <f ca="1">IF(OR(IF(ISNUMBER(W$2),W$2&gt;=$U25,FALSE),IF(ISNUMBER(W$3),W$3&lt;=$U25,FALSE)),NA(),IF(Tools!AF22="  ",NA(),Tools!AF22))</f>
        <v>2.63</v>
      </c>
      <c r="X25" s="469">
        <f ca="1">IF(OR(IF(ISNUMBER(X$2),X$2&gt;=$U25,FALSE),IF(ISNUMBER(X$3),X$3&lt;=$U25,FALSE)),NA(),IF(Tools!AG22="  ",NA(),Tools!AG22))</f>
        <v>3.52</v>
      </c>
      <c r="Y25" s="469">
        <f ca="1">IF(OR(IF(ISNUMBER(Y$2),Y$2&gt;=$U25,FALSE),IF(ISNUMBER(Y$3),Y$3&lt;=$U25,FALSE)),NA(),IF(Tools!AH22="  ",NA(),Tools!AH22))</f>
        <v>4.0599999999999996</v>
      </c>
      <c r="Z25" s="469">
        <f ca="1">IF(OR(IF(ISNUMBER(Z$2),Z$2&gt;=$U25,FALSE),IF(ISNUMBER(Z$3),Z$3&lt;=$U25,FALSE)),NA(),IF(Tools!AI22="  ",NA(),Tools!AI22))</f>
        <v>4.43</v>
      </c>
      <c r="AA25" s="469">
        <f ca="1">IF(OR(IF(ISNUMBER(AA$2),AA$2&gt;=$U25,FALSE),IF(ISNUMBER(AA$3),AA$3&lt;=$U25,FALSE)),NA(),IF(Tools!AJ22="  ",NA(),Tools!AJ22))</f>
        <v>5.03</v>
      </c>
      <c r="AB25" s="469">
        <f ca="1">IF(OR(IF(ISNUMBER(AB$2),AB$2&gt;=$U25,FALSE),IF(ISNUMBER(AB$3),AB$3&lt;=$U25,FALSE)),NA(),IF(Tools!AK22="  ",NA(),Tools!AK22))</f>
        <v>5.69</v>
      </c>
      <c r="AC25" s="469">
        <f ca="1">IF(OR(IF(ISNUMBER(AC$2),AC$2&gt;=$U25,FALSE),IF(ISNUMBER(AC$3),AC$3&lt;=$U25,FALSE)),NA(),IF(Tools!AL22="  ",NA(),Tools!AL22))</f>
        <v>6.59</v>
      </c>
      <c r="AD25" s="469">
        <f ca="1">IF(OR(IF(ISNUMBER(AD$2),AD$2&gt;=$U25,FALSE),IF(ISNUMBER(AD$3),AD$3&lt;=$U25,FALSE)),NA(),IF(Tools!AM22="  ",NA(),Tools!AM22))</f>
        <v>7.22</v>
      </c>
      <c r="AE25" s="469">
        <f ca="1">IF(OR(IF(ISNUMBER(AE$2),AE$2&gt;=$U25,FALSE),IF(ISNUMBER(AE$3),AE$3&lt;=$U25,FALSE)),NA(),IF(Tools!AN22="  ",NA(),Tools!AN22))</f>
        <v>7.64</v>
      </c>
      <c r="AF25" s="469">
        <f ca="1">IF(OR(IF(ISNUMBER(AF$2),AF$2&gt;=$U25,FALSE),IF(ISNUMBER(AF$3),AF$3&lt;=$U25,FALSE)),NA(),IF(Tools!AO22="  ",NA(),Tools!AO22))</f>
        <v>8.73</v>
      </c>
      <c r="AG25" s="469">
        <f ca="1">IF(OR(IF(ISNUMBER(AG$2),AG$2&gt;=$U25,FALSE),IF(ISNUMBER(AG$3),AG$3&lt;=$U25,FALSE)),NA(),IF(Tools!AP22="  ",NA(),Tools!AP22))</f>
        <v>10.94</v>
      </c>
      <c r="AH25" s="469" t="e">
        <f ca="1">IF(OR(IF(ISNUMBER(AH$2),AH$2&gt;=$U25,FALSE),IF(ISNUMBER(AH$3),AH$3&lt;=$U25,FALSE)),NA(),IF(Tools!AQ22="  ",NA(),Tools!AQ22))</f>
        <v>#N/A</v>
      </c>
      <c r="AI25" s="469" t="e">
        <f ca="1">IF(OR(IF(ISNUMBER(AI$2),AI$2&gt;=$U25,FALSE),IF(ISNUMBER(AI$3),AI$3&lt;=$U25,FALSE)),NA(),IF(Tools!AR22="  ",NA(),Tools!AR22))</f>
        <v>#N/A</v>
      </c>
      <c r="AJ25" s="469" t="e">
        <f ca="1">IF(OR(IF(ISNUMBER(AJ$2),AJ$2&gt;=$U25,FALSE),IF(ISNUMBER(AJ$3),AJ$3&lt;=$U25,FALSE)),NA(),IF(Tools!AS22="  ",NA(),Tools!AS22))</f>
        <v>#N/A</v>
      </c>
      <c r="AK25" s="469" t="e">
        <f ca="1">IF(OR(IF(ISNUMBER(AK$2),AK$2&gt;=$U25,FALSE),IF(ISNUMBER(AK$3),AK$3&lt;=$U25,FALSE)),NA(),IF(Tools!AT22="  ",NA(),Tools!AT22))</f>
        <v>#N/A</v>
      </c>
      <c r="AL25" s="469" t="e">
        <f ca="1">IF(OR(IF(ISNUMBER(AL$2),AL$2&gt;=$U25,FALSE),IF(ISNUMBER(AL$3),AL$3&lt;=$U25,FALSE)),NA(),IF(Tools!AU22="  ",NA(),Tools!AU22))</f>
        <v>#N/A</v>
      </c>
      <c r="AM25" s="469" t="e">
        <f ca="1">IF(OR(IF(ISNUMBER(AM$2),AM$2&gt;=$U25,FALSE),IF(ISNUMBER(AM$3),AM$3&lt;=$U25,FALSE)),NA(),IF(Tools!AV22="  ",NA(),Tools!AV22))</f>
        <v>#N/A</v>
      </c>
      <c r="AN25" s="469" t="e">
        <f ca="1">IF(OR(IF(ISNUMBER(AN$2),AN$2&gt;=$U25,FALSE),IF(ISNUMBER(AN$3),AN$3&lt;=$U25,FALSE)),NA(),IF(Tools!AW22="  ",NA(),Tools!AW22))</f>
        <v>#N/A</v>
      </c>
      <c r="AO25" s="469" t="e">
        <f ca="1">IF(OR(IF(ISNUMBER(AO$2),AO$2&gt;=$U25,FALSE),IF(ISNUMBER(AO$3),AO$3&lt;=$U25,FALSE)),NA(),IF(Tools!AX22="  ",NA(),Tools!AX22))</f>
        <v>#N/A</v>
      </c>
      <c r="AP25" s="469" t="e">
        <f ca="1">IF(OR(IF(ISNUMBER(AP$2),AP$2&gt;=$U25,FALSE),IF(ISNUMBER(AP$3),AP$3&lt;=$U25,FALSE)),NA(),IF(Tools!AY22="  ",NA(),Tools!AY22))</f>
        <v>#N/A</v>
      </c>
      <c r="AQ25" s="469" t="e">
        <f ca="1">IF(OR(IF(ISNUMBER(AQ$2),AQ$2&gt;=$U25,FALSE),IF(ISNUMBER(AQ$3),AQ$3&lt;=$U25,FALSE)),NA(),IF(Tools!AZ22="  ",NA(),Tools!AZ22))</f>
        <v>#N/A</v>
      </c>
      <c r="AR25" s="469" t="e">
        <f ca="1">IF(OR(IF(ISNUMBER(AR$2),AR$2&gt;=$U25,FALSE),IF(ISNUMBER(AR$3),AR$3&lt;=$U25,FALSE)),NA(),IF(Tools!BA22="  ",NA(),Tools!BA22))</f>
        <v>#N/A</v>
      </c>
      <c r="AS25" s="469" t="e">
        <f ca="1">IF(OR(IF(ISNUMBER(AS$2),AS$2&gt;=$U25,FALSE),IF(ISNUMBER(AS$3),AS$3&lt;=$U25,FALSE)),NA(),IF(Tools!BB22="  ",NA(),Tools!BB22))</f>
        <v>#N/A</v>
      </c>
      <c r="AT25" s="469" t="e">
        <f ca="1">IF(OR(IF(ISNUMBER(AT$2),AT$2&gt;=$U25,FALSE),IF(ISNUMBER(AT$3),AT$3&lt;=$U25,FALSE)),NA(),IF(Tools!BC22="  ",NA(),Tools!BC22))</f>
        <v>#N/A</v>
      </c>
    </row>
    <row r="26" spans="1:46" x14ac:dyDescent="0.25">
      <c r="A26" t="e">
        <f t="shared" si="4"/>
        <v>#N/A</v>
      </c>
      <c r="B26" s="108" t="e">
        <f>IFERROR(Tools!$BE23*WLS,NA())</f>
        <v>#N/A</v>
      </c>
      <c r="C26" s="466" t="e">
        <f ca="1">IF(ISNUMBER('Graph tools'!F83),'Graph tools'!F83,NA())</f>
        <v>#N/A</v>
      </c>
      <c r="D26" s="466"/>
      <c r="E26" s="466" t="e">
        <f t="shared" ca="1" si="5"/>
        <v>#N/A</v>
      </c>
      <c r="F26" s="466" t="e">
        <f ca="1">IF(ISNUMBER('Graph tools'!G83),'Graph tools'!G83,NA())</f>
        <v>#N/A</v>
      </c>
      <c r="G26" s="466" t="e">
        <f t="shared" ca="1" si="6"/>
        <v>#N/A</v>
      </c>
      <c r="H26" s="470"/>
      <c r="J26" s="63">
        <f>IFERROR(Tools!AD23*1,NA())</f>
        <v>18</v>
      </c>
      <c r="K26" s="63" t="str">
        <f>IF(ISNUMBER('Rise, etc.'!P24),'Rise, etc.'!P24,"-")</f>
        <v>-</v>
      </c>
      <c r="L26" s="63">
        <v>0</v>
      </c>
      <c r="M26" s="63">
        <f>IF(L26=0,0,VLOOKUP(Stn_WL,Tools!$AD$2:$BC$2,L26+1,FALSE)*WLS)</f>
        <v>0</v>
      </c>
      <c r="N26" s="465">
        <f t="shared" si="7"/>
        <v>0</v>
      </c>
      <c r="P26" s="467">
        <v>22</v>
      </c>
      <c r="Q26" s="467">
        <f t="shared" ca="1" si="0"/>
        <v>1.3515565679574795</v>
      </c>
      <c r="R26" s="467">
        <f t="shared" si="8"/>
        <v>2.7</v>
      </c>
      <c r="S26" s="63" t="str">
        <f t="shared" ca="1" si="2"/>
        <v xml:space="preserve">8.9,2.7 </v>
      </c>
      <c r="U26" s="468">
        <f>IF(Tools!AD23="  ",NA(),Tools!AD23)</f>
        <v>18</v>
      </c>
      <c r="V26" s="469">
        <f ca="1">IF(OR(IF(ISNUMBER(V$2),V$2&gt;=$U26,FALSE),IF(ISNUMBER(V$3),V$3&lt;=$U26,FALSE)),NA(),IF(Tools!AE23="  ",NA(),Tools!AE23))</f>
        <v>0</v>
      </c>
      <c r="W26" s="469">
        <f ca="1">IF(OR(IF(ISNUMBER(W$2),W$2&gt;=$U26,FALSE),IF(ISNUMBER(W$3),W$3&lt;=$U26,FALSE)),NA(),IF(Tools!AF23="  ",NA(),Tools!AF23))</f>
        <v>1.49</v>
      </c>
      <c r="X26" s="469">
        <f ca="1">IF(OR(IF(ISNUMBER(X$2),X$2&gt;=$U26,FALSE),IF(ISNUMBER(X$3),X$3&lt;=$U26,FALSE)),NA(),IF(Tools!AG23="  ",NA(),Tools!AG23))</f>
        <v>2.23</v>
      </c>
      <c r="Y26" s="469">
        <f ca="1">IF(OR(IF(ISNUMBER(Y$2),Y$2&gt;=$U26,FALSE),IF(ISNUMBER(Y$3),Y$3&lt;=$U26,FALSE)),NA(),IF(Tools!AH23="  ",NA(),Tools!AH23))</f>
        <v>2.69</v>
      </c>
      <c r="Z26" s="469">
        <f ca="1">IF(OR(IF(ISNUMBER(Z$2),Z$2&gt;=$U26,FALSE),IF(ISNUMBER(Z$3),Z$3&lt;=$U26,FALSE)),NA(),IF(Tools!AI23="  ",NA(),Tools!AI23))</f>
        <v>2.97</v>
      </c>
      <c r="AA26" s="469">
        <f ca="1">IF(OR(IF(ISNUMBER(AA$2),AA$2&gt;=$U26,FALSE),IF(ISNUMBER(AA$3),AA$3&lt;=$U26,FALSE)),NA(),IF(Tools!AJ23="  ",NA(),Tools!AJ23))</f>
        <v>3.25</v>
      </c>
      <c r="AB26" s="469">
        <f ca="1">IF(OR(IF(ISNUMBER(AB$2),AB$2&gt;=$U26,FALSE),IF(ISNUMBER(AB$3),AB$3&lt;=$U26,FALSE)),NA(),IF(Tools!AK23="  ",NA(),Tools!AK23))</f>
        <v>3.51</v>
      </c>
      <c r="AC26" s="469">
        <f ca="1">IF(OR(IF(ISNUMBER(AC$2),AC$2&gt;=$U26,FALSE),IF(ISNUMBER(AC$3),AC$3&lt;=$U26,FALSE)),NA(),IF(Tools!AL23="  ",NA(),Tools!AL23))</f>
        <v>4.28</v>
      </c>
      <c r="AD26" s="469">
        <f ca="1">IF(OR(IF(ISNUMBER(AD$2),AD$2&gt;=$U26,FALSE),IF(ISNUMBER(AD$3),AD$3&lt;=$U26,FALSE)),NA(),IF(Tools!AM23="  ",NA(),Tools!AM23))</f>
        <v>4.97</v>
      </c>
      <c r="AE26" s="469">
        <f ca="1">IF(OR(IF(ISNUMBER(AE$2),AE$2&gt;=$U26,FALSE),IF(ISNUMBER(AE$3),AE$3&lt;=$U26,FALSE)),NA(),IF(Tools!AN23="  ",NA(),Tools!AN23))</f>
        <v>5.47</v>
      </c>
      <c r="AF26" s="469">
        <f ca="1">IF(OR(IF(ISNUMBER(AF$2),AF$2&gt;=$U26,FALSE),IF(ISNUMBER(AF$3),AF$3&lt;=$U26,FALSE)),NA(),IF(Tools!AO23="  ",NA(),Tools!AO23))</f>
        <v>6.84</v>
      </c>
      <c r="AG26" s="469">
        <f ca="1">IF(OR(IF(ISNUMBER(AG$2),AG$2&gt;=$U26,FALSE),IF(ISNUMBER(AG$3),AG$3&lt;=$U26,FALSE)),NA(),IF(Tools!AP23="  ",NA(),Tools!AP23))</f>
        <v>9.77</v>
      </c>
      <c r="AH26" s="469" t="e">
        <f ca="1">IF(OR(IF(ISNUMBER(AH$2),AH$2&gt;=$U26,FALSE),IF(ISNUMBER(AH$3),AH$3&lt;=$U26,FALSE)),NA(),IF(Tools!AQ23="  ",NA(),Tools!AQ23))</f>
        <v>#N/A</v>
      </c>
      <c r="AI26" s="469" t="e">
        <f ca="1">IF(OR(IF(ISNUMBER(AI$2),AI$2&gt;=$U26,FALSE),IF(ISNUMBER(AI$3),AI$3&lt;=$U26,FALSE)),NA(),IF(Tools!AR23="  ",NA(),Tools!AR23))</f>
        <v>#N/A</v>
      </c>
      <c r="AJ26" s="469" t="e">
        <f ca="1">IF(OR(IF(ISNUMBER(AJ$2),AJ$2&gt;=$U26,FALSE),IF(ISNUMBER(AJ$3),AJ$3&lt;=$U26,FALSE)),NA(),IF(Tools!AS23="  ",NA(),Tools!AS23))</f>
        <v>#N/A</v>
      </c>
      <c r="AK26" s="469" t="e">
        <f ca="1">IF(OR(IF(ISNUMBER(AK$2),AK$2&gt;=$U26,FALSE),IF(ISNUMBER(AK$3),AK$3&lt;=$U26,FALSE)),NA(),IF(Tools!AT23="  ",NA(),Tools!AT23))</f>
        <v>#N/A</v>
      </c>
      <c r="AL26" s="469" t="e">
        <f ca="1">IF(OR(IF(ISNUMBER(AL$2),AL$2&gt;=$U26,FALSE),IF(ISNUMBER(AL$3),AL$3&lt;=$U26,FALSE)),NA(),IF(Tools!AU23="  ",NA(),Tools!AU23))</f>
        <v>#N/A</v>
      </c>
      <c r="AM26" s="469" t="e">
        <f ca="1">IF(OR(IF(ISNUMBER(AM$2),AM$2&gt;=$U26,FALSE),IF(ISNUMBER(AM$3),AM$3&lt;=$U26,FALSE)),NA(),IF(Tools!AV23="  ",NA(),Tools!AV23))</f>
        <v>#N/A</v>
      </c>
      <c r="AN26" s="469" t="e">
        <f ca="1">IF(OR(IF(ISNUMBER(AN$2),AN$2&gt;=$U26,FALSE),IF(ISNUMBER(AN$3),AN$3&lt;=$U26,FALSE)),NA(),IF(Tools!AW23="  ",NA(),Tools!AW23))</f>
        <v>#N/A</v>
      </c>
      <c r="AO26" s="469" t="e">
        <f ca="1">IF(OR(IF(ISNUMBER(AO$2),AO$2&gt;=$U26,FALSE),IF(ISNUMBER(AO$3),AO$3&lt;=$U26,FALSE)),NA(),IF(Tools!AX23="  ",NA(),Tools!AX23))</f>
        <v>#N/A</v>
      </c>
      <c r="AP26" s="469" t="e">
        <f ca="1">IF(OR(IF(ISNUMBER(AP$2),AP$2&gt;=$U26,FALSE),IF(ISNUMBER(AP$3),AP$3&lt;=$U26,FALSE)),NA(),IF(Tools!AY23="  ",NA(),Tools!AY23))</f>
        <v>#N/A</v>
      </c>
      <c r="AQ26" s="469" t="e">
        <f ca="1">IF(OR(IF(ISNUMBER(AQ$2),AQ$2&gt;=$U26,FALSE),IF(ISNUMBER(AQ$3),AQ$3&lt;=$U26,FALSE)),NA(),IF(Tools!AZ23="  ",NA(),Tools!AZ23))</f>
        <v>#N/A</v>
      </c>
      <c r="AR26" s="469" t="e">
        <f ca="1">IF(OR(IF(ISNUMBER(AR$2),AR$2&gt;=$U26,FALSE),IF(ISNUMBER(AR$3),AR$3&lt;=$U26,FALSE)),NA(),IF(Tools!BA23="  ",NA(),Tools!BA23))</f>
        <v>#N/A</v>
      </c>
      <c r="AS26" s="469" t="e">
        <f ca="1">IF(OR(IF(ISNUMBER(AS$2),AS$2&gt;=$U26,FALSE),IF(ISNUMBER(AS$3),AS$3&lt;=$U26,FALSE)),NA(),IF(Tools!BB23="  ",NA(),Tools!BB23))</f>
        <v>#N/A</v>
      </c>
      <c r="AT26" s="469" t="e">
        <f ca="1">IF(OR(IF(ISNUMBER(AT$2),AT$2&gt;=$U26,FALSE),IF(ISNUMBER(AT$3),AT$3&lt;=$U26,FALSE)),NA(),IF(Tools!BC23="  ",NA(),Tools!BC23))</f>
        <v>#N/A</v>
      </c>
    </row>
    <row r="27" spans="1:46" x14ac:dyDescent="0.25">
      <c r="A27" t="e">
        <f t="shared" si="4"/>
        <v>#N/A</v>
      </c>
      <c r="B27" s="108" t="e">
        <f>IFERROR(Tools!$BE24*WLS,NA())</f>
        <v>#N/A</v>
      </c>
      <c r="C27" s="466" t="e">
        <f ca="1">IF(ISNUMBER('Graph tools'!F84),'Graph tools'!F84,NA())</f>
        <v>#N/A</v>
      </c>
      <c r="D27" s="466"/>
      <c r="E27" s="466" t="e">
        <f t="shared" ca="1" si="5"/>
        <v>#N/A</v>
      </c>
      <c r="F27" s="466" t="e">
        <f ca="1">IF(ISNUMBER('Graph tools'!G84),'Graph tools'!G84,NA())</f>
        <v>#N/A</v>
      </c>
      <c r="G27" s="466" t="e">
        <f t="shared" ca="1" si="6"/>
        <v>#N/A</v>
      </c>
      <c r="H27" s="470"/>
      <c r="J27" s="63">
        <f>IFERROR(Tools!AD24*1,NA())</f>
        <v>18.5</v>
      </c>
      <c r="K27" s="63">
        <f>IF(ISNUMBER('Rise, etc.'!P25),'Rise, etc.'!P25,"-")</f>
        <v>0.32</v>
      </c>
      <c r="L27" s="63">
        <v>1</v>
      </c>
      <c r="M27" s="63">
        <f>IF(L27=0,0,VLOOKUP(Stn_WL,Tools!$AD$2:$BC$2,L27+1,FALSE)*WLS)</f>
        <v>0</v>
      </c>
      <c r="N27" s="465">
        <f t="shared" si="7"/>
        <v>0.32</v>
      </c>
      <c r="P27" s="467">
        <v>23</v>
      </c>
      <c r="Q27" s="467">
        <f t="shared" ca="1" si="0"/>
        <v>1.5489749430523918</v>
      </c>
      <c r="R27" s="467">
        <f t="shared" si="8"/>
        <v>1.8</v>
      </c>
      <c r="S27" s="63" t="str">
        <f t="shared" ca="1" si="2"/>
        <v xml:space="preserve">10.2,1.8 </v>
      </c>
      <c r="U27" s="468">
        <f>IF(Tools!AD24="  ",NA(),Tools!AD24)</f>
        <v>18.5</v>
      </c>
      <c r="V27" s="469" t="e">
        <f ca="1">IF(OR(IF(ISNUMBER(V$2),V$2&gt;=$U27,FALSE),IF(ISNUMBER(V$3),V$3&lt;=$U27,FALSE)),NA(),IF(Tools!AE24="  ",NA(),Tools!AE24))</f>
        <v>#N/A</v>
      </c>
      <c r="W27" s="469">
        <f ca="1">IF(OR(IF(ISNUMBER(W$2),W$2&gt;=$U27,FALSE),IF(ISNUMBER(W$3),W$3&lt;=$U27,FALSE)),NA(),IF(Tools!AF24="  ",NA(),Tools!AF24))</f>
        <v>1.04</v>
      </c>
      <c r="X27" s="469">
        <f ca="1">IF(OR(IF(ISNUMBER(X$2),X$2&gt;=$U27,FALSE),IF(ISNUMBER(X$3),X$3&lt;=$U27,FALSE)),NA(),IF(Tools!AG24="  ",NA(),Tools!AG24))</f>
        <v>1.7</v>
      </c>
      <c r="Y27" s="469">
        <f ca="1">IF(OR(IF(ISNUMBER(Y$2),Y$2&gt;=$U27,FALSE),IF(ISNUMBER(Y$3),Y$3&lt;=$U27,FALSE)),NA(),IF(Tools!AH24="  ",NA(),Tools!AH24))</f>
        <v>2.14</v>
      </c>
      <c r="Z27" s="469">
        <f ca="1">IF(OR(IF(ISNUMBER(Z$2),Z$2&gt;=$U27,FALSE),IF(ISNUMBER(Z$3),Z$3&lt;=$U27,FALSE)),NA(),IF(Tools!AI24="  ",NA(),Tools!AI24))</f>
        <v>2.4</v>
      </c>
      <c r="AA27" s="469">
        <f ca="1">IF(OR(IF(ISNUMBER(AA$2),AA$2&gt;=$U27,FALSE),IF(ISNUMBER(AA$3),AA$3&lt;=$U27,FALSE)),NA(),IF(Tools!AJ24="  ",NA(),Tools!AJ24))</f>
        <v>2.57</v>
      </c>
      <c r="AB27" s="469">
        <f ca="1">IF(OR(IF(ISNUMBER(AB$2),AB$2&gt;=$U27,FALSE),IF(ISNUMBER(AB$3),AB$3&lt;=$U27,FALSE)),NA(),IF(Tools!AK24="  ",NA(),Tools!AK24))</f>
        <v>2.5499999999999998</v>
      </c>
      <c r="AC27" s="469">
        <f ca="1">IF(OR(IF(ISNUMBER(AC$2),AC$2&gt;=$U27,FALSE),IF(ISNUMBER(AC$3),AC$3&lt;=$U27,FALSE)),NA(),IF(Tools!AL24="  ",NA(),Tools!AL24))</f>
        <v>3.12</v>
      </c>
      <c r="AD27" s="469">
        <f ca="1">IF(OR(IF(ISNUMBER(AD$2),AD$2&gt;=$U27,FALSE),IF(ISNUMBER(AD$3),AD$3&lt;=$U27,FALSE)),NA(),IF(Tools!AM24="  ",NA(),Tools!AM24))</f>
        <v>3.79</v>
      </c>
      <c r="AE27" s="469">
        <f ca="1">IF(OR(IF(ISNUMBER(AE$2),AE$2&gt;=$U27,FALSE),IF(ISNUMBER(AE$3),AE$3&lt;=$U27,FALSE)),NA(),IF(Tools!AN24="  ",NA(),Tools!AN24))</f>
        <v>4.3</v>
      </c>
      <c r="AF27" s="469">
        <f ca="1">IF(OR(IF(ISNUMBER(AF$2),AF$2&gt;=$U27,FALSE),IF(ISNUMBER(AF$3),AF$3&lt;=$U27,FALSE)),NA(),IF(Tools!AO24="  ",NA(),Tools!AO24))</f>
        <v>5.71</v>
      </c>
      <c r="AG27" s="469">
        <f ca="1">IF(OR(IF(ISNUMBER(AG$2),AG$2&gt;=$U27,FALSE),IF(ISNUMBER(AG$3),AG$3&lt;=$U27,FALSE)),NA(),IF(Tools!AP24="  ",NA(),Tools!AP24))</f>
        <v>8.1</v>
      </c>
      <c r="AH27" s="469" t="e">
        <f ca="1">IF(OR(IF(ISNUMBER(AH$2),AH$2&gt;=$U27,FALSE),IF(ISNUMBER(AH$3),AH$3&lt;=$U27,FALSE)),NA(),IF(Tools!AQ24="  ",NA(),Tools!AQ24))</f>
        <v>#N/A</v>
      </c>
      <c r="AI27" s="469" t="e">
        <f ca="1">IF(OR(IF(ISNUMBER(AI$2),AI$2&gt;=$U27,FALSE),IF(ISNUMBER(AI$3),AI$3&lt;=$U27,FALSE)),NA(),IF(Tools!AR24="  ",NA(),Tools!AR24))</f>
        <v>#N/A</v>
      </c>
      <c r="AJ27" s="469" t="e">
        <f ca="1">IF(OR(IF(ISNUMBER(AJ$2),AJ$2&gt;=$U27,FALSE),IF(ISNUMBER(AJ$3),AJ$3&lt;=$U27,FALSE)),NA(),IF(Tools!AS24="  ",NA(),Tools!AS24))</f>
        <v>#N/A</v>
      </c>
      <c r="AK27" s="469" t="e">
        <f ca="1">IF(OR(IF(ISNUMBER(AK$2),AK$2&gt;=$U27,FALSE),IF(ISNUMBER(AK$3),AK$3&lt;=$U27,FALSE)),NA(),IF(Tools!AT24="  ",NA(),Tools!AT24))</f>
        <v>#N/A</v>
      </c>
      <c r="AL27" s="469" t="e">
        <f ca="1">IF(OR(IF(ISNUMBER(AL$2),AL$2&gt;=$U27,FALSE),IF(ISNUMBER(AL$3),AL$3&lt;=$U27,FALSE)),NA(),IF(Tools!AU24="  ",NA(),Tools!AU24))</f>
        <v>#N/A</v>
      </c>
      <c r="AM27" s="469" t="e">
        <f ca="1">IF(OR(IF(ISNUMBER(AM$2),AM$2&gt;=$U27,FALSE),IF(ISNUMBER(AM$3),AM$3&lt;=$U27,FALSE)),NA(),IF(Tools!AV24="  ",NA(),Tools!AV24))</f>
        <v>#N/A</v>
      </c>
      <c r="AN27" s="469" t="e">
        <f ca="1">IF(OR(IF(ISNUMBER(AN$2),AN$2&gt;=$U27,FALSE),IF(ISNUMBER(AN$3),AN$3&lt;=$U27,FALSE)),NA(),IF(Tools!AW24="  ",NA(),Tools!AW24))</f>
        <v>#N/A</v>
      </c>
      <c r="AO27" s="469" t="e">
        <f ca="1">IF(OR(IF(ISNUMBER(AO$2),AO$2&gt;=$U27,FALSE),IF(ISNUMBER(AO$3),AO$3&lt;=$U27,FALSE)),NA(),IF(Tools!AX24="  ",NA(),Tools!AX24))</f>
        <v>#N/A</v>
      </c>
      <c r="AP27" s="469" t="e">
        <f ca="1">IF(OR(IF(ISNUMBER(AP$2),AP$2&gt;=$U27,FALSE),IF(ISNUMBER(AP$3),AP$3&lt;=$U27,FALSE)),NA(),IF(Tools!AY24="  ",NA(),Tools!AY24))</f>
        <v>#N/A</v>
      </c>
      <c r="AQ27" s="469" t="e">
        <f ca="1">IF(OR(IF(ISNUMBER(AQ$2),AQ$2&gt;=$U27,FALSE),IF(ISNUMBER(AQ$3),AQ$3&lt;=$U27,FALSE)),NA(),IF(Tools!AZ24="  ",NA(),Tools!AZ24))</f>
        <v>#N/A</v>
      </c>
      <c r="AR27" s="469" t="e">
        <f ca="1">IF(OR(IF(ISNUMBER(AR$2),AR$2&gt;=$U27,FALSE),IF(ISNUMBER(AR$3),AR$3&lt;=$U27,FALSE)),NA(),IF(Tools!BA24="  ",NA(),Tools!BA24))</f>
        <v>#N/A</v>
      </c>
      <c r="AS27" s="469" t="e">
        <f ca="1">IF(OR(IF(ISNUMBER(AS$2),AS$2&gt;=$U27,FALSE),IF(ISNUMBER(AS$3),AS$3&lt;=$U27,FALSE)),NA(),IF(Tools!BB24="  ",NA(),Tools!BB24))</f>
        <v>#N/A</v>
      </c>
      <c r="AT27" s="469" t="e">
        <f ca="1">IF(OR(IF(ISNUMBER(AT$2),AT$2&gt;=$U27,FALSE),IF(ISNUMBER(AT$3),AT$3&lt;=$U27,FALSE)),NA(),IF(Tools!BC24="  ",NA(),Tools!BC24))</f>
        <v>#N/A</v>
      </c>
    </row>
    <row r="28" spans="1:46" x14ac:dyDescent="0.25">
      <c r="A28" t="e">
        <f t="shared" si="4"/>
        <v>#N/A</v>
      </c>
      <c r="B28" s="108" t="e">
        <f>IFERROR(Tools!$BE25*WLS,NA())</f>
        <v>#N/A</v>
      </c>
      <c r="C28" s="466" t="e">
        <f ca="1">IF(ISNUMBER('Graph tools'!F85),'Graph tools'!F85,NA())</f>
        <v>#N/A</v>
      </c>
      <c r="D28" s="466"/>
      <c r="E28" s="466" t="e">
        <f t="shared" ca="1" si="5"/>
        <v>#N/A</v>
      </c>
      <c r="F28" s="466" t="e">
        <f ca="1">IF(ISNUMBER('Graph tools'!G85),'Graph tools'!G85,NA())</f>
        <v>#N/A</v>
      </c>
      <c r="G28" s="466" t="e">
        <f t="shared" ca="1" si="6"/>
        <v>#N/A</v>
      </c>
      <c r="H28" s="470"/>
      <c r="J28" s="63">
        <f>IFERROR(Tools!AD25*1,NA())</f>
        <v>19</v>
      </c>
      <c r="K28" s="63">
        <f>IF(ISNUMBER('Rise, etc.'!P26),'Rise, etc.'!P26,"-")</f>
        <v>0.66</v>
      </c>
      <c r="L28" s="63">
        <v>1</v>
      </c>
      <c r="M28" s="63">
        <f>IF(L28=0,0,VLOOKUP(Stn_WL,Tools!$AD$2:$BC$2,L28+1,FALSE)*WLS)</f>
        <v>0</v>
      </c>
      <c r="N28" s="465">
        <f t="shared" si="7"/>
        <v>0.66</v>
      </c>
      <c r="P28" s="467">
        <v>24</v>
      </c>
      <c r="Q28" s="467">
        <f t="shared" ca="1" si="0"/>
        <v>1.8526955201214883</v>
      </c>
      <c r="R28" s="467">
        <f t="shared" si="8"/>
        <v>0.9</v>
      </c>
      <c r="S28" s="63" t="str">
        <f t="shared" ca="1" si="2"/>
        <v xml:space="preserve">12.2,0.9 </v>
      </c>
      <c r="U28" s="468">
        <f>IF(Tools!AD25="  ",NA(),Tools!AD25)</f>
        <v>19</v>
      </c>
      <c r="V28" s="469" t="e">
        <f ca="1">IF(OR(IF(ISNUMBER(V$2),V$2&gt;=$U28,FALSE),IF(ISNUMBER(V$3),V$3&lt;=$U28,FALSE)),NA(),IF(Tools!AE25="  ",NA(),Tools!AE25))</f>
        <v>#N/A</v>
      </c>
      <c r="W28" s="469">
        <f ca="1">IF(OR(IF(ISNUMBER(W$2),W$2&gt;=$U28,FALSE),IF(ISNUMBER(W$3),W$3&lt;=$U28,FALSE)),NA(),IF(Tools!AF25="  ",NA(),Tools!AF25))</f>
        <v>0.64</v>
      </c>
      <c r="X28" s="469">
        <f ca="1">IF(OR(IF(ISNUMBER(X$2),X$2&gt;=$U28,FALSE),IF(ISNUMBER(X$3),X$3&lt;=$U28,FALSE)),NA(),IF(Tools!AG25="  ",NA(),Tools!AG25))</f>
        <v>1.27</v>
      </c>
      <c r="Y28" s="469">
        <f ca="1">IF(OR(IF(ISNUMBER(Y$2),Y$2&gt;=$U28,FALSE),IF(ISNUMBER(Y$3),Y$3&lt;=$U28,FALSE)),NA(),IF(Tools!AH25="  ",NA(),Tools!AH25))</f>
        <v>1.68</v>
      </c>
      <c r="Z28" s="469">
        <f ca="1">IF(OR(IF(ISNUMBER(Z$2),Z$2&gt;=$U28,FALSE),IF(ISNUMBER(Z$3),Z$3&lt;=$U28,FALSE)),NA(),IF(Tools!AI25="  ",NA(),Tools!AI25))</f>
        <v>1.96</v>
      </c>
      <c r="AA28" s="469">
        <f ca="1">IF(OR(IF(ISNUMBER(AA$2),AA$2&gt;=$U28,FALSE),IF(ISNUMBER(AA$3),AA$3&lt;=$U28,FALSE)),NA(),IF(Tools!AJ25="  ",NA(),Tools!AJ25))</f>
        <v>2.1</v>
      </c>
      <c r="AB28" s="469">
        <f ca="1">IF(OR(IF(ISNUMBER(AB$2),AB$2&gt;=$U28,FALSE),IF(ISNUMBER(AB$3),AB$3&lt;=$U28,FALSE)),NA(),IF(Tools!AK25="  ",NA(),Tools!AK25))</f>
        <v>1.8</v>
      </c>
      <c r="AC28" s="469">
        <f ca="1">IF(OR(IF(ISNUMBER(AC$2),AC$2&gt;=$U28,FALSE),IF(ISNUMBER(AC$3),AC$3&lt;=$U28,FALSE)),NA(),IF(Tools!AL25="  ",NA(),Tools!AL25))</f>
        <v>2</v>
      </c>
      <c r="AD28" s="469">
        <f ca="1">IF(OR(IF(ISNUMBER(AD$2),AD$2&gt;=$U28,FALSE),IF(ISNUMBER(AD$3),AD$3&lt;=$U28,FALSE)),NA(),IF(Tools!AM25="  ",NA(),Tools!AM25))</f>
        <v>2.61</v>
      </c>
      <c r="AE28" s="469">
        <f ca="1">IF(OR(IF(ISNUMBER(AE$2),AE$2&gt;=$U28,FALSE),IF(ISNUMBER(AE$3),AE$3&lt;=$U28,FALSE)),NA(),IF(Tools!AN25="  ",NA(),Tools!AN25))</f>
        <v>3.1</v>
      </c>
      <c r="AF28" s="469">
        <f ca="1">IF(OR(IF(ISNUMBER(AF$2),AF$2&gt;=$U28,FALSE),IF(ISNUMBER(AF$3),AF$3&lt;=$U28,FALSE)),NA(),IF(Tools!AO25="  ",NA(),Tools!AO25))</f>
        <v>4.42</v>
      </c>
      <c r="AG28" s="469">
        <f ca="1">IF(OR(IF(ISNUMBER(AG$2),AG$2&gt;=$U28,FALSE),IF(ISNUMBER(AG$3),AG$3&lt;=$U28,FALSE)),NA(),IF(Tools!AP25="  ",NA(),Tools!AP25))</f>
        <v>5.76</v>
      </c>
      <c r="AH28" s="469" t="e">
        <f ca="1">IF(OR(IF(ISNUMBER(AH$2),AH$2&gt;=$U28,FALSE),IF(ISNUMBER(AH$3),AH$3&lt;=$U28,FALSE)),NA(),IF(Tools!AQ25="  ",NA(),Tools!AQ25))</f>
        <v>#N/A</v>
      </c>
      <c r="AI28" s="469" t="e">
        <f ca="1">IF(OR(IF(ISNUMBER(AI$2),AI$2&gt;=$U28,FALSE),IF(ISNUMBER(AI$3),AI$3&lt;=$U28,FALSE)),NA(),IF(Tools!AR25="  ",NA(),Tools!AR25))</f>
        <v>#N/A</v>
      </c>
      <c r="AJ28" s="469" t="e">
        <f ca="1">IF(OR(IF(ISNUMBER(AJ$2),AJ$2&gt;=$U28,FALSE),IF(ISNUMBER(AJ$3),AJ$3&lt;=$U28,FALSE)),NA(),IF(Tools!AS25="  ",NA(),Tools!AS25))</f>
        <v>#N/A</v>
      </c>
      <c r="AK28" s="469" t="e">
        <f ca="1">IF(OR(IF(ISNUMBER(AK$2),AK$2&gt;=$U28,FALSE),IF(ISNUMBER(AK$3),AK$3&lt;=$U28,FALSE)),NA(),IF(Tools!AT25="  ",NA(),Tools!AT25))</f>
        <v>#N/A</v>
      </c>
      <c r="AL28" s="469" t="e">
        <f ca="1">IF(OR(IF(ISNUMBER(AL$2),AL$2&gt;=$U28,FALSE),IF(ISNUMBER(AL$3),AL$3&lt;=$U28,FALSE)),NA(),IF(Tools!AU25="  ",NA(),Tools!AU25))</f>
        <v>#N/A</v>
      </c>
      <c r="AM28" s="469" t="e">
        <f ca="1">IF(OR(IF(ISNUMBER(AM$2),AM$2&gt;=$U28,FALSE),IF(ISNUMBER(AM$3),AM$3&lt;=$U28,FALSE)),NA(),IF(Tools!AV25="  ",NA(),Tools!AV25))</f>
        <v>#N/A</v>
      </c>
      <c r="AN28" s="469" t="e">
        <f ca="1">IF(OR(IF(ISNUMBER(AN$2),AN$2&gt;=$U28,FALSE),IF(ISNUMBER(AN$3),AN$3&lt;=$U28,FALSE)),NA(),IF(Tools!AW25="  ",NA(),Tools!AW25))</f>
        <v>#N/A</v>
      </c>
      <c r="AO28" s="469" t="e">
        <f ca="1">IF(OR(IF(ISNUMBER(AO$2),AO$2&gt;=$U28,FALSE),IF(ISNUMBER(AO$3),AO$3&lt;=$U28,FALSE)),NA(),IF(Tools!AX25="  ",NA(),Tools!AX25))</f>
        <v>#N/A</v>
      </c>
      <c r="AP28" s="469" t="e">
        <f ca="1">IF(OR(IF(ISNUMBER(AP$2),AP$2&gt;=$U28,FALSE),IF(ISNUMBER(AP$3),AP$3&lt;=$U28,FALSE)),NA(),IF(Tools!AY25="  ",NA(),Tools!AY25))</f>
        <v>#N/A</v>
      </c>
      <c r="AQ28" s="469" t="e">
        <f ca="1">IF(OR(IF(ISNUMBER(AQ$2),AQ$2&gt;=$U28,FALSE),IF(ISNUMBER(AQ$3),AQ$3&lt;=$U28,FALSE)),NA(),IF(Tools!AZ25="  ",NA(),Tools!AZ25))</f>
        <v>#N/A</v>
      </c>
      <c r="AR28" s="469" t="e">
        <f ca="1">IF(OR(IF(ISNUMBER(AR$2),AR$2&gt;=$U28,FALSE),IF(ISNUMBER(AR$3),AR$3&lt;=$U28,FALSE)),NA(),IF(Tools!BA25="  ",NA(),Tools!BA25))</f>
        <v>#N/A</v>
      </c>
      <c r="AS28" s="469" t="e">
        <f ca="1">IF(OR(IF(ISNUMBER(AS$2),AS$2&gt;=$U28,FALSE),IF(ISNUMBER(AS$3),AS$3&lt;=$U28,FALSE)),NA(),IF(Tools!BB25="  ",NA(),Tools!BB25))</f>
        <v>#N/A</v>
      </c>
      <c r="AT28" s="469" t="e">
        <f ca="1">IF(OR(IF(ISNUMBER(AT$2),AT$2&gt;=$U28,FALSE),IF(ISNUMBER(AT$3),AT$3&lt;=$U28,FALSE)),NA(),IF(Tools!BC25="  ",NA(),Tools!BC25))</f>
        <v>#N/A</v>
      </c>
    </row>
    <row r="29" spans="1:46" x14ac:dyDescent="0.25">
      <c r="A29" t="e">
        <f t="shared" si="4"/>
        <v>#N/A</v>
      </c>
      <c r="B29" s="108" t="e">
        <f>IFERROR(Tools!$BE26*WLS,NA())</f>
        <v>#N/A</v>
      </c>
      <c r="C29" s="466" t="e">
        <f ca="1">IF(ISNUMBER('Graph tools'!F86),'Graph tools'!F86,NA())</f>
        <v>#N/A</v>
      </c>
      <c r="D29" s="466"/>
      <c r="E29" s="466" t="e">
        <f t="shared" ca="1" si="5"/>
        <v>#N/A</v>
      </c>
      <c r="F29" s="466" t="e">
        <f ca="1">IF(ISNUMBER('Graph tools'!G86),'Graph tools'!G86,NA())</f>
        <v>#N/A</v>
      </c>
      <c r="G29" s="466" t="e">
        <f t="shared" ca="1" si="6"/>
        <v>#N/A</v>
      </c>
      <c r="H29" s="470"/>
      <c r="J29" s="63">
        <f>IFERROR(Tools!AD26*1,NA())</f>
        <v>19.5</v>
      </c>
      <c r="K29" s="63">
        <f>IF(ISNUMBER('Rise, etc.'!P27),'Rise, etc.'!P27,"-")</f>
        <v>1</v>
      </c>
      <c r="L29" s="63">
        <v>2</v>
      </c>
      <c r="M29" s="63">
        <f>IF(L29=0,0,VLOOKUP(Stn_WL,Tools!$AD$2:$BC$2,L29+1,FALSE)*WLS)</f>
        <v>0.9</v>
      </c>
      <c r="N29" s="465">
        <f t="shared" si="7"/>
        <v>1</v>
      </c>
      <c r="P29" s="467">
        <v>25</v>
      </c>
      <c r="Q29" s="467">
        <f t="shared" ca="1" si="0"/>
        <v>2.3401670463173883</v>
      </c>
      <c r="R29" s="467">
        <f t="shared" si="8"/>
        <v>0</v>
      </c>
      <c r="S29" s="63" t="str">
        <f t="shared" ca="1" si="2"/>
        <v xml:space="preserve">15.41,0 </v>
      </c>
      <c r="U29" s="468">
        <f>IF(Tools!AD26="  ",NA(),Tools!AD26)</f>
        <v>19.5</v>
      </c>
      <c r="V29" s="469" t="e">
        <f ca="1">IF(OR(IF(ISNUMBER(V$2),V$2&gt;=$U29,FALSE),IF(ISNUMBER(V$3),V$3&lt;=$U29,FALSE)),NA(),IF(Tools!AE26="  ",NA(),Tools!AE26))</f>
        <v>#N/A</v>
      </c>
      <c r="W29" s="469" t="e">
        <f ca="1">IF(OR(IF(ISNUMBER(W$2),W$2&gt;=$U29,FALSE),IF(ISNUMBER(W$3),W$3&lt;=$U29,FALSE)),NA(),IF(Tools!AF26="  ",NA(),Tools!AF26))</f>
        <v>#N/A</v>
      </c>
      <c r="X29" s="469">
        <f ca="1">IF(OR(IF(ISNUMBER(X$2),X$2&gt;=$U29,FALSE),IF(ISNUMBER(X$3),X$3&lt;=$U29,FALSE)),NA(),IF(Tools!AG26="  ",NA(),Tools!AG26))</f>
        <v>0.86</v>
      </c>
      <c r="Y29" s="469">
        <f ca="1">IF(OR(IF(ISNUMBER(Y$2),Y$2&gt;=$U29,FALSE),IF(ISNUMBER(Y$3),Y$3&lt;=$U29,FALSE)),NA(),IF(Tools!AH26="  ",NA(),Tools!AH26))</f>
        <v>1.29</v>
      </c>
      <c r="Z29" s="469">
        <f ca="1">IF(OR(IF(ISNUMBER(Z$2),Z$2&gt;=$U29,FALSE),IF(ISNUMBER(Z$3),Z$3&lt;=$U29,FALSE)),NA(),IF(Tools!AI26="  ",NA(),Tools!AI26))</f>
        <v>1.6</v>
      </c>
      <c r="AA29" s="469">
        <f ca="1">IF(OR(IF(ISNUMBER(AA$2),AA$2&gt;=$U29,FALSE),IF(ISNUMBER(AA$3),AA$3&lt;=$U29,FALSE)),NA(),IF(Tools!AJ26="  ",NA(),Tools!AJ26))</f>
        <v>1.77</v>
      </c>
      <c r="AB29" s="469">
        <f ca="1">IF(OR(IF(ISNUMBER(AB$2),AB$2&gt;=$U29,FALSE),IF(ISNUMBER(AB$3),AB$3&lt;=$U29,FALSE)),NA(),IF(Tools!AK26="  ",NA(),Tools!AK26))</f>
        <v>1.31</v>
      </c>
      <c r="AC29" s="469">
        <f ca="1">IF(OR(IF(ISNUMBER(AC$2),AC$2&gt;=$U29,FALSE),IF(ISNUMBER(AC$3),AC$3&lt;=$U29,FALSE)),NA(),IF(Tools!AL26="  ",NA(),Tools!AL26))</f>
        <v>1</v>
      </c>
      <c r="AD29" s="469">
        <f ca="1">IF(OR(IF(ISNUMBER(AD$2),AD$2&gt;=$U29,FALSE),IF(ISNUMBER(AD$3),AD$3&lt;=$U29,FALSE)),NA(),IF(Tools!AM26="  ",NA(),Tools!AM26))</f>
        <v>1.44</v>
      </c>
      <c r="AE29" s="469">
        <f ca="1">IF(OR(IF(ISNUMBER(AE$2),AE$2&gt;=$U29,FALSE),IF(ISNUMBER(AE$3),AE$3&lt;=$U29,FALSE)),NA(),IF(Tools!AN26="  ",NA(),Tools!AN26))</f>
        <v>1.74</v>
      </c>
      <c r="AF29" s="469">
        <f ca="1">IF(OR(IF(ISNUMBER(AF$2),AF$2&gt;=$U29,FALSE),IF(ISNUMBER(AF$3),AF$3&lt;=$U29,FALSE)),NA(),IF(Tools!AO26="  ",NA(),Tools!AO26))</f>
        <v>2.79</v>
      </c>
      <c r="AG29" s="469">
        <f ca="1">IF(OR(IF(ISNUMBER(AG$2),AG$2&gt;=$U29,FALSE),IF(ISNUMBER(AG$3),AG$3&lt;=$U29,FALSE)),NA(),IF(Tools!AP26="  ",NA(),Tools!AP26))</f>
        <v>4.0999999999999996</v>
      </c>
      <c r="AH29" s="469" t="e">
        <f ca="1">IF(OR(IF(ISNUMBER(AH$2),AH$2&gt;=$U29,FALSE),IF(ISNUMBER(AH$3),AH$3&lt;=$U29,FALSE)),NA(),IF(Tools!AQ26="  ",NA(),Tools!AQ26))</f>
        <v>#N/A</v>
      </c>
      <c r="AI29" s="469" t="e">
        <f ca="1">IF(OR(IF(ISNUMBER(AI$2),AI$2&gt;=$U29,FALSE),IF(ISNUMBER(AI$3),AI$3&lt;=$U29,FALSE)),NA(),IF(Tools!AR26="  ",NA(),Tools!AR26))</f>
        <v>#N/A</v>
      </c>
      <c r="AJ29" s="469" t="e">
        <f ca="1">IF(OR(IF(ISNUMBER(AJ$2),AJ$2&gt;=$U29,FALSE),IF(ISNUMBER(AJ$3),AJ$3&lt;=$U29,FALSE)),NA(),IF(Tools!AS26="  ",NA(),Tools!AS26))</f>
        <v>#N/A</v>
      </c>
      <c r="AK29" s="469" t="e">
        <f ca="1">IF(OR(IF(ISNUMBER(AK$2),AK$2&gt;=$U29,FALSE),IF(ISNUMBER(AK$3),AK$3&lt;=$U29,FALSE)),NA(),IF(Tools!AT26="  ",NA(),Tools!AT26))</f>
        <v>#N/A</v>
      </c>
      <c r="AL29" s="469" t="e">
        <f ca="1">IF(OR(IF(ISNUMBER(AL$2),AL$2&gt;=$U29,FALSE),IF(ISNUMBER(AL$3),AL$3&lt;=$U29,FALSE)),NA(),IF(Tools!AU26="  ",NA(),Tools!AU26))</f>
        <v>#N/A</v>
      </c>
      <c r="AM29" s="469" t="e">
        <f ca="1">IF(OR(IF(ISNUMBER(AM$2),AM$2&gt;=$U29,FALSE),IF(ISNUMBER(AM$3),AM$3&lt;=$U29,FALSE)),NA(),IF(Tools!AV26="  ",NA(),Tools!AV26))</f>
        <v>#N/A</v>
      </c>
      <c r="AN29" s="469" t="e">
        <f ca="1">IF(OR(IF(ISNUMBER(AN$2),AN$2&gt;=$U29,FALSE),IF(ISNUMBER(AN$3),AN$3&lt;=$U29,FALSE)),NA(),IF(Tools!AW26="  ",NA(),Tools!AW26))</f>
        <v>#N/A</v>
      </c>
      <c r="AO29" s="469" t="e">
        <f ca="1">IF(OR(IF(ISNUMBER(AO$2),AO$2&gt;=$U29,FALSE),IF(ISNUMBER(AO$3),AO$3&lt;=$U29,FALSE)),NA(),IF(Tools!AX26="  ",NA(),Tools!AX26))</f>
        <v>#N/A</v>
      </c>
      <c r="AP29" s="469" t="e">
        <f ca="1">IF(OR(IF(ISNUMBER(AP$2),AP$2&gt;=$U29,FALSE),IF(ISNUMBER(AP$3),AP$3&lt;=$U29,FALSE)),NA(),IF(Tools!AY26="  ",NA(),Tools!AY26))</f>
        <v>#N/A</v>
      </c>
      <c r="AQ29" s="469" t="e">
        <f ca="1">IF(OR(IF(ISNUMBER(AQ$2),AQ$2&gt;=$U29,FALSE),IF(ISNUMBER(AQ$3),AQ$3&lt;=$U29,FALSE)),NA(),IF(Tools!AZ26="  ",NA(),Tools!AZ26))</f>
        <v>#N/A</v>
      </c>
      <c r="AR29" s="469" t="e">
        <f ca="1">IF(OR(IF(ISNUMBER(AR$2),AR$2&gt;=$U29,FALSE),IF(ISNUMBER(AR$3),AR$3&lt;=$U29,FALSE)),NA(),IF(Tools!BA26="  ",NA(),Tools!BA26))</f>
        <v>#N/A</v>
      </c>
      <c r="AS29" s="469" t="e">
        <f ca="1">IF(OR(IF(ISNUMBER(AS$2),AS$2&gt;=$U29,FALSE),IF(ISNUMBER(AS$3),AS$3&lt;=$U29,FALSE)),NA(),IF(Tools!BB26="  ",NA(),Tools!BB26))</f>
        <v>#N/A</v>
      </c>
      <c r="AT29" s="469" t="e">
        <f ca="1">IF(OR(IF(ISNUMBER(AT$2),AT$2&gt;=$U29,FALSE),IF(ISNUMBER(AT$3),AT$3&lt;=$U29,FALSE)),NA(),IF(Tools!BC26="  ",NA(),Tools!BC26))</f>
        <v>#N/A</v>
      </c>
    </row>
    <row r="30" spans="1:46" x14ac:dyDescent="0.25">
      <c r="A30" t="e">
        <f t="shared" si="4"/>
        <v>#N/A</v>
      </c>
      <c r="B30" s="108" t="e">
        <f>IFERROR(Tools!$BE27*WLS,NA())</f>
        <v>#N/A</v>
      </c>
      <c r="C30" s="466" t="e">
        <f ca="1">IF(ISNUMBER('Graph tools'!F87),'Graph tools'!F87,NA())</f>
        <v>#N/A</v>
      </c>
      <c r="D30" s="466"/>
      <c r="E30" s="466" t="e">
        <f t="shared" ca="1" si="5"/>
        <v>#N/A</v>
      </c>
      <c r="F30" s="466" t="e">
        <f ca="1">IF(ISNUMBER('Graph tools'!G87),'Graph tools'!G87,NA())</f>
        <v>#N/A</v>
      </c>
      <c r="G30" s="466" t="e">
        <f t="shared" ca="1" si="6"/>
        <v>#N/A</v>
      </c>
      <c r="H30" s="470"/>
      <c r="J30" s="63">
        <f>IFERROR(Tools!AD27*1,NA())</f>
        <v>20</v>
      </c>
      <c r="K30" s="63">
        <f>IF(ISNUMBER('Rise, etc.'!P28),'Rise, etc.'!P28,"-")</f>
        <v>2</v>
      </c>
      <c r="L30" s="63">
        <v>3</v>
      </c>
      <c r="M30" s="63">
        <f>IF(L30=0,0,VLOOKUP(Stn_WL,Tools!$AD$2:$BC$2,L30+1,FALSE)*WLS)</f>
        <v>1.8</v>
      </c>
      <c r="N30" s="465">
        <f t="shared" si="7"/>
        <v>2</v>
      </c>
      <c r="P30" s="467"/>
      <c r="Q30" s="467" t="e">
        <f t="shared" ref="Q30:Q54" ca="1" si="9">IF(OR((LBP+$N$42)/STN_GAP&lt;=J6,$N$41/STN_GAP&gt;=J6),NA(),J6)</f>
        <v>#N/A</v>
      </c>
      <c r="R30" s="467" t="e">
        <f t="shared" ref="R30:R54" ca="1" si="10">IF(ISERROR(Q30),NA(),N6)</f>
        <v>#N/A</v>
      </c>
      <c r="S30" s="63" t="str">
        <f t="shared" ca="1" si="2"/>
        <v/>
      </c>
      <c r="U30" s="468">
        <f>IF(Tools!AD27="  ",NA(),Tools!AD27)</f>
        <v>20</v>
      </c>
      <c r="V30" s="469" t="e">
        <f ca="1">IF(OR(IF(ISNUMBER(V$2),V$2&gt;=$U30,FALSE),IF(ISNUMBER(V$3),V$3&lt;=$U30,FALSE)),NA(),IF(Tools!AE27="  ",NA(),Tools!AE27))</f>
        <v>#N/A</v>
      </c>
      <c r="W30" s="469" t="e">
        <f ca="1">IF(OR(IF(ISNUMBER(W$2),W$2&gt;=$U30,FALSE),IF(ISNUMBER(W$3),W$3&lt;=$U30,FALSE)),NA(),IF(Tools!AF27="  ",NA(),Tools!AF27))</f>
        <v>#N/A</v>
      </c>
      <c r="X30" s="469" t="e">
        <f ca="1">IF(OR(IF(ISNUMBER(X$2),X$2&gt;=$U30,FALSE),IF(ISNUMBER(X$3),X$3&lt;=$U30,FALSE)),NA(),IF(Tools!AG27="  ",NA(),Tools!AG27))</f>
        <v>#N/A</v>
      </c>
      <c r="Y30" s="469">
        <f ca="1">IF(OR(IF(ISNUMBER(Y$2),Y$2&gt;=$U30,FALSE),IF(ISNUMBER(Y$3),Y$3&lt;=$U30,FALSE)),NA(),IF(Tools!AH27="  ",NA(),Tools!AH27))</f>
        <v>0.76</v>
      </c>
      <c r="Z30" s="469">
        <f ca="1">IF(OR(IF(ISNUMBER(Z$2),Z$2&gt;=$U30,FALSE),IF(ISNUMBER(Z$3),Z$3&lt;=$U30,FALSE)),NA(),IF(Tools!AI27="  ",NA(),Tools!AI27))</f>
        <v>1.1499999999999999</v>
      </c>
      <c r="AA30" s="469">
        <f ca="1">IF(OR(IF(ISNUMBER(AA$2),AA$2&gt;=$U30,FALSE),IF(ISNUMBER(AA$3),AA$3&lt;=$U30,FALSE)),NA(),IF(Tools!AJ27="  ",NA(),Tools!AJ27))</f>
        <v>1.45</v>
      </c>
      <c r="AB30" s="469">
        <f ca="1">IF(OR(IF(ISNUMBER(AB$2),AB$2&gt;=$U30,FALSE),IF(ISNUMBER(AB$3),AB$3&lt;=$U30,FALSE)),NA(),IF(Tools!AK27="  ",NA(),Tools!AK27))</f>
        <v>1.04</v>
      </c>
      <c r="AC30" s="469">
        <f ca="1">IF(OR(IF(ISNUMBER(AC$2),AC$2&gt;=$U30,FALSE),IF(ISNUMBER(AC$3),AC$3&lt;=$U30,FALSE)),NA(),IF(Tools!AL27="  ",NA(),Tools!AL27))</f>
        <v>0</v>
      </c>
      <c r="AD30" s="469" t="e">
        <f ca="1">IF(OR(IF(ISNUMBER(AD$2),AD$2&gt;=$U30,FALSE),IF(ISNUMBER(AD$3),AD$3&lt;=$U30,FALSE)),NA(),IF(Tools!AM27="  ",NA(),Tools!AM27))</f>
        <v>#N/A</v>
      </c>
      <c r="AE30" s="469">
        <f ca="1">IF(OR(IF(ISNUMBER(AE$2),AE$2&gt;=$U30,FALSE),IF(ISNUMBER(AE$3),AE$3&lt;=$U30,FALSE)),NA(),IF(Tools!AN27="  ",NA(),Tools!AN27))</f>
        <v>0.25</v>
      </c>
      <c r="AF30" s="469">
        <f ca="1">IF(OR(IF(ISNUMBER(AF$2),AF$2&gt;=$U30,FALSE),IF(ISNUMBER(AF$3),AF$3&lt;=$U30,FALSE)),NA(),IF(Tools!AO27="  ",NA(),Tools!AO27))</f>
        <v>0.85</v>
      </c>
      <c r="AG30" s="469">
        <f ca="1">IF(OR(IF(ISNUMBER(AG$2),AG$2&gt;=$U30,FALSE),IF(ISNUMBER(AG$3),AG$3&lt;=$U30,FALSE)),NA(),IF(Tools!AP27="  ",NA(),Tools!AP27))</f>
        <v>1.78</v>
      </c>
      <c r="AH30" s="469" t="e">
        <f ca="1">IF(OR(IF(ISNUMBER(AH$2),AH$2&gt;=$U30,FALSE),IF(ISNUMBER(AH$3),AH$3&lt;=$U30,FALSE)),NA(),IF(Tools!AQ27="  ",NA(),Tools!AQ27))</f>
        <v>#N/A</v>
      </c>
      <c r="AI30" s="469" t="e">
        <f ca="1">IF(OR(IF(ISNUMBER(AI$2),AI$2&gt;=$U30,FALSE),IF(ISNUMBER(AI$3),AI$3&lt;=$U30,FALSE)),NA(),IF(Tools!AR27="  ",NA(),Tools!AR27))</f>
        <v>#N/A</v>
      </c>
      <c r="AJ30" s="469" t="e">
        <f ca="1">IF(OR(IF(ISNUMBER(AJ$2),AJ$2&gt;=$U30,FALSE),IF(ISNUMBER(AJ$3),AJ$3&lt;=$U30,FALSE)),NA(),IF(Tools!AS27="  ",NA(),Tools!AS27))</f>
        <v>#N/A</v>
      </c>
      <c r="AK30" s="469" t="e">
        <f ca="1">IF(OR(IF(ISNUMBER(AK$2),AK$2&gt;=$U30,FALSE),IF(ISNUMBER(AK$3),AK$3&lt;=$U30,FALSE)),NA(),IF(Tools!AT27="  ",NA(),Tools!AT27))</f>
        <v>#N/A</v>
      </c>
      <c r="AL30" s="469" t="e">
        <f ca="1">IF(OR(IF(ISNUMBER(AL$2),AL$2&gt;=$U30,FALSE),IF(ISNUMBER(AL$3),AL$3&lt;=$U30,FALSE)),NA(),IF(Tools!AU27="  ",NA(),Tools!AU27))</f>
        <v>#N/A</v>
      </c>
      <c r="AM30" s="469" t="e">
        <f ca="1">IF(OR(IF(ISNUMBER(AM$2),AM$2&gt;=$U30,FALSE),IF(ISNUMBER(AM$3),AM$3&lt;=$U30,FALSE)),NA(),IF(Tools!AV27="  ",NA(),Tools!AV27))</f>
        <v>#N/A</v>
      </c>
      <c r="AN30" s="469" t="e">
        <f ca="1">IF(OR(IF(ISNUMBER(AN$2),AN$2&gt;=$U30,FALSE),IF(ISNUMBER(AN$3),AN$3&lt;=$U30,FALSE)),NA(),IF(Tools!AW27="  ",NA(),Tools!AW27))</f>
        <v>#N/A</v>
      </c>
      <c r="AO30" s="469" t="e">
        <f ca="1">IF(OR(IF(ISNUMBER(AO$2),AO$2&gt;=$U30,FALSE),IF(ISNUMBER(AO$3),AO$3&lt;=$U30,FALSE)),NA(),IF(Tools!AX27="  ",NA(),Tools!AX27))</f>
        <v>#N/A</v>
      </c>
      <c r="AP30" s="469" t="e">
        <f ca="1">IF(OR(IF(ISNUMBER(AP$2),AP$2&gt;=$U30,FALSE),IF(ISNUMBER(AP$3),AP$3&lt;=$U30,FALSE)),NA(),IF(Tools!AY27="  ",NA(),Tools!AY27))</f>
        <v>#N/A</v>
      </c>
      <c r="AQ30" s="469" t="e">
        <f ca="1">IF(OR(IF(ISNUMBER(AQ$2),AQ$2&gt;=$U30,FALSE),IF(ISNUMBER(AQ$3),AQ$3&lt;=$U30,FALSE)),NA(),IF(Tools!AZ27="  ",NA(),Tools!AZ27))</f>
        <v>#N/A</v>
      </c>
      <c r="AR30" s="469" t="e">
        <f ca="1">IF(OR(IF(ISNUMBER(AR$2),AR$2&gt;=$U30,FALSE),IF(ISNUMBER(AR$3),AR$3&lt;=$U30,FALSE)),NA(),IF(Tools!BA27="  ",NA(),Tools!BA27))</f>
        <v>#N/A</v>
      </c>
      <c r="AS30" s="469" t="e">
        <f ca="1">IF(OR(IF(ISNUMBER(AS$2),AS$2&gt;=$U30,FALSE),IF(ISNUMBER(AS$3),AS$3&lt;=$U30,FALSE)),NA(),IF(Tools!BB27="  ",NA(),Tools!BB27))</f>
        <v>#N/A</v>
      </c>
      <c r="AT30" s="469" t="e">
        <f ca="1">IF(OR(IF(ISNUMBER(AT$2),AT$2&gt;=$U30,FALSE),IF(ISNUMBER(AT$3),AT$3&lt;=$U30,FALSE)),NA(),IF(Tools!BC27="  ",NA(),Tools!BC27))</f>
        <v>#N/A</v>
      </c>
    </row>
    <row r="31" spans="1:46" x14ac:dyDescent="0.25">
      <c r="P31" s="467"/>
      <c r="Q31" s="467" t="e">
        <f t="shared" ca="1" si="9"/>
        <v>#N/A</v>
      </c>
      <c r="R31" s="467" t="e">
        <f t="shared" ca="1" si="10"/>
        <v>#N/A</v>
      </c>
      <c r="S31" s="63" t="str">
        <f t="shared" ca="1" si="2"/>
        <v/>
      </c>
      <c r="V31">
        <f>IF(ISNUMBER(V4),0,NA())</f>
        <v>0</v>
      </c>
      <c r="W31">
        <f t="shared" ref="W31:AT31" si="11">IF(ISNUMBER(W4),0,NA())</f>
        <v>0</v>
      </c>
      <c r="X31">
        <f t="shared" si="11"/>
        <v>0</v>
      </c>
      <c r="Y31">
        <f t="shared" si="11"/>
        <v>0</v>
      </c>
      <c r="Z31">
        <f t="shared" si="11"/>
        <v>0</v>
      </c>
      <c r="AA31">
        <f t="shared" si="11"/>
        <v>0</v>
      </c>
      <c r="AB31">
        <f t="shared" si="11"/>
        <v>0</v>
      </c>
      <c r="AC31">
        <f t="shared" si="11"/>
        <v>0</v>
      </c>
      <c r="AD31">
        <f t="shared" si="11"/>
        <v>0</v>
      </c>
      <c r="AE31">
        <f t="shared" si="11"/>
        <v>0</v>
      </c>
      <c r="AF31">
        <f t="shared" si="11"/>
        <v>0</v>
      </c>
      <c r="AG31">
        <f t="shared" si="11"/>
        <v>0</v>
      </c>
      <c r="AH31" t="e">
        <f t="shared" si="11"/>
        <v>#N/A</v>
      </c>
      <c r="AI31" t="e">
        <f t="shared" si="11"/>
        <v>#N/A</v>
      </c>
      <c r="AJ31" t="e">
        <f t="shared" si="11"/>
        <v>#N/A</v>
      </c>
      <c r="AK31" t="e">
        <f t="shared" si="11"/>
        <v>#N/A</v>
      </c>
      <c r="AL31" t="e">
        <f t="shared" si="11"/>
        <v>#N/A</v>
      </c>
      <c r="AM31" t="e">
        <f t="shared" si="11"/>
        <v>#N/A</v>
      </c>
      <c r="AN31" t="e">
        <f t="shared" si="11"/>
        <v>#N/A</v>
      </c>
      <c r="AO31" t="e">
        <f t="shared" si="11"/>
        <v>#N/A</v>
      </c>
      <c r="AP31" t="e">
        <f t="shared" si="11"/>
        <v>#N/A</v>
      </c>
      <c r="AQ31" t="e">
        <f t="shared" si="11"/>
        <v>#N/A</v>
      </c>
      <c r="AR31" t="e">
        <f t="shared" si="11"/>
        <v>#N/A</v>
      </c>
      <c r="AS31" t="e">
        <f t="shared" si="11"/>
        <v>#N/A</v>
      </c>
      <c r="AT31" t="e">
        <f t="shared" si="11"/>
        <v>#N/A</v>
      </c>
    </row>
    <row r="32" spans="1:46" x14ac:dyDescent="0.25">
      <c r="A32" t="str">
        <f t="shared" ref="A32:A52" ca="1" si="12">CONCATENATE(E6*STN_GAP,",0,",A6)</f>
        <v>118.7,0,0</v>
      </c>
      <c r="P32" s="467"/>
      <c r="Q32" s="467" t="e">
        <f t="shared" ca="1" si="9"/>
        <v>#N/A</v>
      </c>
      <c r="R32" s="467" t="e">
        <f t="shared" ca="1" si="10"/>
        <v>#N/A</v>
      </c>
      <c r="S32" s="63" t="str">
        <f t="shared" ca="1" si="2"/>
        <v/>
      </c>
    </row>
    <row r="33" spans="1:24" x14ac:dyDescent="0.25">
      <c r="A33" t="str">
        <f t="shared" ca="1" si="12"/>
        <v>127.8,0,1.62</v>
      </c>
      <c r="D33">
        <v>1</v>
      </c>
      <c r="E33">
        <f>HLOOKUP(Stn_WL,Tools!$AD$2:$AD$27,Max_STN_count-D33+2,FALSE)</f>
        <v>20</v>
      </c>
      <c r="F33">
        <f t="shared" ref="F33:F47" si="13">IF(AND(E33&gt;=LBP/STN_GAP/2,ISNUMBER(G33)),E33,NA())</f>
        <v>20</v>
      </c>
      <c r="G33">
        <f>IFERROR(VLOOKUP('Graph tools'!E33,Tools!$BC$128:$BD$152,2,FALSE)*1,NA())</f>
        <v>2</v>
      </c>
      <c r="I33">
        <f>Tools!AD3</f>
        <v>0</v>
      </c>
      <c r="J33">
        <f t="shared" ref="J33:J47" si="14">IF(AND(I33&lt;=LBP/STN_GAP/2,ISNUMBER(K33)),I33,NA())</f>
        <v>0</v>
      </c>
      <c r="K33">
        <f>IFERROR(VLOOKUP('Graph tools'!I33,Tools!$BC$128:$BD$152,2,FALSE)*1,NA())</f>
        <v>9.9</v>
      </c>
      <c r="P33" s="467"/>
      <c r="Q33" s="467" t="e">
        <f t="shared" ca="1" si="9"/>
        <v>#N/A</v>
      </c>
      <c r="R33" s="467" t="e">
        <f t="shared" ca="1" si="10"/>
        <v>#N/A</v>
      </c>
      <c r="S33" s="63" t="str">
        <f t="shared" ca="1" si="2"/>
        <v/>
      </c>
    </row>
    <row r="34" spans="1:24" x14ac:dyDescent="0.25">
      <c r="A34" t="str">
        <f t="shared" ca="1" si="12"/>
        <v>131.1,0,3.24</v>
      </c>
      <c r="D34">
        <v>2</v>
      </c>
      <c r="E34">
        <f>HLOOKUP(Stn_WL,Tools!$AD$2:$AD$27,Max_STN_count-D34+2,FALSE)</f>
        <v>19.5</v>
      </c>
      <c r="F34">
        <f t="shared" si="13"/>
        <v>19.5</v>
      </c>
      <c r="G34">
        <f>IFERROR(VLOOKUP('Graph tools'!E34,Tools!$BC$128:$BD$152,2,FALSE)*1,NA())</f>
        <v>1</v>
      </c>
      <c r="I34">
        <f>Tools!AD4</f>
        <v>0.5</v>
      </c>
      <c r="J34">
        <f t="shared" si="14"/>
        <v>0.5</v>
      </c>
      <c r="K34">
        <f>IFERROR(VLOOKUP('Graph tools'!I34,Tools!$BC$128:$BD$152,2,FALSE)*1,NA())</f>
        <v>8.9</v>
      </c>
      <c r="P34" s="467"/>
      <c r="Q34" s="467" t="e">
        <f t="shared" ca="1" si="9"/>
        <v>#N/A</v>
      </c>
      <c r="R34" s="467" t="e">
        <f t="shared" ca="1" si="10"/>
        <v>#N/A</v>
      </c>
      <c r="S34" s="63" t="str">
        <f t="shared" ca="1" si="2"/>
        <v/>
      </c>
    </row>
    <row r="35" spans="1:24" x14ac:dyDescent="0.25">
      <c r="A35" t="str">
        <f t="shared" ca="1" si="12"/>
        <v>133,0,4.86</v>
      </c>
      <c r="D35">
        <v>3</v>
      </c>
      <c r="E35">
        <f>HLOOKUP(Stn_WL,Tools!$AD$2:$AD$27,Max_STN_count-D35+2,FALSE)</f>
        <v>19</v>
      </c>
      <c r="F35">
        <f t="shared" si="13"/>
        <v>19</v>
      </c>
      <c r="G35">
        <f>IFERROR(VLOOKUP('Graph tools'!E35,Tools!$BC$128:$BD$152,2,FALSE)*1,NA())</f>
        <v>0.66</v>
      </c>
      <c r="I35">
        <f>Tools!AD5</f>
        <v>1</v>
      </c>
      <c r="J35">
        <f t="shared" si="14"/>
        <v>1</v>
      </c>
      <c r="K35">
        <f>IFERROR(VLOOKUP('Graph tools'!I35,Tools!$BC$128:$BD$152,2,FALSE)*1,NA())</f>
        <v>7.8</v>
      </c>
      <c r="P35" s="467"/>
      <c r="Q35" s="467">
        <f t="shared" ca="1" si="9"/>
        <v>3</v>
      </c>
      <c r="R35" s="467">
        <f t="shared" ca="1" si="10"/>
        <v>0</v>
      </c>
      <c r="S35" s="63" t="str">
        <f t="shared" ca="1" si="2"/>
        <v xml:space="preserve">19.755,0 </v>
      </c>
    </row>
    <row r="36" spans="1:24" x14ac:dyDescent="0.25">
      <c r="A36" t="str">
        <f t="shared" ca="1" si="12"/>
        <v>134.51,0,6.48</v>
      </c>
      <c r="D36">
        <v>4</v>
      </c>
      <c r="E36">
        <f>HLOOKUP(Stn_WL,Tools!$AD$2:$AD$27,Max_STN_count-D36+2,FALSE)</f>
        <v>18.5</v>
      </c>
      <c r="F36">
        <f t="shared" si="13"/>
        <v>18.5</v>
      </c>
      <c r="G36">
        <f>IFERROR(VLOOKUP('Graph tools'!E36,Tools!$BC$128:$BD$152,2,FALSE)*1,NA())</f>
        <v>0.32</v>
      </c>
      <c r="I36">
        <f>Tools!AD6</f>
        <v>1.5</v>
      </c>
      <c r="J36">
        <f t="shared" si="14"/>
        <v>1.5</v>
      </c>
      <c r="K36">
        <f>IFERROR(VLOOKUP('Graph tools'!I36,Tools!$BC$128:$BD$152,2,FALSE)*1,NA())</f>
        <v>1.95</v>
      </c>
      <c r="P36" s="467"/>
      <c r="Q36" s="467">
        <f t="shared" ca="1" si="9"/>
        <v>4</v>
      </c>
      <c r="R36" s="467">
        <f t="shared" ca="1" si="10"/>
        <v>0</v>
      </c>
      <c r="S36" s="63" t="str">
        <f t="shared" ca="1" si="2"/>
        <v xml:space="preserve">26.34,0 </v>
      </c>
      <c r="X36" t="e">
        <f ca="1">IF(OR(IF(ISNUMBER(W$2),W$2&gt;=$U7,FALSE),IF(ISNUMBER(W$3),W$3&lt;=$U7,FALSE)),NA(),IF(Tools!AF4="  ",NA(),Tools!AF4))</f>
        <v>#N/A</v>
      </c>
    </row>
    <row r="37" spans="1:24" x14ac:dyDescent="0.25">
      <c r="A37" t="str">
        <f t="shared" ca="1" si="12"/>
        <v>135.41,0,9.72</v>
      </c>
      <c r="D37">
        <v>5</v>
      </c>
      <c r="E37">
        <f>HLOOKUP(Stn_WL,Tools!$AD$2:$AD$27,Max_STN_count-D37+2,FALSE)</f>
        <v>18</v>
      </c>
      <c r="F37" t="e">
        <f t="shared" si="13"/>
        <v>#N/A</v>
      </c>
      <c r="G37" t="e">
        <f>IFERROR(VLOOKUP('Graph tools'!E37,Tools!$BC$128:$BD$152,2,FALSE)*1,NA())</f>
        <v>#N/A</v>
      </c>
      <c r="I37">
        <f>Tools!AD7</f>
        <v>2</v>
      </c>
      <c r="J37">
        <f t="shared" si="14"/>
        <v>2</v>
      </c>
      <c r="K37">
        <f>IFERROR(VLOOKUP('Graph tools'!I37,Tools!$BC$128:$BD$152,2,FALSE)*1,NA())</f>
        <v>0.56999999999999995</v>
      </c>
      <c r="P37" s="467"/>
      <c r="Q37" s="467">
        <f t="shared" ca="1" si="9"/>
        <v>5</v>
      </c>
      <c r="R37" s="467">
        <f t="shared" ca="1" si="10"/>
        <v>0</v>
      </c>
      <c r="S37" s="63" t="str">
        <f t="shared" ref="S37:S68" ca="1" si="15">IFERROR(CONCATENATE(Q37*STN_GAP,",",R37," "),"")</f>
        <v xml:space="preserve">32.925,0 </v>
      </c>
    </row>
    <row r="38" spans="1:24" x14ac:dyDescent="0.25">
      <c r="A38" t="str">
        <f t="shared" ca="1" si="12"/>
        <v>135.41,0,12.96</v>
      </c>
      <c r="D38">
        <v>6</v>
      </c>
      <c r="E38">
        <f>HLOOKUP(Stn_WL,Tools!$AD$2:$AD$27,Max_STN_count-D38+2,FALSE)</f>
        <v>17</v>
      </c>
      <c r="F38" t="e">
        <f t="shared" si="13"/>
        <v>#N/A</v>
      </c>
      <c r="G38" t="e">
        <f>IFERROR(VLOOKUP('Graph tools'!E38,Tools!$BC$128:$BD$152,2,FALSE)*1,NA())</f>
        <v>#N/A</v>
      </c>
      <c r="I38">
        <f>Tools!AD8</f>
        <v>3</v>
      </c>
      <c r="J38" t="e">
        <f t="shared" si="14"/>
        <v>#N/A</v>
      </c>
      <c r="K38" t="e">
        <f>IFERROR(VLOOKUP('Graph tools'!I38,Tools!$BC$128:$BD$152,2,FALSE)*1,NA())</f>
        <v>#N/A</v>
      </c>
      <c r="P38" s="467"/>
      <c r="Q38" s="467">
        <f t="shared" ca="1" si="9"/>
        <v>6</v>
      </c>
      <c r="R38" s="467">
        <f t="shared" ca="1" si="10"/>
        <v>0</v>
      </c>
      <c r="S38" s="63" t="str">
        <f t="shared" ca="1" si="15"/>
        <v xml:space="preserve">39.51,0 </v>
      </c>
    </row>
    <row r="39" spans="1:24" x14ac:dyDescent="0.25">
      <c r="A39" t="str">
        <f t="shared" ca="1" si="12"/>
        <v>133.8,0,16.2</v>
      </c>
      <c r="D39">
        <v>7</v>
      </c>
      <c r="E39">
        <f>HLOOKUP(Stn_WL,Tools!$AD$2:$AD$27,Max_STN_count-D39+2,FALSE)</f>
        <v>16</v>
      </c>
      <c r="F39" t="e">
        <f t="shared" si="13"/>
        <v>#N/A</v>
      </c>
      <c r="G39" t="e">
        <f>IFERROR(VLOOKUP('Graph tools'!E39,Tools!$BC$128:$BD$152,2,FALSE)*1,NA())</f>
        <v>#N/A</v>
      </c>
      <c r="I39">
        <f>Tools!AD9</f>
        <v>4</v>
      </c>
      <c r="J39" t="e">
        <f t="shared" si="14"/>
        <v>#N/A</v>
      </c>
      <c r="K39" t="e">
        <f>IFERROR(VLOOKUP('Graph tools'!I39,Tools!$BC$128:$BD$152,2,FALSE)*1,NA())</f>
        <v>#N/A</v>
      </c>
      <c r="P39" s="467"/>
      <c r="Q39" s="467">
        <f t="shared" ca="1" si="9"/>
        <v>7</v>
      </c>
      <c r="R39" s="467">
        <f t="shared" ca="1" si="10"/>
        <v>0</v>
      </c>
      <c r="S39" s="63" t="str">
        <f t="shared" ca="1" si="15"/>
        <v xml:space="preserve">46.095,0 </v>
      </c>
    </row>
    <row r="40" spans="1:24" x14ac:dyDescent="0.25">
      <c r="A40" t="str">
        <f t="shared" ca="1" si="12"/>
        <v>131.6,0,18.18</v>
      </c>
      <c r="D40">
        <v>8</v>
      </c>
      <c r="E40">
        <f>HLOOKUP(Stn_WL,Tools!$AD$2:$AD$27,Max_STN_count-D40+2,FALSE)</f>
        <v>15</v>
      </c>
      <c r="F40" t="e">
        <f t="shared" si="13"/>
        <v>#N/A</v>
      </c>
      <c r="G40" t="e">
        <f>IFERROR(VLOOKUP('Graph tools'!E40,Tools!$BC$128:$BD$152,2,FALSE)*1,NA())</f>
        <v>#N/A</v>
      </c>
      <c r="I40">
        <f>Tools!AD10</f>
        <v>5</v>
      </c>
      <c r="J40" t="e">
        <f t="shared" si="14"/>
        <v>#N/A</v>
      </c>
      <c r="K40" t="e">
        <f>IFERROR(VLOOKUP('Graph tools'!I40,Tools!$BC$128:$BD$152,2,FALSE)*1,NA())</f>
        <v>#N/A</v>
      </c>
      <c r="P40" s="467"/>
      <c r="Q40" s="467">
        <f t="shared" ca="1" si="9"/>
        <v>8</v>
      </c>
      <c r="R40" s="467">
        <f t="shared" ca="1" si="10"/>
        <v>0</v>
      </c>
      <c r="S40" s="63" t="str">
        <f t="shared" ca="1" si="15"/>
        <v xml:space="preserve">52.68,0 </v>
      </c>
    </row>
    <row r="41" spans="1:24" x14ac:dyDescent="0.25">
      <c r="A41" t="str">
        <f t="shared" ca="1" si="12"/>
        <v>132.2,0,19.44</v>
      </c>
      <c r="D41">
        <v>9</v>
      </c>
      <c r="E41">
        <f>HLOOKUP(Stn_WL,Tools!$AD$2:$AD$27,Max_STN_count-D41+2,FALSE)</f>
        <v>14</v>
      </c>
      <c r="F41" t="e">
        <f t="shared" si="13"/>
        <v>#N/A</v>
      </c>
      <c r="G41" t="e">
        <f>IFERROR(VLOOKUP('Graph tools'!E41,Tools!$BC$128:$BD$152,2,FALSE)*1,NA())</f>
        <v>#N/A</v>
      </c>
      <c r="I41">
        <f>Tools!AD11</f>
        <v>6</v>
      </c>
      <c r="J41" t="e">
        <f t="shared" si="14"/>
        <v>#N/A</v>
      </c>
      <c r="K41" t="e">
        <f>IFERROR(VLOOKUP('Graph tools'!I41,Tools!$BC$128:$BD$152,2,FALSE)*1,NA())</f>
        <v>#N/A</v>
      </c>
      <c r="M41" t="s">
        <v>351</v>
      </c>
      <c r="N41">
        <f>MAX('Rise, etc.'!T4:T28)</f>
        <v>15.41</v>
      </c>
      <c r="O41" t="s">
        <v>375</v>
      </c>
      <c r="P41" s="467"/>
      <c r="Q41" s="467">
        <f t="shared" ca="1" si="9"/>
        <v>9</v>
      </c>
      <c r="R41" s="467">
        <f t="shared" ca="1" si="10"/>
        <v>0</v>
      </c>
      <c r="S41" s="63" t="str">
        <f t="shared" ca="1" si="15"/>
        <v xml:space="preserve">59.265,0 </v>
      </c>
    </row>
    <row r="42" spans="1:24" x14ac:dyDescent="0.25">
      <c r="A42" t="str">
        <f t="shared" ca="1" si="12"/>
        <v>133.7,0,22.68</v>
      </c>
      <c r="D42">
        <v>10</v>
      </c>
      <c r="E42">
        <f>HLOOKUP(Stn_WL,Tools!$AD$2:$AD$27,Max_STN_count-D42+2,FALSE)</f>
        <v>13</v>
      </c>
      <c r="F42" t="e">
        <f t="shared" si="13"/>
        <v>#N/A</v>
      </c>
      <c r="G42" t="e">
        <f>IFERROR(VLOOKUP('Graph tools'!E42,Tools!$BC$128:$BD$152,2,FALSE)*1,NA())</f>
        <v>#N/A</v>
      </c>
      <c r="I42">
        <f>Tools!AD12</f>
        <v>7</v>
      </c>
      <c r="J42" t="e">
        <f t="shared" si="14"/>
        <v>#N/A</v>
      </c>
      <c r="K42" t="e">
        <f>IFERROR(VLOOKUP('Graph tools'!I42,Tools!$BC$128:$BD$152,2,FALSE)*1,NA())</f>
        <v>#N/A</v>
      </c>
      <c r="M42" t="s">
        <v>376</v>
      </c>
      <c r="N42">
        <f ca="1">MIN(OFFSET('Rise, etc.'!S3,1,,25,1))</f>
        <v>-13</v>
      </c>
      <c r="O42" t="s">
        <v>377</v>
      </c>
      <c r="P42" s="467"/>
      <c r="Q42" s="467">
        <f t="shared" ca="1" si="9"/>
        <v>10</v>
      </c>
      <c r="R42" s="467">
        <f t="shared" ca="1" si="10"/>
        <v>0</v>
      </c>
      <c r="S42" s="63" t="str">
        <f t="shared" ca="1" si="15"/>
        <v xml:space="preserve">65.85,0 </v>
      </c>
    </row>
    <row r="43" spans="1:24" x14ac:dyDescent="0.25">
      <c r="A43" t="str">
        <f t="shared" ca="1" si="12"/>
        <v>135,0,25.542</v>
      </c>
      <c r="D43">
        <v>11</v>
      </c>
      <c r="E43">
        <f>HLOOKUP(Stn_WL,Tools!$AD$2:$AD$27,Max_STN_count-D43+2,FALSE)</f>
        <v>12</v>
      </c>
      <c r="F43" t="e">
        <f t="shared" si="13"/>
        <v>#N/A</v>
      </c>
      <c r="G43" t="e">
        <f>IFERROR(VLOOKUP('Graph tools'!E43,Tools!$BC$128:$BD$152,2,FALSE)*1,NA())</f>
        <v>#N/A</v>
      </c>
      <c r="I43">
        <f>Tools!AD13</f>
        <v>8</v>
      </c>
      <c r="J43" t="e">
        <f t="shared" si="14"/>
        <v>#N/A</v>
      </c>
      <c r="K43" t="e">
        <f>IFERROR(VLOOKUP('Graph tools'!I43,Tools!$BC$128:$BD$152,2,FALSE)*1,NA())</f>
        <v>#N/A</v>
      </c>
      <c r="P43" s="467"/>
      <c r="Q43" s="467">
        <f t="shared" ca="1" si="9"/>
        <v>11</v>
      </c>
      <c r="R43" s="467">
        <f t="shared" ca="1" si="10"/>
        <v>0</v>
      </c>
      <c r="S43" s="63" t="str">
        <f t="shared" ca="1" si="15"/>
        <v xml:space="preserve">72.435,0 </v>
      </c>
    </row>
    <row r="44" spans="1:24" x14ac:dyDescent="0.25">
      <c r="A44" t="e">
        <f t="shared" ca="1" si="12"/>
        <v>#N/A</v>
      </c>
      <c r="D44">
        <v>12</v>
      </c>
      <c r="E44">
        <f>HLOOKUP(Stn_WL,Tools!$AD$2:$AD$27,Max_STN_count-D44+2,FALSE)</f>
        <v>11</v>
      </c>
      <c r="F44" t="e">
        <f t="shared" si="13"/>
        <v>#N/A</v>
      </c>
      <c r="G44" t="e">
        <f>IFERROR(VLOOKUP('Graph tools'!E44,Tools!$BC$128:$BD$152,2,FALSE)*1,NA())</f>
        <v>#N/A</v>
      </c>
      <c r="I44">
        <f>Tools!AD14</f>
        <v>9</v>
      </c>
      <c r="J44" t="e">
        <f t="shared" si="14"/>
        <v>#N/A</v>
      </c>
      <c r="K44" t="e">
        <f>IFERROR(VLOOKUP('Graph tools'!I44,Tools!$BC$128:$BD$152,2,FALSE)*1,NA())</f>
        <v>#N/A</v>
      </c>
      <c r="P44" s="467"/>
      <c r="Q44" s="467">
        <f t="shared" ca="1" si="9"/>
        <v>12</v>
      </c>
      <c r="R44" s="467">
        <f t="shared" ca="1" si="10"/>
        <v>0</v>
      </c>
      <c r="S44" s="63" t="str">
        <f t="shared" ca="1" si="15"/>
        <v xml:space="preserve">79.02,0 </v>
      </c>
      <c r="W44" t="str">
        <f>CONCATENATE(LBP,",0,",G33," ")</f>
        <v xml:space="preserve">131.7,0,2 </v>
      </c>
    </row>
    <row r="45" spans="1:24" x14ac:dyDescent="0.25">
      <c r="A45" t="e">
        <f t="shared" ca="1" si="12"/>
        <v>#N/A</v>
      </c>
      <c r="D45">
        <v>13</v>
      </c>
      <c r="E45">
        <f>HLOOKUP(Stn_WL,Tools!$AD$2:$AD$27,Max_STN_count-D45+2,FALSE)</f>
        <v>10</v>
      </c>
      <c r="F45" t="e">
        <f t="shared" si="13"/>
        <v>#N/A</v>
      </c>
      <c r="G45" t="e">
        <f>IFERROR(VLOOKUP('Graph tools'!E45,Tools!$BC$128:$BD$152,2,FALSE)*1,NA())</f>
        <v>#N/A</v>
      </c>
      <c r="I45">
        <f>Tools!AD15</f>
        <v>10</v>
      </c>
      <c r="J45" t="e">
        <f t="shared" si="14"/>
        <v>#N/A</v>
      </c>
      <c r="K45" t="e">
        <f>IFERROR(VLOOKUP('Graph tools'!I45,Tools!$BC$128:$BD$152,2,FALSE)*1,NA())</f>
        <v>#N/A</v>
      </c>
      <c r="P45" s="467"/>
      <c r="Q45" s="467">
        <f t="shared" ca="1" si="9"/>
        <v>13</v>
      </c>
      <c r="R45" s="467">
        <f t="shared" ca="1" si="10"/>
        <v>0</v>
      </c>
      <c r="S45" s="63" t="str">
        <f t="shared" ca="1" si="15"/>
        <v xml:space="preserve">85.605,0 </v>
      </c>
      <c r="U45" s="467">
        <f>IFERROR(B6,"")</f>
        <v>0</v>
      </c>
      <c r="V45" s="467" t="str">
        <f ca="1">IFERROR(IF(C6&lt;=0,NA(),C6),"")</f>
        <v/>
      </c>
      <c r="W45" s="467" t="str">
        <f t="shared" ref="W45:W69" ca="1" si="16">IFERROR(IF(OR(V45="",U45=""),"",CONCATENATE(V45+LBP,",0,",U45," ")),"")</f>
        <v/>
      </c>
    </row>
    <row r="46" spans="1:24" x14ac:dyDescent="0.25">
      <c r="A46" t="e">
        <f t="shared" ca="1" si="12"/>
        <v>#N/A</v>
      </c>
      <c r="D46">
        <v>14</v>
      </c>
      <c r="E46">
        <f>HLOOKUP(Stn_WL,Tools!$AD$2:$AD$27,Max_STN_count-D46+2,FALSE)</f>
        <v>9</v>
      </c>
      <c r="F46" t="e">
        <f t="shared" si="13"/>
        <v>#N/A</v>
      </c>
      <c r="G46" t="e">
        <f>IFERROR(VLOOKUP('Graph tools'!E46,Tools!$BC$128:$BD$152,2,FALSE)*1,NA())</f>
        <v>#N/A</v>
      </c>
      <c r="I46">
        <f>Tools!AD16</f>
        <v>11</v>
      </c>
      <c r="J46" t="e">
        <f t="shared" si="14"/>
        <v>#N/A</v>
      </c>
      <c r="K46" t="e">
        <f>IFERROR(VLOOKUP('Graph tools'!I46,Tools!$BC$128:$BD$152,2,FALSE)*1,NA())</f>
        <v>#N/A</v>
      </c>
      <c r="P46" s="467"/>
      <c r="Q46" s="467">
        <f t="shared" ca="1" si="9"/>
        <v>14</v>
      </c>
      <c r="R46" s="467">
        <f t="shared" ca="1" si="10"/>
        <v>0</v>
      </c>
      <c r="S46" s="63" t="str">
        <f t="shared" ca="1" si="15"/>
        <v xml:space="preserve">92.19,0 </v>
      </c>
      <c r="U46" s="467">
        <f t="shared" ref="U46:U69" si="17">IFERROR(B7,"")</f>
        <v>0.9</v>
      </c>
      <c r="V46" s="467" t="str">
        <f ca="1">IFERROR(IF(C7&lt;=0,IF(AND(ISNUMBER(V45),V45&gt;=0),0,NA()),C7),"")</f>
        <v/>
      </c>
      <c r="W46" s="467" t="str">
        <f t="shared" ca="1" si="16"/>
        <v/>
      </c>
    </row>
    <row r="47" spans="1:24" x14ac:dyDescent="0.25">
      <c r="A47" t="e">
        <f t="shared" ca="1" si="12"/>
        <v>#N/A</v>
      </c>
      <c r="D47">
        <v>15</v>
      </c>
      <c r="E47">
        <f>HLOOKUP(Stn_WL,Tools!$AD$2:$AD$27,Max_STN_count-D47+2,FALSE)</f>
        <v>8</v>
      </c>
      <c r="F47" t="e">
        <f t="shared" si="13"/>
        <v>#N/A</v>
      </c>
      <c r="G47" t="e">
        <f>IFERROR(VLOOKUP('Graph tools'!E47,Tools!$BC$128:$BD$152,2,FALSE)*1,NA())</f>
        <v>#N/A</v>
      </c>
      <c r="I47">
        <f>Tools!AD17</f>
        <v>12</v>
      </c>
      <c r="J47" t="e">
        <f t="shared" si="14"/>
        <v>#N/A</v>
      </c>
      <c r="K47" t="e">
        <f>IFERROR(VLOOKUP('Graph tools'!I47,Tools!$BC$128:$BD$152,2,FALSE)*1,NA())</f>
        <v>#N/A</v>
      </c>
      <c r="P47" s="467"/>
      <c r="Q47" s="467">
        <f t="shared" ca="1" si="9"/>
        <v>15</v>
      </c>
      <c r="R47" s="467">
        <f t="shared" ca="1" si="10"/>
        <v>0</v>
      </c>
      <c r="S47" s="63" t="str">
        <f t="shared" ca="1" si="15"/>
        <v xml:space="preserve">98.775,0 </v>
      </c>
      <c r="U47" s="467">
        <f t="shared" si="17"/>
        <v>1.8</v>
      </c>
      <c r="V47" s="467" t="str">
        <f t="shared" ref="V47:V69" ca="1" si="18">IFERROR(IF(C8&lt;=0,IF(AND(ISNUMBER(V46),V46&gt;=0),0,NA()),C8),"")</f>
        <v/>
      </c>
      <c r="W47" s="467" t="str">
        <f t="shared" ca="1" si="16"/>
        <v/>
      </c>
    </row>
    <row r="48" spans="1:24" x14ac:dyDescent="0.25">
      <c r="A48" t="e">
        <f t="shared" ca="1" si="12"/>
        <v>#N/A</v>
      </c>
      <c r="P48" s="467"/>
      <c r="Q48" s="467">
        <f t="shared" ca="1" si="9"/>
        <v>16</v>
      </c>
      <c r="R48" s="467">
        <f t="shared" ca="1" si="10"/>
        <v>0</v>
      </c>
      <c r="S48" s="63" t="str">
        <f t="shared" ca="1" si="15"/>
        <v xml:space="preserve">105.36,0 </v>
      </c>
      <c r="U48" s="467">
        <f t="shared" si="17"/>
        <v>2.7</v>
      </c>
      <c r="V48" s="467">
        <f t="shared" ca="1" si="18"/>
        <v>1.3</v>
      </c>
      <c r="W48" s="467" t="str">
        <f t="shared" ca="1" si="16"/>
        <v xml:space="preserve">133,0,2.7 </v>
      </c>
    </row>
    <row r="49" spans="1:23" x14ac:dyDescent="0.25">
      <c r="A49" t="e">
        <f t="shared" ca="1" si="12"/>
        <v>#N/A</v>
      </c>
      <c r="P49" s="467"/>
      <c r="Q49" s="467">
        <f t="shared" ca="1" si="9"/>
        <v>17</v>
      </c>
      <c r="R49" s="467">
        <f t="shared" ca="1" si="10"/>
        <v>0</v>
      </c>
      <c r="S49" s="63" t="str">
        <f t="shared" ca="1" si="15"/>
        <v xml:space="preserve">111.945,0 </v>
      </c>
      <c r="U49" s="467">
        <f t="shared" si="17"/>
        <v>3.6</v>
      </c>
      <c r="V49" s="467">
        <f t="shared" ca="1" si="18"/>
        <v>2.81</v>
      </c>
      <c r="W49" s="467" t="str">
        <f t="shared" ca="1" si="16"/>
        <v xml:space="preserve">134.51,0,3.6 </v>
      </c>
    </row>
    <row r="50" spans="1:23" x14ac:dyDescent="0.25">
      <c r="A50" t="e">
        <f t="shared" ca="1" si="12"/>
        <v>#N/A</v>
      </c>
      <c r="P50" s="467"/>
      <c r="Q50" s="467">
        <f t="shared" ca="1" si="9"/>
        <v>18</v>
      </c>
      <c r="R50" s="467">
        <f t="shared" ca="1" si="10"/>
        <v>0</v>
      </c>
      <c r="S50" s="63" t="str">
        <f t="shared" ca="1" si="15"/>
        <v xml:space="preserve">118.53,0 </v>
      </c>
      <c r="U50" s="467">
        <f t="shared" si="17"/>
        <v>5.4</v>
      </c>
      <c r="V50" s="467">
        <f t="shared" ca="1" si="18"/>
        <v>3.71</v>
      </c>
      <c r="W50" s="467" t="str">
        <f t="shared" ca="1" si="16"/>
        <v xml:space="preserve">135.41,0,5.4 </v>
      </c>
    </row>
    <row r="51" spans="1:23" x14ac:dyDescent="0.25">
      <c r="A51" t="e">
        <f t="shared" ca="1" si="12"/>
        <v>#N/A</v>
      </c>
      <c r="P51" s="467"/>
      <c r="Q51" s="467" t="e">
        <f t="shared" ca="1" si="9"/>
        <v>#N/A</v>
      </c>
      <c r="R51" s="467" t="e">
        <f t="shared" ca="1" si="10"/>
        <v>#N/A</v>
      </c>
      <c r="S51" s="63" t="str">
        <f t="shared" ca="1" si="15"/>
        <v/>
      </c>
      <c r="U51" s="467">
        <f t="shared" si="17"/>
        <v>7.2</v>
      </c>
      <c r="V51" s="467">
        <f t="shared" ca="1" si="18"/>
        <v>3.71</v>
      </c>
      <c r="W51" s="467" t="str">
        <f t="shared" ca="1" si="16"/>
        <v xml:space="preserve">135.41,0,7.2 </v>
      </c>
    </row>
    <row r="52" spans="1:23" x14ac:dyDescent="0.25">
      <c r="A52" t="e">
        <f t="shared" ca="1" si="12"/>
        <v>#N/A</v>
      </c>
      <c r="P52" s="467"/>
      <c r="Q52" s="467" t="e">
        <f t="shared" ca="1" si="9"/>
        <v>#N/A</v>
      </c>
      <c r="R52" s="467" t="e">
        <f t="shared" ca="1" si="10"/>
        <v>#N/A</v>
      </c>
      <c r="S52" s="63" t="str">
        <f t="shared" ca="1" si="15"/>
        <v/>
      </c>
      <c r="U52" s="467">
        <f t="shared" si="17"/>
        <v>9</v>
      </c>
      <c r="V52" s="467">
        <f t="shared" ca="1" si="18"/>
        <v>2.1</v>
      </c>
      <c r="W52" s="467" t="str">
        <f t="shared" ca="1" si="16"/>
        <v xml:space="preserve">133.8,0,9 </v>
      </c>
    </row>
    <row r="53" spans="1:23" x14ac:dyDescent="0.25">
      <c r="P53" s="467"/>
      <c r="Q53" s="467" t="e">
        <f t="shared" ca="1" si="9"/>
        <v>#N/A</v>
      </c>
      <c r="R53" s="467" t="e">
        <f t="shared" ca="1" si="10"/>
        <v>#N/A</v>
      </c>
      <c r="S53" s="63" t="str">
        <f t="shared" ca="1" si="15"/>
        <v/>
      </c>
      <c r="U53" s="467">
        <f t="shared" si="17"/>
        <v>10.1</v>
      </c>
      <c r="V53" s="467">
        <f t="shared" ca="1" si="18"/>
        <v>0</v>
      </c>
      <c r="W53" s="467" t="str">
        <f t="shared" ca="1" si="16"/>
        <v xml:space="preserve">131.7,0,10.1 </v>
      </c>
    </row>
    <row r="54" spans="1:23" x14ac:dyDescent="0.25">
      <c r="P54" s="467"/>
      <c r="Q54" s="467" t="e">
        <f t="shared" ca="1" si="9"/>
        <v>#N/A</v>
      </c>
      <c r="R54" s="467" t="e">
        <f t="shared" ca="1" si="10"/>
        <v>#N/A</v>
      </c>
      <c r="S54" s="63" t="str">
        <f t="shared" ca="1" si="15"/>
        <v/>
      </c>
      <c r="U54" s="467">
        <f t="shared" si="17"/>
        <v>10.8</v>
      </c>
      <c r="V54" s="467">
        <f t="shared" ca="1" si="18"/>
        <v>0.5</v>
      </c>
      <c r="W54" s="467" t="str">
        <f t="shared" ca="1" si="16"/>
        <v xml:space="preserve">132.2,0,10.8 </v>
      </c>
    </row>
    <row r="55" spans="1:23" x14ac:dyDescent="0.25">
      <c r="P55" s="467"/>
      <c r="Q55" s="467">
        <f t="shared" ref="Q55:Q79" ca="1" si="19">(LBP+C6)/STN_GAP</f>
        <v>18.025816249050873</v>
      </c>
      <c r="R55" s="467">
        <f t="shared" ref="R55:R79" si="20">B6</f>
        <v>0</v>
      </c>
      <c r="S55" s="63" t="str">
        <f t="shared" ca="1" si="15"/>
        <v xml:space="preserve">118.7,0 </v>
      </c>
      <c r="U55" s="467">
        <f t="shared" si="17"/>
        <v>12.6</v>
      </c>
      <c r="V55" s="467">
        <f t="shared" ca="1" si="18"/>
        <v>2</v>
      </c>
      <c r="W55" s="467" t="str">
        <f t="shared" ca="1" si="16"/>
        <v xml:space="preserve">133.7,0,12.6 </v>
      </c>
    </row>
    <row r="56" spans="1:23" x14ac:dyDescent="0.25">
      <c r="P56" s="467"/>
      <c r="Q56" s="467">
        <f t="shared" ca="1" si="19"/>
        <v>19.407744874715263</v>
      </c>
      <c r="R56" s="467">
        <f t="shared" si="20"/>
        <v>0.9</v>
      </c>
      <c r="S56" s="63" t="str">
        <f t="shared" ca="1" si="15"/>
        <v xml:space="preserve">127.8,0.9 </v>
      </c>
      <c r="U56" s="467">
        <f t="shared" si="17"/>
        <v>14.19</v>
      </c>
      <c r="V56" s="467">
        <f t="shared" ca="1" si="18"/>
        <v>3.3</v>
      </c>
      <c r="W56" s="467" t="str">
        <f t="shared" ca="1" si="16"/>
        <v xml:space="preserve">135,0,14.19 </v>
      </c>
    </row>
    <row r="57" spans="1:23" x14ac:dyDescent="0.25">
      <c r="P57" s="467"/>
      <c r="Q57" s="467">
        <f t="shared" ca="1" si="19"/>
        <v>19.908883826879272</v>
      </c>
      <c r="R57" s="467">
        <f t="shared" si="20"/>
        <v>1.8</v>
      </c>
      <c r="S57" s="63" t="str">
        <f t="shared" ca="1" si="15"/>
        <v xml:space="preserve">131.1,1.8 </v>
      </c>
      <c r="U57" s="467" t="str">
        <f t="shared" si="17"/>
        <v/>
      </c>
      <c r="V57" s="467" t="str">
        <f t="shared" ca="1" si="18"/>
        <v/>
      </c>
      <c r="W57" s="467" t="str">
        <f t="shared" ca="1" si="16"/>
        <v/>
      </c>
    </row>
    <row r="58" spans="1:23" x14ac:dyDescent="0.25">
      <c r="P58" s="467"/>
      <c r="Q58" s="467">
        <f t="shared" ca="1" si="19"/>
        <v>20.197418375094916</v>
      </c>
      <c r="R58" s="467">
        <f t="shared" si="20"/>
        <v>2.7</v>
      </c>
      <c r="S58" s="63" t="str">
        <f t="shared" ca="1" si="15"/>
        <v xml:space="preserve">133,2.7 </v>
      </c>
      <c r="U58" s="467" t="str">
        <f t="shared" si="17"/>
        <v/>
      </c>
      <c r="V58" s="467" t="str">
        <f t="shared" ca="1" si="18"/>
        <v/>
      </c>
      <c r="W58" s="467" t="str">
        <f t="shared" ca="1" si="16"/>
        <v/>
      </c>
    </row>
    <row r="59" spans="1:23" x14ac:dyDescent="0.25">
      <c r="P59" s="467"/>
      <c r="Q59" s="467">
        <f t="shared" ca="1" si="19"/>
        <v>20.426727410782082</v>
      </c>
      <c r="R59" s="467">
        <f t="shared" si="20"/>
        <v>3.6</v>
      </c>
      <c r="S59" s="63" t="str">
        <f t="shared" ca="1" si="15"/>
        <v xml:space="preserve">134.51,3.6 </v>
      </c>
      <c r="U59" s="467" t="str">
        <f t="shared" si="17"/>
        <v/>
      </c>
      <c r="V59" s="467" t="str">
        <f t="shared" ca="1" si="18"/>
        <v/>
      </c>
      <c r="W59" s="467" t="str">
        <f t="shared" ca="1" si="16"/>
        <v/>
      </c>
    </row>
    <row r="60" spans="1:23" x14ac:dyDescent="0.25">
      <c r="P60" s="467"/>
      <c r="Q60" s="467">
        <f t="shared" ca="1" si="19"/>
        <v>20.563401670463175</v>
      </c>
      <c r="R60" s="467">
        <f t="shared" si="20"/>
        <v>5.4</v>
      </c>
      <c r="S60" s="63" t="str">
        <f t="shared" ca="1" si="15"/>
        <v xml:space="preserve">135.41,5.4 </v>
      </c>
      <c r="U60" s="467" t="str">
        <f t="shared" si="17"/>
        <v/>
      </c>
      <c r="V60" s="467" t="str">
        <f t="shared" ca="1" si="18"/>
        <v/>
      </c>
      <c r="W60" s="467" t="str">
        <f t="shared" ca="1" si="16"/>
        <v/>
      </c>
    </row>
    <row r="61" spans="1:23" x14ac:dyDescent="0.25">
      <c r="P61" s="467"/>
      <c r="Q61" s="467">
        <f t="shared" ca="1" si="19"/>
        <v>20.563401670463175</v>
      </c>
      <c r="R61" s="467">
        <f t="shared" si="20"/>
        <v>7.2</v>
      </c>
      <c r="S61" s="63" t="str">
        <f t="shared" ca="1" si="15"/>
        <v xml:space="preserve">135.41,7.2 </v>
      </c>
      <c r="U61" s="467" t="str">
        <f t="shared" si="17"/>
        <v/>
      </c>
      <c r="V61" s="467" t="str">
        <f t="shared" ca="1" si="18"/>
        <v/>
      </c>
      <c r="W61" s="467" t="str">
        <f t="shared" ca="1" si="16"/>
        <v/>
      </c>
    </row>
    <row r="62" spans="1:23" x14ac:dyDescent="0.25">
      <c r="P62" s="467"/>
      <c r="Q62" s="467">
        <f t="shared" ca="1" si="19"/>
        <v>20.318906605922553</v>
      </c>
      <c r="R62" s="467">
        <f t="shared" si="20"/>
        <v>9</v>
      </c>
      <c r="S62" s="63" t="str">
        <f t="shared" ca="1" si="15"/>
        <v xml:space="preserve">133.8,9 </v>
      </c>
      <c r="U62" s="467" t="str">
        <f t="shared" si="17"/>
        <v/>
      </c>
      <c r="V62" s="467" t="str">
        <f t="shared" ca="1" si="18"/>
        <v/>
      </c>
      <c r="W62" s="467" t="str">
        <f t="shared" ca="1" si="16"/>
        <v/>
      </c>
    </row>
    <row r="63" spans="1:23" x14ac:dyDescent="0.25">
      <c r="A63" s="467">
        <f t="array" ref="A63:A87">TRANSPOSE(Offset!$S$2:$AQ$2)</f>
        <v>0</v>
      </c>
      <c r="B63" s="467">
        <f>A63</f>
        <v>0</v>
      </c>
      <c r="D63">
        <v>1</v>
      </c>
      <c r="E63" s="473">
        <f t="array" ref="E63:E88">'Rise, etc.'!R4:R29</f>
        <v>0</v>
      </c>
      <c r="F63" s="497">
        <f ca="1">IFERROR(IF(ISBLANK(OFFSET('Rise, etc.'!R4,,1,1,1)),NA(),J63*1),NA())</f>
        <v>-13</v>
      </c>
      <c r="G63" s="498">
        <f ca="1">IFERROR(IF(ISBLANK(OFFSET('Rise, etc.'!R4,,2,1,1)),NA(),K63*1),NA())</f>
        <v>15.41</v>
      </c>
      <c r="I63" s="473">
        <f t="array" ref="I63:K88">'Rise, etc.'!R4:T29</f>
        <v>0</v>
      </c>
      <c r="J63" s="497">
        <v>-13</v>
      </c>
      <c r="K63" s="497">
        <v>15.41</v>
      </c>
      <c r="P63" s="467"/>
      <c r="Q63" s="467">
        <f t="shared" ca="1" si="19"/>
        <v>19.984813971146547</v>
      </c>
      <c r="R63" s="467">
        <f t="shared" si="20"/>
        <v>10.1</v>
      </c>
      <c r="S63" s="63" t="str">
        <f t="shared" ca="1" si="15"/>
        <v xml:space="preserve">131.6,10.1 </v>
      </c>
      <c r="U63" s="467" t="str">
        <f t="shared" si="17"/>
        <v/>
      </c>
      <c r="V63" s="467" t="str">
        <f t="shared" ca="1" si="18"/>
        <v/>
      </c>
      <c r="W63" s="467" t="str">
        <f t="shared" ca="1" si="16"/>
        <v/>
      </c>
    </row>
    <row r="64" spans="1:23" x14ac:dyDescent="0.25">
      <c r="A64" s="467">
        <v>0.5</v>
      </c>
      <c r="B64" s="467">
        <f>IF(A64=0,"",A64)</f>
        <v>0.5</v>
      </c>
      <c r="D64">
        <v>2</v>
      </c>
      <c r="E64" s="473">
        <v>0.5</v>
      </c>
      <c r="F64" s="497">
        <f ca="1">IFERROR(IF(ISBLANK(OFFSET('Rise, etc.'!R5,,1,1,1)),NA(),J64*1),NA())</f>
        <v>-3.9</v>
      </c>
      <c r="G64" s="498">
        <f ca="1">IFERROR(IF(ISBLANK(OFFSET('Rise, etc.'!R5,,2,1,1)),NA(),K64*1),NA())</f>
        <v>12.2</v>
      </c>
      <c r="I64" s="473">
        <v>0.5</v>
      </c>
      <c r="J64" s="497">
        <v>-3.9</v>
      </c>
      <c r="K64" s="497">
        <v>12.2</v>
      </c>
      <c r="P64" s="467"/>
      <c r="Q64" s="467">
        <f t="shared" ca="1" si="19"/>
        <v>20.075930144267275</v>
      </c>
      <c r="R64" s="467">
        <f t="shared" si="20"/>
        <v>10.8</v>
      </c>
      <c r="S64" s="63" t="str">
        <f t="shared" ca="1" si="15"/>
        <v xml:space="preserve">132.2,10.8 </v>
      </c>
      <c r="U64" s="467" t="str">
        <f t="shared" si="17"/>
        <v/>
      </c>
      <c r="V64" s="467" t="str">
        <f t="shared" ca="1" si="18"/>
        <v/>
      </c>
      <c r="W64" s="467" t="str">
        <f t="shared" ca="1" si="16"/>
        <v/>
      </c>
    </row>
    <row r="65" spans="1:23" x14ac:dyDescent="0.25">
      <c r="A65" s="467">
        <v>1</v>
      </c>
      <c r="B65" s="467">
        <f t="shared" ref="B65:B87" si="21">IF(A65=0,"",A65)</f>
        <v>1</v>
      </c>
      <c r="D65">
        <v>3</v>
      </c>
      <c r="E65" s="473">
        <v>1</v>
      </c>
      <c r="F65" s="497">
        <f ca="1">IFERROR(IF(ISBLANK(OFFSET('Rise, etc.'!R6,,1,1,1)),NA(),J65*1),NA())</f>
        <v>-0.6</v>
      </c>
      <c r="G65" s="498">
        <f ca="1">IFERROR(IF(ISBLANK(OFFSET('Rise, etc.'!R6,,2,1,1)),NA(),K65*1),NA())</f>
        <v>10.199999999999999</v>
      </c>
      <c r="I65" s="473">
        <v>1</v>
      </c>
      <c r="J65" s="497">
        <v>-0.6</v>
      </c>
      <c r="K65" s="497">
        <v>10.199999999999999</v>
      </c>
      <c r="P65" s="467"/>
      <c r="Q65" s="467">
        <f t="shared" ca="1" si="19"/>
        <v>20.303720577069097</v>
      </c>
      <c r="R65" s="467">
        <f t="shared" si="20"/>
        <v>12.6</v>
      </c>
      <c r="S65" s="63" t="str">
        <f t="shared" ca="1" si="15"/>
        <v xml:space="preserve">133.7,12.6 </v>
      </c>
      <c r="U65" s="467" t="str">
        <f t="shared" si="17"/>
        <v/>
      </c>
      <c r="V65" s="467" t="str">
        <f t="shared" ca="1" si="18"/>
        <v/>
      </c>
      <c r="W65" s="467" t="str">
        <f t="shared" ca="1" si="16"/>
        <v/>
      </c>
    </row>
    <row r="66" spans="1:23" x14ac:dyDescent="0.25">
      <c r="A66" s="467">
        <v>1.5</v>
      </c>
      <c r="B66" s="467">
        <f t="shared" si="21"/>
        <v>1.5</v>
      </c>
      <c r="D66">
        <v>4</v>
      </c>
      <c r="E66" s="473">
        <v>1.5</v>
      </c>
      <c r="F66" s="497">
        <f ca="1">IFERROR(IF(ISBLANK(OFFSET('Rise, etc.'!R7,,1,1,1)),NA(),J66*1),NA())</f>
        <v>1.3</v>
      </c>
      <c r="G66" s="498">
        <f ca="1">IFERROR(IF(ISBLANK(OFFSET('Rise, etc.'!R7,,2,1,1)),NA(),K66*1),NA())</f>
        <v>8.9</v>
      </c>
      <c r="I66" s="473">
        <v>1.5</v>
      </c>
      <c r="J66" s="497">
        <v>1.3</v>
      </c>
      <c r="K66" s="497">
        <v>8.9</v>
      </c>
      <c r="P66" s="467"/>
      <c r="Q66" s="467">
        <f t="shared" ca="1" si="19"/>
        <v>20.501138952164013</v>
      </c>
      <c r="R66" s="467">
        <f t="shared" si="20"/>
        <v>14.19</v>
      </c>
      <c r="S66" s="63" t="str">
        <f t="shared" ca="1" si="15"/>
        <v xml:space="preserve">135,14.19 </v>
      </c>
      <c r="U66" s="467" t="str">
        <f t="shared" si="17"/>
        <v/>
      </c>
      <c r="V66" s="467" t="str">
        <f t="shared" ca="1" si="18"/>
        <v/>
      </c>
      <c r="W66" s="467" t="str">
        <f t="shared" ca="1" si="16"/>
        <v/>
      </c>
    </row>
    <row r="67" spans="1:23" x14ac:dyDescent="0.25">
      <c r="A67" s="467">
        <v>2</v>
      </c>
      <c r="B67" s="467">
        <f t="shared" si="21"/>
        <v>2</v>
      </c>
      <c r="D67">
        <v>5</v>
      </c>
      <c r="E67" s="473">
        <v>2</v>
      </c>
      <c r="F67" s="497">
        <f ca="1">IFERROR(IF(ISBLANK(OFFSET('Rise, etc.'!R8,,1,1,1)),NA(),J67*1),NA())</f>
        <v>2.81</v>
      </c>
      <c r="G67" s="498">
        <f ca="1">IFERROR(IF(ISBLANK(OFFSET('Rise, etc.'!R8,,2,1,1)),NA(),K67*1),NA())</f>
        <v>7.8</v>
      </c>
      <c r="I67" s="473">
        <v>2</v>
      </c>
      <c r="J67" s="497">
        <v>2.81</v>
      </c>
      <c r="K67" s="497">
        <v>7.8</v>
      </c>
      <c r="P67" s="467"/>
      <c r="Q67" s="467" t="e">
        <f t="shared" ca="1" si="19"/>
        <v>#N/A</v>
      </c>
      <c r="R67" s="467" t="e">
        <f t="shared" si="20"/>
        <v>#N/A</v>
      </c>
      <c r="S67" s="63" t="str">
        <f t="shared" ca="1" si="15"/>
        <v/>
      </c>
      <c r="U67" s="467" t="str">
        <f t="shared" si="17"/>
        <v/>
      </c>
      <c r="V67" s="467" t="str">
        <f t="shared" ca="1" si="18"/>
        <v/>
      </c>
      <c r="W67" s="467" t="str">
        <f t="shared" ca="1" si="16"/>
        <v/>
      </c>
    </row>
    <row r="68" spans="1:23" x14ac:dyDescent="0.25">
      <c r="A68" s="467">
        <v>3</v>
      </c>
      <c r="B68" s="467">
        <f t="shared" si="21"/>
        <v>3</v>
      </c>
      <c r="D68">
        <v>6</v>
      </c>
      <c r="E68" s="473">
        <v>3</v>
      </c>
      <c r="F68" s="497">
        <f ca="1">IFERROR(IF(ISBLANK(OFFSET('Rise, etc.'!R9,,1,1,1)),NA(),J68*1),NA())</f>
        <v>3.71</v>
      </c>
      <c r="G68" s="498">
        <f ca="1">IFERROR(IF(ISBLANK(OFFSET('Rise, etc.'!R9,,2,1,1)),NA(),K68*1),NA())</f>
        <v>9</v>
      </c>
      <c r="I68" s="473">
        <v>3</v>
      </c>
      <c r="J68" s="497">
        <v>3.71</v>
      </c>
      <c r="K68" s="497">
        <v>9</v>
      </c>
      <c r="P68" s="467"/>
      <c r="Q68" s="467" t="e">
        <f t="shared" ca="1" si="19"/>
        <v>#N/A</v>
      </c>
      <c r="R68" s="467" t="e">
        <f t="shared" si="20"/>
        <v>#N/A</v>
      </c>
      <c r="S68" s="63" t="str">
        <f t="shared" ca="1" si="15"/>
        <v/>
      </c>
      <c r="U68" s="467" t="str">
        <f t="shared" si="17"/>
        <v/>
      </c>
      <c r="V68" s="467" t="str">
        <f t="shared" ca="1" si="18"/>
        <v/>
      </c>
      <c r="W68" s="467" t="str">
        <f t="shared" ca="1" si="16"/>
        <v/>
      </c>
    </row>
    <row r="69" spans="1:23" x14ac:dyDescent="0.25">
      <c r="A69" s="467">
        <v>4</v>
      </c>
      <c r="B69" s="467">
        <f t="shared" si="21"/>
        <v>4</v>
      </c>
      <c r="D69">
        <v>7</v>
      </c>
      <c r="E69" s="473">
        <v>4</v>
      </c>
      <c r="F69" s="497">
        <f ca="1">IFERROR(IF(ISBLANK(OFFSET('Rise, etc.'!R10,,1,1,1)),NA(),J69*1),NA())</f>
        <v>3.71</v>
      </c>
      <c r="G69" s="498">
        <f ca="1">IFERROR(IF(ISBLANK(OFFSET('Rise, etc.'!R10,,2,1,1)),NA(),K69*1),NA())</f>
        <v>8.1999999999999993</v>
      </c>
      <c r="I69" s="473">
        <v>4</v>
      </c>
      <c r="J69" s="497">
        <v>3.71</v>
      </c>
      <c r="K69" s="497">
        <v>8.1999999999999993</v>
      </c>
      <c r="P69" s="467"/>
      <c r="Q69" s="467" t="e">
        <f t="shared" ca="1" si="19"/>
        <v>#N/A</v>
      </c>
      <c r="R69" s="467" t="e">
        <f t="shared" si="20"/>
        <v>#N/A</v>
      </c>
      <c r="S69" s="63" t="str">
        <f t="shared" ref="S69:S79" ca="1" si="22">IFERROR(CONCATENATE(Q69*STN_GAP,",",R69," "),"")</f>
        <v/>
      </c>
      <c r="U69" s="467" t="str">
        <f t="shared" si="17"/>
        <v/>
      </c>
      <c r="V69" s="467" t="str">
        <f t="shared" ca="1" si="18"/>
        <v/>
      </c>
      <c r="W69" s="467" t="str">
        <f t="shared" ca="1" si="16"/>
        <v/>
      </c>
    </row>
    <row r="70" spans="1:23" x14ac:dyDescent="0.25">
      <c r="A70" s="467">
        <v>5</v>
      </c>
      <c r="B70" s="467">
        <f t="shared" si="21"/>
        <v>5</v>
      </c>
      <c r="D70">
        <v>8</v>
      </c>
      <c r="E70" s="473">
        <v>5</v>
      </c>
      <c r="F70" s="497">
        <f ca="1">IFERROR(IF(ISBLANK(OFFSET('Rise, etc.'!R11,,1,1,1)),NA(),J70*1),NA())</f>
        <v>2.1</v>
      </c>
      <c r="G70" s="498">
        <f ca="1">IFERROR(IF(ISBLANK(OFFSET('Rise, etc.'!R11,,2,1,1)),NA(),K70*1),NA())</f>
        <v>3.05</v>
      </c>
      <c r="I70" s="473">
        <v>5</v>
      </c>
      <c r="J70" s="497">
        <v>2.1</v>
      </c>
      <c r="K70" s="497">
        <v>3.05</v>
      </c>
      <c r="P70" s="467"/>
      <c r="Q70" s="467" t="e">
        <f t="shared" ca="1" si="19"/>
        <v>#N/A</v>
      </c>
      <c r="R70" s="467" t="e">
        <f t="shared" si="20"/>
        <v>#N/A</v>
      </c>
      <c r="S70" s="63" t="str">
        <f t="shared" ca="1" si="22"/>
        <v/>
      </c>
      <c r="W70" s="467" t="str">
        <f ca="1">CONCATENATE("Spline ",W44,W45,W46,W47,W48,W49,W50,W51,W52,W53,W54,W55,W56,W57,W58,W59,W60,W61,W62,W63,W64,W65,W66,W67,W68,W69)</f>
        <v xml:space="preserve">Spline 131.7,0,2 133,0,2.7 134.51,0,3.6 135.41,0,5.4 135.41,0,7.2 133.8,0,9 131.7,0,10.1 132.2,0,10.8 133.7,0,12.6 135,0,14.19 </v>
      </c>
    </row>
    <row r="71" spans="1:23" x14ac:dyDescent="0.25">
      <c r="A71" s="467" t="str">
        <v>LWL</v>
      </c>
      <c r="B71" s="467" t="str">
        <f t="shared" si="21"/>
        <v>LWL</v>
      </c>
      <c r="D71">
        <v>9</v>
      </c>
      <c r="E71" s="473" t="str">
        <v>LWL</v>
      </c>
      <c r="F71" s="497">
        <f ca="1">IFERROR(IF(ISBLANK(OFFSET('Rise, etc.'!R12,,1,1,1)),NA(),J71*1),NA())</f>
        <v>-0.1</v>
      </c>
      <c r="G71" s="498">
        <f ca="1">IFERROR(IF(ISBLANK(OFFSET('Rise, etc.'!R12,,2,1,1)),NA(),K71*1),NA())</f>
        <v>-1.1000000000000001</v>
      </c>
      <c r="I71" s="473" t="str">
        <v>LWL</v>
      </c>
      <c r="J71" s="497">
        <v>-0.1</v>
      </c>
      <c r="K71" s="497">
        <v>-1.1000000000000001</v>
      </c>
      <c r="P71" s="467"/>
      <c r="Q71" s="467" t="e">
        <f t="shared" ca="1" si="19"/>
        <v>#N/A</v>
      </c>
      <c r="R71" s="467" t="e">
        <f t="shared" si="20"/>
        <v>#N/A</v>
      </c>
      <c r="S71" s="63" t="str">
        <f t="shared" ca="1" si="22"/>
        <v/>
      </c>
    </row>
    <row r="72" spans="1:23" x14ac:dyDescent="0.25">
      <c r="A72" s="467">
        <v>6</v>
      </c>
      <c r="B72" s="467">
        <f t="shared" si="21"/>
        <v>6</v>
      </c>
      <c r="D72">
        <v>10</v>
      </c>
      <c r="E72" s="473">
        <v>6</v>
      </c>
      <c r="F72" s="497">
        <f ca="1">IFERROR(IF(ISBLANK(OFFSET('Rise, etc.'!R13,,1,1,1)),NA(),J72*1),NA())</f>
        <v>0.5</v>
      </c>
      <c r="G72" s="498">
        <f ca="1">IFERROR(IF(ISBLANK(OFFSET('Rise, etc.'!R13,,2,1,1)),NA(),K72*1),NA())</f>
        <v>-3.9</v>
      </c>
      <c r="I72" s="473">
        <v>6</v>
      </c>
      <c r="J72" s="497">
        <v>0.5</v>
      </c>
      <c r="K72" s="497">
        <v>-3.9</v>
      </c>
      <c r="P72" s="467"/>
      <c r="Q72" s="467" t="e">
        <f t="shared" ca="1" si="19"/>
        <v>#N/A</v>
      </c>
      <c r="R72" s="467" t="e">
        <f t="shared" si="20"/>
        <v>#N/A</v>
      </c>
      <c r="S72" s="63" t="str">
        <f t="shared" ca="1" si="22"/>
        <v/>
      </c>
    </row>
    <row r="73" spans="1:23" x14ac:dyDescent="0.25">
      <c r="A73" s="467">
        <v>7</v>
      </c>
      <c r="B73" s="467">
        <f t="shared" si="21"/>
        <v>7</v>
      </c>
      <c r="D73">
        <v>11</v>
      </c>
      <c r="E73" s="473">
        <v>7</v>
      </c>
      <c r="F73" s="497">
        <f ca="1">IFERROR(IF(ISBLANK(OFFSET('Rise, etc.'!R14,,1,1,1)),NA(),J73*1),NA())</f>
        <v>2</v>
      </c>
      <c r="G73" s="498">
        <f ca="1">IFERROR(IF(ISBLANK(OFFSET('Rise, etc.'!R14,,2,1,1)),NA(),K73*1),NA())</f>
        <v>-5.3</v>
      </c>
      <c r="I73" s="473">
        <v>7</v>
      </c>
      <c r="J73" s="497">
        <v>2</v>
      </c>
      <c r="K73" s="497">
        <v>-5.3</v>
      </c>
      <c r="P73" s="467"/>
      <c r="Q73" s="467" t="e">
        <f t="shared" ca="1" si="19"/>
        <v>#N/A</v>
      </c>
      <c r="R73" s="467" t="e">
        <f t="shared" si="20"/>
        <v>#N/A</v>
      </c>
      <c r="S73" s="63" t="str">
        <f t="shared" ca="1" si="22"/>
        <v/>
      </c>
    </row>
    <row r="74" spans="1:23" x14ac:dyDescent="0.25">
      <c r="A74" s="467" t="str">
        <v>MDK</v>
      </c>
      <c r="B74" s="467" t="str">
        <f t="shared" si="21"/>
        <v>MDK</v>
      </c>
      <c r="D74">
        <v>12</v>
      </c>
      <c r="E74" s="473" t="str">
        <v>MDK</v>
      </c>
      <c r="F74" s="497">
        <f ca="1">IFERROR(IF(ISBLANK(OFFSET('Rise, etc.'!R15,,1,1,1)),NA(),J74*1),NA())</f>
        <v>3.3</v>
      </c>
      <c r="G74" s="498">
        <f ca="1">IFERROR(IF(ISBLANK(OFFSET('Rise, etc.'!R15,,2,1,1)),NA(),K74*1),NA())</f>
        <v>-5.65</v>
      </c>
      <c r="I74" s="473" t="str">
        <v>MDK</v>
      </c>
      <c r="J74" s="497">
        <v>3.3</v>
      </c>
      <c r="K74" s="497">
        <v>-5.65</v>
      </c>
      <c r="P74" s="467"/>
      <c r="Q74" s="467" t="e">
        <f t="shared" ca="1" si="19"/>
        <v>#N/A</v>
      </c>
      <c r="R74" s="467" t="e">
        <f t="shared" si="20"/>
        <v>#N/A</v>
      </c>
      <c r="S74" s="63" t="str">
        <f t="shared" ca="1" si="22"/>
        <v/>
      </c>
    </row>
    <row r="75" spans="1:23" x14ac:dyDescent="0.25">
      <c r="A75" s="467">
        <v>0</v>
      </c>
      <c r="B75" s="467" t="str">
        <f t="shared" si="21"/>
        <v/>
      </c>
      <c r="D75">
        <v>13</v>
      </c>
      <c r="E75" s="473" t="str">
        <v/>
      </c>
      <c r="F75" s="497" t="e">
        <f ca="1">IFERROR(IF(ISBLANK(OFFSET('Rise, etc.'!R16,,1,1,1)),NA(),J75*1),NA())</f>
        <v>#N/A</v>
      </c>
      <c r="G75" s="498" t="e">
        <f ca="1">IFERROR(IF(ISBLANK(OFFSET('Rise, etc.'!R16,,2,1,1)),NA(),K75*1),NA())</f>
        <v>#N/A</v>
      </c>
      <c r="I75" s="473" t="str">
        <v/>
      </c>
      <c r="J75" s="497">
        <v>0</v>
      </c>
      <c r="K75" s="497">
        <v>0</v>
      </c>
      <c r="P75" s="467"/>
      <c r="Q75" s="467" t="e">
        <f t="shared" ca="1" si="19"/>
        <v>#N/A</v>
      </c>
      <c r="R75" s="467" t="e">
        <f t="shared" si="20"/>
        <v>#N/A</v>
      </c>
      <c r="S75" s="63" t="str">
        <f t="shared" ca="1" si="22"/>
        <v/>
      </c>
    </row>
    <row r="76" spans="1:23" x14ac:dyDescent="0.25">
      <c r="A76" s="467">
        <v>0</v>
      </c>
      <c r="B76" s="467" t="str">
        <f t="shared" si="21"/>
        <v/>
      </c>
      <c r="D76">
        <v>14</v>
      </c>
      <c r="E76" s="473" t="str">
        <v/>
      </c>
      <c r="F76" s="497" t="e">
        <f ca="1">IFERROR(IF(ISBLANK(OFFSET('Rise, etc.'!R17,,1,1,1)),NA(),J76*1),NA())</f>
        <v>#N/A</v>
      </c>
      <c r="G76" s="498" t="e">
        <f ca="1">IFERROR(IF(ISBLANK(OFFSET('Rise, etc.'!R17,,2,1,1)),NA(),K76*1),NA())</f>
        <v>#N/A</v>
      </c>
      <c r="I76" s="473" t="str">
        <v/>
      </c>
      <c r="J76" s="497">
        <v>0</v>
      </c>
      <c r="K76" s="497">
        <v>0</v>
      </c>
      <c r="P76" s="467"/>
      <c r="Q76" s="467" t="e">
        <f t="shared" ca="1" si="19"/>
        <v>#N/A</v>
      </c>
      <c r="R76" s="467" t="e">
        <f t="shared" si="20"/>
        <v>#N/A</v>
      </c>
      <c r="S76" s="63" t="str">
        <f t="shared" ca="1" si="22"/>
        <v/>
      </c>
    </row>
    <row r="77" spans="1:23" x14ac:dyDescent="0.25">
      <c r="A77" s="467">
        <v>0</v>
      </c>
      <c r="B77" s="467" t="str">
        <f t="shared" si="21"/>
        <v/>
      </c>
      <c r="D77">
        <v>15</v>
      </c>
      <c r="E77" s="473" t="str">
        <v/>
      </c>
      <c r="F77" s="497" t="e">
        <f ca="1">IFERROR(IF(ISBLANK(OFFSET('Rise, etc.'!R18,,1,1,1)),NA(),J77*1),NA())</f>
        <v>#N/A</v>
      </c>
      <c r="G77" s="498" t="e">
        <f ca="1">IFERROR(IF(ISBLANK(OFFSET('Rise, etc.'!R18,,2,1,1)),NA(),K77*1),NA())</f>
        <v>#N/A</v>
      </c>
      <c r="I77" s="473" t="str">
        <v/>
      </c>
      <c r="J77" s="497">
        <v>0</v>
      </c>
      <c r="K77" s="497">
        <v>0</v>
      </c>
      <c r="P77" s="467"/>
      <c r="Q77" s="467" t="e">
        <f t="shared" ca="1" si="19"/>
        <v>#N/A</v>
      </c>
      <c r="R77" s="467" t="e">
        <f t="shared" si="20"/>
        <v>#N/A</v>
      </c>
      <c r="S77" s="63" t="str">
        <f t="shared" ca="1" si="22"/>
        <v/>
      </c>
    </row>
    <row r="78" spans="1:23" x14ac:dyDescent="0.25">
      <c r="A78" s="467">
        <v>0</v>
      </c>
      <c r="B78" s="467" t="str">
        <f t="shared" si="21"/>
        <v/>
      </c>
      <c r="D78">
        <v>16</v>
      </c>
      <c r="E78" s="473" t="str">
        <v/>
      </c>
      <c r="F78" s="497" t="e">
        <f ca="1">IFERROR(IF(ISBLANK(OFFSET('Rise, etc.'!R19,,1,1,1)),NA(),J78*1),NA())</f>
        <v>#N/A</v>
      </c>
      <c r="G78" s="498" t="e">
        <f ca="1">IFERROR(IF(ISBLANK(OFFSET('Rise, etc.'!R19,,2,1,1)),NA(),K78*1),NA())</f>
        <v>#N/A</v>
      </c>
      <c r="I78" s="473" t="str">
        <v/>
      </c>
      <c r="J78" s="497">
        <v>0</v>
      </c>
      <c r="K78" s="497">
        <v>0</v>
      </c>
      <c r="P78" s="467"/>
      <c r="Q78" s="467" t="e">
        <f t="shared" ca="1" si="19"/>
        <v>#N/A</v>
      </c>
      <c r="R78" s="467" t="e">
        <f t="shared" si="20"/>
        <v>#N/A</v>
      </c>
      <c r="S78" s="63" t="str">
        <f t="shared" ca="1" si="22"/>
        <v/>
      </c>
    </row>
    <row r="79" spans="1:23" x14ac:dyDescent="0.25">
      <c r="A79" s="467">
        <v>0</v>
      </c>
      <c r="B79" s="467" t="str">
        <f t="shared" si="21"/>
        <v/>
      </c>
      <c r="D79">
        <v>17</v>
      </c>
      <c r="E79" s="473" t="str">
        <v/>
      </c>
      <c r="F79" s="497" t="e">
        <f ca="1">IFERROR(IF(ISBLANK(OFFSET('Rise, etc.'!R20,,1,1,1)),NA(),J79*1),NA())</f>
        <v>#N/A</v>
      </c>
      <c r="G79" s="498" t="e">
        <f ca="1">IFERROR(IF(ISBLANK(OFFSET('Rise, etc.'!R20,,2,1,1)),NA(),K79*1),NA())</f>
        <v>#N/A</v>
      </c>
      <c r="I79" s="473" t="str">
        <v/>
      </c>
      <c r="J79" s="497">
        <v>0</v>
      </c>
      <c r="K79" s="497">
        <v>0</v>
      </c>
      <c r="P79" s="467"/>
      <c r="Q79" s="467" t="e">
        <f t="shared" ca="1" si="19"/>
        <v>#N/A</v>
      </c>
      <c r="R79" s="467" t="e">
        <f t="shared" si="20"/>
        <v>#N/A</v>
      </c>
      <c r="S79" s="63" t="str">
        <f t="shared" ca="1" si="22"/>
        <v/>
      </c>
    </row>
    <row r="80" spans="1:23" x14ac:dyDescent="0.25">
      <c r="A80" s="467">
        <v>0</v>
      </c>
      <c r="B80" s="467" t="str">
        <f t="shared" si="21"/>
        <v/>
      </c>
      <c r="D80">
        <v>18</v>
      </c>
      <c r="E80" s="473" t="str">
        <v/>
      </c>
      <c r="F80" s="497" t="e">
        <f ca="1">IFERROR(IF(ISBLANK(OFFSET('Rise, etc.'!R21,,1,1,1)),NA(),J80*1),NA())</f>
        <v>#N/A</v>
      </c>
      <c r="G80" s="498" t="e">
        <f ca="1">IFERROR(IF(ISBLANK(OFFSET('Rise, etc.'!R21,,2,1,1)),NA(),K80*1),NA())</f>
        <v>#N/A</v>
      </c>
      <c r="I80" s="473" t="str">
        <v/>
      </c>
      <c r="J80" s="497">
        <v>0</v>
      </c>
      <c r="K80" s="497">
        <v>0</v>
      </c>
      <c r="S80" s="63" t="str">
        <f ca="1">CONCATENATE("Spline ",S5,S6,S7,S8,S9,S10,S11,S12,S13,S14,S15,S16,S17,S18,S19,S20,S21,S22,S23,S24,S25,S26,S27,S28,S29,S30,S31,S32,S33,S34,S35,S36,S37,S38,S39,S40,S41,S42,S43,S44,S45,S46,S47,S48,S49,S50,S51,S52,S53,S54,S55,S56,S57,S58,S59,S60,S61,S62,S63,S64,S65,S66,S67,S68,S69,S70,S71,S72,S73,S74,S75,S76,S77,S78,S79)</f>
        <v xml:space="preserve">Spline -5.65,14.19 -5.3,12.6 -3.9,10.8 -1.1,10.1 3.05,9 8.2,7.2 9,5.4 7.8,3.6 8.9,2.7 10.2,1.8 12.2,0.9 15.41,0 19.755,0 26.34,0 32.925,0 39.51,0 46.095,0 52.68,0 59.265,0 65.85,0 72.435,0 79.02,0 85.605,0 92.19,0 98.775,0 105.36,0 111.945,0 118.53,0 118.7,0 127.8,0.9 131.1,1.8 133,2.7 134.51,3.6 135.41,5.4 135.41,7.2 133.8,9 131.6,10.1 132.2,10.8 133.7,12.6 135,14.19 </v>
      </c>
    </row>
    <row r="81" spans="1:11" x14ac:dyDescent="0.25">
      <c r="A81" s="467">
        <v>0</v>
      </c>
      <c r="B81" s="467" t="str">
        <f t="shared" si="21"/>
        <v/>
      </c>
      <c r="D81">
        <v>19</v>
      </c>
      <c r="E81" s="473" t="str">
        <v/>
      </c>
      <c r="F81" s="497" t="e">
        <f ca="1">IFERROR(IF(ISBLANK(OFFSET('Rise, etc.'!R22,,1,1,1)),NA(),J81*1),NA())</f>
        <v>#N/A</v>
      </c>
      <c r="G81" s="498" t="e">
        <f ca="1">IFERROR(IF(ISBLANK(OFFSET('Rise, etc.'!R22,,2,1,1)),NA(),K81*1),NA())</f>
        <v>#N/A</v>
      </c>
      <c r="I81" s="473" t="str">
        <v/>
      </c>
      <c r="J81" s="497">
        <v>0</v>
      </c>
      <c r="K81" s="497">
        <v>0</v>
      </c>
    </row>
    <row r="82" spans="1:11" x14ac:dyDescent="0.25">
      <c r="A82" s="467">
        <v>0</v>
      </c>
      <c r="B82" s="467" t="str">
        <f t="shared" si="21"/>
        <v/>
      </c>
      <c r="D82">
        <v>20</v>
      </c>
      <c r="E82" s="473" t="str">
        <v/>
      </c>
      <c r="F82" s="497" t="e">
        <f ca="1">IFERROR(IF(ISBLANK(OFFSET('Rise, etc.'!R23,,1,1,1)),NA(),J82*1),NA())</f>
        <v>#N/A</v>
      </c>
      <c r="G82" s="498" t="e">
        <f ca="1">IFERROR(IF(ISBLANK(OFFSET('Rise, etc.'!R23,,2,1,1)),NA(),K82*1),NA())</f>
        <v>#N/A</v>
      </c>
      <c r="I82" s="473" t="str">
        <v/>
      </c>
      <c r="J82" s="497">
        <v>0</v>
      </c>
      <c r="K82" s="497">
        <v>0</v>
      </c>
    </row>
    <row r="83" spans="1:11" x14ac:dyDescent="0.25">
      <c r="A83" s="467">
        <v>0</v>
      </c>
      <c r="B83" s="467" t="str">
        <f t="shared" si="21"/>
        <v/>
      </c>
      <c r="D83">
        <v>21</v>
      </c>
      <c r="E83" s="473" t="str">
        <v/>
      </c>
      <c r="F83" s="497" t="e">
        <f ca="1">IFERROR(IF(ISBLANK(OFFSET('Rise, etc.'!R24,,1,1,1)),NA(),J83*1),NA())</f>
        <v>#N/A</v>
      </c>
      <c r="G83" s="498" t="e">
        <f ca="1">IFERROR(IF(ISBLANK(OFFSET('Rise, etc.'!R24,,2,1,1)),NA(),K83*1),NA())</f>
        <v>#N/A</v>
      </c>
      <c r="I83" s="473" t="str">
        <v/>
      </c>
      <c r="J83" s="497">
        <v>0</v>
      </c>
      <c r="K83" s="497">
        <v>0</v>
      </c>
    </row>
    <row r="84" spans="1:11" x14ac:dyDescent="0.25">
      <c r="A84" s="467">
        <v>0</v>
      </c>
      <c r="B84" s="467" t="str">
        <f t="shared" si="21"/>
        <v/>
      </c>
      <c r="D84">
        <v>22</v>
      </c>
      <c r="E84" s="473" t="str">
        <v/>
      </c>
      <c r="F84" s="497" t="e">
        <f ca="1">IFERROR(IF(ISBLANK(OFFSET('Rise, etc.'!R25,,1,1,1)),NA(),J84*1),NA())</f>
        <v>#N/A</v>
      </c>
      <c r="G84" s="498" t="e">
        <f ca="1">IFERROR(IF(ISBLANK(OFFSET('Rise, etc.'!R25,,2,1,1)),NA(),K84*1),NA())</f>
        <v>#N/A</v>
      </c>
      <c r="I84" s="473" t="str">
        <v/>
      </c>
      <c r="J84" s="497">
        <v>0</v>
      </c>
      <c r="K84" s="497">
        <v>0</v>
      </c>
    </row>
    <row r="85" spans="1:11" x14ac:dyDescent="0.25">
      <c r="A85" s="467">
        <v>0</v>
      </c>
      <c r="B85" s="467" t="str">
        <f t="shared" si="21"/>
        <v/>
      </c>
      <c r="D85">
        <v>23</v>
      </c>
      <c r="E85" s="473" t="str">
        <v/>
      </c>
      <c r="F85" s="497" t="e">
        <f ca="1">IFERROR(IF(ISBLANK(OFFSET('Rise, etc.'!R26,,1,1,1)),NA(),J85*1),NA())</f>
        <v>#N/A</v>
      </c>
      <c r="G85" s="498" t="e">
        <f ca="1">IFERROR(IF(ISBLANK(OFFSET('Rise, etc.'!R26,,2,1,1)),NA(),K85*1),NA())</f>
        <v>#N/A</v>
      </c>
      <c r="I85" s="473" t="str">
        <v/>
      </c>
      <c r="J85" s="497">
        <v>0</v>
      </c>
      <c r="K85" s="497">
        <v>0</v>
      </c>
    </row>
    <row r="86" spans="1:11" x14ac:dyDescent="0.25">
      <c r="A86" s="467">
        <v>0</v>
      </c>
      <c r="B86" s="467" t="str">
        <f t="shared" si="21"/>
        <v/>
      </c>
      <c r="D86">
        <v>24</v>
      </c>
      <c r="E86" s="473" t="str">
        <v/>
      </c>
      <c r="F86" s="497" t="e">
        <f ca="1">IFERROR(IF(ISBLANK(OFFSET('Rise, etc.'!R27,,1,1,1)),NA(),J86*1),NA())</f>
        <v>#N/A</v>
      </c>
      <c r="G86" s="498" t="e">
        <f ca="1">IFERROR(IF(ISBLANK(OFFSET('Rise, etc.'!R27,,2,1,1)),NA(),K86*1),NA())</f>
        <v>#N/A</v>
      </c>
      <c r="I86" s="473" t="str">
        <v/>
      </c>
      <c r="J86" s="497">
        <v>0</v>
      </c>
      <c r="K86" s="497">
        <v>0</v>
      </c>
    </row>
    <row r="87" spans="1:11" x14ac:dyDescent="0.25">
      <c r="A87" s="467">
        <v>0</v>
      </c>
      <c r="B87" s="467" t="str">
        <f t="shared" si="21"/>
        <v/>
      </c>
      <c r="D87">
        <v>25</v>
      </c>
      <c r="E87" s="473" t="str">
        <v/>
      </c>
      <c r="F87" s="497" t="e">
        <f ca="1">IFERROR(IF(ISBLANK(OFFSET('Rise, etc.'!R28,,1,1,1)),NA(),J87*1),NA())</f>
        <v>#N/A</v>
      </c>
      <c r="G87" s="498" t="e">
        <f ca="1">IFERROR(IF(ISBLANK(OFFSET('Rise, etc.'!R28,,2,1,1)),NA(),K87*1),NA())</f>
        <v>#N/A</v>
      </c>
      <c r="I87" s="473" t="str">
        <v/>
      </c>
      <c r="J87" s="497">
        <v>0</v>
      </c>
      <c r="K87" s="497">
        <v>0</v>
      </c>
    </row>
    <row r="88" spans="1:11" x14ac:dyDescent="0.25">
      <c r="E88" s="390">
        <v>0</v>
      </c>
      <c r="F88" s="390"/>
      <c r="G88" s="390"/>
      <c r="I88" s="390">
        <v>0</v>
      </c>
      <c r="J88" s="390">
        <v>0</v>
      </c>
      <c r="K88" s="390">
        <v>0</v>
      </c>
    </row>
  </sheetData>
  <sheetProtection password="CC2F" sheet="1" objects="1" scenarios="1"/>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5" tint="0.39997558519241921"/>
  </sheetPr>
  <dimension ref="C1:AN69"/>
  <sheetViews>
    <sheetView showGridLines="0" showRowColHeaders="0" zoomScale="70" zoomScaleNormal="70" workbookViewId="0">
      <selection activeCell="R18" sqref="R18"/>
    </sheetView>
  </sheetViews>
  <sheetFormatPr defaultRowHeight="15" x14ac:dyDescent="0.25"/>
  <cols>
    <col min="1" max="1" width="9.140625" style="127" customWidth="1"/>
    <col min="2" max="2" width="9.28515625" style="127" customWidth="1"/>
    <col min="3" max="16384" width="9.140625" style="127"/>
  </cols>
  <sheetData>
    <row r="1" spans="15:40" ht="23.25" x14ac:dyDescent="0.35">
      <c r="O1" s="517" t="s">
        <v>18</v>
      </c>
      <c r="P1" s="517"/>
      <c r="Q1" s="517"/>
      <c r="R1" s="518"/>
      <c r="S1" s="518"/>
      <c r="T1" s="518"/>
      <c r="U1" s="518"/>
      <c r="V1" s="518"/>
      <c r="W1" s="518"/>
    </row>
    <row r="2" spans="15:40" x14ac:dyDescent="0.25">
      <c r="O2" s="128" t="str">
        <f t="array" ref="O2:AN27">Tools!A69:Z94</f>
        <v>STN/WL</v>
      </c>
      <c r="P2" s="128">
        <v>0</v>
      </c>
      <c r="Q2" s="128">
        <v>0.5</v>
      </c>
      <c r="R2" s="128">
        <v>1</v>
      </c>
      <c r="S2" s="128">
        <v>1.5</v>
      </c>
      <c r="T2" s="128">
        <v>2</v>
      </c>
      <c r="U2" s="128">
        <v>3</v>
      </c>
      <c r="V2" s="128">
        <v>4</v>
      </c>
      <c r="W2" s="128">
        <v>5</v>
      </c>
      <c r="X2" s="128">
        <v>5.6111111111111107</v>
      </c>
      <c r="Y2" s="128">
        <v>6</v>
      </c>
      <c r="Z2" s="128">
        <v>7</v>
      </c>
      <c r="AA2" s="128">
        <v>7.8833333333333329</v>
      </c>
      <c r="AB2" s="128" t="str">
        <v xml:space="preserve">  </v>
      </c>
      <c r="AC2" s="128" t="str">
        <v xml:space="preserve">  </v>
      </c>
      <c r="AD2" s="128" t="str">
        <v xml:space="preserve">  </v>
      </c>
      <c r="AE2" s="128" t="str">
        <v xml:space="preserve">  </v>
      </c>
      <c r="AF2" s="128" t="str">
        <v xml:space="preserve">  </v>
      </c>
      <c r="AG2" s="128" t="str">
        <v xml:space="preserve">  </v>
      </c>
      <c r="AH2" s="128" t="str">
        <v xml:space="preserve">  </v>
      </c>
      <c r="AI2" s="128" t="str">
        <v xml:space="preserve">  </v>
      </c>
      <c r="AJ2" s="128" t="str">
        <v xml:space="preserve">  </v>
      </c>
      <c r="AK2" s="128" t="str">
        <v xml:space="preserve">  </v>
      </c>
      <c r="AL2" s="128" t="str">
        <v xml:space="preserve">  </v>
      </c>
      <c r="AM2" s="128" t="str">
        <v xml:space="preserve">  </v>
      </c>
      <c r="AN2" s="128" t="str">
        <v xml:space="preserve">  </v>
      </c>
    </row>
    <row r="3" spans="15:40" x14ac:dyDescent="0.25">
      <c r="O3" s="128">
        <v>0</v>
      </c>
      <c r="P3" s="127">
        <v>0</v>
      </c>
      <c r="Q3" s="127">
        <v>0</v>
      </c>
      <c r="R3" s="127">
        <v>0</v>
      </c>
      <c r="S3" s="127">
        <v>0</v>
      </c>
      <c r="T3" s="127">
        <v>0</v>
      </c>
      <c r="U3" s="127">
        <v>0</v>
      </c>
      <c r="V3" s="127">
        <v>0</v>
      </c>
      <c r="W3" s="127">
        <v>0</v>
      </c>
      <c r="X3" s="127">
        <v>0.57839999999999792</v>
      </c>
      <c r="Y3" s="127">
        <v>6.9428000000000045</v>
      </c>
      <c r="Z3" s="127">
        <v>35.382800000000003</v>
      </c>
      <c r="AA3" s="127">
        <v>67.961899999999986</v>
      </c>
      <c r="AB3" s="127" t="str">
        <v xml:space="preserve"> </v>
      </c>
      <c r="AC3" s="127" t="str">
        <v xml:space="preserve"> </v>
      </c>
      <c r="AD3" s="127" t="str">
        <v xml:space="preserve"> </v>
      </c>
      <c r="AE3" s="127" t="str">
        <v xml:space="preserve"> </v>
      </c>
      <c r="AF3" s="127" t="str">
        <v xml:space="preserve"> </v>
      </c>
      <c r="AG3" s="127" t="str">
        <v xml:space="preserve"> </v>
      </c>
      <c r="AH3" s="127" t="str">
        <v xml:space="preserve"> </v>
      </c>
      <c r="AI3" s="127" t="str">
        <v xml:space="preserve"> </v>
      </c>
      <c r="AJ3" s="127" t="str">
        <v xml:space="preserve"> </v>
      </c>
      <c r="AK3" s="127" t="str">
        <v xml:space="preserve"> </v>
      </c>
      <c r="AL3" s="127" t="str">
        <v xml:space="preserve"> </v>
      </c>
      <c r="AM3" s="127" t="str">
        <v xml:space="preserve"> </v>
      </c>
      <c r="AN3" s="127" t="str">
        <v xml:space="preserve"> </v>
      </c>
    </row>
    <row r="4" spans="15:40" x14ac:dyDescent="0.25">
      <c r="O4" s="128">
        <v>0.5</v>
      </c>
      <c r="P4" s="127">
        <v>0</v>
      </c>
      <c r="Q4" s="127">
        <v>0</v>
      </c>
      <c r="R4" s="127">
        <v>0</v>
      </c>
      <c r="S4" s="127">
        <v>0</v>
      </c>
      <c r="T4" s="127">
        <v>0</v>
      </c>
      <c r="U4" s="127">
        <v>0</v>
      </c>
      <c r="V4" s="127">
        <v>0</v>
      </c>
      <c r="W4" s="127">
        <v>0.11999999999999957</v>
      </c>
      <c r="X4" s="127">
        <v>8.9199999999999946</v>
      </c>
      <c r="Y4" s="127">
        <v>19.035</v>
      </c>
      <c r="Z4" s="127">
        <v>54.924000000000007</v>
      </c>
      <c r="AA4" s="127">
        <v>90.142499999999984</v>
      </c>
      <c r="AB4" s="127" t="str">
        <v xml:space="preserve"> </v>
      </c>
      <c r="AC4" s="127" t="str">
        <v xml:space="preserve"> </v>
      </c>
      <c r="AD4" s="127" t="str">
        <v xml:space="preserve"> </v>
      </c>
      <c r="AE4" s="127" t="str">
        <v xml:space="preserve"> </v>
      </c>
      <c r="AF4" s="127" t="str">
        <v xml:space="preserve"> </v>
      </c>
      <c r="AG4" s="127" t="str">
        <v xml:space="preserve"> </v>
      </c>
      <c r="AH4" s="127" t="str">
        <v xml:space="preserve"> </v>
      </c>
      <c r="AI4" s="127" t="str">
        <v xml:space="preserve"> </v>
      </c>
      <c r="AJ4" s="127" t="str">
        <v xml:space="preserve"> </v>
      </c>
      <c r="AK4" s="127" t="str">
        <v xml:space="preserve"> </v>
      </c>
      <c r="AL4" s="127" t="str">
        <v xml:space="preserve"> </v>
      </c>
      <c r="AM4" s="127" t="str">
        <v xml:space="preserve"> </v>
      </c>
      <c r="AN4" s="127" t="str">
        <v xml:space="preserve"> </v>
      </c>
    </row>
    <row r="5" spans="15:40" x14ac:dyDescent="0.25">
      <c r="O5" s="128">
        <v>1</v>
      </c>
      <c r="P5" s="127">
        <v>0</v>
      </c>
      <c r="Q5" s="127">
        <v>0</v>
      </c>
      <c r="R5" s="127">
        <v>0</v>
      </c>
      <c r="S5" s="127">
        <v>0</v>
      </c>
      <c r="T5" s="127">
        <v>0</v>
      </c>
      <c r="U5" s="127">
        <v>0</v>
      </c>
      <c r="V5" s="127">
        <v>0</v>
      </c>
      <c r="W5" s="127">
        <v>7.3440000000000039</v>
      </c>
      <c r="X5" s="127">
        <v>23.755999999999997</v>
      </c>
      <c r="Y5" s="127">
        <v>36.741</v>
      </c>
      <c r="Z5" s="127">
        <v>75.516000000000005</v>
      </c>
      <c r="AA5" s="127">
        <v>112.45169999999999</v>
      </c>
      <c r="AB5" s="127" t="str">
        <v xml:space="preserve"> </v>
      </c>
      <c r="AC5" s="127" t="str">
        <v xml:space="preserve"> </v>
      </c>
      <c r="AD5" s="127" t="str">
        <v xml:space="preserve"> </v>
      </c>
      <c r="AE5" s="127" t="str">
        <v xml:space="preserve"> </v>
      </c>
      <c r="AF5" s="127" t="str">
        <v xml:space="preserve"> </v>
      </c>
      <c r="AG5" s="127" t="str">
        <v xml:space="preserve"> </v>
      </c>
      <c r="AH5" s="127" t="str">
        <v xml:space="preserve"> </v>
      </c>
      <c r="AI5" s="127" t="str">
        <v xml:space="preserve"> </v>
      </c>
      <c r="AJ5" s="127" t="str">
        <v xml:space="preserve"> </v>
      </c>
      <c r="AK5" s="127" t="str">
        <v xml:space="preserve"> </v>
      </c>
      <c r="AL5" s="127" t="str">
        <v xml:space="preserve"> </v>
      </c>
      <c r="AM5" s="127" t="str">
        <v xml:space="preserve"> </v>
      </c>
      <c r="AN5" s="127" t="str">
        <v xml:space="preserve"> </v>
      </c>
    </row>
    <row r="6" spans="15:40" x14ac:dyDescent="0.25">
      <c r="O6" s="128">
        <v>1.5</v>
      </c>
      <c r="P6" s="127">
        <v>0</v>
      </c>
      <c r="Q6" s="127">
        <v>0</v>
      </c>
      <c r="R6" s="127">
        <v>0</v>
      </c>
      <c r="S6" s="127">
        <v>0.30000000000000004</v>
      </c>
      <c r="T6" s="127">
        <v>1.29</v>
      </c>
      <c r="U6" s="127">
        <v>4.5</v>
      </c>
      <c r="V6" s="127">
        <v>10.77</v>
      </c>
      <c r="W6" s="127">
        <v>27.720000000000002</v>
      </c>
      <c r="X6" s="127">
        <v>48.278999999999996</v>
      </c>
      <c r="Y6" s="127">
        <v>67.626000000000005</v>
      </c>
      <c r="Z6" s="127">
        <v>103.848</v>
      </c>
      <c r="AA6" s="127">
        <v>141.80129999999997</v>
      </c>
      <c r="AB6" s="127" t="str">
        <v xml:space="preserve"> </v>
      </c>
      <c r="AC6" s="127" t="str">
        <v xml:space="preserve"> </v>
      </c>
      <c r="AD6" s="127" t="str">
        <v xml:space="preserve"> </v>
      </c>
      <c r="AE6" s="127" t="str">
        <v xml:space="preserve"> </v>
      </c>
      <c r="AF6" s="127" t="str">
        <v xml:space="preserve"> </v>
      </c>
      <c r="AG6" s="127" t="str">
        <v xml:space="preserve"> </v>
      </c>
      <c r="AH6" s="127" t="str">
        <v xml:space="preserve"> </v>
      </c>
      <c r="AI6" s="127" t="str">
        <v xml:space="preserve"> </v>
      </c>
      <c r="AJ6" s="127" t="str">
        <v xml:space="preserve"> </v>
      </c>
      <c r="AK6" s="127" t="str">
        <v xml:space="preserve"> </v>
      </c>
      <c r="AL6" s="127" t="str">
        <v xml:space="preserve"> </v>
      </c>
      <c r="AM6" s="127" t="str">
        <v xml:space="preserve"> </v>
      </c>
      <c r="AN6" s="127" t="str">
        <v xml:space="preserve"> </v>
      </c>
    </row>
    <row r="7" spans="15:40" x14ac:dyDescent="0.25">
      <c r="O7" s="128">
        <v>2</v>
      </c>
      <c r="P7" s="127">
        <v>0</v>
      </c>
      <c r="Q7" s="127">
        <v>0.13200000000000001</v>
      </c>
      <c r="R7" s="127">
        <v>1.4550000000000001</v>
      </c>
      <c r="S7" s="127">
        <v>3.7680000000000002</v>
      </c>
      <c r="T7" s="127">
        <v>6.6989999999999998</v>
      </c>
      <c r="U7" s="127">
        <v>14.102999999999998</v>
      </c>
      <c r="V7" s="127">
        <v>28.298999999999999</v>
      </c>
      <c r="W7" s="127">
        <v>55.623000000000005</v>
      </c>
      <c r="X7" s="127">
        <v>78.502999999999986</v>
      </c>
      <c r="Y7" s="127">
        <v>96.026999999999987</v>
      </c>
      <c r="Z7" s="127">
        <v>136.33499999999998</v>
      </c>
      <c r="AA7" s="127">
        <v>174.81299999999996</v>
      </c>
      <c r="AB7" s="127" t="str">
        <v xml:space="preserve"> </v>
      </c>
      <c r="AC7" s="127" t="str">
        <v xml:space="preserve"> </v>
      </c>
      <c r="AD7" s="127" t="str">
        <v xml:space="preserve"> </v>
      </c>
      <c r="AE7" s="127" t="str">
        <v xml:space="preserve"> </v>
      </c>
      <c r="AF7" s="127" t="str">
        <v xml:space="preserve"> </v>
      </c>
      <c r="AG7" s="127" t="str">
        <v xml:space="preserve"> </v>
      </c>
      <c r="AH7" s="127" t="str">
        <v xml:space="preserve"> </v>
      </c>
      <c r="AI7" s="127" t="str">
        <v xml:space="preserve"> </v>
      </c>
      <c r="AJ7" s="127" t="str">
        <v xml:space="preserve"> </v>
      </c>
      <c r="AK7" s="127" t="str">
        <v xml:space="preserve"> </v>
      </c>
      <c r="AL7" s="127" t="str">
        <v xml:space="preserve"> </v>
      </c>
      <c r="AM7" s="127" t="str">
        <v xml:space="preserve"> </v>
      </c>
      <c r="AN7" s="127" t="str">
        <v xml:space="preserve"> </v>
      </c>
    </row>
    <row r="8" spans="15:40" x14ac:dyDescent="0.25">
      <c r="O8" s="128">
        <v>3</v>
      </c>
      <c r="P8" s="127">
        <v>0</v>
      </c>
      <c r="Q8" s="127">
        <v>1.8839999999999997</v>
      </c>
      <c r="R8" s="127">
        <v>5.5679999999999996</v>
      </c>
      <c r="S8" s="127">
        <v>10.026</v>
      </c>
      <c r="T8" s="127">
        <v>15.288</v>
      </c>
      <c r="U8" s="127">
        <v>30.047999999999995</v>
      </c>
      <c r="V8" s="127">
        <v>58.007999999999996</v>
      </c>
      <c r="W8" s="127">
        <v>96.924000000000007</v>
      </c>
      <c r="X8" s="127">
        <v>122.14699999999999</v>
      </c>
      <c r="Y8" s="127">
        <v>137.86799999999999</v>
      </c>
      <c r="Z8" s="127">
        <v>182.316</v>
      </c>
      <c r="AA8" s="127">
        <v>221.17559999999997</v>
      </c>
      <c r="AB8" s="127" t="str">
        <v xml:space="preserve"> </v>
      </c>
      <c r="AC8" s="127" t="str">
        <v xml:space="preserve"> </v>
      </c>
      <c r="AD8" s="127" t="str">
        <v xml:space="preserve"> </v>
      </c>
      <c r="AE8" s="127" t="str">
        <v xml:space="preserve"> </v>
      </c>
      <c r="AF8" s="127" t="str">
        <v xml:space="preserve"> </v>
      </c>
      <c r="AG8" s="127" t="str">
        <v xml:space="preserve"> </v>
      </c>
      <c r="AH8" s="127" t="str">
        <v xml:space="preserve"> </v>
      </c>
      <c r="AI8" s="127" t="str">
        <v xml:space="preserve"> </v>
      </c>
      <c r="AJ8" s="127" t="str">
        <v xml:space="preserve"> </v>
      </c>
      <c r="AK8" s="127" t="str">
        <v xml:space="preserve"> </v>
      </c>
      <c r="AL8" s="127" t="str">
        <v xml:space="preserve"> </v>
      </c>
      <c r="AM8" s="127" t="str">
        <v xml:space="preserve"> </v>
      </c>
      <c r="AN8" s="127" t="str">
        <v xml:space="preserve"> </v>
      </c>
    </row>
    <row r="9" spans="15:40" x14ac:dyDescent="0.25">
      <c r="O9" s="128">
        <v>4</v>
      </c>
      <c r="P9" s="127">
        <v>0</v>
      </c>
      <c r="Q9" s="127">
        <v>3.9420000000000002</v>
      </c>
      <c r="R9" s="127">
        <v>10.655999999999999</v>
      </c>
      <c r="S9" s="127">
        <v>18.516000000000002</v>
      </c>
      <c r="T9" s="127">
        <v>28.103999999999999</v>
      </c>
      <c r="U9" s="127">
        <v>54.432000000000002</v>
      </c>
      <c r="V9" s="127">
        <v>92.627999999999986</v>
      </c>
      <c r="W9" s="127">
        <v>133.38</v>
      </c>
      <c r="X9" s="127">
        <v>159.83499999999998</v>
      </c>
      <c r="Y9" s="127">
        <v>177.83999999999997</v>
      </c>
      <c r="Z9" s="127">
        <v>220.93199999999999</v>
      </c>
      <c r="AA9" s="127">
        <v>259.88699999999994</v>
      </c>
      <c r="AB9" s="127" t="str">
        <v xml:space="preserve"> </v>
      </c>
      <c r="AC9" s="127" t="str">
        <v xml:space="preserve"> </v>
      </c>
      <c r="AD9" s="127" t="str">
        <v xml:space="preserve"> </v>
      </c>
      <c r="AE9" s="127" t="str">
        <v xml:space="preserve"> </v>
      </c>
      <c r="AF9" s="127" t="str">
        <v xml:space="preserve"> </v>
      </c>
      <c r="AG9" s="127" t="str">
        <v xml:space="preserve"> </v>
      </c>
      <c r="AH9" s="127" t="str">
        <v xml:space="preserve"> </v>
      </c>
      <c r="AI9" s="127" t="str">
        <v xml:space="preserve"> </v>
      </c>
      <c r="AJ9" s="127" t="str">
        <v xml:space="preserve"> </v>
      </c>
      <c r="AK9" s="127" t="str">
        <v xml:space="preserve"> </v>
      </c>
      <c r="AL9" s="127" t="str">
        <v xml:space="preserve"> </v>
      </c>
      <c r="AM9" s="127" t="str">
        <v xml:space="preserve"> </v>
      </c>
      <c r="AN9" s="127" t="str">
        <v xml:space="preserve"> </v>
      </c>
    </row>
    <row r="10" spans="15:40" x14ac:dyDescent="0.25">
      <c r="O10" s="128">
        <v>5</v>
      </c>
      <c r="P10" s="127">
        <v>0</v>
      </c>
      <c r="Q10" s="127">
        <v>6.0734999999999992</v>
      </c>
      <c r="R10" s="127">
        <v>16.169999999999998</v>
      </c>
      <c r="S10" s="127">
        <v>27.997499999999999</v>
      </c>
      <c r="T10" s="127">
        <v>42.93</v>
      </c>
      <c r="U10" s="127">
        <v>80.201999999999984</v>
      </c>
      <c r="V10" s="127">
        <v>121.626</v>
      </c>
      <c r="W10" s="127">
        <v>165.60599999999999</v>
      </c>
      <c r="X10" s="127">
        <v>192.52299999999997</v>
      </c>
      <c r="Y10" s="127">
        <v>209.322</v>
      </c>
      <c r="Z10" s="127">
        <v>253.76999999999998</v>
      </c>
      <c r="AA10" s="127">
        <v>292.72499999999997</v>
      </c>
      <c r="AB10" s="127" t="str">
        <v xml:space="preserve"> </v>
      </c>
      <c r="AC10" s="127" t="str">
        <v xml:space="preserve"> </v>
      </c>
      <c r="AD10" s="127" t="str">
        <v xml:space="preserve"> </v>
      </c>
      <c r="AE10" s="127" t="str">
        <v xml:space="preserve"> </v>
      </c>
      <c r="AF10" s="127" t="str">
        <v xml:space="preserve"> </v>
      </c>
      <c r="AG10" s="127" t="str">
        <v xml:space="preserve"> </v>
      </c>
      <c r="AH10" s="127" t="str">
        <v xml:space="preserve"> </v>
      </c>
      <c r="AI10" s="127" t="str">
        <v xml:space="preserve"> </v>
      </c>
      <c r="AJ10" s="127" t="str">
        <v xml:space="preserve"> </v>
      </c>
      <c r="AK10" s="127" t="str">
        <v xml:space="preserve"> </v>
      </c>
      <c r="AL10" s="127" t="str">
        <v xml:space="preserve"> </v>
      </c>
      <c r="AM10" s="127" t="str">
        <v xml:space="preserve"> </v>
      </c>
      <c r="AN10" s="127" t="str">
        <v xml:space="preserve"> </v>
      </c>
    </row>
    <row r="11" spans="15:40" x14ac:dyDescent="0.25">
      <c r="O11" s="128">
        <v>6</v>
      </c>
      <c r="P11" s="127">
        <v>0</v>
      </c>
      <c r="Q11" s="127">
        <v>8.3069999999999986</v>
      </c>
      <c r="R11" s="127">
        <v>22.139999999999997</v>
      </c>
      <c r="S11" s="127">
        <v>38.168999999999997</v>
      </c>
      <c r="T11" s="127">
        <v>57.263999999999996</v>
      </c>
      <c r="U11" s="127">
        <v>98.927999999999997</v>
      </c>
      <c r="V11" s="127">
        <v>142.524</v>
      </c>
      <c r="W11" s="127">
        <v>186.79199999999997</v>
      </c>
      <c r="X11" s="127">
        <v>213.74199999999996</v>
      </c>
      <c r="Y11" s="127">
        <v>230.72399999999999</v>
      </c>
      <c r="Z11" s="127">
        <v>274.99199999999996</v>
      </c>
      <c r="AA11" s="127">
        <v>313.94699999999995</v>
      </c>
      <c r="AB11" s="127" t="str">
        <v xml:space="preserve"> </v>
      </c>
      <c r="AC11" s="127" t="str">
        <v xml:space="preserve"> </v>
      </c>
      <c r="AD11" s="127" t="str">
        <v xml:space="preserve"> </v>
      </c>
      <c r="AE11" s="127" t="str">
        <v xml:space="preserve"> </v>
      </c>
      <c r="AF11" s="127" t="str">
        <v xml:space="preserve"> </v>
      </c>
      <c r="AG11" s="127" t="str">
        <v xml:space="preserve"> </v>
      </c>
      <c r="AH11" s="127" t="str">
        <v xml:space="preserve"> </v>
      </c>
      <c r="AI11" s="127" t="str">
        <v xml:space="preserve"> </v>
      </c>
      <c r="AJ11" s="127" t="str">
        <v xml:space="preserve"> </v>
      </c>
      <c r="AK11" s="127" t="str">
        <v xml:space="preserve"> </v>
      </c>
      <c r="AL11" s="127" t="str">
        <v xml:space="preserve"> </v>
      </c>
      <c r="AM11" s="127" t="str">
        <v xml:space="preserve"> </v>
      </c>
      <c r="AN11" s="127" t="str">
        <v xml:space="preserve"> </v>
      </c>
    </row>
    <row r="12" spans="15:40" x14ac:dyDescent="0.25">
      <c r="O12" s="128">
        <v>7</v>
      </c>
      <c r="P12" s="127">
        <v>0</v>
      </c>
      <c r="Q12" s="127">
        <v>11.539499999999999</v>
      </c>
      <c r="R12" s="127">
        <v>28.973999999999997</v>
      </c>
      <c r="S12" s="127">
        <v>48.061499999999995</v>
      </c>
      <c r="T12" s="127">
        <v>69.245999999999995</v>
      </c>
      <c r="U12" s="127">
        <v>112.91399999999999</v>
      </c>
      <c r="V12" s="127">
        <v>156.97800000000001</v>
      </c>
      <c r="W12" s="127">
        <v>201.11399999999998</v>
      </c>
      <c r="X12" s="127">
        <v>228.06399999999996</v>
      </c>
      <c r="Y12" s="127">
        <v>245.178</v>
      </c>
      <c r="Z12" s="127">
        <v>289.31399999999996</v>
      </c>
      <c r="AA12" s="127">
        <v>328.26899999999995</v>
      </c>
      <c r="AB12" s="127" t="str">
        <v xml:space="preserve"> </v>
      </c>
      <c r="AC12" s="127" t="str">
        <v xml:space="preserve"> </v>
      </c>
      <c r="AD12" s="127" t="str">
        <v xml:space="preserve"> </v>
      </c>
      <c r="AE12" s="127" t="str">
        <v xml:space="preserve"> </v>
      </c>
      <c r="AF12" s="127" t="str">
        <v xml:space="preserve"> </v>
      </c>
      <c r="AG12" s="127" t="str">
        <v xml:space="preserve"> </v>
      </c>
      <c r="AH12" s="127" t="str">
        <v xml:space="preserve"> </v>
      </c>
      <c r="AI12" s="127" t="str">
        <v xml:space="preserve"> </v>
      </c>
      <c r="AJ12" s="127" t="str">
        <v xml:space="preserve"> </v>
      </c>
      <c r="AK12" s="127" t="str">
        <v xml:space="preserve"> </v>
      </c>
      <c r="AL12" s="127" t="str">
        <v xml:space="preserve"> </v>
      </c>
      <c r="AM12" s="127" t="str">
        <v xml:space="preserve"> </v>
      </c>
      <c r="AN12" s="127" t="str">
        <v xml:space="preserve"> </v>
      </c>
    </row>
    <row r="13" spans="15:40" x14ac:dyDescent="0.25">
      <c r="O13" s="128">
        <v>8</v>
      </c>
      <c r="P13" s="127">
        <v>0</v>
      </c>
      <c r="Q13" s="127">
        <v>14.9145</v>
      </c>
      <c r="R13" s="127">
        <v>34.734000000000002</v>
      </c>
      <c r="S13" s="127">
        <v>55.390500000000003</v>
      </c>
      <c r="T13" s="127">
        <v>77.412000000000006</v>
      </c>
      <c r="U13" s="127">
        <v>121.518</v>
      </c>
      <c r="V13" s="127">
        <v>165.52800000000002</v>
      </c>
      <c r="W13" s="127">
        <v>209.71800000000002</v>
      </c>
      <c r="X13" s="127">
        <v>236.66800000000001</v>
      </c>
      <c r="Y13" s="127">
        <v>253.72800000000001</v>
      </c>
      <c r="Z13" s="127">
        <v>297.91800000000001</v>
      </c>
      <c r="AA13" s="127">
        <v>336.87299999999999</v>
      </c>
      <c r="AB13" s="127" t="str">
        <v xml:space="preserve"> </v>
      </c>
      <c r="AC13" s="127" t="str">
        <v xml:space="preserve"> </v>
      </c>
      <c r="AD13" s="127" t="str">
        <v xml:space="preserve"> </v>
      </c>
      <c r="AE13" s="127" t="str">
        <v xml:space="preserve"> </v>
      </c>
      <c r="AF13" s="127" t="str">
        <v xml:space="preserve"> </v>
      </c>
      <c r="AG13" s="127" t="str">
        <v xml:space="preserve"> </v>
      </c>
      <c r="AH13" s="127" t="str">
        <v xml:space="preserve"> </v>
      </c>
      <c r="AI13" s="127" t="str">
        <v xml:space="preserve"> </v>
      </c>
      <c r="AJ13" s="127" t="str">
        <v xml:space="preserve"> </v>
      </c>
      <c r="AK13" s="127" t="str">
        <v xml:space="preserve"> </v>
      </c>
      <c r="AL13" s="127" t="str">
        <v xml:space="preserve"> </v>
      </c>
      <c r="AM13" s="127" t="str">
        <v xml:space="preserve"> </v>
      </c>
      <c r="AN13" s="127" t="str">
        <v xml:space="preserve"> </v>
      </c>
    </row>
    <row r="14" spans="15:40" x14ac:dyDescent="0.25">
      <c r="O14" s="128">
        <v>9</v>
      </c>
      <c r="P14" s="127">
        <v>0</v>
      </c>
      <c r="Q14" s="127">
        <v>16.577999999999999</v>
      </c>
      <c r="R14" s="127">
        <v>37.223999999999997</v>
      </c>
      <c r="S14" s="127">
        <v>58.445999999999998</v>
      </c>
      <c r="T14" s="127">
        <v>80.693999999999988</v>
      </c>
      <c r="U14" s="127">
        <v>124.78799999999998</v>
      </c>
      <c r="V14" s="127">
        <v>168.89400000000001</v>
      </c>
      <c r="W14" s="127">
        <v>212.988</v>
      </c>
      <c r="X14" s="127">
        <v>239.93799999999999</v>
      </c>
      <c r="Y14" s="127">
        <v>257.09399999999999</v>
      </c>
      <c r="Z14" s="127">
        <v>301.18799999999999</v>
      </c>
      <c r="AA14" s="127">
        <v>340.14299999999997</v>
      </c>
      <c r="AB14" s="127" t="str">
        <v xml:space="preserve"> </v>
      </c>
      <c r="AC14" s="127" t="str">
        <v xml:space="preserve"> </v>
      </c>
      <c r="AD14" s="127" t="str">
        <v xml:space="preserve"> </v>
      </c>
      <c r="AE14" s="127" t="str">
        <v xml:space="preserve"> </v>
      </c>
      <c r="AF14" s="127" t="str">
        <v xml:space="preserve"> </v>
      </c>
      <c r="AG14" s="127" t="str">
        <v xml:space="preserve"> </v>
      </c>
      <c r="AH14" s="127" t="str">
        <v xml:space="preserve"> </v>
      </c>
      <c r="AI14" s="127" t="str">
        <v xml:space="preserve"> </v>
      </c>
      <c r="AJ14" s="127" t="str">
        <v xml:space="preserve"> </v>
      </c>
      <c r="AK14" s="127" t="str">
        <v xml:space="preserve"> </v>
      </c>
      <c r="AL14" s="127" t="str">
        <v xml:space="preserve"> </v>
      </c>
      <c r="AM14" s="127" t="str">
        <v xml:space="preserve"> </v>
      </c>
      <c r="AN14" s="127" t="str">
        <v xml:space="preserve"> </v>
      </c>
    </row>
    <row r="15" spans="15:40" x14ac:dyDescent="0.25">
      <c r="O15" s="128">
        <v>10</v>
      </c>
      <c r="P15" s="127">
        <v>0</v>
      </c>
      <c r="Q15" s="127">
        <v>17.4315</v>
      </c>
      <c r="R15" s="127">
        <v>38.021999999999998</v>
      </c>
      <c r="S15" s="127">
        <v>59.443499999999993</v>
      </c>
      <c r="T15" s="127">
        <v>81.563999999999993</v>
      </c>
      <c r="U15" s="127">
        <v>125.63399999999999</v>
      </c>
      <c r="V15" s="127">
        <v>169.76400000000001</v>
      </c>
      <c r="W15" s="127">
        <v>213.834</v>
      </c>
      <c r="X15" s="127">
        <v>240.78399999999999</v>
      </c>
      <c r="Y15" s="127">
        <v>257.964</v>
      </c>
      <c r="Z15" s="127">
        <v>302.03399999999999</v>
      </c>
      <c r="AA15" s="127">
        <v>340.98899999999998</v>
      </c>
      <c r="AB15" s="127" t="str">
        <v xml:space="preserve"> </v>
      </c>
      <c r="AC15" s="127" t="str">
        <v xml:space="preserve"> </v>
      </c>
      <c r="AD15" s="127" t="str">
        <v xml:space="preserve"> </v>
      </c>
      <c r="AE15" s="127" t="str">
        <v xml:space="preserve"> </v>
      </c>
      <c r="AF15" s="127" t="str">
        <v xml:space="preserve"> </v>
      </c>
      <c r="AG15" s="127" t="str">
        <v xml:space="preserve"> </v>
      </c>
      <c r="AH15" s="127" t="str">
        <v xml:space="preserve"> </v>
      </c>
      <c r="AI15" s="127" t="str">
        <v xml:space="preserve"> </v>
      </c>
      <c r="AJ15" s="127" t="str">
        <v xml:space="preserve"> </v>
      </c>
      <c r="AK15" s="127" t="str">
        <v xml:space="preserve"> </v>
      </c>
      <c r="AL15" s="127" t="str">
        <v xml:space="preserve"> </v>
      </c>
      <c r="AM15" s="127" t="str">
        <v xml:space="preserve"> </v>
      </c>
      <c r="AN15" s="127" t="str">
        <v xml:space="preserve"> </v>
      </c>
    </row>
    <row r="16" spans="15:40" x14ac:dyDescent="0.25">
      <c r="O16" s="128">
        <v>11</v>
      </c>
      <c r="P16" s="127">
        <v>0</v>
      </c>
      <c r="Q16" s="127">
        <v>17.486999999999998</v>
      </c>
      <c r="R16" s="127">
        <v>37.692</v>
      </c>
      <c r="S16" s="127">
        <v>58.98899999999999</v>
      </c>
      <c r="T16" s="127">
        <v>80.885999999999996</v>
      </c>
      <c r="U16" s="127">
        <v>124.94400000000002</v>
      </c>
      <c r="V16" s="127">
        <v>169.03800000000001</v>
      </c>
      <c r="W16" s="127">
        <v>213.14400000000001</v>
      </c>
      <c r="X16" s="127">
        <v>240.09399999999999</v>
      </c>
      <c r="Y16" s="127">
        <v>257.238</v>
      </c>
      <c r="Z16" s="127">
        <v>301.34399999999999</v>
      </c>
      <c r="AA16" s="127">
        <v>340.29899999999998</v>
      </c>
      <c r="AB16" s="127" t="str">
        <v xml:space="preserve"> </v>
      </c>
      <c r="AC16" s="127" t="str">
        <v xml:space="preserve"> </v>
      </c>
      <c r="AD16" s="127" t="str">
        <v xml:space="preserve"> </v>
      </c>
      <c r="AE16" s="127" t="str">
        <v xml:space="preserve"> </v>
      </c>
      <c r="AF16" s="127" t="str">
        <v xml:space="preserve"> </v>
      </c>
      <c r="AG16" s="127" t="str">
        <v xml:space="preserve"> </v>
      </c>
      <c r="AH16" s="127" t="str">
        <v xml:space="preserve"> </v>
      </c>
      <c r="AI16" s="127" t="str">
        <v xml:space="preserve"> </v>
      </c>
      <c r="AJ16" s="127" t="str">
        <v xml:space="preserve"> </v>
      </c>
      <c r="AK16" s="127" t="str">
        <v xml:space="preserve"> </v>
      </c>
      <c r="AL16" s="127" t="str">
        <v xml:space="preserve"> </v>
      </c>
      <c r="AM16" s="127" t="str">
        <v xml:space="preserve"> </v>
      </c>
      <c r="AN16" s="127" t="str">
        <v xml:space="preserve"> </v>
      </c>
    </row>
    <row r="17" spans="15:40" x14ac:dyDescent="0.25">
      <c r="O17" s="128">
        <v>12</v>
      </c>
      <c r="P17" s="127">
        <v>0</v>
      </c>
      <c r="Q17" s="127">
        <v>16.246500000000001</v>
      </c>
      <c r="R17" s="127">
        <v>35.417999999999999</v>
      </c>
      <c r="S17" s="127">
        <v>55.876499999999993</v>
      </c>
      <c r="T17" s="127">
        <v>77.141999999999996</v>
      </c>
      <c r="U17" s="127">
        <v>120.59399999999999</v>
      </c>
      <c r="V17" s="127">
        <v>164.70599999999999</v>
      </c>
      <c r="W17" s="127">
        <v>208.73399999999998</v>
      </c>
      <c r="X17" s="127">
        <v>235.68399999999997</v>
      </c>
      <c r="Y17" s="127">
        <v>252.90600000000001</v>
      </c>
      <c r="Z17" s="127">
        <v>296.93399999999997</v>
      </c>
      <c r="AA17" s="127">
        <v>335.88899999999995</v>
      </c>
      <c r="AB17" s="127" t="str">
        <v xml:space="preserve"> </v>
      </c>
      <c r="AC17" s="127" t="str">
        <v xml:space="preserve"> </v>
      </c>
      <c r="AD17" s="127" t="str">
        <v xml:space="preserve"> </v>
      </c>
      <c r="AE17" s="127" t="str">
        <v xml:space="preserve"> </v>
      </c>
      <c r="AF17" s="127" t="str">
        <v xml:space="preserve"> </v>
      </c>
      <c r="AG17" s="127" t="str">
        <v xml:space="preserve"> </v>
      </c>
      <c r="AH17" s="127" t="str">
        <v xml:space="preserve"> </v>
      </c>
      <c r="AI17" s="127" t="str">
        <v xml:space="preserve"> </v>
      </c>
      <c r="AJ17" s="127" t="str">
        <v xml:space="preserve"> </v>
      </c>
      <c r="AK17" s="127" t="str">
        <v xml:space="preserve"> </v>
      </c>
      <c r="AL17" s="127" t="str">
        <v xml:space="preserve"> </v>
      </c>
      <c r="AM17" s="127" t="str">
        <v xml:space="preserve"> </v>
      </c>
      <c r="AN17" s="127" t="str">
        <v xml:space="preserve"> </v>
      </c>
    </row>
    <row r="18" spans="15:40" x14ac:dyDescent="0.25">
      <c r="O18" s="128">
        <v>13</v>
      </c>
      <c r="P18" s="127">
        <v>0</v>
      </c>
      <c r="Q18" s="127">
        <v>14.128499999999999</v>
      </c>
      <c r="R18" s="127">
        <v>31.254000000000001</v>
      </c>
      <c r="S18" s="127">
        <v>49.912499999999994</v>
      </c>
      <c r="T18" s="127">
        <v>69.564000000000007</v>
      </c>
      <c r="U18" s="127">
        <v>110.538</v>
      </c>
      <c r="V18" s="127">
        <v>153.12</v>
      </c>
      <c r="W18" s="127">
        <v>196.578</v>
      </c>
      <c r="X18" s="127">
        <v>223.41799999999998</v>
      </c>
      <c r="Y18" s="127">
        <v>240.62400000000002</v>
      </c>
      <c r="Z18" s="127">
        <v>284.57400000000001</v>
      </c>
      <c r="AA18" s="127">
        <v>323.49720000000002</v>
      </c>
      <c r="AB18" s="127" t="str">
        <v xml:space="preserve"> </v>
      </c>
      <c r="AC18" s="127" t="str">
        <v xml:space="preserve"> </v>
      </c>
      <c r="AD18" s="127" t="str">
        <v xml:space="preserve"> </v>
      </c>
      <c r="AE18" s="127" t="str">
        <v xml:space="preserve"> </v>
      </c>
      <c r="AF18" s="127" t="str">
        <v xml:space="preserve"> </v>
      </c>
      <c r="AG18" s="127" t="str">
        <v xml:space="preserve"> </v>
      </c>
      <c r="AH18" s="127" t="str">
        <v xml:space="preserve"> </v>
      </c>
      <c r="AI18" s="127" t="str">
        <v xml:space="preserve"> </v>
      </c>
      <c r="AJ18" s="127" t="str">
        <v xml:space="preserve"> </v>
      </c>
      <c r="AK18" s="127" t="str">
        <v xml:space="preserve"> </v>
      </c>
      <c r="AL18" s="127" t="str">
        <v xml:space="preserve"> </v>
      </c>
      <c r="AM18" s="127" t="str">
        <v xml:space="preserve"> </v>
      </c>
      <c r="AN18" s="127" t="str">
        <v xml:space="preserve"> </v>
      </c>
    </row>
    <row r="19" spans="15:40" x14ac:dyDescent="0.25">
      <c r="O19" s="128">
        <v>14</v>
      </c>
      <c r="P19" s="127">
        <v>0</v>
      </c>
      <c r="Q19" s="127">
        <v>11.537999999999998</v>
      </c>
      <c r="R19" s="127">
        <v>25.595999999999997</v>
      </c>
      <c r="S19" s="127">
        <v>41.021999999999998</v>
      </c>
      <c r="T19" s="127">
        <v>58.535999999999994</v>
      </c>
      <c r="U19" s="127">
        <v>94.775999999999982</v>
      </c>
      <c r="V19" s="127">
        <v>133.90799999999999</v>
      </c>
      <c r="W19" s="127">
        <v>174.21599999999998</v>
      </c>
      <c r="X19" s="127">
        <v>199.65899999999996</v>
      </c>
      <c r="Y19" s="127">
        <v>216.33599999999998</v>
      </c>
      <c r="Z19" s="127">
        <v>259.04399999999998</v>
      </c>
      <c r="AA19" s="127">
        <v>297.68099999999998</v>
      </c>
      <c r="AB19" s="127" t="str">
        <v xml:space="preserve"> </v>
      </c>
      <c r="AC19" s="127" t="str">
        <v xml:space="preserve"> </v>
      </c>
      <c r="AD19" s="127" t="str">
        <v xml:space="preserve"> </v>
      </c>
      <c r="AE19" s="127" t="str">
        <v xml:space="preserve"> </v>
      </c>
      <c r="AF19" s="127" t="str">
        <v xml:space="preserve"> </v>
      </c>
      <c r="AG19" s="127" t="str">
        <v xml:space="preserve"> </v>
      </c>
      <c r="AH19" s="127" t="str">
        <v xml:space="preserve"> </v>
      </c>
      <c r="AI19" s="127" t="str">
        <v xml:space="preserve"> </v>
      </c>
      <c r="AJ19" s="127" t="str">
        <v xml:space="preserve"> </v>
      </c>
      <c r="AK19" s="127" t="str">
        <v xml:space="preserve"> </v>
      </c>
      <c r="AL19" s="127" t="str">
        <v xml:space="preserve"> </v>
      </c>
      <c r="AM19" s="127" t="str">
        <v xml:space="preserve"> </v>
      </c>
      <c r="AN19" s="127" t="str">
        <v xml:space="preserve"> </v>
      </c>
    </row>
    <row r="20" spans="15:40" x14ac:dyDescent="0.25">
      <c r="O20" s="128">
        <v>15</v>
      </c>
      <c r="P20" s="127">
        <v>0</v>
      </c>
      <c r="Q20" s="127">
        <v>8.6100000000000012</v>
      </c>
      <c r="R20" s="127">
        <v>19.920000000000002</v>
      </c>
      <c r="S20" s="127">
        <v>32.844000000000001</v>
      </c>
      <c r="T20" s="127">
        <v>46.944000000000003</v>
      </c>
      <c r="U20" s="127">
        <v>77.555999999999997</v>
      </c>
      <c r="V20" s="127">
        <v>110.976</v>
      </c>
      <c r="W20" s="127">
        <v>146.83199999999999</v>
      </c>
      <c r="X20" s="127">
        <v>169.77799999999999</v>
      </c>
      <c r="Y20" s="127">
        <v>184.75200000000001</v>
      </c>
      <c r="Z20" s="127">
        <v>224.53199999999998</v>
      </c>
      <c r="AA20" s="127">
        <v>261.80159999999995</v>
      </c>
      <c r="AB20" s="127" t="str">
        <v xml:space="preserve"> </v>
      </c>
      <c r="AC20" s="127" t="str">
        <v xml:space="preserve"> </v>
      </c>
      <c r="AD20" s="127" t="str">
        <v xml:space="preserve"> </v>
      </c>
      <c r="AE20" s="127" t="str">
        <v xml:space="preserve"> </v>
      </c>
      <c r="AF20" s="127" t="str">
        <v xml:space="preserve"> </v>
      </c>
      <c r="AG20" s="127" t="str">
        <v xml:space="preserve"> </v>
      </c>
      <c r="AH20" s="127" t="str">
        <v xml:space="preserve"> </v>
      </c>
      <c r="AI20" s="127" t="str">
        <v xml:space="preserve"> </v>
      </c>
      <c r="AJ20" s="127" t="str">
        <v xml:space="preserve"> </v>
      </c>
      <c r="AK20" s="127" t="str">
        <v xml:space="preserve"> </v>
      </c>
      <c r="AL20" s="127" t="str">
        <v xml:space="preserve"> </v>
      </c>
      <c r="AM20" s="127" t="str">
        <v xml:space="preserve"> </v>
      </c>
      <c r="AN20" s="127" t="str">
        <v xml:space="preserve"> </v>
      </c>
    </row>
    <row r="21" spans="15:40" x14ac:dyDescent="0.25">
      <c r="O21" s="128">
        <v>16</v>
      </c>
      <c r="P21" s="127">
        <v>0</v>
      </c>
      <c r="Q21" s="127">
        <v>5.76</v>
      </c>
      <c r="R21" s="127">
        <v>14.111999999999997</v>
      </c>
      <c r="S21" s="127">
        <v>23.873999999999995</v>
      </c>
      <c r="T21" s="127">
        <v>34.686</v>
      </c>
      <c r="U21" s="127">
        <v>58.56</v>
      </c>
      <c r="V21" s="127">
        <v>85.23</v>
      </c>
      <c r="W21" s="127">
        <v>114.828</v>
      </c>
      <c r="X21" s="127">
        <v>134.35300000000001</v>
      </c>
      <c r="Y21" s="127">
        <v>147.34200000000001</v>
      </c>
      <c r="Z21" s="127">
        <v>182.68799999999999</v>
      </c>
      <c r="AA21" s="127">
        <v>217.58849999999995</v>
      </c>
      <c r="AB21" s="127" t="str">
        <v xml:space="preserve"> </v>
      </c>
      <c r="AC21" s="127" t="str">
        <v xml:space="preserve"> </v>
      </c>
      <c r="AD21" s="127" t="str">
        <v xml:space="preserve"> </v>
      </c>
      <c r="AE21" s="127" t="str">
        <v xml:space="preserve"> </v>
      </c>
      <c r="AF21" s="127" t="str">
        <v xml:space="preserve"> </v>
      </c>
      <c r="AG21" s="127" t="str">
        <v xml:space="preserve"> </v>
      </c>
      <c r="AH21" s="127" t="str">
        <v xml:space="preserve"> </v>
      </c>
      <c r="AI21" s="127" t="str">
        <v xml:space="preserve"> </v>
      </c>
      <c r="AJ21" s="127" t="str">
        <v xml:space="preserve"> </v>
      </c>
      <c r="AK21" s="127" t="str">
        <v xml:space="preserve"> </v>
      </c>
      <c r="AL21" s="127" t="str">
        <v xml:space="preserve"> </v>
      </c>
      <c r="AM21" s="127" t="str">
        <v xml:space="preserve"> </v>
      </c>
      <c r="AN21" s="127" t="str">
        <v xml:space="preserve"> </v>
      </c>
    </row>
    <row r="22" spans="15:40" x14ac:dyDescent="0.25">
      <c r="O22" s="128">
        <v>17</v>
      </c>
      <c r="P22" s="127">
        <v>0</v>
      </c>
      <c r="Q22" s="127">
        <v>3.1154999999999999</v>
      </c>
      <c r="R22" s="127">
        <v>8.8140000000000001</v>
      </c>
      <c r="S22" s="127">
        <v>15.577500000000001</v>
      </c>
      <c r="T22" s="127">
        <v>23.327999999999996</v>
      </c>
      <c r="U22" s="127">
        <v>40.337999999999994</v>
      </c>
      <c r="V22" s="127">
        <v>59.616</v>
      </c>
      <c r="W22" s="127">
        <v>81.593999999999994</v>
      </c>
      <c r="X22" s="127">
        <v>96.784999999999982</v>
      </c>
      <c r="Y22" s="127">
        <v>107.244</v>
      </c>
      <c r="Z22" s="127">
        <v>136.64999999999998</v>
      </c>
      <c r="AA22" s="127">
        <v>167.92529999999996</v>
      </c>
      <c r="AB22" s="127" t="str">
        <v xml:space="preserve"> </v>
      </c>
      <c r="AC22" s="127" t="str">
        <v xml:space="preserve"> </v>
      </c>
      <c r="AD22" s="127" t="str">
        <v xml:space="preserve"> </v>
      </c>
      <c r="AE22" s="127" t="str">
        <v xml:space="preserve"> </v>
      </c>
      <c r="AF22" s="127" t="str">
        <v xml:space="preserve"> </v>
      </c>
      <c r="AG22" s="127" t="str">
        <v xml:space="preserve"> </v>
      </c>
      <c r="AH22" s="127" t="str">
        <v xml:space="preserve"> </v>
      </c>
      <c r="AI22" s="127" t="str">
        <v xml:space="preserve"> </v>
      </c>
      <c r="AJ22" s="127" t="str">
        <v xml:space="preserve"> </v>
      </c>
      <c r="AK22" s="127" t="str">
        <v xml:space="preserve"> </v>
      </c>
      <c r="AL22" s="127" t="str">
        <v xml:space="preserve"> </v>
      </c>
      <c r="AM22" s="127" t="str">
        <v xml:space="preserve"> </v>
      </c>
      <c r="AN22" s="127" t="str">
        <v xml:space="preserve"> </v>
      </c>
    </row>
    <row r="23" spans="15:40" x14ac:dyDescent="0.25">
      <c r="O23" s="128">
        <v>18</v>
      </c>
      <c r="P23" s="127">
        <v>0</v>
      </c>
      <c r="Q23" s="127">
        <v>1.4534999999999998</v>
      </c>
      <c r="R23" s="127">
        <v>4.8434999999999997</v>
      </c>
      <c r="S23" s="127">
        <v>9.3134999999999994</v>
      </c>
      <c r="T23" s="127">
        <v>14.419499999999999</v>
      </c>
      <c r="U23" s="127">
        <v>25.675499999999996</v>
      </c>
      <c r="V23" s="127">
        <v>37.795500000000004</v>
      </c>
      <c r="W23" s="127">
        <v>51.5595</v>
      </c>
      <c r="X23" s="127">
        <v>61.734499999999997</v>
      </c>
      <c r="Y23" s="127">
        <v>69.115499999999997</v>
      </c>
      <c r="Z23" s="127">
        <v>91.159500000000008</v>
      </c>
      <c r="AA23" s="127">
        <v>117.5694</v>
      </c>
      <c r="AB23" s="127" t="str">
        <v xml:space="preserve"> </v>
      </c>
      <c r="AC23" s="127" t="str">
        <v xml:space="preserve"> </v>
      </c>
      <c r="AD23" s="127" t="str">
        <v xml:space="preserve"> </v>
      </c>
      <c r="AE23" s="127" t="str">
        <v xml:space="preserve"> </v>
      </c>
      <c r="AF23" s="127" t="str">
        <v xml:space="preserve"> </v>
      </c>
      <c r="AG23" s="127" t="str">
        <v xml:space="preserve"> </v>
      </c>
      <c r="AH23" s="127" t="str">
        <v xml:space="preserve"> </v>
      </c>
      <c r="AI23" s="127" t="str">
        <v xml:space="preserve"> </v>
      </c>
      <c r="AJ23" s="127" t="str">
        <v xml:space="preserve"> </v>
      </c>
      <c r="AK23" s="127" t="str">
        <v xml:space="preserve"> </v>
      </c>
      <c r="AL23" s="127" t="str">
        <v xml:space="preserve"> </v>
      </c>
      <c r="AM23" s="127" t="str">
        <v xml:space="preserve"> </v>
      </c>
      <c r="AN23" s="127" t="str">
        <v xml:space="preserve"> </v>
      </c>
    </row>
    <row r="24" spans="15:40" x14ac:dyDescent="0.25">
      <c r="O24" s="128">
        <v>18.5</v>
      </c>
      <c r="P24" s="127">
        <v>0</v>
      </c>
      <c r="Q24" s="127">
        <v>0.60319999999999996</v>
      </c>
      <c r="R24" s="127">
        <v>3.1021999999999998</v>
      </c>
      <c r="S24" s="127">
        <v>6.5912000000000006</v>
      </c>
      <c r="T24" s="127">
        <v>10.6982</v>
      </c>
      <c r="U24" s="127">
        <v>19.746199999999998</v>
      </c>
      <c r="V24" s="127">
        <v>28.9742</v>
      </c>
      <c r="W24" s="127">
        <v>38.8142</v>
      </c>
      <c r="X24" s="127">
        <v>46.415199999999999</v>
      </c>
      <c r="Y24" s="127">
        <v>52.170200000000001</v>
      </c>
      <c r="Z24" s="127">
        <v>70.050200000000004</v>
      </c>
      <c r="AA24" s="127">
        <v>92.008099999999985</v>
      </c>
      <c r="AB24" s="127" t="str">
        <v xml:space="preserve"> </v>
      </c>
      <c r="AC24" s="127" t="str">
        <v xml:space="preserve"> </v>
      </c>
      <c r="AD24" s="127" t="str">
        <v xml:space="preserve"> </v>
      </c>
      <c r="AE24" s="127" t="str">
        <v xml:space="preserve"> </v>
      </c>
      <c r="AF24" s="127" t="str">
        <v xml:space="preserve"> </v>
      </c>
      <c r="AG24" s="127" t="str">
        <v xml:space="preserve"> </v>
      </c>
      <c r="AH24" s="127" t="str">
        <v xml:space="preserve"> </v>
      </c>
      <c r="AI24" s="127" t="str">
        <v xml:space="preserve"> </v>
      </c>
      <c r="AJ24" s="127" t="str">
        <v xml:space="preserve"> </v>
      </c>
      <c r="AK24" s="127" t="str">
        <v xml:space="preserve"> </v>
      </c>
      <c r="AL24" s="127" t="str">
        <v xml:space="preserve"> </v>
      </c>
      <c r="AM24" s="127" t="str">
        <v xml:space="preserve"> </v>
      </c>
      <c r="AN24" s="127" t="str">
        <v xml:space="preserve"> </v>
      </c>
    </row>
    <row r="25" spans="15:40" x14ac:dyDescent="0.25">
      <c r="O25" s="128">
        <v>19</v>
      </c>
      <c r="P25" s="127">
        <v>0</v>
      </c>
      <c r="Q25" s="127">
        <v>0.15359999999999999</v>
      </c>
      <c r="R25" s="127">
        <v>1.9056</v>
      </c>
      <c r="S25" s="127">
        <v>4.5935999999999995</v>
      </c>
      <c r="T25" s="127">
        <v>7.8755999999999995</v>
      </c>
      <c r="U25" s="127">
        <v>15.357599999999998</v>
      </c>
      <c r="V25" s="127">
        <v>22.467599999999997</v>
      </c>
      <c r="W25" s="127">
        <v>28.9176</v>
      </c>
      <c r="X25" s="127">
        <v>33.988599999999998</v>
      </c>
      <c r="Y25" s="127">
        <v>37.947599999999994</v>
      </c>
      <c r="Z25" s="127">
        <v>51.501599999999996</v>
      </c>
      <c r="AA25" s="127">
        <v>67.687799999999982</v>
      </c>
      <c r="AB25" s="127" t="str">
        <v xml:space="preserve"> </v>
      </c>
      <c r="AC25" s="127" t="str">
        <v xml:space="preserve"> </v>
      </c>
      <c r="AD25" s="127" t="str">
        <v xml:space="preserve"> </v>
      </c>
      <c r="AE25" s="127" t="str">
        <v xml:space="preserve"> </v>
      </c>
      <c r="AF25" s="127" t="str">
        <v xml:space="preserve"> </v>
      </c>
      <c r="AG25" s="127" t="str">
        <v xml:space="preserve"> </v>
      </c>
      <c r="AH25" s="127" t="str">
        <v xml:space="preserve"> </v>
      </c>
      <c r="AI25" s="127" t="str">
        <v xml:space="preserve"> </v>
      </c>
      <c r="AJ25" s="127" t="str">
        <v xml:space="preserve"> </v>
      </c>
      <c r="AK25" s="127" t="str">
        <v xml:space="preserve"> </v>
      </c>
      <c r="AL25" s="127" t="str">
        <v xml:space="preserve"> </v>
      </c>
      <c r="AM25" s="127" t="str">
        <v xml:space="preserve"> </v>
      </c>
      <c r="AN25" s="127" t="str">
        <v xml:space="preserve"> </v>
      </c>
    </row>
    <row r="26" spans="15:40" x14ac:dyDescent="0.25">
      <c r="O26" s="128">
        <v>19.5</v>
      </c>
      <c r="P26" s="127">
        <v>0</v>
      </c>
      <c r="Q26" s="127">
        <v>0</v>
      </c>
      <c r="R26" s="127">
        <v>0.68799999999999994</v>
      </c>
      <c r="S26" s="127">
        <v>2.641</v>
      </c>
      <c r="T26" s="127">
        <v>5.26</v>
      </c>
      <c r="U26" s="127">
        <v>11.524000000000001</v>
      </c>
      <c r="V26" s="127">
        <v>17.247999999999998</v>
      </c>
      <c r="W26" s="127">
        <v>21.136000000000003</v>
      </c>
      <c r="X26" s="127">
        <v>23.82</v>
      </c>
      <c r="Y26" s="127">
        <v>25.707999999999998</v>
      </c>
      <c r="Z26" s="127">
        <v>34.036000000000001</v>
      </c>
      <c r="AA26" s="127">
        <v>44.991099999999996</v>
      </c>
      <c r="AB26" s="127" t="str">
        <v xml:space="preserve"> </v>
      </c>
      <c r="AC26" s="127" t="str">
        <v xml:space="preserve"> </v>
      </c>
      <c r="AD26" s="127" t="str">
        <v xml:space="preserve"> </v>
      </c>
      <c r="AE26" s="127" t="str">
        <v xml:space="preserve"> </v>
      </c>
      <c r="AF26" s="127" t="str">
        <v xml:space="preserve"> </v>
      </c>
      <c r="AG26" s="127" t="str">
        <v xml:space="preserve"> </v>
      </c>
      <c r="AH26" s="127" t="str">
        <v xml:space="preserve"> </v>
      </c>
      <c r="AI26" s="127" t="str">
        <v xml:space="preserve"> </v>
      </c>
      <c r="AJ26" s="127" t="str">
        <v xml:space="preserve"> </v>
      </c>
      <c r="AK26" s="127" t="str">
        <v xml:space="preserve"> </v>
      </c>
      <c r="AL26" s="127" t="str">
        <v xml:space="preserve"> </v>
      </c>
      <c r="AM26" s="127" t="str">
        <v xml:space="preserve"> </v>
      </c>
      <c r="AN26" s="127" t="str">
        <v xml:space="preserve"> </v>
      </c>
    </row>
    <row r="27" spans="15:40" x14ac:dyDescent="0.25">
      <c r="O27" s="128">
        <v>20</v>
      </c>
      <c r="P27" s="127">
        <v>0</v>
      </c>
      <c r="Q27" s="127">
        <v>0</v>
      </c>
      <c r="R27" s="127">
        <v>0</v>
      </c>
      <c r="S27" s="127">
        <v>0.53199999999999992</v>
      </c>
      <c r="T27" s="127">
        <v>2.2509999999999999</v>
      </c>
      <c r="U27" s="127">
        <v>7.1440000000000001</v>
      </c>
      <c r="V27" s="127">
        <v>11.838999999999999</v>
      </c>
      <c r="W27" s="127">
        <v>13.323999999999998</v>
      </c>
      <c r="X27" s="127">
        <v>13.323999999999998</v>
      </c>
      <c r="Y27" s="127">
        <v>13.668999999999999</v>
      </c>
      <c r="Z27" s="127">
        <v>15.648999999999999</v>
      </c>
      <c r="AA27" s="127">
        <v>19.830699999999997</v>
      </c>
      <c r="AB27" s="127" t="str">
        <v xml:space="preserve"> </v>
      </c>
      <c r="AC27" s="127" t="str">
        <v xml:space="preserve"> </v>
      </c>
      <c r="AD27" s="127" t="str">
        <v xml:space="preserve"> </v>
      </c>
      <c r="AE27" s="127" t="str">
        <v xml:space="preserve"> </v>
      </c>
      <c r="AF27" s="127" t="str">
        <v xml:space="preserve"> </v>
      </c>
      <c r="AG27" s="127" t="str">
        <v xml:space="preserve"> </v>
      </c>
      <c r="AH27" s="127" t="str">
        <v xml:space="preserve"> </v>
      </c>
      <c r="AI27" s="127" t="str">
        <v xml:space="preserve"> </v>
      </c>
      <c r="AJ27" s="127" t="str">
        <v xml:space="preserve"> </v>
      </c>
      <c r="AK27" s="127" t="str">
        <v xml:space="preserve"> </v>
      </c>
      <c r="AL27" s="127" t="str">
        <v xml:space="preserve"> </v>
      </c>
      <c r="AM27" s="127" t="str">
        <v xml:space="preserve"> </v>
      </c>
      <c r="AN27" s="127" t="str">
        <v xml:space="preserve"> </v>
      </c>
    </row>
    <row r="47" spans="3:5" x14ac:dyDescent="0.25">
      <c r="C47" s="519"/>
      <c r="D47" s="519"/>
      <c r="E47" s="519"/>
    </row>
    <row r="48" spans="3:5" x14ac:dyDescent="0.25">
      <c r="C48" s="519"/>
      <c r="D48" s="519"/>
      <c r="E48" s="519"/>
    </row>
    <row r="69" spans="16:16" x14ac:dyDescent="0.25">
      <c r="P69" s="127" t="s">
        <v>18</v>
      </c>
    </row>
  </sheetData>
  <sheetProtection password="C89D" sheet="1" objects="1" scenarios="1"/>
  <mergeCells count="3">
    <mergeCell ref="O1:Q1"/>
    <mergeCell ref="R1:W1"/>
    <mergeCell ref="C47:E48"/>
  </mergeCells>
  <conditionalFormatting sqref="A47:B48 F47:XFD48 A28:XFD46 AT1:XFD27 O2:AN27 O1 X1:AN1 A82:XFD1048576 A81:O81 Q81:XFD81 A49:XFD80">
    <cfRule type="containsBlanks" dxfId="49" priority="5">
      <formula>LEN(TRIM(A1))=0</formula>
    </cfRule>
  </conditionalFormatting>
  <conditionalFormatting sqref="O2:AN2">
    <cfRule type="notContainsBlanks" dxfId="48" priority="4">
      <formula>LEN(TRIM(O2))&gt;0</formula>
    </cfRule>
  </conditionalFormatting>
  <conditionalFormatting sqref="O3:O27">
    <cfRule type="notContainsBlanks" dxfId="47" priority="3">
      <formula>LEN(TRIM(O3))&gt;0</formula>
    </cfRule>
  </conditionalFormatting>
  <conditionalFormatting sqref="P3:AN27">
    <cfRule type="notContainsBlanks" dxfId="46" priority="2">
      <formula>LEN(TRIM(P3))&gt;0</formula>
    </cfRule>
  </conditionalFormatting>
  <conditionalFormatting sqref="R1">
    <cfRule type="containsBlanks" dxfId="45" priority="1">
      <formula>LEN(TRIM(R1))=0</formula>
    </cfRule>
  </conditionalFormatting>
  <pageMargins left="0.7" right="0.7" top="0.75" bottom="0.75" header="0.3" footer="0.3"/>
  <pageSetup paperSize="9"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5" tint="0.59999389629810485"/>
  </sheetPr>
  <dimension ref="A1:AN77"/>
  <sheetViews>
    <sheetView showGridLines="0" showRowColHeaders="0" topLeftCell="A19" zoomScale="70" zoomScaleNormal="70" workbookViewId="0">
      <selection activeCell="Q28" sqref="Q28"/>
    </sheetView>
  </sheetViews>
  <sheetFormatPr defaultRowHeight="15" x14ac:dyDescent="0.25"/>
  <cols>
    <col min="1" max="16384" width="9.140625" style="129"/>
  </cols>
  <sheetData>
    <row r="1" spans="1:40" ht="23.25" x14ac:dyDescent="0.35">
      <c r="A1" s="127"/>
      <c r="O1" s="517" t="s">
        <v>20</v>
      </c>
      <c r="P1" s="517"/>
      <c r="Q1" s="517"/>
      <c r="R1" s="518" t="str">
        <f>IF(DEPTH="EXPIRED","WORKBOOK EXPIRED!","")</f>
        <v/>
      </c>
      <c r="S1" s="518"/>
      <c r="T1" s="518"/>
      <c r="U1" s="518"/>
      <c r="V1" s="518"/>
      <c r="W1" s="518"/>
      <c r="X1" s="127"/>
      <c r="Y1" s="127"/>
      <c r="Z1" s="127"/>
      <c r="AA1" s="127"/>
      <c r="AB1" s="127"/>
      <c r="AC1" s="127"/>
      <c r="AD1" s="127"/>
      <c r="AE1" s="127"/>
      <c r="AF1" s="127"/>
      <c r="AG1" s="127"/>
      <c r="AH1" s="127"/>
      <c r="AI1" s="127"/>
      <c r="AJ1" s="127"/>
      <c r="AK1" s="127"/>
      <c r="AL1" s="127"/>
      <c r="AM1" s="127"/>
      <c r="AN1" s="127"/>
    </row>
    <row r="2" spans="1:40" x14ac:dyDescent="0.25">
      <c r="O2" s="130" t="str">
        <f t="array" ref="O2:AN27">Tools!AB69:BA94</f>
        <v>STN/WL</v>
      </c>
      <c r="P2" s="131">
        <v>0</v>
      </c>
      <c r="Q2" s="131">
        <v>0.5</v>
      </c>
      <c r="R2" s="131">
        <v>1</v>
      </c>
      <c r="S2" s="131">
        <v>1.5</v>
      </c>
      <c r="T2" s="131">
        <v>2</v>
      </c>
      <c r="U2" s="131">
        <v>3</v>
      </c>
      <c r="V2" s="131">
        <v>4</v>
      </c>
      <c r="W2" s="131">
        <v>5</v>
      </c>
      <c r="X2" s="131">
        <v>5.6111111111111107</v>
      </c>
      <c r="Y2" s="131">
        <v>6</v>
      </c>
      <c r="Z2" s="131">
        <v>7</v>
      </c>
      <c r="AA2" s="131">
        <v>7.8833333333333329</v>
      </c>
      <c r="AB2" s="131" t="str">
        <v xml:space="preserve">  </v>
      </c>
      <c r="AC2" s="131" t="str">
        <v xml:space="preserve">  </v>
      </c>
      <c r="AD2" s="131" t="str">
        <v xml:space="preserve">  </v>
      </c>
      <c r="AE2" s="131" t="str">
        <v xml:space="preserve">  </v>
      </c>
      <c r="AF2" s="131" t="str">
        <v xml:space="preserve">  </v>
      </c>
      <c r="AG2" s="131" t="str">
        <v xml:space="preserve">  </v>
      </c>
      <c r="AH2" s="131" t="str">
        <v xml:space="preserve">  </v>
      </c>
      <c r="AI2" s="131" t="str">
        <v xml:space="preserve">  </v>
      </c>
      <c r="AJ2" s="131" t="str">
        <v xml:space="preserve">  </v>
      </c>
      <c r="AK2" s="131" t="str">
        <v xml:space="preserve">  </v>
      </c>
      <c r="AL2" s="131" t="str">
        <v xml:space="preserve">  </v>
      </c>
      <c r="AM2" s="131" t="str">
        <v xml:space="preserve">  </v>
      </c>
      <c r="AN2" s="131" t="str">
        <v xml:space="preserve">  </v>
      </c>
    </row>
    <row r="3" spans="1:40" x14ac:dyDescent="0.25">
      <c r="O3" s="130">
        <v>0</v>
      </c>
      <c r="P3" s="129">
        <v>0</v>
      </c>
      <c r="Q3" s="129">
        <v>0</v>
      </c>
      <c r="R3" s="129">
        <v>0</v>
      </c>
      <c r="S3" s="129">
        <v>0</v>
      </c>
      <c r="T3" s="129">
        <v>0</v>
      </c>
      <c r="U3" s="129">
        <v>0</v>
      </c>
      <c r="V3" s="129">
        <v>0</v>
      </c>
      <c r="W3" s="129">
        <v>0</v>
      </c>
      <c r="X3" s="129">
        <v>5.8032799999999796</v>
      </c>
      <c r="Y3" s="129">
        <v>72.581413333333387</v>
      </c>
      <c r="Z3" s="129">
        <v>407.16541333333345</v>
      </c>
      <c r="AA3" s="129">
        <v>844.10599933333333</v>
      </c>
      <c r="AB3" s="129" t="str">
        <v xml:space="preserve"> </v>
      </c>
      <c r="AC3" s="129" t="str">
        <v xml:space="preserve"> </v>
      </c>
      <c r="AD3" s="129" t="str">
        <v xml:space="preserve"> </v>
      </c>
      <c r="AE3" s="129" t="str">
        <v xml:space="preserve"> </v>
      </c>
      <c r="AF3" s="129" t="str">
        <v xml:space="preserve"> </v>
      </c>
      <c r="AG3" s="129" t="str">
        <v xml:space="preserve"> </v>
      </c>
      <c r="AH3" s="129" t="str">
        <v xml:space="preserve"> </v>
      </c>
      <c r="AI3" s="129" t="str">
        <v xml:space="preserve"> </v>
      </c>
      <c r="AJ3" s="129" t="str">
        <v xml:space="preserve"> </v>
      </c>
      <c r="AK3" s="129" t="str">
        <v xml:space="preserve"> </v>
      </c>
      <c r="AL3" s="129" t="str">
        <v xml:space="preserve"> </v>
      </c>
      <c r="AM3" s="129" t="str">
        <v xml:space="preserve"> </v>
      </c>
      <c r="AN3" s="129" t="str">
        <v xml:space="preserve"> </v>
      </c>
    </row>
    <row r="4" spans="1:40" x14ac:dyDescent="0.25">
      <c r="O4" s="130">
        <v>0.5</v>
      </c>
      <c r="P4" s="129">
        <v>0</v>
      </c>
      <c r="Q4" s="129">
        <v>0</v>
      </c>
      <c r="R4" s="129">
        <v>0</v>
      </c>
      <c r="S4" s="129">
        <v>0</v>
      </c>
      <c r="T4" s="129">
        <v>0</v>
      </c>
      <c r="U4" s="129">
        <v>0</v>
      </c>
      <c r="V4" s="129">
        <v>0</v>
      </c>
      <c r="W4" s="129">
        <v>1.0759999999999961</v>
      </c>
      <c r="X4" s="129">
        <v>86.245333333333278</v>
      </c>
      <c r="Y4" s="129">
        <v>192.25489999999999</v>
      </c>
      <c r="Z4" s="129">
        <v>613.3280000000002</v>
      </c>
      <c r="AA4" s="129">
        <v>1085.4548089999998</v>
      </c>
      <c r="AB4" s="129" t="str">
        <v xml:space="preserve"> </v>
      </c>
      <c r="AC4" s="129" t="str">
        <v xml:space="preserve"> </v>
      </c>
      <c r="AD4" s="129" t="str">
        <v xml:space="preserve"> </v>
      </c>
      <c r="AE4" s="129" t="str">
        <v xml:space="preserve"> </v>
      </c>
      <c r="AF4" s="129" t="str">
        <v xml:space="preserve"> </v>
      </c>
      <c r="AG4" s="129" t="str">
        <v xml:space="preserve"> </v>
      </c>
      <c r="AH4" s="129" t="str">
        <v xml:space="preserve"> </v>
      </c>
      <c r="AI4" s="129" t="str">
        <v xml:space="preserve"> </v>
      </c>
      <c r="AJ4" s="129" t="str">
        <v xml:space="preserve"> </v>
      </c>
      <c r="AK4" s="129" t="str">
        <v xml:space="preserve"> </v>
      </c>
      <c r="AL4" s="129" t="str">
        <v xml:space="preserve"> </v>
      </c>
      <c r="AM4" s="129" t="str">
        <v xml:space="preserve"> </v>
      </c>
      <c r="AN4" s="129" t="str">
        <v xml:space="preserve"> </v>
      </c>
    </row>
    <row r="5" spans="1:40" x14ac:dyDescent="0.25">
      <c r="O5" s="130">
        <v>1</v>
      </c>
      <c r="P5" s="129">
        <v>0</v>
      </c>
      <c r="Q5" s="129">
        <v>0</v>
      </c>
      <c r="R5" s="129">
        <v>0</v>
      </c>
      <c r="S5" s="129">
        <v>0</v>
      </c>
      <c r="T5" s="129">
        <v>0</v>
      </c>
      <c r="U5" s="129">
        <v>0</v>
      </c>
      <c r="V5" s="129">
        <v>0</v>
      </c>
      <c r="W5" s="129">
        <v>63.158400000000036</v>
      </c>
      <c r="X5" s="129">
        <v>220.43346666666662</v>
      </c>
      <c r="Y5" s="129">
        <v>356.19749999999999</v>
      </c>
      <c r="Z5" s="129">
        <v>810.66960000000006</v>
      </c>
      <c r="AA5" s="129">
        <v>1305.6634709999998</v>
      </c>
      <c r="AB5" s="129" t="str">
        <v xml:space="preserve"> </v>
      </c>
      <c r="AC5" s="129" t="str">
        <v xml:space="preserve"> </v>
      </c>
      <c r="AD5" s="129" t="str">
        <v xml:space="preserve"> </v>
      </c>
      <c r="AE5" s="129" t="str">
        <v xml:space="preserve"> </v>
      </c>
      <c r="AF5" s="129" t="str">
        <v xml:space="preserve"> </v>
      </c>
      <c r="AG5" s="129" t="str">
        <v xml:space="preserve"> </v>
      </c>
      <c r="AH5" s="129" t="str">
        <v xml:space="preserve"> </v>
      </c>
      <c r="AI5" s="129" t="str">
        <v xml:space="preserve"> </v>
      </c>
      <c r="AJ5" s="129" t="str">
        <v xml:space="preserve"> </v>
      </c>
      <c r="AK5" s="129" t="str">
        <v xml:space="preserve"> </v>
      </c>
      <c r="AL5" s="129" t="str">
        <v xml:space="preserve"> </v>
      </c>
      <c r="AM5" s="129" t="str">
        <v xml:space="preserve"> </v>
      </c>
      <c r="AN5" s="129" t="str">
        <v xml:space="preserve"> </v>
      </c>
    </row>
    <row r="6" spans="1:40" x14ac:dyDescent="0.25">
      <c r="O6" s="130">
        <v>1.5</v>
      </c>
      <c r="P6" s="129">
        <v>0</v>
      </c>
      <c r="Q6" s="129">
        <v>0</v>
      </c>
      <c r="R6" s="129">
        <v>0</v>
      </c>
      <c r="S6" s="129">
        <v>0.7350000000000001</v>
      </c>
      <c r="T6" s="129">
        <v>3.8940000000000001</v>
      </c>
      <c r="U6" s="129">
        <v>18.609000000000002</v>
      </c>
      <c r="V6" s="129">
        <v>58.757999999999996</v>
      </c>
      <c r="W6" s="129">
        <v>201.66900000000001</v>
      </c>
      <c r="X6" s="129">
        <v>398.32809999999995</v>
      </c>
      <c r="Y6" s="129">
        <v>588.56280000000004</v>
      </c>
      <c r="Z6" s="129">
        <v>1030.8065999999999</v>
      </c>
      <c r="AA6" s="129">
        <v>1539.3300989999996</v>
      </c>
      <c r="AB6" s="129" t="str">
        <v xml:space="preserve"> </v>
      </c>
      <c r="AC6" s="129" t="str">
        <v xml:space="preserve"> </v>
      </c>
      <c r="AD6" s="129" t="str">
        <v xml:space="preserve"> </v>
      </c>
      <c r="AE6" s="129" t="str">
        <v xml:space="preserve"> </v>
      </c>
      <c r="AF6" s="129" t="str">
        <v xml:space="preserve"> </v>
      </c>
      <c r="AG6" s="129" t="str">
        <v xml:space="preserve"> </v>
      </c>
      <c r="AH6" s="129" t="str">
        <v xml:space="preserve"> </v>
      </c>
      <c r="AI6" s="129" t="str">
        <v xml:space="preserve"> </v>
      </c>
      <c r="AJ6" s="129" t="str">
        <v xml:space="preserve"> </v>
      </c>
      <c r="AK6" s="129" t="str">
        <v xml:space="preserve"> </v>
      </c>
      <c r="AL6" s="129" t="str">
        <v xml:space="preserve"> </v>
      </c>
      <c r="AM6" s="129" t="str">
        <v xml:space="preserve"> </v>
      </c>
      <c r="AN6" s="129" t="str">
        <v xml:space="preserve"> </v>
      </c>
    </row>
    <row r="7" spans="1:40" x14ac:dyDescent="0.25">
      <c r="O7" s="130">
        <v>2</v>
      </c>
      <c r="P7" s="129">
        <v>0</v>
      </c>
      <c r="Q7" s="129">
        <v>0.10428000000000001</v>
      </c>
      <c r="R7" s="129">
        <v>1.9767300000000001</v>
      </c>
      <c r="S7" s="129">
        <v>7.2430800000000009</v>
      </c>
      <c r="T7" s="129">
        <v>16.49193</v>
      </c>
      <c r="U7" s="129">
        <v>51.095130000000012</v>
      </c>
      <c r="V7" s="129">
        <v>141.33993000000001</v>
      </c>
      <c r="W7" s="129">
        <v>365.59113000000002</v>
      </c>
      <c r="X7" s="129">
        <v>584.29679666666652</v>
      </c>
      <c r="Y7" s="129">
        <v>763.50632999999993</v>
      </c>
      <c r="Z7" s="129">
        <v>1241.81673</v>
      </c>
      <c r="AA7" s="129">
        <v>1757.3138099999996</v>
      </c>
      <c r="AB7" s="129" t="str">
        <v xml:space="preserve"> </v>
      </c>
      <c r="AC7" s="129" t="str">
        <v xml:space="preserve"> </v>
      </c>
      <c r="AD7" s="129" t="str">
        <v xml:space="preserve"> </v>
      </c>
      <c r="AE7" s="129" t="str">
        <v xml:space="preserve"> </v>
      </c>
      <c r="AF7" s="129" t="str">
        <v xml:space="preserve"> </v>
      </c>
      <c r="AG7" s="129" t="str">
        <v xml:space="preserve"> </v>
      </c>
      <c r="AH7" s="129" t="str">
        <v xml:space="preserve"> </v>
      </c>
      <c r="AI7" s="129" t="str">
        <v xml:space="preserve"> </v>
      </c>
      <c r="AJ7" s="129" t="str">
        <v xml:space="preserve"> </v>
      </c>
      <c r="AK7" s="129" t="str">
        <v xml:space="preserve"> </v>
      </c>
      <c r="AL7" s="129" t="str">
        <v xml:space="preserve"> </v>
      </c>
      <c r="AM7" s="129" t="str">
        <v xml:space="preserve"> </v>
      </c>
      <c r="AN7" s="129" t="str">
        <v xml:space="preserve"> </v>
      </c>
    </row>
    <row r="8" spans="1:40" x14ac:dyDescent="0.25">
      <c r="O8" s="130">
        <v>3</v>
      </c>
      <c r="P8" s="129">
        <v>0</v>
      </c>
      <c r="Q8" s="129">
        <v>1.0327499999999998</v>
      </c>
      <c r="R8" s="129">
        <v>6.0911999999999997</v>
      </c>
      <c r="S8" s="129">
        <v>16.24455</v>
      </c>
      <c r="T8" s="129">
        <v>32.767200000000003</v>
      </c>
      <c r="U8" s="129">
        <v>101.56320000000001</v>
      </c>
      <c r="V8" s="129">
        <v>277.71120000000002</v>
      </c>
      <c r="W8" s="129">
        <v>595.01520000000005</v>
      </c>
      <c r="X8" s="129">
        <v>835.98963333333324</v>
      </c>
      <c r="Y8" s="129">
        <v>1001.268</v>
      </c>
      <c r="Z8" s="129">
        <v>1519.3656000000001</v>
      </c>
      <c r="AA8" s="129">
        <v>2039.8983689999998</v>
      </c>
      <c r="AB8" s="129" t="str">
        <v xml:space="preserve"> </v>
      </c>
      <c r="AC8" s="129" t="str">
        <v xml:space="preserve"> </v>
      </c>
      <c r="AD8" s="129" t="str">
        <v xml:space="preserve"> </v>
      </c>
      <c r="AE8" s="129" t="str">
        <v xml:space="preserve"> </v>
      </c>
      <c r="AF8" s="129" t="str">
        <v xml:space="preserve"> </v>
      </c>
      <c r="AG8" s="129" t="str">
        <v xml:space="preserve"> </v>
      </c>
      <c r="AH8" s="129" t="str">
        <v xml:space="preserve"> </v>
      </c>
      <c r="AI8" s="129" t="str">
        <v xml:space="preserve"> </v>
      </c>
      <c r="AJ8" s="129" t="str">
        <v xml:space="preserve"> </v>
      </c>
      <c r="AK8" s="129" t="str">
        <v xml:space="preserve"> </v>
      </c>
      <c r="AL8" s="129" t="str">
        <v xml:space="preserve"> </v>
      </c>
      <c r="AM8" s="129" t="str">
        <v xml:space="preserve"> </v>
      </c>
      <c r="AN8" s="129" t="str">
        <v xml:space="preserve"> </v>
      </c>
    </row>
    <row r="9" spans="1:40" x14ac:dyDescent="0.25">
      <c r="O9" s="130">
        <v>4</v>
      </c>
      <c r="P9" s="129">
        <v>0</v>
      </c>
      <c r="Q9" s="129">
        <v>2.0668500000000005</v>
      </c>
      <c r="R9" s="129">
        <v>11.2536</v>
      </c>
      <c r="S9" s="129">
        <v>29.180250000000001</v>
      </c>
      <c r="T9" s="129">
        <v>59.292000000000002</v>
      </c>
      <c r="U9" s="129">
        <v>179.90640000000002</v>
      </c>
      <c r="V9" s="129">
        <v>419.32079999999996</v>
      </c>
      <c r="W9" s="129">
        <v>754.18560000000002</v>
      </c>
      <c r="X9" s="129">
        <v>1006.8772333333333</v>
      </c>
      <c r="Y9" s="129">
        <v>1188.4535999999998</v>
      </c>
      <c r="Z9" s="129">
        <v>1700.4816000000001</v>
      </c>
      <c r="AA9" s="129">
        <v>2222.2838249999995</v>
      </c>
      <c r="AB9" s="129" t="str">
        <v xml:space="preserve"> </v>
      </c>
      <c r="AC9" s="129" t="str">
        <v xml:space="preserve"> </v>
      </c>
      <c r="AD9" s="129" t="str">
        <v xml:space="preserve"> </v>
      </c>
      <c r="AE9" s="129" t="str">
        <v xml:space="preserve"> </v>
      </c>
      <c r="AF9" s="129" t="str">
        <v xml:space="preserve"> </v>
      </c>
      <c r="AG9" s="129" t="str">
        <v xml:space="preserve"> </v>
      </c>
      <c r="AH9" s="129" t="str">
        <v xml:space="preserve"> </v>
      </c>
      <c r="AI9" s="129" t="str">
        <v xml:space="preserve"> </v>
      </c>
      <c r="AJ9" s="129" t="str">
        <v xml:space="preserve"> </v>
      </c>
      <c r="AK9" s="129" t="str">
        <v xml:space="preserve"> </v>
      </c>
      <c r="AL9" s="129" t="str">
        <v xml:space="preserve"> </v>
      </c>
      <c r="AM9" s="129" t="str">
        <v xml:space="preserve"> </v>
      </c>
      <c r="AN9" s="129" t="str">
        <v xml:space="preserve"> </v>
      </c>
    </row>
    <row r="10" spans="1:40" x14ac:dyDescent="0.25">
      <c r="O10" s="130">
        <v>5</v>
      </c>
      <c r="P10" s="129">
        <v>0</v>
      </c>
      <c r="Q10" s="129">
        <v>3.1637249999999995</v>
      </c>
      <c r="R10" s="129">
        <v>16.966799999999999</v>
      </c>
      <c r="S10" s="129">
        <v>44.009325000000004</v>
      </c>
      <c r="T10" s="129">
        <v>90.806399999999996</v>
      </c>
      <c r="U10" s="129">
        <v>258.41160000000002</v>
      </c>
      <c r="V10" s="129">
        <v>522.07200000000012</v>
      </c>
      <c r="W10" s="129">
        <v>875.63160000000005</v>
      </c>
      <c r="X10" s="129">
        <v>1132.6949999999999</v>
      </c>
      <c r="Y10" s="129">
        <v>1311.9840000000002</v>
      </c>
      <c r="Z10" s="129">
        <v>1827.8676</v>
      </c>
      <c r="AA10" s="129">
        <v>2349.6698249999999</v>
      </c>
      <c r="AB10" s="129" t="str">
        <v xml:space="preserve"> </v>
      </c>
      <c r="AC10" s="129" t="str">
        <v xml:space="preserve"> </v>
      </c>
      <c r="AD10" s="129" t="str">
        <v xml:space="preserve"> </v>
      </c>
      <c r="AE10" s="129" t="str">
        <v xml:space="preserve"> </v>
      </c>
      <c r="AF10" s="129" t="str">
        <v xml:space="preserve"> </v>
      </c>
      <c r="AG10" s="129" t="str">
        <v xml:space="preserve"> </v>
      </c>
      <c r="AH10" s="129" t="str">
        <v xml:space="preserve"> </v>
      </c>
      <c r="AI10" s="129" t="str">
        <v xml:space="preserve"> </v>
      </c>
      <c r="AJ10" s="129" t="str">
        <v xml:space="preserve"> </v>
      </c>
      <c r="AK10" s="129" t="str">
        <v xml:space="preserve"> </v>
      </c>
      <c r="AL10" s="129" t="str">
        <v xml:space="preserve"> </v>
      </c>
      <c r="AM10" s="129" t="str">
        <v xml:space="preserve"> </v>
      </c>
      <c r="AN10" s="129" t="str">
        <v xml:space="preserve"> </v>
      </c>
    </row>
    <row r="11" spans="1:40" x14ac:dyDescent="0.25">
      <c r="O11" s="130">
        <v>6</v>
      </c>
      <c r="P11" s="129">
        <v>0</v>
      </c>
      <c r="Q11" s="129">
        <v>4.3308</v>
      </c>
      <c r="R11" s="129">
        <v>23.241600000000002</v>
      </c>
      <c r="S11" s="129">
        <v>59.826600000000013</v>
      </c>
      <c r="T11" s="129">
        <v>119.46960000000001</v>
      </c>
      <c r="U11" s="129">
        <v>307.51920000000007</v>
      </c>
      <c r="V11" s="129">
        <v>582.74640000000011</v>
      </c>
      <c r="W11" s="129">
        <v>940.74480000000005</v>
      </c>
      <c r="X11" s="129">
        <v>1198.1172999999999</v>
      </c>
      <c r="Y11" s="129">
        <v>1376.5464000000002</v>
      </c>
      <c r="Z11" s="129">
        <v>1893.3048000000001</v>
      </c>
      <c r="AA11" s="129">
        <v>2415.1070249999998</v>
      </c>
      <c r="AB11" s="129" t="str">
        <v xml:space="preserve"> </v>
      </c>
      <c r="AC11" s="129" t="str">
        <v xml:space="preserve"> </v>
      </c>
      <c r="AD11" s="129" t="str">
        <v xml:space="preserve"> </v>
      </c>
      <c r="AE11" s="129" t="str">
        <v xml:space="preserve"> </v>
      </c>
      <c r="AF11" s="129" t="str">
        <v xml:space="preserve"> </v>
      </c>
      <c r="AG11" s="129" t="str">
        <v xml:space="preserve"> </v>
      </c>
      <c r="AH11" s="129" t="str">
        <v xml:space="preserve"> </v>
      </c>
      <c r="AI11" s="129" t="str">
        <v xml:space="preserve"> </v>
      </c>
      <c r="AJ11" s="129" t="str">
        <v xml:space="preserve"> </v>
      </c>
      <c r="AK11" s="129" t="str">
        <v xml:space="preserve"> </v>
      </c>
      <c r="AL11" s="129" t="str">
        <v xml:space="preserve"> </v>
      </c>
      <c r="AM11" s="129" t="str">
        <v xml:space="preserve"> </v>
      </c>
      <c r="AN11" s="129" t="str">
        <v xml:space="preserve"> </v>
      </c>
    </row>
    <row r="12" spans="1:40" x14ac:dyDescent="0.25">
      <c r="O12" s="130">
        <v>7</v>
      </c>
      <c r="P12" s="129">
        <v>0</v>
      </c>
      <c r="Q12" s="129">
        <v>5.8502249999999991</v>
      </c>
      <c r="R12" s="129">
        <v>29.613600000000005</v>
      </c>
      <c r="S12" s="129">
        <v>73.031624999999991</v>
      </c>
      <c r="T12" s="129">
        <v>139.21200000000002</v>
      </c>
      <c r="U12" s="129">
        <v>336.096</v>
      </c>
      <c r="V12" s="129">
        <v>613.80720000000008</v>
      </c>
      <c r="W12" s="129">
        <v>971.13600000000008</v>
      </c>
      <c r="X12" s="129">
        <v>1228.5084999999999</v>
      </c>
      <c r="Y12" s="129">
        <v>1407.6072000000001</v>
      </c>
      <c r="Z12" s="129">
        <v>1923.6960000000001</v>
      </c>
      <c r="AA12" s="129">
        <v>2445.4982249999998</v>
      </c>
      <c r="AB12" s="129" t="str">
        <v xml:space="preserve"> </v>
      </c>
      <c r="AC12" s="129" t="str">
        <v xml:space="preserve"> </v>
      </c>
      <c r="AD12" s="129" t="str">
        <v xml:space="preserve"> </v>
      </c>
      <c r="AE12" s="129" t="str">
        <v xml:space="preserve"> </v>
      </c>
      <c r="AF12" s="129" t="str">
        <v xml:space="preserve"> </v>
      </c>
      <c r="AG12" s="129" t="str">
        <v xml:space="preserve"> </v>
      </c>
      <c r="AH12" s="129" t="str">
        <v xml:space="preserve"> </v>
      </c>
      <c r="AI12" s="129" t="str">
        <v xml:space="preserve"> </v>
      </c>
      <c r="AJ12" s="129" t="str">
        <v xml:space="preserve"> </v>
      </c>
      <c r="AK12" s="129" t="str">
        <v xml:space="preserve"> </v>
      </c>
      <c r="AL12" s="129" t="str">
        <v xml:space="preserve"> </v>
      </c>
      <c r="AM12" s="129" t="str">
        <v xml:space="preserve"> </v>
      </c>
      <c r="AN12" s="129" t="str">
        <v xml:space="preserve"> </v>
      </c>
    </row>
    <row r="13" spans="1:40" x14ac:dyDescent="0.25">
      <c r="O13" s="130">
        <v>8</v>
      </c>
      <c r="P13" s="129">
        <v>0</v>
      </c>
      <c r="Q13" s="129">
        <v>7.2866250000000008</v>
      </c>
      <c r="R13" s="129">
        <v>34.203600000000002</v>
      </c>
      <c r="S13" s="129">
        <v>81.083025000000006</v>
      </c>
      <c r="T13" s="129">
        <v>149.88240000000002</v>
      </c>
      <c r="U13" s="129">
        <v>348.57</v>
      </c>
      <c r="V13" s="129">
        <v>625.86000000000013</v>
      </c>
      <c r="W13" s="129">
        <v>983.61000000000013</v>
      </c>
      <c r="X13" s="129">
        <v>1240.9825000000001</v>
      </c>
      <c r="Y13" s="129">
        <v>1419.6600000000003</v>
      </c>
      <c r="Z13" s="129">
        <v>1936.17</v>
      </c>
      <c r="AA13" s="129">
        <v>2457.9722249999995</v>
      </c>
      <c r="AB13" s="129" t="str">
        <v xml:space="preserve"> </v>
      </c>
      <c r="AC13" s="129" t="str">
        <v xml:space="preserve"> </v>
      </c>
      <c r="AD13" s="129" t="str">
        <v xml:space="preserve"> </v>
      </c>
      <c r="AE13" s="129" t="str">
        <v xml:space="preserve"> </v>
      </c>
      <c r="AF13" s="129" t="str">
        <v xml:space="preserve"> </v>
      </c>
      <c r="AG13" s="129" t="str">
        <v xml:space="preserve"> </v>
      </c>
      <c r="AH13" s="129" t="str">
        <v xml:space="preserve"> </v>
      </c>
      <c r="AI13" s="129" t="str">
        <v xml:space="preserve"> </v>
      </c>
      <c r="AJ13" s="129" t="str">
        <v xml:space="preserve"> </v>
      </c>
      <c r="AK13" s="129" t="str">
        <v xml:space="preserve"> </v>
      </c>
      <c r="AL13" s="129" t="str">
        <v xml:space="preserve"> </v>
      </c>
      <c r="AM13" s="129" t="str">
        <v xml:space="preserve"> </v>
      </c>
      <c r="AN13" s="129" t="str">
        <v xml:space="preserve"> </v>
      </c>
    </row>
    <row r="14" spans="1:40" x14ac:dyDescent="0.25">
      <c r="O14" s="130">
        <v>9</v>
      </c>
      <c r="P14" s="129">
        <v>0</v>
      </c>
      <c r="Q14" s="129">
        <v>7.9434000000000013</v>
      </c>
      <c r="R14" s="129">
        <v>35.942400000000006</v>
      </c>
      <c r="S14" s="129">
        <v>84.02940000000001</v>
      </c>
      <c r="T14" s="129">
        <v>153.5976</v>
      </c>
      <c r="U14" s="129">
        <v>352.31760000000003</v>
      </c>
      <c r="V14" s="129">
        <v>629.87760000000003</v>
      </c>
      <c r="W14" s="129">
        <v>987.35760000000005</v>
      </c>
      <c r="X14" s="129">
        <v>1244.7300999999998</v>
      </c>
      <c r="Y14" s="129">
        <v>1423.6776</v>
      </c>
      <c r="Z14" s="129">
        <v>1939.9176000000002</v>
      </c>
      <c r="AA14" s="129">
        <v>2461.7198250000001</v>
      </c>
      <c r="AB14" s="129" t="str">
        <v xml:space="preserve"> </v>
      </c>
      <c r="AC14" s="129" t="str">
        <v xml:space="preserve"> </v>
      </c>
      <c r="AD14" s="129" t="str">
        <v xml:space="preserve"> </v>
      </c>
      <c r="AE14" s="129" t="str">
        <v xml:space="preserve"> </v>
      </c>
      <c r="AF14" s="129" t="str">
        <v xml:space="preserve"> </v>
      </c>
      <c r="AG14" s="129" t="str">
        <v xml:space="preserve"> </v>
      </c>
      <c r="AH14" s="129" t="str">
        <v xml:space="preserve"> </v>
      </c>
      <c r="AI14" s="129" t="str">
        <v xml:space="preserve"> </v>
      </c>
      <c r="AJ14" s="129" t="str">
        <v xml:space="preserve"> </v>
      </c>
      <c r="AK14" s="129" t="str">
        <v xml:space="preserve"> </v>
      </c>
      <c r="AL14" s="129" t="str">
        <v xml:space="preserve"> </v>
      </c>
      <c r="AM14" s="129" t="str">
        <v xml:space="preserve"> </v>
      </c>
      <c r="AN14" s="129" t="str">
        <v xml:space="preserve"> </v>
      </c>
    </row>
    <row r="15" spans="1:40" x14ac:dyDescent="0.25">
      <c r="O15" s="130">
        <v>10</v>
      </c>
      <c r="P15" s="129">
        <v>0</v>
      </c>
      <c r="Q15" s="129">
        <v>8.1938250000000004</v>
      </c>
      <c r="R15" s="129">
        <v>36.115200000000002</v>
      </c>
      <c r="S15" s="129">
        <v>84.517425000000017</v>
      </c>
      <c r="T15" s="129">
        <v>153.94320000000002</v>
      </c>
      <c r="U15" s="129">
        <v>352.57679999999999</v>
      </c>
      <c r="V15" s="129">
        <v>630.22320000000002</v>
      </c>
      <c r="W15" s="129">
        <v>987.61680000000001</v>
      </c>
      <c r="X15" s="129">
        <v>1244.9892999999997</v>
      </c>
      <c r="Y15" s="129">
        <v>1424.0232000000001</v>
      </c>
      <c r="Z15" s="129">
        <v>1940.1768000000002</v>
      </c>
      <c r="AA15" s="129">
        <v>2461.9790249999996</v>
      </c>
      <c r="AB15" s="129" t="str">
        <v xml:space="preserve"> </v>
      </c>
      <c r="AC15" s="129" t="str">
        <v xml:space="preserve"> </v>
      </c>
      <c r="AD15" s="129" t="str">
        <v xml:space="preserve"> </v>
      </c>
      <c r="AE15" s="129" t="str">
        <v xml:space="preserve"> </v>
      </c>
      <c r="AF15" s="129" t="str">
        <v xml:space="preserve"> </v>
      </c>
      <c r="AG15" s="129" t="str">
        <v xml:space="preserve"> </v>
      </c>
      <c r="AH15" s="129" t="str">
        <v xml:space="preserve"> </v>
      </c>
      <c r="AI15" s="129" t="str">
        <v xml:space="preserve"> </v>
      </c>
      <c r="AJ15" s="129" t="str">
        <v xml:space="preserve"> </v>
      </c>
      <c r="AK15" s="129" t="str">
        <v xml:space="preserve"> </v>
      </c>
      <c r="AL15" s="129" t="str">
        <v xml:space="preserve"> </v>
      </c>
      <c r="AM15" s="129" t="str">
        <v xml:space="preserve"> </v>
      </c>
      <c r="AN15" s="129" t="str">
        <v xml:space="preserve"> </v>
      </c>
    </row>
    <row r="16" spans="1:40" x14ac:dyDescent="0.25">
      <c r="O16" s="130">
        <v>11</v>
      </c>
      <c r="P16" s="129">
        <v>0</v>
      </c>
      <c r="Q16" s="129">
        <v>8.145900000000001</v>
      </c>
      <c r="R16" s="129">
        <v>35.553600000000003</v>
      </c>
      <c r="S16" s="129">
        <v>83.600099999999998</v>
      </c>
      <c r="T16" s="129">
        <v>152.49600000000001</v>
      </c>
      <c r="U16" s="129">
        <v>351.02160000000003</v>
      </c>
      <c r="V16" s="129">
        <v>628.60320000000013</v>
      </c>
      <c r="W16" s="129">
        <v>986.06160000000011</v>
      </c>
      <c r="X16" s="129">
        <v>1243.4340999999999</v>
      </c>
      <c r="Y16" s="129">
        <v>1422.4032000000002</v>
      </c>
      <c r="Z16" s="129">
        <v>1938.6216000000002</v>
      </c>
      <c r="AA16" s="129">
        <v>2460.4238249999999</v>
      </c>
      <c r="AB16" s="129" t="str">
        <v xml:space="preserve"> </v>
      </c>
      <c r="AC16" s="129" t="str">
        <v xml:space="preserve"> </v>
      </c>
      <c r="AD16" s="129" t="str">
        <v xml:space="preserve"> </v>
      </c>
      <c r="AE16" s="129" t="str">
        <v xml:space="preserve"> </v>
      </c>
      <c r="AF16" s="129" t="str">
        <v xml:space="preserve"> </v>
      </c>
      <c r="AG16" s="129" t="str">
        <v xml:space="preserve"> </v>
      </c>
      <c r="AH16" s="129" t="str">
        <v xml:space="preserve"> </v>
      </c>
      <c r="AI16" s="129" t="str">
        <v xml:space="preserve"> </v>
      </c>
      <c r="AJ16" s="129" t="str">
        <v xml:space="preserve"> </v>
      </c>
      <c r="AK16" s="129" t="str">
        <v xml:space="preserve"> </v>
      </c>
      <c r="AL16" s="129" t="str">
        <v xml:space="preserve"> </v>
      </c>
      <c r="AM16" s="129" t="str">
        <v xml:space="preserve"> </v>
      </c>
      <c r="AN16" s="129" t="str">
        <v xml:space="preserve"> </v>
      </c>
    </row>
    <row r="17" spans="15:40" x14ac:dyDescent="0.25">
      <c r="O17" s="130">
        <v>12</v>
      </c>
      <c r="P17" s="129">
        <v>0</v>
      </c>
      <c r="Q17" s="129">
        <v>7.6038749999999995</v>
      </c>
      <c r="R17" s="129">
        <v>33.6312</v>
      </c>
      <c r="S17" s="129">
        <v>79.80727499999999</v>
      </c>
      <c r="T17" s="129">
        <v>146.72880000000001</v>
      </c>
      <c r="U17" s="129">
        <v>342.64080000000001</v>
      </c>
      <c r="V17" s="129">
        <v>620.28719999999998</v>
      </c>
      <c r="W17" s="129">
        <v>977.35680000000013</v>
      </c>
      <c r="X17" s="129">
        <v>1234.7293</v>
      </c>
      <c r="Y17" s="129">
        <v>1414.0871999999999</v>
      </c>
      <c r="Z17" s="129">
        <v>1929.9168000000002</v>
      </c>
      <c r="AA17" s="129">
        <v>2451.7190249999999</v>
      </c>
      <c r="AB17" s="129" t="str">
        <v xml:space="preserve"> </v>
      </c>
      <c r="AC17" s="129" t="str">
        <v xml:space="preserve"> </v>
      </c>
      <c r="AD17" s="129" t="str">
        <v xml:space="preserve"> </v>
      </c>
      <c r="AE17" s="129" t="str">
        <v xml:space="preserve"> </v>
      </c>
      <c r="AF17" s="129" t="str">
        <v xml:space="preserve"> </v>
      </c>
      <c r="AG17" s="129" t="str">
        <v xml:space="preserve"> </v>
      </c>
      <c r="AH17" s="129" t="str">
        <v xml:space="preserve"> </v>
      </c>
      <c r="AI17" s="129" t="str">
        <v xml:space="preserve"> </v>
      </c>
      <c r="AJ17" s="129" t="str">
        <v xml:space="preserve"> </v>
      </c>
      <c r="AK17" s="129" t="str">
        <v xml:space="preserve"> </v>
      </c>
      <c r="AL17" s="129" t="str">
        <v xml:space="preserve"> </v>
      </c>
      <c r="AM17" s="129" t="str">
        <v xml:space="preserve"> </v>
      </c>
      <c r="AN17" s="129" t="str">
        <v xml:space="preserve"> </v>
      </c>
    </row>
    <row r="18" spans="15:40" x14ac:dyDescent="0.25">
      <c r="O18" s="130">
        <v>13</v>
      </c>
      <c r="P18" s="129">
        <v>0</v>
      </c>
      <c r="Q18" s="129">
        <v>6.646725</v>
      </c>
      <c r="R18" s="129">
        <v>29.926800000000004</v>
      </c>
      <c r="S18" s="129">
        <v>72.051525000000012</v>
      </c>
      <c r="T18" s="129">
        <v>133.94160000000002</v>
      </c>
      <c r="U18" s="129">
        <v>318.82680000000005</v>
      </c>
      <c r="V18" s="129">
        <v>587.02320000000009</v>
      </c>
      <c r="W18" s="129">
        <v>939.48120000000006</v>
      </c>
      <c r="X18" s="129">
        <v>1195.8112666666666</v>
      </c>
      <c r="Y18" s="129">
        <v>1375.1208000000001</v>
      </c>
      <c r="Z18" s="129">
        <v>1889.9459999999999</v>
      </c>
      <c r="AA18" s="129">
        <v>2411.3306909999997</v>
      </c>
      <c r="AB18" s="129" t="str">
        <v xml:space="preserve"> </v>
      </c>
      <c r="AC18" s="129" t="str">
        <v xml:space="preserve"> </v>
      </c>
      <c r="AD18" s="129" t="str">
        <v xml:space="preserve"> </v>
      </c>
      <c r="AE18" s="129" t="str">
        <v xml:space="preserve"> </v>
      </c>
      <c r="AF18" s="129" t="str">
        <v xml:space="preserve"> </v>
      </c>
      <c r="AG18" s="129" t="str">
        <v xml:space="preserve"> </v>
      </c>
      <c r="AH18" s="129" t="str">
        <v xml:space="preserve"> </v>
      </c>
      <c r="AI18" s="129" t="str">
        <v xml:space="preserve"> </v>
      </c>
      <c r="AJ18" s="129" t="str">
        <v xml:space="preserve"> </v>
      </c>
      <c r="AK18" s="129" t="str">
        <v xml:space="preserve"> </v>
      </c>
      <c r="AL18" s="129" t="str">
        <v xml:space="preserve"> </v>
      </c>
      <c r="AM18" s="129" t="str">
        <v xml:space="preserve"> </v>
      </c>
      <c r="AN18" s="129" t="str">
        <v xml:space="preserve"> </v>
      </c>
    </row>
    <row r="19" spans="15:40" x14ac:dyDescent="0.25">
      <c r="O19" s="130">
        <v>14</v>
      </c>
      <c r="P19" s="129">
        <v>0</v>
      </c>
      <c r="Q19" s="129">
        <v>5.4539999999999997</v>
      </c>
      <c r="R19" s="129">
        <v>24.548400000000001</v>
      </c>
      <c r="S19" s="129">
        <v>59.583600000000011</v>
      </c>
      <c r="T19" s="129">
        <v>114.35040000000001</v>
      </c>
      <c r="U19" s="129">
        <v>278.67240000000004</v>
      </c>
      <c r="V19" s="129">
        <v>524.18880000000001</v>
      </c>
      <c r="W19" s="129">
        <v>852.71400000000006</v>
      </c>
      <c r="X19" s="129">
        <v>1095.7369999999999</v>
      </c>
      <c r="Y19" s="129">
        <v>1267.6176</v>
      </c>
      <c r="Z19" s="129">
        <v>1770.174</v>
      </c>
      <c r="AA19" s="129">
        <v>2287.7840309999997</v>
      </c>
      <c r="AB19" s="129" t="str">
        <v xml:space="preserve"> </v>
      </c>
      <c r="AC19" s="129" t="str">
        <v xml:space="preserve"> </v>
      </c>
      <c r="AD19" s="129" t="str">
        <v xml:space="preserve"> </v>
      </c>
      <c r="AE19" s="129" t="str">
        <v xml:space="preserve"> </v>
      </c>
      <c r="AF19" s="129" t="str">
        <v xml:space="preserve"> </v>
      </c>
      <c r="AG19" s="129" t="str">
        <v xml:space="preserve"> </v>
      </c>
      <c r="AH19" s="129" t="str">
        <v xml:space="preserve"> </v>
      </c>
      <c r="AI19" s="129" t="str">
        <v xml:space="preserve"> </v>
      </c>
      <c r="AJ19" s="129" t="str">
        <v xml:space="preserve"> </v>
      </c>
      <c r="AK19" s="129" t="str">
        <v xml:space="preserve"> </v>
      </c>
      <c r="AL19" s="129" t="str">
        <v xml:space="preserve"> </v>
      </c>
      <c r="AM19" s="129" t="str">
        <v xml:space="preserve"> </v>
      </c>
      <c r="AN19" s="129" t="str">
        <v xml:space="preserve"> </v>
      </c>
    </row>
    <row r="20" spans="15:40" x14ac:dyDescent="0.25">
      <c r="O20" s="130">
        <v>15</v>
      </c>
      <c r="P20" s="129">
        <v>0</v>
      </c>
      <c r="Q20" s="129">
        <v>4.1242500000000009</v>
      </c>
      <c r="R20" s="129">
        <v>19.548000000000002</v>
      </c>
      <c r="S20" s="129">
        <v>48.766050000000007</v>
      </c>
      <c r="T20" s="129">
        <v>93.204000000000008</v>
      </c>
      <c r="U20" s="129">
        <v>231.59520000000001</v>
      </c>
      <c r="V20" s="129">
        <v>442.34640000000002</v>
      </c>
      <c r="W20" s="129">
        <v>733.29840000000002</v>
      </c>
      <c r="X20" s="129">
        <v>952.50126666666654</v>
      </c>
      <c r="Y20" s="129">
        <v>1108.836</v>
      </c>
      <c r="Z20" s="129">
        <v>1574.6832000000004</v>
      </c>
      <c r="AA20" s="129">
        <v>2074.2718530000002</v>
      </c>
      <c r="AB20" s="129" t="str">
        <v xml:space="preserve"> </v>
      </c>
      <c r="AC20" s="129" t="str">
        <v xml:space="preserve"> </v>
      </c>
      <c r="AD20" s="129" t="str">
        <v xml:space="preserve"> </v>
      </c>
      <c r="AE20" s="129" t="str">
        <v xml:space="preserve"> </v>
      </c>
      <c r="AF20" s="129" t="str">
        <v xml:space="preserve"> </v>
      </c>
      <c r="AG20" s="129" t="str">
        <v xml:space="preserve"> </v>
      </c>
      <c r="AH20" s="129" t="str">
        <v xml:space="preserve"> </v>
      </c>
      <c r="AI20" s="129" t="str">
        <v xml:space="preserve"> </v>
      </c>
      <c r="AJ20" s="129" t="str">
        <v xml:space="preserve"> </v>
      </c>
      <c r="AK20" s="129" t="str">
        <v xml:space="preserve"> </v>
      </c>
      <c r="AL20" s="129" t="str">
        <v xml:space="preserve"> </v>
      </c>
      <c r="AM20" s="129" t="str">
        <v xml:space="preserve"> </v>
      </c>
      <c r="AN20" s="129" t="str">
        <v xml:space="preserve"> </v>
      </c>
    </row>
    <row r="21" spans="15:40" x14ac:dyDescent="0.25">
      <c r="O21" s="130">
        <v>16</v>
      </c>
      <c r="P21" s="129">
        <v>0</v>
      </c>
      <c r="Q21" s="129">
        <v>2.8390499999999999</v>
      </c>
      <c r="R21" s="129">
        <v>14.256</v>
      </c>
      <c r="S21" s="129">
        <v>36.356850000000001</v>
      </c>
      <c r="T21" s="129">
        <v>70.415999999999997</v>
      </c>
      <c r="U21" s="129">
        <v>178.41600000000003</v>
      </c>
      <c r="V21" s="129">
        <v>346.76639999999998</v>
      </c>
      <c r="W21" s="129">
        <v>587.02319999999997</v>
      </c>
      <c r="X21" s="129">
        <v>773.58576666666659</v>
      </c>
      <c r="Y21" s="129">
        <v>909.2736000000001</v>
      </c>
      <c r="Z21" s="129">
        <v>1323.3024</v>
      </c>
      <c r="AA21" s="129">
        <v>1791.4476899999997</v>
      </c>
      <c r="AB21" s="129" t="str">
        <v xml:space="preserve"> </v>
      </c>
      <c r="AC21" s="129" t="str">
        <v xml:space="preserve"> </v>
      </c>
      <c r="AD21" s="129" t="str">
        <v xml:space="preserve"> </v>
      </c>
      <c r="AE21" s="129" t="str">
        <v xml:space="preserve"> </v>
      </c>
      <c r="AF21" s="129" t="str">
        <v xml:space="preserve"> </v>
      </c>
      <c r="AG21" s="129" t="str">
        <v xml:space="preserve"> </v>
      </c>
      <c r="AH21" s="129" t="str">
        <v xml:space="preserve"> </v>
      </c>
      <c r="AI21" s="129" t="str">
        <v xml:space="preserve"> </v>
      </c>
      <c r="AJ21" s="129" t="str">
        <v xml:space="preserve"> </v>
      </c>
      <c r="AK21" s="129" t="str">
        <v xml:space="preserve"> </v>
      </c>
      <c r="AL21" s="129" t="str">
        <v xml:space="preserve"> </v>
      </c>
      <c r="AM21" s="129" t="str">
        <v xml:space="preserve"> </v>
      </c>
      <c r="AN21" s="129" t="str">
        <v xml:space="preserve"> </v>
      </c>
    </row>
    <row r="22" spans="15:40" x14ac:dyDescent="0.25">
      <c r="O22" s="130">
        <v>17</v>
      </c>
      <c r="P22" s="129">
        <v>0</v>
      </c>
      <c r="Q22" s="129">
        <v>1.6692749999999998</v>
      </c>
      <c r="R22" s="129">
        <v>9.4824000000000002</v>
      </c>
      <c r="S22" s="129">
        <v>24.873075</v>
      </c>
      <c r="T22" s="129">
        <v>49.161599999999993</v>
      </c>
      <c r="U22" s="129">
        <v>126.2304</v>
      </c>
      <c r="V22" s="129">
        <v>247.83840000000001</v>
      </c>
      <c r="W22" s="129">
        <v>426.64320000000009</v>
      </c>
      <c r="X22" s="129">
        <v>571.84429999999998</v>
      </c>
      <c r="Y22" s="129">
        <v>680.70240000000001</v>
      </c>
      <c r="Z22" s="129">
        <v>1025.8704000000002</v>
      </c>
      <c r="AA22" s="129">
        <v>1445.7342269999999</v>
      </c>
      <c r="AB22" s="129" t="str">
        <v xml:space="preserve"> </v>
      </c>
      <c r="AC22" s="129" t="str">
        <v xml:space="preserve"> </v>
      </c>
      <c r="AD22" s="129" t="str">
        <v xml:space="preserve"> </v>
      </c>
      <c r="AE22" s="129" t="str">
        <v xml:space="preserve"> </v>
      </c>
      <c r="AF22" s="129" t="str">
        <v xml:space="preserve"> </v>
      </c>
      <c r="AG22" s="129" t="str">
        <v xml:space="preserve"> </v>
      </c>
      <c r="AH22" s="129" t="str">
        <v xml:space="preserve"> </v>
      </c>
      <c r="AI22" s="129" t="str">
        <v xml:space="preserve"> </v>
      </c>
      <c r="AJ22" s="129" t="str">
        <v xml:space="preserve"> </v>
      </c>
      <c r="AK22" s="129" t="str">
        <v xml:space="preserve"> </v>
      </c>
      <c r="AL22" s="129" t="str">
        <v xml:space="preserve"> </v>
      </c>
      <c r="AM22" s="129" t="str">
        <v xml:space="preserve"> </v>
      </c>
      <c r="AN22" s="129" t="str">
        <v xml:space="preserve"> </v>
      </c>
    </row>
    <row r="23" spans="15:40" x14ac:dyDescent="0.25">
      <c r="O23" s="130">
        <v>18</v>
      </c>
      <c r="P23" s="129">
        <v>0</v>
      </c>
      <c r="Q23" s="129">
        <v>0.85522500000000001</v>
      </c>
      <c r="R23" s="129">
        <v>5.5316249999999991</v>
      </c>
      <c r="S23" s="129">
        <v>15.651225</v>
      </c>
      <c r="T23" s="129">
        <v>31.786425000000001</v>
      </c>
      <c r="U23" s="129">
        <v>82.730025000000012</v>
      </c>
      <c r="V23" s="129">
        <v>159.18322499999999</v>
      </c>
      <c r="W23" s="129">
        <v>271.31962500000003</v>
      </c>
      <c r="X23" s="129">
        <v>368.63002499999999</v>
      </c>
      <c r="Y23" s="129">
        <v>445.29682500000001</v>
      </c>
      <c r="Z23" s="129">
        <v>704.529225</v>
      </c>
      <c r="AA23" s="129">
        <v>1059.5243909999999</v>
      </c>
      <c r="AB23" s="129" t="str">
        <v xml:space="preserve"> </v>
      </c>
      <c r="AC23" s="129" t="str">
        <v xml:space="preserve"> </v>
      </c>
      <c r="AD23" s="129" t="str">
        <v xml:space="preserve"> </v>
      </c>
      <c r="AE23" s="129" t="str">
        <v xml:space="preserve"> </v>
      </c>
      <c r="AF23" s="129" t="str">
        <v xml:space="preserve"> </v>
      </c>
      <c r="AG23" s="129" t="str">
        <v xml:space="preserve"> </v>
      </c>
      <c r="AH23" s="129" t="str">
        <v xml:space="preserve"> </v>
      </c>
      <c r="AI23" s="129" t="str">
        <v xml:space="preserve"> </v>
      </c>
      <c r="AJ23" s="129" t="str">
        <v xml:space="preserve"> </v>
      </c>
      <c r="AK23" s="129" t="str">
        <v xml:space="preserve"> </v>
      </c>
      <c r="AL23" s="129" t="str">
        <v xml:space="preserve"> </v>
      </c>
      <c r="AM23" s="129" t="str">
        <v xml:space="preserve"> </v>
      </c>
      <c r="AN23" s="129" t="str">
        <v xml:space="preserve"> </v>
      </c>
    </row>
    <row r="24" spans="15:40" x14ac:dyDescent="0.25">
      <c r="O24" s="131">
        <v>18.5</v>
      </c>
      <c r="P24" s="129">
        <v>0</v>
      </c>
      <c r="Q24" s="129">
        <v>0.42626133333333333</v>
      </c>
      <c r="R24" s="129">
        <v>3.8890113333333338</v>
      </c>
      <c r="S24" s="129">
        <v>11.798661333333335</v>
      </c>
      <c r="T24" s="129">
        <v>24.776211333333332</v>
      </c>
      <c r="U24" s="129">
        <v>65.686611333333332</v>
      </c>
      <c r="V24" s="129">
        <v>123.79061133333332</v>
      </c>
      <c r="W24" s="129">
        <v>204.16421133333333</v>
      </c>
      <c r="X24" s="129">
        <v>276.88887799999998</v>
      </c>
      <c r="Y24" s="129">
        <v>336.33461133333333</v>
      </c>
      <c r="Z24" s="129">
        <v>547.10741133333329</v>
      </c>
      <c r="AA24" s="129">
        <v>842.24050833333308</v>
      </c>
      <c r="AB24" s="129" t="str">
        <v xml:space="preserve"> </v>
      </c>
      <c r="AC24" s="129" t="str">
        <v xml:space="preserve"> </v>
      </c>
      <c r="AD24" s="129" t="str">
        <v xml:space="preserve"> </v>
      </c>
      <c r="AE24" s="129" t="str">
        <v xml:space="preserve"> </v>
      </c>
      <c r="AF24" s="129" t="str">
        <v xml:space="preserve"> </v>
      </c>
      <c r="AG24" s="129" t="str">
        <v xml:space="preserve"> </v>
      </c>
      <c r="AH24" s="129" t="str">
        <v xml:space="preserve"> </v>
      </c>
      <c r="AI24" s="129" t="str">
        <v xml:space="preserve"> </v>
      </c>
      <c r="AJ24" s="129" t="str">
        <v xml:space="preserve"> </v>
      </c>
      <c r="AK24" s="129" t="str">
        <v xml:space="preserve"> </v>
      </c>
      <c r="AL24" s="129" t="str">
        <v xml:space="preserve"> </v>
      </c>
      <c r="AM24" s="129" t="str">
        <v xml:space="preserve"> </v>
      </c>
      <c r="AN24" s="129" t="str">
        <v xml:space="preserve"> </v>
      </c>
    </row>
    <row r="25" spans="15:40" x14ac:dyDescent="0.25">
      <c r="O25" s="131">
        <v>19</v>
      </c>
      <c r="P25" s="129">
        <v>0</v>
      </c>
      <c r="Q25" s="129">
        <v>0.12595200000000001</v>
      </c>
      <c r="R25" s="129">
        <v>2.5762019999999999</v>
      </c>
      <c r="S25" s="129">
        <v>8.679552000000001</v>
      </c>
      <c r="T25" s="129">
        <v>19.067802</v>
      </c>
      <c r="U25" s="129">
        <v>52.796202000000008</v>
      </c>
      <c r="V25" s="129">
        <v>97.519002000000015</v>
      </c>
      <c r="W25" s="129">
        <v>150.21220200000002</v>
      </c>
      <c r="X25" s="129">
        <v>198.76326866666665</v>
      </c>
      <c r="Y25" s="129">
        <v>239.64700200000004</v>
      </c>
      <c r="Z25" s="129">
        <v>399.34660200000008</v>
      </c>
      <c r="AA25" s="129">
        <v>616.72536000000002</v>
      </c>
      <c r="AB25" s="129" t="str">
        <v xml:space="preserve"> </v>
      </c>
      <c r="AC25" s="129" t="str">
        <v xml:space="preserve"> </v>
      </c>
      <c r="AD25" s="129" t="str">
        <v xml:space="preserve"> </v>
      </c>
      <c r="AE25" s="129" t="str">
        <v xml:space="preserve"> </v>
      </c>
      <c r="AF25" s="129" t="str">
        <v xml:space="preserve"> </v>
      </c>
      <c r="AG25" s="129" t="str">
        <v xml:space="preserve"> </v>
      </c>
      <c r="AH25" s="129" t="str">
        <v xml:space="preserve"> </v>
      </c>
      <c r="AI25" s="129" t="str">
        <v xml:space="preserve"> </v>
      </c>
      <c r="AJ25" s="129" t="str">
        <v xml:space="preserve"> </v>
      </c>
      <c r="AK25" s="129" t="str">
        <v xml:space="preserve"> </v>
      </c>
      <c r="AL25" s="129" t="str">
        <v xml:space="preserve"> </v>
      </c>
      <c r="AM25" s="129" t="str">
        <v xml:space="preserve"> </v>
      </c>
      <c r="AN25" s="129" t="str">
        <v xml:space="preserve"> </v>
      </c>
    </row>
    <row r="26" spans="15:40" x14ac:dyDescent="0.25">
      <c r="O26" s="131">
        <v>19.5</v>
      </c>
      <c r="P26" s="129">
        <v>0</v>
      </c>
      <c r="Q26" s="129">
        <v>0</v>
      </c>
      <c r="R26" s="129">
        <v>1.0549333333333333</v>
      </c>
      <c r="S26" s="129">
        <v>5.5072333333333336</v>
      </c>
      <c r="T26" s="129">
        <v>13.798933333333334</v>
      </c>
      <c r="U26" s="129">
        <v>42.030133333333332</v>
      </c>
      <c r="V26" s="129">
        <v>77.90773333333334</v>
      </c>
      <c r="W26" s="129">
        <v>109.57333333333335</v>
      </c>
      <c r="X26" s="129">
        <v>135.29426666666666</v>
      </c>
      <c r="Y26" s="129">
        <v>154.97653333333335</v>
      </c>
      <c r="Z26" s="129">
        <v>252.75973333333334</v>
      </c>
      <c r="AA26" s="129">
        <v>400.05526633333329</v>
      </c>
      <c r="AB26" s="129" t="str">
        <v xml:space="preserve"> </v>
      </c>
      <c r="AC26" s="129" t="str">
        <v xml:space="preserve"> </v>
      </c>
      <c r="AD26" s="129" t="str">
        <v xml:space="preserve"> </v>
      </c>
      <c r="AE26" s="129" t="str">
        <v xml:space="preserve"> </v>
      </c>
      <c r="AF26" s="129" t="str">
        <v xml:space="preserve"> </v>
      </c>
      <c r="AG26" s="129" t="str">
        <v xml:space="preserve"> </v>
      </c>
      <c r="AH26" s="129" t="str">
        <v xml:space="preserve"> </v>
      </c>
      <c r="AI26" s="129" t="str">
        <v xml:space="preserve"> </v>
      </c>
      <c r="AJ26" s="129" t="str">
        <v xml:space="preserve"> </v>
      </c>
      <c r="AK26" s="129" t="str">
        <v xml:space="preserve"> </v>
      </c>
      <c r="AL26" s="129" t="str">
        <v xml:space="preserve"> </v>
      </c>
      <c r="AM26" s="129" t="str">
        <v xml:space="preserve"> </v>
      </c>
      <c r="AN26" s="129" t="str">
        <v xml:space="preserve"> </v>
      </c>
    </row>
    <row r="27" spans="15:40" x14ac:dyDescent="0.25">
      <c r="O27" s="131">
        <v>20</v>
      </c>
      <c r="P27" s="129">
        <v>0</v>
      </c>
      <c r="Q27" s="129">
        <v>0</v>
      </c>
      <c r="R27" s="129">
        <v>0</v>
      </c>
      <c r="S27" s="129">
        <v>1.3122666666666665</v>
      </c>
      <c r="T27" s="129">
        <v>6.7797666666666672</v>
      </c>
      <c r="U27" s="129">
        <v>28.960266666666669</v>
      </c>
      <c r="V27" s="129">
        <v>58.317366666666672</v>
      </c>
      <c r="W27" s="129">
        <v>69.784266666666667</v>
      </c>
      <c r="X27" s="129">
        <v>69.784266666666667</v>
      </c>
      <c r="Y27" s="129">
        <v>73.334766666666667</v>
      </c>
      <c r="Z27" s="129">
        <v>96.824766666666676</v>
      </c>
      <c r="AA27" s="129">
        <v>153.23049366666663</v>
      </c>
      <c r="AB27" s="129" t="str">
        <v xml:space="preserve"> </v>
      </c>
      <c r="AC27" s="129" t="str">
        <v xml:space="preserve"> </v>
      </c>
      <c r="AD27" s="129" t="str">
        <v xml:space="preserve"> </v>
      </c>
      <c r="AE27" s="129" t="str">
        <v xml:space="preserve"> </v>
      </c>
      <c r="AF27" s="129" t="str">
        <v xml:space="preserve"> </v>
      </c>
      <c r="AG27" s="129" t="str">
        <v xml:space="preserve"> </v>
      </c>
      <c r="AH27" s="129" t="str">
        <v xml:space="preserve"> </v>
      </c>
      <c r="AI27" s="129" t="str">
        <v xml:space="preserve"> </v>
      </c>
      <c r="AJ27" s="129" t="str">
        <v xml:space="preserve"> </v>
      </c>
      <c r="AK27" s="129" t="str">
        <v xml:space="preserve"> </v>
      </c>
      <c r="AL27" s="129" t="str">
        <v xml:space="preserve"> </v>
      </c>
      <c r="AM27" s="129" t="str">
        <v xml:space="preserve"> </v>
      </c>
      <c r="AN27" s="129" t="str">
        <v xml:space="preserve"> </v>
      </c>
    </row>
    <row r="77" spans="16:16" x14ac:dyDescent="0.25">
      <c r="P77" s="129" t="s">
        <v>20</v>
      </c>
    </row>
  </sheetData>
  <sheetProtection password="C89D" sheet="1" objects="1" scenarios="1"/>
  <mergeCells count="2">
    <mergeCell ref="O1:Q1"/>
    <mergeCell ref="R1:W1"/>
  </mergeCells>
  <conditionalFormatting sqref="O2:AN2">
    <cfRule type="notContainsBlanks" dxfId="44" priority="5">
      <formula>LEN(TRIM(O2))&gt;0</formula>
    </cfRule>
  </conditionalFormatting>
  <conditionalFormatting sqref="O2:AN27 O1 X1:AN1">
    <cfRule type="containsBlanks" dxfId="43" priority="4">
      <formula>LEN(TRIM(O1))=0</formula>
    </cfRule>
  </conditionalFormatting>
  <conditionalFormatting sqref="O3:O27">
    <cfRule type="notContainsBlanks" dxfId="42" priority="6">
      <formula>LEN(TRIM(O3))&gt;0</formula>
    </cfRule>
  </conditionalFormatting>
  <conditionalFormatting sqref="P3:AN27">
    <cfRule type="notContainsBlanks" dxfId="41" priority="3">
      <formula>LEN(TRIM(P3))&gt;0</formula>
    </cfRule>
  </conditionalFormatting>
  <conditionalFormatting sqref="A28:XFD1048576 O2:XFD27 O1 X1:XFD1">
    <cfRule type="containsBlanks" dxfId="40" priority="2">
      <formula>LEN(TRIM(A1))=0</formula>
    </cfRule>
  </conditionalFormatting>
  <conditionalFormatting sqref="R1">
    <cfRule type="containsBlanks" dxfId="39" priority="1">
      <formula>LEN(TRIM(R1))=0</formula>
    </cfRule>
  </conditionalFormatting>
  <pageMargins left="0.7" right="0.7" top="0.75" bottom="0.75" header="0.3" footer="0.3"/>
  <pageSetup paperSize="9" orientation="portrait" r:id="rId1"/>
  <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5" tint="0.79998168889431442"/>
  </sheetPr>
  <dimension ref="A1:Z38"/>
  <sheetViews>
    <sheetView showGridLines="0" showRowColHeaders="0" zoomScaleNormal="100" workbookViewId="0">
      <selection activeCell="N1" sqref="N1"/>
    </sheetView>
  </sheetViews>
  <sheetFormatPr defaultRowHeight="15" x14ac:dyDescent="0.25"/>
  <cols>
    <col min="1" max="1" width="10.7109375" style="129" customWidth="1"/>
    <col min="2" max="26" width="9.7109375" style="129" customWidth="1"/>
    <col min="27" max="16384" width="9.140625" style="129"/>
  </cols>
  <sheetData>
    <row r="1" spans="1:26" x14ac:dyDescent="0.25">
      <c r="A1" s="520" t="s">
        <v>137</v>
      </c>
      <c r="B1" s="520"/>
      <c r="C1" s="520"/>
      <c r="D1" s="520"/>
      <c r="E1" s="132"/>
      <c r="F1" s="132"/>
      <c r="G1" s="133"/>
      <c r="H1" s="132"/>
      <c r="I1" s="134" t="s">
        <v>138</v>
      </c>
      <c r="M1" s="135"/>
      <c r="N1" s="462" t="str">
        <f>'Hydros Calc'!L3</f>
        <v>Note: LWL is taken as LBP for every waterline.</v>
      </c>
      <c r="O1" s="135"/>
      <c r="P1" s="135"/>
      <c r="Q1" s="135"/>
      <c r="R1" s="135"/>
      <c r="S1" s="135"/>
      <c r="T1" s="135"/>
      <c r="U1" s="135"/>
      <c r="V1" s="135"/>
      <c r="W1" s="135"/>
      <c r="X1" s="135"/>
      <c r="Y1" s="135"/>
      <c r="Z1" s="135"/>
    </row>
    <row r="2" spans="1:26" ht="9.9499999999999993" customHeight="1" x14ac:dyDescent="0.25">
      <c r="A2" s="136"/>
      <c r="B2" s="137">
        <f>IFERROR(Tools!AE2*1,"")</f>
        <v>0</v>
      </c>
      <c r="C2" s="137">
        <f>IFERROR(Tools!AF2*1,"")</f>
        <v>0.5</v>
      </c>
      <c r="D2" s="137">
        <f>IFERROR(Tools!AG2*1,"")</f>
        <v>1</v>
      </c>
      <c r="E2" s="137">
        <f>IFERROR(Tools!AH2*1,"")</f>
        <v>1.5</v>
      </c>
      <c r="F2" s="137">
        <f>IFERROR(Tools!AI2*1,"")</f>
        <v>2</v>
      </c>
      <c r="G2" s="137">
        <f>IFERROR(Tools!AJ2*1,"")</f>
        <v>3</v>
      </c>
      <c r="H2" s="137">
        <f>IFERROR(Tools!AK2*1,"")</f>
        <v>4</v>
      </c>
      <c r="I2" s="137">
        <f>IFERROR(Tools!AL2*1,"")</f>
        <v>5</v>
      </c>
      <c r="J2" s="137">
        <f>IFERROR(Tools!AM2*1,"")</f>
        <v>5.6111111111111107</v>
      </c>
      <c r="K2" s="137">
        <f>IFERROR(Tools!AN2*1,"")</f>
        <v>6</v>
      </c>
      <c r="L2" s="137">
        <f>IFERROR(Tools!AO2*1,"")</f>
        <v>7</v>
      </c>
      <c r="M2" s="137">
        <f>IFERROR(Tools!AP2*1,"")</f>
        <v>7.8833333333333329</v>
      </c>
      <c r="N2" s="137" t="str">
        <f>IFERROR(Tools!AQ2*1,"")</f>
        <v/>
      </c>
      <c r="O2" s="137" t="str">
        <f>IFERROR(Tools!AR2*1,"")</f>
        <v/>
      </c>
      <c r="P2" s="137" t="str">
        <f>IFERROR(Tools!AS2*1,"")</f>
        <v/>
      </c>
      <c r="Q2" s="137" t="str">
        <f>IFERROR(Tools!AT2*1,"")</f>
        <v/>
      </c>
      <c r="R2" s="137" t="str">
        <f>IFERROR(Tools!AU2*1,"")</f>
        <v/>
      </c>
      <c r="S2" s="137" t="str">
        <f>IFERROR(Tools!AV2*1,"")</f>
        <v/>
      </c>
      <c r="T2" s="137" t="str">
        <f>IFERROR(Tools!AW2*1,"")</f>
        <v/>
      </c>
      <c r="U2" s="137" t="str">
        <f>IFERROR(Tools!AX2*1,"")</f>
        <v/>
      </c>
      <c r="V2" s="137" t="str">
        <f>IFERROR(Tools!AY2*1,"")</f>
        <v/>
      </c>
      <c r="W2" s="137" t="str">
        <f>IFERROR(Tools!AZ2*1,"")</f>
        <v/>
      </c>
      <c r="X2" s="137" t="str">
        <f>IFERROR(Tools!BA2*1,"")</f>
        <v/>
      </c>
      <c r="Y2" s="137" t="str">
        <f>IFERROR(Tools!BB2*1,"")</f>
        <v/>
      </c>
      <c r="Z2" s="137" t="str">
        <f>IFERROR(Tools!BC2*1,"")</f>
        <v/>
      </c>
    </row>
    <row r="3" spans="1:26" ht="9.9499999999999993" customHeight="1" x14ac:dyDescent="0.25">
      <c r="A3" s="138" t="str">
        <f t="array" ref="A3:Z25">Tools!BC70:CB92</f>
        <v>AWP</v>
      </c>
      <c r="B3" s="139">
        <v>859.8253999999996</v>
      </c>
      <c r="C3" s="139">
        <v>1423.3916499999996</v>
      </c>
      <c r="D3" s="139">
        <v>1670.0218499999996</v>
      </c>
      <c r="E3" s="139">
        <v>1833.2859499999995</v>
      </c>
      <c r="F3" s="139">
        <v>1954.7791999999986</v>
      </c>
      <c r="G3" s="139">
        <v>2152.5486999999994</v>
      </c>
      <c r="H3" s="139">
        <v>2323.3416499999994</v>
      </c>
      <c r="I3" s="139">
        <v>2528.8594999999996</v>
      </c>
      <c r="J3" s="139">
        <v>2668.33419</v>
      </c>
      <c r="K3" s="139">
        <v>2735.7601999999997</v>
      </c>
      <c r="L3" s="139">
        <v>2861.9068499999985</v>
      </c>
      <c r="M3" s="139">
        <v>3008.5986999999996</v>
      </c>
      <c r="N3" s="139" t="str">
        <v xml:space="preserve">  </v>
      </c>
      <c r="O3" s="139" t="str">
        <v xml:space="preserve">  </v>
      </c>
      <c r="P3" s="139" t="str">
        <v xml:space="preserve">  </v>
      </c>
      <c r="Q3" s="139" t="str">
        <v xml:space="preserve">  </v>
      </c>
      <c r="R3" s="139" t="str">
        <v xml:space="preserve">  </v>
      </c>
      <c r="S3" s="139" t="str">
        <v xml:space="preserve">  </v>
      </c>
      <c r="T3" s="139" t="str">
        <v xml:space="preserve">  </v>
      </c>
      <c r="U3" s="139" t="str">
        <v xml:space="preserve">  </v>
      </c>
      <c r="V3" s="139" t="str">
        <v xml:space="preserve">  </v>
      </c>
      <c r="W3" s="139" t="str">
        <v xml:space="preserve">  </v>
      </c>
      <c r="X3" s="139" t="str">
        <v xml:space="preserve">  </v>
      </c>
      <c r="Y3" s="139" t="str">
        <v xml:space="preserve">  </v>
      </c>
      <c r="Z3" s="139" t="str">
        <v xml:space="preserve">  </v>
      </c>
    </row>
    <row r="4" spans="1:26" ht="9.9499999999999993" customHeight="1" x14ac:dyDescent="0.25">
      <c r="A4" s="138" t="str">
        <v>Mmid</v>
      </c>
      <c r="B4" s="139">
        <v>4119.989537999998</v>
      </c>
      <c r="C4" s="139">
        <v>2844.5619599999982</v>
      </c>
      <c r="D4" s="139">
        <v>3638.6688404999991</v>
      </c>
      <c r="E4" s="139">
        <v>3678.562087499995</v>
      </c>
      <c r="F4" s="139">
        <v>2938.5134474999973</v>
      </c>
      <c r="G4" s="139">
        <v>-558.79453949999754</v>
      </c>
      <c r="H4" s="139">
        <v>-5397.7297679999956</v>
      </c>
      <c r="I4" s="139">
        <v>-12033.595600499997</v>
      </c>
      <c r="J4" s="139">
        <v>-15922.609019999991</v>
      </c>
      <c r="K4" s="139">
        <v>-16910.400505499994</v>
      </c>
      <c r="L4" s="139">
        <v>-16268.350493999995</v>
      </c>
      <c r="M4" s="139">
        <v>-11078.470324500002</v>
      </c>
      <c r="N4" s="139" t="str">
        <v xml:space="preserve">  </v>
      </c>
      <c r="O4" s="139" t="str">
        <v xml:space="preserve">  </v>
      </c>
      <c r="P4" s="139" t="str">
        <v xml:space="preserve">  </v>
      </c>
      <c r="Q4" s="139" t="str">
        <v xml:space="preserve">  </v>
      </c>
      <c r="R4" s="139" t="str">
        <v xml:space="preserve">  </v>
      </c>
      <c r="S4" s="139" t="str">
        <v xml:space="preserve">  </v>
      </c>
      <c r="T4" s="139" t="str">
        <v xml:space="preserve">  </v>
      </c>
      <c r="U4" s="139" t="str">
        <v xml:space="preserve">  </v>
      </c>
      <c r="V4" s="139" t="str">
        <v xml:space="preserve">  </v>
      </c>
      <c r="W4" s="139" t="str">
        <v xml:space="preserve">  </v>
      </c>
      <c r="X4" s="139" t="str">
        <v xml:space="preserve">  </v>
      </c>
      <c r="Y4" s="139" t="str">
        <v xml:space="preserve">  </v>
      </c>
      <c r="Z4" s="139" t="str">
        <v xml:space="preserve">  </v>
      </c>
    </row>
    <row r="5" spans="1:26" ht="9.9499999999999993" customHeight="1" x14ac:dyDescent="0.25">
      <c r="A5" s="140" t="str">
        <v>LCF (FROM MIDSHIP)</v>
      </c>
      <c r="B5" s="139">
        <v>4.7916583273766973</v>
      </c>
      <c r="C5" s="139">
        <v>1.9984394035190518</v>
      </c>
      <c r="D5" s="139">
        <v>2.1788151098142818</v>
      </c>
      <c r="E5" s="139">
        <v>2.0065402713090097</v>
      </c>
      <c r="F5" s="139">
        <v>1.503245710564139</v>
      </c>
      <c r="G5" s="139">
        <v>-0.25959670018150932</v>
      </c>
      <c r="H5" s="139">
        <v>-2.3232613111377729</v>
      </c>
      <c r="I5" s="139">
        <v>-4.7585069872406907</v>
      </c>
      <c r="J5" s="139">
        <v>-5.9672469361868012</v>
      </c>
      <c r="K5" s="139">
        <v>-6.1812437016592305</v>
      </c>
      <c r="L5" s="139">
        <v>-5.6844444444444457</v>
      </c>
      <c r="M5" s="139">
        <v>-3.6822691987801508</v>
      </c>
      <c r="N5" s="139" t="str">
        <v xml:space="preserve">  </v>
      </c>
      <c r="O5" s="139" t="str">
        <v xml:space="preserve">  </v>
      </c>
      <c r="P5" s="139" t="str">
        <v xml:space="preserve">  </v>
      </c>
      <c r="Q5" s="139" t="str">
        <v xml:space="preserve">  </v>
      </c>
      <c r="R5" s="139" t="str">
        <v xml:space="preserve">  </v>
      </c>
      <c r="S5" s="139" t="str">
        <v xml:space="preserve">  </v>
      </c>
      <c r="T5" s="139" t="str">
        <v xml:space="preserve">  </v>
      </c>
      <c r="U5" s="139" t="str">
        <v xml:space="preserve">  </v>
      </c>
      <c r="V5" s="139" t="str">
        <v xml:space="preserve">  </v>
      </c>
      <c r="W5" s="139" t="str">
        <v xml:space="preserve">  </v>
      </c>
      <c r="X5" s="139" t="str">
        <v xml:space="preserve">  </v>
      </c>
      <c r="Y5" s="139" t="str">
        <v xml:space="preserve">  </v>
      </c>
      <c r="Z5" s="139" t="str">
        <v xml:space="preserve">  </v>
      </c>
    </row>
    <row r="6" spans="1:26" ht="9.9499999999999993" customHeight="1" x14ac:dyDescent="0.25">
      <c r="A6" s="140" t="str">
        <v>IL</v>
      </c>
      <c r="B6" s="139">
        <v>333054.14949539979</v>
      </c>
      <c r="C6" s="139">
        <v>782502.11995985964</v>
      </c>
      <c r="D6" s="139">
        <v>1035450.8072643819</v>
      </c>
      <c r="E6" s="139">
        <v>1225088.5581777706</v>
      </c>
      <c r="F6" s="139">
        <v>1376876.996937427</v>
      </c>
      <c r="G6" s="139">
        <v>1680432.9348382868</v>
      </c>
      <c r="H6" s="139">
        <v>1992753.054862356</v>
      </c>
      <c r="I6" s="139">
        <v>2523074.5907945647</v>
      </c>
      <c r="J6" s="139">
        <v>2961420.7562758448</v>
      </c>
      <c r="K6" s="139">
        <v>3168963.7845677994</v>
      </c>
      <c r="L6" s="139">
        <v>3537504.8765351535</v>
      </c>
      <c r="M6" s="139">
        <v>3917625.5775067406</v>
      </c>
      <c r="N6" s="139" t="str">
        <v xml:space="preserve">  </v>
      </c>
      <c r="O6" s="139" t="str">
        <v xml:space="preserve">  </v>
      </c>
      <c r="P6" s="139" t="str">
        <v xml:space="preserve">  </v>
      </c>
      <c r="Q6" s="139" t="str">
        <v xml:space="preserve">  </v>
      </c>
      <c r="R6" s="139" t="str">
        <v xml:space="preserve">  </v>
      </c>
      <c r="S6" s="139" t="str">
        <v xml:space="preserve">  </v>
      </c>
      <c r="T6" s="139" t="str">
        <v xml:space="preserve">  </v>
      </c>
      <c r="U6" s="139" t="str">
        <v xml:space="preserve">  </v>
      </c>
      <c r="V6" s="139" t="str">
        <v xml:space="preserve">  </v>
      </c>
      <c r="W6" s="139" t="str">
        <v xml:space="preserve">  </v>
      </c>
      <c r="X6" s="139" t="str">
        <v xml:space="preserve">  </v>
      </c>
      <c r="Y6" s="139" t="str">
        <v xml:space="preserve">  </v>
      </c>
      <c r="Z6" s="139" t="str">
        <v xml:space="preserve">  </v>
      </c>
    </row>
    <row r="7" spans="1:26" ht="9.9499999999999993" customHeight="1" x14ac:dyDescent="0.25">
      <c r="A7" s="140" t="str">
        <v>IT</v>
      </c>
      <c r="B7" s="139">
        <v>12489.446398926664</v>
      </c>
      <c r="C7" s="139">
        <v>35996.366480268327</v>
      </c>
      <c r="D7" s="139">
        <v>51280.579929635009</v>
      </c>
      <c r="E7" s="139">
        <v>62290.377416821662</v>
      </c>
      <c r="F7" s="139">
        <v>70826.924393716676</v>
      </c>
      <c r="G7" s="139">
        <v>83572.881411993309</v>
      </c>
      <c r="H7" s="139">
        <v>95489.11782915167</v>
      </c>
      <c r="I7" s="139">
        <v>107149.78891980668</v>
      </c>
      <c r="J7" s="139">
        <v>114190.61602195569</v>
      </c>
      <c r="K7" s="139">
        <v>118613.43669851663</v>
      </c>
      <c r="L7" s="139">
        <v>128165.72978681501</v>
      </c>
      <c r="M7" s="139">
        <v>140814.88155053332</v>
      </c>
      <c r="N7" s="139" t="str">
        <v xml:space="preserve">  </v>
      </c>
      <c r="O7" s="139" t="str">
        <v xml:space="preserve">  </v>
      </c>
      <c r="P7" s="139" t="str">
        <v xml:space="preserve">  </v>
      </c>
      <c r="Q7" s="139" t="str">
        <v xml:space="preserve">  </v>
      </c>
      <c r="R7" s="139" t="str">
        <v xml:space="preserve">  </v>
      </c>
      <c r="S7" s="139" t="str">
        <v xml:space="preserve">  </v>
      </c>
      <c r="T7" s="139" t="str">
        <v xml:space="preserve">  </v>
      </c>
      <c r="U7" s="139" t="str">
        <v xml:space="preserve">  </v>
      </c>
      <c r="V7" s="139" t="str">
        <v xml:space="preserve">  </v>
      </c>
      <c r="W7" s="139" t="str">
        <v xml:space="preserve">  </v>
      </c>
      <c r="X7" s="139" t="str">
        <v xml:space="preserve">  </v>
      </c>
      <c r="Y7" s="139" t="str">
        <v xml:space="preserve">  </v>
      </c>
      <c r="Z7" s="139" t="str">
        <v xml:space="preserve">  </v>
      </c>
    </row>
    <row r="8" spans="1:26" ht="9.9499999999999993" customHeight="1" x14ac:dyDescent="0.25">
      <c r="A8" s="140" t="str">
        <v>IF</v>
      </c>
      <c r="B8" s="139">
        <v>313312.5673169372</v>
      </c>
      <c r="C8" s="139">
        <v>776817.43525324424</v>
      </c>
      <c r="D8" s="139">
        <v>1027522.8206150901</v>
      </c>
      <c r="E8" s="139">
        <v>1217707.3752086912</v>
      </c>
      <c r="F8" s="139">
        <v>1372459.6892020376</v>
      </c>
      <c r="G8" s="139">
        <v>1680287.8736197532</v>
      </c>
      <c r="H8" s="139">
        <v>1980212.718124385</v>
      </c>
      <c r="I8" s="139">
        <v>2465812.6420479566</v>
      </c>
      <c r="J8" s="139">
        <v>2866406.6163851493</v>
      </c>
      <c r="K8" s="139">
        <v>3064436.4779506424</v>
      </c>
      <c r="L8" s="139">
        <v>3445028.3419492603</v>
      </c>
      <c r="M8" s="139">
        <v>3876831.6674612341</v>
      </c>
      <c r="N8" s="139" t="str">
        <v xml:space="preserve">  </v>
      </c>
      <c r="O8" s="139" t="str">
        <v xml:space="preserve">  </v>
      </c>
      <c r="P8" s="139" t="str">
        <v xml:space="preserve">  </v>
      </c>
      <c r="Q8" s="139" t="str">
        <v xml:space="preserve">  </v>
      </c>
      <c r="R8" s="139" t="str">
        <v xml:space="preserve">  </v>
      </c>
      <c r="S8" s="139" t="str">
        <v xml:space="preserve">  </v>
      </c>
      <c r="T8" s="139" t="str">
        <v xml:space="preserve">  </v>
      </c>
      <c r="U8" s="139" t="str">
        <v xml:space="preserve">  </v>
      </c>
      <c r="V8" s="139" t="str">
        <v xml:space="preserve">  </v>
      </c>
      <c r="W8" s="139" t="str">
        <v xml:space="preserve">  </v>
      </c>
      <c r="X8" s="139" t="str">
        <v xml:space="preserve">  </v>
      </c>
      <c r="Y8" s="139" t="str">
        <v xml:space="preserve">  </v>
      </c>
      <c r="Z8" s="139" t="str">
        <v xml:space="preserve">  </v>
      </c>
    </row>
    <row r="9" spans="1:26" ht="9.9499999999999993" customHeight="1" x14ac:dyDescent="0.25">
      <c r="A9" s="140" t="str">
        <v>▼</v>
      </c>
      <c r="B9" s="139">
        <v>0</v>
      </c>
      <c r="C9" s="139">
        <v>1048.5103437499997</v>
      </c>
      <c r="D9" s="139">
        <v>2464.4444812500001</v>
      </c>
      <c r="E9" s="139">
        <v>4029.0218237499989</v>
      </c>
      <c r="F9" s="139">
        <v>5751.1441937499985</v>
      </c>
      <c r="G9" s="139">
        <v>9448.0125812500009</v>
      </c>
      <c r="H9" s="139">
        <v>13484.133583750001</v>
      </c>
      <c r="I9" s="139">
        <v>17826.476841249998</v>
      </c>
      <c r="J9" s="139">
        <v>20682.076797749993</v>
      </c>
      <c r="K9" s="139">
        <v>22592.578896749998</v>
      </c>
      <c r="L9" s="139">
        <v>27620.40419175</v>
      </c>
      <c r="M9" s="139">
        <v>32287.456103999986</v>
      </c>
      <c r="N9" s="139" t="str">
        <v xml:space="preserve">  </v>
      </c>
      <c r="O9" s="139" t="str">
        <v xml:space="preserve">  </v>
      </c>
      <c r="P9" s="139" t="str">
        <v xml:space="preserve">  </v>
      </c>
      <c r="Q9" s="139" t="str">
        <v xml:space="preserve">  </v>
      </c>
      <c r="R9" s="139" t="str">
        <v xml:space="preserve">  </v>
      </c>
      <c r="S9" s="139" t="str">
        <v xml:space="preserve">  </v>
      </c>
      <c r="T9" s="139" t="str">
        <v xml:space="preserve">  </v>
      </c>
      <c r="U9" s="139" t="str">
        <v xml:space="preserve">  </v>
      </c>
      <c r="V9" s="139" t="str">
        <v xml:space="preserve">  </v>
      </c>
      <c r="W9" s="139" t="str">
        <v xml:space="preserve">  </v>
      </c>
      <c r="X9" s="139" t="str">
        <v xml:space="preserve">  </v>
      </c>
      <c r="Y9" s="139" t="str">
        <v xml:space="preserve">  </v>
      </c>
      <c r="Z9" s="139" t="str">
        <v xml:space="preserve">  </v>
      </c>
    </row>
    <row r="10" spans="1:26" ht="9.9499999999999993" customHeight="1" x14ac:dyDescent="0.25">
      <c r="A10" s="140" t="str">
        <v>▲</v>
      </c>
      <c r="B10" s="139">
        <v>0</v>
      </c>
      <c r="C10" s="139">
        <v>1081.1714409578121</v>
      </c>
      <c r="D10" s="139">
        <v>2541.2119268409374</v>
      </c>
      <c r="E10" s="139">
        <v>4154.5258535598114</v>
      </c>
      <c r="F10" s="139">
        <v>5930.2923353853103</v>
      </c>
      <c r="G10" s="139">
        <v>9742.3181731559362</v>
      </c>
      <c r="H10" s="139">
        <v>13904.164344883811</v>
      </c>
      <c r="I10" s="139">
        <v>18381.771594854934</v>
      </c>
      <c r="J10" s="139">
        <v>21326.323489999904</v>
      </c>
      <c r="K10" s="139">
        <v>23296.337729383758</v>
      </c>
      <c r="L10" s="139">
        <v>28480.77978232301</v>
      </c>
      <c r="M10" s="139">
        <v>33293.210361639583</v>
      </c>
      <c r="N10" s="139" t="str">
        <v xml:space="preserve">  </v>
      </c>
      <c r="O10" s="139" t="str">
        <v xml:space="preserve">  </v>
      </c>
      <c r="P10" s="139" t="str">
        <v xml:space="preserve">  </v>
      </c>
      <c r="Q10" s="139" t="str">
        <v xml:space="preserve">  </v>
      </c>
      <c r="R10" s="139" t="str">
        <v xml:space="preserve">  </v>
      </c>
      <c r="S10" s="139" t="str">
        <v xml:space="preserve">  </v>
      </c>
      <c r="T10" s="139" t="str">
        <v xml:space="preserve">  </v>
      </c>
      <c r="U10" s="139" t="str">
        <v xml:space="preserve">  </v>
      </c>
      <c r="V10" s="139" t="str">
        <v xml:space="preserve">  </v>
      </c>
      <c r="W10" s="139" t="str">
        <v xml:space="preserve">  </v>
      </c>
      <c r="X10" s="139" t="str">
        <v xml:space="preserve">  </v>
      </c>
      <c r="Y10" s="139" t="str">
        <v xml:space="preserve">  </v>
      </c>
      <c r="Z10" s="139" t="str">
        <v xml:space="preserve">  </v>
      </c>
    </row>
    <row r="11" spans="1:26" ht="9.9499999999999993" customHeight="1" x14ac:dyDescent="0.25">
      <c r="A11" s="140" t="str">
        <v>MT</v>
      </c>
      <c r="B11" s="139">
        <v>0</v>
      </c>
      <c r="C11" s="139">
        <v>509.83875685583325</v>
      </c>
      <c r="D11" s="139">
        <v>2438.0414273141664</v>
      </c>
      <c r="E11" s="139">
        <v>5985.5270228558311</v>
      </c>
      <c r="F11" s="139">
        <v>11389.248976230832</v>
      </c>
      <c r="G11" s="139">
        <v>28099.332793980837</v>
      </c>
      <c r="H11" s="139">
        <v>53545.439128230842</v>
      </c>
      <c r="I11" s="139">
        <v>88813.202247980837</v>
      </c>
      <c r="J11" s="139">
        <v>116097.91226361418</v>
      </c>
      <c r="K11" s="139">
        <v>135984.60710536418</v>
      </c>
      <c r="L11" s="139">
        <v>194952.12643786415</v>
      </c>
      <c r="M11" s="139">
        <v>257498.19110795169</v>
      </c>
      <c r="N11" s="139" t="str">
        <v xml:space="preserve">  </v>
      </c>
      <c r="O11" s="139" t="str">
        <v xml:space="preserve">  </v>
      </c>
      <c r="P11" s="139" t="str">
        <v xml:space="preserve">  </v>
      </c>
      <c r="Q11" s="139" t="str">
        <v xml:space="preserve">  </v>
      </c>
      <c r="R11" s="139" t="str">
        <v xml:space="preserve">  </v>
      </c>
      <c r="S11" s="139" t="str">
        <v xml:space="preserve">  </v>
      </c>
      <c r="T11" s="139" t="str">
        <v xml:space="preserve">  </v>
      </c>
      <c r="U11" s="139" t="str">
        <v xml:space="preserve">  </v>
      </c>
      <c r="V11" s="139" t="str">
        <v xml:space="preserve">  </v>
      </c>
      <c r="W11" s="139" t="str">
        <v xml:space="preserve">  </v>
      </c>
      <c r="X11" s="139" t="str">
        <v xml:space="preserve">  </v>
      </c>
      <c r="Y11" s="139" t="str">
        <v xml:space="preserve">  </v>
      </c>
      <c r="Z11" s="139" t="str">
        <v xml:space="preserve">  </v>
      </c>
    </row>
    <row r="12" spans="1:26" ht="9.9499999999999993" customHeight="1" x14ac:dyDescent="0.25">
      <c r="A12" s="140" t="str">
        <v>ML</v>
      </c>
      <c r="B12" s="139">
        <v>0</v>
      </c>
      <c r="C12" s="139">
        <v>2896.63710141</v>
      </c>
      <c r="D12" s="139">
        <v>5645.7298960350017</v>
      </c>
      <c r="E12" s="139">
        <v>9156.6247135349931</v>
      </c>
      <c r="F12" s="139">
        <v>12036.26671356</v>
      </c>
      <c r="G12" s="139">
        <v>14611.419169635001</v>
      </c>
      <c r="H12" s="139">
        <v>9219.630026460005</v>
      </c>
      <c r="I12" s="139">
        <v>-5575.9514035650054</v>
      </c>
      <c r="J12" s="139">
        <v>-20763.758612790021</v>
      </c>
      <c r="K12" s="139">
        <v>-33269.250853889986</v>
      </c>
      <c r="L12" s="139">
        <v>-62708.299028639973</v>
      </c>
      <c r="M12" s="139">
        <v>-84449.021579347405</v>
      </c>
      <c r="N12" s="139" t="str">
        <v xml:space="preserve">  </v>
      </c>
      <c r="O12" s="139" t="str">
        <v xml:space="preserve">  </v>
      </c>
      <c r="P12" s="139" t="str">
        <v xml:space="preserve">  </v>
      </c>
      <c r="Q12" s="139" t="str">
        <v xml:space="preserve">  </v>
      </c>
      <c r="R12" s="139" t="str">
        <v xml:space="preserve">  </v>
      </c>
      <c r="S12" s="139" t="str">
        <v xml:space="preserve">  </v>
      </c>
      <c r="T12" s="139" t="str">
        <v xml:space="preserve">  </v>
      </c>
      <c r="U12" s="139" t="str">
        <v xml:space="preserve">  </v>
      </c>
      <c r="V12" s="139" t="str">
        <v xml:space="preserve">  </v>
      </c>
      <c r="W12" s="139" t="str">
        <v xml:space="preserve">  </v>
      </c>
      <c r="X12" s="139" t="str">
        <v xml:space="preserve">  </v>
      </c>
      <c r="Y12" s="139" t="str">
        <v xml:space="preserve">  </v>
      </c>
      <c r="Z12" s="139" t="str">
        <v xml:space="preserve">  </v>
      </c>
    </row>
    <row r="13" spans="1:26" ht="9.9499999999999993" customHeight="1" x14ac:dyDescent="0.25">
      <c r="A13" s="140" t="str">
        <v>BML</v>
      </c>
      <c r="B13" s="139" t="str">
        <v>-</v>
      </c>
      <c r="C13" s="139">
        <v>740.87722632754856</v>
      </c>
      <c r="D13" s="139">
        <v>416.93892008227203</v>
      </c>
      <c r="E13" s="139">
        <v>302.23399834437083</v>
      </c>
      <c r="F13" s="139">
        <v>238.64115434517277</v>
      </c>
      <c r="G13" s="139">
        <v>177.84564310957404</v>
      </c>
      <c r="H13" s="139">
        <v>146.85502081578153</v>
      </c>
      <c r="I13" s="139">
        <v>138.32304969774685</v>
      </c>
      <c r="J13" s="139">
        <v>138.59375170181102</v>
      </c>
      <c r="K13" s="139">
        <v>135.6390738726808</v>
      </c>
      <c r="L13" s="139">
        <v>124.72765851045234</v>
      </c>
      <c r="M13" s="139">
        <v>120.07237903703867</v>
      </c>
      <c r="N13" s="139" t="str">
        <v xml:space="preserve">  </v>
      </c>
      <c r="O13" s="139" t="str">
        <v xml:space="preserve">  </v>
      </c>
      <c r="P13" s="139" t="str">
        <v xml:space="preserve">  </v>
      </c>
      <c r="Q13" s="139" t="str">
        <v xml:space="preserve">  </v>
      </c>
      <c r="R13" s="139" t="str">
        <v xml:space="preserve">  </v>
      </c>
      <c r="S13" s="139" t="str">
        <v xml:space="preserve">  </v>
      </c>
      <c r="T13" s="139" t="str">
        <v xml:space="preserve">  </v>
      </c>
      <c r="U13" s="139" t="str">
        <v xml:space="preserve">  </v>
      </c>
      <c r="V13" s="139" t="str">
        <v xml:space="preserve">  </v>
      </c>
      <c r="W13" s="139" t="str">
        <v xml:space="preserve">  </v>
      </c>
      <c r="X13" s="139" t="str">
        <v xml:space="preserve">  </v>
      </c>
      <c r="Y13" s="139" t="str">
        <v xml:space="preserve">  </v>
      </c>
      <c r="Z13" s="139" t="str">
        <v xml:space="preserve">  </v>
      </c>
    </row>
    <row r="14" spans="1:26" ht="9.9499999999999993" customHeight="1" x14ac:dyDescent="0.25">
      <c r="A14" s="140" t="str">
        <v>BMT</v>
      </c>
      <c r="B14" s="139" t="str">
        <v>-</v>
      </c>
      <c r="C14" s="139">
        <v>34.330959818219092</v>
      </c>
      <c r="D14" s="139">
        <v>20.808170084490925</v>
      </c>
      <c r="E14" s="139">
        <v>15.460421944015458</v>
      </c>
      <c r="F14" s="139">
        <v>12.31527536219439</v>
      </c>
      <c r="G14" s="139">
        <v>8.8455514525718755</v>
      </c>
      <c r="H14" s="139">
        <v>7.0815909109820385</v>
      </c>
      <c r="I14" s="139">
        <v>6.010710353706286</v>
      </c>
      <c r="J14" s="139">
        <v>5.5212354706263591</v>
      </c>
      <c r="K14" s="139">
        <v>5.2501061184997999</v>
      </c>
      <c r="L14" s="139">
        <v>4.640255403108732</v>
      </c>
      <c r="M14" s="139">
        <v>4.361287587878075</v>
      </c>
      <c r="N14" s="139" t="str">
        <v xml:space="preserve">  </v>
      </c>
      <c r="O14" s="139" t="str">
        <v xml:space="preserve">  </v>
      </c>
      <c r="P14" s="139" t="str">
        <v xml:space="preserve">  </v>
      </c>
      <c r="Q14" s="139" t="str">
        <v xml:space="preserve">  </v>
      </c>
      <c r="R14" s="139" t="str">
        <v xml:space="preserve">  </v>
      </c>
      <c r="S14" s="139" t="str">
        <v xml:space="preserve">  </v>
      </c>
      <c r="T14" s="139" t="str">
        <v xml:space="preserve">  </v>
      </c>
      <c r="U14" s="139" t="str">
        <v xml:space="preserve">  </v>
      </c>
      <c r="V14" s="139" t="str">
        <v xml:space="preserve">  </v>
      </c>
      <c r="W14" s="139" t="str">
        <v xml:space="preserve">  </v>
      </c>
      <c r="X14" s="139" t="str">
        <v xml:space="preserve">  </v>
      </c>
      <c r="Y14" s="139" t="str">
        <v xml:space="preserve">  </v>
      </c>
      <c r="Z14" s="139" t="str">
        <v xml:space="preserve">  </v>
      </c>
    </row>
    <row r="15" spans="1:26" ht="9.9499999999999993" customHeight="1" x14ac:dyDescent="0.25">
      <c r="A15" s="140" t="str">
        <v xml:space="preserve">KB </v>
      </c>
      <c r="B15" s="139" t="str">
        <v>-</v>
      </c>
      <c r="C15" s="139">
        <v>0.48625057434568908</v>
      </c>
      <c r="D15" s="139">
        <v>0.9892864074899177</v>
      </c>
      <c r="E15" s="139">
        <v>1.4856030284007797</v>
      </c>
      <c r="F15" s="139">
        <v>1.9803448831291677</v>
      </c>
      <c r="G15" s="139">
        <v>2.9740998492894906</v>
      </c>
      <c r="H15" s="139">
        <v>3.9709958964482168</v>
      </c>
      <c r="I15" s="139">
        <v>4.982095062243002</v>
      </c>
      <c r="J15" s="139">
        <v>5.6134552346428039</v>
      </c>
      <c r="K15" s="139">
        <v>6.0189944550741803</v>
      </c>
      <c r="L15" s="139">
        <v>7.058264791653369</v>
      </c>
      <c r="M15" s="139">
        <v>7.9751774273740654</v>
      </c>
      <c r="N15" s="139" t="str">
        <v xml:space="preserve">  </v>
      </c>
      <c r="O15" s="139" t="str">
        <v xml:space="preserve">  </v>
      </c>
      <c r="P15" s="139" t="str">
        <v xml:space="preserve">  </v>
      </c>
      <c r="Q15" s="139" t="str">
        <v xml:space="preserve">  </v>
      </c>
      <c r="R15" s="139" t="str">
        <v xml:space="preserve">  </v>
      </c>
      <c r="S15" s="139" t="str">
        <v xml:space="preserve">  </v>
      </c>
      <c r="T15" s="139" t="str">
        <v xml:space="preserve">  </v>
      </c>
      <c r="U15" s="139" t="str">
        <v xml:space="preserve">  </v>
      </c>
      <c r="V15" s="139" t="str">
        <v xml:space="preserve">  </v>
      </c>
      <c r="W15" s="139" t="str">
        <v xml:space="preserve">  </v>
      </c>
      <c r="X15" s="139" t="str">
        <v xml:space="preserve">  </v>
      </c>
      <c r="Y15" s="139" t="str">
        <v xml:space="preserve">  </v>
      </c>
      <c r="Z15" s="139" t="str">
        <v xml:space="preserve">  </v>
      </c>
    </row>
    <row r="16" spans="1:26" ht="9.9499999999999993" customHeight="1" x14ac:dyDescent="0.25">
      <c r="A16" s="140" t="str">
        <v>KMT</v>
      </c>
      <c r="B16" s="139" t="str">
        <v>-</v>
      </c>
      <c r="C16" s="139">
        <v>34.817210392564782</v>
      </c>
      <c r="D16" s="139">
        <v>21.797456491980842</v>
      </c>
      <c r="E16" s="139">
        <v>16.94602497241624</v>
      </c>
      <c r="F16" s="139">
        <v>14.295620245323558</v>
      </c>
      <c r="G16" s="139">
        <v>11.819651301861366</v>
      </c>
      <c r="H16" s="139">
        <v>11.052586807430256</v>
      </c>
      <c r="I16" s="139">
        <v>10.992805415949288</v>
      </c>
      <c r="J16" s="139">
        <v>11.134690705269163</v>
      </c>
      <c r="K16" s="139">
        <v>11.269100573573979</v>
      </c>
      <c r="L16" s="139">
        <v>11.6985201947621</v>
      </c>
      <c r="M16" s="139">
        <v>12.336465015252141</v>
      </c>
      <c r="N16" s="139" t="str">
        <v xml:space="preserve">  </v>
      </c>
      <c r="O16" s="139" t="str">
        <v xml:space="preserve">  </v>
      </c>
      <c r="P16" s="139" t="str">
        <v xml:space="preserve">  </v>
      </c>
      <c r="Q16" s="139" t="str">
        <v xml:space="preserve">  </v>
      </c>
      <c r="R16" s="139" t="str">
        <v xml:space="preserve">  </v>
      </c>
      <c r="S16" s="139" t="str">
        <v xml:space="preserve">  </v>
      </c>
      <c r="T16" s="139" t="str">
        <v xml:space="preserve">  </v>
      </c>
      <c r="U16" s="139" t="str">
        <v xml:space="preserve">  </v>
      </c>
      <c r="V16" s="139" t="str">
        <v xml:space="preserve">  </v>
      </c>
      <c r="W16" s="139" t="str">
        <v xml:space="preserve">  </v>
      </c>
      <c r="X16" s="139" t="str">
        <v xml:space="preserve">  </v>
      </c>
      <c r="Y16" s="139" t="str">
        <v xml:space="preserve">  </v>
      </c>
      <c r="Z16" s="139" t="str">
        <v xml:space="preserve">  </v>
      </c>
    </row>
    <row r="17" spans="1:26" ht="9.9499999999999993" customHeight="1" x14ac:dyDescent="0.25">
      <c r="A17" s="140" t="str">
        <v>KML</v>
      </c>
      <c r="B17" s="139" t="str">
        <v>-</v>
      </c>
      <c r="C17" s="139">
        <v>741.36347690189427</v>
      </c>
      <c r="D17" s="139">
        <v>417.92820648976198</v>
      </c>
      <c r="E17" s="139">
        <v>303.71960137277159</v>
      </c>
      <c r="F17" s="139">
        <v>240.62149922830193</v>
      </c>
      <c r="G17" s="139">
        <v>180.81974295886354</v>
      </c>
      <c r="H17" s="139">
        <v>150.82601671222974</v>
      </c>
      <c r="I17" s="139">
        <v>143.30514475998984</v>
      </c>
      <c r="J17" s="139">
        <v>144.20720693645382</v>
      </c>
      <c r="K17" s="139">
        <v>141.65806832775499</v>
      </c>
      <c r="L17" s="139">
        <v>131.78592330210572</v>
      </c>
      <c r="M17" s="139">
        <v>128.04755646441274</v>
      </c>
      <c r="N17" s="139" t="str">
        <v xml:space="preserve">  </v>
      </c>
      <c r="O17" s="139" t="str">
        <v xml:space="preserve">  </v>
      </c>
      <c r="P17" s="139" t="str">
        <v xml:space="preserve">  </v>
      </c>
      <c r="Q17" s="139" t="str">
        <v xml:space="preserve">  </v>
      </c>
      <c r="R17" s="139" t="str">
        <v xml:space="preserve">  </v>
      </c>
      <c r="S17" s="139" t="str">
        <v xml:space="preserve">  </v>
      </c>
      <c r="T17" s="139" t="str">
        <v xml:space="preserve">  </v>
      </c>
      <c r="U17" s="139" t="str">
        <v xml:space="preserve">  </v>
      </c>
      <c r="V17" s="139" t="str">
        <v xml:space="preserve">  </v>
      </c>
      <c r="W17" s="139" t="str">
        <v xml:space="preserve">  </v>
      </c>
      <c r="X17" s="139" t="str">
        <v xml:space="preserve">  </v>
      </c>
      <c r="Y17" s="139" t="str">
        <v xml:space="preserve">  </v>
      </c>
      <c r="Z17" s="139" t="str">
        <v xml:space="preserve">  </v>
      </c>
    </row>
    <row r="18" spans="1:26" ht="9.9499999999999993" customHeight="1" x14ac:dyDescent="0.25">
      <c r="A18" s="140" t="str">
        <v>TPC</v>
      </c>
      <c r="B18" s="139">
        <v>8.813210349999995</v>
      </c>
      <c r="C18" s="139">
        <v>14.589764412499994</v>
      </c>
      <c r="D18" s="139">
        <v>17.117723962499994</v>
      </c>
      <c r="E18" s="139">
        <v>18.791180987499992</v>
      </c>
      <c r="F18" s="139">
        <v>20.036486799999984</v>
      </c>
      <c r="G18" s="139">
        <v>22.06362417499999</v>
      </c>
      <c r="H18" s="139">
        <v>23.814251912499991</v>
      </c>
      <c r="I18" s="139">
        <v>25.920809874999996</v>
      </c>
      <c r="J18" s="139">
        <v>27.350425447499997</v>
      </c>
      <c r="K18" s="139">
        <v>28.041542049999993</v>
      </c>
      <c r="L18" s="139">
        <v>29.334545212499982</v>
      </c>
      <c r="M18" s="139">
        <v>30.838136674999991</v>
      </c>
      <c r="N18" s="139" t="str">
        <v xml:space="preserve">  </v>
      </c>
      <c r="O18" s="139" t="str">
        <v xml:space="preserve">  </v>
      </c>
      <c r="P18" s="139" t="str">
        <v xml:space="preserve">  </v>
      </c>
      <c r="Q18" s="139" t="str">
        <v xml:space="preserve">  </v>
      </c>
      <c r="R18" s="139" t="str">
        <v xml:space="preserve">  </v>
      </c>
      <c r="S18" s="139" t="str">
        <v xml:space="preserve">  </v>
      </c>
      <c r="T18" s="139" t="str">
        <v xml:space="preserve">  </v>
      </c>
      <c r="U18" s="139" t="str">
        <v xml:space="preserve">  </v>
      </c>
      <c r="V18" s="139" t="str">
        <v xml:space="preserve">  </v>
      </c>
      <c r="W18" s="139" t="str">
        <v xml:space="preserve">  </v>
      </c>
      <c r="X18" s="139" t="str">
        <v xml:space="preserve">  </v>
      </c>
      <c r="Y18" s="139" t="str">
        <v xml:space="preserve">  </v>
      </c>
      <c r="Z18" s="139" t="str">
        <v xml:space="preserve">  </v>
      </c>
    </row>
    <row r="19" spans="1:26" ht="9.9499999999999993" customHeight="1" x14ac:dyDescent="0.25">
      <c r="A19" s="140" t="str">
        <v>LCB</v>
      </c>
      <c r="B19" s="139" t="str">
        <v>-</v>
      </c>
      <c r="C19" s="139">
        <v>2.7626213882165156</v>
      </c>
      <c r="D19" s="139">
        <v>2.2908732328883343</v>
      </c>
      <c r="E19" s="139">
        <v>2.2726669435144671</v>
      </c>
      <c r="F19" s="139">
        <v>2.0928473201281057</v>
      </c>
      <c r="G19" s="139">
        <v>1.5465071668757098</v>
      </c>
      <c r="H19" s="139">
        <v>0.68373914936372071</v>
      </c>
      <c r="I19" s="139">
        <v>-0.31279043263682932</v>
      </c>
      <c r="J19" s="139">
        <v>-1.003949401012229</v>
      </c>
      <c r="K19" s="139">
        <v>-1.4725742911392845</v>
      </c>
      <c r="L19" s="139">
        <v>-2.2703613818718282</v>
      </c>
      <c r="M19" s="139">
        <v>-2.615536551016334</v>
      </c>
      <c r="N19" s="139" t="str">
        <v xml:space="preserve">  </v>
      </c>
      <c r="O19" s="139" t="str">
        <v xml:space="preserve">  </v>
      </c>
      <c r="P19" s="139" t="str">
        <v xml:space="preserve">  </v>
      </c>
      <c r="Q19" s="139" t="str">
        <v xml:space="preserve">  </v>
      </c>
      <c r="R19" s="139" t="str">
        <v xml:space="preserve">  </v>
      </c>
      <c r="S19" s="139" t="str">
        <v xml:space="preserve">  </v>
      </c>
      <c r="T19" s="139" t="str">
        <v xml:space="preserve">  </v>
      </c>
      <c r="U19" s="139" t="str">
        <v xml:space="preserve">  </v>
      </c>
      <c r="V19" s="139" t="str">
        <v xml:space="preserve">  </v>
      </c>
      <c r="W19" s="139" t="str">
        <v xml:space="preserve">  </v>
      </c>
      <c r="X19" s="139" t="str">
        <v xml:space="preserve">  </v>
      </c>
      <c r="Y19" s="139" t="str">
        <v xml:space="preserve">  </v>
      </c>
      <c r="Z19" s="139" t="str">
        <v xml:space="preserve">  </v>
      </c>
    </row>
    <row r="20" spans="1:26" ht="9.9499999999999993" customHeight="1" x14ac:dyDescent="0.25">
      <c r="A20" s="140" t="str">
        <v>MCT1cm</v>
      </c>
      <c r="B20" s="139" t="str">
        <v>-</v>
      </c>
      <c r="C20" s="139">
        <v>60.821207164873414</v>
      </c>
      <c r="D20" s="139">
        <v>80.450277636845129</v>
      </c>
      <c r="E20" s="139">
        <v>95.340847376343362</v>
      </c>
      <c r="F20" s="139">
        <v>107.45723678972521</v>
      </c>
      <c r="G20" s="139">
        <v>131.55875784988672</v>
      </c>
      <c r="H20" s="139">
        <v>155.04148400105996</v>
      </c>
      <c r="I20" s="139">
        <v>193.06170887226656</v>
      </c>
      <c r="J20" s="139">
        <v>224.42636161621462</v>
      </c>
      <c r="K20" s="139">
        <v>239.9311825541993</v>
      </c>
      <c r="L20" s="139">
        <v>269.72976270318759</v>
      </c>
      <c r="M20" s="139">
        <v>303.53796309055826</v>
      </c>
      <c r="N20" s="139" t="str">
        <v xml:space="preserve">  </v>
      </c>
      <c r="O20" s="139" t="str">
        <v xml:space="preserve">  </v>
      </c>
      <c r="P20" s="139" t="str">
        <v xml:space="preserve">  </v>
      </c>
      <c r="Q20" s="139" t="str">
        <v xml:space="preserve">  </v>
      </c>
      <c r="R20" s="139" t="str">
        <v xml:space="preserve">  </v>
      </c>
      <c r="S20" s="139" t="str">
        <v xml:space="preserve">  </v>
      </c>
      <c r="T20" s="139" t="str">
        <v xml:space="preserve">  </v>
      </c>
      <c r="U20" s="139" t="str">
        <v xml:space="preserve">  </v>
      </c>
      <c r="V20" s="139" t="str">
        <v xml:space="preserve">  </v>
      </c>
      <c r="W20" s="139" t="str">
        <v xml:space="preserve">  </v>
      </c>
      <c r="X20" s="139" t="str">
        <v xml:space="preserve">  </v>
      </c>
      <c r="Y20" s="139" t="str">
        <v xml:space="preserve">  </v>
      </c>
      <c r="Z20" s="139" t="str">
        <v xml:space="preserve">  </v>
      </c>
    </row>
    <row r="21" spans="1:26" ht="9.9499999999999993" customHeight="1" x14ac:dyDescent="0.25">
      <c r="A21" s="140" t="str">
        <v>T</v>
      </c>
      <c r="B21" s="139">
        <v>0</v>
      </c>
      <c r="C21" s="139">
        <v>0.9</v>
      </c>
      <c r="D21" s="139">
        <v>1.8</v>
      </c>
      <c r="E21" s="139">
        <v>2.7</v>
      </c>
      <c r="F21" s="139">
        <v>3.6</v>
      </c>
      <c r="G21" s="139">
        <v>5.4</v>
      </c>
      <c r="H21" s="139">
        <v>7.2</v>
      </c>
      <c r="I21" s="139">
        <v>9</v>
      </c>
      <c r="J21" s="139">
        <v>10.1</v>
      </c>
      <c r="K21" s="139">
        <v>10.8</v>
      </c>
      <c r="L21" s="139">
        <v>12.6</v>
      </c>
      <c r="M21" s="139">
        <v>14.19</v>
      </c>
      <c r="N21" s="139" t="str">
        <v xml:space="preserve">  </v>
      </c>
      <c r="O21" s="139" t="str">
        <v xml:space="preserve">  </v>
      </c>
      <c r="P21" s="139" t="str">
        <v xml:space="preserve">  </v>
      </c>
      <c r="Q21" s="139" t="str">
        <v xml:space="preserve">  </v>
      </c>
      <c r="R21" s="139" t="str">
        <v xml:space="preserve">  </v>
      </c>
      <c r="S21" s="139" t="str">
        <v xml:space="preserve">  </v>
      </c>
      <c r="T21" s="139" t="str">
        <v xml:space="preserve">  </v>
      </c>
      <c r="U21" s="139" t="str">
        <v xml:space="preserve">  </v>
      </c>
      <c r="V21" s="139" t="str">
        <v xml:space="preserve">  </v>
      </c>
      <c r="W21" s="139" t="str">
        <v xml:space="preserve">  </v>
      </c>
      <c r="X21" s="139" t="str">
        <v xml:space="preserve">  </v>
      </c>
      <c r="Y21" s="139" t="str">
        <v xml:space="preserve">  </v>
      </c>
      <c r="Z21" s="139" t="str">
        <v xml:space="preserve">  </v>
      </c>
    </row>
    <row r="22" spans="1:26" ht="9.9499999999999993" customHeight="1" x14ac:dyDescent="0.25">
      <c r="A22" s="140" t="str">
        <v>CW</v>
      </c>
      <c r="B22" s="139">
        <v>0.37957364341085259</v>
      </c>
      <c r="C22" s="139">
        <v>0.4985162976629765</v>
      </c>
      <c r="D22" s="139">
        <v>0.53913690476190468</v>
      </c>
      <c r="E22" s="139">
        <v>0.57331823174080165</v>
      </c>
      <c r="F22" s="139">
        <v>0.60582312925170034</v>
      </c>
      <c r="G22" s="139">
        <v>0.66711564625850328</v>
      </c>
      <c r="H22" s="139">
        <v>0.72004761904761894</v>
      </c>
      <c r="I22" s="139">
        <v>0.78374149659863945</v>
      </c>
      <c r="J22" s="139">
        <v>0.8269673469387756</v>
      </c>
      <c r="K22" s="139">
        <v>0.8478639455782313</v>
      </c>
      <c r="L22" s="139">
        <v>0.88695918367346904</v>
      </c>
      <c r="M22" s="139">
        <v>0.93242176870748295</v>
      </c>
      <c r="N22" s="139" t="str">
        <v xml:space="preserve">  </v>
      </c>
      <c r="O22" s="139" t="str">
        <v xml:space="preserve">  </v>
      </c>
      <c r="P22" s="139" t="str">
        <v xml:space="preserve">  </v>
      </c>
      <c r="Q22" s="139" t="str">
        <v xml:space="preserve">  </v>
      </c>
      <c r="R22" s="139" t="str">
        <v xml:space="preserve">  </v>
      </c>
      <c r="S22" s="139" t="str">
        <v xml:space="preserve">  </v>
      </c>
      <c r="T22" s="139" t="str">
        <v xml:space="preserve">  </v>
      </c>
      <c r="U22" s="139" t="str">
        <v xml:space="preserve">  </v>
      </c>
      <c r="V22" s="139" t="str">
        <v xml:space="preserve">  </v>
      </c>
      <c r="W22" s="139" t="str">
        <v xml:space="preserve">  </v>
      </c>
      <c r="X22" s="139" t="str">
        <v xml:space="preserve">  </v>
      </c>
      <c r="Y22" s="139" t="str">
        <v xml:space="preserve">  </v>
      </c>
      <c r="Z22" s="139" t="str">
        <v xml:space="preserve">  </v>
      </c>
    </row>
    <row r="23" spans="1:26" ht="9.9499999999999993" customHeight="1" x14ac:dyDescent="0.25">
      <c r="A23" s="140" t="str">
        <v>CB</v>
      </c>
      <c r="B23" s="139" t="str">
        <v>-</v>
      </c>
      <c r="C23" s="139">
        <v>0.40802348127647936</v>
      </c>
      <c r="D23" s="139">
        <v>0.4420011928382464</v>
      </c>
      <c r="E23" s="139">
        <v>0.46666088280757401</v>
      </c>
      <c r="F23" s="139">
        <v>0.49510794595616014</v>
      </c>
      <c r="G23" s="139">
        <v>0.5422441106072059</v>
      </c>
      <c r="H23" s="139">
        <v>0.58041508408919129</v>
      </c>
      <c r="I23" s="139">
        <v>0.61386256613756607</v>
      </c>
      <c r="J23" s="139">
        <v>0.63463046069913098</v>
      </c>
      <c r="K23" s="139">
        <v>0.64832115457294026</v>
      </c>
      <c r="L23" s="139">
        <v>0.67937197116942027</v>
      </c>
      <c r="M23" s="139">
        <v>0.70517933008298439</v>
      </c>
      <c r="N23" s="139" t="str">
        <v xml:space="preserve">  </v>
      </c>
      <c r="O23" s="139" t="str">
        <v xml:space="preserve">  </v>
      </c>
      <c r="P23" s="139" t="str">
        <v xml:space="preserve">  </v>
      </c>
      <c r="Q23" s="139" t="str">
        <v xml:space="preserve">  </v>
      </c>
      <c r="R23" s="139" t="str">
        <v xml:space="preserve">  </v>
      </c>
      <c r="S23" s="139" t="str">
        <v xml:space="preserve">  </v>
      </c>
      <c r="T23" s="139" t="str">
        <v xml:space="preserve">  </v>
      </c>
      <c r="U23" s="139" t="str">
        <v xml:space="preserve">  </v>
      </c>
      <c r="V23" s="139" t="str">
        <v xml:space="preserve">  </v>
      </c>
      <c r="W23" s="139" t="str">
        <v xml:space="preserve">  </v>
      </c>
      <c r="X23" s="139" t="str">
        <v xml:space="preserve">  </v>
      </c>
      <c r="Y23" s="139" t="str">
        <v xml:space="preserve">  </v>
      </c>
      <c r="Z23" s="139" t="str">
        <v xml:space="preserve">  </v>
      </c>
    </row>
    <row r="24" spans="1:26" ht="9.9499999999999993" customHeight="1" x14ac:dyDescent="0.25">
      <c r="A24" s="140" t="str">
        <v>CM</v>
      </c>
      <c r="B24" s="139" t="str">
        <v>-</v>
      </c>
      <c r="C24" s="139">
        <v>0.89337330873308729</v>
      </c>
      <c r="D24" s="139">
        <v>0.89810090702947842</v>
      </c>
      <c r="E24" s="139">
        <v>0.90675910671792026</v>
      </c>
      <c r="F24" s="139">
        <v>0.92476190476190467</v>
      </c>
      <c r="G24" s="139">
        <v>0.94961451247165518</v>
      </c>
      <c r="H24" s="139">
        <v>0.96238095238095245</v>
      </c>
      <c r="I24" s="139">
        <v>0.96976870748299326</v>
      </c>
      <c r="J24" s="139">
        <v>0.97306122448979593</v>
      </c>
      <c r="K24" s="139">
        <v>0.97492063492063485</v>
      </c>
      <c r="L24" s="139">
        <v>0.9784062196307094</v>
      </c>
      <c r="M24" s="139">
        <v>0.98082581869957286</v>
      </c>
      <c r="N24" s="139" t="str">
        <v xml:space="preserve">  </v>
      </c>
      <c r="O24" s="139" t="str">
        <v xml:space="preserve">  </v>
      </c>
      <c r="P24" s="139" t="str">
        <v xml:space="preserve">  </v>
      </c>
      <c r="Q24" s="139" t="str">
        <v xml:space="preserve">  </v>
      </c>
      <c r="R24" s="139" t="str">
        <v xml:space="preserve">  </v>
      </c>
      <c r="S24" s="139" t="str">
        <v xml:space="preserve">  </v>
      </c>
      <c r="T24" s="139" t="str">
        <v xml:space="preserve">  </v>
      </c>
      <c r="U24" s="139" t="str">
        <v xml:space="preserve">  </v>
      </c>
      <c r="V24" s="139" t="str">
        <v xml:space="preserve">  </v>
      </c>
      <c r="W24" s="139" t="str">
        <v xml:space="preserve">  </v>
      </c>
      <c r="X24" s="139" t="str">
        <v xml:space="preserve">  </v>
      </c>
      <c r="Y24" s="139" t="str">
        <v xml:space="preserve">  </v>
      </c>
      <c r="Z24" s="139" t="str">
        <v xml:space="preserve">  </v>
      </c>
    </row>
    <row r="25" spans="1:26" ht="9.9499999999999993" customHeight="1" x14ac:dyDescent="0.25">
      <c r="A25" s="140" t="str">
        <v>CP</v>
      </c>
      <c r="B25" s="139" t="str">
        <v>-</v>
      </c>
      <c r="C25" s="139">
        <v>0.45672226524777937</v>
      </c>
      <c r="D25" s="139">
        <v>0.49215092577981168</v>
      </c>
      <c r="E25" s="139">
        <v>0.51464703177527116</v>
      </c>
      <c r="F25" s="139">
        <v>0.5353896428980105</v>
      </c>
      <c r="G25" s="139">
        <v>0.57101497869472717</v>
      </c>
      <c r="H25" s="139">
        <v>0.60310325412533483</v>
      </c>
      <c r="I25" s="139">
        <v>0.63299894232597864</v>
      </c>
      <c r="J25" s="139">
        <v>0.65219992815137207</v>
      </c>
      <c r="K25" s="139">
        <v>0.66499890488595315</v>
      </c>
      <c r="L25" s="139">
        <v>0.69436595714389782</v>
      </c>
      <c r="M25" s="139">
        <v>0.71896489329567792</v>
      </c>
      <c r="N25" s="139" t="str">
        <v xml:space="preserve">  </v>
      </c>
      <c r="O25" s="139" t="str">
        <v xml:space="preserve">  </v>
      </c>
      <c r="P25" s="139" t="str">
        <v xml:space="preserve">  </v>
      </c>
      <c r="Q25" s="139" t="str">
        <v xml:space="preserve">  </v>
      </c>
      <c r="R25" s="139" t="str">
        <v xml:space="preserve">  </v>
      </c>
      <c r="S25" s="139" t="str">
        <v xml:space="preserve">  </v>
      </c>
      <c r="T25" s="139" t="str">
        <v xml:space="preserve">  </v>
      </c>
      <c r="U25" s="139" t="str">
        <v xml:space="preserve">  </v>
      </c>
      <c r="V25" s="139" t="str">
        <v xml:space="preserve">  </v>
      </c>
      <c r="W25" s="139" t="str">
        <v xml:space="preserve">  </v>
      </c>
      <c r="X25" s="139" t="str">
        <v xml:space="preserve">  </v>
      </c>
      <c r="Y25" s="139" t="str">
        <v xml:space="preserve">  </v>
      </c>
      <c r="Z25" s="139" t="str">
        <v xml:space="preserve">  </v>
      </c>
    </row>
    <row r="27" spans="1:26" ht="9.9499999999999993" customHeight="1" x14ac:dyDescent="0.25"/>
    <row r="28" spans="1:26" ht="9.9499999999999993" customHeight="1" x14ac:dyDescent="0.25"/>
    <row r="29" spans="1:26" ht="9.9499999999999993" customHeight="1" x14ac:dyDescent="0.25"/>
    <row r="30" spans="1:26" ht="9.9499999999999993" customHeight="1" x14ac:dyDescent="0.25"/>
    <row r="31" spans="1:26" ht="9.9499999999999993" customHeight="1" x14ac:dyDescent="0.25"/>
    <row r="32" spans="1:26" ht="9.9499999999999993" customHeight="1" x14ac:dyDescent="0.25"/>
    <row r="33" spans="2:2" ht="9.9499999999999993" customHeight="1" x14ac:dyDescent="0.25"/>
    <row r="34" spans="2:2" ht="9.9499999999999993" customHeight="1" x14ac:dyDescent="0.25"/>
    <row r="35" spans="2:2" ht="9.9499999999999993" customHeight="1" x14ac:dyDescent="0.25"/>
    <row r="36" spans="2:2" ht="9.9499999999999993" customHeight="1" x14ac:dyDescent="0.25"/>
    <row r="37" spans="2:2" ht="9.9499999999999993" customHeight="1" x14ac:dyDescent="0.25"/>
    <row r="38" spans="2:2" ht="9.9499999999999993" customHeight="1" x14ac:dyDescent="0.25">
      <c r="B38" s="127"/>
    </row>
  </sheetData>
  <sheetProtection password="CC2F" sheet="1" objects="1" scenarios="1"/>
  <mergeCells count="1">
    <mergeCell ref="A1:D1"/>
  </mergeCells>
  <conditionalFormatting sqref="A26:XFD26 B3:XFD25 A2:XFD2 A57:XFD1048576 D27:XFD38 D45:XFD56 A1 M1:XFD1 C40:XFD44 A27:B31 A51:A56 B39:XFD39 A32:A37 B38">
    <cfRule type="containsBlanks" dxfId="38" priority="1">
      <formula>LEN(TRIM(A1))=0</formula>
    </cfRule>
    <cfRule type="containsBlanks" dxfId="37" priority="3">
      <formula>LEN(TRIM(A1))=0</formula>
    </cfRule>
  </conditionalFormatting>
  <conditionalFormatting sqref="A2:Z2">
    <cfRule type="notContainsBlanks" dxfId="36" priority="2">
      <formula>LEN(TRIM(A2))&gt;0</formula>
    </cfRule>
  </conditionalFormatting>
  <conditionalFormatting sqref="B3:Z25">
    <cfRule type="notContainsBlanks" dxfId="35" priority="4">
      <formula>LEN(TRIM(B3))&gt;0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Drop Down 3">
              <controlPr defaultSize="0" autoLine="0" autoPict="0">
                <anchor moveWithCells="1">
                  <from>
                    <xdr:col>9</xdr:col>
                    <xdr:colOff>0</xdr:colOff>
                    <xdr:row>0</xdr:row>
                    <xdr:rowOff>0</xdr:rowOff>
                  </from>
                  <to>
                    <xdr:col>12</xdr:col>
                    <xdr:colOff>247650</xdr:colOff>
                    <xdr:row>0</xdr:row>
                    <xdr:rowOff>180975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theme="6" tint="0.79998168889431442"/>
  </sheetPr>
  <dimension ref="A1:M161"/>
  <sheetViews>
    <sheetView showGridLines="0" showRowColHeaders="0" topLeftCell="A13" workbookViewId="0">
      <selection activeCell="J15" sqref="J15"/>
    </sheetView>
  </sheetViews>
  <sheetFormatPr defaultRowHeight="15" x14ac:dyDescent="0.25"/>
  <cols>
    <col min="1" max="3" width="9.140625" style="127"/>
    <col min="4" max="4" width="9.140625" style="161"/>
    <col min="5" max="5" width="12.7109375" style="127" customWidth="1"/>
    <col min="6" max="6" width="9.140625" style="161"/>
    <col min="7" max="8" width="12.7109375" style="127" customWidth="1"/>
    <col min="9" max="9" width="9.140625" style="127"/>
    <col min="10" max="10" width="9.140625" style="161"/>
    <col min="11" max="11" width="9.140625" style="178"/>
    <col min="12" max="12" width="9.140625" style="161"/>
    <col min="13" max="16384" width="9.140625" style="127"/>
  </cols>
  <sheetData>
    <row r="1" spans="1:6" x14ac:dyDescent="0.25">
      <c r="D1" s="127"/>
      <c r="F1" s="127"/>
    </row>
    <row r="2" spans="1:6" x14ac:dyDescent="0.25">
      <c r="A2" s="161"/>
      <c r="B2" s="161"/>
      <c r="C2" s="187"/>
      <c r="D2" s="127"/>
      <c r="F2" s="127"/>
    </row>
    <row r="3" spans="1:6" x14ac:dyDescent="0.25">
      <c r="A3" s="161"/>
      <c r="B3" s="161"/>
      <c r="C3" s="187"/>
      <c r="D3" s="127"/>
      <c r="F3" s="127"/>
    </row>
    <row r="4" spans="1:6" x14ac:dyDescent="0.25">
      <c r="A4" s="161"/>
      <c r="B4" s="161"/>
      <c r="C4" s="187"/>
      <c r="D4" s="127"/>
      <c r="F4" s="127"/>
    </row>
    <row r="5" spans="1:6" x14ac:dyDescent="0.25">
      <c r="A5" s="161"/>
      <c r="B5" s="161"/>
      <c r="C5" s="187"/>
      <c r="D5" s="127"/>
      <c r="F5" s="127"/>
    </row>
    <row r="6" spans="1:6" x14ac:dyDescent="0.25">
      <c r="A6" s="161"/>
      <c r="B6" s="161"/>
      <c r="C6" s="187"/>
      <c r="D6" s="127"/>
      <c r="F6" s="127"/>
    </row>
    <row r="7" spans="1:6" x14ac:dyDescent="0.25">
      <c r="A7" s="161"/>
      <c r="B7" s="161"/>
      <c r="C7" s="187"/>
      <c r="D7" s="127"/>
      <c r="F7" s="127"/>
    </row>
    <row r="8" spans="1:6" x14ac:dyDescent="0.25">
      <c r="A8" s="161"/>
      <c r="B8" s="161"/>
      <c r="C8" s="187"/>
      <c r="D8" s="127"/>
      <c r="F8" s="127"/>
    </row>
    <row r="9" spans="1:6" x14ac:dyDescent="0.25">
      <c r="A9" s="161"/>
      <c r="B9" s="161"/>
      <c r="C9" s="187"/>
      <c r="D9" s="127"/>
      <c r="F9" s="127"/>
    </row>
    <row r="10" spans="1:6" x14ac:dyDescent="0.25">
      <c r="A10" s="161"/>
      <c r="B10" s="161"/>
      <c r="C10" s="187"/>
      <c r="D10" s="127"/>
      <c r="F10" s="127"/>
    </row>
    <row r="11" spans="1:6" x14ac:dyDescent="0.25">
      <c r="A11" s="161"/>
      <c r="B11" s="161"/>
      <c r="C11" s="187"/>
      <c r="D11" s="127"/>
      <c r="F11" s="127"/>
    </row>
    <row r="12" spans="1:6" x14ac:dyDescent="0.25">
      <c r="A12" s="161"/>
      <c r="B12" s="161"/>
      <c r="C12" s="187"/>
      <c r="D12" s="127"/>
      <c r="F12" s="127"/>
    </row>
    <row r="13" spans="1:6" x14ac:dyDescent="0.25">
      <c r="A13" s="161"/>
      <c r="B13" s="161"/>
      <c r="C13" s="187"/>
      <c r="D13" s="127"/>
      <c r="F13" s="127"/>
    </row>
    <row r="14" spans="1:6" x14ac:dyDescent="0.25">
      <c r="A14" s="161"/>
      <c r="B14" s="161"/>
      <c r="C14" s="187"/>
      <c r="D14" s="127"/>
      <c r="F14" s="127"/>
    </row>
    <row r="15" spans="1:6" x14ac:dyDescent="0.25">
      <c r="A15" s="161"/>
      <c r="B15" s="161"/>
      <c r="C15" s="187"/>
      <c r="D15" s="127"/>
      <c r="F15" s="127"/>
    </row>
    <row r="16" spans="1:6" ht="18.75" x14ac:dyDescent="0.3">
      <c r="C16" s="521" t="s">
        <v>162</v>
      </c>
      <c r="D16" s="521"/>
      <c r="E16" s="188">
        <v>8</v>
      </c>
      <c r="F16" s="422" t="s">
        <v>318</v>
      </c>
    </row>
    <row r="18" spans="2:13" x14ac:dyDescent="0.25">
      <c r="B18" s="189" t="str">
        <f t="array" ref="B18:M22">IF('View Bonjean'!$AV34='View Bonjean'!$AR34,IF('View Bonjean'!$AV35='View Bonjean'!$P$4,'View Bonjean'!$BA$4:$BL$8,IF('View Bonjean'!$AV35='View Bonjean'!$P$6,'View Bonjean'!$BA$10:$BL$14,IF('View Bonjean'!$AV35='View Bonjean'!$P$8,'View Bonjean'!$BA$17:$BL$21,IF('View Bonjean'!$AV35='View Bonjean'!$P$10,'View Bonjean'!$BA$24:$BL$28)))),IF('View Bonjean'!$AV34='View Bonjean'!$AS34,'View Bonjean'!$C32:$N36,IF('View Bonjean'!$AV34='View Bonjean'!$AT34,'View Bonjean'!$Q32:$AB36,IF('View Bonjean'!$AV34='View Bonjean'!$AU34,'View Bonjean'!$AD33:$AO37,1/0))))</f>
        <v>WL</v>
      </c>
      <c r="C18" s="189" t="str">
        <v>y</v>
      </c>
      <c r="D18" s="189" t="str">
        <v>SM1</v>
      </c>
      <c r="E18" s="189" t="str">
        <v>f(a)=y*SM1</v>
      </c>
      <c r="F18" s="189" t="str">
        <v>SM2</v>
      </c>
      <c r="G18" s="189" t="str">
        <v>f(m)=y*SM2</v>
      </c>
      <c r="H18" s="161" t="str">
        <v xml:space="preserve">    </v>
      </c>
      <c r="I18" s="178" t="str">
        <v xml:space="preserve">    </v>
      </c>
      <c r="J18" s="161" t="str">
        <v xml:space="preserve">    </v>
      </c>
      <c r="K18" s="178" t="str">
        <v xml:space="preserve">    </v>
      </c>
      <c r="L18" s="161" t="str">
        <v xml:space="preserve">    </v>
      </c>
      <c r="M18" s="127" t="str">
        <v xml:space="preserve">    </v>
      </c>
    </row>
    <row r="19" spans="2:13" x14ac:dyDescent="0.25">
      <c r="B19" s="127">
        <v>0</v>
      </c>
      <c r="C19" s="127">
        <v>5.9</v>
      </c>
      <c r="D19" s="161">
        <v>5</v>
      </c>
      <c r="E19" s="127">
        <v>29.5</v>
      </c>
      <c r="F19" s="161">
        <v>3</v>
      </c>
      <c r="G19" s="127">
        <v>17.700000000000003</v>
      </c>
      <c r="H19" s="161" t="str">
        <v>h=</v>
      </c>
      <c r="I19" s="178">
        <v>0.9</v>
      </c>
      <c r="J19" s="161" t="str">
        <v xml:space="preserve">    </v>
      </c>
      <c r="K19" s="178" t="str">
        <v xml:space="preserve">    </v>
      </c>
      <c r="L19" s="161" t="str">
        <v xml:space="preserve">    </v>
      </c>
      <c r="M19" s="127" t="str">
        <v xml:space="preserve">    </v>
      </c>
    </row>
    <row r="20" spans="2:13" x14ac:dyDescent="0.25">
      <c r="B20" s="127">
        <v>0.5</v>
      </c>
      <c r="C20" s="127">
        <v>10.16</v>
      </c>
      <c r="D20" s="161">
        <v>8</v>
      </c>
      <c r="E20" s="127">
        <v>81.28</v>
      </c>
      <c r="F20" s="161">
        <v>10</v>
      </c>
      <c r="G20" s="127">
        <v>101.6</v>
      </c>
      <c r="H20" s="161" t="str">
        <v xml:space="preserve">    </v>
      </c>
      <c r="I20" s="178" t="str">
        <v xml:space="preserve">    </v>
      </c>
      <c r="J20" s="161" t="str">
        <v xml:space="preserve">    </v>
      </c>
      <c r="K20" s="178" t="str">
        <v xml:space="preserve">    </v>
      </c>
      <c r="L20" s="161" t="str">
        <v>Total</v>
      </c>
      <c r="M20" s="127" t="str">
        <v xml:space="preserve">    </v>
      </c>
    </row>
    <row r="21" spans="2:13" x14ac:dyDescent="0.25">
      <c r="B21" s="127">
        <v>1</v>
      </c>
      <c r="C21" s="127">
        <v>11.35</v>
      </c>
      <c r="D21" s="161">
        <v>-1</v>
      </c>
      <c r="E21" s="127">
        <v>-11.35</v>
      </c>
      <c r="F21" s="161">
        <v>-1</v>
      </c>
      <c r="G21" s="127">
        <v>-11.35</v>
      </c>
      <c r="H21" s="161" t="str">
        <v xml:space="preserve">    </v>
      </c>
      <c r="I21" s="178" t="str">
        <v xml:space="preserve">    </v>
      </c>
      <c r="J21" s="161" t="str">
        <v xml:space="preserve">    </v>
      </c>
      <c r="K21" s="178" t="str">
        <v xml:space="preserve">    </v>
      </c>
      <c r="L21" s="161" t="str">
        <v>A(0.5)=</v>
      </c>
      <c r="M21" s="127">
        <v>14.9145</v>
      </c>
    </row>
    <row r="22" spans="2:13" x14ac:dyDescent="0.25">
      <c r="B22" s="127" t="str">
        <v xml:space="preserve">    </v>
      </c>
      <c r="C22" s="127" t="str">
        <v xml:space="preserve">    </v>
      </c>
      <c r="D22" s="161" t="str">
        <v>Σ=</v>
      </c>
      <c r="E22" s="127">
        <v>99.43</v>
      </c>
      <c r="F22" s="161" t="str">
        <v>Σ=</v>
      </c>
      <c r="G22" s="127">
        <v>107.95</v>
      </c>
      <c r="H22" s="161" t="str">
        <v xml:space="preserve">    </v>
      </c>
      <c r="I22" s="178" t="str">
        <v xml:space="preserve">    </v>
      </c>
      <c r="J22" s="161" t="str">
        <v xml:space="preserve">    </v>
      </c>
      <c r="K22" s="178" t="str">
        <v xml:space="preserve">    </v>
      </c>
      <c r="L22" s="161" t="str">
        <v>M(0.5)=</v>
      </c>
      <c r="M22" s="127">
        <v>7.2866250000000008</v>
      </c>
    </row>
    <row r="23" spans="2:13" x14ac:dyDescent="0.25">
      <c r="H23" s="161"/>
      <c r="I23" s="178"/>
    </row>
    <row r="24" spans="2:13" x14ac:dyDescent="0.25">
      <c r="B24" s="189" t="str">
        <f t="array" ref="B24:M28">IF('View Bonjean'!$AV40='View Bonjean'!$AR40,IF('View Bonjean'!$AV41='View Bonjean'!$P$4,'View Bonjean'!$BA$4:$BL$8,IF('View Bonjean'!$AV41='View Bonjean'!$P$6,'View Bonjean'!$BA$10:$BL$14,IF('View Bonjean'!$AV41='View Bonjean'!$P$8,'View Bonjean'!$BA$17:$BL$21,IF('View Bonjean'!$AV41='View Bonjean'!$P$10,'View Bonjean'!$BA$24:$BL$28)))),IF('View Bonjean'!$AV40='View Bonjean'!$AS40,'View Bonjean'!$C38:$N42,IF('View Bonjean'!$AV40='View Bonjean'!$AT40,'View Bonjean'!$Q38:$AB42,IF('View Bonjean'!$AV40='View Bonjean'!$AU40,'View Bonjean'!$AD39:$AO43,1/0))))</f>
        <v>WL</v>
      </c>
      <c r="C24" s="189" t="str">
        <v>y</v>
      </c>
      <c r="D24" s="189" t="str">
        <v>SM1</v>
      </c>
      <c r="E24" s="189" t="str">
        <v>f(a)=y*SM1</v>
      </c>
      <c r="F24" s="189" t="str">
        <v>Lever</v>
      </c>
      <c r="G24" s="189" t="str">
        <v>f(a)*lever</v>
      </c>
      <c r="H24" s="161" t="str">
        <v xml:space="preserve">    </v>
      </c>
      <c r="I24" s="178" t="str">
        <v xml:space="preserve">    </v>
      </c>
      <c r="J24" s="161" t="str">
        <v xml:space="preserve">    </v>
      </c>
      <c r="K24" s="178" t="str">
        <v xml:space="preserve">    </v>
      </c>
      <c r="L24" s="161" t="str">
        <v xml:space="preserve">    </v>
      </c>
      <c r="M24" s="127" t="str">
        <v xml:space="preserve">    </v>
      </c>
    </row>
    <row r="25" spans="2:13" x14ac:dyDescent="0.25">
      <c r="B25" s="127">
        <v>0</v>
      </c>
      <c r="C25" s="127">
        <v>5.9</v>
      </c>
      <c r="D25" s="161">
        <v>1</v>
      </c>
      <c r="E25" s="127">
        <v>5.9</v>
      </c>
      <c r="F25" s="161">
        <v>0</v>
      </c>
      <c r="G25" s="127">
        <v>0</v>
      </c>
      <c r="H25" s="161" t="str">
        <v>h=</v>
      </c>
      <c r="I25" s="178">
        <v>0.9</v>
      </c>
      <c r="J25" s="161" t="str">
        <v xml:space="preserve">    </v>
      </c>
      <c r="K25" s="178" t="str">
        <v xml:space="preserve">    </v>
      </c>
      <c r="L25" s="161" t="str">
        <v xml:space="preserve">    </v>
      </c>
      <c r="M25" s="127" t="str">
        <v xml:space="preserve">    </v>
      </c>
    </row>
    <row r="26" spans="2:13" x14ac:dyDescent="0.25">
      <c r="B26" s="127">
        <v>0.5</v>
      </c>
      <c r="C26" s="127">
        <v>10.16</v>
      </c>
      <c r="D26" s="161">
        <v>4</v>
      </c>
      <c r="E26" s="127">
        <v>40.64</v>
      </c>
      <c r="F26" s="161">
        <v>0.5</v>
      </c>
      <c r="G26" s="127">
        <v>20.32</v>
      </c>
      <c r="H26" s="161" t="str">
        <v xml:space="preserve">    </v>
      </c>
      <c r="I26" s="178" t="str">
        <v xml:space="preserve">    </v>
      </c>
      <c r="J26" s="161" t="str">
        <v xml:space="preserve">    </v>
      </c>
      <c r="K26" s="178" t="str">
        <v xml:space="preserve">    </v>
      </c>
      <c r="L26" s="161" t="str">
        <v>Total</v>
      </c>
      <c r="M26" s="127" t="str">
        <v xml:space="preserve">    </v>
      </c>
    </row>
    <row r="27" spans="2:13" x14ac:dyDescent="0.25">
      <c r="B27" s="127">
        <v>1</v>
      </c>
      <c r="C27" s="127">
        <v>11.35</v>
      </c>
      <c r="D27" s="161">
        <v>1</v>
      </c>
      <c r="E27" s="127">
        <v>11.35</v>
      </c>
      <c r="F27" s="161">
        <v>1</v>
      </c>
      <c r="G27" s="127">
        <v>11.35</v>
      </c>
      <c r="H27" s="161" t="str">
        <v xml:space="preserve">    </v>
      </c>
      <c r="I27" s="178" t="str">
        <v xml:space="preserve">    </v>
      </c>
      <c r="J27" s="161" t="str">
        <v xml:space="preserve">    </v>
      </c>
      <c r="K27" s="178" t="str">
        <v xml:space="preserve">    </v>
      </c>
      <c r="L27" s="161" t="str">
        <v>A(1)=</v>
      </c>
      <c r="M27" s="127">
        <v>34.734000000000002</v>
      </c>
    </row>
    <row r="28" spans="2:13" x14ac:dyDescent="0.25">
      <c r="B28" s="127" t="str">
        <v xml:space="preserve">    </v>
      </c>
      <c r="C28" s="127" t="str">
        <v xml:space="preserve">    </v>
      </c>
      <c r="D28" s="161" t="str">
        <v>Σ=</v>
      </c>
      <c r="E28" s="127">
        <v>57.89</v>
      </c>
      <c r="F28" s="161" t="str">
        <v>Σ=</v>
      </c>
      <c r="G28" s="127">
        <v>31.67</v>
      </c>
      <c r="H28" s="161" t="str">
        <v xml:space="preserve">    </v>
      </c>
      <c r="I28" s="178" t="str">
        <v xml:space="preserve">    </v>
      </c>
      <c r="J28" s="161" t="str">
        <v xml:space="preserve">    </v>
      </c>
      <c r="K28" s="178" t="str">
        <v xml:space="preserve">    </v>
      </c>
      <c r="L28" s="161" t="str">
        <v>M(1)=</v>
      </c>
      <c r="M28" s="127">
        <v>34.203600000000002</v>
      </c>
    </row>
    <row r="29" spans="2:13" x14ac:dyDescent="0.25">
      <c r="H29" s="161"/>
      <c r="I29" s="178"/>
    </row>
    <row r="30" spans="2:13" x14ac:dyDescent="0.25">
      <c r="B30" s="189" t="str">
        <f t="array" ref="B30:M34">IF('View Bonjean'!$AV46='View Bonjean'!$AR46,IF('View Bonjean'!$AV47='View Bonjean'!$P$4,'View Bonjean'!$BA$4:$BL$8,IF('View Bonjean'!$AV47='View Bonjean'!$P$6,'View Bonjean'!$BA$10:$BL$14,IF('View Bonjean'!$AV47='View Bonjean'!$P$8,'View Bonjean'!$BA$17:$BL$21,IF('View Bonjean'!$AV47='View Bonjean'!$P$10,'View Bonjean'!$BA$24:$BL$28)))),IF('View Bonjean'!$AV46='View Bonjean'!$AS46,'View Bonjean'!$C44:$N48,IF('View Bonjean'!$AV46='View Bonjean'!$AT46,'View Bonjean'!$Q44:$AB48,IF('View Bonjean'!$AV46='View Bonjean'!$AU46,'View Bonjean'!$AD45:$AO49,1/0))))</f>
        <v>WL</v>
      </c>
      <c r="C30" s="189" t="str">
        <v>y</v>
      </c>
      <c r="D30" s="189" t="str">
        <v>SM1</v>
      </c>
      <c r="E30" s="189" t="str">
        <v>f(a)=y*SM1</v>
      </c>
      <c r="F30" s="189" t="str">
        <v>Lever</v>
      </c>
      <c r="G30" s="189" t="str">
        <v>f(a)*lever</v>
      </c>
      <c r="H30" s="161" t="str">
        <v xml:space="preserve">    </v>
      </c>
      <c r="I30" s="178" t="str">
        <v xml:space="preserve">    </v>
      </c>
      <c r="J30" s="161" t="str">
        <v xml:space="preserve">    </v>
      </c>
      <c r="K30" s="178" t="str">
        <v xml:space="preserve">    </v>
      </c>
      <c r="L30" s="161" t="str">
        <v xml:space="preserve">    </v>
      </c>
      <c r="M30" s="127" t="str">
        <v xml:space="preserve">    </v>
      </c>
    </row>
    <row r="31" spans="2:13" x14ac:dyDescent="0.25">
      <c r="B31" s="127">
        <v>0.5</v>
      </c>
      <c r="C31" s="127">
        <v>10.16</v>
      </c>
      <c r="D31" s="161">
        <v>1</v>
      </c>
      <c r="E31" s="127">
        <v>10.16</v>
      </c>
      <c r="F31" s="161">
        <v>0.5</v>
      </c>
      <c r="G31" s="127">
        <v>5.08</v>
      </c>
      <c r="H31" s="161" t="str">
        <v>h=</v>
      </c>
      <c r="I31" s="178">
        <v>0.9</v>
      </c>
      <c r="J31" s="161" t="str">
        <v xml:space="preserve">    </v>
      </c>
      <c r="K31" s="178" t="str">
        <v xml:space="preserve">    </v>
      </c>
      <c r="L31" s="161" t="str">
        <v xml:space="preserve">    </v>
      </c>
      <c r="M31" s="127" t="str">
        <v xml:space="preserve">    </v>
      </c>
    </row>
    <row r="32" spans="2:13" x14ac:dyDescent="0.25">
      <c r="B32" s="127">
        <v>1</v>
      </c>
      <c r="C32" s="127">
        <v>11.35</v>
      </c>
      <c r="D32" s="161">
        <v>4</v>
      </c>
      <c r="E32" s="127">
        <v>45.4</v>
      </c>
      <c r="F32" s="161">
        <v>1</v>
      </c>
      <c r="G32" s="127">
        <v>45.4</v>
      </c>
      <c r="H32" s="161" t="str">
        <v>Current</v>
      </c>
      <c r="I32" s="178" t="str">
        <v xml:space="preserve">    </v>
      </c>
      <c r="J32" s="161" t="str">
        <v>Previous</v>
      </c>
      <c r="K32" s="178" t="str">
        <v xml:space="preserve">    </v>
      </c>
      <c r="L32" s="161" t="str">
        <v>Total</v>
      </c>
      <c r="M32" s="127" t="str">
        <v xml:space="preserve">    </v>
      </c>
    </row>
    <row r="33" spans="2:13" x14ac:dyDescent="0.25">
      <c r="B33" s="127">
        <v>1.5</v>
      </c>
      <c r="C33" s="127">
        <v>11.9</v>
      </c>
      <c r="D33" s="161">
        <v>1</v>
      </c>
      <c r="E33" s="127">
        <v>11.9</v>
      </c>
      <c r="F33" s="161">
        <v>1.5</v>
      </c>
      <c r="G33" s="127">
        <v>17.850000000000001</v>
      </c>
      <c r="H33" s="161" t="str">
        <v>a'(0.5~1.5)=</v>
      </c>
      <c r="I33" s="178">
        <v>40.476000000000006</v>
      </c>
      <c r="J33" s="161" t="str">
        <v>A(0.5)=</v>
      </c>
      <c r="K33" s="178">
        <v>14.9145</v>
      </c>
      <c r="L33" s="161" t="str">
        <v>A(1.5)=</v>
      </c>
      <c r="M33" s="127">
        <v>55.390500000000003</v>
      </c>
    </row>
    <row r="34" spans="2:13" x14ac:dyDescent="0.25">
      <c r="B34" s="127" t="e">
        <v>#DIV/0!</v>
      </c>
      <c r="C34" s="127" t="e">
        <v>#DIV/0!</v>
      </c>
      <c r="D34" s="161" t="str">
        <v>Σ=</v>
      </c>
      <c r="E34" s="127">
        <v>67.460000000000008</v>
      </c>
      <c r="F34" s="161" t="str">
        <v>Σ=</v>
      </c>
      <c r="G34" s="127">
        <v>68.33</v>
      </c>
      <c r="H34" s="161" t="str">
        <v>m'(0.5~1.5)=</v>
      </c>
      <c r="I34" s="178">
        <v>73.796400000000006</v>
      </c>
      <c r="J34" s="161" t="str">
        <v>M(0.5)=</v>
      </c>
      <c r="K34" s="178">
        <v>7.2866250000000008</v>
      </c>
      <c r="L34" s="161" t="str">
        <v>M(1.5)=</v>
      </c>
      <c r="M34" s="127">
        <v>81.083025000000006</v>
      </c>
    </row>
    <row r="35" spans="2:13" x14ac:dyDescent="0.25">
      <c r="H35" s="161"/>
      <c r="I35" s="178"/>
    </row>
    <row r="36" spans="2:13" x14ac:dyDescent="0.25">
      <c r="B36" s="189" t="str">
        <f t="array" ref="B36:M40">IF('View Bonjean'!$AV52='View Bonjean'!$AR52,IF('View Bonjean'!$AV53='View Bonjean'!$P$4,'View Bonjean'!$BA$4:$BL$8,IF('View Bonjean'!$AV53='View Bonjean'!$P$6,'View Bonjean'!$BA$10:$BL$14,IF('View Bonjean'!$AV53='View Bonjean'!$P$8,'View Bonjean'!$BA$17:$BL$21,IF('View Bonjean'!$AV53='View Bonjean'!$P$10,'View Bonjean'!$BA$24:$BL$28)))),IF('View Bonjean'!$AV52='View Bonjean'!$AS52,'View Bonjean'!$C50:$N54,IF('View Bonjean'!$AV52='View Bonjean'!$AT52,'View Bonjean'!$Q50:$AB54,IF('View Bonjean'!$AV52='View Bonjean'!$AU52,'View Bonjean'!$AD51:$AO55,1/0))))</f>
        <v>WL</v>
      </c>
      <c r="C36" s="189" t="str">
        <v>y</v>
      </c>
      <c r="D36" s="189" t="str">
        <v>SM1</v>
      </c>
      <c r="E36" s="189" t="str">
        <v>f(a)=y*SM1</v>
      </c>
      <c r="F36" s="189" t="str">
        <v>Lever</v>
      </c>
      <c r="G36" s="189" t="str">
        <v>f(a)*lever</v>
      </c>
      <c r="H36" s="161" t="str">
        <v xml:space="preserve">    </v>
      </c>
      <c r="I36" s="178" t="str">
        <v xml:space="preserve">    </v>
      </c>
      <c r="J36" s="161" t="str">
        <v xml:space="preserve">    </v>
      </c>
      <c r="K36" s="178" t="str">
        <v xml:space="preserve">    </v>
      </c>
      <c r="L36" s="161" t="str">
        <v xml:space="preserve">    </v>
      </c>
      <c r="M36" s="127" t="str">
        <v xml:space="preserve">    </v>
      </c>
    </row>
    <row r="37" spans="2:13" x14ac:dyDescent="0.25">
      <c r="B37" s="127">
        <v>1</v>
      </c>
      <c r="C37" s="127">
        <v>11.35</v>
      </c>
      <c r="D37" s="161">
        <v>1</v>
      </c>
      <c r="E37" s="127">
        <v>11.35</v>
      </c>
      <c r="F37" s="161">
        <v>1</v>
      </c>
      <c r="G37" s="127">
        <v>11.35</v>
      </c>
      <c r="H37" s="161" t="str">
        <v>h=</v>
      </c>
      <c r="I37" s="178">
        <v>0.9</v>
      </c>
      <c r="J37" s="161" t="str">
        <v xml:space="preserve">    </v>
      </c>
      <c r="K37" s="178" t="str">
        <v xml:space="preserve">    </v>
      </c>
      <c r="L37" s="161" t="str">
        <v xml:space="preserve">    </v>
      </c>
      <c r="M37" s="127" t="str">
        <v xml:space="preserve">    </v>
      </c>
    </row>
    <row r="38" spans="2:13" x14ac:dyDescent="0.25">
      <c r="B38" s="127">
        <v>1.5</v>
      </c>
      <c r="C38" s="127">
        <v>11.9</v>
      </c>
      <c r="D38" s="161">
        <v>4</v>
      </c>
      <c r="E38" s="127">
        <v>47.6</v>
      </c>
      <c r="F38" s="161">
        <v>1.5</v>
      </c>
      <c r="G38" s="127">
        <v>71.400000000000006</v>
      </c>
      <c r="H38" s="161" t="str">
        <v>Current</v>
      </c>
      <c r="I38" s="178" t="str">
        <v xml:space="preserve">    </v>
      </c>
      <c r="J38" s="161" t="str">
        <v>Previous</v>
      </c>
      <c r="K38" s="178" t="str">
        <v xml:space="preserve">    </v>
      </c>
      <c r="L38" s="161" t="str">
        <v>Total</v>
      </c>
      <c r="M38" s="127" t="str">
        <v xml:space="preserve">    </v>
      </c>
    </row>
    <row r="39" spans="2:13" x14ac:dyDescent="0.25">
      <c r="B39" s="127">
        <v>2</v>
      </c>
      <c r="C39" s="127">
        <v>12.18</v>
      </c>
      <c r="D39" s="161">
        <v>1</v>
      </c>
      <c r="E39" s="127">
        <v>12.18</v>
      </c>
      <c r="F39" s="161">
        <v>2</v>
      </c>
      <c r="G39" s="127">
        <v>24.36</v>
      </c>
      <c r="H39" s="161" t="str">
        <v>a'(1~2)=</v>
      </c>
      <c r="I39" s="178">
        <v>42.677999999999997</v>
      </c>
      <c r="J39" s="161" t="str">
        <v>A(1)=</v>
      </c>
      <c r="K39" s="178">
        <v>34.734000000000002</v>
      </c>
      <c r="L39" s="161" t="str">
        <v>A(2)=</v>
      </c>
      <c r="M39" s="127">
        <v>77.412000000000006</v>
      </c>
    </row>
    <row r="40" spans="2:13" x14ac:dyDescent="0.25">
      <c r="B40" s="127" t="e">
        <v>#DIV/0!</v>
      </c>
      <c r="C40" s="127" t="e">
        <v>#DIV/0!</v>
      </c>
      <c r="D40" s="161" t="str">
        <v>Σ=</v>
      </c>
      <c r="E40" s="127">
        <v>71.13</v>
      </c>
      <c r="F40" s="161" t="str">
        <v>Σ=</v>
      </c>
      <c r="G40" s="127">
        <v>107.11</v>
      </c>
      <c r="H40" s="161" t="str">
        <v>m'(1~2)=</v>
      </c>
      <c r="I40" s="178">
        <v>115.67880000000001</v>
      </c>
      <c r="J40" s="161" t="str">
        <v>M(1)=</v>
      </c>
      <c r="K40" s="178">
        <v>34.203600000000002</v>
      </c>
      <c r="L40" s="161" t="str">
        <v>M(2)=</v>
      </c>
      <c r="M40" s="127">
        <v>149.88240000000002</v>
      </c>
    </row>
    <row r="41" spans="2:13" x14ac:dyDescent="0.25">
      <c r="H41" s="161"/>
      <c r="I41" s="178"/>
    </row>
    <row r="42" spans="2:13" x14ac:dyDescent="0.25">
      <c r="B42" s="189" t="str">
        <f t="array" ref="B42:M46">IF('View Bonjean'!$AV58='View Bonjean'!$AR58,IF('View Bonjean'!$AV59='View Bonjean'!$P$4,'View Bonjean'!$BA$4:$BL$8,IF('View Bonjean'!$AV59='View Bonjean'!$P$6,'View Bonjean'!$BA$10:$BL$14,IF('View Bonjean'!$AV59='View Bonjean'!$P$8,'View Bonjean'!$BA$17:$BL$21,IF('View Bonjean'!$AV59='View Bonjean'!$P$10,'View Bonjean'!$BA$24:$BL$28)))),IF('View Bonjean'!$AV58='View Bonjean'!$AS58,'View Bonjean'!$C56:$N60,IF('View Bonjean'!$AV58='View Bonjean'!$AT58,'View Bonjean'!$Q56:$AB60,IF('View Bonjean'!$AV58='View Bonjean'!$AU58,'View Bonjean'!$AD57:$AO61,1/0))))</f>
        <v>WL</v>
      </c>
      <c r="C42" s="189" t="str">
        <v>y</v>
      </c>
      <c r="D42" s="189" t="str">
        <v>SM1</v>
      </c>
      <c r="E42" s="189" t="str">
        <v>f(a)=y*SM1</v>
      </c>
      <c r="F42" s="189" t="str">
        <v>Lever</v>
      </c>
      <c r="G42" s="189" t="str">
        <v>f(a)*lever</v>
      </c>
      <c r="H42" s="161" t="str">
        <v xml:space="preserve">    </v>
      </c>
      <c r="I42" s="178" t="str">
        <v xml:space="preserve">    </v>
      </c>
      <c r="J42" s="161" t="str">
        <v xml:space="preserve">    </v>
      </c>
      <c r="K42" s="178" t="str">
        <v xml:space="preserve">    </v>
      </c>
      <c r="L42" s="161" t="str">
        <v xml:space="preserve">    </v>
      </c>
      <c r="M42" s="127" t="str">
        <v xml:space="preserve">    </v>
      </c>
    </row>
    <row r="43" spans="2:13" x14ac:dyDescent="0.25">
      <c r="B43" s="127">
        <v>1</v>
      </c>
      <c r="C43" s="127">
        <v>11.35</v>
      </c>
      <c r="D43" s="161">
        <v>1</v>
      </c>
      <c r="E43" s="127">
        <v>11.35</v>
      </c>
      <c r="F43" s="161">
        <v>1</v>
      </c>
      <c r="G43" s="127">
        <v>11.35</v>
      </c>
      <c r="H43" s="161" t="str">
        <v>h=</v>
      </c>
      <c r="I43" s="178">
        <v>1.8</v>
      </c>
      <c r="J43" s="161" t="str">
        <v xml:space="preserve">    </v>
      </c>
      <c r="K43" s="178" t="str">
        <v xml:space="preserve">    </v>
      </c>
      <c r="L43" s="161" t="str">
        <v xml:space="preserve">    </v>
      </c>
      <c r="M43" s="127" t="str">
        <v xml:space="preserve">    </v>
      </c>
    </row>
    <row r="44" spans="2:13" x14ac:dyDescent="0.25">
      <c r="B44" s="127">
        <v>2</v>
      </c>
      <c r="C44" s="127">
        <v>12.18</v>
      </c>
      <c r="D44" s="161">
        <v>4</v>
      </c>
      <c r="E44" s="127">
        <v>48.72</v>
      </c>
      <c r="F44" s="161">
        <v>2</v>
      </c>
      <c r="G44" s="127">
        <v>97.44</v>
      </c>
      <c r="H44" s="161" t="str">
        <v>Current</v>
      </c>
      <c r="I44" s="178" t="str">
        <v xml:space="preserve">    </v>
      </c>
      <c r="J44" s="161" t="str">
        <v>Previous</v>
      </c>
      <c r="K44" s="178" t="str">
        <v xml:space="preserve">    </v>
      </c>
      <c r="L44" s="161" t="str">
        <v>Total</v>
      </c>
      <c r="M44" s="127" t="str">
        <v xml:space="preserve">    </v>
      </c>
    </row>
    <row r="45" spans="2:13" x14ac:dyDescent="0.25">
      <c r="B45" s="127">
        <v>3</v>
      </c>
      <c r="C45" s="127">
        <v>12.25</v>
      </c>
      <c r="D45" s="161">
        <v>1</v>
      </c>
      <c r="E45" s="127">
        <v>12.25</v>
      </c>
      <c r="F45" s="161">
        <v>3</v>
      </c>
      <c r="G45" s="127">
        <v>36.75</v>
      </c>
      <c r="H45" s="161" t="str">
        <v>a'(1~3)=</v>
      </c>
      <c r="I45" s="178">
        <v>86.783999999999992</v>
      </c>
      <c r="J45" s="161" t="str">
        <v>A(1)=</v>
      </c>
      <c r="K45" s="178">
        <v>34.734000000000002</v>
      </c>
      <c r="L45" s="161" t="str">
        <v>A(3)=</v>
      </c>
      <c r="M45" s="127">
        <v>121.518</v>
      </c>
    </row>
    <row r="46" spans="2:13" x14ac:dyDescent="0.25">
      <c r="B46" s="127" t="str">
        <v xml:space="preserve">    </v>
      </c>
      <c r="C46" s="127" t="str">
        <v xml:space="preserve">    </v>
      </c>
      <c r="D46" s="161" t="str">
        <v>Σ=</v>
      </c>
      <c r="E46" s="127">
        <v>72.319999999999993</v>
      </c>
      <c r="F46" s="161" t="str">
        <v>Σ=</v>
      </c>
      <c r="G46" s="127">
        <v>145.54</v>
      </c>
      <c r="H46" s="161" t="str">
        <v>m'(1~3)=</v>
      </c>
      <c r="I46" s="178">
        <v>314.3664</v>
      </c>
      <c r="J46" s="161" t="str">
        <v>M(1)=</v>
      </c>
      <c r="K46" s="178">
        <v>34.203600000000002</v>
      </c>
      <c r="L46" s="161" t="str">
        <v>M(3)=</v>
      </c>
      <c r="M46" s="127">
        <v>348.57</v>
      </c>
    </row>
    <row r="47" spans="2:13" x14ac:dyDescent="0.25">
      <c r="H47" s="161"/>
      <c r="I47" s="178"/>
    </row>
    <row r="48" spans="2:13" x14ac:dyDescent="0.25">
      <c r="B48" s="189" t="str">
        <f t="array" ref="B48:M52">IF('View Bonjean'!$AV64='View Bonjean'!$AR64,IF('View Bonjean'!$AV65='View Bonjean'!$P$4,'View Bonjean'!$BA$4:$BL$8,IF('View Bonjean'!$AV65='View Bonjean'!$P$6,'View Bonjean'!$BA$10:$BL$14,IF('View Bonjean'!$AV65='View Bonjean'!$P$8,'View Bonjean'!$BA$17:$BL$21,IF('View Bonjean'!$AV65='View Bonjean'!$P$10,'View Bonjean'!$BA$24:$BL$28)))),IF('View Bonjean'!$AV64='View Bonjean'!$AS64,'View Bonjean'!$C62:$N66,IF('View Bonjean'!$AV64='View Bonjean'!$AT64,'View Bonjean'!$Q62:$AB66,IF('View Bonjean'!$AV64='View Bonjean'!$AU64,'View Bonjean'!$AD63:$AO67,1/0))))</f>
        <v>WL</v>
      </c>
      <c r="C48" s="189" t="str">
        <v>y</v>
      </c>
      <c r="D48" s="189" t="str">
        <v>SM1</v>
      </c>
      <c r="E48" s="189" t="str">
        <v>f(a)=y*SM1</v>
      </c>
      <c r="F48" s="189" t="str">
        <v>Lever</v>
      </c>
      <c r="G48" s="189" t="str">
        <v>f(a)*lever</v>
      </c>
      <c r="H48" s="161" t="str">
        <v xml:space="preserve">    </v>
      </c>
      <c r="I48" s="178" t="str">
        <v xml:space="preserve">    </v>
      </c>
      <c r="J48" s="161" t="str">
        <v xml:space="preserve">    </v>
      </c>
      <c r="K48" s="178" t="str">
        <v xml:space="preserve">    </v>
      </c>
      <c r="L48" s="161" t="str">
        <v xml:space="preserve">    </v>
      </c>
      <c r="M48" s="127" t="str">
        <v xml:space="preserve">    </v>
      </c>
    </row>
    <row r="49" spans="2:13" x14ac:dyDescent="0.25">
      <c r="B49" s="127">
        <v>2</v>
      </c>
      <c r="C49" s="127">
        <v>12.18</v>
      </c>
      <c r="D49" s="161">
        <v>1</v>
      </c>
      <c r="E49" s="127">
        <v>12.18</v>
      </c>
      <c r="F49" s="161">
        <v>2</v>
      </c>
      <c r="G49" s="127">
        <v>24.36</v>
      </c>
      <c r="H49" s="161" t="str">
        <v>h=</v>
      </c>
      <c r="I49" s="178">
        <v>1.8</v>
      </c>
      <c r="J49" s="161" t="str">
        <v xml:space="preserve">    </v>
      </c>
      <c r="K49" s="178" t="str">
        <v xml:space="preserve">    </v>
      </c>
      <c r="L49" s="161" t="str">
        <v xml:space="preserve">    </v>
      </c>
      <c r="M49" s="127" t="str">
        <v xml:space="preserve">    </v>
      </c>
    </row>
    <row r="50" spans="2:13" x14ac:dyDescent="0.25">
      <c r="B50" s="127">
        <v>3</v>
      </c>
      <c r="C50" s="127">
        <v>12.25</v>
      </c>
      <c r="D50" s="161">
        <v>4</v>
      </c>
      <c r="E50" s="127">
        <v>49</v>
      </c>
      <c r="F50" s="161">
        <v>3</v>
      </c>
      <c r="G50" s="127">
        <v>147</v>
      </c>
      <c r="H50" s="161" t="str">
        <v>Current</v>
      </c>
      <c r="I50" s="178" t="str">
        <v xml:space="preserve">    </v>
      </c>
      <c r="J50" s="161" t="str">
        <v>Previous</v>
      </c>
      <c r="K50" s="178" t="str">
        <v xml:space="preserve">    </v>
      </c>
      <c r="L50" s="161" t="str">
        <v>Total</v>
      </c>
      <c r="M50" s="127" t="str">
        <v xml:space="preserve">    </v>
      </c>
    </row>
    <row r="51" spans="2:13" x14ac:dyDescent="0.25">
      <c r="B51" s="127">
        <v>4</v>
      </c>
      <c r="C51" s="127">
        <v>12.25</v>
      </c>
      <c r="D51" s="161">
        <v>1</v>
      </c>
      <c r="E51" s="127">
        <v>12.25</v>
      </c>
      <c r="F51" s="161">
        <v>4</v>
      </c>
      <c r="G51" s="127">
        <v>49</v>
      </c>
      <c r="H51" s="161" t="str">
        <v>a'(2~4)=</v>
      </c>
      <c r="I51" s="178">
        <v>88.116</v>
      </c>
      <c r="J51" s="161" t="str">
        <v>A(2)=</v>
      </c>
      <c r="K51" s="178">
        <v>77.412000000000006</v>
      </c>
      <c r="L51" s="161" t="str">
        <v>A(4)=</v>
      </c>
      <c r="M51" s="127">
        <v>165.52800000000002</v>
      </c>
    </row>
    <row r="52" spans="2:13" x14ac:dyDescent="0.25">
      <c r="B52" s="127" t="str">
        <v xml:space="preserve">    </v>
      </c>
      <c r="C52" s="127" t="str">
        <v xml:space="preserve">    </v>
      </c>
      <c r="D52" s="161" t="str">
        <v>Σ=</v>
      </c>
      <c r="E52" s="127">
        <v>73.430000000000007</v>
      </c>
      <c r="F52" s="161" t="str">
        <v>Σ=</v>
      </c>
      <c r="G52" s="127">
        <v>220.36</v>
      </c>
      <c r="H52" s="161" t="str">
        <v>m'(2~4)=</v>
      </c>
      <c r="I52" s="178">
        <v>475.97760000000005</v>
      </c>
      <c r="J52" s="161" t="str">
        <v>M(2)=</v>
      </c>
      <c r="K52" s="178">
        <v>149.88240000000002</v>
      </c>
      <c r="L52" s="161" t="str">
        <v>M(4)=</v>
      </c>
      <c r="M52" s="127">
        <v>625.86000000000013</v>
      </c>
    </row>
    <row r="53" spans="2:13" x14ac:dyDescent="0.25">
      <c r="H53" s="161"/>
      <c r="I53" s="178"/>
    </row>
    <row r="54" spans="2:13" x14ac:dyDescent="0.25">
      <c r="B54" s="189" t="str">
        <f t="array" ref="B54:M58">IF('View Bonjean'!$AV70='View Bonjean'!$AR70,IF('View Bonjean'!$AV71='View Bonjean'!$P$4,'View Bonjean'!$BA$4:$BL$8,IF('View Bonjean'!$AV71='View Bonjean'!$P$6,'View Bonjean'!$BA$10:$BL$14,IF('View Bonjean'!$AV71='View Bonjean'!$P$8,'View Bonjean'!$BA$17:$BL$21,IF('View Bonjean'!$AV71='View Bonjean'!$P$10,'View Bonjean'!$BA$24:$BL$28)))),IF('View Bonjean'!$AV70='View Bonjean'!$AS70,'View Bonjean'!$C68:$N72,IF('View Bonjean'!$AV70='View Bonjean'!$AT70,'View Bonjean'!$Q68:$AB72,IF('View Bonjean'!$AV70='View Bonjean'!$AU70,'View Bonjean'!$AD69:$AO73,1/0))))</f>
        <v>WL</v>
      </c>
      <c r="C54" s="189" t="str">
        <v>y</v>
      </c>
      <c r="D54" s="189" t="str">
        <v>SM1</v>
      </c>
      <c r="E54" s="189" t="str">
        <v>f(a)=y*SM1</v>
      </c>
      <c r="F54" s="189" t="str">
        <v>Lever</v>
      </c>
      <c r="G54" s="189" t="str">
        <v>f(a)*lever</v>
      </c>
      <c r="H54" s="161" t="str">
        <v xml:space="preserve">    </v>
      </c>
      <c r="I54" s="178" t="str">
        <v xml:space="preserve">    </v>
      </c>
      <c r="J54" s="161" t="str">
        <v xml:space="preserve">    </v>
      </c>
      <c r="K54" s="178" t="str">
        <v xml:space="preserve">    </v>
      </c>
      <c r="L54" s="161" t="str">
        <v xml:space="preserve">    </v>
      </c>
      <c r="M54" s="127" t="str">
        <v xml:space="preserve">    </v>
      </c>
    </row>
    <row r="55" spans="2:13" x14ac:dyDescent="0.25">
      <c r="B55" s="127">
        <v>3</v>
      </c>
      <c r="C55" s="127">
        <v>12.25</v>
      </c>
      <c r="D55" s="161">
        <v>1</v>
      </c>
      <c r="E55" s="127">
        <v>12.25</v>
      </c>
      <c r="F55" s="161">
        <v>3</v>
      </c>
      <c r="G55" s="127">
        <v>36.75</v>
      </c>
      <c r="H55" s="161" t="str">
        <v>h=</v>
      </c>
      <c r="I55" s="178">
        <v>1.8</v>
      </c>
      <c r="J55" s="161" t="str">
        <v xml:space="preserve">    </v>
      </c>
      <c r="K55" s="178" t="str">
        <v xml:space="preserve">    </v>
      </c>
      <c r="L55" s="161" t="str">
        <v xml:space="preserve">    </v>
      </c>
      <c r="M55" s="127" t="str">
        <v xml:space="preserve">    </v>
      </c>
    </row>
    <row r="56" spans="2:13" x14ac:dyDescent="0.25">
      <c r="B56" s="127">
        <v>4</v>
      </c>
      <c r="C56" s="127">
        <v>12.25</v>
      </c>
      <c r="D56" s="161">
        <v>4</v>
      </c>
      <c r="E56" s="127">
        <v>49</v>
      </c>
      <c r="F56" s="161">
        <v>4</v>
      </c>
      <c r="G56" s="127">
        <v>196</v>
      </c>
      <c r="H56" s="161" t="str">
        <v>Current</v>
      </c>
      <c r="I56" s="178" t="str">
        <v xml:space="preserve">    </v>
      </c>
      <c r="J56" s="161" t="str">
        <v>Previous</v>
      </c>
      <c r="K56" s="178" t="str">
        <v xml:space="preserve">    </v>
      </c>
      <c r="L56" s="161" t="str">
        <v>Total</v>
      </c>
      <c r="M56" s="127" t="str">
        <v xml:space="preserve">    </v>
      </c>
    </row>
    <row r="57" spans="2:13" x14ac:dyDescent="0.25">
      <c r="B57" s="127">
        <v>5</v>
      </c>
      <c r="C57" s="127">
        <v>12.25</v>
      </c>
      <c r="D57" s="161">
        <v>1</v>
      </c>
      <c r="E57" s="127">
        <v>12.25</v>
      </c>
      <c r="F57" s="161">
        <v>5</v>
      </c>
      <c r="G57" s="127">
        <v>61.25</v>
      </c>
      <c r="H57" s="161" t="str">
        <v>a'(3~5)=</v>
      </c>
      <c r="I57" s="178">
        <v>88.2</v>
      </c>
      <c r="J57" s="161" t="str">
        <v>A(3)=</v>
      </c>
      <c r="K57" s="178">
        <v>121.518</v>
      </c>
      <c r="L57" s="161" t="str">
        <v>A(5)=</v>
      </c>
      <c r="M57" s="127">
        <v>209.71800000000002</v>
      </c>
    </row>
    <row r="58" spans="2:13" x14ac:dyDescent="0.25">
      <c r="B58" s="127" t="str">
        <v xml:space="preserve">    </v>
      </c>
      <c r="C58" s="127" t="str">
        <v xml:space="preserve">    </v>
      </c>
      <c r="D58" s="161" t="str">
        <v>Σ=</v>
      </c>
      <c r="E58" s="127">
        <v>73.5</v>
      </c>
      <c r="F58" s="161" t="str">
        <v>Σ=</v>
      </c>
      <c r="G58" s="127">
        <v>294</v>
      </c>
      <c r="H58" s="161" t="str">
        <v>m'(3~5)=</v>
      </c>
      <c r="I58" s="178">
        <v>635.04000000000008</v>
      </c>
      <c r="J58" s="161" t="str">
        <v>M(3)=</v>
      </c>
      <c r="K58" s="178">
        <v>348.57</v>
      </c>
      <c r="L58" s="161" t="str">
        <v>M(5)=</v>
      </c>
      <c r="M58" s="127">
        <v>983.61000000000013</v>
      </c>
    </row>
    <row r="59" spans="2:13" x14ac:dyDescent="0.25">
      <c r="H59" s="161"/>
      <c r="I59" s="178"/>
    </row>
    <row r="60" spans="2:13" x14ac:dyDescent="0.25">
      <c r="B60" s="189" t="str">
        <f t="array" ref="B60:M64">IF('View Bonjean'!$AV76='View Bonjean'!$AR76,IF('View Bonjean'!$AV77='View Bonjean'!$P$4,'View Bonjean'!$BA$4:$BL$8,IF('View Bonjean'!$AV77='View Bonjean'!$P$6,'View Bonjean'!$BA$10:$BL$14,IF('View Bonjean'!$AV77='View Bonjean'!$P$8,'View Bonjean'!$BA$17:$BL$21,IF('View Bonjean'!$AV77='View Bonjean'!$P$10,'View Bonjean'!$BA$24:$BL$28)))),IF('View Bonjean'!$AV76='View Bonjean'!$AS76,'View Bonjean'!$C74:$N78,IF('View Bonjean'!$AV76='View Bonjean'!$AT76,'View Bonjean'!$Q74:$AB78,IF('View Bonjean'!$AV76='View Bonjean'!$AU76,'View Bonjean'!$AD75:$AO79,1/0))))</f>
        <v>WL</v>
      </c>
      <c r="C60" s="189" t="str">
        <v>y</v>
      </c>
      <c r="D60" s="189" t="str">
        <v>TM1</v>
      </c>
      <c r="E60" s="189" t="str">
        <v>f(a)=y*TM1</v>
      </c>
      <c r="F60" s="189" t="str">
        <v>TM2</v>
      </c>
      <c r="G60" s="189" t="str">
        <v>f(m)=y*TM2</v>
      </c>
      <c r="H60" s="161" t="str">
        <v>h=</v>
      </c>
      <c r="I60" s="178">
        <v>1.0999999999999994</v>
      </c>
      <c r="J60" s="161" t="str">
        <v xml:space="preserve">    </v>
      </c>
      <c r="K60" s="178" t="str">
        <v xml:space="preserve">    </v>
      </c>
      <c r="L60" s="161" t="str">
        <v xml:space="preserve">    </v>
      </c>
      <c r="M60" s="127" t="str">
        <v xml:space="preserve">    </v>
      </c>
    </row>
    <row r="61" spans="2:13" x14ac:dyDescent="0.25">
      <c r="B61" s="127">
        <v>5</v>
      </c>
      <c r="C61" s="127">
        <v>12.25</v>
      </c>
      <c r="D61" s="161">
        <v>1</v>
      </c>
      <c r="E61" s="127">
        <v>12.25</v>
      </c>
      <c r="F61" s="161">
        <v>1</v>
      </c>
      <c r="G61" s="127">
        <v>12.25</v>
      </c>
      <c r="H61" s="161" t="str">
        <v>Current</v>
      </c>
      <c r="I61" s="178" t="str">
        <v xml:space="preserve">    </v>
      </c>
      <c r="J61" s="161" t="str">
        <v>Previous</v>
      </c>
      <c r="K61" s="178" t="str">
        <v xml:space="preserve">    </v>
      </c>
      <c r="L61" s="161" t="str">
        <v>Total</v>
      </c>
      <c r="M61" s="127" t="str">
        <v xml:space="preserve">    </v>
      </c>
    </row>
    <row r="62" spans="2:13" x14ac:dyDescent="0.25">
      <c r="B62" s="127">
        <v>5.6111111111111107</v>
      </c>
      <c r="C62" s="127">
        <v>12.25</v>
      </c>
      <c r="D62" s="161">
        <v>1</v>
      </c>
      <c r="E62" s="127">
        <v>12.25</v>
      </c>
      <c r="F62" s="161">
        <v>2</v>
      </c>
      <c r="G62" s="127">
        <v>24.5</v>
      </c>
      <c r="H62" s="161" t="str">
        <v>a'(5.61111111111111)=</v>
      </c>
      <c r="I62" s="178">
        <v>26.949999999999985</v>
      </c>
      <c r="J62" s="161" t="str">
        <v>A(5)=</v>
      </c>
      <c r="K62" s="178">
        <v>209.71800000000002</v>
      </c>
      <c r="L62" s="161" t="str">
        <v>A(5.61111111111111)=</v>
      </c>
      <c r="M62" s="127">
        <v>236.66800000000001</v>
      </c>
    </row>
    <row r="63" spans="2:13" x14ac:dyDescent="0.25">
      <c r="B63" s="127" t="str">
        <v xml:space="preserve">    </v>
      </c>
      <c r="C63" s="127" t="str">
        <v xml:space="preserve">    </v>
      </c>
      <c r="D63" s="161" t="str">
        <v>Σ=</v>
      </c>
      <c r="E63" s="127">
        <v>24.5</v>
      </c>
      <c r="F63" s="161" t="str">
        <v>Σ=</v>
      </c>
      <c r="G63" s="127">
        <v>36.75</v>
      </c>
      <c r="H63" s="161" t="str">
        <v>m'(5.61111111111111)=</v>
      </c>
      <c r="I63" s="178">
        <v>257.37249999999983</v>
      </c>
      <c r="J63" s="161" t="str">
        <v>M(5)=</v>
      </c>
      <c r="K63" s="178">
        <v>983.61000000000013</v>
      </c>
      <c r="L63" s="161" t="str">
        <v>M(5.61111111111111)=</v>
      </c>
      <c r="M63" s="127">
        <v>1240.9825000000001</v>
      </c>
    </row>
    <row r="64" spans="2:13" x14ac:dyDescent="0.25">
      <c r="B64" s="127" t="str">
        <v xml:space="preserve">    </v>
      </c>
      <c r="C64" s="127" t="str">
        <v xml:space="preserve">    </v>
      </c>
      <c r="D64" s="161" t="str">
        <v xml:space="preserve">    </v>
      </c>
      <c r="E64" s="127" t="str">
        <v xml:space="preserve">    </v>
      </c>
      <c r="F64" s="161" t="str">
        <v xml:space="preserve">    </v>
      </c>
      <c r="G64" s="127" t="str">
        <v xml:space="preserve">    </v>
      </c>
      <c r="H64" s="161" t="str">
        <v xml:space="preserve">    </v>
      </c>
      <c r="I64" s="178" t="str">
        <v xml:space="preserve">    </v>
      </c>
      <c r="J64" s="161" t="str">
        <v xml:space="preserve">    </v>
      </c>
      <c r="K64" s="178" t="str">
        <v xml:space="preserve">    </v>
      </c>
      <c r="L64" s="161" t="str">
        <v xml:space="preserve">    </v>
      </c>
      <c r="M64" s="127" t="str">
        <v xml:space="preserve">    </v>
      </c>
    </row>
    <row r="65" spans="2:13" x14ac:dyDescent="0.25">
      <c r="H65" s="161"/>
      <c r="I65" s="178"/>
    </row>
    <row r="66" spans="2:13" x14ac:dyDescent="0.25">
      <c r="B66" s="189" t="str">
        <f t="array" ref="B66:M70">IF('View Bonjean'!$AV82='View Bonjean'!$AR82,IF('View Bonjean'!$AV83='View Bonjean'!$P$4,'View Bonjean'!$BA$4:$BL$8,IF('View Bonjean'!$AV83='View Bonjean'!$P$6,'View Bonjean'!$BA$10:$BL$14,IF('View Bonjean'!$AV83='View Bonjean'!$P$8,'View Bonjean'!$BA$17:$BL$21,IF('View Bonjean'!$AV83='View Bonjean'!$P$10,'View Bonjean'!$BA$24:$BL$28)))),IF('View Bonjean'!$AV82='View Bonjean'!$AS82,'View Bonjean'!$C80:$N84,IF('View Bonjean'!$AV82='View Bonjean'!$AT82,'View Bonjean'!$Q80:$AB84,IF('View Bonjean'!$AV82='View Bonjean'!$AU82,'View Bonjean'!$AD81:$AO85,1/0))))</f>
        <v>WL</v>
      </c>
      <c r="C66" s="189" t="str">
        <v>y</v>
      </c>
      <c r="D66" s="189" t="str">
        <v>SM1</v>
      </c>
      <c r="E66" s="189" t="str">
        <v>f(a)=y*SM1</v>
      </c>
      <c r="F66" s="189" t="str">
        <v>Lever</v>
      </c>
      <c r="G66" s="189" t="str">
        <v>f(a)*lever</v>
      </c>
      <c r="H66" s="161" t="str">
        <v xml:space="preserve">    </v>
      </c>
      <c r="I66" s="178" t="str">
        <v xml:space="preserve">    </v>
      </c>
      <c r="J66" s="161" t="str">
        <v xml:space="preserve">    </v>
      </c>
      <c r="K66" s="178" t="str">
        <v xml:space="preserve">    </v>
      </c>
      <c r="L66" s="161" t="str">
        <v xml:space="preserve">    </v>
      </c>
      <c r="M66" s="127" t="str">
        <v xml:space="preserve">    </v>
      </c>
    </row>
    <row r="67" spans="2:13" x14ac:dyDescent="0.25">
      <c r="B67" s="127">
        <v>4</v>
      </c>
      <c r="C67" s="127">
        <v>12.25</v>
      </c>
      <c r="D67" s="161">
        <v>1</v>
      </c>
      <c r="E67" s="127">
        <v>12.25</v>
      </c>
      <c r="F67" s="161">
        <v>4</v>
      </c>
      <c r="G67" s="127">
        <v>49</v>
      </c>
      <c r="H67" s="161" t="str">
        <v>h=</v>
      </c>
      <c r="I67" s="178">
        <v>1.8</v>
      </c>
      <c r="J67" s="161" t="str">
        <v xml:space="preserve">    </v>
      </c>
      <c r="K67" s="178" t="str">
        <v xml:space="preserve">    </v>
      </c>
      <c r="L67" s="161" t="str">
        <v xml:space="preserve">    </v>
      </c>
      <c r="M67" s="127" t="str">
        <v xml:space="preserve">    </v>
      </c>
    </row>
    <row r="68" spans="2:13" x14ac:dyDescent="0.25">
      <c r="B68" s="127">
        <v>5</v>
      </c>
      <c r="C68" s="127">
        <v>12.25</v>
      </c>
      <c r="D68" s="161">
        <v>4</v>
      </c>
      <c r="E68" s="127">
        <v>49</v>
      </c>
      <c r="F68" s="161">
        <v>5</v>
      </c>
      <c r="G68" s="127">
        <v>245</v>
      </c>
      <c r="H68" s="161" t="str">
        <v>Current</v>
      </c>
      <c r="I68" s="178" t="str">
        <v xml:space="preserve">    </v>
      </c>
      <c r="J68" s="161" t="str">
        <v>Previous</v>
      </c>
      <c r="K68" s="178" t="str">
        <v xml:space="preserve">    </v>
      </c>
      <c r="L68" s="161" t="str">
        <v>Total</v>
      </c>
      <c r="M68" s="127" t="str">
        <v xml:space="preserve">    </v>
      </c>
    </row>
    <row r="69" spans="2:13" x14ac:dyDescent="0.25">
      <c r="B69" s="127">
        <v>6</v>
      </c>
      <c r="C69" s="127">
        <v>12.25</v>
      </c>
      <c r="D69" s="161">
        <v>1</v>
      </c>
      <c r="E69" s="127">
        <v>12.25</v>
      </c>
      <c r="F69" s="161">
        <v>6</v>
      </c>
      <c r="G69" s="127">
        <v>73.5</v>
      </c>
      <c r="H69" s="161" t="str">
        <v>a'(4~6)=</v>
      </c>
      <c r="I69" s="178">
        <v>88.2</v>
      </c>
      <c r="J69" s="161" t="str">
        <v>A(4)=</v>
      </c>
      <c r="K69" s="178">
        <v>165.52800000000002</v>
      </c>
      <c r="L69" s="161" t="str">
        <v>A(6)=</v>
      </c>
      <c r="M69" s="127">
        <v>253.72800000000001</v>
      </c>
    </row>
    <row r="70" spans="2:13" x14ac:dyDescent="0.25">
      <c r="B70" s="127" t="str">
        <v xml:space="preserve">    </v>
      </c>
      <c r="C70" s="127" t="str">
        <v xml:space="preserve">    </v>
      </c>
      <c r="D70" s="161" t="str">
        <v>Σ=</v>
      </c>
      <c r="E70" s="127">
        <v>73.5</v>
      </c>
      <c r="F70" s="161" t="str">
        <v>Σ=</v>
      </c>
      <c r="G70" s="127">
        <v>367.5</v>
      </c>
      <c r="H70" s="161" t="str">
        <v>m'(4~6)=</v>
      </c>
      <c r="I70" s="178">
        <v>793.80000000000007</v>
      </c>
      <c r="J70" s="161" t="str">
        <v>M(4)=</v>
      </c>
      <c r="K70" s="178">
        <v>625.86000000000013</v>
      </c>
      <c r="L70" s="161" t="str">
        <v>M(6)=</v>
      </c>
      <c r="M70" s="127">
        <v>1419.6600000000003</v>
      </c>
    </row>
    <row r="71" spans="2:13" x14ac:dyDescent="0.25">
      <c r="H71" s="161"/>
      <c r="I71" s="178"/>
    </row>
    <row r="72" spans="2:13" x14ac:dyDescent="0.25">
      <c r="B72" s="189" t="str">
        <f t="array" ref="B72:M76">IF('View Bonjean'!$AV88='View Bonjean'!$AR88,IF('View Bonjean'!$AV89='View Bonjean'!$P$4,'View Bonjean'!$BA$4:$BL$8,IF('View Bonjean'!$AV89='View Bonjean'!$P$6,'View Bonjean'!$BA$10:$BL$14,IF('View Bonjean'!$AV89='View Bonjean'!$P$8,'View Bonjean'!$BA$17:$BL$21,IF('View Bonjean'!$AV89='View Bonjean'!$P$10,'View Bonjean'!$BA$24:$BL$28)))),IF('View Bonjean'!$AV88='View Bonjean'!$AS88,'View Bonjean'!$C86:$N90,IF('View Bonjean'!$AV88='View Bonjean'!$AT88,'View Bonjean'!$Q86:$AB90,IF('View Bonjean'!$AV88='View Bonjean'!$AU88,'View Bonjean'!$AD87:$AO91,1/0))))</f>
        <v>WL</v>
      </c>
      <c r="C72" s="189" t="str">
        <v>y</v>
      </c>
      <c r="D72" s="189" t="str">
        <v>SM1</v>
      </c>
      <c r="E72" s="189" t="str">
        <v>f(a)=y*SM1</v>
      </c>
      <c r="F72" s="189" t="str">
        <v>Lever</v>
      </c>
      <c r="G72" s="189" t="str">
        <v>f(a)*lever</v>
      </c>
      <c r="H72" s="161" t="str">
        <v xml:space="preserve">    </v>
      </c>
      <c r="I72" s="178" t="str">
        <v xml:space="preserve">    </v>
      </c>
      <c r="J72" s="161" t="str">
        <v xml:space="preserve">    </v>
      </c>
      <c r="K72" s="178" t="str">
        <v xml:space="preserve">    </v>
      </c>
      <c r="L72" s="161" t="str">
        <v xml:space="preserve">    </v>
      </c>
      <c r="M72" s="127" t="str">
        <v xml:space="preserve">    </v>
      </c>
    </row>
    <row r="73" spans="2:13" x14ac:dyDescent="0.25">
      <c r="B73" s="127">
        <v>5</v>
      </c>
      <c r="C73" s="127">
        <v>12.25</v>
      </c>
      <c r="D73" s="161">
        <v>1</v>
      </c>
      <c r="E73" s="127">
        <v>12.25</v>
      </c>
      <c r="F73" s="161">
        <v>5</v>
      </c>
      <c r="G73" s="127">
        <v>61.25</v>
      </c>
      <c r="H73" s="161" t="str">
        <v>h=</v>
      </c>
      <c r="I73" s="178">
        <v>1.8</v>
      </c>
      <c r="J73" s="161" t="str">
        <v xml:space="preserve">    </v>
      </c>
      <c r="K73" s="178" t="str">
        <v xml:space="preserve">    </v>
      </c>
      <c r="L73" s="161" t="str">
        <v xml:space="preserve">    </v>
      </c>
      <c r="M73" s="127" t="str">
        <v xml:space="preserve">    </v>
      </c>
    </row>
    <row r="74" spans="2:13" x14ac:dyDescent="0.25">
      <c r="B74" s="127">
        <v>6</v>
      </c>
      <c r="C74" s="127">
        <v>12.25</v>
      </c>
      <c r="D74" s="161">
        <v>4</v>
      </c>
      <c r="E74" s="127">
        <v>49</v>
      </c>
      <c r="F74" s="161">
        <v>6</v>
      </c>
      <c r="G74" s="127">
        <v>294</v>
      </c>
      <c r="H74" s="161" t="str">
        <v>Current</v>
      </c>
      <c r="I74" s="178" t="str">
        <v xml:space="preserve">    </v>
      </c>
      <c r="J74" s="161" t="str">
        <v>Previous</v>
      </c>
      <c r="K74" s="178" t="str">
        <v xml:space="preserve">    </v>
      </c>
      <c r="L74" s="161" t="str">
        <v>Total</v>
      </c>
      <c r="M74" s="127" t="str">
        <v xml:space="preserve">    </v>
      </c>
    </row>
    <row r="75" spans="2:13" x14ac:dyDescent="0.25">
      <c r="B75" s="127">
        <v>7</v>
      </c>
      <c r="C75" s="127">
        <v>12.25</v>
      </c>
      <c r="D75" s="161">
        <v>1</v>
      </c>
      <c r="E75" s="127">
        <v>12.25</v>
      </c>
      <c r="F75" s="161">
        <v>7</v>
      </c>
      <c r="G75" s="127">
        <v>85.75</v>
      </c>
      <c r="H75" s="161" t="str">
        <v>a'(5~7)=</v>
      </c>
      <c r="I75" s="178">
        <v>88.2</v>
      </c>
      <c r="J75" s="161" t="str">
        <v>A(5)=</v>
      </c>
      <c r="K75" s="178">
        <v>209.71800000000002</v>
      </c>
      <c r="L75" s="161" t="str">
        <v>A(7)=</v>
      </c>
      <c r="M75" s="127">
        <v>297.91800000000001</v>
      </c>
    </row>
    <row r="76" spans="2:13" x14ac:dyDescent="0.25">
      <c r="B76" s="127" t="str">
        <v xml:space="preserve">    </v>
      </c>
      <c r="C76" s="127" t="str">
        <v xml:space="preserve">    </v>
      </c>
      <c r="D76" s="161" t="str">
        <v>Σ=</v>
      </c>
      <c r="E76" s="127">
        <v>73.5</v>
      </c>
      <c r="F76" s="161" t="str">
        <v>Σ=</v>
      </c>
      <c r="G76" s="127">
        <v>441</v>
      </c>
      <c r="H76" s="161" t="str">
        <v>m'(5~7)=</v>
      </c>
      <c r="I76" s="178">
        <v>952.56000000000006</v>
      </c>
      <c r="J76" s="161" t="str">
        <v>M(5)=</v>
      </c>
      <c r="K76" s="178">
        <v>983.61000000000013</v>
      </c>
      <c r="L76" s="161" t="str">
        <v>M(7)=</v>
      </c>
      <c r="M76" s="127">
        <v>1936.17</v>
      </c>
    </row>
    <row r="77" spans="2:13" x14ac:dyDescent="0.25">
      <c r="H77" s="161"/>
      <c r="I77" s="178"/>
    </row>
    <row r="78" spans="2:13" x14ac:dyDescent="0.25">
      <c r="B78" s="189" t="str">
        <f t="array" ref="B78:M82">IF('View Bonjean'!$AV94='View Bonjean'!$AR94,IF('View Bonjean'!$AV95='View Bonjean'!$P$4,'View Bonjean'!$BA$4:$BL$8,IF('View Bonjean'!$AV95='View Bonjean'!$P$6,'View Bonjean'!$BA$10:$BL$14,IF('View Bonjean'!$AV95='View Bonjean'!$P$8,'View Bonjean'!$BA$17:$BL$21,IF('View Bonjean'!$AV95='View Bonjean'!$P$10,'View Bonjean'!$BA$24:$BL$28)))),IF('View Bonjean'!$AV94='View Bonjean'!$AS94,'View Bonjean'!$C92:$N96,IF('View Bonjean'!$AV94='View Bonjean'!$AT94,'View Bonjean'!$Q92:$AB96,IF('View Bonjean'!$AV94='View Bonjean'!$AU94,'View Bonjean'!$AD93:$AO97,1/0))))</f>
        <v>WL</v>
      </c>
      <c r="C78" s="189" t="str">
        <v>y</v>
      </c>
      <c r="D78" s="189" t="str">
        <v>TM1</v>
      </c>
      <c r="E78" s="189" t="str">
        <v>f(a)=y*TM1</v>
      </c>
      <c r="F78" s="189" t="str">
        <v>TM2</v>
      </c>
      <c r="G78" s="189" t="str">
        <v>f(m)=y*TM2</v>
      </c>
      <c r="H78" s="161" t="str">
        <v>h=</v>
      </c>
      <c r="I78" s="178">
        <v>1.5899999999999992</v>
      </c>
      <c r="J78" s="161" t="str">
        <v xml:space="preserve">    </v>
      </c>
      <c r="K78" s="178" t="str">
        <v xml:space="preserve">    </v>
      </c>
      <c r="L78" s="161" t="str">
        <v xml:space="preserve">    </v>
      </c>
      <c r="M78" s="127" t="str">
        <v xml:space="preserve">    </v>
      </c>
    </row>
    <row r="79" spans="2:13" x14ac:dyDescent="0.25">
      <c r="B79" s="127">
        <v>7</v>
      </c>
      <c r="C79" s="127">
        <v>12.25</v>
      </c>
      <c r="D79" s="161">
        <v>1</v>
      </c>
      <c r="E79" s="127">
        <v>12.25</v>
      </c>
      <c r="F79" s="161">
        <v>1</v>
      </c>
      <c r="G79" s="127">
        <v>12.25</v>
      </c>
      <c r="H79" s="161" t="str">
        <v>Current</v>
      </c>
      <c r="I79" s="178" t="str">
        <v xml:space="preserve">    </v>
      </c>
      <c r="J79" s="161" t="str">
        <v>Previous</v>
      </c>
      <c r="K79" s="178" t="str">
        <v xml:space="preserve">    </v>
      </c>
      <c r="L79" s="161" t="str">
        <v>Total</v>
      </c>
      <c r="M79" s="127" t="str">
        <v xml:space="preserve">    </v>
      </c>
    </row>
    <row r="80" spans="2:13" x14ac:dyDescent="0.25">
      <c r="B80" s="127">
        <v>7.8833333333333329</v>
      </c>
      <c r="C80" s="127">
        <v>12.25</v>
      </c>
      <c r="D80" s="161">
        <v>1</v>
      </c>
      <c r="E80" s="127">
        <v>12.25</v>
      </c>
      <c r="F80" s="161">
        <v>2</v>
      </c>
      <c r="G80" s="127">
        <v>24.5</v>
      </c>
      <c r="H80" s="161" t="str">
        <v>a'(7.88333333333333)=</v>
      </c>
      <c r="I80" s="178">
        <v>38.954999999999977</v>
      </c>
      <c r="J80" s="161" t="str">
        <v>A(7)=</v>
      </c>
      <c r="K80" s="178">
        <v>297.91800000000001</v>
      </c>
      <c r="L80" s="161" t="str">
        <v>A(7.88333333333333)=</v>
      </c>
      <c r="M80" s="127">
        <v>336.87299999999999</v>
      </c>
    </row>
    <row r="81" spans="2:13" x14ac:dyDescent="0.25">
      <c r="B81" s="127" t="str">
        <v xml:space="preserve">    </v>
      </c>
      <c r="C81" s="127" t="str">
        <v xml:space="preserve">    </v>
      </c>
      <c r="D81" s="161" t="str">
        <v>Σ=</v>
      </c>
      <c r="E81" s="127">
        <v>24.5</v>
      </c>
      <c r="F81" s="161" t="str">
        <v>Σ=</v>
      </c>
      <c r="G81" s="127">
        <v>36.75</v>
      </c>
      <c r="H81" s="161" t="str">
        <v>m'(7.88333333333333)=</v>
      </c>
      <c r="I81" s="178">
        <v>521.80222499999968</v>
      </c>
      <c r="J81" s="161" t="str">
        <v>M(7)=</v>
      </c>
      <c r="K81" s="178">
        <v>1936.17</v>
      </c>
      <c r="L81" s="161" t="str">
        <v>M(7.88333333333333)=</v>
      </c>
      <c r="M81" s="127">
        <v>2457.9722249999995</v>
      </c>
    </row>
    <row r="82" spans="2:13" x14ac:dyDescent="0.25">
      <c r="B82" s="127" t="str">
        <v xml:space="preserve">    </v>
      </c>
      <c r="C82" s="127" t="str">
        <v xml:space="preserve">    </v>
      </c>
      <c r="D82" s="161" t="str">
        <v xml:space="preserve">    </v>
      </c>
      <c r="E82" s="127" t="str">
        <v xml:space="preserve">    </v>
      </c>
      <c r="F82" s="161" t="str">
        <v xml:space="preserve">    </v>
      </c>
      <c r="G82" s="127" t="str">
        <v xml:space="preserve">    </v>
      </c>
      <c r="H82" s="161" t="str">
        <v xml:space="preserve">    </v>
      </c>
      <c r="I82" s="178" t="str">
        <v xml:space="preserve">    </v>
      </c>
      <c r="J82" s="161" t="str">
        <v xml:space="preserve">    </v>
      </c>
      <c r="K82" s="178" t="str">
        <v xml:space="preserve">    </v>
      </c>
      <c r="L82" s="161" t="str">
        <v xml:space="preserve">    </v>
      </c>
      <c r="M82" s="127" t="str">
        <v xml:space="preserve">    </v>
      </c>
    </row>
    <row r="83" spans="2:13" x14ac:dyDescent="0.25">
      <c r="H83" s="161"/>
      <c r="I83" s="178"/>
    </row>
    <row r="84" spans="2:13" x14ac:dyDescent="0.25">
      <c r="B84" s="189" t="e">
        <f t="array" ref="B84:M88">IF('View Bonjean'!$AV100='View Bonjean'!$AR100,IF('View Bonjean'!$AV101='View Bonjean'!$P$4,'View Bonjean'!$BA$4:$BL$8,IF('View Bonjean'!$AV101='View Bonjean'!$P$6,'View Bonjean'!$BA$10:$BL$14,IF('View Bonjean'!$AV101='View Bonjean'!$P$8,'View Bonjean'!$BA$17:$BL$21,IF('View Bonjean'!$AV101='View Bonjean'!$P$10,'View Bonjean'!$BA$24:$BL$28)))),IF('View Bonjean'!$AV100='View Bonjean'!$AS100,'View Bonjean'!$C98:$N102,IF('View Bonjean'!$AV100='View Bonjean'!$AT100,'View Bonjean'!$Q98:$AB102,IF('View Bonjean'!$AV100='View Bonjean'!$AU100,'View Bonjean'!$AD99:$AO103,1/0))))</f>
        <v>#VALUE!</v>
      </c>
      <c r="C84" s="189" t="e">
        <v>#VALUE!</v>
      </c>
      <c r="D84" s="189" t="e">
        <v>#VALUE!</v>
      </c>
      <c r="E84" s="189" t="e">
        <v>#VALUE!</v>
      </c>
      <c r="F84" s="189" t="e">
        <v>#VALUE!</v>
      </c>
      <c r="G84" s="189" t="e">
        <v>#VALUE!</v>
      </c>
      <c r="H84" s="161" t="e">
        <v>#VALUE!</v>
      </c>
      <c r="I84" s="178" t="e">
        <v>#VALUE!</v>
      </c>
      <c r="J84" s="161" t="e">
        <v>#VALUE!</v>
      </c>
      <c r="K84" s="178" t="e">
        <v>#VALUE!</v>
      </c>
      <c r="L84" s="161" t="e">
        <v>#VALUE!</v>
      </c>
      <c r="M84" s="127" t="e">
        <v>#VALUE!</v>
      </c>
    </row>
    <row r="85" spans="2:13" x14ac:dyDescent="0.25">
      <c r="B85" s="127" t="e">
        <v>#VALUE!</v>
      </c>
      <c r="C85" s="127" t="e">
        <v>#VALUE!</v>
      </c>
      <c r="D85" s="161" t="e">
        <v>#VALUE!</v>
      </c>
      <c r="E85" s="127" t="e">
        <v>#VALUE!</v>
      </c>
      <c r="F85" s="161" t="e">
        <v>#VALUE!</v>
      </c>
      <c r="G85" s="127" t="e">
        <v>#VALUE!</v>
      </c>
      <c r="H85" s="161" t="e">
        <v>#VALUE!</v>
      </c>
      <c r="I85" s="178" t="e">
        <v>#VALUE!</v>
      </c>
      <c r="J85" s="161" t="e">
        <v>#VALUE!</v>
      </c>
      <c r="K85" s="178" t="e">
        <v>#VALUE!</v>
      </c>
      <c r="L85" s="161" t="e">
        <v>#VALUE!</v>
      </c>
      <c r="M85" s="127" t="e">
        <v>#VALUE!</v>
      </c>
    </row>
    <row r="86" spans="2:13" x14ac:dyDescent="0.25">
      <c r="B86" s="127" t="e">
        <v>#VALUE!</v>
      </c>
      <c r="C86" s="127" t="e">
        <v>#VALUE!</v>
      </c>
      <c r="D86" s="161" t="e">
        <v>#VALUE!</v>
      </c>
      <c r="E86" s="127" t="e">
        <v>#VALUE!</v>
      </c>
      <c r="F86" s="161" t="e">
        <v>#VALUE!</v>
      </c>
      <c r="G86" s="127" t="e">
        <v>#VALUE!</v>
      </c>
      <c r="H86" s="161" t="e">
        <v>#VALUE!</v>
      </c>
      <c r="I86" s="178" t="e">
        <v>#VALUE!</v>
      </c>
      <c r="J86" s="161" t="e">
        <v>#VALUE!</v>
      </c>
      <c r="K86" s="178" t="e">
        <v>#VALUE!</v>
      </c>
      <c r="L86" s="161" t="e">
        <v>#VALUE!</v>
      </c>
      <c r="M86" s="127" t="e">
        <v>#VALUE!</v>
      </c>
    </row>
    <row r="87" spans="2:13" x14ac:dyDescent="0.25">
      <c r="B87" s="127" t="e">
        <v>#VALUE!</v>
      </c>
      <c r="C87" s="127" t="e">
        <v>#VALUE!</v>
      </c>
      <c r="D87" s="161" t="e">
        <v>#VALUE!</v>
      </c>
      <c r="E87" s="127" t="e">
        <v>#VALUE!</v>
      </c>
      <c r="F87" s="161" t="e">
        <v>#VALUE!</v>
      </c>
      <c r="G87" s="127" t="e">
        <v>#VALUE!</v>
      </c>
      <c r="H87" s="161" t="e">
        <v>#VALUE!</v>
      </c>
      <c r="I87" s="178" t="e">
        <v>#VALUE!</v>
      </c>
      <c r="J87" s="161" t="e">
        <v>#VALUE!</v>
      </c>
      <c r="K87" s="178" t="e">
        <v>#VALUE!</v>
      </c>
      <c r="L87" s="161" t="e">
        <v>#VALUE!</v>
      </c>
      <c r="M87" s="127" t="e">
        <v>#VALUE!</v>
      </c>
    </row>
    <row r="88" spans="2:13" x14ac:dyDescent="0.25">
      <c r="B88" s="127" t="e">
        <v>#VALUE!</v>
      </c>
      <c r="C88" s="127" t="e">
        <v>#VALUE!</v>
      </c>
      <c r="D88" s="161" t="e">
        <v>#VALUE!</v>
      </c>
      <c r="E88" s="127" t="e">
        <v>#VALUE!</v>
      </c>
      <c r="F88" s="161" t="e">
        <v>#VALUE!</v>
      </c>
      <c r="G88" s="127" t="e">
        <v>#VALUE!</v>
      </c>
      <c r="H88" s="161" t="e">
        <v>#VALUE!</v>
      </c>
      <c r="I88" s="178" t="e">
        <v>#VALUE!</v>
      </c>
      <c r="J88" s="161" t="e">
        <v>#VALUE!</v>
      </c>
      <c r="K88" s="178" t="e">
        <v>#VALUE!</v>
      </c>
      <c r="L88" s="161" t="e">
        <v>#VALUE!</v>
      </c>
      <c r="M88" s="127" t="e">
        <v>#VALUE!</v>
      </c>
    </row>
    <row r="89" spans="2:13" x14ac:dyDescent="0.25">
      <c r="H89" s="161"/>
      <c r="I89" s="178"/>
    </row>
    <row r="90" spans="2:13" x14ac:dyDescent="0.25">
      <c r="B90" s="189" t="e">
        <f t="array" ref="B90:M94">IF('View Bonjean'!$AV106='View Bonjean'!$AR106,IF('View Bonjean'!$AV107='View Bonjean'!$P$4,'View Bonjean'!$BA$4:$BL$8,IF('View Bonjean'!$AV107='View Bonjean'!$P$6,'View Bonjean'!$BA$10:$BL$14,IF('View Bonjean'!$AV107='View Bonjean'!$P$8,'View Bonjean'!$BA$17:$BL$21,IF('View Bonjean'!$AV107='View Bonjean'!$P$10,'View Bonjean'!$BA$24:$BL$28)))),IF('View Bonjean'!$AV106='View Bonjean'!$AS106,'View Bonjean'!$C104:$N108,IF('View Bonjean'!$AV106='View Bonjean'!$AT106,'View Bonjean'!$Q104:$AB108,IF('View Bonjean'!$AV106='View Bonjean'!$AU106,'View Bonjean'!$AD105:$AO109,1/0))))</f>
        <v>#VALUE!</v>
      </c>
      <c r="C90" s="189" t="e">
        <v>#VALUE!</v>
      </c>
      <c r="D90" s="189" t="e">
        <v>#VALUE!</v>
      </c>
      <c r="E90" s="189" t="e">
        <v>#VALUE!</v>
      </c>
      <c r="F90" s="189" t="e">
        <v>#VALUE!</v>
      </c>
      <c r="G90" s="189" t="e">
        <v>#VALUE!</v>
      </c>
      <c r="H90" s="161" t="e">
        <v>#VALUE!</v>
      </c>
      <c r="I90" s="178" t="e">
        <v>#VALUE!</v>
      </c>
      <c r="J90" s="161" t="e">
        <v>#VALUE!</v>
      </c>
      <c r="K90" s="178" t="e">
        <v>#VALUE!</v>
      </c>
      <c r="L90" s="161" t="e">
        <v>#VALUE!</v>
      </c>
      <c r="M90" s="127" t="e">
        <v>#VALUE!</v>
      </c>
    </row>
    <row r="91" spans="2:13" x14ac:dyDescent="0.25">
      <c r="B91" s="127" t="e">
        <v>#VALUE!</v>
      </c>
      <c r="C91" s="127" t="e">
        <v>#VALUE!</v>
      </c>
      <c r="D91" s="161" t="e">
        <v>#VALUE!</v>
      </c>
      <c r="E91" s="127" t="e">
        <v>#VALUE!</v>
      </c>
      <c r="F91" s="161" t="e">
        <v>#VALUE!</v>
      </c>
      <c r="G91" s="127" t="e">
        <v>#VALUE!</v>
      </c>
      <c r="H91" s="161" t="e">
        <v>#VALUE!</v>
      </c>
      <c r="I91" s="178" t="e">
        <v>#VALUE!</v>
      </c>
      <c r="J91" s="161" t="e">
        <v>#VALUE!</v>
      </c>
      <c r="K91" s="178" t="e">
        <v>#VALUE!</v>
      </c>
      <c r="L91" s="161" t="e">
        <v>#VALUE!</v>
      </c>
      <c r="M91" s="127" t="e">
        <v>#VALUE!</v>
      </c>
    </row>
    <row r="92" spans="2:13" x14ac:dyDescent="0.25">
      <c r="B92" s="127" t="e">
        <v>#VALUE!</v>
      </c>
      <c r="C92" s="127" t="e">
        <v>#VALUE!</v>
      </c>
      <c r="D92" s="161" t="e">
        <v>#VALUE!</v>
      </c>
      <c r="E92" s="127" t="e">
        <v>#VALUE!</v>
      </c>
      <c r="F92" s="161" t="e">
        <v>#VALUE!</v>
      </c>
      <c r="G92" s="127" t="e">
        <v>#VALUE!</v>
      </c>
      <c r="H92" s="161" t="e">
        <v>#VALUE!</v>
      </c>
      <c r="I92" s="178" t="e">
        <v>#VALUE!</v>
      </c>
      <c r="J92" s="161" t="e">
        <v>#VALUE!</v>
      </c>
      <c r="K92" s="178" t="e">
        <v>#VALUE!</v>
      </c>
      <c r="L92" s="161" t="e">
        <v>#VALUE!</v>
      </c>
      <c r="M92" s="127" t="e">
        <v>#VALUE!</v>
      </c>
    </row>
    <row r="93" spans="2:13" x14ac:dyDescent="0.25">
      <c r="B93" s="127" t="e">
        <v>#VALUE!</v>
      </c>
      <c r="C93" s="127" t="e">
        <v>#VALUE!</v>
      </c>
      <c r="D93" s="161" t="e">
        <v>#VALUE!</v>
      </c>
      <c r="E93" s="127" t="e">
        <v>#VALUE!</v>
      </c>
      <c r="F93" s="161" t="e">
        <v>#VALUE!</v>
      </c>
      <c r="G93" s="127" t="e">
        <v>#VALUE!</v>
      </c>
      <c r="H93" s="161" t="e">
        <v>#VALUE!</v>
      </c>
      <c r="I93" s="178" t="e">
        <v>#VALUE!</v>
      </c>
      <c r="J93" s="161" t="e">
        <v>#VALUE!</v>
      </c>
      <c r="K93" s="178" t="e">
        <v>#VALUE!</v>
      </c>
      <c r="L93" s="161" t="e">
        <v>#VALUE!</v>
      </c>
      <c r="M93" s="127" t="e">
        <v>#VALUE!</v>
      </c>
    </row>
    <row r="94" spans="2:13" x14ac:dyDescent="0.25">
      <c r="B94" s="127" t="e">
        <v>#VALUE!</v>
      </c>
      <c r="C94" s="127" t="e">
        <v>#VALUE!</v>
      </c>
      <c r="D94" s="161" t="e">
        <v>#VALUE!</v>
      </c>
      <c r="E94" s="127" t="e">
        <v>#VALUE!</v>
      </c>
      <c r="F94" s="161" t="e">
        <v>#VALUE!</v>
      </c>
      <c r="G94" s="127" t="e">
        <v>#VALUE!</v>
      </c>
      <c r="H94" s="161" t="e">
        <v>#VALUE!</v>
      </c>
      <c r="I94" s="178" t="e">
        <v>#VALUE!</v>
      </c>
      <c r="J94" s="161" t="e">
        <v>#VALUE!</v>
      </c>
      <c r="K94" s="178" t="e">
        <v>#VALUE!</v>
      </c>
      <c r="L94" s="161" t="e">
        <v>#VALUE!</v>
      </c>
      <c r="M94" s="127" t="e">
        <v>#VALUE!</v>
      </c>
    </row>
    <row r="95" spans="2:13" x14ac:dyDescent="0.25">
      <c r="H95" s="161"/>
      <c r="I95" s="178"/>
    </row>
    <row r="96" spans="2:13" x14ac:dyDescent="0.25">
      <c r="B96" s="189" t="e">
        <f t="array" ref="B96:M100">IF('View Bonjean'!$AV112='View Bonjean'!$AR112,IF('View Bonjean'!$AV113='View Bonjean'!$P$4,'View Bonjean'!$BA$4:$BL$8,IF('View Bonjean'!$AV113='View Bonjean'!$P$6,'View Bonjean'!$BA$10:$BL$14,IF('View Bonjean'!$AV113='View Bonjean'!$P$8,'View Bonjean'!$BA$17:$BL$21,IF('View Bonjean'!$AV113='View Bonjean'!$P$10,'View Bonjean'!$BA$24:$BL$28)))),IF('View Bonjean'!$AV112='View Bonjean'!$AS112,'View Bonjean'!$C110:$N114,IF('View Bonjean'!$AV112='View Bonjean'!$AT112,'View Bonjean'!$Q110:$AB114,IF('View Bonjean'!$AV112='View Bonjean'!$AU112,'View Bonjean'!$AD111:$AO115,1/0))))</f>
        <v>#VALUE!</v>
      </c>
      <c r="C96" s="189" t="e">
        <v>#VALUE!</v>
      </c>
      <c r="D96" s="189" t="e">
        <v>#VALUE!</v>
      </c>
      <c r="E96" s="189" t="e">
        <v>#VALUE!</v>
      </c>
      <c r="F96" s="189" t="e">
        <v>#VALUE!</v>
      </c>
      <c r="G96" s="189" t="e">
        <v>#VALUE!</v>
      </c>
      <c r="H96" s="161" t="e">
        <v>#VALUE!</v>
      </c>
      <c r="I96" s="178" t="e">
        <v>#VALUE!</v>
      </c>
      <c r="J96" s="161" t="e">
        <v>#VALUE!</v>
      </c>
      <c r="K96" s="178" t="e">
        <v>#VALUE!</v>
      </c>
      <c r="L96" s="161" t="e">
        <v>#VALUE!</v>
      </c>
      <c r="M96" s="127" t="e">
        <v>#VALUE!</v>
      </c>
    </row>
    <row r="97" spans="2:13" x14ac:dyDescent="0.25">
      <c r="B97" s="127" t="e">
        <v>#VALUE!</v>
      </c>
      <c r="C97" s="127" t="e">
        <v>#VALUE!</v>
      </c>
      <c r="D97" s="161" t="e">
        <v>#VALUE!</v>
      </c>
      <c r="E97" s="127" t="e">
        <v>#VALUE!</v>
      </c>
      <c r="F97" s="161" t="e">
        <v>#VALUE!</v>
      </c>
      <c r="G97" s="127" t="e">
        <v>#VALUE!</v>
      </c>
      <c r="H97" s="161" t="e">
        <v>#VALUE!</v>
      </c>
      <c r="I97" s="178" t="e">
        <v>#VALUE!</v>
      </c>
      <c r="J97" s="161" t="e">
        <v>#VALUE!</v>
      </c>
      <c r="K97" s="178" t="e">
        <v>#VALUE!</v>
      </c>
      <c r="L97" s="161" t="e">
        <v>#VALUE!</v>
      </c>
      <c r="M97" s="127" t="e">
        <v>#VALUE!</v>
      </c>
    </row>
    <row r="98" spans="2:13" x14ac:dyDescent="0.25">
      <c r="B98" s="127" t="e">
        <v>#VALUE!</v>
      </c>
      <c r="C98" s="127" t="e">
        <v>#VALUE!</v>
      </c>
      <c r="D98" s="161" t="e">
        <v>#VALUE!</v>
      </c>
      <c r="E98" s="127" t="e">
        <v>#VALUE!</v>
      </c>
      <c r="F98" s="161" t="e">
        <v>#VALUE!</v>
      </c>
      <c r="G98" s="127" t="e">
        <v>#VALUE!</v>
      </c>
      <c r="H98" s="161" t="e">
        <v>#VALUE!</v>
      </c>
      <c r="I98" s="178" t="e">
        <v>#VALUE!</v>
      </c>
      <c r="J98" s="161" t="e">
        <v>#VALUE!</v>
      </c>
      <c r="K98" s="178" t="e">
        <v>#VALUE!</v>
      </c>
      <c r="L98" s="161" t="e">
        <v>#VALUE!</v>
      </c>
      <c r="M98" s="127" t="e">
        <v>#VALUE!</v>
      </c>
    </row>
    <row r="99" spans="2:13" x14ac:dyDescent="0.25">
      <c r="B99" s="127" t="e">
        <v>#VALUE!</v>
      </c>
      <c r="C99" s="127" t="e">
        <v>#VALUE!</v>
      </c>
      <c r="D99" s="161" t="e">
        <v>#VALUE!</v>
      </c>
      <c r="E99" s="127" t="e">
        <v>#VALUE!</v>
      </c>
      <c r="F99" s="161" t="e">
        <v>#VALUE!</v>
      </c>
      <c r="G99" s="127" t="e">
        <v>#VALUE!</v>
      </c>
      <c r="H99" s="161" t="e">
        <v>#VALUE!</v>
      </c>
      <c r="I99" s="178" t="e">
        <v>#VALUE!</v>
      </c>
      <c r="J99" s="161" t="e">
        <v>#VALUE!</v>
      </c>
      <c r="K99" s="178" t="e">
        <v>#VALUE!</v>
      </c>
      <c r="L99" s="161" t="e">
        <v>#VALUE!</v>
      </c>
      <c r="M99" s="127" t="e">
        <v>#VALUE!</v>
      </c>
    </row>
    <row r="100" spans="2:13" x14ac:dyDescent="0.25">
      <c r="B100" s="127" t="e">
        <v>#VALUE!</v>
      </c>
      <c r="C100" s="127" t="e">
        <v>#VALUE!</v>
      </c>
      <c r="D100" s="161" t="e">
        <v>#VALUE!</v>
      </c>
      <c r="E100" s="127" t="e">
        <v>#VALUE!</v>
      </c>
      <c r="F100" s="161" t="e">
        <v>#VALUE!</v>
      </c>
      <c r="G100" s="127" t="e">
        <v>#VALUE!</v>
      </c>
      <c r="H100" s="161" t="e">
        <v>#VALUE!</v>
      </c>
      <c r="I100" s="178" t="e">
        <v>#VALUE!</v>
      </c>
      <c r="J100" s="161" t="e">
        <v>#VALUE!</v>
      </c>
      <c r="K100" s="178" t="e">
        <v>#VALUE!</v>
      </c>
      <c r="L100" s="161" t="e">
        <v>#VALUE!</v>
      </c>
      <c r="M100" s="127" t="e">
        <v>#VALUE!</v>
      </c>
    </row>
    <row r="101" spans="2:13" x14ac:dyDescent="0.25">
      <c r="H101" s="161"/>
      <c r="I101" s="178"/>
    </row>
    <row r="102" spans="2:13" x14ac:dyDescent="0.25">
      <c r="B102" s="189" t="e">
        <f t="array" ref="B102:M106">IF('View Bonjean'!$AV118='View Bonjean'!$AR118,IF('View Bonjean'!$AV119='View Bonjean'!$P$4,'View Bonjean'!$BA$4:$BL$8,IF('View Bonjean'!$AV119='View Bonjean'!$P$6,'View Bonjean'!$BA$10:$BL$14,IF('View Bonjean'!$AV119='View Bonjean'!$P$8,'View Bonjean'!$BA$17:$BL$21,IF('View Bonjean'!$AV119='View Bonjean'!$P$10,'View Bonjean'!$BA$24:$BL$28)))),IF('View Bonjean'!$AV118='View Bonjean'!$AS118,'View Bonjean'!$C116:$N120,IF('View Bonjean'!$AV118='View Bonjean'!$AT118,'View Bonjean'!$Q116:$AB120,IF('View Bonjean'!$AV118='View Bonjean'!$AU118,'View Bonjean'!$AD117:$AO121,1/0))))</f>
        <v>#VALUE!</v>
      </c>
      <c r="C102" s="189" t="e">
        <v>#VALUE!</v>
      </c>
      <c r="D102" s="189" t="e">
        <v>#VALUE!</v>
      </c>
      <c r="E102" s="189" t="e">
        <v>#VALUE!</v>
      </c>
      <c r="F102" s="189" t="e">
        <v>#VALUE!</v>
      </c>
      <c r="G102" s="189" t="e">
        <v>#VALUE!</v>
      </c>
      <c r="H102" s="161" t="e">
        <v>#VALUE!</v>
      </c>
      <c r="I102" s="178" t="e">
        <v>#VALUE!</v>
      </c>
      <c r="J102" s="161" t="e">
        <v>#VALUE!</v>
      </c>
      <c r="K102" s="178" t="e">
        <v>#VALUE!</v>
      </c>
      <c r="L102" s="161" t="e">
        <v>#VALUE!</v>
      </c>
      <c r="M102" s="127" t="e">
        <v>#VALUE!</v>
      </c>
    </row>
    <row r="103" spans="2:13" x14ac:dyDescent="0.25">
      <c r="B103" s="127" t="e">
        <v>#VALUE!</v>
      </c>
      <c r="C103" s="127" t="e">
        <v>#VALUE!</v>
      </c>
      <c r="D103" s="161" t="e">
        <v>#VALUE!</v>
      </c>
      <c r="E103" s="127" t="e">
        <v>#VALUE!</v>
      </c>
      <c r="F103" s="161" t="e">
        <v>#VALUE!</v>
      </c>
      <c r="G103" s="127" t="e">
        <v>#VALUE!</v>
      </c>
      <c r="H103" s="161" t="e">
        <v>#VALUE!</v>
      </c>
      <c r="I103" s="178" t="e">
        <v>#VALUE!</v>
      </c>
      <c r="J103" s="161" t="e">
        <v>#VALUE!</v>
      </c>
      <c r="K103" s="178" t="e">
        <v>#VALUE!</v>
      </c>
      <c r="L103" s="161" t="e">
        <v>#VALUE!</v>
      </c>
      <c r="M103" s="127" t="e">
        <v>#VALUE!</v>
      </c>
    </row>
    <row r="104" spans="2:13" x14ac:dyDescent="0.25">
      <c r="B104" s="127" t="e">
        <v>#VALUE!</v>
      </c>
      <c r="C104" s="127" t="e">
        <v>#VALUE!</v>
      </c>
      <c r="D104" s="161" t="e">
        <v>#VALUE!</v>
      </c>
      <c r="E104" s="127" t="e">
        <v>#VALUE!</v>
      </c>
      <c r="F104" s="161" t="e">
        <v>#VALUE!</v>
      </c>
      <c r="G104" s="127" t="e">
        <v>#VALUE!</v>
      </c>
      <c r="H104" s="161" t="e">
        <v>#VALUE!</v>
      </c>
      <c r="I104" s="178" t="e">
        <v>#VALUE!</v>
      </c>
      <c r="J104" s="161" t="e">
        <v>#VALUE!</v>
      </c>
      <c r="K104" s="178" t="e">
        <v>#VALUE!</v>
      </c>
      <c r="L104" s="161" t="e">
        <v>#VALUE!</v>
      </c>
      <c r="M104" s="127" t="e">
        <v>#VALUE!</v>
      </c>
    </row>
    <row r="105" spans="2:13" x14ac:dyDescent="0.25">
      <c r="B105" s="127" t="e">
        <v>#VALUE!</v>
      </c>
      <c r="C105" s="127" t="e">
        <v>#VALUE!</v>
      </c>
      <c r="D105" s="161" t="e">
        <v>#VALUE!</v>
      </c>
      <c r="E105" s="127" t="e">
        <v>#VALUE!</v>
      </c>
      <c r="F105" s="161" t="e">
        <v>#VALUE!</v>
      </c>
      <c r="G105" s="127" t="e">
        <v>#VALUE!</v>
      </c>
      <c r="H105" s="161" t="e">
        <v>#VALUE!</v>
      </c>
      <c r="I105" s="178" t="e">
        <v>#VALUE!</v>
      </c>
      <c r="J105" s="161" t="e">
        <v>#VALUE!</v>
      </c>
      <c r="K105" s="178" t="e">
        <v>#VALUE!</v>
      </c>
      <c r="L105" s="161" t="e">
        <v>#VALUE!</v>
      </c>
      <c r="M105" s="127" t="e">
        <v>#VALUE!</v>
      </c>
    </row>
    <row r="106" spans="2:13" x14ac:dyDescent="0.25">
      <c r="B106" s="127" t="e">
        <v>#VALUE!</v>
      </c>
      <c r="C106" s="127" t="e">
        <v>#VALUE!</v>
      </c>
      <c r="D106" s="161" t="e">
        <v>#VALUE!</v>
      </c>
      <c r="E106" s="127" t="e">
        <v>#VALUE!</v>
      </c>
      <c r="F106" s="161" t="e">
        <v>#VALUE!</v>
      </c>
      <c r="G106" s="127" t="e">
        <v>#VALUE!</v>
      </c>
      <c r="H106" s="161" t="e">
        <v>#VALUE!</v>
      </c>
      <c r="I106" s="178" t="e">
        <v>#VALUE!</v>
      </c>
      <c r="J106" s="161" t="e">
        <v>#VALUE!</v>
      </c>
      <c r="K106" s="178" t="e">
        <v>#VALUE!</v>
      </c>
      <c r="L106" s="161" t="e">
        <v>#VALUE!</v>
      </c>
      <c r="M106" s="127" t="e">
        <v>#VALUE!</v>
      </c>
    </row>
    <row r="107" spans="2:13" x14ac:dyDescent="0.25">
      <c r="H107" s="161"/>
      <c r="I107" s="178"/>
    </row>
    <row r="108" spans="2:13" x14ac:dyDescent="0.25">
      <c r="B108" s="189" t="e">
        <f t="array" ref="B108:M112">IF('View Bonjean'!$AV124='View Bonjean'!$AR124,IF('View Bonjean'!$AV125='View Bonjean'!$P$4,'View Bonjean'!$BA$4:$BL$8,IF('View Bonjean'!$AV125='View Bonjean'!$P$6,'View Bonjean'!$BA$10:$BL$14,IF('View Bonjean'!$AV125='View Bonjean'!$P$8,'View Bonjean'!$BA$17:$BL$21,IF('View Bonjean'!$AV125='View Bonjean'!$P$10,'View Bonjean'!$BA$24:$BL$28)))),IF('View Bonjean'!$AV124='View Bonjean'!$AS124,'View Bonjean'!$C122:$N126,IF('View Bonjean'!$AV124='View Bonjean'!$AT124,'View Bonjean'!$Q122:$AB126,IF('View Bonjean'!$AV124='View Bonjean'!$AU124,'View Bonjean'!$AD123:$AO127,1/0))))</f>
        <v>#VALUE!</v>
      </c>
      <c r="C108" s="189" t="e">
        <v>#VALUE!</v>
      </c>
      <c r="D108" s="189" t="e">
        <v>#VALUE!</v>
      </c>
      <c r="E108" s="189" t="e">
        <v>#VALUE!</v>
      </c>
      <c r="F108" s="189" t="e">
        <v>#VALUE!</v>
      </c>
      <c r="G108" s="189" t="e">
        <v>#VALUE!</v>
      </c>
      <c r="H108" s="161" t="e">
        <v>#VALUE!</v>
      </c>
      <c r="I108" s="178" t="e">
        <v>#VALUE!</v>
      </c>
      <c r="J108" s="161" t="e">
        <v>#VALUE!</v>
      </c>
      <c r="K108" s="178" t="e">
        <v>#VALUE!</v>
      </c>
      <c r="L108" s="161" t="e">
        <v>#VALUE!</v>
      </c>
      <c r="M108" s="127" t="e">
        <v>#VALUE!</v>
      </c>
    </row>
    <row r="109" spans="2:13" x14ac:dyDescent="0.25">
      <c r="B109" s="127" t="e">
        <v>#VALUE!</v>
      </c>
      <c r="C109" s="127" t="e">
        <v>#VALUE!</v>
      </c>
      <c r="D109" s="161" t="e">
        <v>#VALUE!</v>
      </c>
      <c r="E109" s="127" t="e">
        <v>#VALUE!</v>
      </c>
      <c r="F109" s="161" t="e">
        <v>#VALUE!</v>
      </c>
      <c r="G109" s="127" t="e">
        <v>#VALUE!</v>
      </c>
      <c r="H109" s="161" t="e">
        <v>#VALUE!</v>
      </c>
      <c r="I109" s="178" t="e">
        <v>#VALUE!</v>
      </c>
      <c r="J109" s="161" t="e">
        <v>#VALUE!</v>
      </c>
      <c r="K109" s="178" t="e">
        <v>#VALUE!</v>
      </c>
      <c r="L109" s="161" t="e">
        <v>#VALUE!</v>
      </c>
      <c r="M109" s="127" t="e">
        <v>#VALUE!</v>
      </c>
    </row>
    <row r="110" spans="2:13" x14ac:dyDescent="0.25">
      <c r="B110" s="127" t="e">
        <v>#VALUE!</v>
      </c>
      <c r="C110" s="127" t="e">
        <v>#VALUE!</v>
      </c>
      <c r="D110" s="161" t="e">
        <v>#VALUE!</v>
      </c>
      <c r="E110" s="127" t="e">
        <v>#VALUE!</v>
      </c>
      <c r="F110" s="161" t="e">
        <v>#VALUE!</v>
      </c>
      <c r="G110" s="127" t="e">
        <v>#VALUE!</v>
      </c>
      <c r="H110" s="161" t="e">
        <v>#VALUE!</v>
      </c>
      <c r="I110" s="178" t="e">
        <v>#VALUE!</v>
      </c>
      <c r="J110" s="161" t="e">
        <v>#VALUE!</v>
      </c>
      <c r="K110" s="178" t="e">
        <v>#VALUE!</v>
      </c>
      <c r="L110" s="161" t="e">
        <v>#VALUE!</v>
      </c>
      <c r="M110" s="127" t="e">
        <v>#VALUE!</v>
      </c>
    </row>
    <row r="111" spans="2:13" x14ac:dyDescent="0.25">
      <c r="B111" s="127" t="e">
        <v>#VALUE!</v>
      </c>
      <c r="C111" s="127" t="e">
        <v>#VALUE!</v>
      </c>
      <c r="D111" s="161" t="e">
        <v>#VALUE!</v>
      </c>
      <c r="E111" s="127" t="e">
        <v>#VALUE!</v>
      </c>
      <c r="F111" s="161" t="e">
        <v>#VALUE!</v>
      </c>
      <c r="G111" s="127" t="e">
        <v>#VALUE!</v>
      </c>
      <c r="H111" s="161" t="e">
        <v>#VALUE!</v>
      </c>
      <c r="I111" s="178" t="e">
        <v>#VALUE!</v>
      </c>
      <c r="J111" s="161" t="e">
        <v>#VALUE!</v>
      </c>
      <c r="K111" s="178" t="e">
        <v>#VALUE!</v>
      </c>
      <c r="L111" s="161" t="e">
        <v>#VALUE!</v>
      </c>
      <c r="M111" s="127" t="e">
        <v>#VALUE!</v>
      </c>
    </row>
    <row r="112" spans="2:13" x14ac:dyDescent="0.25">
      <c r="B112" s="127" t="e">
        <v>#VALUE!</v>
      </c>
      <c r="C112" s="127" t="e">
        <v>#VALUE!</v>
      </c>
      <c r="D112" s="161" t="e">
        <v>#VALUE!</v>
      </c>
      <c r="E112" s="127" t="e">
        <v>#VALUE!</v>
      </c>
      <c r="F112" s="161" t="e">
        <v>#VALUE!</v>
      </c>
      <c r="G112" s="127" t="e">
        <v>#VALUE!</v>
      </c>
      <c r="H112" s="161" t="e">
        <v>#VALUE!</v>
      </c>
      <c r="I112" s="178" t="e">
        <v>#VALUE!</v>
      </c>
      <c r="J112" s="161" t="e">
        <v>#VALUE!</v>
      </c>
      <c r="K112" s="178" t="e">
        <v>#VALUE!</v>
      </c>
      <c r="L112" s="161" t="e">
        <v>#VALUE!</v>
      </c>
      <c r="M112" s="127" t="e">
        <v>#VALUE!</v>
      </c>
    </row>
    <row r="113" spans="2:13" x14ac:dyDescent="0.25">
      <c r="H113" s="161"/>
      <c r="I113" s="178"/>
    </row>
    <row r="114" spans="2:13" x14ac:dyDescent="0.25">
      <c r="B114" s="189" t="e">
        <f t="array" ref="B114:M118">IF('View Bonjean'!$AV130='View Bonjean'!$AR130,IF('View Bonjean'!$AV131='View Bonjean'!$P$4,'View Bonjean'!$BA$4:$BL$8,IF('View Bonjean'!$AV131='View Bonjean'!$P$6,'View Bonjean'!$BA$10:$BL$14,IF('View Bonjean'!$AV131='View Bonjean'!$P$8,'View Bonjean'!$BA$17:$BL$21,IF('View Bonjean'!$AV131='View Bonjean'!$P$10,'View Bonjean'!$BA$24:$BL$28)))),IF('View Bonjean'!$AV130='View Bonjean'!$AS130,'View Bonjean'!$C128:$N132,IF('View Bonjean'!$AV130='View Bonjean'!$AT130,'View Bonjean'!$Q128:$AB132,IF('View Bonjean'!$AV130='View Bonjean'!$AU130,'View Bonjean'!$AD129:$AO133,1/0))))</f>
        <v>#VALUE!</v>
      </c>
      <c r="C114" s="189" t="e">
        <v>#VALUE!</v>
      </c>
      <c r="D114" s="189" t="e">
        <v>#VALUE!</v>
      </c>
      <c r="E114" s="189" t="e">
        <v>#VALUE!</v>
      </c>
      <c r="F114" s="189" t="e">
        <v>#VALUE!</v>
      </c>
      <c r="G114" s="189" t="e">
        <v>#VALUE!</v>
      </c>
      <c r="H114" s="161" t="e">
        <v>#VALUE!</v>
      </c>
      <c r="I114" s="178" t="e">
        <v>#VALUE!</v>
      </c>
      <c r="J114" s="161" t="e">
        <v>#VALUE!</v>
      </c>
      <c r="K114" s="178" t="e">
        <v>#VALUE!</v>
      </c>
      <c r="L114" s="161" t="e">
        <v>#VALUE!</v>
      </c>
      <c r="M114" s="127" t="e">
        <v>#VALUE!</v>
      </c>
    </row>
    <row r="115" spans="2:13" x14ac:dyDescent="0.25">
      <c r="B115" s="127" t="e">
        <v>#VALUE!</v>
      </c>
      <c r="C115" s="127" t="e">
        <v>#VALUE!</v>
      </c>
      <c r="D115" s="161" t="e">
        <v>#VALUE!</v>
      </c>
      <c r="E115" s="127" t="e">
        <v>#VALUE!</v>
      </c>
      <c r="F115" s="161" t="e">
        <v>#VALUE!</v>
      </c>
      <c r="G115" s="127" t="e">
        <v>#VALUE!</v>
      </c>
      <c r="H115" s="161" t="e">
        <v>#VALUE!</v>
      </c>
      <c r="I115" s="178" t="e">
        <v>#VALUE!</v>
      </c>
      <c r="J115" s="161" t="e">
        <v>#VALUE!</v>
      </c>
      <c r="K115" s="178" t="e">
        <v>#VALUE!</v>
      </c>
      <c r="L115" s="161" t="e">
        <v>#VALUE!</v>
      </c>
      <c r="M115" s="127" t="e">
        <v>#VALUE!</v>
      </c>
    </row>
    <row r="116" spans="2:13" x14ac:dyDescent="0.25">
      <c r="B116" s="127" t="e">
        <v>#VALUE!</v>
      </c>
      <c r="C116" s="127" t="e">
        <v>#VALUE!</v>
      </c>
      <c r="D116" s="161" t="e">
        <v>#VALUE!</v>
      </c>
      <c r="E116" s="127" t="e">
        <v>#VALUE!</v>
      </c>
      <c r="F116" s="161" t="e">
        <v>#VALUE!</v>
      </c>
      <c r="G116" s="127" t="e">
        <v>#VALUE!</v>
      </c>
      <c r="H116" s="161" t="e">
        <v>#VALUE!</v>
      </c>
      <c r="I116" s="178" t="e">
        <v>#VALUE!</v>
      </c>
      <c r="J116" s="161" t="e">
        <v>#VALUE!</v>
      </c>
      <c r="K116" s="178" t="e">
        <v>#VALUE!</v>
      </c>
      <c r="L116" s="161" t="e">
        <v>#VALUE!</v>
      </c>
      <c r="M116" s="127" t="e">
        <v>#VALUE!</v>
      </c>
    </row>
    <row r="117" spans="2:13" x14ac:dyDescent="0.25">
      <c r="B117" s="127" t="e">
        <v>#VALUE!</v>
      </c>
      <c r="C117" s="127" t="e">
        <v>#VALUE!</v>
      </c>
      <c r="D117" s="161" t="e">
        <v>#VALUE!</v>
      </c>
      <c r="E117" s="127" t="e">
        <v>#VALUE!</v>
      </c>
      <c r="F117" s="161" t="e">
        <v>#VALUE!</v>
      </c>
      <c r="G117" s="127" t="e">
        <v>#VALUE!</v>
      </c>
      <c r="H117" s="161" t="e">
        <v>#VALUE!</v>
      </c>
      <c r="I117" s="178" t="e">
        <v>#VALUE!</v>
      </c>
      <c r="J117" s="161" t="e">
        <v>#VALUE!</v>
      </c>
      <c r="K117" s="178" t="e">
        <v>#VALUE!</v>
      </c>
      <c r="L117" s="161" t="e">
        <v>#VALUE!</v>
      </c>
      <c r="M117" s="127" t="e">
        <v>#VALUE!</v>
      </c>
    </row>
    <row r="118" spans="2:13" x14ac:dyDescent="0.25">
      <c r="B118" s="127" t="e">
        <v>#VALUE!</v>
      </c>
      <c r="C118" s="127" t="e">
        <v>#VALUE!</v>
      </c>
      <c r="D118" s="161" t="e">
        <v>#VALUE!</v>
      </c>
      <c r="E118" s="127" t="e">
        <v>#VALUE!</v>
      </c>
      <c r="F118" s="161" t="e">
        <v>#VALUE!</v>
      </c>
      <c r="G118" s="127" t="e">
        <v>#VALUE!</v>
      </c>
      <c r="H118" s="161" t="e">
        <v>#VALUE!</v>
      </c>
      <c r="I118" s="178" t="e">
        <v>#VALUE!</v>
      </c>
      <c r="J118" s="161" t="e">
        <v>#VALUE!</v>
      </c>
      <c r="K118" s="178" t="e">
        <v>#VALUE!</v>
      </c>
      <c r="L118" s="161" t="e">
        <v>#VALUE!</v>
      </c>
      <c r="M118" s="127" t="e">
        <v>#VALUE!</v>
      </c>
    </row>
    <row r="119" spans="2:13" x14ac:dyDescent="0.25">
      <c r="H119" s="161"/>
      <c r="I119" s="178"/>
    </row>
    <row r="120" spans="2:13" x14ac:dyDescent="0.25">
      <c r="B120" s="189" t="e">
        <f t="array" ref="B120:M124">IF('View Bonjean'!$AV136='View Bonjean'!$AR136,IF('View Bonjean'!$AV137='View Bonjean'!$P$4,'View Bonjean'!$BA$4:$BL$8,IF('View Bonjean'!$AV137='View Bonjean'!$P$6,'View Bonjean'!$BA$10:$BL$14,IF('View Bonjean'!$AV137='View Bonjean'!$P$8,'View Bonjean'!$BA$17:$BL$21,IF('View Bonjean'!$AV137='View Bonjean'!$P$10,'View Bonjean'!$BA$24:$BL$28)))),IF('View Bonjean'!$AV136='View Bonjean'!$AS136,'View Bonjean'!$C134:$N138,IF('View Bonjean'!$AV136='View Bonjean'!$AT136,'View Bonjean'!$Q134:$AB138,IF('View Bonjean'!$AV136='View Bonjean'!$AU136,'View Bonjean'!$AD135:$AO139,1/0))))</f>
        <v>#VALUE!</v>
      </c>
      <c r="C120" s="189" t="e">
        <v>#VALUE!</v>
      </c>
      <c r="D120" s="189" t="e">
        <v>#VALUE!</v>
      </c>
      <c r="E120" s="189" t="e">
        <v>#VALUE!</v>
      </c>
      <c r="F120" s="189" t="e">
        <v>#VALUE!</v>
      </c>
      <c r="G120" s="189" t="e">
        <v>#VALUE!</v>
      </c>
      <c r="H120" s="161" t="e">
        <v>#VALUE!</v>
      </c>
      <c r="I120" s="178" t="e">
        <v>#VALUE!</v>
      </c>
      <c r="J120" s="161" t="e">
        <v>#VALUE!</v>
      </c>
      <c r="K120" s="178" t="e">
        <v>#VALUE!</v>
      </c>
      <c r="L120" s="161" t="e">
        <v>#VALUE!</v>
      </c>
      <c r="M120" s="127" t="e">
        <v>#VALUE!</v>
      </c>
    </row>
    <row r="121" spans="2:13" x14ac:dyDescent="0.25">
      <c r="B121" s="127" t="e">
        <v>#VALUE!</v>
      </c>
      <c r="C121" s="127" t="e">
        <v>#VALUE!</v>
      </c>
      <c r="D121" s="161" t="e">
        <v>#VALUE!</v>
      </c>
      <c r="E121" s="127" t="e">
        <v>#VALUE!</v>
      </c>
      <c r="F121" s="161" t="e">
        <v>#VALUE!</v>
      </c>
      <c r="G121" s="127" t="e">
        <v>#VALUE!</v>
      </c>
      <c r="H121" s="161" t="e">
        <v>#VALUE!</v>
      </c>
      <c r="I121" s="178" t="e">
        <v>#VALUE!</v>
      </c>
      <c r="J121" s="161" t="e">
        <v>#VALUE!</v>
      </c>
      <c r="K121" s="178" t="e">
        <v>#VALUE!</v>
      </c>
      <c r="L121" s="161" t="e">
        <v>#VALUE!</v>
      </c>
      <c r="M121" s="127" t="e">
        <v>#VALUE!</v>
      </c>
    </row>
    <row r="122" spans="2:13" x14ac:dyDescent="0.25">
      <c r="B122" s="127" t="e">
        <v>#VALUE!</v>
      </c>
      <c r="C122" s="127" t="e">
        <v>#VALUE!</v>
      </c>
      <c r="D122" s="161" t="e">
        <v>#VALUE!</v>
      </c>
      <c r="E122" s="127" t="e">
        <v>#VALUE!</v>
      </c>
      <c r="F122" s="161" t="e">
        <v>#VALUE!</v>
      </c>
      <c r="G122" s="127" t="e">
        <v>#VALUE!</v>
      </c>
      <c r="H122" s="161" t="e">
        <v>#VALUE!</v>
      </c>
      <c r="I122" s="178" t="e">
        <v>#VALUE!</v>
      </c>
      <c r="J122" s="161" t="e">
        <v>#VALUE!</v>
      </c>
      <c r="K122" s="178" t="e">
        <v>#VALUE!</v>
      </c>
      <c r="L122" s="161" t="e">
        <v>#VALUE!</v>
      </c>
      <c r="M122" s="127" t="e">
        <v>#VALUE!</v>
      </c>
    </row>
    <row r="123" spans="2:13" x14ac:dyDescent="0.25">
      <c r="B123" s="127" t="e">
        <v>#VALUE!</v>
      </c>
      <c r="C123" s="127" t="e">
        <v>#VALUE!</v>
      </c>
      <c r="D123" s="161" t="e">
        <v>#VALUE!</v>
      </c>
      <c r="E123" s="127" t="e">
        <v>#VALUE!</v>
      </c>
      <c r="F123" s="161" t="e">
        <v>#VALUE!</v>
      </c>
      <c r="G123" s="127" t="e">
        <v>#VALUE!</v>
      </c>
      <c r="H123" s="161" t="e">
        <v>#VALUE!</v>
      </c>
      <c r="I123" s="178" t="e">
        <v>#VALUE!</v>
      </c>
      <c r="J123" s="161" t="e">
        <v>#VALUE!</v>
      </c>
      <c r="K123" s="178" t="e">
        <v>#VALUE!</v>
      </c>
      <c r="L123" s="161" t="e">
        <v>#VALUE!</v>
      </c>
      <c r="M123" s="127" t="e">
        <v>#VALUE!</v>
      </c>
    </row>
    <row r="124" spans="2:13" x14ac:dyDescent="0.25">
      <c r="B124" s="127" t="e">
        <v>#VALUE!</v>
      </c>
      <c r="C124" s="127" t="e">
        <v>#VALUE!</v>
      </c>
      <c r="D124" s="161" t="e">
        <v>#VALUE!</v>
      </c>
      <c r="E124" s="127" t="e">
        <v>#VALUE!</v>
      </c>
      <c r="F124" s="161" t="e">
        <v>#VALUE!</v>
      </c>
      <c r="G124" s="127" t="e">
        <v>#VALUE!</v>
      </c>
      <c r="H124" s="161" t="e">
        <v>#VALUE!</v>
      </c>
      <c r="I124" s="178" t="e">
        <v>#VALUE!</v>
      </c>
      <c r="J124" s="161" t="e">
        <v>#VALUE!</v>
      </c>
      <c r="K124" s="178" t="e">
        <v>#VALUE!</v>
      </c>
      <c r="L124" s="161" t="e">
        <v>#VALUE!</v>
      </c>
      <c r="M124" s="127" t="e">
        <v>#VALUE!</v>
      </c>
    </row>
    <row r="125" spans="2:13" x14ac:dyDescent="0.25">
      <c r="H125" s="161"/>
      <c r="I125" s="178"/>
    </row>
    <row r="126" spans="2:13" x14ac:dyDescent="0.25">
      <c r="B126" s="189" t="e">
        <f t="array" ref="B126:M130">IF('View Bonjean'!$AV142='View Bonjean'!$AR142,IF('View Bonjean'!$AV143='View Bonjean'!$P$4,'View Bonjean'!$BA$4:$BL$8,IF('View Bonjean'!$AV143='View Bonjean'!$P$6,'View Bonjean'!$BA$10:$BL$14,IF('View Bonjean'!$AV143='View Bonjean'!$P$8,'View Bonjean'!$BA$17:$BL$21,IF('View Bonjean'!$AV143='View Bonjean'!$P$10,'View Bonjean'!$BA$24:$BL$28)))),IF('View Bonjean'!$AV142='View Bonjean'!$AS142,'View Bonjean'!$C140:$N144,IF('View Bonjean'!$AV142='View Bonjean'!$AT142,'View Bonjean'!$Q140:$AB144,IF('View Bonjean'!$AV142='View Bonjean'!$AU142,'View Bonjean'!$AD141:$AO145,1/0))))</f>
        <v>#VALUE!</v>
      </c>
      <c r="C126" s="189" t="e">
        <v>#VALUE!</v>
      </c>
      <c r="D126" s="189" t="e">
        <v>#VALUE!</v>
      </c>
      <c r="E126" s="189" t="e">
        <v>#VALUE!</v>
      </c>
      <c r="F126" s="189" t="e">
        <v>#VALUE!</v>
      </c>
      <c r="G126" s="189" t="e">
        <v>#VALUE!</v>
      </c>
      <c r="H126" s="161" t="e">
        <v>#VALUE!</v>
      </c>
      <c r="I126" s="178" t="e">
        <v>#VALUE!</v>
      </c>
      <c r="J126" s="161" t="e">
        <v>#VALUE!</v>
      </c>
      <c r="K126" s="178" t="e">
        <v>#VALUE!</v>
      </c>
      <c r="L126" s="161" t="e">
        <v>#VALUE!</v>
      </c>
      <c r="M126" s="127" t="e">
        <v>#VALUE!</v>
      </c>
    </row>
    <row r="127" spans="2:13" x14ac:dyDescent="0.25">
      <c r="B127" s="127" t="e">
        <v>#VALUE!</v>
      </c>
      <c r="C127" s="127" t="e">
        <v>#VALUE!</v>
      </c>
      <c r="D127" s="161" t="e">
        <v>#VALUE!</v>
      </c>
      <c r="E127" s="127" t="e">
        <v>#VALUE!</v>
      </c>
      <c r="F127" s="161" t="e">
        <v>#VALUE!</v>
      </c>
      <c r="G127" s="127" t="e">
        <v>#VALUE!</v>
      </c>
      <c r="H127" s="161" t="e">
        <v>#VALUE!</v>
      </c>
      <c r="I127" s="178" t="e">
        <v>#VALUE!</v>
      </c>
      <c r="J127" s="161" t="e">
        <v>#VALUE!</v>
      </c>
      <c r="K127" s="178" t="e">
        <v>#VALUE!</v>
      </c>
      <c r="L127" s="161" t="e">
        <v>#VALUE!</v>
      </c>
      <c r="M127" s="127" t="e">
        <v>#VALUE!</v>
      </c>
    </row>
    <row r="128" spans="2:13" x14ac:dyDescent="0.25">
      <c r="B128" s="127" t="e">
        <v>#VALUE!</v>
      </c>
      <c r="C128" s="127" t="e">
        <v>#VALUE!</v>
      </c>
      <c r="D128" s="161" t="e">
        <v>#VALUE!</v>
      </c>
      <c r="E128" s="127" t="e">
        <v>#VALUE!</v>
      </c>
      <c r="F128" s="161" t="e">
        <v>#VALUE!</v>
      </c>
      <c r="G128" s="127" t="e">
        <v>#VALUE!</v>
      </c>
      <c r="H128" s="161" t="e">
        <v>#VALUE!</v>
      </c>
      <c r="I128" s="178" t="e">
        <v>#VALUE!</v>
      </c>
      <c r="J128" s="161" t="e">
        <v>#VALUE!</v>
      </c>
      <c r="K128" s="178" t="e">
        <v>#VALUE!</v>
      </c>
      <c r="L128" s="161" t="e">
        <v>#VALUE!</v>
      </c>
      <c r="M128" s="127" t="e">
        <v>#VALUE!</v>
      </c>
    </row>
    <row r="129" spans="2:13" x14ac:dyDescent="0.25">
      <c r="B129" s="127" t="e">
        <v>#VALUE!</v>
      </c>
      <c r="C129" s="127" t="e">
        <v>#VALUE!</v>
      </c>
      <c r="D129" s="161" t="e">
        <v>#VALUE!</v>
      </c>
      <c r="E129" s="127" t="e">
        <v>#VALUE!</v>
      </c>
      <c r="F129" s="161" t="e">
        <v>#VALUE!</v>
      </c>
      <c r="G129" s="127" t="e">
        <v>#VALUE!</v>
      </c>
      <c r="H129" s="161" t="e">
        <v>#VALUE!</v>
      </c>
      <c r="I129" s="178" t="e">
        <v>#VALUE!</v>
      </c>
      <c r="J129" s="161" t="e">
        <v>#VALUE!</v>
      </c>
      <c r="K129" s="178" t="e">
        <v>#VALUE!</v>
      </c>
      <c r="L129" s="161" t="e">
        <v>#VALUE!</v>
      </c>
      <c r="M129" s="127" t="e">
        <v>#VALUE!</v>
      </c>
    </row>
    <row r="130" spans="2:13" x14ac:dyDescent="0.25">
      <c r="B130" s="127" t="e">
        <v>#VALUE!</v>
      </c>
      <c r="C130" s="127" t="e">
        <v>#VALUE!</v>
      </c>
      <c r="D130" s="161" t="e">
        <v>#VALUE!</v>
      </c>
      <c r="E130" s="127" t="e">
        <v>#VALUE!</v>
      </c>
      <c r="F130" s="161" t="e">
        <v>#VALUE!</v>
      </c>
      <c r="G130" s="127" t="e">
        <v>#VALUE!</v>
      </c>
      <c r="H130" s="161" t="e">
        <v>#VALUE!</v>
      </c>
      <c r="I130" s="178" t="e">
        <v>#VALUE!</v>
      </c>
      <c r="J130" s="161" t="e">
        <v>#VALUE!</v>
      </c>
      <c r="K130" s="178" t="e">
        <v>#VALUE!</v>
      </c>
      <c r="L130" s="161" t="e">
        <v>#VALUE!</v>
      </c>
      <c r="M130" s="127" t="e">
        <v>#VALUE!</v>
      </c>
    </row>
    <row r="131" spans="2:13" x14ac:dyDescent="0.25">
      <c r="H131" s="161"/>
      <c r="I131" s="178"/>
    </row>
    <row r="132" spans="2:13" x14ac:dyDescent="0.25">
      <c r="B132" s="189" t="e">
        <f t="array" ref="B132:M136">IF('View Bonjean'!$AV148='View Bonjean'!$AR148,IF('View Bonjean'!$AV149='View Bonjean'!$P$4,'View Bonjean'!$BA$4:$BL$8,IF('View Bonjean'!$AV149='View Bonjean'!$P$6,'View Bonjean'!$BA$10:$BL$14,IF('View Bonjean'!$AV149='View Bonjean'!$P$8,'View Bonjean'!$BA$17:$BL$21,IF('View Bonjean'!$AV149='View Bonjean'!$P$10,'View Bonjean'!$BA$24:$BL$28)))),IF('View Bonjean'!$AV148='View Bonjean'!$AS148,'View Bonjean'!$C146:$N150,IF('View Bonjean'!$AV148='View Bonjean'!$AT148,'View Bonjean'!$Q146:$AB150,IF('View Bonjean'!$AV148='View Bonjean'!$AU148,'View Bonjean'!$AD147:$AO151,1/0))))</f>
        <v>#VALUE!</v>
      </c>
      <c r="C132" s="189" t="e">
        <v>#VALUE!</v>
      </c>
      <c r="D132" s="189" t="e">
        <v>#VALUE!</v>
      </c>
      <c r="E132" s="189" t="e">
        <v>#VALUE!</v>
      </c>
      <c r="F132" s="189" t="e">
        <v>#VALUE!</v>
      </c>
      <c r="G132" s="189" t="e">
        <v>#VALUE!</v>
      </c>
      <c r="H132" s="161" t="e">
        <v>#VALUE!</v>
      </c>
      <c r="I132" s="178" t="e">
        <v>#VALUE!</v>
      </c>
      <c r="J132" s="161" t="e">
        <v>#VALUE!</v>
      </c>
      <c r="K132" s="178" t="e">
        <v>#VALUE!</v>
      </c>
      <c r="L132" s="161" t="e">
        <v>#VALUE!</v>
      </c>
      <c r="M132" s="127" t="e">
        <v>#VALUE!</v>
      </c>
    </row>
    <row r="133" spans="2:13" x14ac:dyDescent="0.25">
      <c r="B133" s="127" t="e">
        <v>#VALUE!</v>
      </c>
      <c r="C133" s="127" t="e">
        <v>#VALUE!</v>
      </c>
      <c r="D133" s="161" t="e">
        <v>#VALUE!</v>
      </c>
      <c r="E133" s="127" t="e">
        <v>#VALUE!</v>
      </c>
      <c r="F133" s="161" t="e">
        <v>#VALUE!</v>
      </c>
      <c r="G133" s="127" t="e">
        <v>#VALUE!</v>
      </c>
      <c r="H133" s="161" t="e">
        <v>#VALUE!</v>
      </c>
      <c r="I133" s="178" t="e">
        <v>#VALUE!</v>
      </c>
      <c r="J133" s="161" t="e">
        <v>#VALUE!</v>
      </c>
      <c r="K133" s="178" t="e">
        <v>#VALUE!</v>
      </c>
      <c r="L133" s="161" t="e">
        <v>#VALUE!</v>
      </c>
      <c r="M133" s="127" t="e">
        <v>#VALUE!</v>
      </c>
    </row>
    <row r="134" spans="2:13" x14ac:dyDescent="0.25">
      <c r="B134" s="127" t="e">
        <v>#VALUE!</v>
      </c>
      <c r="C134" s="127" t="e">
        <v>#VALUE!</v>
      </c>
      <c r="D134" s="161" t="e">
        <v>#VALUE!</v>
      </c>
      <c r="E134" s="127" t="e">
        <v>#VALUE!</v>
      </c>
      <c r="F134" s="161" t="e">
        <v>#VALUE!</v>
      </c>
      <c r="G134" s="127" t="e">
        <v>#VALUE!</v>
      </c>
      <c r="H134" s="161" t="e">
        <v>#VALUE!</v>
      </c>
      <c r="I134" s="178" t="e">
        <v>#VALUE!</v>
      </c>
      <c r="J134" s="161" t="e">
        <v>#VALUE!</v>
      </c>
      <c r="K134" s="178" t="e">
        <v>#VALUE!</v>
      </c>
      <c r="L134" s="161" t="e">
        <v>#VALUE!</v>
      </c>
      <c r="M134" s="127" t="e">
        <v>#VALUE!</v>
      </c>
    </row>
    <row r="135" spans="2:13" x14ac:dyDescent="0.25">
      <c r="B135" s="127" t="e">
        <v>#VALUE!</v>
      </c>
      <c r="C135" s="127" t="e">
        <v>#VALUE!</v>
      </c>
      <c r="D135" s="161" t="e">
        <v>#VALUE!</v>
      </c>
      <c r="E135" s="127" t="e">
        <v>#VALUE!</v>
      </c>
      <c r="F135" s="161" t="e">
        <v>#VALUE!</v>
      </c>
      <c r="G135" s="127" t="e">
        <v>#VALUE!</v>
      </c>
      <c r="H135" s="161" t="e">
        <v>#VALUE!</v>
      </c>
      <c r="I135" s="178" t="e">
        <v>#VALUE!</v>
      </c>
      <c r="J135" s="161" t="e">
        <v>#VALUE!</v>
      </c>
      <c r="K135" s="178" t="e">
        <v>#VALUE!</v>
      </c>
      <c r="L135" s="161" t="e">
        <v>#VALUE!</v>
      </c>
      <c r="M135" s="127" t="e">
        <v>#VALUE!</v>
      </c>
    </row>
    <row r="136" spans="2:13" x14ac:dyDescent="0.25">
      <c r="B136" s="127" t="e">
        <v>#VALUE!</v>
      </c>
      <c r="C136" s="127" t="e">
        <v>#VALUE!</v>
      </c>
      <c r="D136" s="161" t="e">
        <v>#VALUE!</v>
      </c>
      <c r="E136" s="127" t="e">
        <v>#VALUE!</v>
      </c>
      <c r="F136" s="161" t="e">
        <v>#VALUE!</v>
      </c>
      <c r="G136" s="127" t="e">
        <v>#VALUE!</v>
      </c>
      <c r="H136" s="161" t="e">
        <v>#VALUE!</v>
      </c>
      <c r="I136" s="178" t="e">
        <v>#VALUE!</v>
      </c>
      <c r="J136" s="161" t="e">
        <v>#VALUE!</v>
      </c>
      <c r="K136" s="178" t="e">
        <v>#VALUE!</v>
      </c>
      <c r="L136" s="161" t="e">
        <v>#VALUE!</v>
      </c>
      <c r="M136" s="127" t="e">
        <v>#VALUE!</v>
      </c>
    </row>
    <row r="137" spans="2:13" x14ac:dyDescent="0.25">
      <c r="H137" s="161"/>
      <c r="I137" s="178"/>
    </row>
    <row r="138" spans="2:13" x14ac:dyDescent="0.25">
      <c r="B138" s="189" t="e">
        <f t="array" ref="B138:M142">IF('View Bonjean'!$AV154='View Bonjean'!$AR154,IF('View Bonjean'!$AV155='View Bonjean'!$P$4,'View Bonjean'!$BA$4:$BL$8,IF('View Bonjean'!$AV155='View Bonjean'!$P$6,'View Bonjean'!$BA$10:$BL$14,IF('View Bonjean'!$AV155='View Bonjean'!$P$8,'View Bonjean'!$BA$17:$BL$21,IF('View Bonjean'!$AV155='View Bonjean'!$P$10,'View Bonjean'!$BA$24:$BL$28)))),IF('View Bonjean'!$AV154='View Bonjean'!$AS154,'View Bonjean'!$C152:$N156,IF('View Bonjean'!$AV154='View Bonjean'!$AT154,'View Bonjean'!$Q152:$AB156,IF('View Bonjean'!$AV154='View Bonjean'!$AU154,'View Bonjean'!$AD153:$AO157,1/0))))</f>
        <v>#VALUE!</v>
      </c>
      <c r="C138" s="189" t="e">
        <v>#VALUE!</v>
      </c>
      <c r="D138" s="189" t="e">
        <v>#VALUE!</v>
      </c>
      <c r="E138" s="189" t="e">
        <v>#VALUE!</v>
      </c>
      <c r="F138" s="189" t="e">
        <v>#VALUE!</v>
      </c>
      <c r="G138" s="189" t="e">
        <v>#VALUE!</v>
      </c>
      <c r="H138" s="161" t="e">
        <v>#VALUE!</v>
      </c>
      <c r="I138" s="178" t="e">
        <v>#VALUE!</v>
      </c>
      <c r="J138" s="161" t="e">
        <v>#VALUE!</v>
      </c>
      <c r="K138" s="178" t="e">
        <v>#VALUE!</v>
      </c>
      <c r="L138" s="161" t="e">
        <v>#VALUE!</v>
      </c>
      <c r="M138" s="127" t="e">
        <v>#VALUE!</v>
      </c>
    </row>
    <row r="139" spans="2:13" x14ac:dyDescent="0.25">
      <c r="B139" s="127" t="e">
        <v>#VALUE!</v>
      </c>
      <c r="C139" s="127" t="e">
        <v>#VALUE!</v>
      </c>
      <c r="D139" s="161" t="e">
        <v>#VALUE!</v>
      </c>
      <c r="E139" s="127" t="e">
        <v>#VALUE!</v>
      </c>
      <c r="F139" s="161" t="e">
        <v>#VALUE!</v>
      </c>
      <c r="G139" s="127" t="e">
        <v>#VALUE!</v>
      </c>
      <c r="H139" s="161" t="e">
        <v>#VALUE!</v>
      </c>
      <c r="I139" s="178" t="e">
        <v>#VALUE!</v>
      </c>
      <c r="J139" s="161" t="e">
        <v>#VALUE!</v>
      </c>
      <c r="K139" s="178" t="e">
        <v>#VALUE!</v>
      </c>
      <c r="L139" s="161" t="e">
        <v>#VALUE!</v>
      </c>
      <c r="M139" s="127" t="e">
        <v>#VALUE!</v>
      </c>
    </row>
    <row r="140" spans="2:13" x14ac:dyDescent="0.25">
      <c r="B140" s="127" t="e">
        <v>#VALUE!</v>
      </c>
      <c r="C140" s="127" t="e">
        <v>#VALUE!</v>
      </c>
      <c r="D140" s="161" t="e">
        <v>#VALUE!</v>
      </c>
      <c r="E140" s="127" t="e">
        <v>#VALUE!</v>
      </c>
      <c r="F140" s="161" t="e">
        <v>#VALUE!</v>
      </c>
      <c r="G140" s="127" t="e">
        <v>#VALUE!</v>
      </c>
      <c r="H140" s="161" t="e">
        <v>#VALUE!</v>
      </c>
      <c r="I140" s="178" t="e">
        <v>#VALUE!</v>
      </c>
      <c r="J140" s="161" t="e">
        <v>#VALUE!</v>
      </c>
      <c r="K140" s="178" t="e">
        <v>#VALUE!</v>
      </c>
      <c r="L140" s="161" t="e">
        <v>#VALUE!</v>
      </c>
      <c r="M140" s="127" t="e">
        <v>#VALUE!</v>
      </c>
    </row>
    <row r="141" spans="2:13" x14ac:dyDescent="0.25">
      <c r="B141" s="127" t="e">
        <v>#VALUE!</v>
      </c>
      <c r="C141" s="127" t="e">
        <v>#VALUE!</v>
      </c>
      <c r="D141" s="161" t="e">
        <v>#VALUE!</v>
      </c>
      <c r="E141" s="127" t="e">
        <v>#VALUE!</v>
      </c>
      <c r="F141" s="161" t="e">
        <v>#VALUE!</v>
      </c>
      <c r="G141" s="127" t="e">
        <v>#VALUE!</v>
      </c>
      <c r="H141" s="161" t="e">
        <v>#VALUE!</v>
      </c>
      <c r="I141" s="178" t="e">
        <v>#VALUE!</v>
      </c>
      <c r="J141" s="161" t="e">
        <v>#VALUE!</v>
      </c>
      <c r="K141" s="178" t="e">
        <v>#VALUE!</v>
      </c>
      <c r="L141" s="161" t="e">
        <v>#VALUE!</v>
      </c>
      <c r="M141" s="127" t="e">
        <v>#VALUE!</v>
      </c>
    </row>
    <row r="142" spans="2:13" x14ac:dyDescent="0.25">
      <c r="B142" s="127" t="e">
        <v>#VALUE!</v>
      </c>
      <c r="C142" s="127" t="e">
        <v>#VALUE!</v>
      </c>
      <c r="D142" s="161" t="e">
        <v>#VALUE!</v>
      </c>
      <c r="E142" s="127" t="e">
        <v>#VALUE!</v>
      </c>
      <c r="F142" s="161" t="e">
        <v>#VALUE!</v>
      </c>
      <c r="G142" s="127" t="e">
        <v>#VALUE!</v>
      </c>
      <c r="H142" s="161" t="e">
        <v>#VALUE!</v>
      </c>
      <c r="I142" s="178" t="e">
        <v>#VALUE!</v>
      </c>
      <c r="J142" s="161" t="e">
        <v>#VALUE!</v>
      </c>
      <c r="K142" s="178" t="e">
        <v>#VALUE!</v>
      </c>
      <c r="L142" s="161" t="e">
        <v>#VALUE!</v>
      </c>
      <c r="M142" s="127" t="e">
        <v>#VALUE!</v>
      </c>
    </row>
    <row r="143" spans="2:13" x14ac:dyDescent="0.25">
      <c r="H143" s="161"/>
      <c r="I143" s="178"/>
    </row>
    <row r="144" spans="2:13" x14ac:dyDescent="0.25">
      <c r="B144" s="189" t="e">
        <f t="array" ref="B144:M148">IF('View Bonjean'!$AV160='View Bonjean'!$AR160,IF('View Bonjean'!$AV161='View Bonjean'!$P$4,'View Bonjean'!$BA$4:$BL$8,IF('View Bonjean'!$AV161='View Bonjean'!$P$6,'View Bonjean'!$BA$10:$BL$14,IF('View Bonjean'!$AV161='View Bonjean'!$P$8,'View Bonjean'!$BA$17:$BL$21,IF('View Bonjean'!$AV161='View Bonjean'!$P$10,'View Bonjean'!$BA$24:$BL$28)))),IF('View Bonjean'!$AV160='View Bonjean'!$AS160,'View Bonjean'!$C158:$N162,IF('View Bonjean'!$AV160='View Bonjean'!$AT160,'View Bonjean'!$Q158:$AB162,IF('View Bonjean'!$AV160='View Bonjean'!$AU160,'View Bonjean'!$AD159:$AO163,1/0))))</f>
        <v>#VALUE!</v>
      </c>
      <c r="C144" s="189" t="e">
        <v>#VALUE!</v>
      </c>
      <c r="D144" s="189" t="e">
        <v>#VALUE!</v>
      </c>
      <c r="E144" s="189" t="e">
        <v>#VALUE!</v>
      </c>
      <c r="F144" s="189" t="e">
        <v>#VALUE!</v>
      </c>
      <c r="G144" s="189" t="e">
        <v>#VALUE!</v>
      </c>
      <c r="H144" s="161" t="e">
        <v>#VALUE!</v>
      </c>
      <c r="I144" s="178" t="e">
        <v>#VALUE!</v>
      </c>
      <c r="J144" s="161" t="e">
        <v>#VALUE!</v>
      </c>
      <c r="K144" s="178" t="e">
        <v>#VALUE!</v>
      </c>
      <c r="L144" s="161" t="e">
        <v>#VALUE!</v>
      </c>
      <c r="M144" s="127" t="e">
        <v>#VALUE!</v>
      </c>
    </row>
    <row r="145" spans="2:13" x14ac:dyDescent="0.25">
      <c r="B145" s="127" t="e">
        <v>#VALUE!</v>
      </c>
      <c r="C145" s="127" t="e">
        <v>#VALUE!</v>
      </c>
      <c r="D145" s="161" t="e">
        <v>#VALUE!</v>
      </c>
      <c r="E145" s="127" t="e">
        <v>#VALUE!</v>
      </c>
      <c r="F145" s="161" t="e">
        <v>#VALUE!</v>
      </c>
      <c r="G145" s="127" t="e">
        <v>#VALUE!</v>
      </c>
      <c r="H145" s="161" t="e">
        <v>#VALUE!</v>
      </c>
      <c r="I145" s="178" t="e">
        <v>#VALUE!</v>
      </c>
      <c r="J145" s="161" t="e">
        <v>#VALUE!</v>
      </c>
      <c r="K145" s="178" t="e">
        <v>#VALUE!</v>
      </c>
      <c r="L145" s="161" t="e">
        <v>#VALUE!</v>
      </c>
      <c r="M145" s="127" t="e">
        <v>#VALUE!</v>
      </c>
    </row>
    <row r="146" spans="2:13" x14ac:dyDescent="0.25">
      <c r="B146" s="127" t="e">
        <v>#VALUE!</v>
      </c>
      <c r="C146" s="127" t="e">
        <v>#VALUE!</v>
      </c>
      <c r="D146" s="161" t="e">
        <v>#VALUE!</v>
      </c>
      <c r="E146" s="127" t="e">
        <v>#VALUE!</v>
      </c>
      <c r="F146" s="161" t="e">
        <v>#VALUE!</v>
      </c>
      <c r="G146" s="127" t="e">
        <v>#VALUE!</v>
      </c>
      <c r="H146" s="161" t="e">
        <v>#VALUE!</v>
      </c>
      <c r="I146" s="178" t="e">
        <v>#VALUE!</v>
      </c>
      <c r="J146" s="161" t="e">
        <v>#VALUE!</v>
      </c>
      <c r="K146" s="178" t="e">
        <v>#VALUE!</v>
      </c>
      <c r="L146" s="161" t="e">
        <v>#VALUE!</v>
      </c>
      <c r="M146" s="127" t="e">
        <v>#VALUE!</v>
      </c>
    </row>
    <row r="147" spans="2:13" x14ac:dyDescent="0.25">
      <c r="B147" s="127" t="e">
        <v>#VALUE!</v>
      </c>
      <c r="C147" s="127" t="e">
        <v>#VALUE!</v>
      </c>
      <c r="D147" s="161" t="e">
        <v>#VALUE!</v>
      </c>
      <c r="E147" s="127" t="e">
        <v>#VALUE!</v>
      </c>
      <c r="F147" s="161" t="e">
        <v>#VALUE!</v>
      </c>
      <c r="G147" s="127" t="e">
        <v>#VALUE!</v>
      </c>
      <c r="H147" s="161" t="e">
        <v>#VALUE!</v>
      </c>
      <c r="I147" s="178" t="e">
        <v>#VALUE!</v>
      </c>
      <c r="J147" s="161" t="e">
        <v>#VALUE!</v>
      </c>
      <c r="K147" s="178" t="e">
        <v>#VALUE!</v>
      </c>
      <c r="L147" s="161" t="e">
        <v>#VALUE!</v>
      </c>
      <c r="M147" s="127" t="e">
        <v>#VALUE!</v>
      </c>
    </row>
    <row r="148" spans="2:13" x14ac:dyDescent="0.25">
      <c r="B148" s="127" t="e">
        <v>#VALUE!</v>
      </c>
      <c r="C148" s="127" t="e">
        <v>#VALUE!</v>
      </c>
      <c r="D148" s="161" t="e">
        <v>#VALUE!</v>
      </c>
      <c r="E148" s="127" t="e">
        <v>#VALUE!</v>
      </c>
      <c r="F148" s="161" t="e">
        <v>#VALUE!</v>
      </c>
      <c r="G148" s="127" t="e">
        <v>#VALUE!</v>
      </c>
      <c r="H148" s="161" t="e">
        <v>#VALUE!</v>
      </c>
      <c r="I148" s="178" t="e">
        <v>#VALUE!</v>
      </c>
      <c r="J148" s="161" t="e">
        <v>#VALUE!</v>
      </c>
      <c r="K148" s="178" t="e">
        <v>#VALUE!</v>
      </c>
      <c r="L148" s="161" t="e">
        <v>#VALUE!</v>
      </c>
      <c r="M148" s="127" t="e">
        <v>#VALUE!</v>
      </c>
    </row>
    <row r="149" spans="2:13" x14ac:dyDescent="0.25">
      <c r="H149" s="161"/>
      <c r="I149" s="178"/>
    </row>
    <row r="150" spans="2:13" x14ac:dyDescent="0.25">
      <c r="B150" s="189" t="e">
        <f t="array" ref="B150:M154">IF('View Bonjean'!$AV166='View Bonjean'!$AR166,IF('View Bonjean'!$AV167='View Bonjean'!$P$4,'View Bonjean'!$BA$4:$BL$8,IF('View Bonjean'!$AV167='View Bonjean'!$P$6,'View Bonjean'!$BA$10:$BL$14,IF('View Bonjean'!$AV167='View Bonjean'!$P$8,'View Bonjean'!$BA$17:$BL$21,IF('View Bonjean'!$AV167='View Bonjean'!$P$10,'View Bonjean'!$BA$24:$BL$28)))),IF('View Bonjean'!$AV166='View Bonjean'!$AS166,'View Bonjean'!$C164:$N168,IF('View Bonjean'!$AV166='View Bonjean'!$AT166,'View Bonjean'!$Q164:$AB168,IF('View Bonjean'!$AV166='View Bonjean'!$AU166,'View Bonjean'!$AD165:$AO169,1/0))))</f>
        <v>#VALUE!</v>
      </c>
      <c r="C150" s="189" t="e">
        <v>#VALUE!</v>
      </c>
      <c r="D150" s="189" t="e">
        <v>#VALUE!</v>
      </c>
      <c r="E150" s="189" t="e">
        <v>#VALUE!</v>
      </c>
      <c r="F150" s="189" t="e">
        <v>#VALUE!</v>
      </c>
      <c r="G150" s="189" t="e">
        <v>#VALUE!</v>
      </c>
      <c r="H150" s="161" t="e">
        <v>#VALUE!</v>
      </c>
      <c r="I150" s="178" t="e">
        <v>#VALUE!</v>
      </c>
      <c r="J150" s="161" t="e">
        <v>#VALUE!</v>
      </c>
      <c r="K150" s="178" t="e">
        <v>#VALUE!</v>
      </c>
      <c r="L150" s="161" t="e">
        <v>#VALUE!</v>
      </c>
      <c r="M150" s="127" t="e">
        <v>#VALUE!</v>
      </c>
    </row>
    <row r="151" spans="2:13" x14ac:dyDescent="0.25">
      <c r="B151" s="127" t="e">
        <v>#VALUE!</v>
      </c>
      <c r="C151" s="127" t="e">
        <v>#VALUE!</v>
      </c>
      <c r="D151" s="161" t="e">
        <v>#VALUE!</v>
      </c>
      <c r="E151" s="127" t="e">
        <v>#VALUE!</v>
      </c>
      <c r="F151" s="161" t="e">
        <v>#VALUE!</v>
      </c>
      <c r="G151" s="127" t="e">
        <v>#VALUE!</v>
      </c>
      <c r="H151" s="161" t="e">
        <v>#VALUE!</v>
      </c>
      <c r="I151" s="178" t="e">
        <v>#VALUE!</v>
      </c>
      <c r="J151" s="161" t="e">
        <v>#VALUE!</v>
      </c>
      <c r="K151" s="178" t="e">
        <v>#VALUE!</v>
      </c>
      <c r="L151" s="161" t="e">
        <v>#VALUE!</v>
      </c>
      <c r="M151" s="127" t="e">
        <v>#VALUE!</v>
      </c>
    </row>
    <row r="152" spans="2:13" x14ac:dyDescent="0.25">
      <c r="B152" s="127" t="e">
        <v>#VALUE!</v>
      </c>
      <c r="C152" s="127" t="e">
        <v>#VALUE!</v>
      </c>
      <c r="D152" s="161" t="e">
        <v>#VALUE!</v>
      </c>
      <c r="E152" s="127" t="e">
        <v>#VALUE!</v>
      </c>
      <c r="F152" s="161" t="e">
        <v>#VALUE!</v>
      </c>
      <c r="G152" s="127" t="e">
        <v>#VALUE!</v>
      </c>
      <c r="H152" s="161" t="e">
        <v>#VALUE!</v>
      </c>
      <c r="I152" s="178" t="e">
        <v>#VALUE!</v>
      </c>
      <c r="J152" s="161" t="e">
        <v>#VALUE!</v>
      </c>
      <c r="K152" s="178" t="e">
        <v>#VALUE!</v>
      </c>
      <c r="L152" s="161" t="e">
        <v>#VALUE!</v>
      </c>
      <c r="M152" s="127" t="e">
        <v>#VALUE!</v>
      </c>
    </row>
    <row r="153" spans="2:13" x14ac:dyDescent="0.25">
      <c r="B153" s="127" t="e">
        <v>#VALUE!</v>
      </c>
      <c r="C153" s="127" t="e">
        <v>#VALUE!</v>
      </c>
      <c r="D153" s="161" t="e">
        <v>#VALUE!</v>
      </c>
      <c r="E153" s="127" t="e">
        <v>#VALUE!</v>
      </c>
      <c r="F153" s="161" t="e">
        <v>#VALUE!</v>
      </c>
      <c r="G153" s="127" t="e">
        <v>#VALUE!</v>
      </c>
      <c r="H153" s="161" t="e">
        <v>#VALUE!</v>
      </c>
      <c r="I153" s="178" t="e">
        <v>#VALUE!</v>
      </c>
      <c r="J153" s="161" t="e">
        <v>#VALUE!</v>
      </c>
      <c r="K153" s="178" t="e">
        <v>#VALUE!</v>
      </c>
      <c r="L153" s="161" t="e">
        <v>#VALUE!</v>
      </c>
      <c r="M153" s="127" t="e">
        <v>#VALUE!</v>
      </c>
    </row>
    <row r="154" spans="2:13" x14ac:dyDescent="0.25">
      <c r="B154" s="127" t="e">
        <v>#VALUE!</v>
      </c>
      <c r="C154" s="127" t="e">
        <v>#VALUE!</v>
      </c>
      <c r="D154" s="161" t="e">
        <v>#VALUE!</v>
      </c>
      <c r="E154" s="127" t="e">
        <v>#VALUE!</v>
      </c>
      <c r="F154" s="161" t="e">
        <v>#VALUE!</v>
      </c>
      <c r="G154" s="127" t="e">
        <v>#VALUE!</v>
      </c>
      <c r="H154" s="161" t="e">
        <v>#VALUE!</v>
      </c>
      <c r="I154" s="178" t="e">
        <v>#VALUE!</v>
      </c>
      <c r="J154" s="161" t="e">
        <v>#VALUE!</v>
      </c>
      <c r="K154" s="178" t="e">
        <v>#VALUE!</v>
      </c>
      <c r="L154" s="161" t="e">
        <v>#VALUE!</v>
      </c>
      <c r="M154" s="127" t="e">
        <v>#VALUE!</v>
      </c>
    </row>
    <row r="155" spans="2:13" x14ac:dyDescent="0.25">
      <c r="H155" s="161"/>
      <c r="I155" s="178"/>
    </row>
    <row r="156" spans="2:13" x14ac:dyDescent="0.25">
      <c r="B156" s="189" t="e">
        <f t="array" ref="B156:M160">IF('View Bonjean'!$AV172='View Bonjean'!$AR172,IF('View Bonjean'!$AV173='View Bonjean'!$P$4,'View Bonjean'!$BA$4:$BL$8,IF('View Bonjean'!$AV173='View Bonjean'!$P$6,'View Bonjean'!$BA$10:$BL$14,IF('View Bonjean'!$AV173='View Bonjean'!$P$8,'View Bonjean'!$BA$17:$BL$21,IF('View Bonjean'!$AV173='View Bonjean'!$P$10,'View Bonjean'!$BA$24:$BL$28)))),IF('View Bonjean'!$AV172='View Bonjean'!$AS172,'View Bonjean'!$C170:$N174,IF('View Bonjean'!$AV172='View Bonjean'!$AT172,'View Bonjean'!$Q170:$AB174,IF('View Bonjean'!$AV172='View Bonjean'!$AU172,'View Bonjean'!$AD171:$AO175,1/0))))</f>
        <v>#VALUE!</v>
      </c>
      <c r="C156" s="189" t="e">
        <v>#VALUE!</v>
      </c>
      <c r="D156" s="189" t="e">
        <v>#VALUE!</v>
      </c>
      <c r="E156" s="189" t="e">
        <v>#VALUE!</v>
      </c>
      <c r="F156" s="189" t="e">
        <v>#VALUE!</v>
      </c>
      <c r="G156" s="189" t="e">
        <v>#VALUE!</v>
      </c>
      <c r="H156" s="161" t="e">
        <v>#VALUE!</v>
      </c>
      <c r="I156" s="178" t="e">
        <v>#VALUE!</v>
      </c>
      <c r="J156" s="161" t="e">
        <v>#VALUE!</v>
      </c>
      <c r="K156" s="178" t="e">
        <v>#VALUE!</v>
      </c>
      <c r="L156" s="161" t="e">
        <v>#VALUE!</v>
      </c>
      <c r="M156" s="127" t="e">
        <v>#VALUE!</v>
      </c>
    </row>
    <row r="157" spans="2:13" x14ac:dyDescent="0.25">
      <c r="B157" s="127" t="e">
        <v>#VALUE!</v>
      </c>
      <c r="C157" s="127" t="e">
        <v>#VALUE!</v>
      </c>
      <c r="D157" s="161" t="e">
        <v>#VALUE!</v>
      </c>
      <c r="E157" s="127" t="e">
        <v>#VALUE!</v>
      </c>
      <c r="F157" s="161" t="e">
        <v>#VALUE!</v>
      </c>
      <c r="G157" s="127" t="e">
        <v>#VALUE!</v>
      </c>
      <c r="H157" s="161" t="e">
        <v>#VALUE!</v>
      </c>
      <c r="I157" s="178" t="e">
        <v>#VALUE!</v>
      </c>
      <c r="J157" s="161" t="e">
        <v>#VALUE!</v>
      </c>
      <c r="K157" s="178" t="e">
        <v>#VALUE!</v>
      </c>
      <c r="L157" s="161" t="e">
        <v>#VALUE!</v>
      </c>
      <c r="M157" s="127" t="e">
        <v>#VALUE!</v>
      </c>
    </row>
    <row r="158" spans="2:13" x14ac:dyDescent="0.25">
      <c r="B158" s="127" t="e">
        <v>#VALUE!</v>
      </c>
      <c r="C158" s="127" t="e">
        <v>#VALUE!</v>
      </c>
      <c r="D158" s="161" t="e">
        <v>#VALUE!</v>
      </c>
      <c r="E158" s="127" t="e">
        <v>#VALUE!</v>
      </c>
      <c r="F158" s="161" t="e">
        <v>#VALUE!</v>
      </c>
      <c r="G158" s="127" t="e">
        <v>#VALUE!</v>
      </c>
      <c r="H158" s="161" t="e">
        <v>#VALUE!</v>
      </c>
      <c r="I158" s="178" t="e">
        <v>#VALUE!</v>
      </c>
      <c r="J158" s="161" t="e">
        <v>#VALUE!</v>
      </c>
      <c r="K158" s="178" t="e">
        <v>#VALUE!</v>
      </c>
      <c r="L158" s="161" t="e">
        <v>#VALUE!</v>
      </c>
      <c r="M158" s="127" t="e">
        <v>#VALUE!</v>
      </c>
    </row>
    <row r="159" spans="2:13" x14ac:dyDescent="0.25">
      <c r="B159" s="127" t="e">
        <v>#VALUE!</v>
      </c>
      <c r="C159" s="127" t="e">
        <v>#VALUE!</v>
      </c>
      <c r="D159" s="161" t="e">
        <v>#VALUE!</v>
      </c>
      <c r="E159" s="127" t="e">
        <v>#VALUE!</v>
      </c>
      <c r="F159" s="161" t="e">
        <v>#VALUE!</v>
      </c>
      <c r="G159" s="127" t="e">
        <v>#VALUE!</v>
      </c>
      <c r="H159" s="161" t="e">
        <v>#VALUE!</v>
      </c>
      <c r="I159" s="178" t="e">
        <v>#VALUE!</v>
      </c>
      <c r="J159" s="161" t="e">
        <v>#VALUE!</v>
      </c>
      <c r="K159" s="178" t="e">
        <v>#VALUE!</v>
      </c>
      <c r="L159" s="161" t="e">
        <v>#VALUE!</v>
      </c>
      <c r="M159" s="127" t="e">
        <v>#VALUE!</v>
      </c>
    </row>
    <row r="160" spans="2:13" x14ac:dyDescent="0.25">
      <c r="B160" s="127" t="e">
        <v>#VALUE!</v>
      </c>
      <c r="C160" s="127" t="e">
        <v>#VALUE!</v>
      </c>
      <c r="D160" s="161" t="e">
        <v>#VALUE!</v>
      </c>
      <c r="E160" s="127" t="e">
        <v>#VALUE!</v>
      </c>
      <c r="F160" s="161" t="e">
        <v>#VALUE!</v>
      </c>
      <c r="G160" s="127" t="e">
        <v>#VALUE!</v>
      </c>
      <c r="H160" s="161" t="e">
        <v>#VALUE!</v>
      </c>
      <c r="I160" s="178" t="e">
        <v>#VALUE!</v>
      </c>
      <c r="J160" s="161" t="e">
        <v>#VALUE!</v>
      </c>
      <c r="K160" s="178" t="e">
        <v>#VALUE!</v>
      </c>
      <c r="L160" s="161" t="e">
        <v>#VALUE!</v>
      </c>
      <c r="M160" s="127" t="e">
        <v>#VALUE!</v>
      </c>
    </row>
    <row r="161" spans="8:9" x14ac:dyDescent="0.25">
      <c r="H161" s="161"/>
      <c r="I161" s="178"/>
    </row>
  </sheetData>
  <sheetProtection password="CC2F" sheet="1" objects="1" scenarios="1"/>
  <mergeCells count="1">
    <mergeCell ref="C16:D16"/>
  </mergeCells>
  <conditionalFormatting sqref="B18:M161">
    <cfRule type="containsErrors" dxfId="34" priority="2">
      <formula>ISERROR(B18)</formula>
    </cfRule>
  </conditionalFormatting>
  <conditionalFormatting sqref="B18:G18 B24:G24 B30:G30 B36:G36 B42:G42 B48:G48 B54:G54 B60:G60 B66:G66 B72:G72 B78:G78 B84:G84 B90:G90 B96:G96 B102:G102 B108:G108 B114:G114 B120:G120 B126:G126 B132:G132 B138:G138 B144:G144 B150:G150 B156:G156">
    <cfRule type="notContainsErrors" dxfId="33" priority="3">
      <formula>NOT(ISERROR(B18))</formula>
    </cfRule>
  </conditionalFormatting>
  <conditionalFormatting sqref="B18:G160">
    <cfRule type="containsText" dxfId="32" priority="1" operator="containsText" text="Σ=">
      <formula>NOT(ISERROR(SEARCH("Σ=",B18)))</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OFFSET(Tools!$AD$3,,,Max_STN_count,1)</xm:f>
          </x14:formula1>
          <xm:sqref>C2:C15 E16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theme="0"/>
  </sheetPr>
  <dimension ref="A1:BL195"/>
  <sheetViews>
    <sheetView zoomScale="85" zoomScaleNormal="85" workbookViewId="0">
      <pane ySplit="1" topLeftCell="A2" activePane="bottomLeft" state="frozen"/>
      <selection activeCell="AG8" sqref="AG8:AG10"/>
      <selection pane="bottomLeft" activeCell="AG8" sqref="AG8:AG10"/>
    </sheetView>
  </sheetViews>
  <sheetFormatPr defaultRowHeight="15" x14ac:dyDescent="0.25"/>
  <cols>
    <col min="13" max="13" width="11.85546875" customWidth="1"/>
    <col min="18" max="18" width="9.140625" customWidth="1"/>
    <col min="59" max="59" width="9.140625" style="6"/>
    <col min="60" max="60" width="9.140625" style="70"/>
  </cols>
  <sheetData>
    <row r="1" spans="1:64" ht="15.75" thickBot="1" x14ac:dyDescent="0.3">
      <c r="A1" s="511" t="s">
        <v>90</v>
      </c>
      <c r="B1" s="511"/>
      <c r="C1" s="190">
        <f>'Bonj Calc'!E16</f>
        <v>8</v>
      </c>
      <c r="E1" s="511" t="s">
        <v>91</v>
      </c>
      <c r="F1" s="511"/>
      <c r="G1" t="str">
        <f>VLOOKUP(Station_No,RISE_CALC,2,FALSE)</f>
        <v>-</v>
      </c>
      <c r="L1" s="511"/>
      <c r="M1" s="511"/>
    </row>
    <row r="2" spans="1:64" ht="18" x14ac:dyDescent="0.35">
      <c r="A2" s="101" t="s">
        <v>163</v>
      </c>
      <c r="U2" s="80"/>
      <c r="X2" t="s">
        <v>0</v>
      </c>
      <c r="Y2" t="s">
        <v>95</v>
      </c>
      <c r="Z2" t="s">
        <v>164</v>
      </c>
      <c r="AA2" t="s">
        <v>165</v>
      </c>
      <c r="AB2" t="s">
        <v>166</v>
      </c>
      <c r="AC2" t="s">
        <v>167</v>
      </c>
      <c r="AD2" s="191" t="s">
        <v>168</v>
      </c>
      <c r="AE2" s="191" t="s">
        <v>168</v>
      </c>
      <c r="AF2" s="191" t="s">
        <v>168</v>
      </c>
      <c r="AG2" s="191" t="s">
        <v>168</v>
      </c>
      <c r="AH2" s="191" t="s">
        <v>168</v>
      </c>
      <c r="AI2" s="191" t="s">
        <v>168</v>
      </c>
      <c r="AJ2" s="90" t="s">
        <v>94</v>
      </c>
      <c r="AM2" t="s">
        <v>0</v>
      </c>
      <c r="AN2" t="s">
        <v>95</v>
      </c>
      <c r="AO2" t="s">
        <v>164</v>
      </c>
      <c r="AP2" t="s">
        <v>165</v>
      </c>
      <c r="AQ2" t="s">
        <v>13</v>
      </c>
      <c r="AR2" t="s">
        <v>169</v>
      </c>
      <c r="AS2" s="191" t="s">
        <v>168</v>
      </c>
      <c r="AT2" s="191" t="s">
        <v>168</v>
      </c>
      <c r="AU2" s="191" t="s">
        <v>168</v>
      </c>
      <c r="AV2" s="191" t="s">
        <v>168</v>
      </c>
      <c r="AW2" s="191" t="s">
        <v>168</v>
      </c>
      <c r="AX2" s="191" t="s">
        <v>168</v>
      </c>
    </row>
    <row r="3" spans="1:64" x14ac:dyDescent="0.25">
      <c r="B3" s="72" t="s">
        <v>0</v>
      </c>
      <c r="C3" s="73" t="s">
        <v>95</v>
      </c>
      <c r="D3" s="73" t="s">
        <v>18</v>
      </c>
      <c r="E3" s="74" t="s">
        <v>20</v>
      </c>
      <c r="L3" s="75" t="s">
        <v>96</v>
      </c>
      <c r="O3" t="str">
        <f>IF(Rise=0,"(Not considered)","(Considered)")</f>
        <v>(Considered)</v>
      </c>
      <c r="U3" s="66" t="str">
        <f t="shared" ref="U3:V7" si="0">K4</f>
        <v>Rise</v>
      </c>
      <c r="V3" s="67" t="e">
        <f t="shared" si="0"/>
        <v>#VALUE!</v>
      </c>
      <c r="W3" s="68" t="e">
        <f>IF(OR(V6-V5=V5-V4,V7-V5=V5-V4),V4,IF(OR(V6-V5=V5-V3,V7-V5=V5-V3),V3,"-"))</f>
        <v>#VALUE!</v>
      </c>
      <c r="X3" t="e">
        <f>IF(V3=W3,CONCATENATE(V3,"(Rise)"),W3)</f>
        <v>#VALUE!</v>
      </c>
      <c r="Y3" s="69" t="e">
        <f>IFERROR(VLOOKUP(W3,STN_TABLE,2,FALSE),IF(V3=RisePerWLS,0,"-"))</f>
        <v>#VALUE!</v>
      </c>
      <c r="Z3" s="69">
        <v>5</v>
      </c>
      <c r="AA3" s="69" t="e">
        <f>Y3*Z3</f>
        <v>#VALUE!</v>
      </c>
      <c r="AB3" s="69">
        <v>3</v>
      </c>
      <c r="AC3" s="69" t="e">
        <f>Y3*AB3</f>
        <v>#VALUE!</v>
      </c>
      <c r="AD3" s="6" t="s">
        <v>93</v>
      </c>
      <c r="AE3" s="70" t="e">
        <f>IF(AND(W5-W4=W4-W3,NOT(AND(W3=0,W4=0)),NOT(AND(W4=0,W5=0))),WLS*(W5-W4),"#NA")</f>
        <v>#VALUE!</v>
      </c>
      <c r="AF3" s="191" t="s">
        <v>168</v>
      </c>
      <c r="AG3" s="191" t="s">
        <v>168</v>
      </c>
      <c r="AH3" s="191" t="s">
        <v>168</v>
      </c>
      <c r="AI3" s="191" t="s">
        <v>168</v>
      </c>
      <c r="AJ3" s="66" t="str">
        <f t="shared" ref="AJ3:AK7" si="1">K4</f>
        <v>Rise</v>
      </c>
      <c r="AK3" s="67" t="e">
        <f t="shared" si="1"/>
        <v>#VALUE!</v>
      </c>
      <c r="AL3" s="79" t="e">
        <f>IF(AK7-AK6=AK6-AK5,AK5,IF(OR(AK7-AK6=AK6-AK4,AK7-AK5=AK5-AK4),AK4,IF(OR(AK7-AK6=AK6-AK3,AK7-AK5=AK5-AK3,AK7-AK4=AK4-AK3),AK3,"#NA")))</f>
        <v>#VALUE!</v>
      </c>
      <c r="AM3" t="e">
        <f>IF(AK3=AL3,CONCATENATE(AK3,"(Rise)"),AL3)</f>
        <v>#VALUE!</v>
      </c>
      <c r="AN3" s="69" t="e">
        <f>IFERROR(VLOOKUP(AL3,STN_TABLE,2,FALSE),IF(AK3=RisePerWLS,0,"-"))</f>
        <v>#VALUE!</v>
      </c>
      <c r="AO3" s="69">
        <v>1</v>
      </c>
      <c r="AP3" s="69" t="e">
        <f>AN3*AO3</f>
        <v>#VALUE!</v>
      </c>
      <c r="AQ3" s="69" t="e">
        <f>AL3</f>
        <v>#VALUE!</v>
      </c>
      <c r="AR3" s="69" t="e">
        <f>AP3*AQ3</f>
        <v>#VALUE!</v>
      </c>
      <c r="AS3" s="6" t="s">
        <v>93</v>
      </c>
      <c r="AT3" s="70" t="e">
        <f>IF(AND(AN3=0,AN4=0,AN5=0),WLS*(AL5-AL4),IF(AND(AL5-AL4=AL4-AL3,AL4&lt;&gt;AL5,AL3&lt;&gt;AL4,AL3&lt;&gt;AL5,AN5&lt;&gt;0,OR(AN3&lt;&gt;0,AN4&lt;&gt;0)),WLS*(AL5-AL4),"#NA"))</f>
        <v>#VALUE!</v>
      </c>
      <c r="AU3" s="191" t="s">
        <v>168</v>
      </c>
      <c r="AV3" s="191" t="s">
        <v>168</v>
      </c>
      <c r="AW3" s="191" t="s">
        <v>168</v>
      </c>
      <c r="AX3" s="191" t="s">
        <v>168</v>
      </c>
      <c r="BA3" t="s">
        <v>170</v>
      </c>
    </row>
    <row r="4" spans="1:64" x14ac:dyDescent="0.25">
      <c r="A4">
        <v>1</v>
      </c>
      <c r="B4" s="80">
        <f t="shared" ref="B4" si="2">VLOOKUP(Stn_WL,OFFSET_A,A4+1,FALSE)</f>
        <v>0</v>
      </c>
      <c r="C4" s="81">
        <f t="shared" ref="C4" si="3">VLOOKUP(Station_No,OFFSET_A,A4+1,FALSE)</f>
        <v>5.9</v>
      </c>
      <c r="D4" s="81">
        <v>0</v>
      </c>
      <c r="E4" s="77">
        <v>0</v>
      </c>
      <c r="K4" t="s">
        <v>100</v>
      </c>
      <c r="L4" t="e">
        <f>Rise/WLS</f>
        <v>#VALUE!</v>
      </c>
      <c r="O4" t="str">
        <f>CONCATENATE("A(",L5,")=")</f>
        <v>A(#NA)=</v>
      </c>
      <c r="P4" t="e">
        <f>IFERROR(R18,T22)</f>
        <v>#VALUE!</v>
      </c>
      <c r="U4" s="66" t="str">
        <f t="shared" si="0"/>
        <v>1st_UWL</v>
      </c>
      <c r="V4" s="67" t="str">
        <f t="shared" si="0"/>
        <v>#NA</v>
      </c>
      <c r="W4" s="76" t="str">
        <f>V5</f>
        <v>#NA</v>
      </c>
      <c r="X4" t="str">
        <f>W4</f>
        <v>#NA</v>
      </c>
      <c r="Y4" s="77" t="e">
        <f>VLOOKUP(W4,STN_TABLE,2,FALSE)</f>
        <v>#N/A</v>
      </c>
      <c r="Z4" s="77">
        <v>8</v>
      </c>
      <c r="AA4" s="77" t="e">
        <f>Y4*Z4</f>
        <v>#N/A</v>
      </c>
      <c r="AB4" s="77">
        <v>10</v>
      </c>
      <c r="AC4" s="77" t="e">
        <f>Y4*AB4</f>
        <v>#N/A</v>
      </c>
      <c r="AD4" s="78" t="s">
        <v>171</v>
      </c>
      <c r="AE4" s="191" t="s">
        <v>168</v>
      </c>
      <c r="AF4" s="78" t="s">
        <v>98</v>
      </c>
      <c r="AG4" s="191" t="s">
        <v>168</v>
      </c>
      <c r="AH4" s="7" t="s">
        <v>77</v>
      </c>
      <c r="AI4" s="191" t="s">
        <v>168</v>
      </c>
      <c r="AJ4" s="66" t="str">
        <f t="shared" si="1"/>
        <v>1st_UWL</v>
      </c>
      <c r="AK4" s="67" t="str">
        <f t="shared" si="1"/>
        <v>#NA</v>
      </c>
      <c r="AL4" s="80" t="e">
        <f>IF(OR(AK7-AK6=AK6-AK5,AK7-AK6=AK6-AK4,AK7-AK6=AK6-AK3),AK6,IF(OR(AK7-AK5=AK5-AK4,AK7-AK5=AK5-AK3),AK5,IF(AK7-AK4=AK4-AK3,AK4,"#NA")))</f>
        <v>#VALUE!</v>
      </c>
      <c r="AM4" t="e">
        <f>AL4</f>
        <v>#VALUE!</v>
      </c>
      <c r="AN4" s="77" t="e">
        <f>VLOOKUP(AL4,STN_TABLE,2,FALSE)</f>
        <v>#VALUE!</v>
      </c>
      <c r="AO4" s="77">
        <v>4</v>
      </c>
      <c r="AP4" s="77" t="e">
        <f>AN4*AO4</f>
        <v>#VALUE!</v>
      </c>
      <c r="AQ4" s="77" t="e">
        <f>AL4</f>
        <v>#VALUE!</v>
      </c>
      <c r="AR4" s="77" t="e">
        <f>AP4*AQ4</f>
        <v>#VALUE!</v>
      </c>
      <c r="AS4" s="78" t="s">
        <v>171</v>
      </c>
      <c r="AT4" s="191" t="s">
        <v>168</v>
      </c>
      <c r="AU4" s="78" t="s">
        <v>98</v>
      </c>
      <c r="AV4" s="191" t="s">
        <v>168</v>
      </c>
      <c r="AW4" s="7" t="s">
        <v>77</v>
      </c>
      <c r="AX4" s="191" t="s">
        <v>168</v>
      </c>
      <c r="BA4" t="e">
        <f t="array" aca="1" ref="BA4:BH8" ca="1">IF(ISNUMBER(R18),OFFSET(M13,,,5,8),IF(ISNUMBER(T22),OFFSET(M20,,,5,8),1/0))</f>
        <v>#DIV/0!</v>
      </c>
      <c r="BB4" t="e">
        <f ca="1"/>
        <v>#DIV/0!</v>
      </c>
      <c r="BC4" t="e">
        <f ca="1"/>
        <v>#DIV/0!</v>
      </c>
      <c r="BD4" t="e">
        <f ca="1"/>
        <v>#DIV/0!</v>
      </c>
      <c r="BE4" t="e">
        <f ca="1"/>
        <v>#DIV/0!</v>
      </c>
      <c r="BF4" s="6" t="e">
        <f ca="1"/>
        <v>#DIV/0!</v>
      </c>
      <c r="BG4" s="6" t="e">
        <f ca="1"/>
        <v>#DIV/0!</v>
      </c>
      <c r="BH4" s="70" t="e">
        <f ca="1"/>
        <v>#DIV/0!</v>
      </c>
      <c r="BI4" t="s">
        <v>168</v>
      </c>
      <c r="BJ4" t="s">
        <v>168</v>
      </c>
      <c r="BK4" t="s">
        <v>168</v>
      </c>
      <c r="BL4" t="s">
        <v>168</v>
      </c>
    </row>
    <row r="5" spans="1:64" x14ac:dyDescent="0.25">
      <c r="A5">
        <v>2</v>
      </c>
      <c r="B5" s="80">
        <f t="shared" ref="B5:B10" si="4">VLOOKUP(Stn_WL,OFFSET_A,A5+1,FALSE)</f>
        <v>0.5</v>
      </c>
      <c r="C5" s="81">
        <f t="shared" ref="C5:C10" si="5">VLOOKUP(Station_No,OFFSET_A,A5+1,FALSE)</f>
        <v>10.16</v>
      </c>
      <c r="D5" s="81">
        <f t="shared" ref="D5:D10" si="6">IFERROR(VLOOKUP(CONCATENATE("A(",B5,")="),RESULT_TABLE,6,FALSE)," ")</f>
        <v>14.9145</v>
      </c>
      <c r="E5" s="77">
        <f t="shared" ref="E5:E10" si="7">IFERROR(VLOOKUP(CONCATENATE("M(",B5,")="),RESULT_TABLE,6,FALSE)," ")</f>
        <v>7.2866250000000008</v>
      </c>
      <c r="F5">
        <f>VLOOKUP(CONCATENATE("A(",B5,")="),RESULT_TABLE,6,FALSE)</f>
        <v>14.9145</v>
      </c>
      <c r="K5" t="s">
        <v>101</v>
      </c>
      <c r="L5" t="str">
        <f>VLOOKUP(Station_No,RISE_CALC,4,FALSE)</f>
        <v>#NA</v>
      </c>
      <c r="O5" t="str">
        <f>CONCATENATE("M(",L5,")=")</f>
        <v>M(#NA)=</v>
      </c>
      <c r="P5" t="e">
        <f>IFERROR(R19,T23)</f>
        <v>#VALUE!</v>
      </c>
      <c r="U5" s="66" t="str">
        <f t="shared" si="0"/>
        <v>2nd_UWL</v>
      </c>
      <c r="V5" s="67" t="str">
        <f t="shared" si="0"/>
        <v>#NA</v>
      </c>
      <c r="W5" s="82" t="e">
        <f>IF((W3-W4)=W4-V6,V6,IF(W3-W4=W4-V7,V7,"-"))</f>
        <v>#VALUE!</v>
      </c>
      <c r="X5" t="e">
        <f>W5</f>
        <v>#VALUE!</v>
      </c>
      <c r="Y5" s="83" t="e">
        <f>VLOOKUP(W5,STN_TABLE,2,FALSE)</f>
        <v>#VALUE!</v>
      </c>
      <c r="Z5" s="83">
        <v>-1</v>
      </c>
      <c r="AA5" s="83" t="e">
        <f>Y5*Z5</f>
        <v>#VALUE!</v>
      </c>
      <c r="AB5" s="83">
        <v>-1</v>
      </c>
      <c r="AC5" s="83" t="e">
        <f>Y5*AB5</f>
        <v>#VALUE!</v>
      </c>
      <c r="AD5" s="84" t="e">
        <f>CONCATENATE("a'(",W3,"~",W4,")=")</f>
        <v>#VALUE!</v>
      </c>
      <c r="AE5" s="85" t="e">
        <f>2*AE3/12*AA6</f>
        <v>#VALUE!</v>
      </c>
      <c r="AF5" s="84" t="e">
        <f>CONCATENATE("A(",W3,")=")</f>
        <v>#VALUE!</v>
      </c>
      <c r="AG5" s="84" t="e">
        <f>IF(W3=RisePerWLS,0,VLOOKUP(W3,STN_TABLE,3,FALSE))</f>
        <v>#VALUE!</v>
      </c>
      <c r="AH5" t="str">
        <f>CONCATENATE("A(",W4,")=")</f>
        <v>A(#NA)=</v>
      </c>
      <c r="AI5" t="e">
        <f>AE5+AG5</f>
        <v>#VALUE!</v>
      </c>
      <c r="AJ5" s="66" t="str">
        <f t="shared" si="1"/>
        <v>2nd_UWL</v>
      </c>
      <c r="AK5" s="67" t="str">
        <f t="shared" si="1"/>
        <v>#NA</v>
      </c>
      <c r="AL5" s="88" t="str">
        <f>AK7</f>
        <v>#NA</v>
      </c>
      <c r="AM5" t="str">
        <f>AL5</f>
        <v>#NA</v>
      </c>
      <c r="AN5" s="83" t="e">
        <f>VLOOKUP(AL5,STN_TABLE,2,FALSE)</f>
        <v>#N/A</v>
      </c>
      <c r="AO5" s="83">
        <v>1</v>
      </c>
      <c r="AP5" s="83" t="e">
        <f>AN5*AO5</f>
        <v>#N/A</v>
      </c>
      <c r="AQ5" s="83" t="str">
        <f>AL5</f>
        <v>#NA</v>
      </c>
      <c r="AR5" s="83" t="e">
        <f>AP5*AQ5</f>
        <v>#N/A</v>
      </c>
      <c r="AS5" s="84" t="e">
        <f>CONCATENATE("a'(",AL3,"~",AL5,")=")</f>
        <v>#VALUE!</v>
      </c>
      <c r="AT5" s="84" t="e">
        <f>2*AT3/3*AP6</f>
        <v>#VALUE!</v>
      </c>
      <c r="AU5" s="84" t="e">
        <f>CONCATENATE("A(",AL3,")=")</f>
        <v>#VALUE!</v>
      </c>
      <c r="AV5" s="84" t="e">
        <f>IF(AL3=RisePerWLS,0,VLOOKUP(AL3,STN_TABLE,3,FALSE))</f>
        <v>#VALUE!</v>
      </c>
      <c r="AW5" t="str">
        <f>CONCATENATE("A(",AL5,")=")</f>
        <v>A(#NA)=</v>
      </c>
      <c r="AX5" t="e">
        <f>AT5+AV5</f>
        <v>#VALUE!</v>
      </c>
      <c r="BA5" t="e">
        <f ca="1"/>
        <v>#DIV/0!</v>
      </c>
      <c r="BB5" t="e">
        <f ca="1"/>
        <v>#DIV/0!</v>
      </c>
      <c r="BC5" t="e">
        <f ca="1"/>
        <v>#DIV/0!</v>
      </c>
      <c r="BD5" t="e">
        <f ca="1"/>
        <v>#DIV/0!</v>
      </c>
      <c r="BE5" t="e">
        <f ca="1"/>
        <v>#DIV/0!</v>
      </c>
      <c r="BF5" s="6" t="e">
        <f ca="1"/>
        <v>#DIV/0!</v>
      </c>
      <c r="BG5" s="6" t="e">
        <f ca="1"/>
        <v>#DIV/0!</v>
      </c>
      <c r="BH5" s="70" t="e">
        <f ca="1"/>
        <v>#DIV/0!</v>
      </c>
      <c r="BI5" t="s">
        <v>168</v>
      </c>
      <c r="BJ5" t="s">
        <v>168</v>
      </c>
      <c r="BK5" t="s">
        <v>168</v>
      </c>
      <c r="BL5" t="s">
        <v>168</v>
      </c>
    </row>
    <row r="6" spans="1:64" x14ac:dyDescent="0.25">
      <c r="A6">
        <v>3</v>
      </c>
      <c r="B6" s="80">
        <f t="shared" si="4"/>
        <v>1</v>
      </c>
      <c r="C6" s="81">
        <f t="shared" si="5"/>
        <v>11.35</v>
      </c>
      <c r="D6" s="81">
        <f t="shared" si="6"/>
        <v>34.734000000000002</v>
      </c>
      <c r="E6" s="77">
        <f t="shared" si="7"/>
        <v>34.203600000000002</v>
      </c>
      <c r="K6" t="s">
        <v>102</v>
      </c>
      <c r="L6" t="str">
        <f>VLOOKUP(Station_No,RISE_CALC,5,FALSE)</f>
        <v>#NA</v>
      </c>
      <c r="O6" t="str">
        <f>CONCATENATE("A(",L6,")=")</f>
        <v>A(#NA)=</v>
      </c>
      <c r="P6" t="e">
        <f>IFERROR(T27,IFERROR(AC7,AI11))</f>
        <v>#VALUE!</v>
      </c>
      <c r="U6" s="66" t="str">
        <f t="shared" si="0"/>
        <v>3rd_UWL</v>
      </c>
      <c r="V6" s="67" t="str">
        <f t="shared" si="0"/>
        <v>#NA</v>
      </c>
      <c r="X6" s="191" t="s">
        <v>168</v>
      </c>
      <c r="Y6" s="191" t="s">
        <v>168</v>
      </c>
      <c r="Z6" s="6" t="s">
        <v>172</v>
      </c>
      <c r="AA6" s="89" t="e">
        <f>SUM(AA3:AA5)</f>
        <v>#VALUE!</v>
      </c>
      <c r="AB6" s="6" t="s">
        <v>172</v>
      </c>
      <c r="AC6" s="87" t="e">
        <f>SUM(AC3:AC5)</f>
        <v>#VALUE!</v>
      </c>
      <c r="AD6" s="84" t="e">
        <f>CONCATENATE("m'(",W3,"~",W4,")=")</f>
        <v>#VALUE!</v>
      </c>
      <c r="AE6" s="85" t="e">
        <f>(2*(AE3^2)/24*AC6)+(AE5*W3*WLS)</f>
        <v>#VALUE!</v>
      </c>
      <c r="AF6" s="84" t="e">
        <f>CONCATENATE("M(",W3,")=")</f>
        <v>#VALUE!</v>
      </c>
      <c r="AG6" s="84" t="e">
        <f>IF(W3=RisePerWLS,0,VLOOKUP(W3,STN_TABLE,4,FALSE))</f>
        <v>#VALUE!</v>
      </c>
      <c r="AH6" t="str">
        <f>CONCATENATE("M(",W4,")=")</f>
        <v>M(#NA)=</v>
      </c>
      <c r="AI6" t="e">
        <f>AE6+AG6</f>
        <v>#VALUE!</v>
      </c>
      <c r="AJ6" s="66" t="str">
        <f t="shared" si="1"/>
        <v>3rd_UWL</v>
      </c>
      <c r="AK6" s="67" t="str">
        <f t="shared" si="1"/>
        <v>#NA</v>
      </c>
      <c r="AM6" s="191" t="s">
        <v>168</v>
      </c>
      <c r="AN6" s="191" t="s">
        <v>168</v>
      </c>
      <c r="AO6" s="6" t="s">
        <v>172</v>
      </c>
      <c r="AP6" s="89" t="e">
        <f>SUM(AP3:AP5)</f>
        <v>#VALUE!</v>
      </c>
      <c r="AQ6" s="6" t="s">
        <v>172</v>
      </c>
      <c r="AR6" s="89" t="e">
        <f>SUM(AR3:AR5)</f>
        <v>#VALUE!</v>
      </c>
      <c r="AS6" s="84" t="e">
        <f>CONCATENATE("m'(",AL3,"~",AL5,")=")</f>
        <v>#VALUE!</v>
      </c>
      <c r="AT6" s="84" t="e">
        <f>2*(AT3*WLS)/3*AR6</f>
        <v>#VALUE!</v>
      </c>
      <c r="AU6" s="84" t="e">
        <f>CONCATENATE("M(",AL3,")=")</f>
        <v>#VALUE!</v>
      </c>
      <c r="AV6" s="84" t="e">
        <f>IF(AL3=RisePerWLS,0,VLOOKUP(AL3,STN_TABLE,4,FALSE))</f>
        <v>#VALUE!</v>
      </c>
      <c r="AW6" t="str">
        <f>CONCATENATE("M(",AL5,")=")</f>
        <v>M(#NA)=</v>
      </c>
      <c r="AX6" t="e">
        <f>AT6+AV6</f>
        <v>#VALUE!</v>
      </c>
      <c r="BA6" t="e">
        <f ca="1"/>
        <v>#DIV/0!</v>
      </c>
      <c r="BB6" t="e">
        <f ca="1"/>
        <v>#DIV/0!</v>
      </c>
      <c r="BC6" t="e">
        <f ca="1"/>
        <v>#DIV/0!</v>
      </c>
      <c r="BD6" t="e">
        <f ca="1"/>
        <v>#DIV/0!</v>
      </c>
      <c r="BE6" t="e">
        <f ca="1"/>
        <v>#DIV/0!</v>
      </c>
      <c r="BF6" s="6" t="e">
        <f ca="1"/>
        <v>#DIV/0!</v>
      </c>
      <c r="BG6" s="6" t="e">
        <f ca="1"/>
        <v>#DIV/0!</v>
      </c>
      <c r="BH6" s="70" t="e">
        <f ca="1"/>
        <v>#DIV/0!</v>
      </c>
      <c r="BI6" t="s">
        <v>168</v>
      </c>
      <c r="BJ6" t="s">
        <v>168</v>
      </c>
      <c r="BK6" t="s">
        <v>168</v>
      </c>
      <c r="BL6" t="s">
        <v>168</v>
      </c>
    </row>
    <row r="7" spans="1:64" ht="18" x14ac:dyDescent="0.35">
      <c r="A7">
        <v>4</v>
      </c>
      <c r="B7" s="80">
        <f t="shared" si="4"/>
        <v>1.5</v>
      </c>
      <c r="C7" s="81">
        <f t="shared" si="5"/>
        <v>11.9</v>
      </c>
      <c r="D7" s="81">
        <f t="shared" si="6"/>
        <v>55.390500000000003</v>
      </c>
      <c r="E7" s="77">
        <f t="shared" si="7"/>
        <v>81.083025000000006</v>
      </c>
      <c r="K7" t="s">
        <v>104</v>
      </c>
      <c r="L7" t="str">
        <f>VLOOKUP(Station_No,RISE_CALC,6,FALSE)</f>
        <v>#NA</v>
      </c>
      <c r="O7" t="str">
        <f>CONCATENATE("M(",L6,")=")</f>
        <v>M(#NA)=</v>
      </c>
      <c r="P7" t="e">
        <f>IFERROR(T28,IFERROR(AC8,AI12))</f>
        <v>#VALUE!</v>
      </c>
      <c r="U7" s="66" t="str">
        <f t="shared" si="0"/>
        <v>4th_UWL</v>
      </c>
      <c r="V7" s="67" t="str">
        <f t="shared" si="0"/>
        <v>#NA</v>
      </c>
      <c r="Z7" t="s">
        <v>103</v>
      </c>
      <c r="AB7" t="str">
        <f>CONCATENATE("A(",W4,")=")</f>
        <v>A(#NA)=</v>
      </c>
      <c r="AC7" t="e">
        <f>IF(OR(AI5&lt;=0,AI6&lt;=0),1/0,AI5)</f>
        <v>#VALUE!</v>
      </c>
      <c r="AJ7" s="66" t="str">
        <f t="shared" si="1"/>
        <v>4th_UWL</v>
      </c>
      <c r="AK7" s="67" t="str">
        <f t="shared" si="1"/>
        <v>#NA</v>
      </c>
      <c r="AM7" t="s">
        <v>0</v>
      </c>
      <c r="AN7" t="s">
        <v>95</v>
      </c>
      <c r="AO7" t="s">
        <v>164</v>
      </c>
      <c r="AP7" t="s">
        <v>165</v>
      </c>
      <c r="AQ7" t="s">
        <v>166</v>
      </c>
      <c r="AR7" t="s">
        <v>167</v>
      </c>
      <c r="AS7" s="191" t="s">
        <v>168</v>
      </c>
      <c r="AT7" s="191" t="s">
        <v>168</v>
      </c>
      <c r="AU7" s="191" t="s">
        <v>168</v>
      </c>
      <c r="AV7" s="191" t="s">
        <v>168</v>
      </c>
      <c r="AW7" s="191" t="s">
        <v>168</v>
      </c>
      <c r="AX7" s="191" t="s">
        <v>168</v>
      </c>
      <c r="BA7" t="e">
        <f ca="1"/>
        <v>#DIV/0!</v>
      </c>
      <c r="BB7" t="e">
        <f ca="1"/>
        <v>#DIV/0!</v>
      </c>
      <c r="BC7" t="e">
        <f ca="1"/>
        <v>#DIV/0!</v>
      </c>
      <c r="BD7" t="e">
        <f ca="1"/>
        <v>#DIV/0!</v>
      </c>
      <c r="BE7" t="e">
        <f ca="1"/>
        <v>#DIV/0!</v>
      </c>
      <c r="BF7" s="6" t="e">
        <f ca="1"/>
        <v>#DIV/0!</v>
      </c>
      <c r="BG7" s="6" t="e">
        <f ca="1"/>
        <v>#DIV/0!</v>
      </c>
      <c r="BH7" s="70" t="e">
        <f ca="1"/>
        <v>#DIV/0!</v>
      </c>
      <c r="BI7" t="s">
        <v>168</v>
      </c>
      <c r="BJ7" t="s">
        <v>168</v>
      </c>
      <c r="BK7" t="s">
        <v>168</v>
      </c>
      <c r="BL7" t="s">
        <v>168</v>
      </c>
    </row>
    <row r="8" spans="1:64" x14ac:dyDescent="0.25">
      <c r="A8">
        <v>5</v>
      </c>
      <c r="B8" s="80">
        <f t="shared" si="4"/>
        <v>2</v>
      </c>
      <c r="C8" s="81">
        <f t="shared" si="5"/>
        <v>12.18</v>
      </c>
      <c r="D8" s="81">
        <f t="shared" si="6"/>
        <v>77.412000000000006</v>
      </c>
      <c r="E8" s="77">
        <f t="shared" si="7"/>
        <v>149.88240000000002</v>
      </c>
      <c r="K8" t="s">
        <v>105</v>
      </c>
      <c r="L8" t="str">
        <f>VLOOKUP(Station_No,RISE_CALC,7,FALSE)</f>
        <v>#NA</v>
      </c>
      <c r="O8" t="str">
        <f>CONCATENATE("A(",L7,")=")</f>
        <v>A(#NA)=</v>
      </c>
      <c r="P8" t="e">
        <f>IFERROR(AI16,IFERROR(AC25,AI29))</f>
        <v>#VALUE!</v>
      </c>
      <c r="U8" s="66"/>
      <c r="V8" s="67"/>
      <c r="AB8" t="str">
        <f>CONCATENATE("M(",W4,")=")</f>
        <v>M(#NA)=</v>
      </c>
      <c r="AC8" t="e">
        <f>IF(OR(AI5&lt;=0,AI6&lt;=0),1/0,AI6)</f>
        <v>#VALUE!</v>
      </c>
      <c r="AJ8" s="66"/>
      <c r="AK8" s="67"/>
      <c r="AL8" s="68" t="e">
        <f>IF(OR(AK12-AK11=AK11-AK10,AK13-AK11=AK11-AK10),AK10,IF(OR(AK12-AK11=AK11-AK9,AK13-AK11=AK11-AK9),AK9,"-"))</f>
        <v>#VALUE!</v>
      </c>
      <c r="AM8" t="e">
        <f>AL8</f>
        <v>#VALUE!</v>
      </c>
      <c r="AN8" s="69" t="e">
        <f>IFERROR(VLOOKUP(AL8,STN_TABLE,2,FALSE),IF(AK8=RisePerWLS,0,"-"))</f>
        <v>#VALUE!</v>
      </c>
      <c r="AO8" s="69">
        <v>5</v>
      </c>
      <c r="AP8" s="69" t="e">
        <f>AN8*AO8</f>
        <v>#VALUE!</v>
      </c>
      <c r="AQ8" s="69">
        <v>3</v>
      </c>
      <c r="AR8" s="69" t="e">
        <f>AN8*AQ8</f>
        <v>#VALUE!</v>
      </c>
      <c r="AS8" s="6" t="s">
        <v>93</v>
      </c>
      <c r="AT8" s="70" t="e">
        <f>IF(AND(AL10-AL9=AL9-AL8,NOT(AND(AL8=0,AL9=0)),NOT(AND(AL9=0,AL10=0))),WLS*(AL10-AL9),"#NA")</f>
        <v>#VALUE!</v>
      </c>
      <c r="AU8" s="191" t="s">
        <v>168</v>
      </c>
      <c r="AV8" s="191" t="s">
        <v>168</v>
      </c>
      <c r="AW8" s="191" t="s">
        <v>168</v>
      </c>
      <c r="AX8" s="191" t="s">
        <v>168</v>
      </c>
      <c r="BA8" t="e">
        <f ca="1"/>
        <v>#DIV/0!</v>
      </c>
      <c r="BB8" t="e">
        <f ca="1"/>
        <v>#DIV/0!</v>
      </c>
      <c r="BC8" t="e">
        <f ca="1"/>
        <v>#DIV/0!</v>
      </c>
      <c r="BD8" t="e">
        <f ca="1"/>
        <v>#DIV/0!</v>
      </c>
      <c r="BE8" t="e">
        <f ca="1"/>
        <v>#DIV/0!</v>
      </c>
      <c r="BF8" t="e">
        <f ca="1"/>
        <v>#DIV/0!</v>
      </c>
      <c r="BG8" s="6" t="e">
        <f ca="1"/>
        <v>#DIV/0!</v>
      </c>
      <c r="BH8" s="70" t="e">
        <f ca="1"/>
        <v>#DIV/0!</v>
      </c>
      <c r="BI8" t="s">
        <v>168</v>
      </c>
      <c r="BJ8" t="s">
        <v>168</v>
      </c>
      <c r="BK8" t="s">
        <v>168</v>
      </c>
      <c r="BL8" t="s">
        <v>168</v>
      </c>
    </row>
    <row r="9" spans="1:64" ht="18" x14ac:dyDescent="0.35">
      <c r="A9">
        <v>6</v>
      </c>
      <c r="B9" s="80">
        <f t="shared" si="4"/>
        <v>3</v>
      </c>
      <c r="C9" s="81">
        <f t="shared" si="5"/>
        <v>12.25</v>
      </c>
      <c r="D9" s="81">
        <f t="shared" si="6"/>
        <v>121.518</v>
      </c>
      <c r="E9" s="77">
        <f t="shared" si="7"/>
        <v>348.57</v>
      </c>
      <c r="K9" t="s">
        <v>106</v>
      </c>
      <c r="L9" t="str">
        <f>VLOOKUP(Station_No,RISE_CALC,8,FALSE)</f>
        <v>#NA</v>
      </c>
      <c r="O9" t="str">
        <f>CONCATENATE("M(",L7,")=")</f>
        <v>M(#NA)=</v>
      </c>
      <c r="P9" t="e">
        <f>IFERROR(AI17,IFERROR(AC26,AI30))</f>
        <v>#VALUE!</v>
      </c>
      <c r="U9" s="80"/>
      <c r="V9" s="81"/>
      <c r="X9" t="s">
        <v>0</v>
      </c>
      <c r="Y9" t="s">
        <v>95</v>
      </c>
      <c r="Z9" t="s">
        <v>173</v>
      </c>
      <c r="AA9" t="s">
        <v>174</v>
      </c>
      <c r="AB9" t="s">
        <v>175</v>
      </c>
      <c r="AC9" t="s">
        <v>176</v>
      </c>
      <c r="AD9" s="6" t="s">
        <v>93</v>
      </c>
      <c r="AE9" s="70" t="e">
        <f>WLS*(Z11-Z10)</f>
        <v>#VALUE!</v>
      </c>
      <c r="AF9" s="191" t="s">
        <v>168</v>
      </c>
      <c r="AG9" s="191" t="s">
        <v>168</v>
      </c>
      <c r="AH9" s="191" t="s">
        <v>168</v>
      </c>
      <c r="AI9" s="191" t="s">
        <v>168</v>
      </c>
      <c r="AJ9" s="66" t="str">
        <f t="shared" ref="AJ9:AK13" si="8">K6</f>
        <v>2nd_UWL</v>
      </c>
      <c r="AK9" s="67" t="str">
        <f t="shared" si="8"/>
        <v>#NA</v>
      </c>
      <c r="AL9" s="76" t="str">
        <f>AK11</f>
        <v>#NA</v>
      </c>
      <c r="AM9" t="str">
        <f>AL9</f>
        <v>#NA</v>
      </c>
      <c r="AN9" s="77" t="e">
        <f>VLOOKUP(AL9,STN_TABLE,2,FALSE)</f>
        <v>#N/A</v>
      </c>
      <c r="AO9" s="77">
        <v>8</v>
      </c>
      <c r="AP9" s="77" t="e">
        <f>AN9*AO9</f>
        <v>#N/A</v>
      </c>
      <c r="AQ9" s="77">
        <v>10</v>
      </c>
      <c r="AR9" s="77" t="e">
        <f>AN9*AQ9</f>
        <v>#N/A</v>
      </c>
      <c r="AS9" s="78" t="s">
        <v>171</v>
      </c>
      <c r="AT9" s="191" t="s">
        <v>168</v>
      </c>
      <c r="AU9" s="78" t="s">
        <v>98</v>
      </c>
      <c r="AV9" s="191" t="s">
        <v>168</v>
      </c>
      <c r="AW9" s="7" t="s">
        <v>77</v>
      </c>
      <c r="AX9" s="191" t="s">
        <v>168</v>
      </c>
      <c r="BA9" t="s">
        <v>177</v>
      </c>
    </row>
    <row r="10" spans="1:64" x14ac:dyDescent="0.25">
      <c r="A10">
        <v>7</v>
      </c>
      <c r="B10" s="80">
        <f t="shared" si="4"/>
        <v>4</v>
      </c>
      <c r="C10" s="81">
        <f t="shared" si="5"/>
        <v>12.25</v>
      </c>
      <c r="D10" s="81">
        <f t="shared" si="6"/>
        <v>165.52800000000002</v>
      </c>
      <c r="E10" s="77">
        <f t="shared" si="7"/>
        <v>625.86000000000013</v>
      </c>
      <c r="K10" t="s">
        <v>107</v>
      </c>
      <c r="L10" t="str">
        <f>VLOOKUP(Station_No,RISE_CALC,9,FALSE)</f>
        <v>#NA</v>
      </c>
      <c r="O10" t="str">
        <f>CONCATENATE("A(",L8,")=")</f>
        <v>A(#NA)=</v>
      </c>
      <c r="P10" t="e">
        <f>IFERROR(AX5,IFERROR(AR12,AX16))</f>
        <v>#VALUE!</v>
      </c>
      <c r="U10" s="80"/>
      <c r="V10" s="81"/>
      <c r="X10" s="191" t="s">
        <v>168</v>
      </c>
      <c r="Y10" s="191" t="s">
        <v>168</v>
      </c>
      <c r="Z10" s="79" t="str">
        <f>V4</f>
        <v>#NA</v>
      </c>
      <c r="AA10" s="68" t="e">
        <f>VLOOKUP(Z10,STN_TABLE,2,FALSE)</f>
        <v>#N/A</v>
      </c>
      <c r="AB10" s="68">
        <v>1</v>
      </c>
      <c r="AC10" s="69" t="e">
        <f>AA10*AB10</f>
        <v>#N/A</v>
      </c>
      <c r="AD10" s="78" t="s">
        <v>171</v>
      </c>
      <c r="AE10" s="191" t="s">
        <v>168</v>
      </c>
      <c r="AF10" s="78" t="s">
        <v>98</v>
      </c>
      <c r="AG10" s="191" t="s">
        <v>168</v>
      </c>
      <c r="AH10" s="7" t="s">
        <v>77</v>
      </c>
      <c r="AI10" s="191" t="s">
        <v>168</v>
      </c>
      <c r="AJ10" s="66" t="str">
        <f t="shared" si="8"/>
        <v>3rd_UWL</v>
      </c>
      <c r="AK10" s="67" t="str">
        <f t="shared" si="8"/>
        <v>#NA</v>
      </c>
      <c r="AL10" s="82" t="e">
        <f>IF(AL8-AL9=AL9-AK12,AK12,IF(AL8-AL9=AL9-AK13,AK13,"-"))</f>
        <v>#VALUE!</v>
      </c>
      <c r="AM10" t="e">
        <f>AL10</f>
        <v>#VALUE!</v>
      </c>
      <c r="AN10" s="83" t="e">
        <f>VLOOKUP(AL10,STN_TABLE,2,FALSE)</f>
        <v>#VALUE!</v>
      </c>
      <c r="AO10" s="83">
        <v>-1</v>
      </c>
      <c r="AP10" s="83" t="e">
        <f>AN10*AO10</f>
        <v>#VALUE!</v>
      </c>
      <c r="AQ10" s="83">
        <v>-1</v>
      </c>
      <c r="AR10" s="83" t="e">
        <f>AN10*AQ10</f>
        <v>#VALUE!</v>
      </c>
      <c r="AS10" s="84" t="e">
        <f>CONCATENATE("a'(",AL8,"~",AL9,")=")</f>
        <v>#VALUE!</v>
      </c>
      <c r="AT10" s="84" t="e">
        <f>2*AT8/12*AP11</f>
        <v>#VALUE!</v>
      </c>
      <c r="AU10" s="84" t="e">
        <f>CONCATENATE("A(",AL8,")=")</f>
        <v>#VALUE!</v>
      </c>
      <c r="AV10" s="84" t="e">
        <f>VLOOKUP(AL8,STN_TABLE,3,FALSE)</f>
        <v>#VALUE!</v>
      </c>
      <c r="AW10" t="str">
        <f>CONCATENATE("A(",AL9,")=")</f>
        <v>A(#NA)=</v>
      </c>
      <c r="AX10" t="e">
        <f>AT10+AV10</f>
        <v>#VALUE!</v>
      </c>
      <c r="BA10" t="e">
        <f t="array" aca="1" ref="BA10:BL14" ca="1">IF(ISNUMBER(T27),OFFSET(M25,,,5,8),IF(ISNUMBER(AC7),OFFSET(X2,,,5,12),IF(ISNUMBER(AI11),OFFSET(X9,,,4,12),1/0)))</f>
        <v>#DIV/0!</v>
      </c>
      <c r="BB10" t="e">
        <f ca="1"/>
        <v>#DIV/0!</v>
      </c>
      <c r="BC10" t="e">
        <f ca="1"/>
        <v>#DIV/0!</v>
      </c>
      <c r="BD10" t="e">
        <f ca="1"/>
        <v>#DIV/0!</v>
      </c>
      <c r="BE10" t="e">
        <f ca="1"/>
        <v>#DIV/0!</v>
      </c>
      <c r="BF10" t="e">
        <f ca="1"/>
        <v>#DIV/0!</v>
      </c>
      <c r="BG10" s="6" t="e">
        <f ca="1"/>
        <v>#DIV/0!</v>
      </c>
      <c r="BH10" s="70" t="e">
        <f ca="1"/>
        <v>#DIV/0!</v>
      </c>
      <c r="BI10" t="e">
        <f ca="1"/>
        <v>#DIV/0!</v>
      </c>
      <c r="BJ10" t="e">
        <f ca="1"/>
        <v>#DIV/0!</v>
      </c>
      <c r="BK10" t="e">
        <f ca="1"/>
        <v>#DIV/0!</v>
      </c>
      <c r="BL10" t="e">
        <f ca="1"/>
        <v>#DIV/0!</v>
      </c>
    </row>
    <row r="11" spans="1:64" x14ac:dyDescent="0.25">
      <c r="A11">
        <v>8</v>
      </c>
      <c r="B11" s="80">
        <f t="shared" ref="B11:B17" si="9">VLOOKUP(Stn_WL,OFFSET_A,A11+1,FALSE)</f>
        <v>5</v>
      </c>
      <c r="C11" s="81">
        <f t="shared" ref="C11:C17" si="10">VLOOKUP(Station_No,OFFSET_A,A11+1,FALSE)</f>
        <v>12.25</v>
      </c>
      <c r="D11" s="81">
        <f t="shared" ref="D11:D17" si="11">IFERROR(VLOOKUP(CONCATENATE("A(",B11,")="),RESULT_TABLE,6,FALSE)," ")</f>
        <v>209.71800000000002</v>
      </c>
      <c r="E11" s="77">
        <f t="shared" ref="E11:E17" si="12">IFERROR(VLOOKUP(CONCATENATE("M(",B11,")="),RESULT_TABLE,6,FALSE)," ")</f>
        <v>983.61000000000013</v>
      </c>
      <c r="K11" t="s">
        <v>108</v>
      </c>
      <c r="L11" t="str">
        <f>VLOOKUP(Station_No,RISE_CALC,10,FALSE)</f>
        <v>#NA</v>
      </c>
      <c r="O11" t="str">
        <f>CONCATENATE("M(",L8,")=")</f>
        <v>M(#NA)=</v>
      </c>
      <c r="P11" t="e">
        <f>IFERROR(AX6,IFERROR(AR13,AX17))</f>
        <v>#VALUE!</v>
      </c>
      <c r="U11" s="80"/>
      <c r="V11" s="81"/>
      <c r="X11" s="191" t="s">
        <v>168</v>
      </c>
      <c r="Y11" s="191" t="s">
        <v>168</v>
      </c>
      <c r="Z11" s="88" t="str">
        <f>V5</f>
        <v>#NA</v>
      </c>
      <c r="AA11" s="82" t="e">
        <f>VLOOKUP(Z11,STN_TABLE,2,FALSE)</f>
        <v>#N/A</v>
      </c>
      <c r="AB11" s="82">
        <v>2</v>
      </c>
      <c r="AC11" s="83" t="e">
        <f>AA11*AB11</f>
        <v>#N/A</v>
      </c>
      <c r="AD11" s="84" t="str">
        <f>CONCATENATE("a'(",Z10,"~",Z11,")=")</f>
        <v>a'(#NA~#NA)=</v>
      </c>
      <c r="AE11" s="84" t="e">
        <f>2*AE9/2*AA12</f>
        <v>#VALUE!</v>
      </c>
      <c r="AF11" s="84" t="str">
        <f>CONCATENATE("A(",Z10,")=")</f>
        <v>A(#NA)=</v>
      </c>
      <c r="AG11" s="84" t="e">
        <f>IF(Z10=RisePerWLS,0,VLOOKUP(Z10,STN_TABLE,3,FALSE))</f>
        <v>#VALUE!</v>
      </c>
      <c r="AH11" t="str">
        <f>CONCATENATE("A(",Z11,")=")</f>
        <v>A(#NA)=</v>
      </c>
      <c r="AI11" t="e">
        <f>AE11+AG11</f>
        <v>#VALUE!</v>
      </c>
      <c r="AJ11" s="66" t="str">
        <f t="shared" si="8"/>
        <v>4th_UWL</v>
      </c>
      <c r="AK11" s="67" t="str">
        <f t="shared" si="8"/>
        <v>#NA</v>
      </c>
      <c r="AM11" s="191" t="s">
        <v>168</v>
      </c>
      <c r="AN11" s="191" t="s">
        <v>168</v>
      </c>
      <c r="AO11" s="6" t="s">
        <v>172</v>
      </c>
      <c r="AP11" s="89" t="e">
        <f>SUM(AP8:AP10)</f>
        <v>#VALUE!</v>
      </c>
      <c r="AQ11" s="6" t="s">
        <v>172</v>
      </c>
      <c r="AR11" s="89" t="e">
        <f>SUM(AR8:AR10)</f>
        <v>#VALUE!</v>
      </c>
      <c r="AS11" s="84" t="e">
        <f>CONCATENATE("m'(",AL8,"~",AL9,")=")</f>
        <v>#VALUE!</v>
      </c>
      <c r="AT11" s="84" t="e">
        <f>(2*(AT8^2)/24*AR11)+(AT10*AL8*WLS)</f>
        <v>#VALUE!</v>
      </c>
      <c r="AU11" s="84" t="e">
        <f>CONCATENATE("M(",AL8,")=")</f>
        <v>#VALUE!</v>
      </c>
      <c r="AV11" s="84" t="e">
        <f>VLOOKUP(AL8,STN_TABLE,4,FALSE)</f>
        <v>#VALUE!</v>
      </c>
      <c r="AW11" t="str">
        <f>CONCATENATE("M(",AL9,")=")</f>
        <v>M(#NA)=</v>
      </c>
      <c r="AX11" t="e">
        <f>AT11+AV11</f>
        <v>#VALUE!</v>
      </c>
      <c r="BA11" t="e">
        <f ca="1"/>
        <v>#DIV/0!</v>
      </c>
      <c r="BB11" t="e">
        <f ca="1"/>
        <v>#DIV/0!</v>
      </c>
      <c r="BC11" t="e">
        <f ca="1"/>
        <v>#DIV/0!</v>
      </c>
      <c r="BD11" t="e">
        <f ca="1"/>
        <v>#DIV/0!</v>
      </c>
      <c r="BE11" t="e">
        <f ca="1"/>
        <v>#DIV/0!</v>
      </c>
      <c r="BF11" t="e">
        <f ca="1"/>
        <v>#DIV/0!</v>
      </c>
      <c r="BG11" s="6" t="e">
        <f ca="1"/>
        <v>#DIV/0!</v>
      </c>
      <c r="BH11" s="70" t="e">
        <f ca="1"/>
        <v>#DIV/0!</v>
      </c>
      <c r="BI11" t="e">
        <f ca="1"/>
        <v>#DIV/0!</v>
      </c>
      <c r="BJ11" t="e">
        <f ca="1"/>
        <v>#DIV/0!</v>
      </c>
      <c r="BK11" t="e">
        <f ca="1"/>
        <v>#DIV/0!</v>
      </c>
      <c r="BL11" t="e">
        <f ca="1"/>
        <v>#DIV/0!</v>
      </c>
    </row>
    <row r="12" spans="1:64" x14ac:dyDescent="0.25">
      <c r="A12">
        <v>9</v>
      </c>
      <c r="B12" s="80">
        <f t="shared" si="9"/>
        <v>5.6111111111111107</v>
      </c>
      <c r="C12" s="81">
        <f t="shared" si="10"/>
        <v>12.25</v>
      </c>
      <c r="D12" s="81">
        <f t="shared" si="11"/>
        <v>236.66800000000001</v>
      </c>
      <c r="E12" s="77">
        <f t="shared" si="12"/>
        <v>1240.9825000000001</v>
      </c>
      <c r="U12" s="80"/>
      <c r="V12" s="81"/>
      <c r="X12" s="191" t="s">
        <v>168</v>
      </c>
      <c r="Y12" s="191" t="s">
        <v>168</v>
      </c>
      <c r="Z12" s="6" t="s">
        <v>172</v>
      </c>
      <c r="AA12" s="89" t="e">
        <f>SUM(AA10:AA11)</f>
        <v>#N/A</v>
      </c>
      <c r="AB12" s="6" t="s">
        <v>172</v>
      </c>
      <c r="AC12" s="89" t="e">
        <f>SUM(AC10:AC11)</f>
        <v>#N/A</v>
      </c>
      <c r="AD12" s="84" t="str">
        <f>CONCATENATE("m'(",Z10,"~",Z11,")=")</f>
        <v>m'(#NA~#NA)=</v>
      </c>
      <c r="AE12" s="84" t="e">
        <f>(2*(AE9^2)/6*AC12)+(AE11*Z10*WLS)</f>
        <v>#VALUE!</v>
      </c>
      <c r="AF12" s="84" t="str">
        <f>CONCATENATE("M(",Z10,")=")</f>
        <v>M(#NA)=</v>
      </c>
      <c r="AG12" s="84" t="e">
        <f>IF(Z10=RisePerWLS,0,VLOOKUP(Z10,STN_TABLE,4,FALSE))</f>
        <v>#VALUE!</v>
      </c>
      <c r="AH12" t="str">
        <f>CONCATENATE("M(",Z11,")=")</f>
        <v>M(#NA)=</v>
      </c>
      <c r="AI12" t="e">
        <f>AE12+AG12</f>
        <v>#VALUE!</v>
      </c>
      <c r="AJ12" s="66" t="str">
        <f t="shared" si="8"/>
        <v>5th_UWL</v>
      </c>
      <c r="AK12" s="67" t="str">
        <f t="shared" si="8"/>
        <v>#NA</v>
      </c>
      <c r="AO12" t="s">
        <v>103</v>
      </c>
      <c r="AQ12" t="str">
        <f>CONCATENATE("A(",AL9,")=")</f>
        <v>A(#NA)=</v>
      </c>
      <c r="AR12" t="e">
        <f>IF(OR(AX10&lt;=0,AX11&lt;=0),1/0,AX10)</f>
        <v>#VALUE!</v>
      </c>
      <c r="BA12" t="e">
        <f ca="1"/>
        <v>#DIV/0!</v>
      </c>
      <c r="BB12" t="e">
        <f ca="1"/>
        <v>#DIV/0!</v>
      </c>
      <c r="BC12" t="e">
        <f ca="1"/>
        <v>#DIV/0!</v>
      </c>
      <c r="BD12" t="e">
        <f ca="1"/>
        <v>#DIV/0!</v>
      </c>
      <c r="BE12" t="e">
        <f ca="1"/>
        <v>#DIV/0!</v>
      </c>
      <c r="BF12" t="e">
        <f ca="1"/>
        <v>#DIV/0!</v>
      </c>
      <c r="BG12" s="6" t="e">
        <f ca="1"/>
        <v>#DIV/0!</v>
      </c>
      <c r="BH12" s="70" t="e">
        <f ca="1"/>
        <v>#DIV/0!</v>
      </c>
      <c r="BI12" t="e">
        <f ca="1"/>
        <v>#DIV/0!</v>
      </c>
      <c r="BJ12" t="e">
        <f ca="1"/>
        <v>#DIV/0!</v>
      </c>
      <c r="BK12" t="e">
        <f ca="1"/>
        <v>#DIV/0!</v>
      </c>
      <c r="BL12" t="e">
        <f ca="1"/>
        <v>#DIV/0!</v>
      </c>
    </row>
    <row r="13" spans="1:64" ht="18" x14ac:dyDescent="0.35">
      <c r="A13">
        <v>10</v>
      </c>
      <c r="B13" s="80">
        <f t="shared" si="9"/>
        <v>6</v>
      </c>
      <c r="C13" s="81">
        <f t="shared" si="10"/>
        <v>12.25</v>
      </c>
      <c r="D13" s="81">
        <f t="shared" si="11"/>
        <v>253.72800000000001</v>
      </c>
      <c r="E13" s="77">
        <f t="shared" si="12"/>
        <v>1419.6600000000003</v>
      </c>
      <c r="J13" s="71" t="s">
        <v>110</v>
      </c>
      <c r="M13" t="s">
        <v>0</v>
      </c>
      <c r="N13" t="s">
        <v>95</v>
      </c>
      <c r="O13" t="s">
        <v>164</v>
      </c>
      <c r="P13" t="s">
        <v>165</v>
      </c>
      <c r="Q13" t="s">
        <v>166</v>
      </c>
      <c r="R13" t="s">
        <v>167</v>
      </c>
      <c r="S13" t="s">
        <v>93</v>
      </c>
      <c r="T13" t="e">
        <f>IF(AND(NOT(AND(N14=0,N15=0)),L14&lt;&gt;L15,L15&lt;&gt;L16,L16-L15=L15-L14),(L16-L15)*WLS,"#NA")</f>
        <v>#N/A</v>
      </c>
      <c r="U13" s="90" t="s">
        <v>109</v>
      </c>
      <c r="V13" s="81"/>
      <c r="X13" t="s">
        <v>0</v>
      </c>
      <c r="Y13" t="s">
        <v>95</v>
      </c>
      <c r="Z13" t="s">
        <v>164</v>
      </c>
      <c r="AA13" t="s">
        <v>165</v>
      </c>
      <c r="AB13" t="s">
        <v>13</v>
      </c>
      <c r="AC13" t="s">
        <v>169</v>
      </c>
      <c r="AD13" s="191" t="s">
        <v>168</v>
      </c>
      <c r="AE13" s="191" t="s">
        <v>168</v>
      </c>
      <c r="AF13" s="191" t="s">
        <v>168</v>
      </c>
      <c r="AG13" s="191" t="s">
        <v>168</v>
      </c>
      <c r="AH13" s="191" t="s">
        <v>168</v>
      </c>
      <c r="AI13" s="191" t="s">
        <v>168</v>
      </c>
      <c r="AJ13" s="66" t="str">
        <f t="shared" si="8"/>
        <v>6th_UWL</v>
      </c>
      <c r="AK13" s="67" t="str">
        <f t="shared" si="8"/>
        <v>#NA</v>
      </c>
      <c r="AQ13" t="str">
        <f>CONCATENATE("M(",AL9,")=")</f>
        <v>M(#NA)=</v>
      </c>
      <c r="AR13" t="e">
        <f>IF(OR(AX10&lt;=0,AX11&lt;=0),1/0,AX11)</f>
        <v>#VALUE!</v>
      </c>
      <c r="BA13" t="e">
        <f ca="1"/>
        <v>#DIV/0!</v>
      </c>
      <c r="BB13" t="e">
        <f ca="1"/>
        <v>#DIV/0!</v>
      </c>
      <c r="BC13" t="e">
        <f ca="1"/>
        <v>#DIV/0!</v>
      </c>
      <c r="BD13" t="e">
        <f ca="1"/>
        <v>#DIV/0!</v>
      </c>
      <c r="BE13" t="e">
        <f ca="1"/>
        <v>#DIV/0!</v>
      </c>
      <c r="BF13" t="e">
        <f ca="1"/>
        <v>#DIV/0!</v>
      </c>
      <c r="BG13" s="6" t="e">
        <f ca="1"/>
        <v>#DIV/0!</v>
      </c>
      <c r="BH13" s="70" t="e">
        <f ca="1"/>
        <v>#DIV/0!</v>
      </c>
      <c r="BI13" t="e">
        <f ca="1"/>
        <v>#DIV/0!</v>
      </c>
      <c r="BJ13" t="e">
        <f ca="1"/>
        <v>#DIV/0!</v>
      </c>
      <c r="BK13" t="e">
        <f ca="1"/>
        <v>#DIV/0!</v>
      </c>
      <c r="BL13" t="e">
        <f ca="1"/>
        <v>#DIV/0!</v>
      </c>
    </row>
    <row r="14" spans="1:64" ht="18" x14ac:dyDescent="0.35">
      <c r="A14">
        <v>11</v>
      </c>
      <c r="B14" s="80">
        <f t="shared" si="9"/>
        <v>7</v>
      </c>
      <c r="C14" s="81">
        <f t="shared" si="10"/>
        <v>12.25</v>
      </c>
      <c r="D14" s="81">
        <f t="shared" si="11"/>
        <v>297.91800000000001</v>
      </c>
      <c r="E14" s="77">
        <f t="shared" si="12"/>
        <v>1936.17</v>
      </c>
      <c r="J14" s="91" t="str">
        <f>K4</f>
        <v>Rise</v>
      </c>
      <c r="K14" s="91" t="e">
        <f>RisePerWLS</f>
        <v>#VALUE!</v>
      </c>
      <c r="L14" s="68" t="e">
        <f>K14</f>
        <v>#VALUE!</v>
      </c>
      <c r="M14" t="e">
        <f>CONCATENATE(L14,"(Rise)")</f>
        <v>#VALUE!</v>
      </c>
      <c r="N14" s="69">
        <v>0</v>
      </c>
      <c r="O14" s="69">
        <v>5</v>
      </c>
      <c r="P14" s="69">
        <f>N14*O14</f>
        <v>0</v>
      </c>
      <c r="Q14" s="69">
        <v>3</v>
      </c>
      <c r="R14" s="69">
        <f>N14*Q14</f>
        <v>0</v>
      </c>
      <c r="S14" s="191" t="s">
        <v>168</v>
      </c>
      <c r="T14" s="191" t="s">
        <v>168</v>
      </c>
      <c r="U14" s="66" t="str">
        <f t="shared" ref="U14:V17" si="13">K4</f>
        <v>Rise</v>
      </c>
      <c r="V14" s="67" t="e">
        <f t="shared" si="13"/>
        <v>#VALUE!</v>
      </c>
      <c r="W14" s="68" t="e">
        <f>IF(V17-V16=V16-V15,V15,IF(V17-V15=V15-V14,V14,"-"))</f>
        <v>#VALUE!</v>
      </c>
      <c r="X14" t="e">
        <f>IF(V14=W14,CONCATENATE(V14,"(Rise)"),W14)</f>
        <v>#VALUE!</v>
      </c>
      <c r="Y14" s="69" t="e">
        <f>IFERROR(VLOOKUP(W14,STN_TABLE,2,FALSE),IF(V14=RisePerWLS,0,"-"))</f>
        <v>#VALUE!</v>
      </c>
      <c r="Z14" s="69">
        <v>1</v>
      </c>
      <c r="AA14" s="69" t="e">
        <f>Y14*Z14</f>
        <v>#VALUE!</v>
      </c>
      <c r="AB14" s="69" t="e">
        <f>W14</f>
        <v>#VALUE!</v>
      </c>
      <c r="AC14" s="69" t="e">
        <f>AA14*AB14</f>
        <v>#VALUE!</v>
      </c>
      <c r="AD14" s="6" t="s">
        <v>93</v>
      </c>
      <c r="AE14" s="70" t="e">
        <f>IF(AND(Y14=0,Y15=0,Y16=0),WLS*(W16-W15),IF(AND(W16-W15=W15-W14,W15&lt;&gt;W16,W14&lt;&gt;W15,W14&lt;&gt;W16,Y16&lt;&gt;0,OR(Y14&lt;&gt;0,Y15&lt;&gt;0)),WLS*(W16-W15),"#NA"))</f>
        <v>#VALUE!</v>
      </c>
      <c r="AF14" s="191" t="s">
        <v>168</v>
      </c>
      <c r="AG14" s="191" t="s">
        <v>168</v>
      </c>
      <c r="AH14" s="191" t="s">
        <v>168</v>
      </c>
      <c r="AI14" s="191" t="s">
        <v>168</v>
      </c>
      <c r="AJ14" s="66"/>
      <c r="AK14" s="67"/>
      <c r="AM14" t="s">
        <v>0</v>
      </c>
      <c r="AN14" t="s">
        <v>95</v>
      </c>
      <c r="AO14" t="s">
        <v>173</v>
      </c>
      <c r="AP14" t="s">
        <v>174</v>
      </c>
      <c r="AQ14" t="s">
        <v>175</v>
      </c>
      <c r="AR14" t="s">
        <v>176</v>
      </c>
      <c r="AS14" s="6" t="s">
        <v>93</v>
      </c>
      <c r="AT14" s="70" t="e">
        <f>WLS*(AO16-AO15)</f>
        <v>#VALUE!</v>
      </c>
      <c r="AU14" s="191" t="s">
        <v>168</v>
      </c>
      <c r="AV14" s="191" t="s">
        <v>168</v>
      </c>
      <c r="AW14" s="191" t="s">
        <v>168</v>
      </c>
      <c r="AX14" s="191" t="s">
        <v>168</v>
      </c>
      <c r="BA14" t="e">
        <f ca="1"/>
        <v>#DIV/0!</v>
      </c>
      <c r="BB14" t="e">
        <f ca="1"/>
        <v>#DIV/0!</v>
      </c>
      <c r="BC14" t="e">
        <f ca="1"/>
        <v>#DIV/0!</v>
      </c>
      <c r="BD14" t="e">
        <f ca="1"/>
        <v>#DIV/0!</v>
      </c>
      <c r="BE14" t="e">
        <f ca="1"/>
        <v>#DIV/0!</v>
      </c>
      <c r="BF14" t="e">
        <f ca="1"/>
        <v>#DIV/0!</v>
      </c>
      <c r="BG14" s="6" t="e">
        <f ca="1"/>
        <v>#DIV/0!</v>
      </c>
      <c r="BH14" s="70" t="e">
        <f ca="1"/>
        <v>#DIV/0!</v>
      </c>
      <c r="BI14" t="e">
        <f ca="1"/>
        <v>#DIV/0!</v>
      </c>
      <c r="BJ14" t="e">
        <f ca="1"/>
        <v>#DIV/0!</v>
      </c>
      <c r="BK14" t="e">
        <f ca="1"/>
        <v>#DIV/0!</v>
      </c>
      <c r="BL14" t="e">
        <f ca="1"/>
        <v>#DIV/0!</v>
      </c>
    </row>
    <row r="15" spans="1:64" x14ac:dyDescent="0.25">
      <c r="A15">
        <v>12</v>
      </c>
      <c r="B15" s="80">
        <f t="shared" si="9"/>
        <v>7.8833333333333329</v>
      </c>
      <c r="C15" s="81">
        <f t="shared" si="10"/>
        <v>12.25</v>
      </c>
      <c r="D15" s="81">
        <f t="shared" si="11"/>
        <v>336.87299999999999</v>
      </c>
      <c r="E15" s="77">
        <f t="shared" si="12"/>
        <v>2457.9722249999995</v>
      </c>
      <c r="J15" s="91" t="str">
        <f>K5</f>
        <v>1st_UWL</v>
      </c>
      <c r="K15" s="91" t="str">
        <f>L5</f>
        <v>#NA</v>
      </c>
      <c r="L15" s="76" t="str">
        <f>K15</f>
        <v>#NA</v>
      </c>
      <c r="M15" t="str">
        <f>L15</f>
        <v>#NA</v>
      </c>
      <c r="N15" s="77" t="e">
        <f>VLOOKUP(L15,STN_TABLE,2,FALSE)</f>
        <v>#N/A</v>
      </c>
      <c r="O15" s="77">
        <v>8</v>
      </c>
      <c r="P15" s="77" t="e">
        <f>N15*O15</f>
        <v>#N/A</v>
      </c>
      <c r="Q15" s="77">
        <v>10</v>
      </c>
      <c r="R15" s="77" t="e">
        <f>N15*Q15</f>
        <v>#N/A</v>
      </c>
      <c r="S15" t="str">
        <f>CONCATENATE("A(",L15,")=")</f>
        <v>A(#NA)=</v>
      </c>
      <c r="T15" t="e">
        <f>2*T13/12*P17</f>
        <v>#N/A</v>
      </c>
      <c r="U15" s="66" t="str">
        <f t="shared" si="13"/>
        <v>1st_UWL</v>
      </c>
      <c r="V15" s="67" t="str">
        <f t="shared" si="13"/>
        <v>#NA</v>
      </c>
      <c r="W15" s="76" t="e">
        <f>IF(V17-V16=V16-V15,V16,IF(V17-V15=V15-V14,V15,"-"))</f>
        <v>#VALUE!</v>
      </c>
      <c r="X15" t="e">
        <f>W15</f>
        <v>#VALUE!</v>
      </c>
      <c r="Y15" s="77" t="e">
        <f>VLOOKUP(W15,STN_TABLE,2,FALSE)</f>
        <v>#VALUE!</v>
      </c>
      <c r="Z15" s="77">
        <v>4</v>
      </c>
      <c r="AA15" s="77" t="e">
        <f>Y15*Z15</f>
        <v>#VALUE!</v>
      </c>
      <c r="AB15" s="77" t="e">
        <f>W15</f>
        <v>#VALUE!</v>
      </c>
      <c r="AC15" s="77" t="e">
        <f>AA15*AB15</f>
        <v>#VALUE!</v>
      </c>
      <c r="AD15" s="78" t="s">
        <v>171</v>
      </c>
      <c r="AE15" s="191" t="s">
        <v>168</v>
      </c>
      <c r="AF15" s="78" t="s">
        <v>98</v>
      </c>
      <c r="AG15" s="191" t="s">
        <v>168</v>
      </c>
      <c r="AH15" s="7" t="s">
        <v>77</v>
      </c>
      <c r="AI15" s="191" t="s">
        <v>168</v>
      </c>
      <c r="AJ15" s="80"/>
      <c r="AM15" s="191" t="s">
        <v>168</v>
      </c>
      <c r="AN15" s="191" t="s">
        <v>168</v>
      </c>
      <c r="AO15" s="79" t="str">
        <f>AK10</f>
        <v>#NA</v>
      </c>
      <c r="AP15" s="68" t="e">
        <f>VLOOKUP(AO15,STN_TABLE,2,FALSE)</f>
        <v>#N/A</v>
      </c>
      <c r="AQ15" s="68">
        <v>1</v>
      </c>
      <c r="AR15" s="69" t="e">
        <f>AP15*AQ15</f>
        <v>#N/A</v>
      </c>
      <c r="AS15" s="78" t="s">
        <v>171</v>
      </c>
      <c r="AT15" s="191" t="s">
        <v>168</v>
      </c>
      <c r="AU15" s="78" t="s">
        <v>98</v>
      </c>
      <c r="AV15" s="191" t="s">
        <v>168</v>
      </c>
      <c r="AW15" s="7" t="s">
        <v>77</v>
      </c>
      <c r="AX15" s="191" t="s">
        <v>168</v>
      </c>
    </row>
    <row r="16" spans="1:64" x14ac:dyDescent="0.25">
      <c r="A16">
        <v>13</v>
      </c>
      <c r="B16" s="80" t="str">
        <f t="shared" si="9"/>
        <v xml:space="preserve">  </v>
      </c>
      <c r="C16" s="81" t="str">
        <f t="shared" si="10"/>
        <v xml:space="preserve">  </v>
      </c>
      <c r="D16" s="81" t="str">
        <f t="shared" si="11"/>
        <v xml:space="preserve"> </v>
      </c>
      <c r="E16" s="77" t="str">
        <f t="shared" si="12"/>
        <v xml:space="preserve"> </v>
      </c>
      <c r="J16" s="91" t="str">
        <f>K6</f>
        <v>2nd_UWL</v>
      </c>
      <c r="K16" s="91" t="str">
        <f>L6</f>
        <v>#NA</v>
      </c>
      <c r="L16" s="82" t="e">
        <f>IF(K16-K15=K15-K14,K16,"#NA")</f>
        <v>#VALUE!</v>
      </c>
      <c r="M16" t="e">
        <f>L16</f>
        <v>#VALUE!</v>
      </c>
      <c r="N16" s="83" t="e">
        <f>VLOOKUP(L16,STN_TABLE,2,FALSE)</f>
        <v>#VALUE!</v>
      </c>
      <c r="O16" s="83">
        <v>-1</v>
      </c>
      <c r="P16" s="83" t="e">
        <f>N16*O16</f>
        <v>#VALUE!</v>
      </c>
      <c r="Q16" s="83">
        <v>-1</v>
      </c>
      <c r="R16" s="83" t="e">
        <f>N16*Q16</f>
        <v>#VALUE!</v>
      </c>
      <c r="S16" t="str">
        <f>CONCATENATE("M(",L15,")=")</f>
        <v>M(#NA)=</v>
      </c>
      <c r="T16" t="e">
        <f>(2*(T13^2)/24*R17)+T15*L14*WLS</f>
        <v>#N/A</v>
      </c>
      <c r="U16" s="66" t="str">
        <f t="shared" si="13"/>
        <v>2nd_UWL</v>
      </c>
      <c r="V16" s="67" t="str">
        <f t="shared" si="13"/>
        <v>#NA</v>
      </c>
      <c r="W16" s="82" t="str">
        <f>V17</f>
        <v>#NA</v>
      </c>
      <c r="X16" t="str">
        <f>W16</f>
        <v>#NA</v>
      </c>
      <c r="Y16" s="83" t="e">
        <f>VLOOKUP(W16,STN_TABLE,2,FALSE)</f>
        <v>#N/A</v>
      </c>
      <c r="Z16" s="83">
        <v>1</v>
      </c>
      <c r="AA16" s="83" t="e">
        <f>Y16*Z16</f>
        <v>#N/A</v>
      </c>
      <c r="AB16" s="83" t="str">
        <f>W16</f>
        <v>#NA</v>
      </c>
      <c r="AC16" s="83" t="e">
        <f>AA16*AB16</f>
        <v>#N/A</v>
      </c>
      <c r="AD16" s="84" t="e">
        <f>CONCATENATE("a'(",W14,"~",W16,")=")</f>
        <v>#VALUE!</v>
      </c>
      <c r="AE16" s="84" t="e">
        <f>2*AE14/3*AA17</f>
        <v>#VALUE!</v>
      </c>
      <c r="AF16" s="84" t="e">
        <f>CONCATENATE("A(",W14,")=")</f>
        <v>#VALUE!</v>
      </c>
      <c r="AG16" s="84" t="e">
        <f>IF(W14=RisePerWLS,0,VLOOKUP(W14,STN_TABLE,3,FALSE))</f>
        <v>#VALUE!</v>
      </c>
      <c r="AH16" t="str">
        <f>CONCATENATE("A(",W16,")=")</f>
        <v>A(#NA)=</v>
      </c>
      <c r="AI16" t="e">
        <f>AE16+AG16</f>
        <v>#VALUE!</v>
      </c>
      <c r="AJ16" s="80"/>
      <c r="AM16" s="191" t="s">
        <v>168</v>
      </c>
      <c r="AN16" s="191" t="s">
        <v>168</v>
      </c>
      <c r="AO16" s="88" t="str">
        <f>AK11</f>
        <v>#NA</v>
      </c>
      <c r="AP16" s="82" t="e">
        <f>VLOOKUP(AO16,STN_TABLE,2,FALSE)</f>
        <v>#N/A</v>
      </c>
      <c r="AQ16" s="82">
        <v>2</v>
      </c>
      <c r="AR16" s="83" t="e">
        <f>AP16*AQ16</f>
        <v>#N/A</v>
      </c>
      <c r="AS16" s="84" t="str">
        <f>CONCATENATE("a'(",AO15,"~",AO16,")=")</f>
        <v>a'(#NA~#NA)=</v>
      </c>
      <c r="AT16" s="84" t="e">
        <f>2*AT14/2*AP17</f>
        <v>#VALUE!</v>
      </c>
      <c r="AU16" s="84" t="str">
        <f>CONCATENATE("A(",AO15,")=")</f>
        <v>A(#NA)=</v>
      </c>
      <c r="AV16" s="84" t="e">
        <f>IF(AO15=RisePerWLS,0,VLOOKUP(AO15,STN_TABLE,3,FALSE))</f>
        <v>#VALUE!</v>
      </c>
      <c r="AW16" t="str">
        <f>CONCATENATE("A(",AO16,")=")</f>
        <v>A(#NA)=</v>
      </c>
      <c r="AX16" t="e">
        <f>AT16+AV16</f>
        <v>#VALUE!</v>
      </c>
      <c r="BA16" t="s">
        <v>178</v>
      </c>
    </row>
    <row r="17" spans="1:64" x14ac:dyDescent="0.25">
      <c r="A17">
        <v>14</v>
      </c>
      <c r="B17" s="80" t="str">
        <f t="shared" si="9"/>
        <v xml:space="preserve">  </v>
      </c>
      <c r="C17" s="81" t="str">
        <f t="shared" si="10"/>
        <v xml:space="preserve">  </v>
      </c>
      <c r="D17" s="81" t="str">
        <f t="shared" si="11"/>
        <v xml:space="preserve"> </v>
      </c>
      <c r="E17" s="77" t="str">
        <f t="shared" si="12"/>
        <v xml:space="preserve"> </v>
      </c>
      <c r="K17" s="91"/>
      <c r="L17" s="91"/>
      <c r="M17" s="191" t="s">
        <v>168</v>
      </c>
      <c r="N17" s="191" t="s">
        <v>168</v>
      </c>
      <c r="O17" s="6" t="s">
        <v>172</v>
      </c>
      <c r="P17" s="89" t="e">
        <f>SUM(P14:P16)</f>
        <v>#N/A</v>
      </c>
      <c r="Q17" s="6" t="s">
        <v>172</v>
      </c>
      <c r="R17" s="89" t="e">
        <f>SUM(R14:R16)</f>
        <v>#N/A</v>
      </c>
      <c r="S17" s="191" t="s">
        <v>168</v>
      </c>
      <c r="T17" s="191" t="s">
        <v>168</v>
      </c>
      <c r="U17" s="66" t="str">
        <f t="shared" si="13"/>
        <v>3rd_UWL</v>
      </c>
      <c r="V17" s="67" t="str">
        <f t="shared" si="13"/>
        <v>#NA</v>
      </c>
      <c r="X17" s="191" t="s">
        <v>168</v>
      </c>
      <c r="Y17" s="191" t="s">
        <v>168</v>
      </c>
      <c r="Z17" s="6" t="s">
        <v>172</v>
      </c>
      <c r="AA17" s="89" t="e">
        <f>SUM(AA14:AA16)</f>
        <v>#VALUE!</v>
      </c>
      <c r="AB17" s="6" t="s">
        <v>172</v>
      </c>
      <c r="AC17" s="89" t="e">
        <f>SUM(AC14:AC16)</f>
        <v>#VALUE!</v>
      </c>
      <c r="AD17" s="84" t="e">
        <f>CONCATENATE("m'(",W14,"~",W16,")=")</f>
        <v>#VALUE!</v>
      </c>
      <c r="AE17" s="84" t="e">
        <f>2*(AE14*WLS)/3*AC17</f>
        <v>#VALUE!</v>
      </c>
      <c r="AF17" s="84" t="e">
        <f>CONCATENATE("M(",W14,")=")</f>
        <v>#VALUE!</v>
      </c>
      <c r="AG17" s="84" t="e">
        <f>IF(W14=RisePerWLS,0,VLOOKUP(W14,STN_TABLE,4,FALSE))</f>
        <v>#VALUE!</v>
      </c>
      <c r="AH17" t="str">
        <f>CONCATENATE("M(",W16,")=")</f>
        <v>M(#NA)=</v>
      </c>
      <c r="AI17" t="e">
        <f>AE17+AG17</f>
        <v>#VALUE!</v>
      </c>
      <c r="AJ17" s="90"/>
      <c r="AM17" s="191" t="s">
        <v>168</v>
      </c>
      <c r="AN17" s="191" t="s">
        <v>168</v>
      </c>
      <c r="AO17" s="6" t="s">
        <v>172</v>
      </c>
      <c r="AP17" s="89" t="e">
        <f>SUM(AP15:AP16)</f>
        <v>#N/A</v>
      </c>
      <c r="AQ17" s="6" t="s">
        <v>172</v>
      </c>
      <c r="AR17" s="89" t="e">
        <f>SUM(AR15:AR16)</f>
        <v>#N/A</v>
      </c>
      <c r="AS17" s="84" t="str">
        <f>CONCATENATE("m'(",AO15,"~",AO16,")=")</f>
        <v>m'(#NA~#NA)=</v>
      </c>
      <c r="AT17" s="84" t="e">
        <f>(2*(AT14^2)/6*AR17)+(AT16*AO15*WLS)</f>
        <v>#VALUE!</v>
      </c>
      <c r="AU17" s="84" t="str">
        <f>CONCATENATE("M(",AO15,")=")</f>
        <v>M(#NA)=</v>
      </c>
      <c r="AV17" s="84" t="e">
        <f>IF(AO15=RisePerWLS,0,VLOOKUP(AO15,STN_TABLE,4,FALSE))</f>
        <v>#VALUE!</v>
      </c>
      <c r="AW17" t="str">
        <f>CONCATENATE("M(",AO16,")=")</f>
        <v>M(#NA)=</v>
      </c>
      <c r="AX17" t="e">
        <f>AT17+AV17</f>
        <v>#VALUE!</v>
      </c>
      <c r="BA17" t="e">
        <f t="array" aca="1" ref="BA17:BL21" ca="1">IF(ISNUMBER(AI16),OFFSET(X13,,,5,12),IF(ISNUMBER(AI23),OFFSET(X20,,,5,12),IF(ISNUMBER(AI29),OFFSET(X27,,,4,12),1/0)))</f>
        <v>#DIV/0!</v>
      </c>
      <c r="BB17" t="e">
        <f ca="1"/>
        <v>#DIV/0!</v>
      </c>
      <c r="BC17" t="e">
        <f ca="1"/>
        <v>#DIV/0!</v>
      </c>
      <c r="BD17" t="e">
        <f ca="1"/>
        <v>#DIV/0!</v>
      </c>
      <c r="BE17" t="e">
        <f ca="1"/>
        <v>#DIV/0!</v>
      </c>
      <c r="BF17" t="e">
        <f ca="1"/>
        <v>#DIV/0!</v>
      </c>
      <c r="BG17" s="6" t="e">
        <f ca="1"/>
        <v>#DIV/0!</v>
      </c>
      <c r="BH17" s="70" t="e">
        <f ca="1"/>
        <v>#DIV/0!</v>
      </c>
      <c r="BI17" t="e">
        <f ca="1"/>
        <v>#DIV/0!</v>
      </c>
      <c r="BJ17" t="e">
        <f ca="1"/>
        <v>#DIV/0!</v>
      </c>
      <c r="BK17" t="e">
        <f ca="1"/>
        <v>#DIV/0!</v>
      </c>
      <c r="BL17" t="e">
        <f ca="1"/>
        <v>#DIV/0!</v>
      </c>
    </row>
    <row r="18" spans="1:64" x14ac:dyDescent="0.25">
      <c r="A18">
        <v>15</v>
      </c>
      <c r="B18" s="80" t="str">
        <f t="shared" ref="B18:B24" si="14">VLOOKUP(Stn_WL,OFFSET_A,A18+1,FALSE)</f>
        <v xml:space="preserve">  </v>
      </c>
      <c r="C18" s="81" t="str">
        <f t="shared" ref="C18:C24" si="15">VLOOKUP(Station_No,OFFSET_A,A18+1,FALSE)</f>
        <v xml:space="preserve">  </v>
      </c>
      <c r="D18" s="81" t="str">
        <f t="shared" ref="D18:D24" si="16">IFERROR(VLOOKUP(CONCATENATE("A(",B18,")="),RESULT_TABLE,6,FALSE)," ")</f>
        <v xml:space="preserve"> </v>
      </c>
      <c r="E18" s="77" t="str">
        <f t="shared" ref="E18:E24" si="17">IFERROR(VLOOKUP(CONCATENATE("M(",B18,")="),RESULT_TABLE,6,FALSE)," ")</f>
        <v xml:space="preserve"> </v>
      </c>
      <c r="K18" s="91"/>
      <c r="L18" s="91"/>
      <c r="O18" t="s">
        <v>103</v>
      </c>
      <c r="Q18" t="str">
        <f>CONCATENATE("A(",L15,")=")</f>
        <v>A(#NA)=</v>
      </c>
      <c r="R18" t="e">
        <f>IF(OR(T15&lt;=0,T16&lt;=0),1/0,T15)</f>
        <v>#N/A</v>
      </c>
      <c r="U18" s="66"/>
      <c r="V18" s="67"/>
      <c r="AJ18" s="80"/>
      <c r="BA18" t="e">
        <f ca="1"/>
        <v>#DIV/0!</v>
      </c>
      <c r="BB18" t="e">
        <f ca="1"/>
        <v>#DIV/0!</v>
      </c>
      <c r="BC18" t="e">
        <f ca="1"/>
        <v>#DIV/0!</v>
      </c>
      <c r="BD18" t="e">
        <f ca="1"/>
        <v>#DIV/0!</v>
      </c>
      <c r="BE18" t="e">
        <f ca="1"/>
        <v>#DIV/0!</v>
      </c>
      <c r="BF18" t="e">
        <f ca="1"/>
        <v>#DIV/0!</v>
      </c>
      <c r="BG18" s="6" t="e">
        <f ca="1"/>
        <v>#DIV/0!</v>
      </c>
      <c r="BH18" s="70" t="e">
        <f ca="1"/>
        <v>#DIV/0!</v>
      </c>
      <c r="BI18" t="e">
        <f ca="1"/>
        <v>#DIV/0!</v>
      </c>
      <c r="BJ18" t="e">
        <f ca="1"/>
        <v>#DIV/0!</v>
      </c>
      <c r="BK18" t="e">
        <f ca="1"/>
        <v>#DIV/0!</v>
      </c>
      <c r="BL18" t="e">
        <f ca="1"/>
        <v>#DIV/0!</v>
      </c>
    </row>
    <row r="19" spans="1:64" x14ac:dyDescent="0.25">
      <c r="A19">
        <v>16</v>
      </c>
      <c r="B19" s="80" t="str">
        <f t="shared" si="14"/>
        <v xml:space="preserve">  </v>
      </c>
      <c r="C19" s="81" t="str">
        <f t="shared" si="15"/>
        <v xml:space="preserve">  </v>
      </c>
      <c r="D19" s="81" t="str">
        <f t="shared" si="16"/>
        <v xml:space="preserve"> </v>
      </c>
      <c r="E19" s="77" t="str">
        <f t="shared" si="17"/>
        <v xml:space="preserve"> </v>
      </c>
      <c r="K19" s="91"/>
      <c r="L19" s="91"/>
      <c r="Q19" t="str">
        <f>CONCATENATE("M(",L15,")=")</f>
        <v>M(#NA)=</v>
      </c>
      <c r="R19" t="e">
        <f>IF(OR(T15&lt;=0,T16&lt;=0),1/0,T16)</f>
        <v>#N/A</v>
      </c>
      <c r="U19" s="66"/>
      <c r="V19" s="67"/>
      <c r="AJ19" s="80"/>
      <c r="BA19" t="e">
        <f ca="1"/>
        <v>#DIV/0!</v>
      </c>
      <c r="BB19" t="e">
        <f ca="1"/>
        <v>#DIV/0!</v>
      </c>
      <c r="BC19" t="e">
        <f ca="1"/>
        <v>#DIV/0!</v>
      </c>
      <c r="BD19" t="e">
        <f ca="1"/>
        <v>#DIV/0!</v>
      </c>
      <c r="BE19" t="e">
        <f ca="1"/>
        <v>#DIV/0!</v>
      </c>
      <c r="BF19" t="e">
        <f ca="1"/>
        <v>#DIV/0!</v>
      </c>
      <c r="BG19" s="6" t="e">
        <f ca="1"/>
        <v>#DIV/0!</v>
      </c>
      <c r="BH19" s="70" t="e">
        <f ca="1"/>
        <v>#DIV/0!</v>
      </c>
      <c r="BI19" t="e">
        <f ca="1"/>
        <v>#DIV/0!</v>
      </c>
      <c r="BJ19" t="e">
        <f ca="1"/>
        <v>#DIV/0!</v>
      </c>
      <c r="BK19" t="e">
        <f ca="1"/>
        <v>#DIV/0!</v>
      </c>
      <c r="BL19" t="e">
        <f ca="1"/>
        <v>#DIV/0!</v>
      </c>
    </row>
    <row r="20" spans="1:64" ht="18" x14ac:dyDescent="0.35">
      <c r="A20">
        <v>17</v>
      </c>
      <c r="B20" s="80" t="str">
        <f t="shared" si="14"/>
        <v xml:space="preserve">  </v>
      </c>
      <c r="C20" s="81" t="str">
        <f t="shared" si="15"/>
        <v xml:space="preserve">  </v>
      </c>
      <c r="D20" s="81" t="str">
        <f t="shared" si="16"/>
        <v xml:space="preserve"> </v>
      </c>
      <c r="E20" s="77" t="str">
        <f t="shared" si="17"/>
        <v xml:space="preserve"> </v>
      </c>
      <c r="K20" s="91"/>
      <c r="L20" s="91"/>
      <c r="M20" t="s">
        <v>0</v>
      </c>
      <c r="N20" t="s">
        <v>95</v>
      </c>
      <c r="O20" t="s">
        <v>173</v>
      </c>
      <c r="P20" t="s">
        <v>174</v>
      </c>
      <c r="Q20" t="s">
        <v>175</v>
      </c>
      <c r="R20" t="s">
        <v>176</v>
      </c>
      <c r="S20" t="s">
        <v>93</v>
      </c>
      <c r="T20" t="e">
        <f>(L22-L21)*WLS</f>
        <v>#VALUE!</v>
      </c>
      <c r="U20" s="66"/>
      <c r="V20" s="67"/>
      <c r="X20" t="s">
        <v>0</v>
      </c>
      <c r="Y20" t="s">
        <v>95</v>
      </c>
      <c r="Z20" t="s">
        <v>164</v>
      </c>
      <c r="AA20" t="s">
        <v>165</v>
      </c>
      <c r="AB20" t="s">
        <v>166</v>
      </c>
      <c r="AC20" t="s">
        <v>167</v>
      </c>
      <c r="AD20" s="191" t="s">
        <v>168</v>
      </c>
      <c r="AE20" s="191" t="s">
        <v>168</v>
      </c>
      <c r="AF20" s="191" t="s">
        <v>168</v>
      </c>
      <c r="AG20" s="191" t="s">
        <v>168</v>
      </c>
      <c r="AH20" s="191" t="s">
        <v>168</v>
      </c>
      <c r="AI20" s="191" t="s">
        <v>168</v>
      </c>
      <c r="AJ20" s="80"/>
      <c r="BA20" t="e">
        <f ca="1"/>
        <v>#DIV/0!</v>
      </c>
      <c r="BB20" t="e">
        <f ca="1"/>
        <v>#DIV/0!</v>
      </c>
      <c r="BC20" t="e">
        <f ca="1"/>
        <v>#DIV/0!</v>
      </c>
      <c r="BD20" t="e">
        <f ca="1"/>
        <v>#DIV/0!</v>
      </c>
      <c r="BE20" t="e">
        <f ca="1"/>
        <v>#DIV/0!</v>
      </c>
      <c r="BF20" t="e">
        <f ca="1"/>
        <v>#DIV/0!</v>
      </c>
      <c r="BG20" s="6" t="e">
        <f ca="1"/>
        <v>#DIV/0!</v>
      </c>
      <c r="BH20" s="70" t="e">
        <f ca="1"/>
        <v>#DIV/0!</v>
      </c>
      <c r="BI20" t="e">
        <f ca="1"/>
        <v>#DIV/0!</v>
      </c>
      <c r="BJ20" t="e">
        <f ca="1"/>
        <v>#DIV/0!</v>
      </c>
      <c r="BK20" t="e">
        <f ca="1"/>
        <v>#DIV/0!</v>
      </c>
      <c r="BL20" t="e">
        <f ca="1"/>
        <v>#DIV/0!</v>
      </c>
    </row>
    <row r="21" spans="1:64" x14ac:dyDescent="0.25">
      <c r="A21">
        <v>18</v>
      </c>
      <c r="B21" s="80" t="str">
        <f t="shared" si="14"/>
        <v xml:space="preserve">  </v>
      </c>
      <c r="C21" s="81" t="str">
        <f t="shared" si="15"/>
        <v xml:space="preserve">  </v>
      </c>
      <c r="D21" s="81" t="str">
        <f t="shared" si="16"/>
        <v xml:space="preserve"> </v>
      </c>
      <c r="E21" s="77" t="str">
        <f t="shared" si="17"/>
        <v xml:space="preserve"> </v>
      </c>
      <c r="K21" s="91" t="str">
        <f>J14</f>
        <v>Rise</v>
      </c>
      <c r="L21" s="79" t="e">
        <f>K14</f>
        <v>#VALUE!</v>
      </c>
      <c r="M21" t="e">
        <f>CONCATENATE(L21,"(Rise)")</f>
        <v>#VALUE!</v>
      </c>
      <c r="N21" s="82">
        <f>P21</f>
        <v>0</v>
      </c>
      <c r="O21">
        <v>1</v>
      </c>
      <c r="P21" s="68">
        <v>0</v>
      </c>
      <c r="Q21" s="68">
        <v>1</v>
      </c>
      <c r="R21" s="69">
        <f>P21*Q21</f>
        <v>0</v>
      </c>
      <c r="S21" s="191" t="s">
        <v>168</v>
      </c>
      <c r="T21" s="191" t="s">
        <v>168</v>
      </c>
      <c r="U21" s="66"/>
      <c r="V21" s="67"/>
      <c r="W21" s="68" t="e">
        <f>IF(OR(V25-V24=V24-V23,V26-V24=V24-V23),V23,IF(OR(V25-V24=V24-V22,V26-V24=V24-V22),V22,"-"))</f>
        <v>#VALUE!</v>
      </c>
      <c r="X21" t="e">
        <f>IF(V14=W21,CONCATENATE(V21,"(Rise)"),W21)</f>
        <v>#VALUE!</v>
      </c>
      <c r="Y21" s="69" t="e">
        <f>IFERROR(VLOOKUP(W21,STN_TABLE,2,FALSE),IF(V21=RisePerWLS,0,"-"))</f>
        <v>#VALUE!</v>
      </c>
      <c r="Z21" s="69">
        <v>5</v>
      </c>
      <c r="AA21" s="69" t="e">
        <f>Y21*Z21</f>
        <v>#VALUE!</v>
      </c>
      <c r="AB21" s="69">
        <v>3</v>
      </c>
      <c r="AC21" s="69" t="e">
        <f>Y21*AB21</f>
        <v>#VALUE!</v>
      </c>
      <c r="AD21" s="6" t="s">
        <v>93</v>
      </c>
      <c r="AE21" s="70" t="e">
        <f>IF(AND(W23-W22=W22-W21,NOT(AND(W21=0,W22=0)),NOT(AND(W22=0,W23=0))),WLS*(W23-W22),"#NA")</f>
        <v>#VALUE!</v>
      </c>
      <c r="AF21" s="191" t="s">
        <v>168</v>
      </c>
      <c r="AG21" s="191" t="s">
        <v>168</v>
      </c>
      <c r="AH21" s="191" t="s">
        <v>168</v>
      </c>
      <c r="AI21" s="191" t="s">
        <v>168</v>
      </c>
      <c r="AJ21" s="80"/>
      <c r="BA21" t="e">
        <f ca="1"/>
        <v>#DIV/0!</v>
      </c>
      <c r="BB21" t="e">
        <f ca="1"/>
        <v>#DIV/0!</v>
      </c>
      <c r="BC21" t="e">
        <f ca="1"/>
        <v>#DIV/0!</v>
      </c>
      <c r="BD21" t="e">
        <f ca="1"/>
        <v>#DIV/0!</v>
      </c>
      <c r="BE21" t="e">
        <f ca="1"/>
        <v>#DIV/0!</v>
      </c>
      <c r="BF21" t="e">
        <f ca="1"/>
        <v>#DIV/0!</v>
      </c>
      <c r="BG21" s="6" t="e">
        <f ca="1"/>
        <v>#DIV/0!</v>
      </c>
      <c r="BH21" s="70" t="e">
        <f ca="1"/>
        <v>#DIV/0!</v>
      </c>
      <c r="BI21" t="e">
        <f ca="1"/>
        <v>#DIV/0!</v>
      </c>
      <c r="BJ21" t="e">
        <f ca="1"/>
        <v>#DIV/0!</v>
      </c>
      <c r="BK21" t="e">
        <f ca="1"/>
        <v>#DIV/0!</v>
      </c>
      <c r="BL21" t="e">
        <f ca="1"/>
        <v>#DIV/0!</v>
      </c>
    </row>
    <row r="22" spans="1:64" x14ac:dyDescent="0.25">
      <c r="A22">
        <v>19</v>
      </c>
      <c r="B22" s="80" t="str">
        <f t="shared" si="14"/>
        <v xml:space="preserve">  </v>
      </c>
      <c r="C22" s="81" t="str">
        <f t="shared" si="15"/>
        <v xml:space="preserve">  </v>
      </c>
      <c r="D22" s="81" t="str">
        <f t="shared" si="16"/>
        <v xml:space="preserve"> </v>
      </c>
      <c r="E22" s="77" t="str">
        <f t="shared" si="17"/>
        <v xml:space="preserve"> </v>
      </c>
      <c r="K22" s="91" t="str">
        <f>J15</f>
        <v>1st_UWL</v>
      </c>
      <c r="L22" s="88" t="str">
        <f>K15</f>
        <v>#NA</v>
      </c>
      <c r="M22" t="str">
        <f>L22</f>
        <v>#NA</v>
      </c>
      <c r="N22" s="82" t="e">
        <f>P22</f>
        <v>#N/A</v>
      </c>
      <c r="O22">
        <v>1</v>
      </c>
      <c r="P22" s="82" t="e">
        <f>VLOOKUP(L22,STN_TABLE,2,FALSE)</f>
        <v>#N/A</v>
      </c>
      <c r="Q22" s="82">
        <v>2</v>
      </c>
      <c r="R22" s="83" t="e">
        <f>P22*Q22</f>
        <v>#N/A</v>
      </c>
      <c r="S22" t="str">
        <f>CONCATENATE("A(",,L22,")=")</f>
        <v>A(#NA)=</v>
      </c>
      <c r="T22" t="e">
        <f>2*T20/2*P23</f>
        <v>#VALUE!</v>
      </c>
      <c r="U22" s="66" t="str">
        <f t="shared" ref="U22:V26" si="18">K5</f>
        <v>1st_UWL</v>
      </c>
      <c r="V22" s="67" t="str">
        <f t="shared" si="18"/>
        <v>#NA</v>
      </c>
      <c r="W22" s="76" t="str">
        <f>V24</f>
        <v>#NA</v>
      </c>
      <c r="X22" t="str">
        <f>W22</f>
        <v>#NA</v>
      </c>
      <c r="Y22" s="77" t="e">
        <f>VLOOKUP(W22,STN_TABLE,2,FALSE)</f>
        <v>#N/A</v>
      </c>
      <c r="Z22" s="77">
        <v>8</v>
      </c>
      <c r="AA22" s="77" t="e">
        <f>Y22*Z22</f>
        <v>#N/A</v>
      </c>
      <c r="AB22" s="77">
        <v>10</v>
      </c>
      <c r="AC22" s="77" t="e">
        <f>Y22*AB22</f>
        <v>#N/A</v>
      </c>
      <c r="AD22" s="78" t="s">
        <v>171</v>
      </c>
      <c r="AE22" s="191" t="s">
        <v>168</v>
      </c>
      <c r="AF22" s="78" t="s">
        <v>98</v>
      </c>
      <c r="AG22" s="191" t="s">
        <v>168</v>
      </c>
      <c r="AH22" s="7" t="s">
        <v>77</v>
      </c>
      <c r="AI22" s="191" t="s">
        <v>168</v>
      </c>
      <c r="AJ22" s="80"/>
    </row>
    <row r="23" spans="1:64" x14ac:dyDescent="0.25">
      <c r="A23">
        <v>20</v>
      </c>
      <c r="B23" s="80" t="str">
        <f t="shared" si="14"/>
        <v xml:space="preserve">  </v>
      </c>
      <c r="C23" s="81" t="str">
        <f t="shared" si="15"/>
        <v xml:space="preserve">  </v>
      </c>
      <c r="D23" s="81" t="str">
        <f t="shared" si="16"/>
        <v xml:space="preserve"> </v>
      </c>
      <c r="E23" s="77" t="str">
        <f t="shared" si="17"/>
        <v xml:space="preserve"> </v>
      </c>
      <c r="M23" s="191" t="s">
        <v>168</v>
      </c>
      <c r="N23" s="191" t="s">
        <v>168</v>
      </c>
      <c r="O23" s="6" t="s">
        <v>172</v>
      </c>
      <c r="P23" s="89" t="e">
        <f>SUM(P21:P22)</f>
        <v>#N/A</v>
      </c>
      <c r="Q23" s="6" t="s">
        <v>172</v>
      </c>
      <c r="R23" s="89" t="e">
        <f>SUM(R21:R22)</f>
        <v>#N/A</v>
      </c>
      <c r="S23" t="str">
        <f>CONCATENATE("M(",L22,")=")</f>
        <v>M(#NA)=</v>
      </c>
      <c r="T23" t="e">
        <f>(2*(T20^2)/6*R23)+T22*L21*WLS</f>
        <v>#VALUE!</v>
      </c>
      <c r="U23" s="66" t="str">
        <f t="shared" si="18"/>
        <v>2nd_UWL</v>
      </c>
      <c r="V23" s="67" t="str">
        <f t="shared" si="18"/>
        <v>#NA</v>
      </c>
      <c r="W23" s="82" t="e">
        <f>IF(W21-W22=W22-V25,V25,IF(W21-W22=W22-V26,V26,"-"))</f>
        <v>#VALUE!</v>
      </c>
      <c r="X23" t="e">
        <f>W23</f>
        <v>#VALUE!</v>
      </c>
      <c r="Y23" s="83" t="e">
        <f>VLOOKUP(W23,STN_TABLE,2,FALSE)</f>
        <v>#VALUE!</v>
      </c>
      <c r="Z23" s="83">
        <v>-1</v>
      </c>
      <c r="AA23" s="83" t="e">
        <f>Y23*Z23</f>
        <v>#VALUE!</v>
      </c>
      <c r="AB23" s="83">
        <v>-1</v>
      </c>
      <c r="AC23" s="83" t="e">
        <f>Y23*AB23</f>
        <v>#VALUE!</v>
      </c>
      <c r="AD23" s="84" t="e">
        <f>CONCATENATE("a'(",W21,"~",W22,")=")</f>
        <v>#VALUE!</v>
      </c>
      <c r="AE23" s="84" t="e">
        <f>2*AE21/12*AA24</f>
        <v>#VALUE!</v>
      </c>
      <c r="AF23" s="84" t="e">
        <f>CONCATENATE("A(",W21,")=")</f>
        <v>#VALUE!</v>
      </c>
      <c r="AG23" s="84" t="e">
        <f>IF(W21=RisePerWLS,0,VLOOKUP(W21,STN_TABLE,3,FALSE))</f>
        <v>#VALUE!</v>
      </c>
      <c r="AH23" t="str">
        <f>CONCATENATE("A(",W22,")=")</f>
        <v>A(#NA)=</v>
      </c>
      <c r="AI23" t="e">
        <f>AE23+AG23</f>
        <v>#VALUE!</v>
      </c>
      <c r="AJ23" s="80"/>
      <c r="BA23" t="s">
        <v>179</v>
      </c>
    </row>
    <row r="24" spans="1:64" x14ac:dyDescent="0.25">
      <c r="A24">
        <v>21</v>
      </c>
      <c r="B24" s="80" t="str">
        <f t="shared" si="14"/>
        <v xml:space="preserve">  </v>
      </c>
      <c r="C24" s="81" t="str">
        <f t="shared" si="15"/>
        <v xml:space="preserve">  </v>
      </c>
      <c r="D24" s="81" t="str">
        <f t="shared" si="16"/>
        <v xml:space="preserve"> </v>
      </c>
      <c r="E24" s="77" t="str">
        <f t="shared" si="17"/>
        <v xml:space="preserve"> </v>
      </c>
      <c r="M24" s="191" t="s">
        <v>168</v>
      </c>
      <c r="N24" s="191" t="s">
        <v>168</v>
      </c>
      <c r="O24" s="191" t="s">
        <v>168</v>
      </c>
      <c r="P24" s="191" t="s">
        <v>168</v>
      </c>
      <c r="Q24" s="191" t="s">
        <v>168</v>
      </c>
      <c r="R24" s="191" t="s">
        <v>168</v>
      </c>
      <c r="S24" s="191" t="s">
        <v>168</v>
      </c>
      <c r="T24" s="191" t="s">
        <v>168</v>
      </c>
      <c r="U24" s="66" t="str">
        <f t="shared" si="18"/>
        <v>3rd_UWL</v>
      </c>
      <c r="V24" s="67" t="str">
        <f t="shared" si="18"/>
        <v>#NA</v>
      </c>
      <c r="X24" s="191" t="s">
        <v>168</v>
      </c>
      <c r="Y24" s="191" t="s">
        <v>168</v>
      </c>
      <c r="Z24" s="6" t="s">
        <v>172</v>
      </c>
      <c r="AA24" s="89" t="e">
        <f>SUM(AA21:AA23)</f>
        <v>#VALUE!</v>
      </c>
      <c r="AB24" s="6" t="s">
        <v>172</v>
      </c>
      <c r="AC24" s="89" t="e">
        <f>SUM(AC21:AC23)</f>
        <v>#VALUE!</v>
      </c>
      <c r="AD24" s="84" t="e">
        <f>CONCATENATE("m'(",W21,"~",W22,")=")</f>
        <v>#VALUE!</v>
      </c>
      <c r="AE24" s="84" t="e">
        <f>(2*(AE21^2)/24*AC24)+(AE23*W21*WLS)</f>
        <v>#VALUE!</v>
      </c>
      <c r="AF24" s="84" t="e">
        <f>CONCATENATE("M(",W21,")=")</f>
        <v>#VALUE!</v>
      </c>
      <c r="AG24" s="84" t="e">
        <f>IF(W21=RisePerWLS,0,VLOOKUP(W21,STN_TABLE,4,FALSE))</f>
        <v>#VALUE!</v>
      </c>
      <c r="AH24" t="str">
        <f>CONCATENATE("M(",W22,")=")</f>
        <v>M(#NA)=</v>
      </c>
      <c r="AI24" t="e">
        <f>AE24+AG24</f>
        <v>#VALUE!</v>
      </c>
      <c r="AJ24" s="80"/>
      <c r="BA24" t="e">
        <f t="array" aca="1" ref="BA24:BL28" ca="1">IF(ISNUMBER(AX5),OFFSET(AM2,,,5,12),IF(ISNUMBER(AR12),OFFSET(AM7,,,5,12),IF(ISNUMBER(AX16),OFFSET(AM14,,,4,12),1/0)))</f>
        <v>#DIV/0!</v>
      </c>
      <c r="BB24" t="e">
        <f ca="1"/>
        <v>#DIV/0!</v>
      </c>
      <c r="BC24" t="e">
        <f ca="1"/>
        <v>#DIV/0!</v>
      </c>
      <c r="BD24" t="e">
        <f ca="1"/>
        <v>#DIV/0!</v>
      </c>
      <c r="BE24" t="e">
        <f ca="1"/>
        <v>#DIV/0!</v>
      </c>
      <c r="BF24" t="e">
        <f ca="1"/>
        <v>#DIV/0!</v>
      </c>
      <c r="BG24" s="6" t="e">
        <f ca="1"/>
        <v>#DIV/0!</v>
      </c>
      <c r="BH24" s="70" t="e">
        <f ca="1"/>
        <v>#DIV/0!</v>
      </c>
      <c r="BI24" t="e">
        <f ca="1"/>
        <v>#DIV/0!</v>
      </c>
      <c r="BJ24" t="e">
        <f ca="1"/>
        <v>#DIV/0!</v>
      </c>
      <c r="BK24" t="e">
        <f ca="1"/>
        <v>#DIV/0!</v>
      </c>
      <c r="BL24" t="e">
        <f ca="1"/>
        <v>#DIV/0!</v>
      </c>
    </row>
    <row r="25" spans="1:64" ht="18" x14ac:dyDescent="0.35">
      <c r="A25">
        <v>22</v>
      </c>
      <c r="B25" s="80" t="str">
        <f t="shared" ref="B25:B28" si="19">VLOOKUP(Stn_WL,OFFSET_A,A25+1,FALSE)</f>
        <v xml:space="preserve">  </v>
      </c>
      <c r="C25" s="81" t="str">
        <f t="shared" ref="C25:C28" si="20">VLOOKUP(Station_No,OFFSET_A,A25+1,FALSE)</f>
        <v xml:space="preserve">  </v>
      </c>
      <c r="D25" s="81" t="str">
        <f t="shared" ref="D25:D28" si="21">IFERROR(VLOOKUP(CONCATENATE("A(",B25,")="),RESULT_TABLE,6,FALSE)," ")</f>
        <v xml:space="preserve"> </v>
      </c>
      <c r="E25" s="77" t="str">
        <f t="shared" ref="E25:E28" si="22">IFERROR(VLOOKUP(CONCATENATE("M(",B25,")="),RESULT_TABLE,6,FALSE)," ")</f>
        <v xml:space="preserve"> </v>
      </c>
      <c r="J25" s="71" t="s">
        <v>111</v>
      </c>
      <c r="M25" t="s">
        <v>0</v>
      </c>
      <c r="N25" t="s">
        <v>95</v>
      </c>
      <c r="O25" t="s">
        <v>164</v>
      </c>
      <c r="P25" t="s">
        <v>165</v>
      </c>
      <c r="Q25" t="s">
        <v>13</v>
      </c>
      <c r="R25" t="s">
        <v>169</v>
      </c>
      <c r="S25" t="s">
        <v>93</v>
      </c>
      <c r="T25" t="e">
        <f>IF(OR(N26=0,N27=0,N28=0),"#NA",IF(L28-L27=L27-L26,WLS*(L27-L26),"#NA"))</f>
        <v>#VALUE!</v>
      </c>
      <c r="U25" s="66" t="str">
        <f t="shared" si="18"/>
        <v>4th_UWL</v>
      </c>
      <c r="V25" s="67" t="str">
        <f t="shared" si="18"/>
        <v>#NA</v>
      </c>
      <c r="Z25" t="s">
        <v>103</v>
      </c>
      <c r="AB25" t="str">
        <f>CONCATENATE("A(",W22,")=")</f>
        <v>A(#NA)=</v>
      </c>
      <c r="AC25" t="e">
        <f>IF(OR(AI23&lt;=0,AI24&lt;=0),1/0,AI23)</f>
        <v>#VALUE!</v>
      </c>
      <c r="AJ25" s="80"/>
      <c r="BA25" t="e">
        <f ca="1"/>
        <v>#DIV/0!</v>
      </c>
      <c r="BB25" t="e">
        <f ca="1"/>
        <v>#DIV/0!</v>
      </c>
      <c r="BC25" t="e">
        <f ca="1"/>
        <v>#DIV/0!</v>
      </c>
      <c r="BD25" t="e">
        <f ca="1"/>
        <v>#DIV/0!</v>
      </c>
      <c r="BE25" t="e">
        <f ca="1"/>
        <v>#DIV/0!</v>
      </c>
      <c r="BF25" t="e">
        <f ca="1"/>
        <v>#DIV/0!</v>
      </c>
      <c r="BG25" s="6" t="e">
        <f ca="1"/>
        <v>#DIV/0!</v>
      </c>
      <c r="BH25" s="70" t="e">
        <f ca="1"/>
        <v>#DIV/0!</v>
      </c>
      <c r="BI25" t="e">
        <f ca="1"/>
        <v>#DIV/0!</v>
      </c>
      <c r="BJ25" t="e">
        <f ca="1"/>
        <v>#DIV/0!</v>
      </c>
      <c r="BK25" t="e">
        <f ca="1"/>
        <v>#DIV/0!</v>
      </c>
      <c r="BL25" t="e">
        <f ca="1"/>
        <v>#DIV/0!</v>
      </c>
    </row>
    <row r="26" spans="1:64" x14ac:dyDescent="0.25">
      <c r="A26">
        <v>23</v>
      </c>
      <c r="B26" s="80" t="str">
        <f t="shared" si="19"/>
        <v xml:space="preserve">  </v>
      </c>
      <c r="C26" s="81" t="str">
        <f t="shared" si="20"/>
        <v xml:space="preserve">  </v>
      </c>
      <c r="D26" s="81" t="str">
        <f t="shared" si="21"/>
        <v xml:space="preserve"> </v>
      </c>
      <c r="E26" s="77" t="str">
        <f t="shared" si="22"/>
        <v xml:space="preserve"> </v>
      </c>
      <c r="J26" s="91" t="str">
        <f t="shared" ref="J26:K28" si="23">K4</f>
        <v>Rise</v>
      </c>
      <c r="K26" s="91" t="e">
        <f t="shared" si="23"/>
        <v>#VALUE!</v>
      </c>
      <c r="L26" s="68" t="e">
        <f>K26</f>
        <v>#VALUE!</v>
      </c>
      <c r="M26" t="e">
        <f>CONCATENATE(L26,"(Rise)")</f>
        <v>#VALUE!</v>
      </c>
      <c r="N26" s="69">
        <v>0</v>
      </c>
      <c r="O26" s="69">
        <v>1</v>
      </c>
      <c r="P26" s="69">
        <f>N26*O26</f>
        <v>0</v>
      </c>
      <c r="Q26" s="69" t="e">
        <f>L26</f>
        <v>#VALUE!</v>
      </c>
      <c r="R26" s="69" t="e">
        <f>P26*Q26</f>
        <v>#VALUE!</v>
      </c>
      <c r="S26" s="191" t="s">
        <v>168</v>
      </c>
      <c r="T26" s="191" t="s">
        <v>168</v>
      </c>
      <c r="U26" s="66" t="str">
        <f t="shared" si="18"/>
        <v>5th_UWL</v>
      </c>
      <c r="V26" s="67" t="str">
        <f t="shared" si="18"/>
        <v>#NA</v>
      </c>
      <c r="AB26" t="str">
        <f>CONCATENATE("M(",W22,")=")</f>
        <v>M(#NA)=</v>
      </c>
      <c r="AC26" t="e">
        <f>IF(OR(AI23&lt;=0,AI24&lt;=0),1/0,AI24)</f>
        <v>#VALUE!</v>
      </c>
      <c r="AJ26" s="80"/>
      <c r="BA26" t="e">
        <f ca="1"/>
        <v>#DIV/0!</v>
      </c>
      <c r="BB26" t="e">
        <f ca="1"/>
        <v>#DIV/0!</v>
      </c>
      <c r="BC26" t="e">
        <f ca="1"/>
        <v>#DIV/0!</v>
      </c>
      <c r="BD26" t="e">
        <f ca="1"/>
        <v>#DIV/0!</v>
      </c>
      <c r="BE26" t="e">
        <f ca="1"/>
        <v>#DIV/0!</v>
      </c>
      <c r="BF26" t="e">
        <f ca="1"/>
        <v>#DIV/0!</v>
      </c>
      <c r="BG26" s="6" t="e">
        <f ca="1"/>
        <v>#DIV/0!</v>
      </c>
      <c r="BH26" s="70" t="e">
        <f ca="1"/>
        <v>#DIV/0!</v>
      </c>
      <c r="BI26" t="e">
        <f ca="1"/>
        <v>#DIV/0!</v>
      </c>
      <c r="BJ26" t="e">
        <f ca="1"/>
        <v>#DIV/0!</v>
      </c>
      <c r="BK26" t="e">
        <f ca="1"/>
        <v>#DIV/0!</v>
      </c>
      <c r="BL26" t="e">
        <f ca="1"/>
        <v>#DIV/0!</v>
      </c>
    </row>
    <row r="27" spans="1:64" ht="18" x14ac:dyDescent="0.35">
      <c r="A27">
        <v>24</v>
      </c>
      <c r="B27" s="80" t="str">
        <f t="shared" si="19"/>
        <v xml:space="preserve">  </v>
      </c>
      <c r="C27" s="81" t="str">
        <f t="shared" si="20"/>
        <v xml:space="preserve">  </v>
      </c>
      <c r="D27" s="81" t="str">
        <f t="shared" si="21"/>
        <v xml:space="preserve"> </v>
      </c>
      <c r="E27" s="77" t="str">
        <f t="shared" si="22"/>
        <v xml:space="preserve"> </v>
      </c>
      <c r="J27" s="91" t="str">
        <f t="shared" si="23"/>
        <v>1st_UWL</v>
      </c>
      <c r="K27" s="91" t="str">
        <f t="shared" si="23"/>
        <v>#NA</v>
      </c>
      <c r="L27" s="76" t="e">
        <f>IF(K28-K27=K27-K26,K28,"#NA")</f>
        <v>#VALUE!</v>
      </c>
      <c r="M27" t="e">
        <f>L27</f>
        <v>#VALUE!</v>
      </c>
      <c r="N27" s="77" t="e">
        <f>VLOOKUP(L27,STN_TABLE,2,FALSE)</f>
        <v>#VALUE!</v>
      </c>
      <c r="O27" s="77">
        <v>4</v>
      </c>
      <c r="P27" s="77" t="e">
        <f>N27*O27</f>
        <v>#VALUE!</v>
      </c>
      <c r="Q27" s="77" t="e">
        <f>L27</f>
        <v>#VALUE!</v>
      </c>
      <c r="R27" s="77" t="e">
        <f>P27*Q27</f>
        <v>#VALUE!</v>
      </c>
      <c r="S27" t="e">
        <f>CONCATENATE("A(",L28,")=")</f>
        <v>#VALUE!</v>
      </c>
      <c r="T27" t="e">
        <f>2*T25/3*P29</f>
        <v>#VALUE!</v>
      </c>
      <c r="U27" s="66"/>
      <c r="V27" s="67"/>
      <c r="X27" t="s">
        <v>0</v>
      </c>
      <c r="Y27" t="s">
        <v>95</v>
      </c>
      <c r="Z27" t="s">
        <v>173</v>
      </c>
      <c r="AA27" t="s">
        <v>174</v>
      </c>
      <c r="AB27" t="s">
        <v>175</v>
      </c>
      <c r="AC27" t="s">
        <v>176</v>
      </c>
      <c r="AD27" s="6" t="s">
        <v>93</v>
      </c>
      <c r="AE27" s="70" t="e">
        <f>WLS*(Z29-Z28)</f>
        <v>#VALUE!</v>
      </c>
      <c r="AF27" s="191" t="s">
        <v>168</v>
      </c>
      <c r="AG27" s="191" t="s">
        <v>168</v>
      </c>
      <c r="AH27" s="191" t="s">
        <v>168</v>
      </c>
      <c r="AI27" s="191" t="s">
        <v>168</v>
      </c>
      <c r="AJ27" s="80"/>
      <c r="BA27" t="e">
        <f ca="1"/>
        <v>#DIV/0!</v>
      </c>
      <c r="BB27" t="e">
        <f ca="1"/>
        <v>#DIV/0!</v>
      </c>
      <c r="BC27" t="e">
        <f ca="1"/>
        <v>#DIV/0!</v>
      </c>
      <c r="BD27" t="e">
        <f ca="1"/>
        <v>#DIV/0!</v>
      </c>
      <c r="BE27" t="e">
        <f ca="1"/>
        <v>#DIV/0!</v>
      </c>
      <c r="BF27" t="e">
        <f ca="1"/>
        <v>#DIV/0!</v>
      </c>
      <c r="BG27" s="6" t="e">
        <f ca="1"/>
        <v>#DIV/0!</v>
      </c>
      <c r="BH27" s="70" t="e">
        <f ca="1"/>
        <v>#DIV/0!</v>
      </c>
      <c r="BI27" t="e">
        <f ca="1"/>
        <v>#DIV/0!</v>
      </c>
      <c r="BJ27" t="e">
        <f ca="1"/>
        <v>#DIV/0!</v>
      </c>
      <c r="BK27" t="e">
        <f ca="1"/>
        <v>#DIV/0!</v>
      </c>
      <c r="BL27" t="e">
        <f ca="1"/>
        <v>#DIV/0!</v>
      </c>
    </row>
    <row r="28" spans="1:64" x14ac:dyDescent="0.25">
      <c r="A28">
        <v>25</v>
      </c>
      <c r="B28" s="88" t="str">
        <f t="shared" si="19"/>
        <v xml:space="preserve">  </v>
      </c>
      <c r="C28" s="92" t="str">
        <f t="shared" si="20"/>
        <v xml:space="preserve">  </v>
      </c>
      <c r="D28" s="81" t="str">
        <f t="shared" si="21"/>
        <v xml:space="preserve"> </v>
      </c>
      <c r="E28" s="77" t="str">
        <f t="shared" si="22"/>
        <v xml:space="preserve"> </v>
      </c>
      <c r="J28" s="91" t="str">
        <f t="shared" si="23"/>
        <v>2nd_UWL</v>
      </c>
      <c r="K28" s="91" t="str">
        <f t="shared" si="23"/>
        <v>#NA</v>
      </c>
      <c r="L28" s="82" t="e">
        <f>IF(K28-K27=K27-K26,K28,"#NA")</f>
        <v>#VALUE!</v>
      </c>
      <c r="M28" t="e">
        <f>L28</f>
        <v>#VALUE!</v>
      </c>
      <c r="N28" s="83" t="e">
        <f>VLOOKUP(L28,STN_TABLE,2,FALSE)</f>
        <v>#VALUE!</v>
      </c>
      <c r="O28" s="83">
        <v>1</v>
      </c>
      <c r="P28" s="83" t="e">
        <f>N28*O28</f>
        <v>#VALUE!</v>
      </c>
      <c r="Q28" s="83" t="e">
        <f>L28</f>
        <v>#VALUE!</v>
      </c>
      <c r="R28" s="83" t="e">
        <f>P28*Q28</f>
        <v>#VALUE!</v>
      </c>
      <c r="S28" t="e">
        <f>CONCATENATE("M(",L28,")=")</f>
        <v>#VALUE!</v>
      </c>
      <c r="T28" t="e">
        <f>2*(T25*WLS)/3*R29</f>
        <v>#VALUE!</v>
      </c>
      <c r="U28" s="80"/>
      <c r="V28" s="81"/>
      <c r="X28" s="191" t="s">
        <v>168</v>
      </c>
      <c r="Y28" s="191" t="s">
        <v>168</v>
      </c>
      <c r="Z28" s="79" t="str">
        <f>V23</f>
        <v>#NA</v>
      </c>
      <c r="AA28" s="68" t="e">
        <f>VLOOKUP(Z28,STN_TABLE,2,FALSE)</f>
        <v>#N/A</v>
      </c>
      <c r="AB28" s="68">
        <v>1</v>
      </c>
      <c r="AC28" s="69" t="e">
        <f>AA28*AB28</f>
        <v>#N/A</v>
      </c>
      <c r="AD28" s="78" t="s">
        <v>171</v>
      </c>
      <c r="AE28" s="191" t="s">
        <v>168</v>
      </c>
      <c r="AF28" s="78" t="s">
        <v>98</v>
      </c>
      <c r="AG28" s="191" t="s">
        <v>168</v>
      </c>
      <c r="AH28" s="7" t="s">
        <v>77</v>
      </c>
      <c r="AI28" s="191" t="s">
        <v>168</v>
      </c>
      <c r="AJ28" s="80"/>
      <c r="BA28" t="e">
        <f ca="1"/>
        <v>#DIV/0!</v>
      </c>
      <c r="BB28" t="e">
        <f ca="1"/>
        <v>#DIV/0!</v>
      </c>
      <c r="BC28" t="e">
        <f ca="1"/>
        <v>#DIV/0!</v>
      </c>
      <c r="BD28" t="e">
        <f ca="1"/>
        <v>#DIV/0!</v>
      </c>
      <c r="BE28" t="e">
        <f ca="1"/>
        <v>#DIV/0!</v>
      </c>
      <c r="BF28" t="e">
        <f ca="1"/>
        <v>#DIV/0!</v>
      </c>
      <c r="BG28" s="6" t="e">
        <f ca="1"/>
        <v>#DIV/0!</v>
      </c>
      <c r="BH28" s="70" t="e">
        <f ca="1"/>
        <v>#DIV/0!</v>
      </c>
      <c r="BI28" t="e">
        <f ca="1"/>
        <v>#DIV/0!</v>
      </c>
      <c r="BJ28" t="e">
        <f ca="1"/>
        <v>#DIV/0!</v>
      </c>
      <c r="BK28" t="e">
        <f ca="1"/>
        <v>#DIV/0!</v>
      </c>
      <c r="BL28" t="e">
        <f ca="1"/>
        <v>#DIV/0!</v>
      </c>
    </row>
    <row r="29" spans="1:64" x14ac:dyDescent="0.25">
      <c r="K29" s="91"/>
      <c r="L29" s="91"/>
      <c r="M29" s="191" t="s">
        <v>168</v>
      </c>
      <c r="N29" s="191" t="s">
        <v>168</v>
      </c>
      <c r="O29" s="6" t="s">
        <v>172</v>
      </c>
      <c r="P29" s="89" t="e">
        <f>SUM(P26:P28)</f>
        <v>#VALUE!</v>
      </c>
      <c r="Q29" s="6" t="s">
        <v>172</v>
      </c>
      <c r="R29" s="89" t="e">
        <f>SUM(R26:R28)</f>
        <v>#VALUE!</v>
      </c>
      <c r="S29" s="191" t="s">
        <v>168</v>
      </c>
      <c r="T29" s="191" t="s">
        <v>168</v>
      </c>
      <c r="U29" s="80"/>
      <c r="V29" s="81"/>
      <c r="X29" s="191" t="s">
        <v>168</v>
      </c>
      <c r="Y29" s="191" t="s">
        <v>168</v>
      </c>
      <c r="Z29" s="88" t="str">
        <f>V24</f>
        <v>#NA</v>
      </c>
      <c r="AA29" s="82" t="e">
        <f>VLOOKUP(Z29,STN_TABLE,2,FALSE)</f>
        <v>#N/A</v>
      </c>
      <c r="AB29" s="82">
        <v>2</v>
      </c>
      <c r="AC29" s="83" t="e">
        <f>AA29*AB29</f>
        <v>#N/A</v>
      </c>
      <c r="AD29" s="84" t="str">
        <f>CONCATENATE("a'(",Z28,"~",Z29,")=")</f>
        <v>a'(#NA~#NA)=</v>
      </c>
      <c r="AE29" s="84" t="e">
        <f>2*AE27/2*AA30</f>
        <v>#VALUE!</v>
      </c>
      <c r="AF29" s="84" t="str">
        <f>CONCATENATE("A(",Z28,")=")</f>
        <v>A(#NA)=</v>
      </c>
      <c r="AG29" s="84" t="e">
        <f>IF(Z28=RisePerWLS,0,VLOOKUP(Z28,STN_TABLE,3,FALSE))</f>
        <v>#VALUE!</v>
      </c>
      <c r="AH29" t="str">
        <f>CONCATENATE("A(",Z29,")=")</f>
        <v>A(#NA)=</v>
      </c>
      <c r="AI29" t="e">
        <f>AE29+AG29</f>
        <v>#VALUE!</v>
      </c>
      <c r="AJ29" s="80"/>
    </row>
    <row r="30" spans="1:64" x14ac:dyDescent="0.25">
      <c r="K30" s="91"/>
      <c r="L30" s="91"/>
      <c r="U30" s="80"/>
      <c r="V30" s="81"/>
      <c r="X30" s="191" t="s">
        <v>168</v>
      </c>
      <c r="Y30" s="191" t="s">
        <v>168</v>
      </c>
      <c r="Z30" s="6" t="s">
        <v>172</v>
      </c>
      <c r="AA30" s="89" t="e">
        <f>SUM(AA28:AA29)</f>
        <v>#N/A</v>
      </c>
      <c r="AB30" s="6" t="s">
        <v>172</v>
      </c>
      <c r="AC30" s="89" t="e">
        <f>SUM(AC28:AC29)</f>
        <v>#N/A</v>
      </c>
      <c r="AD30" s="84" t="str">
        <f>CONCATENATE("m'(",Z28,"~",Z29,")=")</f>
        <v>m'(#NA~#NA)=</v>
      </c>
      <c r="AE30" s="84" t="e">
        <f>(2*(AE27^2)/6*AC30)+(AE29*Z28*WLS)</f>
        <v>#VALUE!</v>
      </c>
      <c r="AF30" s="84" t="str">
        <f>CONCATENATE("M(",Z28,")=")</f>
        <v>M(#NA)=</v>
      </c>
      <c r="AG30" s="84" t="e">
        <f>IF(Z28=RisePerWLS,0,VLOOKUP(Z28,STN_TABLE,4,FALSE))</f>
        <v>#VALUE!</v>
      </c>
      <c r="AH30" t="str">
        <f>CONCATENATE("M(",Z29,")=")</f>
        <v>M(#NA)=</v>
      </c>
      <c r="AI30" t="e">
        <f>AE30+AG30</f>
        <v>#VALUE!</v>
      </c>
    </row>
    <row r="31" spans="1:64" x14ac:dyDescent="0.25">
      <c r="K31" s="91"/>
      <c r="L31" s="91"/>
      <c r="U31" s="81"/>
      <c r="V31" s="81"/>
      <c r="X31" s="191"/>
      <c r="Y31" s="191"/>
      <c r="Z31" s="191"/>
      <c r="AA31" s="81"/>
      <c r="AB31" s="191"/>
      <c r="AC31" s="81"/>
      <c r="AD31" s="84"/>
      <c r="AE31" s="84"/>
      <c r="AF31" s="84"/>
      <c r="AG31" s="84"/>
    </row>
    <row r="32" spans="1:64" ht="18" x14ac:dyDescent="0.35">
      <c r="B32" t="s">
        <v>180</v>
      </c>
      <c r="C32" s="191"/>
      <c r="G32" s="91" t="s">
        <v>181</v>
      </c>
      <c r="H32" s="91"/>
      <c r="L32" t="s">
        <v>182</v>
      </c>
      <c r="Q32" t="s">
        <v>0</v>
      </c>
      <c r="R32" t="s">
        <v>95</v>
      </c>
      <c r="S32" t="s">
        <v>164</v>
      </c>
      <c r="T32" t="s">
        <v>165</v>
      </c>
      <c r="U32" t="s">
        <v>166</v>
      </c>
      <c r="V32" t="s">
        <v>167</v>
      </c>
      <c r="W32" s="191" t="s">
        <v>168</v>
      </c>
      <c r="X32" s="191" t="s">
        <v>168</v>
      </c>
      <c r="Y32" s="191" t="s">
        <v>168</v>
      </c>
      <c r="Z32" s="191" t="s">
        <v>168</v>
      </c>
      <c r="AA32" s="191" t="s">
        <v>168</v>
      </c>
      <c r="AB32" s="191" t="s">
        <v>168</v>
      </c>
    </row>
    <row r="33" spans="1:60" ht="18" x14ac:dyDescent="0.35">
      <c r="B33" s="192" t="s">
        <v>171</v>
      </c>
      <c r="C33" s="193" t="e">
        <v>#DIV/0!</v>
      </c>
      <c r="D33" s="194" t="s">
        <v>98</v>
      </c>
      <c r="E33" s="195" t="e">
        <v>#DIV/0!</v>
      </c>
      <c r="G33" s="192" t="s">
        <v>171</v>
      </c>
      <c r="H33" s="193" t="e">
        <v>#DIV/0!</v>
      </c>
      <c r="I33" s="194" t="s">
        <v>98</v>
      </c>
      <c r="J33" s="195" t="e">
        <v>#DIV/0!</v>
      </c>
      <c r="L33" s="192" t="s">
        <v>171</v>
      </c>
      <c r="M33" s="193" t="e">
        <v>#DIV/0!</v>
      </c>
      <c r="N33" s="194" t="s">
        <v>98</v>
      </c>
      <c r="O33" s="195" t="e">
        <v>#DIV/0!</v>
      </c>
      <c r="Q33" s="68">
        <f>B4</f>
        <v>0</v>
      </c>
      <c r="R33" s="69">
        <f>VLOOKUP(Q33,STN_TABLE,2,FALSE)</f>
        <v>5.9</v>
      </c>
      <c r="S33" s="69">
        <v>5</v>
      </c>
      <c r="T33" s="68">
        <f>R33*S33</f>
        <v>29.5</v>
      </c>
      <c r="U33" s="79">
        <v>3</v>
      </c>
      <c r="V33" s="68">
        <f>R33*U33</f>
        <v>17.700000000000003</v>
      </c>
      <c r="W33" t="s">
        <v>93</v>
      </c>
      <c r="X33" s="70">
        <f>IF(AND(Q35-Q34=Q34-Q33,NOT(AND(Q33=0,Q34=0)),NOT(AND(Q34=0,Q35=0))),WLS*(Q35-Q34),"#NA")</f>
        <v>0.9</v>
      </c>
      <c r="Y33" s="191" t="s">
        <v>168</v>
      </c>
      <c r="Z33" s="191" t="s">
        <v>168</v>
      </c>
      <c r="AA33" s="191" t="s">
        <v>168</v>
      </c>
      <c r="AB33" s="191" t="s">
        <v>168</v>
      </c>
      <c r="AD33" t="s">
        <v>0</v>
      </c>
      <c r="AE33" t="s">
        <v>95</v>
      </c>
      <c r="AF33" t="s">
        <v>173</v>
      </c>
      <c r="AG33" t="s">
        <v>183</v>
      </c>
      <c r="AH33" t="s">
        <v>175</v>
      </c>
      <c r="AI33" t="s">
        <v>184</v>
      </c>
      <c r="AJ33" s="6" t="s">
        <v>93</v>
      </c>
      <c r="AK33" s="70">
        <f>WLS*(AD35-AD34)</f>
        <v>0.9</v>
      </c>
      <c r="AL33" s="191" t="s">
        <v>168</v>
      </c>
      <c r="AM33" s="191" t="s">
        <v>168</v>
      </c>
      <c r="AN33" s="191" t="s">
        <v>168</v>
      </c>
      <c r="AO33" s="191" t="s">
        <v>168</v>
      </c>
      <c r="AV33" s="97" t="s">
        <v>116</v>
      </c>
    </row>
    <row r="34" spans="1:60" x14ac:dyDescent="0.25">
      <c r="B34" s="196" t="str">
        <f>CONCATENATE("a'(",C39,"~",C41,")=")</f>
        <v>a'(0~1)=</v>
      </c>
      <c r="C34" s="105">
        <f>2*J39/3*F42</f>
        <v>34.734000000000002</v>
      </c>
      <c r="D34" s="105" t="str">
        <f>CONCATENATE("A(",C39,")=")</f>
        <v>A(0)=</v>
      </c>
      <c r="E34" s="197">
        <f>VLOOKUP(C39,STN_TABLE,3,FALSE)</f>
        <v>0</v>
      </c>
      <c r="G34" s="196" t="str">
        <f>CONCATENATE("a'(",Q33,"~",Q34,")=")</f>
        <v>a'(0~0.5)=</v>
      </c>
      <c r="H34" s="105">
        <f>2*X33/12*T36</f>
        <v>14.9145</v>
      </c>
      <c r="I34" s="105" t="str">
        <f>CONCATENATE("A(",Q33,")=")</f>
        <v>A(0)=</v>
      </c>
      <c r="J34" s="197">
        <f>VLOOKUP(Q33,STN_TABLE,3,FALSE)</f>
        <v>0</v>
      </c>
      <c r="L34" s="196" t="str">
        <f>CONCATENATE("a'(",AD35,")=")</f>
        <v>a'(0.5)=</v>
      </c>
      <c r="M34" s="105">
        <f>2*AK33/2*AG36</f>
        <v>14.454000000000002</v>
      </c>
      <c r="N34" s="105" t="str">
        <f>CONCATENATE("A(",AD34,")=")</f>
        <v>A(0)=</v>
      </c>
      <c r="O34" s="197">
        <f>VLOOKUP(AD34,STN_TABLE,3,FALSE)</f>
        <v>0</v>
      </c>
      <c r="Q34" s="76">
        <f>B5</f>
        <v>0.5</v>
      </c>
      <c r="R34" s="77">
        <f>VLOOKUP(Q34,STN_TABLE,2,FALSE)</f>
        <v>10.16</v>
      </c>
      <c r="S34" s="77">
        <v>8</v>
      </c>
      <c r="T34" s="76">
        <f>R34*S34</f>
        <v>81.28</v>
      </c>
      <c r="U34" s="80">
        <v>10</v>
      </c>
      <c r="V34" s="76">
        <f>R34*U34</f>
        <v>101.6</v>
      </c>
      <c r="W34" s="191" t="s">
        <v>168</v>
      </c>
      <c r="X34" s="191" t="s">
        <v>168</v>
      </c>
      <c r="Y34" s="191" t="s">
        <v>168</v>
      </c>
      <c r="Z34" s="191" t="s">
        <v>168</v>
      </c>
      <c r="AA34" s="7" t="s">
        <v>77</v>
      </c>
      <c r="AB34" s="191" t="s">
        <v>168</v>
      </c>
      <c r="AC34" s="94">
        <v>1</v>
      </c>
      <c r="AD34" s="95">
        <f>VLOOKUP(AC34,STN_TABLE_2,2,FALSE)</f>
        <v>0</v>
      </c>
      <c r="AE34">
        <f>AG34</f>
        <v>5.9</v>
      </c>
      <c r="AF34">
        <v>1</v>
      </c>
      <c r="AG34" s="68">
        <f>VLOOKUP(AD34,STN_TABLE,2,FALSE)</f>
        <v>5.9</v>
      </c>
      <c r="AH34" s="68">
        <v>1</v>
      </c>
      <c r="AI34" s="69">
        <f>AG34*AH34</f>
        <v>5.9</v>
      </c>
      <c r="AJ34" s="191" t="s">
        <v>168</v>
      </c>
      <c r="AK34" s="191" t="s">
        <v>168</v>
      </c>
      <c r="AL34" s="191" t="s">
        <v>168</v>
      </c>
      <c r="AM34" s="191" t="s">
        <v>168</v>
      </c>
      <c r="AN34" s="7" t="s">
        <v>77</v>
      </c>
      <c r="AO34" s="191" t="s">
        <v>168</v>
      </c>
      <c r="AR34" s="86" t="s">
        <v>112</v>
      </c>
      <c r="AS34" s="89" t="s">
        <v>113</v>
      </c>
      <c r="AT34" s="89" t="s">
        <v>114</v>
      </c>
      <c r="AU34" s="89" t="s">
        <v>115</v>
      </c>
      <c r="AV34" s="71" t="str">
        <f>IF(AV35=AR35,AR34,IF(AV35=AS35,AS34,IF(AV35=AT35,AT34,AU34)))</f>
        <v>5,8,-1 rule</v>
      </c>
      <c r="BG34"/>
      <c r="BH34"/>
    </row>
    <row r="35" spans="1:60" x14ac:dyDescent="0.25">
      <c r="B35" s="198" t="str">
        <f>CONCATENATE("m'(",C39,"~",C41,")=")</f>
        <v>m'(0~1)=</v>
      </c>
      <c r="C35" s="199">
        <f>2*(J39*(WLS))/3*H42</f>
        <v>34.203600000000002</v>
      </c>
      <c r="D35" s="199" t="str">
        <f>CONCATENATE("M(",C39,")=")</f>
        <v>M(0)=</v>
      </c>
      <c r="E35" s="200">
        <f>VLOOKUP(C39,STN_TABLE,4,FALSE)</f>
        <v>0</v>
      </c>
      <c r="G35" s="198" t="str">
        <f>CONCATENATE("m'(",Q33,"~",Q34,")=")</f>
        <v>m'(0~0.5)=</v>
      </c>
      <c r="H35" s="199">
        <f>(2*(X33^2)/24*V36)</f>
        <v>7.2866250000000008</v>
      </c>
      <c r="I35" s="199" t="str">
        <f>CONCATENATE("M(",Q33,")=")</f>
        <v>M(0)=</v>
      </c>
      <c r="J35" s="200">
        <f>VLOOKUP(Q33,STN_TABLE,4,FALSE)</f>
        <v>0</v>
      </c>
      <c r="L35" s="198" t="str">
        <f>CONCATENATE("m'(",AD35,")=")</f>
        <v>m'(0.5)=</v>
      </c>
      <c r="M35" s="199">
        <f>(2*(AK33^2)/6*AI36)+(M34*AD34*WLS)</f>
        <v>7.0794000000000006</v>
      </c>
      <c r="N35" s="199" t="str">
        <f>CONCATENATE("M(",AD34,")=")</f>
        <v>M(0)=</v>
      </c>
      <c r="O35" s="200">
        <f>VLOOKUP(AD34,STN_TABLE,4,FALSE)</f>
        <v>0</v>
      </c>
      <c r="Q35" s="82">
        <f>B6</f>
        <v>1</v>
      </c>
      <c r="R35" s="83">
        <f>VLOOKUP(Q35,STN_TABLE,2,FALSE)</f>
        <v>11.35</v>
      </c>
      <c r="S35" s="83">
        <v>-1</v>
      </c>
      <c r="T35" s="82">
        <f>R35*S35</f>
        <v>-11.35</v>
      </c>
      <c r="U35" s="88">
        <v>-1</v>
      </c>
      <c r="V35" s="82">
        <f>R35*U35</f>
        <v>-11.35</v>
      </c>
      <c r="W35" s="191" t="s">
        <v>168</v>
      </c>
      <c r="X35" s="191" t="s">
        <v>168</v>
      </c>
      <c r="Y35" s="191" t="s">
        <v>168</v>
      </c>
      <c r="Z35" s="191" t="s">
        <v>168</v>
      </c>
      <c r="AA35" t="str">
        <f>CONCATENATE("A(",Q34,")=")</f>
        <v>A(0.5)=</v>
      </c>
      <c r="AB35">
        <f>H34+J34</f>
        <v>14.9145</v>
      </c>
      <c r="AC35" s="99">
        <f>AC34+1</f>
        <v>2</v>
      </c>
      <c r="AD35" s="100">
        <f>VLOOKUP(AC35,STN_TABLE_2,2,FALSE)</f>
        <v>0.5</v>
      </c>
      <c r="AE35">
        <f>AG35</f>
        <v>10.16</v>
      </c>
      <c r="AF35">
        <v>1</v>
      </c>
      <c r="AG35" s="82">
        <f>VLOOKUP(AD35,STN_TABLE,2,FALSE)</f>
        <v>10.16</v>
      </c>
      <c r="AH35" s="82">
        <v>2</v>
      </c>
      <c r="AI35" s="83">
        <f>AG35*AH35</f>
        <v>20.32</v>
      </c>
      <c r="AJ35" s="191" t="s">
        <v>168</v>
      </c>
      <c r="AK35" s="191" t="s">
        <v>168</v>
      </c>
      <c r="AL35" s="191" t="s">
        <v>168</v>
      </c>
      <c r="AM35" s="191" t="s">
        <v>168</v>
      </c>
      <c r="AN35" t="str">
        <f>CONCATENATE("A(",AD35,")=")</f>
        <v>A(0.5)=</v>
      </c>
      <c r="AO35">
        <f>M34+O34</f>
        <v>14.454000000000002</v>
      </c>
      <c r="AQ35" s="68" t="str">
        <f>AA35</f>
        <v>A(0.5)=</v>
      </c>
      <c r="AR35" s="68" t="str">
        <f>IFERROR(VLOOKUP(AQ35,Rise_Results,2,FALSE),"-")</f>
        <v>-</v>
      </c>
      <c r="AS35" s="76" t="s">
        <v>117</v>
      </c>
      <c r="AT35" s="76">
        <f>IFERROR(IF(OR(AB35&lt;=0,AB36&lt;=0),1/0,AB35),"-")</f>
        <v>14.9145</v>
      </c>
      <c r="AU35" s="76">
        <f>AO35</f>
        <v>14.454000000000002</v>
      </c>
      <c r="AV35">
        <f>IF(ISNUMBER(AR35),AR35,IF(ISNUMBER(AS35),AS35,IF(ISNUMBER(AT35),AT35,AU35)))</f>
        <v>14.9145</v>
      </c>
      <c r="BG35"/>
      <c r="BH35"/>
    </row>
    <row r="36" spans="1:60" x14ac:dyDescent="0.25">
      <c r="A36" s="101"/>
      <c r="Q36" s="191" t="s">
        <v>168</v>
      </c>
      <c r="R36" s="191" t="s">
        <v>168</v>
      </c>
      <c r="S36" s="6" t="s">
        <v>172</v>
      </c>
      <c r="T36" s="89">
        <f>SUM(T33:T35)</f>
        <v>99.43</v>
      </c>
      <c r="U36" s="6" t="s">
        <v>172</v>
      </c>
      <c r="V36" s="82">
        <f>SUM(V33:V35)</f>
        <v>107.95</v>
      </c>
      <c r="W36" s="191" t="s">
        <v>168</v>
      </c>
      <c r="X36" s="191" t="s">
        <v>168</v>
      </c>
      <c r="Y36" s="191" t="s">
        <v>168</v>
      </c>
      <c r="Z36" s="191" t="s">
        <v>168</v>
      </c>
      <c r="AA36" t="str">
        <f>CONCATENATE("M(",Q34,")=")</f>
        <v>M(0.5)=</v>
      </c>
      <c r="AB36">
        <f>H35+J35</f>
        <v>7.2866250000000008</v>
      </c>
      <c r="AD36" s="191" t="s">
        <v>168</v>
      </c>
      <c r="AE36" s="191" t="s">
        <v>168</v>
      </c>
      <c r="AF36" s="6" t="s">
        <v>172</v>
      </c>
      <c r="AG36" s="89">
        <f>SUM(AG34:AG35)</f>
        <v>16.060000000000002</v>
      </c>
      <c r="AH36" s="6" t="s">
        <v>172</v>
      </c>
      <c r="AI36" s="89">
        <f>SUM(AI34:AI35)</f>
        <v>26.22</v>
      </c>
      <c r="AJ36" s="191" t="s">
        <v>168</v>
      </c>
      <c r="AK36" s="191" t="s">
        <v>168</v>
      </c>
      <c r="AL36" s="191" t="s">
        <v>168</v>
      </c>
      <c r="AM36" s="191" t="s">
        <v>168</v>
      </c>
      <c r="AN36" t="str">
        <f>CONCATENATE("M(",AD35,")=")</f>
        <v>M(0.5)=</v>
      </c>
      <c r="AO36">
        <f>M35+O35</f>
        <v>7.0794000000000006</v>
      </c>
      <c r="AQ36" s="82" t="str">
        <f>AA36</f>
        <v>M(0.5)=</v>
      </c>
      <c r="AR36" s="82" t="str">
        <f>IFERROR(VLOOKUP(AQ36,Rise_Results,2,FALSE),"-")</f>
        <v>-</v>
      </c>
      <c r="AS36" s="82" t="s">
        <v>117</v>
      </c>
      <c r="AT36" s="82">
        <f>IFERROR(IF(OR(AB35&lt;=0,AB36&lt;=0),1/0,AB36),"-")</f>
        <v>7.2866250000000008</v>
      </c>
      <c r="AU36" s="82">
        <f>AO36</f>
        <v>7.0794000000000006</v>
      </c>
      <c r="AV36">
        <f>IF(ISNUMBER(AR36),AR36,IF(ISNUMBER(AS36),AS36,IF(ISNUMBER(AT36),AT36,AU36)))</f>
        <v>7.2866250000000008</v>
      </c>
      <c r="BG36"/>
      <c r="BH36"/>
    </row>
    <row r="37" spans="1:60" x14ac:dyDescent="0.25">
      <c r="A37" s="101"/>
      <c r="T37" s="81"/>
      <c r="V37" s="81"/>
      <c r="W37" s="84"/>
      <c r="X37" s="84"/>
      <c r="Y37" s="84"/>
      <c r="Z37" s="84"/>
      <c r="AD37" s="191" t="s">
        <v>168</v>
      </c>
      <c r="AE37" s="191" t="s">
        <v>168</v>
      </c>
      <c r="AF37" s="191" t="s">
        <v>168</v>
      </c>
      <c r="AG37" s="191" t="s">
        <v>168</v>
      </c>
      <c r="AH37" s="191" t="s">
        <v>168</v>
      </c>
      <c r="AI37" s="191" t="s">
        <v>168</v>
      </c>
      <c r="AJ37" s="191" t="s">
        <v>168</v>
      </c>
      <c r="AK37" s="191" t="s">
        <v>168</v>
      </c>
      <c r="AL37" s="191" t="s">
        <v>168</v>
      </c>
      <c r="AM37" s="191" t="s">
        <v>168</v>
      </c>
      <c r="AN37" s="191" t="s">
        <v>168</v>
      </c>
      <c r="AO37" s="191" t="s">
        <v>168</v>
      </c>
      <c r="AQ37" s="81"/>
      <c r="AR37" s="81"/>
      <c r="AS37" s="81"/>
      <c r="AT37" s="81"/>
      <c r="AU37" s="81"/>
      <c r="BG37"/>
      <c r="BH37"/>
    </row>
    <row r="38" spans="1:60" ht="18" x14ac:dyDescent="0.35">
      <c r="C38" t="s">
        <v>0</v>
      </c>
      <c r="D38" t="s">
        <v>95</v>
      </c>
      <c r="E38" t="s">
        <v>164</v>
      </c>
      <c r="F38" t="s">
        <v>165</v>
      </c>
      <c r="G38" t="s">
        <v>13</v>
      </c>
      <c r="H38" t="s">
        <v>169</v>
      </c>
      <c r="I38" s="191" t="s">
        <v>168</v>
      </c>
      <c r="J38" s="191" t="s">
        <v>168</v>
      </c>
      <c r="K38" s="191" t="s">
        <v>168</v>
      </c>
      <c r="L38" s="191" t="s">
        <v>168</v>
      </c>
      <c r="M38" s="191" t="s">
        <v>168</v>
      </c>
      <c r="N38" s="191" t="s">
        <v>168</v>
      </c>
      <c r="O38" s="94">
        <v>1</v>
      </c>
      <c r="P38" s="101">
        <f t="shared" ref="P38:P75" si="24">VLOOKUP(O38,STN_TABLE_2,2,FALSE)</f>
        <v>0</v>
      </c>
      <c r="Q38" t="s">
        <v>0</v>
      </c>
      <c r="R38" t="s">
        <v>95</v>
      </c>
      <c r="S38" t="s">
        <v>164</v>
      </c>
      <c r="T38" t="s">
        <v>165</v>
      </c>
      <c r="U38" t="s">
        <v>166</v>
      </c>
      <c r="V38" t="s">
        <v>167</v>
      </c>
      <c r="W38" s="191" t="s">
        <v>168</v>
      </c>
      <c r="X38" s="191" t="s">
        <v>168</v>
      </c>
      <c r="Y38" s="191" t="s">
        <v>168</v>
      </c>
      <c r="Z38" s="191" t="s">
        <v>168</v>
      </c>
      <c r="AA38" s="191" t="s">
        <v>168</v>
      </c>
      <c r="AB38" s="191" t="s">
        <v>168</v>
      </c>
      <c r="BG38"/>
      <c r="BH38"/>
    </row>
    <row r="39" spans="1:60" ht="18" x14ac:dyDescent="0.35">
      <c r="A39" s="94">
        <v>1</v>
      </c>
      <c r="B39" s="94">
        <f>VLOOKUP(A39,STN_TABLE_2,2,FALSE)</f>
        <v>0</v>
      </c>
      <c r="C39" s="79">
        <f>B39</f>
        <v>0</v>
      </c>
      <c r="D39" s="68">
        <f>VLOOKUP(C39,STN_TABLE,2,FALSE)</f>
        <v>5.9</v>
      </c>
      <c r="E39" s="102">
        <v>1</v>
      </c>
      <c r="F39" s="68">
        <f>D39*E39</f>
        <v>5.9</v>
      </c>
      <c r="G39" s="69">
        <f>C39</f>
        <v>0</v>
      </c>
      <c r="H39" s="69">
        <f>F39*G39</f>
        <v>0</v>
      </c>
      <c r="I39" s="6" t="s">
        <v>93</v>
      </c>
      <c r="J39" s="70">
        <f>IF(OR(D39=0,D40=0,D41=0),"#NA",IF(AND(C41-C40=C40-C39,C40&lt;&gt;C41,C39&lt;&gt;C40,C39&lt;&gt;C41,D41&lt;&gt;0,OR(D39&lt;&gt;0,D40&lt;&gt;0)),WLS*(C41-C40),"#NA"))</f>
        <v>0.9</v>
      </c>
      <c r="K39" s="191" t="s">
        <v>168</v>
      </c>
      <c r="L39" s="191" t="s">
        <v>168</v>
      </c>
      <c r="M39" s="191" t="s">
        <v>168</v>
      </c>
      <c r="N39" s="191" t="s">
        <v>168</v>
      </c>
      <c r="O39" s="99">
        <f>O38+1</f>
        <v>2</v>
      </c>
      <c r="P39" s="99">
        <f t="shared" si="24"/>
        <v>0.5</v>
      </c>
      <c r="Q39" s="68">
        <f>IF(OR(P41-P40=P40-P39,P42-P40=P40-P39),P39,IF(OR(P41-P40=P40-P38,P42-P40=P40-P38),P38,"-"))</f>
        <v>0.5</v>
      </c>
      <c r="R39" s="69">
        <f>VLOOKUP(Q39,STN_TABLE,2,FALSE)</f>
        <v>10.16</v>
      </c>
      <c r="S39" s="69">
        <v>5</v>
      </c>
      <c r="T39" s="68">
        <f>R39*S39</f>
        <v>50.8</v>
      </c>
      <c r="U39" s="79">
        <v>3</v>
      </c>
      <c r="V39" s="68">
        <f>R39*U39</f>
        <v>30.48</v>
      </c>
      <c r="W39" s="6" t="s">
        <v>93</v>
      </c>
      <c r="X39" s="70">
        <f>IF(AND(Q41-Q40=Q40-Q39,NOT(AND(Q39=0,Q40=0)),NOT(AND(Q40=0,Q41=0))),WLS*(Q41-Q40),"#NA")</f>
        <v>0.9</v>
      </c>
      <c r="Y39" s="191" t="s">
        <v>168</v>
      </c>
      <c r="Z39" s="191" t="s">
        <v>168</v>
      </c>
      <c r="AA39" s="191" t="s">
        <v>168</v>
      </c>
      <c r="AB39" s="191" t="s">
        <v>168</v>
      </c>
      <c r="AD39" t="s">
        <v>0</v>
      </c>
      <c r="AE39" t="s">
        <v>95</v>
      </c>
      <c r="AF39" t="s">
        <v>173</v>
      </c>
      <c r="AG39" t="s">
        <v>183</v>
      </c>
      <c r="AH39" t="s">
        <v>175</v>
      </c>
      <c r="AI39" t="s">
        <v>184</v>
      </c>
      <c r="AJ39" s="6" t="s">
        <v>93</v>
      </c>
      <c r="AK39" s="70">
        <f>WLS*(AD41-AD40)</f>
        <v>0.9</v>
      </c>
      <c r="AL39" s="191" t="s">
        <v>168</v>
      </c>
      <c r="AM39" s="191" t="s">
        <v>168</v>
      </c>
      <c r="AN39" s="191" t="s">
        <v>168</v>
      </c>
      <c r="AO39" s="191" t="s">
        <v>168</v>
      </c>
      <c r="BG39"/>
      <c r="BH39"/>
    </row>
    <row r="40" spans="1:60" x14ac:dyDescent="0.25">
      <c r="A40" s="94">
        <f>A39+1</f>
        <v>2</v>
      </c>
      <c r="B40" s="94">
        <f>VLOOKUP(A40,STN_TABLE_2,2,FALSE)</f>
        <v>0.5</v>
      </c>
      <c r="C40" s="80">
        <f>B40</f>
        <v>0.5</v>
      </c>
      <c r="D40" s="76">
        <f>VLOOKUP(C40,STN_TABLE,2,FALSE)</f>
        <v>10.16</v>
      </c>
      <c r="E40" s="81">
        <v>4</v>
      </c>
      <c r="F40" s="76">
        <f>D40*E40</f>
        <v>40.64</v>
      </c>
      <c r="G40" s="77">
        <f>C40</f>
        <v>0.5</v>
      </c>
      <c r="H40" s="77">
        <f>F40*G40</f>
        <v>20.32</v>
      </c>
      <c r="I40" s="191" t="s">
        <v>168</v>
      </c>
      <c r="J40" s="191" t="s">
        <v>168</v>
      </c>
      <c r="K40" s="191" t="s">
        <v>168</v>
      </c>
      <c r="L40" s="191" t="s">
        <v>168</v>
      </c>
      <c r="M40" s="7" t="s">
        <v>77</v>
      </c>
      <c r="N40" s="191" t="s">
        <v>168</v>
      </c>
      <c r="O40" s="99">
        <f>O39+1</f>
        <v>3</v>
      </c>
      <c r="P40" s="99">
        <f t="shared" si="24"/>
        <v>1</v>
      </c>
      <c r="Q40" s="76">
        <f>P40</f>
        <v>1</v>
      </c>
      <c r="R40" s="77">
        <f>VLOOKUP(Q40,STN_TABLE,2,FALSE)</f>
        <v>11.35</v>
      </c>
      <c r="S40" s="77">
        <v>8</v>
      </c>
      <c r="T40" s="76">
        <f>R40*S40</f>
        <v>90.8</v>
      </c>
      <c r="U40" s="80">
        <v>10</v>
      </c>
      <c r="V40" s="76">
        <f>R40*U40</f>
        <v>113.5</v>
      </c>
      <c r="W40" s="201" t="s">
        <v>171</v>
      </c>
      <c r="X40" s="191" t="s">
        <v>168</v>
      </c>
      <c r="Y40" s="78" t="s">
        <v>98</v>
      </c>
      <c r="Z40" s="191" t="s">
        <v>168</v>
      </c>
      <c r="AA40" s="7" t="s">
        <v>77</v>
      </c>
      <c r="AB40" s="191" t="s">
        <v>168</v>
      </c>
      <c r="AC40" s="99">
        <f>AC34+1</f>
        <v>2</v>
      </c>
      <c r="AD40" s="95">
        <f>VLOOKUP(AC40,STN_TABLE_2,2,FALSE)</f>
        <v>0.5</v>
      </c>
      <c r="AE40">
        <f>AG40</f>
        <v>10.16</v>
      </c>
      <c r="AF40">
        <v>1</v>
      </c>
      <c r="AG40" s="68">
        <f>VLOOKUP(AD40,STN_TABLE,2,FALSE)</f>
        <v>10.16</v>
      </c>
      <c r="AH40" s="68">
        <v>1</v>
      </c>
      <c r="AI40" s="69">
        <f>AG40*AH40</f>
        <v>10.16</v>
      </c>
      <c r="AJ40" s="201" t="s">
        <v>171</v>
      </c>
      <c r="AK40" s="191" t="s">
        <v>168</v>
      </c>
      <c r="AL40" s="78" t="s">
        <v>98</v>
      </c>
      <c r="AM40" s="191" t="s">
        <v>168</v>
      </c>
      <c r="AN40" s="7" t="s">
        <v>77</v>
      </c>
      <c r="AO40" s="191" t="s">
        <v>168</v>
      </c>
      <c r="AR40" s="86" t="s">
        <v>112</v>
      </c>
      <c r="AS40" s="89" t="s">
        <v>113</v>
      </c>
      <c r="AT40" s="89" t="s">
        <v>114</v>
      </c>
      <c r="AU40" s="89" t="s">
        <v>115</v>
      </c>
      <c r="AV40" s="71" t="str">
        <f>IF(AV41=AR41,AR40,IF(AV41=AS41,AS40,IF(AV41=AT41,AT40,AU40)))</f>
        <v>1,4,1 rule</v>
      </c>
      <c r="BG40"/>
      <c r="BH40"/>
    </row>
    <row r="41" spans="1:60" x14ac:dyDescent="0.25">
      <c r="A41" s="94">
        <f>A40+1</f>
        <v>3</v>
      </c>
      <c r="B41" s="94">
        <f>VLOOKUP(A41,STN_TABLE_2,2,FALSE)</f>
        <v>1</v>
      </c>
      <c r="C41" s="88">
        <f>B41</f>
        <v>1</v>
      </c>
      <c r="D41" s="82">
        <f>VLOOKUP(C41,STN_TABLE,2,FALSE)</f>
        <v>11.35</v>
      </c>
      <c r="E41" s="92">
        <v>1</v>
      </c>
      <c r="F41" s="82">
        <f>D41*E41</f>
        <v>11.35</v>
      </c>
      <c r="G41" s="83">
        <f>C41</f>
        <v>1</v>
      </c>
      <c r="H41" s="83">
        <f>F41*G41</f>
        <v>11.35</v>
      </c>
      <c r="I41" s="191" t="s">
        <v>168</v>
      </c>
      <c r="J41" s="191" t="s">
        <v>168</v>
      </c>
      <c r="K41" s="191" t="s">
        <v>168</v>
      </c>
      <c r="L41" s="191" t="s">
        <v>168</v>
      </c>
      <c r="M41" t="str">
        <f>CONCATENATE("A(",C41,")=")</f>
        <v>A(1)=</v>
      </c>
      <c r="N41">
        <f>C34+E34</f>
        <v>34.734000000000002</v>
      </c>
      <c r="O41" s="99">
        <f>O40+1</f>
        <v>4</v>
      </c>
      <c r="P41" s="99">
        <f t="shared" si="24"/>
        <v>1.5</v>
      </c>
      <c r="Q41" s="82">
        <f>IF(P41-P40=P40-P39,P41,IF(P42-P40=P40-P39,P42,IF(P41-P40=P40-P38,P41,IF(P42-P40=P40-P38,P42,"-"))))</f>
        <v>1.5</v>
      </c>
      <c r="R41" s="83">
        <f>VLOOKUP(Q41,STN_TABLE,2,FALSE)</f>
        <v>11.9</v>
      </c>
      <c r="S41" s="83">
        <v>-1</v>
      </c>
      <c r="T41" s="82">
        <f>R41*S41</f>
        <v>-11.9</v>
      </c>
      <c r="U41" s="88">
        <v>-1</v>
      </c>
      <c r="V41" s="82">
        <f>R41*U41</f>
        <v>-11.9</v>
      </c>
      <c r="W41" s="84" t="str">
        <f>CONCATENATE("a'(",Q39,"~",Q40,")=")</f>
        <v>a'(0.5~1)=</v>
      </c>
      <c r="X41" s="84">
        <f>2*X39/12*T42</f>
        <v>19.454999999999998</v>
      </c>
      <c r="Y41" s="84" t="str">
        <f>CONCATENATE("A(",Q39,")=")</f>
        <v>A(0.5)=</v>
      </c>
      <c r="Z41" s="84">
        <f>VLOOKUP(Q39,STN_TABLE,3,FALSE)</f>
        <v>14.9145</v>
      </c>
      <c r="AA41" t="str">
        <f>CONCATENATE("A(",Q40,")=")</f>
        <v>A(1)=</v>
      </c>
      <c r="AB41">
        <f>X41+Z41</f>
        <v>34.369500000000002</v>
      </c>
      <c r="AC41" s="99">
        <f>AC40+1</f>
        <v>3</v>
      </c>
      <c r="AD41" s="100">
        <f>VLOOKUP(AC41,STN_TABLE_2,2,FALSE)</f>
        <v>1</v>
      </c>
      <c r="AE41">
        <f>AG41</f>
        <v>11.35</v>
      </c>
      <c r="AF41">
        <v>1</v>
      </c>
      <c r="AG41" s="82">
        <f>VLOOKUP(AD41,STN_TABLE,2,FALSE)</f>
        <v>11.35</v>
      </c>
      <c r="AH41" s="82">
        <v>2</v>
      </c>
      <c r="AI41" s="83">
        <f>AG41*AH41</f>
        <v>22.7</v>
      </c>
      <c r="AJ41" s="84" t="str">
        <f>CONCATENATE("a'(",AD41,")=")</f>
        <v>a'(1)=</v>
      </c>
      <c r="AK41" s="84">
        <f>2*AK39/2*AG42</f>
        <v>19.358999999999998</v>
      </c>
      <c r="AL41" s="84" t="str">
        <f>CONCATENATE("A(",AD40,")=")</f>
        <v>A(0.5)=</v>
      </c>
      <c r="AM41" s="84">
        <f>VLOOKUP(AD40,STN_TABLE,3,FALSE)</f>
        <v>14.9145</v>
      </c>
      <c r="AN41" t="str">
        <f>CONCATENATE("A(",AD41,")=")</f>
        <v>A(1)=</v>
      </c>
      <c r="AO41">
        <f>AK41+AM41</f>
        <v>34.273499999999999</v>
      </c>
      <c r="AQ41" s="68" t="str">
        <f>AA41</f>
        <v>A(1)=</v>
      </c>
      <c r="AR41" s="68" t="str">
        <f>IFERROR(VLOOKUP(AQ41,Rise_Results,2,FALSE),"-")</f>
        <v>-</v>
      </c>
      <c r="AS41" s="76">
        <f>IFERROR(N41,"-")</f>
        <v>34.734000000000002</v>
      </c>
      <c r="AT41" s="76">
        <f>IFERROR(IF(OR(AB41&lt;=0,AB42&lt;=0),1/0,AB41),"-")</f>
        <v>34.369500000000002</v>
      </c>
      <c r="AU41" s="76">
        <f>AO41</f>
        <v>34.273499999999999</v>
      </c>
      <c r="AV41">
        <f>IF(ISNUMBER(AR41),AR41,IF(ISNUMBER(AS41),AS41,IF(ISNUMBER(AT41),AT41,AU41)))</f>
        <v>34.734000000000002</v>
      </c>
      <c r="BG41"/>
      <c r="BH41"/>
    </row>
    <row r="42" spans="1:60" x14ac:dyDescent="0.25">
      <c r="A42">
        <v>4</v>
      </c>
      <c r="C42" s="191" t="s">
        <v>168</v>
      </c>
      <c r="D42" s="191" t="s">
        <v>168</v>
      </c>
      <c r="E42" s="6" t="s">
        <v>172</v>
      </c>
      <c r="F42" s="89">
        <f>SUM(F39:F41)</f>
        <v>57.89</v>
      </c>
      <c r="G42" s="6" t="s">
        <v>172</v>
      </c>
      <c r="H42" s="82">
        <f>SUM(H39:H41)</f>
        <v>31.67</v>
      </c>
      <c r="I42" s="191" t="s">
        <v>168</v>
      </c>
      <c r="J42" s="191" t="s">
        <v>168</v>
      </c>
      <c r="K42" s="191" t="s">
        <v>168</v>
      </c>
      <c r="L42" s="191" t="s">
        <v>168</v>
      </c>
      <c r="M42" t="str">
        <f>CONCATENATE("M(",C41,")=")</f>
        <v>M(1)=</v>
      </c>
      <c r="N42">
        <f>C35+E35</f>
        <v>34.203600000000002</v>
      </c>
      <c r="O42" s="99">
        <f>O41+1</f>
        <v>5</v>
      </c>
      <c r="P42" s="99">
        <f t="shared" si="24"/>
        <v>2</v>
      </c>
      <c r="Q42" s="191" t="s">
        <v>168</v>
      </c>
      <c r="R42" s="191" t="s">
        <v>168</v>
      </c>
      <c r="S42" s="6" t="s">
        <v>172</v>
      </c>
      <c r="T42" s="89">
        <f>SUM(T39:T41)</f>
        <v>129.69999999999999</v>
      </c>
      <c r="U42" s="6" t="s">
        <v>172</v>
      </c>
      <c r="V42" s="82">
        <f>SUM(V39:V41)</f>
        <v>132.07999999999998</v>
      </c>
      <c r="W42" s="84" t="str">
        <f>CONCATENATE("m'(",Q39,"~",Q40,")=")</f>
        <v>m'(0.5~1)=</v>
      </c>
      <c r="X42" s="84">
        <f>(2*(X39^2)/24*V42)+(X41*Q39*WLS)</f>
        <v>26.424900000000001</v>
      </c>
      <c r="Y42" s="84" t="str">
        <f>CONCATENATE("M(",Q39,")=")</f>
        <v>M(0.5)=</v>
      </c>
      <c r="Z42" s="84">
        <f>VLOOKUP(Q39,STN_TABLE,4,FALSE)</f>
        <v>7.2866250000000008</v>
      </c>
      <c r="AA42" t="str">
        <f>CONCATENATE("M(",Q40,")=")</f>
        <v>M(1)=</v>
      </c>
      <c r="AB42">
        <f>X42+Z42</f>
        <v>33.711525000000002</v>
      </c>
      <c r="AD42" s="191" t="s">
        <v>168</v>
      </c>
      <c r="AE42" s="191" t="s">
        <v>168</v>
      </c>
      <c r="AF42" s="6" t="s">
        <v>172</v>
      </c>
      <c r="AG42" s="89">
        <f>SUM(AG40:AG41)</f>
        <v>21.509999999999998</v>
      </c>
      <c r="AH42" s="6" t="s">
        <v>172</v>
      </c>
      <c r="AI42" s="89">
        <f>SUM(AI40:AI41)</f>
        <v>32.86</v>
      </c>
      <c r="AJ42" s="84" t="str">
        <f>CONCATENATE("m'(",AD41,")=")</f>
        <v>m'(1)=</v>
      </c>
      <c r="AK42" s="84">
        <f>(2*(AK39^2)/6*AI42)+(AK41*AD40*WLS)</f>
        <v>26.295299999999997</v>
      </c>
      <c r="AL42" s="84" t="str">
        <f>CONCATENATE("M(",AD40,")=")</f>
        <v>M(0.5)=</v>
      </c>
      <c r="AM42" s="84">
        <f>VLOOKUP(AD40,STN_TABLE,4,FALSE)</f>
        <v>7.2866250000000008</v>
      </c>
      <c r="AN42" t="str">
        <f>CONCATENATE("M(",AD41,")=")</f>
        <v>M(1)=</v>
      </c>
      <c r="AO42">
        <f>AK42+AM42</f>
        <v>33.581924999999998</v>
      </c>
      <c r="AQ42" s="82" t="str">
        <f>AA42</f>
        <v>M(1)=</v>
      </c>
      <c r="AR42" s="82" t="str">
        <f>IFERROR(VLOOKUP(AQ42,Rise_Results,2,FALSE),"-")</f>
        <v>-</v>
      </c>
      <c r="AS42" s="82">
        <f>IFERROR(N42,"-")</f>
        <v>34.203600000000002</v>
      </c>
      <c r="AT42" s="82">
        <f>IFERROR(IF(OR(AB41&lt;=0,AB42&lt;=0),1/0,AB42),"-")</f>
        <v>33.711525000000002</v>
      </c>
      <c r="AU42" s="82">
        <f>AO42</f>
        <v>33.581924999999998</v>
      </c>
      <c r="AV42">
        <f>IF(ISNUMBER(AR42),AR42,IF(ISNUMBER(AS42),AS42,IF(ISNUMBER(AT42),AT42,AU42)))</f>
        <v>34.203600000000002</v>
      </c>
      <c r="BG42"/>
      <c r="BH42"/>
    </row>
    <row r="43" spans="1:60" x14ac:dyDescent="0.25">
      <c r="F43" s="81"/>
      <c r="H43" s="81"/>
      <c r="I43" s="84"/>
      <c r="J43" s="84"/>
      <c r="K43" s="84"/>
      <c r="L43" s="84"/>
      <c r="O43" s="99"/>
      <c r="P43" s="99"/>
      <c r="T43" s="81"/>
      <c r="V43" s="81"/>
      <c r="W43" s="84"/>
      <c r="X43" s="84"/>
      <c r="Y43" s="84"/>
      <c r="Z43" s="84"/>
      <c r="AD43" s="191" t="s">
        <v>168</v>
      </c>
      <c r="AE43" s="191" t="s">
        <v>168</v>
      </c>
      <c r="AF43" s="191" t="s">
        <v>168</v>
      </c>
      <c r="AG43" s="191" t="s">
        <v>168</v>
      </c>
      <c r="AH43" s="191" t="s">
        <v>168</v>
      </c>
      <c r="AI43" s="191" t="s">
        <v>168</v>
      </c>
      <c r="AJ43" s="191" t="s">
        <v>168</v>
      </c>
      <c r="AK43" s="191" t="s">
        <v>168</v>
      </c>
      <c r="AL43" s="191" t="s">
        <v>168</v>
      </c>
      <c r="AM43" s="191" t="s">
        <v>168</v>
      </c>
      <c r="AN43" s="191" t="s">
        <v>168</v>
      </c>
      <c r="AO43" s="191" t="s">
        <v>168</v>
      </c>
      <c r="AQ43" s="81"/>
      <c r="AR43" s="81"/>
      <c r="AS43" s="81"/>
      <c r="AT43" s="81"/>
      <c r="AU43" s="81"/>
      <c r="BG43"/>
      <c r="BH43"/>
    </row>
    <row r="44" spans="1:60" ht="18" x14ac:dyDescent="0.35">
      <c r="A44" s="94">
        <v>0</v>
      </c>
      <c r="C44" t="s">
        <v>0</v>
      </c>
      <c r="D44" t="s">
        <v>95</v>
      </c>
      <c r="E44" t="s">
        <v>164</v>
      </c>
      <c r="F44" t="s">
        <v>165</v>
      </c>
      <c r="G44" t="s">
        <v>13</v>
      </c>
      <c r="H44" t="s">
        <v>169</v>
      </c>
      <c r="I44" s="191" t="s">
        <v>168</v>
      </c>
      <c r="J44" s="191" t="s">
        <v>168</v>
      </c>
      <c r="K44" s="191" t="s">
        <v>168</v>
      </c>
      <c r="L44" s="191" t="s">
        <v>168</v>
      </c>
      <c r="M44" s="191" t="s">
        <v>168</v>
      </c>
      <c r="N44" s="191" t="s">
        <v>168</v>
      </c>
      <c r="O44" s="101">
        <f>O38+1</f>
        <v>2</v>
      </c>
      <c r="P44" s="101">
        <f t="shared" si="24"/>
        <v>0.5</v>
      </c>
      <c r="Q44" t="s">
        <v>0</v>
      </c>
      <c r="R44" t="s">
        <v>95</v>
      </c>
      <c r="S44" t="s">
        <v>164</v>
      </c>
      <c r="T44" t="s">
        <v>165</v>
      </c>
      <c r="U44" t="s">
        <v>166</v>
      </c>
      <c r="V44" t="s">
        <v>167</v>
      </c>
      <c r="W44" s="191" t="e">
        <v>#DIV/0!</v>
      </c>
      <c r="X44" s="191" t="e">
        <v>#DIV/0!</v>
      </c>
      <c r="Y44" s="191" t="s">
        <v>168</v>
      </c>
      <c r="Z44" s="191" t="s">
        <v>168</v>
      </c>
      <c r="AA44" s="191" t="s">
        <v>168</v>
      </c>
      <c r="AB44" s="191" t="s">
        <v>168</v>
      </c>
      <c r="BG44"/>
      <c r="BH44"/>
    </row>
    <row r="45" spans="1:60" ht="18" x14ac:dyDescent="0.35">
      <c r="A45" s="94">
        <f>A44+1</f>
        <v>1</v>
      </c>
      <c r="B45" s="94">
        <f>VLOOKUP(A45,STN_TABLE_2,2,FALSE)</f>
        <v>0</v>
      </c>
      <c r="C45" s="79">
        <f>IF(C46=B46,B45,IF(C46=B47,IF(C47-C46=C46-B46,B46,IF(C47-C46=C46-B45,B45,"NA"))))</f>
        <v>0.5</v>
      </c>
      <c r="D45" s="68">
        <f>VLOOKUP(C45,STN_TABLE,2,FALSE)</f>
        <v>10.16</v>
      </c>
      <c r="E45" s="102">
        <v>1</v>
      </c>
      <c r="F45" s="68">
        <f>D45*E45</f>
        <v>10.16</v>
      </c>
      <c r="G45" s="69">
        <f>C45</f>
        <v>0.5</v>
      </c>
      <c r="H45" s="69">
        <f>F45*G45</f>
        <v>5.08</v>
      </c>
      <c r="I45" s="6" t="s">
        <v>93</v>
      </c>
      <c r="J45" s="70">
        <f>IF(OR(D45=0,D46=0,D47=0),"#NA",IF(AND(C47-C46=C46-C45,C46&lt;&gt;C47,C45&lt;&gt;C46,C45&lt;&gt;C47,D47&lt;&gt;0,OR(D45&lt;&gt;0,D46&lt;&gt;0)),WLS*(C47-C46),"#NA"))</f>
        <v>0.9</v>
      </c>
      <c r="K45" s="191" t="s">
        <v>168</v>
      </c>
      <c r="L45" s="191" t="s">
        <v>168</v>
      </c>
      <c r="M45" s="191" t="s">
        <v>168</v>
      </c>
      <c r="N45" s="191" t="s">
        <v>168</v>
      </c>
      <c r="O45" s="99">
        <f>O44+1</f>
        <v>3</v>
      </c>
      <c r="P45" s="99">
        <f t="shared" si="24"/>
        <v>1</v>
      </c>
      <c r="Q45" s="68">
        <f>IF(OR(P47-P46=P46-P45,P48-P46=P46-P45),P45,IF(OR(P47-P46=P46-P44,P48-P46=P46-P44),P44,"-"))</f>
        <v>1</v>
      </c>
      <c r="R45" s="69">
        <f>VLOOKUP(Q45,STN_TABLE,2,FALSE)</f>
        <v>11.35</v>
      </c>
      <c r="S45" s="69">
        <v>5</v>
      </c>
      <c r="T45" s="68">
        <f>R45*S45</f>
        <v>56.75</v>
      </c>
      <c r="U45" s="79">
        <v>3</v>
      </c>
      <c r="V45" s="68">
        <f>R45*U45</f>
        <v>34.049999999999997</v>
      </c>
      <c r="W45" s="6" t="s">
        <v>93</v>
      </c>
      <c r="X45" s="70">
        <f>IF(AND(Q47-Q46=Q46-Q45,NOT(AND(Q45=0,Q46=0)),NOT(AND(Q46=0,Q47=0))),WLS*(Q47-Q46),"#NA")</f>
        <v>0.9</v>
      </c>
      <c r="Y45" s="191" t="s">
        <v>168</v>
      </c>
      <c r="Z45" s="191" t="s">
        <v>168</v>
      </c>
      <c r="AA45" s="191" t="s">
        <v>168</v>
      </c>
      <c r="AB45" s="191" t="s">
        <v>168</v>
      </c>
      <c r="AD45" t="s">
        <v>0</v>
      </c>
      <c r="AE45" t="s">
        <v>95</v>
      </c>
      <c r="AF45" t="s">
        <v>173</v>
      </c>
      <c r="AG45" t="s">
        <v>183</v>
      </c>
      <c r="AH45" t="s">
        <v>175</v>
      </c>
      <c r="AI45" t="s">
        <v>184</v>
      </c>
      <c r="AJ45" s="6" t="s">
        <v>93</v>
      </c>
      <c r="AK45" s="70">
        <f>WLS*(AD47-AD46)</f>
        <v>0.9</v>
      </c>
      <c r="AL45" s="191" t="s">
        <v>168</v>
      </c>
      <c r="AM45" s="191" t="s">
        <v>168</v>
      </c>
      <c r="AN45" s="191" t="s">
        <v>168</v>
      </c>
      <c r="AO45" s="191" t="s">
        <v>168</v>
      </c>
      <c r="BG45"/>
      <c r="BH45"/>
    </row>
    <row r="46" spans="1:60" x14ac:dyDescent="0.25">
      <c r="A46" s="94">
        <f>A45+1</f>
        <v>2</v>
      </c>
      <c r="B46" s="94">
        <f>VLOOKUP(A46,STN_TABLE_2,2,FALSE)</f>
        <v>0.5</v>
      </c>
      <c r="C46" s="80">
        <f>IF(OR(B48-B47=B47-B46,B48-B47=B47-B45,),B47,IF(B48-B46=B46-B45,B46,"#NA"))</f>
        <v>1</v>
      </c>
      <c r="D46" s="76">
        <f>VLOOKUP(C46,STN_TABLE,2,FALSE)</f>
        <v>11.35</v>
      </c>
      <c r="E46" s="81">
        <v>4</v>
      </c>
      <c r="F46" s="76">
        <f>D46*E46</f>
        <v>45.4</v>
      </c>
      <c r="G46" s="77">
        <f>C46</f>
        <v>1</v>
      </c>
      <c r="H46" s="77">
        <f>F46*G46</f>
        <v>45.4</v>
      </c>
      <c r="I46" s="201" t="s">
        <v>171</v>
      </c>
      <c r="J46" s="191" t="s">
        <v>168</v>
      </c>
      <c r="K46" s="78" t="s">
        <v>98</v>
      </c>
      <c r="L46" s="191" t="s">
        <v>168</v>
      </c>
      <c r="M46" s="7" t="s">
        <v>77</v>
      </c>
      <c r="N46" s="191" t="s">
        <v>168</v>
      </c>
      <c r="O46" s="99">
        <f>O45+1</f>
        <v>4</v>
      </c>
      <c r="P46" s="99">
        <f t="shared" si="24"/>
        <v>1.5</v>
      </c>
      <c r="Q46" s="76">
        <f>P46</f>
        <v>1.5</v>
      </c>
      <c r="R46" s="77">
        <f>VLOOKUP(Q46,STN_TABLE,2,FALSE)</f>
        <v>11.9</v>
      </c>
      <c r="S46" s="77">
        <v>8</v>
      </c>
      <c r="T46" s="76">
        <f>R46*S46</f>
        <v>95.2</v>
      </c>
      <c r="U46" s="80">
        <v>10</v>
      </c>
      <c r="V46" s="76">
        <f>R46*U46</f>
        <v>119</v>
      </c>
      <c r="W46" s="201" t="s">
        <v>171</v>
      </c>
      <c r="X46" s="191" t="s">
        <v>168</v>
      </c>
      <c r="Y46" s="78" t="s">
        <v>98</v>
      </c>
      <c r="Z46" s="191" t="s">
        <v>168</v>
      </c>
      <c r="AA46" s="7" t="s">
        <v>77</v>
      </c>
      <c r="AB46" s="191" t="s">
        <v>168</v>
      </c>
      <c r="AC46" s="99">
        <f>AC40+1</f>
        <v>3</v>
      </c>
      <c r="AD46" s="95">
        <f>VLOOKUP(AC46,STN_TABLE_2,2,FALSE)</f>
        <v>1</v>
      </c>
      <c r="AE46">
        <f t="shared" ref="AE46:AE47" si="25">AG46</f>
        <v>11.35</v>
      </c>
      <c r="AF46">
        <v>1</v>
      </c>
      <c r="AG46" s="68">
        <f>VLOOKUP(AD46,STN_TABLE,2,FALSE)</f>
        <v>11.35</v>
      </c>
      <c r="AH46" s="68">
        <v>1</v>
      </c>
      <c r="AI46" s="69">
        <f>AG46*AH46</f>
        <v>11.35</v>
      </c>
      <c r="AJ46" s="201" t="s">
        <v>171</v>
      </c>
      <c r="AK46" s="191" t="s">
        <v>168</v>
      </c>
      <c r="AL46" s="78" t="s">
        <v>98</v>
      </c>
      <c r="AM46" s="191" t="s">
        <v>168</v>
      </c>
      <c r="AN46" s="7" t="s">
        <v>77</v>
      </c>
      <c r="AO46" s="191" t="s">
        <v>168</v>
      </c>
      <c r="AR46" s="86" t="s">
        <v>112</v>
      </c>
      <c r="AS46" s="89" t="s">
        <v>113</v>
      </c>
      <c r="AT46" s="89" t="s">
        <v>114</v>
      </c>
      <c r="AU46" s="89" t="s">
        <v>115</v>
      </c>
      <c r="AV46" s="71" t="str">
        <f t="shared" ref="AV46" si="26">IF(AV47=AR47,AR46,IF(AV47=AS47,AS46,IF(AV47=AT47,AT46,AU46)))</f>
        <v>1,4,1 rule</v>
      </c>
      <c r="BG46"/>
      <c r="BH46"/>
    </row>
    <row r="47" spans="1:60" x14ac:dyDescent="0.25">
      <c r="A47" s="94">
        <f>A46+1</f>
        <v>3</v>
      </c>
      <c r="B47" s="94">
        <f>VLOOKUP(A47,STN_TABLE_2,2,FALSE)</f>
        <v>1</v>
      </c>
      <c r="C47" s="88">
        <f>B48</f>
        <v>1.5</v>
      </c>
      <c r="D47" s="82">
        <f>VLOOKUP(C47,STN_TABLE,2,FALSE)</f>
        <v>11.9</v>
      </c>
      <c r="E47" s="92">
        <v>1</v>
      </c>
      <c r="F47" s="82">
        <f>D47*E47</f>
        <v>11.9</v>
      </c>
      <c r="G47" s="83">
        <f>C47</f>
        <v>1.5</v>
      </c>
      <c r="H47" s="83">
        <f>F47*G47</f>
        <v>17.850000000000001</v>
      </c>
      <c r="I47" s="84" t="str">
        <f>CONCATENATE("a'(",C45,"~",C47,")=")</f>
        <v>a'(0.5~1.5)=</v>
      </c>
      <c r="J47" s="84">
        <f>2*J45/3*F48</f>
        <v>40.476000000000006</v>
      </c>
      <c r="K47" s="84" t="str">
        <f>CONCATENATE("A(",C45,")=")</f>
        <v>A(0.5)=</v>
      </c>
      <c r="L47" s="84">
        <f>VLOOKUP(C45,STN_TABLE,3,FALSE)</f>
        <v>14.9145</v>
      </c>
      <c r="M47" t="str">
        <f>CONCATENATE("A(",C47,")=")</f>
        <v>A(1.5)=</v>
      </c>
      <c r="N47">
        <f>J47+L47</f>
        <v>55.390500000000003</v>
      </c>
      <c r="O47" s="99">
        <f>O46+1</f>
        <v>5</v>
      </c>
      <c r="P47" s="99">
        <f t="shared" si="24"/>
        <v>2</v>
      </c>
      <c r="Q47" s="82">
        <f>IF(P47-P46=P46-P45,P47,IF(P48-P46=P46-P45,P48,IF(P47-P46=P46-P44,P47,IF(P48-P46=P46-P44,P48,"-"))))</f>
        <v>2</v>
      </c>
      <c r="R47" s="83">
        <f>VLOOKUP(Q47,STN_TABLE,2,FALSE)</f>
        <v>12.18</v>
      </c>
      <c r="S47" s="83">
        <v>-1</v>
      </c>
      <c r="T47" s="82">
        <f>R47*S47</f>
        <v>-12.18</v>
      </c>
      <c r="U47" s="88">
        <v>-1</v>
      </c>
      <c r="V47" s="82">
        <f>R47*U47</f>
        <v>-12.18</v>
      </c>
      <c r="W47" s="84" t="str">
        <f>CONCATENATE("a'(",Q45,"~",Q46,")=")</f>
        <v>a'(1~1.5)=</v>
      </c>
      <c r="X47" s="84">
        <f>2*X45/12*T48</f>
        <v>20.965499999999995</v>
      </c>
      <c r="Y47" s="84" t="str">
        <f>CONCATENATE("A(",Q45,")=")</f>
        <v>A(1)=</v>
      </c>
      <c r="Z47" s="84">
        <f>VLOOKUP(Q45,STN_TABLE,3,FALSE)</f>
        <v>34.734000000000002</v>
      </c>
      <c r="AA47" t="str">
        <f>CONCATENATE("A(",Q46,")=")</f>
        <v>A(1.5)=</v>
      </c>
      <c r="AB47">
        <f>X47+Z47</f>
        <v>55.6995</v>
      </c>
      <c r="AC47" s="99">
        <f>AC46+1</f>
        <v>4</v>
      </c>
      <c r="AD47" s="100">
        <f>VLOOKUP(AC47,STN_TABLE_2,2,FALSE)</f>
        <v>1.5</v>
      </c>
      <c r="AE47">
        <f t="shared" si="25"/>
        <v>11.9</v>
      </c>
      <c r="AF47">
        <v>1</v>
      </c>
      <c r="AG47" s="82">
        <f>VLOOKUP(AD47,STN_TABLE,2,FALSE)</f>
        <v>11.9</v>
      </c>
      <c r="AH47" s="82">
        <v>2</v>
      </c>
      <c r="AI47" s="83">
        <f>AG47*AH47</f>
        <v>23.8</v>
      </c>
      <c r="AJ47" s="84" t="str">
        <f>CONCATENATE("a'(",AD47,")=")</f>
        <v>a'(1.5)=</v>
      </c>
      <c r="AK47" s="84">
        <f>2*AK45/2*AG48</f>
        <v>20.925000000000001</v>
      </c>
      <c r="AL47" s="84" t="str">
        <f>CONCATENATE("A(",AD46,")=")</f>
        <v>A(1)=</v>
      </c>
      <c r="AM47" s="84">
        <f>VLOOKUP(AD46,STN_TABLE,3,FALSE)</f>
        <v>34.734000000000002</v>
      </c>
      <c r="AN47" t="str">
        <f>CONCATENATE("A(",AD47,")=")</f>
        <v>A(1.5)=</v>
      </c>
      <c r="AO47">
        <f>AK47+AM47</f>
        <v>55.659000000000006</v>
      </c>
      <c r="AQ47" s="68" t="str">
        <f>AA47</f>
        <v>A(1.5)=</v>
      </c>
      <c r="AR47" s="68" t="str">
        <f>IFERROR(VLOOKUP(AQ47,Rise_Results,2,FALSE),"-")</f>
        <v>-</v>
      </c>
      <c r="AS47" s="76">
        <f>IFERROR(N47,"-")</f>
        <v>55.390500000000003</v>
      </c>
      <c r="AT47" s="76">
        <f>IFERROR(IF(OR(AB47&lt;=0,AB48&lt;=0),1/0,AB47),"-")</f>
        <v>55.6995</v>
      </c>
      <c r="AU47" s="76">
        <f t="shared" ref="AU47:AU48" si="27">AO47</f>
        <v>55.659000000000006</v>
      </c>
      <c r="AV47">
        <f t="shared" ref="AV47:AV48" si="28">IF(ISNUMBER(AR47),AR47,IF(ISNUMBER(AS47),AS47,IF(ISNUMBER(AT47),AT47,AU47)))</f>
        <v>55.390500000000003</v>
      </c>
      <c r="BG47"/>
      <c r="BH47"/>
    </row>
    <row r="48" spans="1:60" x14ac:dyDescent="0.25">
      <c r="A48" s="94">
        <f>A47+1</f>
        <v>4</v>
      </c>
      <c r="B48" s="94">
        <f>VLOOKUP(A48,STN_TABLE_2,2,FALSE)</f>
        <v>1.5</v>
      </c>
      <c r="C48" s="191" t="e">
        <v>#DIV/0!</v>
      </c>
      <c r="D48" s="191" t="e">
        <v>#DIV/0!</v>
      </c>
      <c r="E48" s="6" t="s">
        <v>172</v>
      </c>
      <c r="F48" s="89">
        <f>SUM(F45:F47)</f>
        <v>67.460000000000008</v>
      </c>
      <c r="G48" s="6" t="s">
        <v>172</v>
      </c>
      <c r="H48" s="82">
        <f>SUM(H45:H47)</f>
        <v>68.33</v>
      </c>
      <c r="I48" s="84" t="str">
        <f>CONCATENATE("m'(",C45,"~",C47,")=")</f>
        <v>m'(0.5~1.5)=</v>
      </c>
      <c r="J48" s="84">
        <f>2*(J45*(WLS))/3*H48</f>
        <v>73.796400000000006</v>
      </c>
      <c r="K48" s="84" t="str">
        <f>CONCATENATE("M(",C45,")=")</f>
        <v>M(0.5)=</v>
      </c>
      <c r="L48" s="84">
        <f>VLOOKUP(C45,STN_TABLE,4,FALSE)</f>
        <v>7.2866250000000008</v>
      </c>
      <c r="M48" t="str">
        <f>CONCATENATE("M(",C47,")=")</f>
        <v>M(1.5)=</v>
      </c>
      <c r="N48">
        <f>J48+L48</f>
        <v>81.083025000000006</v>
      </c>
      <c r="O48" s="99">
        <f>O47+1</f>
        <v>6</v>
      </c>
      <c r="P48" s="99">
        <f t="shared" si="24"/>
        <v>3</v>
      </c>
      <c r="Q48" s="191" t="s">
        <v>168</v>
      </c>
      <c r="R48" s="191" t="s">
        <v>168</v>
      </c>
      <c r="S48" s="6" t="s">
        <v>172</v>
      </c>
      <c r="T48" s="89">
        <f>SUM(T45:T47)</f>
        <v>139.76999999999998</v>
      </c>
      <c r="U48" s="6" t="s">
        <v>172</v>
      </c>
      <c r="V48" s="82">
        <f>SUM(V45:V47)</f>
        <v>140.87</v>
      </c>
      <c r="W48" s="84" t="str">
        <f>CONCATENATE("m'(",Q45,"~",Q46,")=")</f>
        <v>m'(1~1.5)=</v>
      </c>
      <c r="X48" s="84">
        <f>(2*(X45^2)/24*V48)+(X47*Q45*WLS)</f>
        <v>47.246624999999987</v>
      </c>
      <c r="Y48" s="84" t="str">
        <f>CONCATENATE("M(",Q45,")=")</f>
        <v>M(1)=</v>
      </c>
      <c r="Z48" s="84">
        <f>VLOOKUP(Q45,STN_TABLE,4,FALSE)</f>
        <v>34.203600000000002</v>
      </c>
      <c r="AA48" t="str">
        <f>CONCATENATE("M(",Q46,")=")</f>
        <v>M(1.5)=</v>
      </c>
      <c r="AB48">
        <f>X48+Z48</f>
        <v>81.450224999999989</v>
      </c>
      <c r="AD48" s="191" t="s">
        <v>168</v>
      </c>
      <c r="AE48" s="191" t="s">
        <v>168</v>
      </c>
      <c r="AF48" s="6" t="s">
        <v>172</v>
      </c>
      <c r="AG48" s="89">
        <f>SUM(AG46:AG47)</f>
        <v>23.25</v>
      </c>
      <c r="AH48" s="6" t="s">
        <v>172</v>
      </c>
      <c r="AI48" s="89">
        <f>SUM(AI46:AI47)</f>
        <v>35.15</v>
      </c>
      <c r="AJ48" s="84" t="str">
        <f>CONCATENATE("m'(",AD47,")=")</f>
        <v>m'(1.5)=</v>
      </c>
      <c r="AK48" s="84">
        <f>(2*(AK45^2)/6*AI48)+(AK47*AD46*WLS)</f>
        <v>47.155500000000004</v>
      </c>
      <c r="AL48" s="84" t="str">
        <f>CONCATENATE("M(",AD46,")=")</f>
        <v>M(1)=</v>
      </c>
      <c r="AM48" s="84">
        <f>VLOOKUP(AD46,STN_TABLE,4,FALSE)</f>
        <v>34.203600000000002</v>
      </c>
      <c r="AN48" t="str">
        <f>CONCATENATE("M(",AD47,")=")</f>
        <v>M(1.5)=</v>
      </c>
      <c r="AO48">
        <f>AK48+AM48</f>
        <v>81.359100000000012</v>
      </c>
      <c r="AQ48" s="82" t="str">
        <f>AA48</f>
        <v>M(1.5)=</v>
      </c>
      <c r="AR48" s="82" t="str">
        <f>IFERROR(VLOOKUP(AQ48,Rise_Results,2,FALSE),"-")</f>
        <v>-</v>
      </c>
      <c r="AS48" s="82">
        <f>IFERROR(N48,"-")</f>
        <v>81.083025000000006</v>
      </c>
      <c r="AT48" s="82">
        <f>IFERROR(IF(OR(AB47&lt;=0,AB48&lt;=0),1/0,AB48),"-")</f>
        <v>81.450224999999989</v>
      </c>
      <c r="AU48" s="82">
        <f t="shared" si="27"/>
        <v>81.359100000000012</v>
      </c>
      <c r="AV48">
        <f t="shared" si="28"/>
        <v>81.083025000000006</v>
      </c>
      <c r="BG48"/>
      <c r="BH48"/>
    </row>
    <row r="49" spans="1:60" x14ac:dyDescent="0.25">
      <c r="A49" s="94"/>
      <c r="B49" s="94"/>
      <c r="F49" s="81"/>
      <c r="H49" s="81"/>
      <c r="I49" s="84"/>
      <c r="J49" s="84"/>
      <c r="K49" s="84"/>
      <c r="L49" s="84"/>
      <c r="O49" s="99"/>
      <c r="P49" s="99"/>
      <c r="T49" s="81"/>
      <c r="V49" s="81"/>
      <c r="W49" s="84"/>
      <c r="X49" s="84"/>
      <c r="Y49" s="84"/>
      <c r="Z49" s="84"/>
      <c r="AD49" s="191" t="s">
        <v>168</v>
      </c>
      <c r="AE49" s="191" t="s">
        <v>168</v>
      </c>
      <c r="AF49" s="191" t="s">
        <v>168</v>
      </c>
      <c r="AG49" s="191" t="s">
        <v>168</v>
      </c>
      <c r="AH49" s="191" t="s">
        <v>168</v>
      </c>
      <c r="AI49" s="191" t="s">
        <v>168</v>
      </c>
      <c r="AJ49" s="191" t="s">
        <v>168</v>
      </c>
      <c r="AK49" s="191" t="s">
        <v>168</v>
      </c>
      <c r="AL49" s="191" t="s">
        <v>168</v>
      </c>
      <c r="AM49" s="191" t="s">
        <v>168</v>
      </c>
      <c r="AN49" s="191" t="s">
        <v>168</v>
      </c>
      <c r="AO49" s="191" t="s">
        <v>168</v>
      </c>
      <c r="AQ49" s="81"/>
      <c r="AR49" s="81"/>
      <c r="AS49" s="81"/>
      <c r="AT49" s="81"/>
      <c r="AU49" s="81"/>
      <c r="BG49"/>
      <c r="BH49"/>
    </row>
    <row r="50" spans="1:60" ht="18" x14ac:dyDescent="0.35">
      <c r="A50" s="101">
        <f>A44+1</f>
        <v>1</v>
      </c>
      <c r="B50" s="101">
        <f>VLOOKUP(A50,STN_TABLE_2,2,FALSE)</f>
        <v>0</v>
      </c>
      <c r="C50" t="s">
        <v>0</v>
      </c>
      <c r="D50" t="s">
        <v>95</v>
      </c>
      <c r="E50" t="s">
        <v>164</v>
      </c>
      <c r="F50" t="s">
        <v>165</v>
      </c>
      <c r="G50" t="s">
        <v>13</v>
      </c>
      <c r="H50" t="s">
        <v>169</v>
      </c>
      <c r="I50" s="191" t="s">
        <v>168</v>
      </c>
      <c r="J50" s="191" t="s">
        <v>168</v>
      </c>
      <c r="K50" s="191" t="s">
        <v>168</v>
      </c>
      <c r="L50" s="191" t="s">
        <v>168</v>
      </c>
      <c r="M50" s="191" t="s">
        <v>168</v>
      </c>
      <c r="N50" s="191" t="s">
        <v>168</v>
      </c>
      <c r="O50" s="101">
        <f>O44+1</f>
        <v>3</v>
      </c>
      <c r="P50" s="101">
        <f t="shared" si="24"/>
        <v>1</v>
      </c>
      <c r="Q50" t="s">
        <v>0</v>
      </c>
      <c r="R50" t="s">
        <v>95</v>
      </c>
      <c r="S50" t="s">
        <v>164</v>
      </c>
      <c r="T50" t="s">
        <v>165</v>
      </c>
      <c r="U50" t="s">
        <v>166</v>
      </c>
      <c r="V50" t="s">
        <v>167</v>
      </c>
      <c r="W50" s="191" t="s">
        <v>168</v>
      </c>
      <c r="X50" s="191" t="s">
        <v>168</v>
      </c>
      <c r="Y50" s="191" t="s">
        <v>168</v>
      </c>
      <c r="Z50" s="191" t="s">
        <v>168</v>
      </c>
      <c r="AA50" s="191" t="s">
        <v>168</v>
      </c>
      <c r="AB50" s="191" t="s">
        <v>168</v>
      </c>
      <c r="BG50"/>
      <c r="BH50"/>
    </row>
    <row r="51" spans="1:60" ht="18" x14ac:dyDescent="0.35">
      <c r="A51" s="84">
        <f>A50+1</f>
        <v>2</v>
      </c>
      <c r="B51" s="84">
        <f>VLOOKUP(A51,STN_TABLE_2,2,FALSE)</f>
        <v>0.5</v>
      </c>
      <c r="C51" s="79">
        <f>IF(C52=B53,IF(C53-C52=C52-B52,B52,IF(C53-C52=C52-B51,B51,"#NA")),IF(C52=B52,IF(C53-C52=C52-B51,B51,IF(C53-C52=C52-B50,B50,"#NA")),"#NA"))</f>
        <v>1</v>
      </c>
      <c r="D51" s="68">
        <f>VLOOKUP(C51,STN_TABLE,2,FALSE)</f>
        <v>11.35</v>
      </c>
      <c r="E51" s="102">
        <v>1</v>
      </c>
      <c r="F51" s="68">
        <f>D51*E51</f>
        <v>11.35</v>
      </c>
      <c r="G51" s="69">
        <f>C51</f>
        <v>1</v>
      </c>
      <c r="H51" s="69">
        <f>F51*G51</f>
        <v>11.35</v>
      </c>
      <c r="I51" s="6" t="s">
        <v>93</v>
      </c>
      <c r="J51" s="70">
        <f>IF(OR(D51=0,D52=0,D53=0),"#NA",IF(AND(C53-C52=C52-C51,C52&lt;&gt;C53,C51&lt;&gt;C52,C51&lt;&gt;C53,D53&lt;&gt;0,OR(D51&lt;&gt;0,D52&lt;&gt;0)),WLS*(C53-C52),"#NA"))</f>
        <v>0.9</v>
      </c>
      <c r="K51" s="191" t="s">
        <v>168</v>
      </c>
      <c r="L51" s="191" t="s">
        <v>168</v>
      </c>
      <c r="M51" s="191" t="s">
        <v>168</v>
      </c>
      <c r="N51" s="191" t="s">
        <v>168</v>
      </c>
      <c r="O51" s="99">
        <f>O50+1</f>
        <v>4</v>
      </c>
      <c r="P51" s="99">
        <f t="shared" si="24"/>
        <v>1.5</v>
      </c>
      <c r="Q51" s="68">
        <f>IF(OR(P53-P52=P52-P51,P54-P52=P52-P51),P51,IF(OR(P53-P52=P52-P50,P54-P52=P52-P50),P50,"-"))</f>
        <v>1</v>
      </c>
      <c r="R51" s="69">
        <f>VLOOKUP(Q51,STN_TABLE,2,FALSE)</f>
        <v>11.35</v>
      </c>
      <c r="S51" s="69">
        <v>5</v>
      </c>
      <c r="T51" s="68">
        <f>R51*S51</f>
        <v>56.75</v>
      </c>
      <c r="U51" s="79">
        <v>3</v>
      </c>
      <c r="V51" s="68">
        <f>R51*U51</f>
        <v>34.049999999999997</v>
      </c>
      <c r="W51" s="6" t="s">
        <v>93</v>
      </c>
      <c r="X51" s="70">
        <f>IF(AND(Q53-Q52=Q52-Q51,NOT(AND(Q51=0,Q52=0)),NOT(AND(Q52=0,Q53=0))),WLS*(Q53-Q52),"#NA")</f>
        <v>1.8</v>
      </c>
      <c r="Y51" s="191" t="s">
        <v>168</v>
      </c>
      <c r="Z51" s="191" t="s">
        <v>168</v>
      </c>
      <c r="AA51" s="191" t="s">
        <v>168</v>
      </c>
      <c r="AB51" s="191" t="s">
        <v>168</v>
      </c>
      <c r="AD51" t="s">
        <v>0</v>
      </c>
      <c r="AE51" t="s">
        <v>95</v>
      </c>
      <c r="AF51" t="s">
        <v>173</v>
      </c>
      <c r="AG51" t="s">
        <v>183</v>
      </c>
      <c r="AH51" t="s">
        <v>175</v>
      </c>
      <c r="AI51" t="s">
        <v>184</v>
      </c>
      <c r="AJ51" s="6" t="s">
        <v>93</v>
      </c>
      <c r="AK51" s="70">
        <f>WLS*(AD53-AD52)</f>
        <v>0.9</v>
      </c>
      <c r="AL51" s="191" t="s">
        <v>168</v>
      </c>
      <c r="AM51" s="191" t="s">
        <v>168</v>
      </c>
      <c r="AN51" s="191" t="s">
        <v>168</v>
      </c>
      <c r="AO51" s="191" t="s">
        <v>168</v>
      </c>
      <c r="BG51"/>
      <c r="BH51"/>
    </row>
    <row r="52" spans="1:60" x14ac:dyDescent="0.25">
      <c r="A52" s="84">
        <f>A51+1</f>
        <v>3</v>
      </c>
      <c r="B52" s="84">
        <f>VLOOKUP(A52,STN_TABLE_2,2,FALSE)</f>
        <v>1</v>
      </c>
      <c r="C52" s="80">
        <f>IF(OR(B54-B53=B53-B52,B54-B53=B53-B51,B54-B53=B53-B50),B53,IF(OR(B54-B52=B52-B51,B54-B52=B52-B50),B52,IF(B54-B51=B51-B50,B51,"#NA")))</f>
        <v>1.5</v>
      </c>
      <c r="D52" s="76">
        <f>VLOOKUP(C52,STN_TABLE,2,FALSE)</f>
        <v>11.9</v>
      </c>
      <c r="E52" s="81">
        <v>4</v>
      </c>
      <c r="F52" s="76">
        <f>D52*E52</f>
        <v>47.6</v>
      </c>
      <c r="G52" s="77">
        <f>C52</f>
        <v>1.5</v>
      </c>
      <c r="H52" s="77">
        <f>F52*G52</f>
        <v>71.400000000000006</v>
      </c>
      <c r="I52" s="201" t="s">
        <v>171</v>
      </c>
      <c r="J52" s="191" t="s">
        <v>168</v>
      </c>
      <c r="K52" s="78" t="s">
        <v>98</v>
      </c>
      <c r="L52" s="191" t="s">
        <v>168</v>
      </c>
      <c r="M52" s="7" t="s">
        <v>77</v>
      </c>
      <c r="N52" s="191" t="s">
        <v>168</v>
      </c>
      <c r="O52" s="99">
        <f>O51+1</f>
        <v>5</v>
      </c>
      <c r="P52" s="99">
        <f t="shared" si="24"/>
        <v>2</v>
      </c>
      <c r="Q52" s="76">
        <f>P52</f>
        <v>2</v>
      </c>
      <c r="R52" s="77">
        <f>VLOOKUP(Q52,STN_TABLE,2,FALSE)</f>
        <v>12.18</v>
      </c>
      <c r="S52" s="77">
        <v>8</v>
      </c>
      <c r="T52" s="76">
        <f>R52*S52</f>
        <v>97.44</v>
      </c>
      <c r="U52" s="80">
        <v>10</v>
      </c>
      <c r="V52" s="76">
        <f>R52*U52</f>
        <v>121.8</v>
      </c>
      <c r="W52" s="201" t="s">
        <v>171</v>
      </c>
      <c r="X52" s="191" t="s">
        <v>168</v>
      </c>
      <c r="Y52" s="78" t="s">
        <v>98</v>
      </c>
      <c r="Z52" s="191" t="s">
        <v>168</v>
      </c>
      <c r="AA52" s="7" t="s">
        <v>77</v>
      </c>
      <c r="AB52" s="191" t="s">
        <v>168</v>
      </c>
      <c r="AC52" s="99">
        <f>AC46+1</f>
        <v>4</v>
      </c>
      <c r="AD52" s="95">
        <f>VLOOKUP(AC52,STN_TABLE_2,2,FALSE)</f>
        <v>1.5</v>
      </c>
      <c r="AE52">
        <f t="shared" ref="AE52:AE53" si="29">AG52</f>
        <v>11.9</v>
      </c>
      <c r="AF52">
        <v>1</v>
      </c>
      <c r="AG52" s="68">
        <f>VLOOKUP(AD52,STN_TABLE,2,FALSE)</f>
        <v>11.9</v>
      </c>
      <c r="AH52" s="68">
        <v>1</v>
      </c>
      <c r="AI52" s="69">
        <f>AG52*AH52</f>
        <v>11.9</v>
      </c>
      <c r="AJ52" s="201" t="s">
        <v>171</v>
      </c>
      <c r="AK52" s="191" t="s">
        <v>168</v>
      </c>
      <c r="AL52" s="78" t="s">
        <v>98</v>
      </c>
      <c r="AM52" s="191" t="s">
        <v>168</v>
      </c>
      <c r="AN52" s="7" t="s">
        <v>77</v>
      </c>
      <c r="AO52" s="191" t="s">
        <v>168</v>
      </c>
      <c r="AR52" s="86" t="s">
        <v>112</v>
      </c>
      <c r="AS52" s="89" t="s">
        <v>113</v>
      </c>
      <c r="AT52" s="89" t="s">
        <v>114</v>
      </c>
      <c r="AU52" s="89" t="s">
        <v>115</v>
      </c>
      <c r="AV52" s="71" t="str">
        <f t="shared" ref="AV52" si="30">IF(AV53=AR53,AR52,IF(AV53=AS53,AS52,IF(AV53=AT53,AT52,AU52)))</f>
        <v>1,4,1 rule</v>
      </c>
    </row>
    <row r="53" spans="1:60" x14ac:dyDescent="0.25">
      <c r="A53" s="84">
        <f>A52+1</f>
        <v>4</v>
      </c>
      <c r="B53" s="84">
        <f>VLOOKUP(A53,STN_TABLE_2,2,FALSE)</f>
        <v>1.5</v>
      </c>
      <c r="C53" s="88">
        <f>B54</f>
        <v>2</v>
      </c>
      <c r="D53" s="82">
        <f>VLOOKUP(C53,STN_TABLE,2,FALSE)</f>
        <v>12.18</v>
      </c>
      <c r="E53" s="92">
        <v>1</v>
      </c>
      <c r="F53" s="82">
        <f>D53*E53</f>
        <v>12.18</v>
      </c>
      <c r="G53" s="83">
        <f>C53</f>
        <v>2</v>
      </c>
      <c r="H53" s="83">
        <f>F53*G53</f>
        <v>24.36</v>
      </c>
      <c r="I53" s="84" t="str">
        <f>CONCATENATE("a'(",C51,"~",C53,")=")</f>
        <v>a'(1~2)=</v>
      </c>
      <c r="J53" s="84">
        <f>2*J51/3*F54</f>
        <v>42.677999999999997</v>
      </c>
      <c r="K53" s="84" t="str">
        <f>CONCATENATE("A(",C51,")=")</f>
        <v>A(1)=</v>
      </c>
      <c r="L53" s="84">
        <f>VLOOKUP(C51,STN_TABLE,3,FALSE)</f>
        <v>34.734000000000002</v>
      </c>
      <c r="M53" t="str">
        <f>CONCATENATE("A(",C53,")=")</f>
        <v>A(2)=</v>
      </c>
      <c r="N53">
        <f>J53+L53</f>
        <v>77.412000000000006</v>
      </c>
      <c r="O53" s="99">
        <f>O52+1</f>
        <v>6</v>
      </c>
      <c r="P53" s="99">
        <f t="shared" si="24"/>
        <v>3</v>
      </c>
      <c r="Q53" s="82">
        <f>IF(P53-P52=P52-P51,P53,IF(P54-P52=P52-P51,P54,IF(P53-P52=P52-P50,P53,IF(P54-P52=P52-P50,P54,"-"))))</f>
        <v>3</v>
      </c>
      <c r="R53" s="83">
        <f>VLOOKUP(Q53,STN_TABLE,2,FALSE)</f>
        <v>12.25</v>
      </c>
      <c r="S53" s="83">
        <v>-1</v>
      </c>
      <c r="T53" s="82">
        <f>R53*S53</f>
        <v>-12.25</v>
      </c>
      <c r="U53" s="88">
        <v>-1</v>
      </c>
      <c r="V53" s="82">
        <f>R53*U53</f>
        <v>-12.25</v>
      </c>
      <c r="W53" s="84" t="str">
        <f>CONCATENATE("a'(",Q51,"~",Q52,")=")</f>
        <v>a'(1~2)=</v>
      </c>
      <c r="X53" s="84">
        <f>2*X51/12*T54</f>
        <v>42.582000000000001</v>
      </c>
      <c r="Y53" s="84" t="str">
        <f>CONCATENATE("A(",Q51,")=")</f>
        <v>A(1)=</v>
      </c>
      <c r="Z53" s="84">
        <f>VLOOKUP(Q51,STN_TABLE,3,FALSE)</f>
        <v>34.734000000000002</v>
      </c>
      <c r="AA53" t="str">
        <f>CONCATENATE("A(",Q52,")=")</f>
        <v>A(2)=</v>
      </c>
      <c r="AB53">
        <f>X53+Z53</f>
        <v>77.316000000000003</v>
      </c>
      <c r="AC53" s="99">
        <f>AC52+1</f>
        <v>5</v>
      </c>
      <c r="AD53" s="100">
        <f>VLOOKUP(AC53,STN_TABLE_2,2,FALSE)</f>
        <v>2</v>
      </c>
      <c r="AE53">
        <f t="shared" si="29"/>
        <v>12.18</v>
      </c>
      <c r="AF53">
        <v>1</v>
      </c>
      <c r="AG53" s="82">
        <f>VLOOKUP(AD53,STN_TABLE,2,FALSE)</f>
        <v>12.18</v>
      </c>
      <c r="AH53" s="82">
        <v>2</v>
      </c>
      <c r="AI53" s="83">
        <f>AG53*AH53</f>
        <v>24.36</v>
      </c>
      <c r="AJ53" s="84" t="str">
        <f>CONCATENATE("a'(",AD53,")=")</f>
        <v>a'(2)=</v>
      </c>
      <c r="AK53" s="84">
        <f>2*AK51/2*AG54</f>
        <v>21.672000000000001</v>
      </c>
      <c r="AL53" s="84" t="str">
        <f>CONCATENATE("A(",AD52,")=")</f>
        <v>A(1.5)=</v>
      </c>
      <c r="AM53" s="84">
        <f>VLOOKUP(AD52,STN_TABLE,3,FALSE)</f>
        <v>55.390500000000003</v>
      </c>
      <c r="AN53" t="str">
        <f>CONCATENATE("A(",AD53,")=")</f>
        <v>A(2)=</v>
      </c>
      <c r="AO53">
        <f>AK53+AM53</f>
        <v>77.0625</v>
      </c>
      <c r="AQ53" s="68" t="str">
        <f>AA53</f>
        <v>A(2)=</v>
      </c>
      <c r="AR53" s="68" t="str">
        <f>IFERROR(VLOOKUP(AQ53,Rise_Results,2,FALSE),"-")</f>
        <v>-</v>
      </c>
      <c r="AS53" s="76">
        <f>IFERROR(N53,"-")</f>
        <v>77.412000000000006</v>
      </c>
      <c r="AT53" s="76">
        <f>IFERROR(IF(OR(AB53&lt;=0,AB54&lt;=0),1/0,AB53),"-")</f>
        <v>77.316000000000003</v>
      </c>
      <c r="AU53" s="76">
        <f t="shared" ref="AU53:AU54" si="31">AO53</f>
        <v>77.0625</v>
      </c>
      <c r="AV53">
        <f t="shared" ref="AV53:AV54" si="32">IF(ISNUMBER(AR53),AR53,IF(ISNUMBER(AS53),AS53,IF(ISNUMBER(AT53),AT53,AU53)))</f>
        <v>77.412000000000006</v>
      </c>
    </row>
    <row r="54" spans="1:60" x14ac:dyDescent="0.25">
      <c r="A54" s="84">
        <f>A53+1</f>
        <v>5</v>
      </c>
      <c r="B54" s="84">
        <f>VLOOKUP(A54,STN_TABLE_2,2,FALSE)</f>
        <v>2</v>
      </c>
      <c r="C54" s="191" t="e">
        <v>#DIV/0!</v>
      </c>
      <c r="D54" s="191" t="e">
        <v>#DIV/0!</v>
      </c>
      <c r="E54" s="6" t="s">
        <v>172</v>
      </c>
      <c r="F54" s="89">
        <f>SUM(F51:F53)</f>
        <v>71.13</v>
      </c>
      <c r="G54" s="6" t="s">
        <v>172</v>
      </c>
      <c r="H54" s="82">
        <f>SUM(H51:H53)</f>
        <v>107.11</v>
      </c>
      <c r="I54" s="84" t="str">
        <f>CONCATENATE("m'(",C51,"~",C53,")=")</f>
        <v>m'(1~2)=</v>
      </c>
      <c r="J54" s="84">
        <f>2*(J51*(WLS))/3*H54</f>
        <v>115.67880000000001</v>
      </c>
      <c r="K54" s="84" t="str">
        <f>CONCATENATE("M(",C51,")=")</f>
        <v>M(1)=</v>
      </c>
      <c r="L54" s="84">
        <f>VLOOKUP(C51,STN_TABLE,4,FALSE)</f>
        <v>34.203600000000002</v>
      </c>
      <c r="M54" t="str">
        <f>CONCATENATE("M(",C53,")=")</f>
        <v>M(2)=</v>
      </c>
      <c r="N54">
        <f>J54+L54</f>
        <v>149.88240000000002</v>
      </c>
      <c r="O54" s="99">
        <f>O53+1</f>
        <v>7</v>
      </c>
      <c r="P54" s="99">
        <f t="shared" si="24"/>
        <v>4</v>
      </c>
      <c r="Q54" s="191" t="s">
        <v>168</v>
      </c>
      <c r="R54" s="191" t="s">
        <v>168</v>
      </c>
      <c r="S54" s="6" t="s">
        <v>172</v>
      </c>
      <c r="T54" s="89">
        <f>SUM(T51:T53)</f>
        <v>141.94</v>
      </c>
      <c r="U54" s="6" t="s">
        <v>172</v>
      </c>
      <c r="V54" s="82">
        <f>SUM(V51:V53)</f>
        <v>143.6</v>
      </c>
      <c r="W54" s="84" t="str">
        <f>CONCATENATE("m'(",Q51,"~",Q52,")=")</f>
        <v>m'(1~2)=</v>
      </c>
      <c r="X54" s="84">
        <f>(2*(X51^2)/24*V54)+(X53*Q51*WLS)</f>
        <v>115.4196</v>
      </c>
      <c r="Y54" s="84" t="str">
        <f>CONCATENATE("M(",Q51,")=")</f>
        <v>M(1)=</v>
      </c>
      <c r="Z54" s="84">
        <f>VLOOKUP(Q51,STN_TABLE,4,FALSE)</f>
        <v>34.203600000000002</v>
      </c>
      <c r="AA54" t="str">
        <f>CONCATENATE("M(",Q52,")=")</f>
        <v>M(2)=</v>
      </c>
      <c r="AB54">
        <f>X54+Z54</f>
        <v>149.6232</v>
      </c>
      <c r="AD54" s="191" t="s">
        <v>168</v>
      </c>
      <c r="AE54" s="191" t="s">
        <v>168</v>
      </c>
      <c r="AF54" s="6" t="s">
        <v>172</v>
      </c>
      <c r="AG54" s="89">
        <f>SUM(AG52:AG53)</f>
        <v>24.08</v>
      </c>
      <c r="AH54" s="6" t="s">
        <v>172</v>
      </c>
      <c r="AI54" s="89">
        <f>SUM(AI52:AI53)</f>
        <v>36.26</v>
      </c>
      <c r="AJ54" s="84" t="str">
        <f>CONCATENATE("m'(",AD53,")=")</f>
        <v>m'(2)=</v>
      </c>
      <c r="AK54" s="84">
        <f>(2*(AK51^2)/6*AI54)+(AK53*AD52*WLS)</f>
        <v>68.304600000000008</v>
      </c>
      <c r="AL54" s="84" t="str">
        <f>CONCATENATE("M(",AD52,")=")</f>
        <v>M(1.5)=</v>
      </c>
      <c r="AM54" s="84">
        <f>VLOOKUP(AD52,STN_TABLE,4,FALSE)</f>
        <v>81.083025000000006</v>
      </c>
      <c r="AN54" t="str">
        <f>CONCATENATE("M(",AD53,")=")</f>
        <v>M(2)=</v>
      </c>
      <c r="AO54">
        <f>AK54+AM54</f>
        <v>149.38762500000001</v>
      </c>
      <c r="AQ54" s="82" t="str">
        <f>AA54</f>
        <v>M(2)=</v>
      </c>
      <c r="AR54" s="82" t="str">
        <f>IFERROR(VLOOKUP(AQ54,Rise_Results,2,FALSE),"-")</f>
        <v>-</v>
      </c>
      <c r="AS54" s="82">
        <f>IFERROR(N54,"-")</f>
        <v>149.88240000000002</v>
      </c>
      <c r="AT54" s="82">
        <f>IFERROR(IF(OR(AB53&lt;=0,AB54&lt;=0),1/0,AB54),"-")</f>
        <v>149.6232</v>
      </c>
      <c r="AU54" s="82">
        <f t="shared" si="31"/>
        <v>149.38762500000001</v>
      </c>
      <c r="AV54">
        <f t="shared" si="32"/>
        <v>149.88240000000002</v>
      </c>
    </row>
    <row r="55" spans="1:60" x14ac:dyDescent="0.25">
      <c r="A55" s="84"/>
      <c r="B55" s="84"/>
      <c r="F55" s="81"/>
      <c r="H55" s="81"/>
      <c r="I55" s="84"/>
      <c r="J55" s="84"/>
      <c r="K55" s="84"/>
      <c r="L55" s="84"/>
      <c r="O55" s="99"/>
      <c r="P55" s="99"/>
      <c r="T55" s="81"/>
      <c r="V55" s="81"/>
      <c r="W55" s="84"/>
      <c r="X55" s="84"/>
      <c r="Y55" s="84"/>
      <c r="Z55" s="84"/>
      <c r="AD55" s="191" t="s">
        <v>168</v>
      </c>
      <c r="AE55" s="191" t="s">
        <v>168</v>
      </c>
      <c r="AF55" s="191" t="s">
        <v>168</v>
      </c>
      <c r="AG55" s="191" t="s">
        <v>168</v>
      </c>
      <c r="AH55" s="191" t="s">
        <v>168</v>
      </c>
      <c r="AI55" s="191" t="s">
        <v>168</v>
      </c>
      <c r="AJ55" s="191" t="s">
        <v>168</v>
      </c>
      <c r="AK55" s="191" t="s">
        <v>168</v>
      </c>
      <c r="AL55" s="191" t="s">
        <v>168</v>
      </c>
      <c r="AM55" s="191" t="s">
        <v>168</v>
      </c>
      <c r="AN55" s="191" t="s">
        <v>168</v>
      </c>
      <c r="AO55" s="191" t="s">
        <v>168</v>
      </c>
      <c r="AQ55" s="81"/>
      <c r="AR55" s="81"/>
      <c r="AS55" s="81"/>
      <c r="AT55" s="81"/>
      <c r="AU55" s="81"/>
    </row>
    <row r="56" spans="1:60" ht="18" x14ac:dyDescent="0.35">
      <c r="A56" s="101">
        <f>A50+1</f>
        <v>2</v>
      </c>
      <c r="B56" s="101">
        <f>VLOOKUP(A56,STN_TABLE_2,2,FALSE)</f>
        <v>0.5</v>
      </c>
      <c r="C56" t="s">
        <v>0</v>
      </c>
      <c r="D56" t="s">
        <v>95</v>
      </c>
      <c r="E56" t="s">
        <v>164</v>
      </c>
      <c r="F56" t="s">
        <v>165</v>
      </c>
      <c r="G56" t="s">
        <v>13</v>
      </c>
      <c r="H56" t="s">
        <v>169</v>
      </c>
      <c r="I56" s="191" t="s">
        <v>168</v>
      </c>
      <c r="J56" s="191" t="s">
        <v>168</v>
      </c>
      <c r="K56" s="191" t="s">
        <v>168</v>
      </c>
      <c r="L56" s="191" t="s">
        <v>168</v>
      </c>
      <c r="M56" s="191" t="s">
        <v>168</v>
      </c>
      <c r="N56" s="191" t="s">
        <v>168</v>
      </c>
      <c r="O56" s="101">
        <f>O50+1</f>
        <v>4</v>
      </c>
      <c r="P56" s="101">
        <f t="shared" si="24"/>
        <v>1.5</v>
      </c>
      <c r="Q56" t="s">
        <v>0</v>
      </c>
      <c r="R56" t="s">
        <v>95</v>
      </c>
      <c r="S56" t="s">
        <v>164</v>
      </c>
      <c r="T56" t="s">
        <v>165</v>
      </c>
      <c r="U56" t="s">
        <v>166</v>
      </c>
      <c r="V56" t="s">
        <v>167</v>
      </c>
      <c r="W56" s="191" t="s">
        <v>168</v>
      </c>
      <c r="X56" s="191" t="s">
        <v>168</v>
      </c>
      <c r="Y56" s="191" t="s">
        <v>168</v>
      </c>
      <c r="Z56" s="191" t="s">
        <v>168</v>
      </c>
      <c r="AA56" s="191" t="s">
        <v>168</v>
      </c>
      <c r="AB56" s="191" t="s">
        <v>168</v>
      </c>
    </row>
    <row r="57" spans="1:60" ht="18" x14ac:dyDescent="0.35">
      <c r="A57" s="84">
        <f>A56+1</f>
        <v>3</v>
      </c>
      <c r="B57" s="84">
        <f>VLOOKUP(A57,STN_TABLE_2,2,FALSE)</f>
        <v>1</v>
      </c>
      <c r="C57" s="79">
        <f>IF(C58=B59,IF(C59-C58=C58-B58,B58,IF(C59-C58=C58-B57,B57,"#NA")),IF(C58=B58,IF(C59-C58=C58-B57,B57,IF(C59-C58=C58-B56,B56,"#NA")),"#NA"))</f>
        <v>1</v>
      </c>
      <c r="D57" s="68">
        <f>VLOOKUP(C57,STN_TABLE,2,FALSE)</f>
        <v>11.35</v>
      </c>
      <c r="E57" s="102">
        <v>1</v>
      </c>
      <c r="F57" s="68">
        <f>D57*E57</f>
        <v>11.35</v>
      </c>
      <c r="G57" s="69">
        <f>C57</f>
        <v>1</v>
      </c>
      <c r="H57" s="69">
        <f>F57*G57</f>
        <v>11.35</v>
      </c>
      <c r="I57" s="6" t="s">
        <v>93</v>
      </c>
      <c r="J57" s="70">
        <f>IF(OR(D57=0,D58=0,D59=0),"#NA",IF(AND(C59-C58=C58-C57,C58&lt;&gt;C59,C57&lt;&gt;C58,C57&lt;&gt;C59,D59&lt;&gt;0,OR(D57&lt;&gt;0,D58&lt;&gt;0)),WLS*(C59-C58),"#NA"))</f>
        <v>1.8</v>
      </c>
      <c r="K57" s="191" t="s">
        <v>168</v>
      </c>
      <c r="L57" s="191" t="s">
        <v>168</v>
      </c>
      <c r="M57" s="191" t="s">
        <v>168</v>
      </c>
      <c r="N57" s="191" t="s">
        <v>168</v>
      </c>
      <c r="O57" s="99">
        <f>O56+1</f>
        <v>5</v>
      </c>
      <c r="P57" s="99">
        <f t="shared" si="24"/>
        <v>2</v>
      </c>
      <c r="Q57" s="68">
        <f>IF(OR(P59-P58=P58-P57,P60-P58=P58-P57),P57,IF(OR(P59-P58=P58-P56,P60-P58=P58-P56),P56,"-"))</f>
        <v>2</v>
      </c>
      <c r="R57" s="69">
        <f>VLOOKUP(Q57,STN_TABLE,2,FALSE)</f>
        <v>12.18</v>
      </c>
      <c r="S57" s="69">
        <v>5</v>
      </c>
      <c r="T57" s="68">
        <f>R57*S57</f>
        <v>60.9</v>
      </c>
      <c r="U57" s="79">
        <v>3</v>
      </c>
      <c r="V57" s="68">
        <f>R57*U57</f>
        <v>36.54</v>
      </c>
      <c r="W57" s="6" t="s">
        <v>93</v>
      </c>
      <c r="X57" s="70">
        <f>IF(AND(Q59-Q58=Q58-Q57,NOT(AND(Q57=0,Q58=0)),NOT(AND(Q58=0,Q59=0))),WLS*(Q59-Q58),"#NA")</f>
        <v>1.8</v>
      </c>
      <c r="Y57" s="191" t="s">
        <v>168</v>
      </c>
      <c r="Z57" s="191" t="s">
        <v>168</v>
      </c>
      <c r="AA57" s="191" t="s">
        <v>168</v>
      </c>
      <c r="AB57" s="191" t="s">
        <v>168</v>
      </c>
      <c r="AD57" t="s">
        <v>0</v>
      </c>
      <c r="AE57" t="s">
        <v>95</v>
      </c>
      <c r="AF57" t="s">
        <v>173</v>
      </c>
      <c r="AG57" t="s">
        <v>183</v>
      </c>
      <c r="AH57" t="s">
        <v>175</v>
      </c>
      <c r="AI57" t="s">
        <v>184</v>
      </c>
      <c r="AJ57" s="6" t="s">
        <v>93</v>
      </c>
      <c r="AK57" s="70">
        <f>WLS*(AD59-AD58)</f>
        <v>1.8</v>
      </c>
      <c r="AL57" s="191" t="s">
        <v>168</v>
      </c>
      <c r="AM57" s="191" t="s">
        <v>168</v>
      </c>
      <c r="AN57" s="191" t="s">
        <v>168</v>
      </c>
      <c r="AO57" s="191" t="s">
        <v>168</v>
      </c>
      <c r="BG57"/>
      <c r="BH57"/>
    </row>
    <row r="58" spans="1:60" x14ac:dyDescent="0.25">
      <c r="A58" s="84">
        <f>A57+1</f>
        <v>4</v>
      </c>
      <c r="B58" s="84">
        <f>VLOOKUP(A58,STN_TABLE_2,2,FALSE)</f>
        <v>1.5</v>
      </c>
      <c r="C58" s="80">
        <f>IF(OR(B60-B59=B59-B58,B60-B59=B59-B57,B60-B59=B59-B56),B59,IF(OR(B60-B58=B58-B57,B60-B58=B58-B56),B58,IF(B60-B57=B57-B56,B57,"#NA")))</f>
        <v>2</v>
      </c>
      <c r="D58" s="76">
        <f>VLOOKUP(C58,STN_TABLE,2,FALSE)</f>
        <v>12.18</v>
      </c>
      <c r="E58" s="81">
        <v>4</v>
      </c>
      <c r="F58" s="76">
        <f>D58*E58</f>
        <v>48.72</v>
      </c>
      <c r="G58" s="77">
        <f>C58</f>
        <v>2</v>
      </c>
      <c r="H58" s="77">
        <f>F58*G58</f>
        <v>97.44</v>
      </c>
      <c r="I58" s="201" t="s">
        <v>171</v>
      </c>
      <c r="J58" s="191" t="s">
        <v>168</v>
      </c>
      <c r="K58" s="78" t="s">
        <v>98</v>
      </c>
      <c r="L58" s="191" t="s">
        <v>168</v>
      </c>
      <c r="M58" s="7" t="s">
        <v>77</v>
      </c>
      <c r="N58" s="191" t="s">
        <v>168</v>
      </c>
      <c r="O58" s="99">
        <f>O57+1</f>
        <v>6</v>
      </c>
      <c r="P58" s="99">
        <f t="shared" si="24"/>
        <v>3</v>
      </c>
      <c r="Q58" s="76">
        <f>P58</f>
        <v>3</v>
      </c>
      <c r="R58" s="77">
        <f>VLOOKUP(Q58,STN_TABLE,2,FALSE)</f>
        <v>12.25</v>
      </c>
      <c r="S58" s="77">
        <v>8</v>
      </c>
      <c r="T58" s="76">
        <f>R58*S58</f>
        <v>98</v>
      </c>
      <c r="U58" s="80">
        <v>10</v>
      </c>
      <c r="V58" s="76">
        <f>R58*U58</f>
        <v>122.5</v>
      </c>
      <c r="W58" s="201" t="s">
        <v>171</v>
      </c>
      <c r="X58" s="191" t="s">
        <v>168</v>
      </c>
      <c r="Y58" s="78" t="s">
        <v>98</v>
      </c>
      <c r="Z58" s="191" t="s">
        <v>168</v>
      </c>
      <c r="AA58" s="7" t="s">
        <v>77</v>
      </c>
      <c r="AB58" s="191" t="s">
        <v>168</v>
      </c>
      <c r="AC58" s="99">
        <f>AC52+1</f>
        <v>5</v>
      </c>
      <c r="AD58" s="95">
        <f>VLOOKUP(AC58,STN_TABLE_2,2,FALSE)</f>
        <v>2</v>
      </c>
      <c r="AE58">
        <f t="shared" ref="AE58:AE59" si="33">AG58</f>
        <v>12.18</v>
      </c>
      <c r="AF58">
        <v>1</v>
      </c>
      <c r="AG58" s="68">
        <f>VLOOKUP(AD58,STN_TABLE,2,FALSE)</f>
        <v>12.18</v>
      </c>
      <c r="AH58" s="68">
        <v>1</v>
      </c>
      <c r="AI58" s="69">
        <f t="shared" ref="AI58:AI59" si="34">AG58*AH58</f>
        <v>12.18</v>
      </c>
      <c r="AJ58" s="201" t="s">
        <v>171</v>
      </c>
      <c r="AK58" s="191" t="s">
        <v>168</v>
      </c>
      <c r="AL58" s="78" t="s">
        <v>98</v>
      </c>
      <c r="AM58" s="191" t="s">
        <v>168</v>
      </c>
      <c r="AN58" s="7" t="s">
        <v>77</v>
      </c>
      <c r="AO58" s="191" t="s">
        <v>168</v>
      </c>
      <c r="AR58" s="86" t="s">
        <v>112</v>
      </c>
      <c r="AS58" s="89" t="s">
        <v>113</v>
      </c>
      <c r="AT58" s="89" t="s">
        <v>114</v>
      </c>
      <c r="AU58" s="89" t="s">
        <v>115</v>
      </c>
      <c r="AV58" s="71" t="str">
        <f t="shared" ref="AV58" si="35">IF(AV59=AR59,AR58,IF(AV59=AS59,AS58,IF(AV59=AT59,AT58,AU58)))</f>
        <v>1,4,1 rule</v>
      </c>
      <c r="BG58"/>
      <c r="BH58"/>
    </row>
    <row r="59" spans="1:60" x14ac:dyDescent="0.25">
      <c r="A59" s="84">
        <f>A58+1</f>
        <v>5</v>
      </c>
      <c r="B59" s="84">
        <f>VLOOKUP(A59,STN_TABLE_2,2,FALSE)</f>
        <v>2</v>
      </c>
      <c r="C59" s="88">
        <f>B60</f>
        <v>3</v>
      </c>
      <c r="D59" s="82">
        <f>VLOOKUP(C59,STN_TABLE,2,FALSE)</f>
        <v>12.25</v>
      </c>
      <c r="E59" s="92">
        <v>1</v>
      </c>
      <c r="F59" s="82">
        <f>D59*E59</f>
        <v>12.25</v>
      </c>
      <c r="G59" s="83">
        <f>C59</f>
        <v>3</v>
      </c>
      <c r="H59" s="83">
        <f>F59*G59</f>
        <v>36.75</v>
      </c>
      <c r="I59" s="84" t="str">
        <f>CONCATENATE("a'(",C57,"~",C59,")=")</f>
        <v>a'(1~3)=</v>
      </c>
      <c r="J59" s="84">
        <f>2*J57/3*F60</f>
        <v>86.783999999999992</v>
      </c>
      <c r="K59" s="84" t="str">
        <f>CONCATENATE("A(",C57,")=")</f>
        <v>A(1)=</v>
      </c>
      <c r="L59" s="84">
        <f>VLOOKUP(C57,STN_TABLE,3,FALSE)</f>
        <v>34.734000000000002</v>
      </c>
      <c r="M59" t="str">
        <f>CONCATENATE("A(",C59,")=")</f>
        <v>A(3)=</v>
      </c>
      <c r="N59">
        <f>J59+L59</f>
        <v>121.518</v>
      </c>
      <c r="O59" s="99">
        <f>O58+1</f>
        <v>7</v>
      </c>
      <c r="P59" s="99">
        <f t="shared" si="24"/>
        <v>4</v>
      </c>
      <c r="Q59" s="82">
        <f>IF(P59-P58=P58-P57,P59,IF(P60-P58=P58-P57,P60,IF(P59-P58=P58-P56,P59,IF(P60-P58=P58-P56,P60,"-"))))</f>
        <v>4</v>
      </c>
      <c r="R59" s="83">
        <f>VLOOKUP(Q59,STN_TABLE,2,FALSE)</f>
        <v>12.25</v>
      </c>
      <c r="S59" s="83">
        <v>-1</v>
      </c>
      <c r="T59" s="82">
        <f>R59*S59</f>
        <v>-12.25</v>
      </c>
      <c r="U59" s="88">
        <v>-1</v>
      </c>
      <c r="V59" s="82">
        <f>R59*U59</f>
        <v>-12.25</v>
      </c>
      <c r="W59" s="84" t="str">
        <f>CONCATENATE("a'(",Q57,"~",Q58,")=")</f>
        <v>a'(2~3)=</v>
      </c>
      <c r="X59" s="84">
        <f>2*X57/12*T60</f>
        <v>43.994999999999997</v>
      </c>
      <c r="Y59" s="84" t="str">
        <f>CONCATENATE("A(",Q57,")=")</f>
        <v>A(2)=</v>
      </c>
      <c r="Z59" s="84">
        <f>VLOOKUP(Q57,STN_TABLE,3,FALSE)</f>
        <v>77.412000000000006</v>
      </c>
      <c r="AA59" t="str">
        <f>CONCATENATE("A(",Q58,")=")</f>
        <v>A(3)=</v>
      </c>
      <c r="AB59">
        <f>X59+Z59</f>
        <v>121.40700000000001</v>
      </c>
      <c r="AC59" s="99">
        <f>AC58+1</f>
        <v>6</v>
      </c>
      <c r="AD59" s="100">
        <f>VLOOKUP(AC59,STN_TABLE_2,2,FALSE)</f>
        <v>3</v>
      </c>
      <c r="AE59">
        <f t="shared" si="33"/>
        <v>12.25</v>
      </c>
      <c r="AF59">
        <v>1</v>
      </c>
      <c r="AG59" s="82">
        <f>VLOOKUP(AD59,STN_TABLE,2,FALSE)</f>
        <v>12.25</v>
      </c>
      <c r="AH59" s="82">
        <v>2</v>
      </c>
      <c r="AI59" s="83">
        <f t="shared" si="34"/>
        <v>24.5</v>
      </c>
      <c r="AJ59" s="84" t="str">
        <f t="shared" ref="AJ59" si="36">CONCATENATE("a'(",AD59,")=")</f>
        <v>a'(3)=</v>
      </c>
      <c r="AK59" s="84">
        <f t="shared" ref="AK59" si="37">2*AK57/2*AG60</f>
        <v>43.974000000000004</v>
      </c>
      <c r="AL59" s="84" t="str">
        <f t="shared" ref="AL59" si="38">CONCATENATE("A(",AD58,")=")</f>
        <v>A(2)=</v>
      </c>
      <c r="AM59" s="84">
        <f>VLOOKUP(AD58,STN_TABLE,3,FALSE)</f>
        <v>77.412000000000006</v>
      </c>
      <c r="AN59" t="str">
        <f t="shared" ref="AN59" si="39">CONCATENATE("A(",AD59,")=")</f>
        <v>A(3)=</v>
      </c>
      <c r="AO59">
        <f t="shared" ref="AO59:AO60" si="40">AK59+AM59</f>
        <v>121.38600000000001</v>
      </c>
      <c r="AQ59" s="68" t="str">
        <f>AA59</f>
        <v>A(3)=</v>
      </c>
      <c r="AR59" s="68" t="str">
        <f>IFERROR(VLOOKUP(AQ59,Rise_Results,2,FALSE),"-")</f>
        <v>-</v>
      </c>
      <c r="AS59" s="76">
        <f>IFERROR(N59,"-")</f>
        <v>121.518</v>
      </c>
      <c r="AT59" s="76">
        <f>IFERROR(IF(OR(AB59&lt;=0,AB60&lt;=0),1/0,AB59),"-")</f>
        <v>121.40700000000001</v>
      </c>
      <c r="AU59" s="76">
        <f t="shared" ref="AU59:AU60" si="41">AO59</f>
        <v>121.38600000000001</v>
      </c>
      <c r="AV59">
        <f t="shared" ref="AV59:AV60" si="42">IF(ISNUMBER(AR59),AR59,IF(ISNUMBER(AS59),AS59,IF(ISNUMBER(AT59),AT59,AU59)))</f>
        <v>121.518</v>
      </c>
      <c r="BG59"/>
      <c r="BH59"/>
    </row>
    <row r="60" spans="1:60" x14ac:dyDescent="0.25">
      <c r="A60" s="84">
        <f>A59+1</f>
        <v>6</v>
      </c>
      <c r="B60" s="84">
        <f>VLOOKUP(A60,STN_TABLE_2,2,FALSE)</f>
        <v>3</v>
      </c>
      <c r="C60" s="191" t="s">
        <v>168</v>
      </c>
      <c r="D60" s="191" t="s">
        <v>168</v>
      </c>
      <c r="E60" s="6" t="s">
        <v>172</v>
      </c>
      <c r="F60" s="89">
        <f>SUM(F57:F59)</f>
        <v>72.319999999999993</v>
      </c>
      <c r="G60" s="6" t="s">
        <v>172</v>
      </c>
      <c r="H60" s="82">
        <f>SUM(H57:H59)</f>
        <v>145.54</v>
      </c>
      <c r="I60" s="84" t="str">
        <f>CONCATENATE("m'(",C57,"~",C59,")=")</f>
        <v>m'(1~3)=</v>
      </c>
      <c r="J60" s="84">
        <f>2*(J57*(WLS))/3*H60</f>
        <v>314.3664</v>
      </c>
      <c r="K60" s="84" t="str">
        <f>CONCATENATE("M(",C57,")=")</f>
        <v>M(1)=</v>
      </c>
      <c r="L60" s="84">
        <f>VLOOKUP(C57,STN_TABLE,4,FALSE)</f>
        <v>34.203600000000002</v>
      </c>
      <c r="M60" t="str">
        <f>CONCATENATE("M(",C59,")=")</f>
        <v>M(3)=</v>
      </c>
      <c r="N60">
        <f>J60+L60</f>
        <v>348.57</v>
      </c>
      <c r="O60" s="99">
        <f>O59+1</f>
        <v>8</v>
      </c>
      <c r="P60" s="99">
        <f t="shared" si="24"/>
        <v>5</v>
      </c>
      <c r="Q60" s="191" t="s">
        <v>168</v>
      </c>
      <c r="R60" s="191" t="s">
        <v>168</v>
      </c>
      <c r="S60" s="6" t="s">
        <v>172</v>
      </c>
      <c r="T60" s="89">
        <f>SUM(T57:T59)</f>
        <v>146.65</v>
      </c>
      <c r="U60" s="6" t="s">
        <v>172</v>
      </c>
      <c r="V60" s="82">
        <f>SUM(V57:V59)</f>
        <v>146.79</v>
      </c>
      <c r="W60" s="84" t="str">
        <f>CONCATENATE("m'(",Q57,"~",Q58,")=")</f>
        <v>m'(2~3)=</v>
      </c>
      <c r="X60" s="84">
        <f>(2*(X57^2)/24*V60)+(X59*Q57*WLS)</f>
        <v>198.0153</v>
      </c>
      <c r="Y60" s="84" t="str">
        <f>CONCATENATE("M(",Q57,")=")</f>
        <v>M(2)=</v>
      </c>
      <c r="Z60" s="84">
        <f>VLOOKUP(Q57,STN_TABLE,4,FALSE)</f>
        <v>149.88240000000002</v>
      </c>
      <c r="AA60" t="str">
        <f>CONCATENATE("M(",Q58,")=")</f>
        <v>M(3)=</v>
      </c>
      <c r="AB60">
        <f>X60+Z60</f>
        <v>347.89769999999999</v>
      </c>
      <c r="AD60" s="191" t="s">
        <v>168</v>
      </c>
      <c r="AE60" s="191" t="s">
        <v>168</v>
      </c>
      <c r="AF60" s="6" t="s">
        <v>172</v>
      </c>
      <c r="AG60" s="89">
        <f>SUM(AG58:AG59)</f>
        <v>24.43</v>
      </c>
      <c r="AH60" s="6" t="s">
        <v>172</v>
      </c>
      <c r="AI60" s="89">
        <f t="shared" ref="AI60" si="43">SUM(AI58:AI59)</f>
        <v>36.68</v>
      </c>
      <c r="AJ60" s="84" t="str">
        <f t="shared" ref="AJ60" si="44">CONCATENATE("m'(",AD59,")=")</f>
        <v>m'(3)=</v>
      </c>
      <c r="AK60" s="84">
        <f>(2*(AK57^2)/6*AI60)+(AK59*AD58*WLS)</f>
        <v>197.92080000000004</v>
      </c>
      <c r="AL60" s="84" t="str">
        <f t="shared" ref="AL60" si="45">CONCATENATE("M(",AD58,")=")</f>
        <v>M(2)=</v>
      </c>
      <c r="AM60" s="84">
        <f>VLOOKUP(AD58,STN_TABLE,4,FALSE)</f>
        <v>149.88240000000002</v>
      </c>
      <c r="AN60" t="str">
        <f t="shared" ref="AN60" si="46">CONCATENATE("M(",AD59,")=")</f>
        <v>M(3)=</v>
      </c>
      <c r="AO60">
        <f t="shared" si="40"/>
        <v>347.80320000000006</v>
      </c>
      <c r="AQ60" s="82" t="str">
        <f>AA60</f>
        <v>M(3)=</v>
      </c>
      <c r="AR60" s="82" t="str">
        <f>IFERROR(VLOOKUP(AQ60,Rise_Results,2,FALSE),"-")</f>
        <v>-</v>
      </c>
      <c r="AS60" s="82">
        <f>IFERROR(N60,"-")</f>
        <v>348.57</v>
      </c>
      <c r="AT60" s="82">
        <f>IFERROR(IF(OR(AB59&lt;=0,AB60&lt;=0),1/0,AB60),"-")</f>
        <v>347.89769999999999</v>
      </c>
      <c r="AU60" s="82">
        <f t="shared" si="41"/>
        <v>347.80320000000006</v>
      </c>
      <c r="AV60">
        <f t="shared" si="42"/>
        <v>348.57</v>
      </c>
      <c r="BG60"/>
      <c r="BH60"/>
    </row>
    <row r="61" spans="1:60" x14ac:dyDescent="0.25">
      <c r="A61" s="84"/>
      <c r="B61" s="84"/>
      <c r="F61" s="81"/>
      <c r="H61" s="81"/>
      <c r="I61" s="84"/>
      <c r="J61" s="84"/>
      <c r="K61" s="84"/>
      <c r="L61" s="84"/>
      <c r="O61" s="99"/>
      <c r="P61" s="99"/>
      <c r="T61" s="81"/>
      <c r="V61" s="81"/>
      <c r="W61" s="84"/>
      <c r="X61" s="84"/>
      <c r="Y61" s="84"/>
      <c r="Z61" s="84"/>
      <c r="AD61" s="191" t="s">
        <v>168</v>
      </c>
      <c r="AE61" s="191" t="s">
        <v>168</v>
      </c>
      <c r="AF61" s="191" t="s">
        <v>168</v>
      </c>
      <c r="AG61" s="191" t="s">
        <v>168</v>
      </c>
      <c r="AH61" s="191" t="s">
        <v>168</v>
      </c>
      <c r="AI61" s="191" t="s">
        <v>168</v>
      </c>
      <c r="AJ61" s="191" t="s">
        <v>168</v>
      </c>
      <c r="AK61" s="191" t="s">
        <v>168</v>
      </c>
      <c r="AL61" s="191" t="s">
        <v>168</v>
      </c>
      <c r="AM61" s="191" t="s">
        <v>168</v>
      </c>
      <c r="AN61" s="191" t="s">
        <v>168</v>
      </c>
      <c r="AO61" s="191" t="s">
        <v>168</v>
      </c>
      <c r="AQ61" s="81"/>
      <c r="AR61" s="81"/>
      <c r="AS61" s="81"/>
      <c r="AT61" s="81"/>
      <c r="AU61" s="81"/>
      <c r="BG61"/>
      <c r="BH61"/>
    </row>
    <row r="62" spans="1:60" ht="18" x14ac:dyDescent="0.35">
      <c r="A62" s="101">
        <f>A56+1</f>
        <v>3</v>
      </c>
      <c r="B62" s="101">
        <f>VLOOKUP(A62,STN_TABLE_2,2,FALSE)</f>
        <v>1</v>
      </c>
      <c r="C62" t="s">
        <v>0</v>
      </c>
      <c r="D62" t="s">
        <v>95</v>
      </c>
      <c r="E62" t="s">
        <v>164</v>
      </c>
      <c r="F62" t="s">
        <v>165</v>
      </c>
      <c r="G62" t="s">
        <v>13</v>
      </c>
      <c r="H62" t="s">
        <v>169</v>
      </c>
      <c r="I62" s="191" t="s">
        <v>168</v>
      </c>
      <c r="J62" s="191" t="s">
        <v>168</v>
      </c>
      <c r="K62" s="191" t="s">
        <v>168</v>
      </c>
      <c r="L62" s="191" t="s">
        <v>168</v>
      </c>
      <c r="M62" s="191" t="s">
        <v>168</v>
      </c>
      <c r="N62" s="191" t="s">
        <v>168</v>
      </c>
      <c r="O62" s="101">
        <f>O56+1</f>
        <v>5</v>
      </c>
      <c r="P62" s="101">
        <f t="shared" ref="P62" si="47">VLOOKUP(O62,STN_TABLE_2,2,FALSE)</f>
        <v>2</v>
      </c>
      <c r="Q62" t="s">
        <v>0</v>
      </c>
      <c r="R62" t="s">
        <v>95</v>
      </c>
      <c r="S62" t="s">
        <v>164</v>
      </c>
      <c r="T62" t="s">
        <v>165</v>
      </c>
      <c r="U62" t="s">
        <v>166</v>
      </c>
      <c r="V62" t="s">
        <v>167</v>
      </c>
      <c r="W62" s="191" t="s">
        <v>168</v>
      </c>
      <c r="X62" s="191" t="s">
        <v>168</v>
      </c>
      <c r="Y62" s="191" t="s">
        <v>168</v>
      </c>
      <c r="Z62" s="191" t="s">
        <v>168</v>
      </c>
      <c r="AA62" s="191" t="s">
        <v>168</v>
      </c>
      <c r="AB62" s="191" t="s">
        <v>168</v>
      </c>
      <c r="BG62"/>
      <c r="BH62"/>
    </row>
    <row r="63" spans="1:60" ht="18" x14ac:dyDescent="0.35">
      <c r="A63" s="84">
        <f>A62+1</f>
        <v>4</v>
      </c>
      <c r="B63" s="84">
        <f>VLOOKUP(A63,STN_TABLE_2,2,FALSE)</f>
        <v>1.5</v>
      </c>
      <c r="C63" s="79">
        <f>IF(C64=B65,IF(C65-C64=C64-B64,B64,IF(C65-C64=C64-B63,B63,"#NA")),IF(C64=B64,IF(C65-C64=C64-B63,B63,IF(C65-C64=C64-B62,B62,"#NA")),"#NA"))</f>
        <v>2</v>
      </c>
      <c r="D63" s="68">
        <f>VLOOKUP(C63,STN_TABLE,2,FALSE)</f>
        <v>12.18</v>
      </c>
      <c r="E63" s="102">
        <v>1</v>
      </c>
      <c r="F63" s="68">
        <f>D63*E63</f>
        <v>12.18</v>
      </c>
      <c r="G63" s="69">
        <f>C63</f>
        <v>2</v>
      </c>
      <c r="H63" s="69">
        <f>F63*G63</f>
        <v>24.36</v>
      </c>
      <c r="I63" s="6" t="s">
        <v>93</v>
      </c>
      <c r="J63" s="70">
        <f>IF(OR(D63=0,D64=0,D65=0),"#NA",IF(AND(C65-C64=C64-C63,C64&lt;&gt;C65,C63&lt;&gt;C64,C63&lt;&gt;C65,D65&lt;&gt;0,OR(D63&lt;&gt;0,D64&lt;&gt;0)),WLS*(C65-C64),"#NA"))</f>
        <v>1.8</v>
      </c>
      <c r="K63" s="191" t="s">
        <v>168</v>
      </c>
      <c r="L63" s="191" t="s">
        <v>168</v>
      </c>
      <c r="M63" s="191" t="s">
        <v>168</v>
      </c>
      <c r="N63" s="191" t="s">
        <v>168</v>
      </c>
      <c r="O63" s="99">
        <f>O62+1</f>
        <v>6</v>
      </c>
      <c r="P63" s="99">
        <f t="shared" si="24"/>
        <v>3</v>
      </c>
      <c r="Q63" s="68">
        <f>IF(OR(P65-P64=P64-P63,P66-P64=P64-P63),P63,IF(OR(P65-P64=P64-P62,P66-P64=P64-P62),P62,"-"))</f>
        <v>3</v>
      </c>
      <c r="R63" s="69">
        <f>VLOOKUP(Q63,STN_TABLE,2,FALSE)</f>
        <v>12.25</v>
      </c>
      <c r="S63" s="69">
        <v>5</v>
      </c>
      <c r="T63" s="68">
        <f>R63*S63</f>
        <v>61.25</v>
      </c>
      <c r="U63" s="79">
        <v>3</v>
      </c>
      <c r="V63" s="68">
        <f>R63*U63</f>
        <v>36.75</v>
      </c>
      <c r="W63" s="6" t="s">
        <v>93</v>
      </c>
      <c r="X63" s="70">
        <f>IF(AND(Q65-Q64=Q64-Q63,NOT(AND(Q63=0,Q64=0)),NOT(AND(Q64=0,Q65=0))),WLS*(Q65-Q64),"#NA")</f>
        <v>1.8</v>
      </c>
      <c r="Y63" s="191" t="s">
        <v>168</v>
      </c>
      <c r="Z63" s="191" t="s">
        <v>168</v>
      </c>
      <c r="AA63" s="191" t="s">
        <v>168</v>
      </c>
      <c r="AB63" s="191" t="s">
        <v>168</v>
      </c>
      <c r="AD63" t="s">
        <v>0</v>
      </c>
      <c r="AE63" t="s">
        <v>95</v>
      </c>
      <c r="AF63" t="s">
        <v>173</v>
      </c>
      <c r="AG63" t="s">
        <v>183</v>
      </c>
      <c r="AH63" t="s">
        <v>175</v>
      </c>
      <c r="AI63" t="s">
        <v>184</v>
      </c>
      <c r="AJ63" s="6" t="s">
        <v>93</v>
      </c>
      <c r="AK63" s="70">
        <f>WLS*(AD65-AD64)</f>
        <v>1.8</v>
      </c>
      <c r="AL63" s="191" t="s">
        <v>168</v>
      </c>
      <c r="AM63" s="191" t="s">
        <v>168</v>
      </c>
      <c r="AN63" s="191" t="s">
        <v>168</v>
      </c>
      <c r="AO63" s="191" t="s">
        <v>168</v>
      </c>
      <c r="BG63"/>
      <c r="BH63"/>
    </row>
    <row r="64" spans="1:60" x14ac:dyDescent="0.25">
      <c r="A64" s="84">
        <f>A63+1</f>
        <v>5</v>
      </c>
      <c r="B64" s="84">
        <f>VLOOKUP(A64,STN_TABLE_2,2,FALSE)</f>
        <v>2</v>
      </c>
      <c r="C64" s="80">
        <f>IF(OR(B66-B65=B65-B64,B66-B65=B65-B63,B66-B65=B65-B62),B65,IF(OR(B66-B64=B64-B63,B66-B64=B64-B62),B64,IF(B66-B63=B63-B62,B63,"#NA")))</f>
        <v>3</v>
      </c>
      <c r="D64" s="76">
        <f>VLOOKUP(C64,STN_TABLE,2,FALSE)</f>
        <v>12.25</v>
      </c>
      <c r="E64" s="81">
        <v>4</v>
      </c>
      <c r="F64" s="76">
        <f>D64*E64</f>
        <v>49</v>
      </c>
      <c r="G64" s="77">
        <f>C64</f>
        <v>3</v>
      </c>
      <c r="H64" s="77">
        <f>F64*G64</f>
        <v>147</v>
      </c>
      <c r="I64" s="201" t="s">
        <v>171</v>
      </c>
      <c r="J64" s="191" t="s">
        <v>168</v>
      </c>
      <c r="K64" s="78" t="s">
        <v>98</v>
      </c>
      <c r="L64" s="191" t="s">
        <v>168</v>
      </c>
      <c r="M64" s="7" t="s">
        <v>77</v>
      </c>
      <c r="N64" s="191" t="s">
        <v>168</v>
      </c>
      <c r="O64" s="99">
        <f>O63+1</f>
        <v>7</v>
      </c>
      <c r="P64" s="99">
        <f t="shared" si="24"/>
        <v>4</v>
      </c>
      <c r="Q64" s="76">
        <f>P64</f>
        <v>4</v>
      </c>
      <c r="R64" s="77">
        <f>VLOOKUP(Q64,STN_TABLE,2,FALSE)</f>
        <v>12.25</v>
      </c>
      <c r="S64" s="77">
        <v>8</v>
      </c>
      <c r="T64" s="76">
        <f>R64*S64</f>
        <v>98</v>
      </c>
      <c r="U64" s="80">
        <v>10</v>
      </c>
      <c r="V64" s="76">
        <f>R64*U64</f>
        <v>122.5</v>
      </c>
      <c r="W64" s="201" t="s">
        <v>171</v>
      </c>
      <c r="X64" s="191" t="s">
        <v>168</v>
      </c>
      <c r="Y64" s="78" t="s">
        <v>98</v>
      </c>
      <c r="Z64" s="191" t="s">
        <v>168</v>
      </c>
      <c r="AA64" s="7" t="s">
        <v>77</v>
      </c>
      <c r="AB64" s="191" t="s">
        <v>168</v>
      </c>
      <c r="AC64" s="99">
        <f>AC58+1</f>
        <v>6</v>
      </c>
      <c r="AD64" s="95">
        <f>VLOOKUP(AC64,STN_TABLE_2,2,FALSE)</f>
        <v>3</v>
      </c>
      <c r="AE64">
        <f t="shared" ref="AE64:AE65" si="48">AG64</f>
        <v>12.25</v>
      </c>
      <c r="AF64">
        <v>1</v>
      </c>
      <c r="AG64" s="68">
        <f>VLOOKUP(AD64,STN_TABLE,2,FALSE)</f>
        <v>12.25</v>
      </c>
      <c r="AH64" s="68">
        <v>1</v>
      </c>
      <c r="AI64" s="69">
        <f t="shared" ref="AI64:AI65" si="49">AG64*AH64</f>
        <v>12.25</v>
      </c>
      <c r="AJ64" s="201" t="s">
        <v>171</v>
      </c>
      <c r="AK64" s="191" t="s">
        <v>168</v>
      </c>
      <c r="AL64" s="78" t="s">
        <v>98</v>
      </c>
      <c r="AM64" s="191" t="s">
        <v>168</v>
      </c>
      <c r="AN64" s="7" t="s">
        <v>77</v>
      </c>
      <c r="AO64" s="191" t="s">
        <v>168</v>
      </c>
      <c r="AR64" s="86" t="s">
        <v>112</v>
      </c>
      <c r="AS64" s="89" t="s">
        <v>113</v>
      </c>
      <c r="AT64" s="89" t="s">
        <v>114</v>
      </c>
      <c r="AU64" s="89" t="s">
        <v>115</v>
      </c>
      <c r="AV64" s="71" t="str">
        <f t="shared" ref="AV64" si="50">IF(AV65=AR65,AR64,IF(AV65=AS65,AS64,IF(AV65=AT65,AT64,AU64)))</f>
        <v>1,4,1 rule</v>
      </c>
      <c r="BG64"/>
      <c r="BH64"/>
    </row>
    <row r="65" spans="1:60" x14ac:dyDescent="0.25">
      <c r="A65" s="84">
        <f>A64+1</f>
        <v>6</v>
      </c>
      <c r="B65" s="84">
        <f>VLOOKUP(A65,STN_TABLE_2,2,FALSE)</f>
        <v>3</v>
      </c>
      <c r="C65" s="88">
        <f>B66</f>
        <v>4</v>
      </c>
      <c r="D65" s="82">
        <f>VLOOKUP(C65,STN_TABLE,2,FALSE)</f>
        <v>12.25</v>
      </c>
      <c r="E65" s="92">
        <v>1</v>
      </c>
      <c r="F65" s="82">
        <f>D65*E65</f>
        <v>12.25</v>
      </c>
      <c r="G65" s="83">
        <f>C65</f>
        <v>4</v>
      </c>
      <c r="H65" s="83">
        <f>F65*G65</f>
        <v>49</v>
      </c>
      <c r="I65" s="84" t="str">
        <f>CONCATENATE("a'(",C63,"~",C65,")=")</f>
        <v>a'(2~4)=</v>
      </c>
      <c r="J65" s="84">
        <f>2*J63/3*F66</f>
        <v>88.116</v>
      </c>
      <c r="K65" s="84" t="str">
        <f>CONCATENATE("A(",C63,")=")</f>
        <v>A(2)=</v>
      </c>
      <c r="L65" s="84">
        <f>VLOOKUP(C63,STN_TABLE,3,FALSE)</f>
        <v>77.412000000000006</v>
      </c>
      <c r="M65" t="str">
        <f>CONCATENATE("A(",C65,")=")</f>
        <v>A(4)=</v>
      </c>
      <c r="N65">
        <f>J65+L65</f>
        <v>165.52800000000002</v>
      </c>
      <c r="O65" s="99">
        <f>O64+1</f>
        <v>8</v>
      </c>
      <c r="P65" s="99">
        <f t="shared" si="24"/>
        <v>5</v>
      </c>
      <c r="Q65" s="82">
        <f>IF(P65-P64=P64-P63,P65,IF(P66-P64=P64-P63,P66,IF(P65-P64=P64-P62,P65,IF(P66-P64=P64-P62,P66,"-"))))</f>
        <v>5</v>
      </c>
      <c r="R65" s="83">
        <f>VLOOKUP(Q65,STN_TABLE,2,FALSE)</f>
        <v>12.25</v>
      </c>
      <c r="S65" s="83">
        <v>-1</v>
      </c>
      <c r="T65" s="82">
        <f>R65*S65</f>
        <v>-12.25</v>
      </c>
      <c r="U65" s="88">
        <v>-1</v>
      </c>
      <c r="V65" s="82">
        <f>R65*U65</f>
        <v>-12.25</v>
      </c>
      <c r="W65" s="84" t="str">
        <f>CONCATENATE("a'(",Q63,"~",Q64,")=")</f>
        <v>a'(3~4)=</v>
      </c>
      <c r="X65" s="84">
        <f>2*X63/12*T66</f>
        <v>44.1</v>
      </c>
      <c r="Y65" s="84" t="str">
        <f>CONCATENATE("A(",Q63,")=")</f>
        <v>A(3)=</v>
      </c>
      <c r="Z65" s="84">
        <f>VLOOKUP(Q63,STN_TABLE,3,FALSE)</f>
        <v>121.518</v>
      </c>
      <c r="AA65" t="str">
        <f>CONCATENATE("A(",Q64,")=")</f>
        <v>A(4)=</v>
      </c>
      <c r="AB65">
        <f>X65+Z65</f>
        <v>165.61799999999999</v>
      </c>
      <c r="AC65" s="99">
        <f>AC64+1</f>
        <v>7</v>
      </c>
      <c r="AD65" s="100">
        <f>VLOOKUP(AC65,STN_TABLE_2,2,FALSE)</f>
        <v>4</v>
      </c>
      <c r="AE65">
        <f t="shared" si="48"/>
        <v>12.25</v>
      </c>
      <c r="AF65">
        <v>1</v>
      </c>
      <c r="AG65" s="82">
        <f>VLOOKUP(AD65,STN_TABLE,2,FALSE)</f>
        <v>12.25</v>
      </c>
      <c r="AH65" s="82">
        <v>2</v>
      </c>
      <c r="AI65" s="83">
        <f t="shared" si="49"/>
        <v>24.5</v>
      </c>
      <c r="AJ65" s="84" t="str">
        <f t="shared" ref="AJ65" si="51">CONCATENATE("a'(",AD65,")=")</f>
        <v>a'(4)=</v>
      </c>
      <c r="AK65" s="84">
        <f t="shared" ref="AK65" si="52">2*AK63/2*AG66</f>
        <v>44.1</v>
      </c>
      <c r="AL65" s="84" t="str">
        <f t="shared" ref="AL65" si="53">CONCATENATE("A(",AD64,")=")</f>
        <v>A(3)=</v>
      </c>
      <c r="AM65" s="84">
        <f>VLOOKUP(AD64,STN_TABLE,3,FALSE)</f>
        <v>121.518</v>
      </c>
      <c r="AN65" t="str">
        <f t="shared" ref="AN65" si="54">CONCATENATE("A(",AD65,")=")</f>
        <v>A(4)=</v>
      </c>
      <c r="AO65">
        <f t="shared" ref="AO65:AO66" si="55">AK65+AM65</f>
        <v>165.61799999999999</v>
      </c>
      <c r="AQ65" s="68" t="str">
        <f>AA65</f>
        <v>A(4)=</v>
      </c>
      <c r="AR65" s="68" t="str">
        <f>IFERROR(VLOOKUP(AQ65,Rise_Results,2,FALSE),"-")</f>
        <v>-</v>
      </c>
      <c r="AS65" s="76">
        <f>IFERROR(N65,"-")</f>
        <v>165.52800000000002</v>
      </c>
      <c r="AT65" s="76">
        <f>IFERROR(IF(OR(AB65&lt;=0,AB66&lt;=0),1/0,AB65),"-")</f>
        <v>165.61799999999999</v>
      </c>
      <c r="AU65" s="76">
        <f t="shared" ref="AU65:AU66" si="56">AO65</f>
        <v>165.61799999999999</v>
      </c>
      <c r="AV65">
        <f t="shared" ref="AV65:AV66" si="57">IF(ISNUMBER(AR65),AR65,IF(ISNUMBER(AS65),AS65,IF(ISNUMBER(AT65),AT65,AU65)))</f>
        <v>165.52800000000002</v>
      </c>
      <c r="BG65"/>
      <c r="BH65"/>
    </row>
    <row r="66" spans="1:60" x14ac:dyDescent="0.25">
      <c r="A66" s="84">
        <f>A65+1</f>
        <v>7</v>
      </c>
      <c r="B66" s="84">
        <f>VLOOKUP(A66,STN_TABLE_2,2,FALSE)</f>
        <v>4</v>
      </c>
      <c r="C66" s="191" t="s">
        <v>168</v>
      </c>
      <c r="D66" s="191" t="s">
        <v>168</v>
      </c>
      <c r="E66" s="6" t="s">
        <v>172</v>
      </c>
      <c r="F66" s="89">
        <f>SUM(F63:F65)</f>
        <v>73.430000000000007</v>
      </c>
      <c r="G66" s="6" t="s">
        <v>172</v>
      </c>
      <c r="H66" s="82">
        <f>SUM(H63:H65)</f>
        <v>220.36</v>
      </c>
      <c r="I66" s="84" t="str">
        <f>CONCATENATE("m'(",C63,"~",C65,")=")</f>
        <v>m'(2~4)=</v>
      </c>
      <c r="J66" s="84">
        <f>2*(J63*(WLS))/3*H66</f>
        <v>475.97760000000005</v>
      </c>
      <c r="K66" s="84" t="str">
        <f>CONCATENATE("M(",C63,")=")</f>
        <v>M(2)=</v>
      </c>
      <c r="L66" s="84">
        <f>VLOOKUP(C63,STN_TABLE,4,FALSE)</f>
        <v>149.88240000000002</v>
      </c>
      <c r="M66" t="str">
        <f>CONCATENATE("M(",C65,")=")</f>
        <v>M(4)=</v>
      </c>
      <c r="N66">
        <f>J66+L66</f>
        <v>625.86000000000013</v>
      </c>
      <c r="O66" s="99">
        <f>O65+1</f>
        <v>9</v>
      </c>
      <c r="P66" s="99">
        <f t="shared" si="24"/>
        <v>5.6111111111111107</v>
      </c>
      <c r="Q66" s="191" t="s">
        <v>168</v>
      </c>
      <c r="R66" s="191" t="s">
        <v>168</v>
      </c>
      <c r="S66" s="6" t="s">
        <v>172</v>
      </c>
      <c r="T66" s="89">
        <f>SUM(T63:T65)</f>
        <v>147</v>
      </c>
      <c r="U66" s="6" t="s">
        <v>172</v>
      </c>
      <c r="V66" s="82">
        <f>SUM(V63:V65)</f>
        <v>147</v>
      </c>
      <c r="W66" s="84" t="str">
        <f>CONCATENATE("m'(",Q63,"~",Q64,")=")</f>
        <v>m'(3~4)=</v>
      </c>
      <c r="X66" s="84">
        <f>(2*(X63^2)/24*V66)+(X65*Q63*WLS)</f>
        <v>277.83000000000004</v>
      </c>
      <c r="Y66" s="84" t="str">
        <f>CONCATENATE("M(",Q63,")=")</f>
        <v>M(3)=</v>
      </c>
      <c r="Z66" s="84">
        <f>VLOOKUP(Q63,STN_TABLE,4,FALSE)</f>
        <v>348.57</v>
      </c>
      <c r="AA66" t="str">
        <f>CONCATENATE("M(",Q64,")=")</f>
        <v>M(4)=</v>
      </c>
      <c r="AB66">
        <f>X66+Z66</f>
        <v>626.40000000000009</v>
      </c>
      <c r="AD66" s="191" t="s">
        <v>168</v>
      </c>
      <c r="AE66" s="191" t="s">
        <v>168</v>
      </c>
      <c r="AF66" s="6" t="s">
        <v>172</v>
      </c>
      <c r="AG66" s="89">
        <f>SUM(AG64:AG65)</f>
        <v>24.5</v>
      </c>
      <c r="AH66" s="6" t="s">
        <v>172</v>
      </c>
      <c r="AI66" s="89">
        <f t="shared" ref="AI66" si="58">SUM(AI64:AI65)</f>
        <v>36.75</v>
      </c>
      <c r="AJ66" s="84" t="str">
        <f t="shared" ref="AJ66" si="59">CONCATENATE("m'(",AD65,")=")</f>
        <v>m'(4)=</v>
      </c>
      <c r="AK66" s="84">
        <f>(2*(AK63^2)/6*AI66)+(AK65*AD64*WLS)</f>
        <v>277.83000000000004</v>
      </c>
      <c r="AL66" s="84" t="str">
        <f t="shared" ref="AL66" si="60">CONCATENATE("M(",AD64,")=")</f>
        <v>M(3)=</v>
      </c>
      <c r="AM66" s="84">
        <f>VLOOKUP(AD64,STN_TABLE,4,FALSE)</f>
        <v>348.57</v>
      </c>
      <c r="AN66" t="str">
        <f t="shared" ref="AN66" si="61">CONCATENATE("M(",AD65,")=")</f>
        <v>M(4)=</v>
      </c>
      <c r="AO66">
        <f t="shared" si="55"/>
        <v>626.40000000000009</v>
      </c>
      <c r="AQ66" s="82" t="str">
        <f>AA66</f>
        <v>M(4)=</v>
      </c>
      <c r="AR66" s="82" t="str">
        <f>IFERROR(VLOOKUP(AQ66,Rise_Results,2,FALSE),"-")</f>
        <v>-</v>
      </c>
      <c r="AS66" s="82">
        <f>IFERROR(N66,"-")</f>
        <v>625.86000000000013</v>
      </c>
      <c r="AT66" s="82">
        <f>IFERROR(IF(OR(AB65&lt;=0,AB66&lt;=0),1/0,AB66),"-")</f>
        <v>626.40000000000009</v>
      </c>
      <c r="AU66" s="82">
        <f t="shared" si="56"/>
        <v>626.40000000000009</v>
      </c>
      <c r="AV66">
        <f t="shared" si="57"/>
        <v>625.86000000000013</v>
      </c>
      <c r="BG66"/>
      <c r="BH66"/>
    </row>
    <row r="67" spans="1:60" x14ac:dyDescent="0.25">
      <c r="A67" s="84"/>
      <c r="B67" s="84"/>
      <c r="F67" s="81"/>
      <c r="H67" s="81"/>
      <c r="I67" s="84"/>
      <c r="J67" s="84"/>
      <c r="K67" s="84"/>
      <c r="L67" s="84"/>
      <c r="O67" s="99"/>
      <c r="P67" s="99"/>
      <c r="T67" s="81"/>
      <c r="V67" s="81"/>
      <c r="W67" s="84"/>
      <c r="X67" s="84"/>
      <c r="Y67" s="84"/>
      <c r="Z67" s="84"/>
      <c r="AD67" s="191" t="s">
        <v>168</v>
      </c>
      <c r="AE67" s="191" t="s">
        <v>168</v>
      </c>
      <c r="AF67" s="191" t="s">
        <v>168</v>
      </c>
      <c r="AG67" s="191" t="s">
        <v>168</v>
      </c>
      <c r="AH67" s="191" t="s">
        <v>168</v>
      </c>
      <c r="AI67" s="191" t="s">
        <v>168</v>
      </c>
      <c r="AJ67" s="191" t="s">
        <v>168</v>
      </c>
      <c r="AK67" s="191" t="s">
        <v>168</v>
      </c>
      <c r="AL67" s="191" t="s">
        <v>168</v>
      </c>
      <c r="AM67" s="191" t="s">
        <v>168</v>
      </c>
      <c r="AN67" s="191" t="s">
        <v>168</v>
      </c>
      <c r="AO67" s="191" t="s">
        <v>168</v>
      </c>
      <c r="AQ67" s="81"/>
      <c r="AR67" s="81"/>
      <c r="AS67" s="81"/>
      <c r="AT67" s="81"/>
      <c r="AU67" s="81"/>
      <c r="BG67"/>
      <c r="BH67"/>
    </row>
    <row r="68" spans="1:60" ht="18" x14ac:dyDescent="0.35">
      <c r="A68" s="101">
        <f>A62+1</f>
        <v>4</v>
      </c>
      <c r="B68" s="101">
        <f>VLOOKUP(A68,STN_TABLE_2,2,FALSE)</f>
        <v>1.5</v>
      </c>
      <c r="C68" t="s">
        <v>0</v>
      </c>
      <c r="D68" t="s">
        <v>95</v>
      </c>
      <c r="E68" t="s">
        <v>164</v>
      </c>
      <c r="F68" t="s">
        <v>165</v>
      </c>
      <c r="G68" t="s">
        <v>13</v>
      </c>
      <c r="H68" t="s">
        <v>169</v>
      </c>
      <c r="I68" s="191" t="s">
        <v>168</v>
      </c>
      <c r="J68" s="191" t="s">
        <v>168</v>
      </c>
      <c r="K68" s="191" t="s">
        <v>168</v>
      </c>
      <c r="L68" s="191" t="s">
        <v>168</v>
      </c>
      <c r="M68" s="191" t="s">
        <v>168</v>
      </c>
      <c r="N68" s="191" t="s">
        <v>168</v>
      </c>
      <c r="O68" s="101">
        <f>O62+1</f>
        <v>6</v>
      </c>
      <c r="P68" s="101">
        <f t="shared" ref="P68" si="62">VLOOKUP(O68,STN_TABLE_2,2,FALSE)</f>
        <v>3</v>
      </c>
      <c r="Q68" t="s">
        <v>0</v>
      </c>
      <c r="R68" t="s">
        <v>95</v>
      </c>
      <c r="S68" t="s">
        <v>164</v>
      </c>
      <c r="T68" t="s">
        <v>165</v>
      </c>
      <c r="U68" t="s">
        <v>166</v>
      </c>
      <c r="V68" t="s">
        <v>167</v>
      </c>
      <c r="W68" s="191" t="s">
        <v>168</v>
      </c>
      <c r="X68" s="191" t="s">
        <v>168</v>
      </c>
      <c r="Y68" s="191" t="s">
        <v>168</v>
      </c>
      <c r="Z68" s="191" t="s">
        <v>168</v>
      </c>
      <c r="AA68" s="191" t="s">
        <v>168</v>
      </c>
      <c r="AB68" s="191" t="s">
        <v>168</v>
      </c>
      <c r="BG68"/>
      <c r="BH68"/>
    </row>
    <row r="69" spans="1:60" ht="18" x14ac:dyDescent="0.35">
      <c r="A69" s="84">
        <f>A68+1</f>
        <v>5</v>
      </c>
      <c r="B69" s="84">
        <f>VLOOKUP(A69,STN_TABLE_2,2,FALSE)</f>
        <v>2</v>
      </c>
      <c r="C69" s="79">
        <f>IF(C70=B71,IF(C71-C70=C70-B70,B70,IF(C71-C70=C70-B69,B69,"#NA")),IF(C70=B70,IF(C71-C70=C70-B69,B69,IF(C71-C70=C70-B68,B68,"#NA")),"#NA"))</f>
        <v>3</v>
      </c>
      <c r="D69" s="68">
        <f>VLOOKUP(C69,STN_TABLE,2,FALSE)</f>
        <v>12.25</v>
      </c>
      <c r="E69" s="102">
        <v>1</v>
      </c>
      <c r="F69" s="68">
        <f>D69*E69</f>
        <v>12.25</v>
      </c>
      <c r="G69" s="69">
        <f>C69</f>
        <v>3</v>
      </c>
      <c r="H69" s="69">
        <f>F69*G69</f>
        <v>36.75</v>
      </c>
      <c r="I69" s="6" t="s">
        <v>93</v>
      </c>
      <c r="J69" s="70">
        <f>IF(OR(D69=0,D70=0,D71=0),"#NA",IF(AND(C71-C70=C70-C69,C70&lt;&gt;C71,C69&lt;&gt;C70,C69&lt;&gt;C71,D71&lt;&gt;0,OR(D69&lt;&gt;0,D70&lt;&gt;0)),WLS*(C71-C70),"#NA"))</f>
        <v>1.8</v>
      </c>
      <c r="K69" s="191" t="s">
        <v>168</v>
      </c>
      <c r="L69" s="191" t="s">
        <v>168</v>
      </c>
      <c r="M69" s="191" t="s">
        <v>168</v>
      </c>
      <c r="N69" s="191" t="s">
        <v>168</v>
      </c>
      <c r="O69" s="99">
        <f>O68+1</f>
        <v>7</v>
      </c>
      <c r="P69" s="99">
        <f t="shared" si="24"/>
        <v>4</v>
      </c>
      <c r="Q69" s="68">
        <f t="shared" ref="Q69" si="63">IF(OR(P71-P70=P70-P69,P72-P70=P70-P69),P69,IF(OR(P71-P70=P70-P68,P72-P70=P70-P68),P68,"-"))</f>
        <v>4</v>
      </c>
      <c r="R69" s="69">
        <f>VLOOKUP(Q69,STN_TABLE,2,FALSE)</f>
        <v>12.25</v>
      </c>
      <c r="S69" s="69">
        <v>5</v>
      </c>
      <c r="T69" s="68">
        <f t="shared" ref="T69:T71" si="64">R69*S69</f>
        <v>61.25</v>
      </c>
      <c r="U69" s="79">
        <v>3</v>
      </c>
      <c r="V69" s="68">
        <f t="shared" ref="V69:V71" si="65">R69*U69</f>
        <v>36.75</v>
      </c>
      <c r="W69" s="6" t="s">
        <v>93</v>
      </c>
      <c r="X69" s="70">
        <f>IF(AND(Q71-Q70=Q70-Q69,NOT(AND(Q69=0,Q70=0)),NOT(AND(Q70=0,Q71=0))),WLS*(Q71-Q70),"#NA")</f>
        <v>1.8</v>
      </c>
      <c r="Y69" s="191" t="s">
        <v>168</v>
      </c>
      <c r="Z69" s="191" t="s">
        <v>168</v>
      </c>
      <c r="AA69" s="191" t="s">
        <v>168</v>
      </c>
      <c r="AB69" s="191" t="s">
        <v>168</v>
      </c>
      <c r="AD69" t="s">
        <v>0</v>
      </c>
      <c r="AE69" t="s">
        <v>95</v>
      </c>
      <c r="AF69" t="s">
        <v>173</v>
      </c>
      <c r="AG69" t="s">
        <v>183</v>
      </c>
      <c r="AH69" t="s">
        <v>175</v>
      </c>
      <c r="AI69" t="s">
        <v>184</v>
      </c>
      <c r="AJ69" s="6" t="s">
        <v>93</v>
      </c>
      <c r="AK69" s="70">
        <f>WLS*(AD71-AD70)</f>
        <v>1.8</v>
      </c>
      <c r="AL69" s="191" t="s">
        <v>168</v>
      </c>
      <c r="AM69" s="191" t="s">
        <v>168</v>
      </c>
      <c r="AN69" s="191" t="s">
        <v>168</v>
      </c>
      <c r="AO69" s="191" t="s">
        <v>168</v>
      </c>
      <c r="BG69"/>
      <c r="BH69"/>
    </row>
    <row r="70" spans="1:60" x14ac:dyDescent="0.25">
      <c r="A70" s="84">
        <f>A69+1</f>
        <v>6</v>
      </c>
      <c r="B70" s="84">
        <f>VLOOKUP(A70,STN_TABLE_2,2,FALSE)</f>
        <v>3</v>
      </c>
      <c r="C70" s="80">
        <f>IF(OR(B72-B71=B71-B70,B72-B71=B71-B69,B72-B71=B71-B68),B71,IF(OR(B72-B70=B70-B69,B72-B70=B70-B68),B70,IF(B72-B69=B69-B68,B69,"#NA")))</f>
        <v>4</v>
      </c>
      <c r="D70" s="76">
        <f>VLOOKUP(C70,STN_TABLE,2,FALSE)</f>
        <v>12.25</v>
      </c>
      <c r="E70" s="81">
        <v>4</v>
      </c>
      <c r="F70" s="76">
        <f>D70*E70</f>
        <v>49</v>
      </c>
      <c r="G70" s="77">
        <f>C70</f>
        <v>4</v>
      </c>
      <c r="H70" s="77">
        <f>F70*G70</f>
        <v>196</v>
      </c>
      <c r="I70" s="201" t="s">
        <v>171</v>
      </c>
      <c r="J70" s="191" t="s">
        <v>168</v>
      </c>
      <c r="K70" s="78" t="s">
        <v>98</v>
      </c>
      <c r="L70" s="191" t="s">
        <v>168</v>
      </c>
      <c r="M70" s="7" t="s">
        <v>77</v>
      </c>
      <c r="N70" s="191" t="s">
        <v>168</v>
      </c>
      <c r="O70" s="99">
        <f>O69+1</f>
        <v>8</v>
      </c>
      <c r="P70" s="99">
        <f t="shared" si="24"/>
        <v>5</v>
      </c>
      <c r="Q70" s="76">
        <f t="shared" ref="Q70" si="66">P70</f>
        <v>5</v>
      </c>
      <c r="R70" s="77">
        <f>VLOOKUP(Q70,STN_TABLE,2,FALSE)</f>
        <v>12.25</v>
      </c>
      <c r="S70" s="77">
        <v>8</v>
      </c>
      <c r="T70" s="76">
        <f t="shared" si="64"/>
        <v>98</v>
      </c>
      <c r="U70" s="80">
        <v>10</v>
      </c>
      <c r="V70" s="76">
        <f t="shared" si="65"/>
        <v>122.5</v>
      </c>
      <c r="W70" s="201" t="s">
        <v>171</v>
      </c>
      <c r="X70" s="191" t="s">
        <v>168</v>
      </c>
      <c r="Y70" s="78" t="s">
        <v>98</v>
      </c>
      <c r="Z70" s="191" t="s">
        <v>168</v>
      </c>
      <c r="AA70" s="7" t="s">
        <v>77</v>
      </c>
      <c r="AB70" s="191" t="s">
        <v>168</v>
      </c>
      <c r="AC70" s="99">
        <f>AC64+1</f>
        <v>7</v>
      </c>
      <c r="AD70" s="95">
        <f>VLOOKUP(AC70,STN_TABLE_2,2,FALSE)</f>
        <v>4</v>
      </c>
      <c r="AE70">
        <f t="shared" ref="AE70:AE71" si="67">AG70</f>
        <v>12.25</v>
      </c>
      <c r="AF70">
        <v>1</v>
      </c>
      <c r="AG70" s="68">
        <f>VLOOKUP(AD70,STN_TABLE,2,FALSE)</f>
        <v>12.25</v>
      </c>
      <c r="AH70" s="68">
        <v>1</v>
      </c>
      <c r="AI70" s="69">
        <f t="shared" ref="AI70:AI71" si="68">AG70*AH70</f>
        <v>12.25</v>
      </c>
      <c r="AJ70" s="201" t="s">
        <v>171</v>
      </c>
      <c r="AK70" s="191" t="s">
        <v>168</v>
      </c>
      <c r="AL70" s="78" t="s">
        <v>98</v>
      </c>
      <c r="AM70" s="191" t="s">
        <v>168</v>
      </c>
      <c r="AN70" s="7" t="s">
        <v>77</v>
      </c>
      <c r="AO70" s="191" t="s">
        <v>168</v>
      </c>
      <c r="AR70" s="86" t="s">
        <v>112</v>
      </c>
      <c r="AS70" s="89" t="s">
        <v>113</v>
      </c>
      <c r="AT70" s="89" t="s">
        <v>114</v>
      </c>
      <c r="AU70" s="89" t="s">
        <v>115</v>
      </c>
      <c r="AV70" s="71" t="str">
        <f t="shared" ref="AV70" si="69">IF(AV71=AR71,AR70,IF(AV71=AS71,AS70,IF(AV71=AT71,AT70,AU70)))</f>
        <v>1,4,1 rule</v>
      </c>
      <c r="BG70"/>
      <c r="BH70"/>
    </row>
    <row r="71" spans="1:60" x14ac:dyDescent="0.25">
      <c r="A71" s="84">
        <f>A70+1</f>
        <v>7</v>
      </c>
      <c r="B71" s="84">
        <f>VLOOKUP(A71,STN_TABLE_2,2,FALSE)</f>
        <v>4</v>
      </c>
      <c r="C71" s="88">
        <f>B72</f>
        <v>5</v>
      </c>
      <c r="D71" s="82">
        <f>VLOOKUP(C71,STN_TABLE,2,FALSE)</f>
        <v>12.25</v>
      </c>
      <c r="E71" s="92">
        <v>1</v>
      </c>
      <c r="F71" s="82">
        <f>D71*E71</f>
        <v>12.25</v>
      </c>
      <c r="G71" s="83">
        <f>C71</f>
        <v>5</v>
      </c>
      <c r="H71" s="83">
        <f>F71*G71</f>
        <v>61.25</v>
      </c>
      <c r="I71" s="84" t="str">
        <f>CONCATENATE("a'(",C69,"~",C71,")=")</f>
        <v>a'(3~5)=</v>
      </c>
      <c r="J71" s="84">
        <f>2*J69/3*F72</f>
        <v>88.2</v>
      </c>
      <c r="K71" s="84" t="str">
        <f>CONCATENATE("A(",C69,")=")</f>
        <v>A(3)=</v>
      </c>
      <c r="L71" s="84">
        <f>VLOOKUP(C69,STN_TABLE,3,FALSE)</f>
        <v>121.518</v>
      </c>
      <c r="M71" t="str">
        <f>CONCATENATE("A(",C71,")=")</f>
        <v>A(5)=</v>
      </c>
      <c r="N71">
        <f>J71+L71</f>
        <v>209.71800000000002</v>
      </c>
      <c r="O71" s="99">
        <f>O70+1</f>
        <v>9</v>
      </c>
      <c r="P71" s="99">
        <f t="shared" si="24"/>
        <v>5.6111111111111107</v>
      </c>
      <c r="Q71" s="82">
        <f t="shared" ref="Q71" si="70">IF(P71-P70=P70-P69,P71,IF(P72-P70=P70-P69,P72,IF(P71-P70=P70-P68,P71,IF(P72-P70=P70-P68,P72,"-"))))</f>
        <v>6</v>
      </c>
      <c r="R71" s="83">
        <f>VLOOKUP(Q71,STN_TABLE,2,FALSE)</f>
        <v>12.25</v>
      </c>
      <c r="S71" s="83">
        <v>-1</v>
      </c>
      <c r="T71" s="82">
        <f t="shared" si="64"/>
        <v>-12.25</v>
      </c>
      <c r="U71" s="88">
        <v>-1</v>
      </c>
      <c r="V71" s="82">
        <f t="shared" si="65"/>
        <v>-12.25</v>
      </c>
      <c r="W71" s="84" t="str">
        <f t="shared" ref="W71" si="71">CONCATENATE("a'(",Q69,"~",Q70,")=")</f>
        <v>a'(4~5)=</v>
      </c>
      <c r="X71" s="84">
        <f t="shared" ref="X71" si="72">2*X69/12*T72</f>
        <v>44.1</v>
      </c>
      <c r="Y71" s="84" t="str">
        <f t="shared" ref="Y71" si="73">CONCATENATE("A(",Q69,")=")</f>
        <v>A(4)=</v>
      </c>
      <c r="Z71" s="84">
        <f>VLOOKUP(Q69,STN_TABLE,3,FALSE)</f>
        <v>165.52800000000002</v>
      </c>
      <c r="AA71" t="str">
        <f t="shared" ref="AA71" si="74">CONCATENATE("A(",Q70,")=")</f>
        <v>A(5)=</v>
      </c>
      <c r="AB71">
        <f t="shared" ref="AB71:AB72" si="75">X71+Z71</f>
        <v>209.62800000000001</v>
      </c>
      <c r="AC71" s="99">
        <f>AC70+1</f>
        <v>8</v>
      </c>
      <c r="AD71" s="100">
        <f>VLOOKUP(AC71,STN_TABLE_2,2,FALSE)</f>
        <v>5</v>
      </c>
      <c r="AE71">
        <f t="shared" si="67"/>
        <v>12.25</v>
      </c>
      <c r="AF71">
        <v>1</v>
      </c>
      <c r="AG71" s="82">
        <f>VLOOKUP(AD71,STN_TABLE,2,FALSE)</f>
        <v>12.25</v>
      </c>
      <c r="AH71" s="82">
        <v>2</v>
      </c>
      <c r="AI71" s="83">
        <f t="shared" si="68"/>
        <v>24.5</v>
      </c>
      <c r="AJ71" s="84" t="str">
        <f t="shared" ref="AJ71" si="76">CONCATENATE("a'(",AD71,")=")</f>
        <v>a'(5)=</v>
      </c>
      <c r="AK71" s="84">
        <f t="shared" ref="AK71" si="77">2*AK69/2*AG72</f>
        <v>44.1</v>
      </c>
      <c r="AL71" s="84" t="str">
        <f t="shared" ref="AL71" si="78">CONCATENATE("A(",AD70,")=")</f>
        <v>A(4)=</v>
      </c>
      <c r="AM71" s="84">
        <f>VLOOKUP(AD70,STN_TABLE,3,FALSE)</f>
        <v>165.52800000000002</v>
      </c>
      <c r="AN71" t="str">
        <f t="shared" ref="AN71" si="79">CONCATENATE("A(",AD71,")=")</f>
        <v>A(5)=</v>
      </c>
      <c r="AO71">
        <f t="shared" ref="AO71:AO72" si="80">AK71+AM71</f>
        <v>209.62800000000001</v>
      </c>
      <c r="AQ71" s="68" t="str">
        <f>AA71</f>
        <v>A(5)=</v>
      </c>
      <c r="AR71" s="68" t="str">
        <f>IFERROR(VLOOKUP(AQ71,Rise_Results,2,FALSE),"-")</f>
        <v>-</v>
      </c>
      <c r="AS71" s="76">
        <f>IFERROR(N71,"-")</f>
        <v>209.71800000000002</v>
      </c>
      <c r="AT71" s="76">
        <f>IFERROR(IF(OR(AB71&lt;=0,AB72&lt;=0),1/0,AB71),"-")</f>
        <v>209.62800000000001</v>
      </c>
      <c r="AU71" s="76">
        <f t="shared" ref="AU71:AU72" si="81">AO71</f>
        <v>209.62800000000001</v>
      </c>
      <c r="AV71">
        <f t="shared" ref="AV71:AV72" si="82">IF(ISNUMBER(AR71),AR71,IF(ISNUMBER(AS71),AS71,IF(ISNUMBER(AT71),AT71,AU71)))</f>
        <v>209.71800000000002</v>
      </c>
      <c r="BG71"/>
      <c r="BH71"/>
    </row>
    <row r="72" spans="1:60" x14ac:dyDescent="0.25">
      <c r="A72" s="84">
        <f>A71+1</f>
        <v>8</v>
      </c>
      <c r="B72" s="84">
        <f>VLOOKUP(A72,STN_TABLE_2,2,FALSE)</f>
        <v>5</v>
      </c>
      <c r="C72" s="191" t="s">
        <v>168</v>
      </c>
      <c r="D72" s="191" t="s">
        <v>168</v>
      </c>
      <c r="E72" s="6" t="s">
        <v>172</v>
      </c>
      <c r="F72" s="89">
        <f>SUM(F69:F71)</f>
        <v>73.5</v>
      </c>
      <c r="G72" s="6" t="s">
        <v>172</v>
      </c>
      <c r="H72" s="82">
        <f>SUM(H69:H71)</f>
        <v>294</v>
      </c>
      <c r="I72" s="84" t="str">
        <f>CONCATENATE("m'(",C69,"~",C71,")=")</f>
        <v>m'(3~5)=</v>
      </c>
      <c r="J72" s="84">
        <f>2*(J69*(WLS))/3*H72</f>
        <v>635.04000000000008</v>
      </c>
      <c r="K72" s="84" t="str">
        <f>CONCATENATE("M(",C69,")=")</f>
        <v>M(3)=</v>
      </c>
      <c r="L72" s="84">
        <f>VLOOKUP(C69,STN_TABLE,4,FALSE)</f>
        <v>348.57</v>
      </c>
      <c r="M72" t="str">
        <f>CONCATENATE("M(",C71,")=")</f>
        <v>M(5)=</v>
      </c>
      <c r="N72">
        <f>J72+L72</f>
        <v>983.61000000000013</v>
      </c>
      <c r="O72" s="99">
        <f>O71+1</f>
        <v>10</v>
      </c>
      <c r="P72" s="99">
        <f t="shared" si="24"/>
        <v>6</v>
      </c>
      <c r="Q72" s="191" t="s">
        <v>168</v>
      </c>
      <c r="R72" s="191" t="s">
        <v>168</v>
      </c>
      <c r="S72" s="6" t="s">
        <v>172</v>
      </c>
      <c r="T72" s="89">
        <f t="shared" ref="T72" si="83">SUM(T69:T71)</f>
        <v>147</v>
      </c>
      <c r="U72" s="6" t="s">
        <v>172</v>
      </c>
      <c r="V72" s="82">
        <f t="shared" ref="V72" si="84">SUM(V69:V71)</f>
        <v>147</v>
      </c>
      <c r="W72" s="84" t="str">
        <f t="shared" ref="W72" si="85">CONCATENATE("m'(",Q69,"~",Q70,")=")</f>
        <v>m'(4~5)=</v>
      </c>
      <c r="X72" s="84">
        <f>(2*(X69^2)/24*V72)+(X71*Q69*WLS)</f>
        <v>357.21000000000004</v>
      </c>
      <c r="Y72" s="84" t="str">
        <f t="shared" ref="Y72" si="86">CONCATENATE("M(",Q69,")=")</f>
        <v>M(4)=</v>
      </c>
      <c r="Z72" s="84">
        <f>VLOOKUP(Q69,STN_TABLE,4,FALSE)</f>
        <v>625.86000000000013</v>
      </c>
      <c r="AA72" t="str">
        <f t="shared" ref="AA72" si="87">CONCATENATE("M(",Q70,")=")</f>
        <v>M(5)=</v>
      </c>
      <c r="AB72">
        <f t="shared" si="75"/>
        <v>983.07000000000016</v>
      </c>
      <c r="AD72" s="191" t="s">
        <v>168</v>
      </c>
      <c r="AE72" s="191" t="s">
        <v>168</v>
      </c>
      <c r="AF72" s="6" t="s">
        <v>172</v>
      </c>
      <c r="AG72" s="89">
        <f t="shared" ref="AG72" si="88">SUM(AG70:AG71)</f>
        <v>24.5</v>
      </c>
      <c r="AH72" s="6" t="s">
        <v>172</v>
      </c>
      <c r="AI72" s="89">
        <f t="shared" ref="AI72" si="89">SUM(AI70:AI71)</f>
        <v>36.75</v>
      </c>
      <c r="AJ72" s="84" t="str">
        <f t="shared" ref="AJ72" si="90">CONCATENATE("m'(",AD71,")=")</f>
        <v>m'(5)=</v>
      </c>
      <c r="AK72" s="84">
        <f>(2*(AK69^2)/6*AI72)+(AK71*AD70*WLS)</f>
        <v>357.21000000000004</v>
      </c>
      <c r="AL72" s="84" t="str">
        <f t="shared" ref="AL72" si="91">CONCATENATE("M(",AD70,")=")</f>
        <v>M(4)=</v>
      </c>
      <c r="AM72" s="84">
        <f>VLOOKUP(AD70,STN_TABLE,4,FALSE)</f>
        <v>625.86000000000013</v>
      </c>
      <c r="AN72" t="str">
        <f t="shared" ref="AN72" si="92">CONCATENATE("M(",AD71,")=")</f>
        <v>M(5)=</v>
      </c>
      <c r="AO72">
        <f t="shared" si="80"/>
        <v>983.07000000000016</v>
      </c>
      <c r="AQ72" s="82" t="str">
        <f>AA72</f>
        <v>M(5)=</v>
      </c>
      <c r="AR72" s="82" t="str">
        <f>IFERROR(VLOOKUP(AQ72,Rise_Results,2,FALSE),"-")</f>
        <v>-</v>
      </c>
      <c r="AS72" s="82">
        <f>IFERROR(N72,"-")</f>
        <v>983.61000000000013</v>
      </c>
      <c r="AT72" s="82">
        <f>IFERROR(IF(OR(AB71&lt;=0,AB72&lt;=0),1/0,AB72),"-")</f>
        <v>983.07000000000016</v>
      </c>
      <c r="AU72" s="82">
        <f t="shared" si="81"/>
        <v>983.07000000000016</v>
      </c>
      <c r="AV72">
        <f t="shared" si="82"/>
        <v>983.61000000000013</v>
      </c>
      <c r="BG72"/>
      <c r="BH72"/>
    </row>
    <row r="73" spans="1:60" x14ac:dyDescent="0.25">
      <c r="A73" s="84"/>
      <c r="B73" s="84"/>
      <c r="F73" s="81"/>
      <c r="H73" s="81"/>
      <c r="I73" s="84"/>
      <c r="J73" s="84"/>
      <c r="K73" s="84"/>
      <c r="L73" s="84"/>
      <c r="O73" s="99"/>
      <c r="P73" s="99"/>
      <c r="T73" s="81"/>
      <c r="V73" s="81"/>
      <c r="W73" s="84"/>
      <c r="X73" s="84"/>
      <c r="Y73" s="84"/>
      <c r="Z73" s="84"/>
      <c r="AD73" s="191" t="s">
        <v>168</v>
      </c>
      <c r="AE73" s="191" t="s">
        <v>168</v>
      </c>
      <c r="AF73" s="191" t="s">
        <v>168</v>
      </c>
      <c r="AG73" s="191" t="s">
        <v>168</v>
      </c>
      <c r="AH73" s="191" t="s">
        <v>168</v>
      </c>
      <c r="AI73" s="191" t="s">
        <v>168</v>
      </c>
      <c r="AJ73" s="191" t="s">
        <v>168</v>
      </c>
      <c r="AK73" s="191" t="s">
        <v>168</v>
      </c>
      <c r="AL73" s="191" t="s">
        <v>168</v>
      </c>
      <c r="AM73" s="191" t="s">
        <v>168</v>
      </c>
      <c r="AN73" s="191" t="s">
        <v>168</v>
      </c>
      <c r="AO73" s="191" t="s">
        <v>168</v>
      </c>
      <c r="AQ73" s="81"/>
      <c r="AR73" s="81"/>
      <c r="AS73" s="81"/>
      <c r="AT73" s="81"/>
      <c r="AU73" s="81"/>
      <c r="BG73"/>
      <c r="BH73"/>
    </row>
    <row r="74" spans="1:60" ht="18" x14ac:dyDescent="0.35">
      <c r="A74" s="101">
        <f>A68+1</f>
        <v>5</v>
      </c>
      <c r="B74" s="101">
        <f>VLOOKUP(A74,STN_TABLE_2,2,FALSE)</f>
        <v>2</v>
      </c>
      <c r="C74" t="s">
        <v>0</v>
      </c>
      <c r="D74" t="s">
        <v>95</v>
      </c>
      <c r="E74" t="s">
        <v>164</v>
      </c>
      <c r="F74" t="s">
        <v>165</v>
      </c>
      <c r="G74" t="s">
        <v>13</v>
      </c>
      <c r="H74" t="s">
        <v>169</v>
      </c>
      <c r="I74" s="191" t="s">
        <v>168</v>
      </c>
      <c r="J74" s="191" t="s">
        <v>168</v>
      </c>
      <c r="K74" s="191" t="s">
        <v>168</v>
      </c>
      <c r="L74" s="191" t="s">
        <v>168</v>
      </c>
      <c r="M74" s="191" t="s">
        <v>168</v>
      </c>
      <c r="N74" s="191" t="s">
        <v>168</v>
      </c>
      <c r="O74" s="101">
        <f>O68+1</f>
        <v>7</v>
      </c>
      <c r="P74" s="101">
        <f t="shared" ref="P74" si="93">VLOOKUP(O74,STN_TABLE_2,2,FALSE)</f>
        <v>4</v>
      </c>
      <c r="Q74" t="s">
        <v>0</v>
      </c>
      <c r="R74" t="s">
        <v>95</v>
      </c>
      <c r="S74" t="s">
        <v>164</v>
      </c>
      <c r="T74" t="s">
        <v>165</v>
      </c>
      <c r="U74" t="s">
        <v>166</v>
      </c>
      <c r="V74" t="s">
        <v>167</v>
      </c>
      <c r="W74" s="191" t="s">
        <v>168</v>
      </c>
      <c r="X74" s="191" t="s">
        <v>168</v>
      </c>
      <c r="Y74" s="191" t="s">
        <v>168</v>
      </c>
      <c r="Z74" s="191" t="s">
        <v>168</v>
      </c>
      <c r="AA74" s="191" t="s">
        <v>168</v>
      </c>
      <c r="AB74" s="191" t="s">
        <v>168</v>
      </c>
      <c r="BG74"/>
      <c r="BH74"/>
    </row>
    <row r="75" spans="1:60" ht="18" x14ac:dyDescent="0.35">
      <c r="A75" s="84">
        <f>A74+1</f>
        <v>6</v>
      </c>
      <c r="B75" s="84">
        <f>VLOOKUP(A75,STN_TABLE_2,2,FALSE)</f>
        <v>3</v>
      </c>
      <c r="C75" s="79" t="str">
        <f>IF(C76=B77,IF(C77-C76=C76-B76,B76,IF(C77-C76=C76-B75,B75,"#NA")),IF(C76=B76,IF(C77-C76=C76-B75,B75,IF(C77-C76=C76-B74,B74,"#NA")),"#NA"))</f>
        <v>#NA</v>
      </c>
      <c r="D75" s="68" t="e">
        <f>VLOOKUP(C75,STN_TABLE,2,FALSE)</f>
        <v>#N/A</v>
      </c>
      <c r="E75" s="102">
        <v>1</v>
      </c>
      <c r="F75" s="68" t="e">
        <f>D75*E75</f>
        <v>#N/A</v>
      </c>
      <c r="G75" s="69" t="str">
        <f>C75</f>
        <v>#NA</v>
      </c>
      <c r="H75" s="69" t="e">
        <f>F75*G75</f>
        <v>#N/A</v>
      </c>
      <c r="I75" s="6" t="s">
        <v>93</v>
      </c>
      <c r="J75" s="70" t="e">
        <f>IF(OR(D75=0,D76=0,D77=0),"#NA",IF(AND(C77-C76=C76-C75,C76&lt;&gt;C77,C75&lt;&gt;C76,C75&lt;&gt;C77,D77&lt;&gt;0,OR(D75&lt;&gt;0,D76&lt;&gt;0)),WLS*(C77-C76),"#NA"))</f>
        <v>#N/A</v>
      </c>
      <c r="K75" s="191" t="s">
        <v>168</v>
      </c>
      <c r="L75" s="191" t="s">
        <v>168</v>
      </c>
      <c r="M75" s="191" t="s">
        <v>168</v>
      </c>
      <c r="N75" s="191" t="s">
        <v>168</v>
      </c>
      <c r="O75" s="99">
        <f>O74+1</f>
        <v>8</v>
      </c>
      <c r="P75" s="99">
        <f t="shared" si="24"/>
        <v>5</v>
      </c>
      <c r="Q75" s="68" t="str">
        <f t="shared" ref="Q75" si="94">IF(OR(P77-P76=P76-P75,P78-P76=P76-P75),P75,IF(OR(P77-P76=P76-P74,P78-P76=P76-P74),P74,"-"))</f>
        <v>-</v>
      </c>
      <c r="R75" s="69" t="e">
        <f>VLOOKUP(Q75,STN_TABLE,2,FALSE)</f>
        <v>#N/A</v>
      </c>
      <c r="S75" s="69">
        <v>5</v>
      </c>
      <c r="T75" s="68" t="e">
        <f t="shared" ref="T75:T77" si="95">R75*S75</f>
        <v>#N/A</v>
      </c>
      <c r="U75" s="79">
        <v>3</v>
      </c>
      <c r="V75" s="68" t="e">
        <f t="shared" ref="V75:V77" si="96">R75*U75</f>
        <v>#N/A</v>
      </c>
      <c r="W75" s="6" t="s">
        <v>93</v>
      </c>
      <c r="X75" s="70" t="e">
        <f>IF(AND(Q77-Q76=Q76-Q75,NOT(AND(Q75=0,Q76=0)),NOT(AND(Q76=0,Q77=0))),WLS*(Q77-Q76),"#NA")</f>
        <v>#VALUE!</v>
      </c>
      <c r="Y75" s="191" t="s">
        <v>168</v>
      </c>
      <c r="Z75" s="191" t="s">
        <v>168</v>
      </c>
      <c r="AA75" s="191" t="s">
        <v>168</v>
      </c>
      <c r="AB75" s="191" t="s">
        <v>168</v>
      </c>
      <c r="AD75" t="s">
        <v>0</v>
      </c>
      <c r="AE75" t="s">
        <v>95</v>
      </c>
      <c r="AF75" t="s">
        <v>173</v>
      </c>
      <c r="AG75" t="s">
        <v>183</v>
      </c>
      <c r="AH75" t="s">
        <v>175</v>
      </c>
      <c r="AI75" t="s">
        <v>184</v>
      </c>
      <c r="AJ75" s="6" t="s">
        <v>93</v>
      </c>
      <c r="AK75" s="70">
        <f>WLS*(AD77-AD76)</f>
        <v>1.0999999999999994</v>
      </c>
      <c r="AL75" s="191" t="s">
        <v>168</v>
      </c>
      <c r="AM75" s="191" t="s">
        <v>168</v>
      </c>
      <c r="AN75" s="191" t="s">
        <v>168</v>
      </c>
      <c r="AO75" s="191" t="s">
        <v>168</v>
      </c>
      <c r="BG75"/>
      <c r="BH75"/>
    </row>
    <row r="76" spans="1:60" x14ac:dyDescent="0.25">
      <c r="A76" s="84">
        <f>A75+1</f>
        <v>7</v>
      </c>
      <c r="B76" s="84">
        <f>VLOOKUP(A76,STN_TABLE_2,2,FALSE)</f>
        <v>4</v>
      </c>
      <c r="C76" s="80" t="str">
        <f>IF(OR(B78-B77=B77-B76,B78-B77=B77-B75,B78-B77=B77-B74),B77,IF(OR(B78-B76=B76-B75,B78-B76=B76-B74),B76,IF(B78-B75=B75-B74,B75,"#NA")))</f>
        <v>#NA</v>
      </c>
      <c r="D76" s="76" t="e">
        <f>VLOOKUP(C76,STN_TABLE,2,FALSE)</f>
        <v>#N/A</v>
      </c>
      <c r="E76" s="81">
        <v>4</v>
      </c>
      <c r="F76" s="76" t="e">
        <f>D76*E76</f>
        <v>#N/A</v>
      </c>
      <c r="G76" s="77" t="str">
        <f>C76</f>
        <v>#NA</v>
      </c>
      <c r="H76" s="77" t="e">
        <f>F76*G76</f>
        <v>#N/A</v>
      </c>
      <c r="I76" s="201" t="s">
        <v>171</v>
      </c>
      <c r="J76" s="191" t="s">
        <v>168</v>
      </c>
      <c r="K76" s="78" t="s">
        <v>98</v>
      </c>
      <c r="L76" s="191" t="s">
        <v>168</v>
      </c>
      <c r="M76" s="7" t="s">
        <v>77</v>
      </c>
      <c r="N76" s="191" t="s">
        <v>168</v>
      </c>
      <c r="O76" s="99">
        <f>O75+1</f>
        <v>9</v>
      </c>
      <c r="P76" s="99">
        <f t="shared" ref="P76:P113" si="97">VLOOKUP(O76,STN_TABLE_2,2,FALSE)</f>
        <v>5.6111111111111107</v>
      </c>
      <c r="Q76" s="76">
        <f t="shared" ref="Q76" si="98">P76</f>
        <v>5.6111111111111107</v>
      </c>
      <c r="R76" s="77">
        <f>VLOOKUP(Q76,STN_TABLE,2,FALSE)</f>
        <v>12.25</v>
      </c>
      <c r="S76" s="77">
        <v>8</v>
      </c>
      <c r="T76" s="76">
        <f t="shared" si="95"/>
        <v>98</v>
      </c>
      <c r="U76" s="80">
        <v>10</v>
      </c>
      <c r="V76" s="76">
        <f t="shared" si="96"/>
        <v>122.5</v>
      </c>
      <c r="W76" s="201" t="s">
        <v>171</v>
      </c>
      <c r="X76" s="191" t="s">
        <v>168</v>
      </c>
      <c r="Y76" s="78" t="s">
        <v>98</v>
      </c>
      <c r="Z76" s="191" t="s">
        <v>168</v>
      </c>
      <c r="AA76" s="7" t="s">
        <v>77</v>
      </c>
      <c r="AB76" s="191" t="s">
        <v>168</v>
      </c>
      <c r="AC76" s="99">
        <f>AC70+1</f>
        <v>8</v>
      </c>
      <c r="AD76" s="95">
        <f>VLOOKUP(AC76,STN_TABLE_2,2,FALSE)</f>
        <v>5</v>
      </c>
      <c r="AE76">
        <f t="shared" ref="AE76:AE77" si="99">AG76</f>
        <v>12.25</v>
      </c>
      <c r="AF76">
        <v>1</v>
      </c>
      <c r="AG76" s="68">
        <f>VLOOKUP(AD76,STN_TABLE,2,FALSE)</f>
        <v>12.25</v>
      </c>
      <c r="AH76" s="68">
        <v>1</v>
      </c>
      <c r="AI76" s="69">
        <f t="shared" ref="AI76:AI77" si="100">AG76*AH76</f>
        <v>12.25</v>
      </c>
      <c r="AJ76" s="201" t="s">
        <v>171</v>
      </c>
      <c r="AK76" s="191" t="s">
        <v>168</v>
      </c>
      <c r="AL76" s="78" t="s">
        <v>98</v>
      </c>
      <c r="AM76" s="191" t="s">
        <v>168</v>
      </c>
      <c r="AN76" s="7" t="s">
        <v>77</v>
      </c>
      <c r="AO76" s="191" t="s">
        <v>168</v>
      </c>
      <c r="AR76" s="86" t="s">
        <v>112</v>
      </c>
      <c r="AS76" s="89" t="s">
        <v>113</v>
      </c>
      <c r="AT76" s="89" t="s">
        <v>114</v>
      </c>
      <c r="AU76" s="89" t="s">
        <v>115</v>
      </c>
      <c r="AV76" s="71" t="str">
        <f t="shared" ref="AV76" si="101">IF(AV77=AR77,AR76,IF(AV77=AS77,AS76,IF(AV77=AT77,AT76,AU76)))</f>
        <v>Trapezoid</v>
      </c>
      <c r="BG76"/>
      <c r="BH76"/>
    </row>
    <row r="77" spans="1:60" x14ac:dyDescent="0.25">
      <c r="A77" s="84">
        <f>A76+1</f>
        <v>8</v>
      </c>
      <c r="B77" s="84">
        <f>VLOOKUP(A77,STN_TABLE_2,2,FALSE)</f>
        <v>5</v>
      </c>
      <c r="C77" s="88">
        <f>B78</f>
        <v>5.6111111111111107</v>
      </c>
      <c r="D77" s="82">
        <f>VLOOKUP(C77,STN_TABLE,2,FALSE)</f>
        <v>12.25</v>
      </c>
      <c r="E77" s="92">
        <v>1</v>
      </c>
      <c r="F77" s="82">
        <f>D77*E77</f>
        <v>12.25</v>
      </c>
      <c r="G77" s="83">
        <f>C77</f>
        <v>5.6111111111111107</v>
      </c>
      <c r="H77" s="83">
        <f>F77*G77</f>
        <v>68.7361111111111</v>
      </c>
      <c r="I77" s="84" t="str">
        <f>CONCATENATE("a'(",C75,"~",C77,")=")</f>
        <v>a'(#NA~5.61111111111111)=</v>
      </c>
      <c r="J77" s="84" t="e">
        <f>2*J75/3*F78</f>
        <v>#N/A</v>
      </c>
      <c r="K77" s="84" t="str">
        <f>CONCATENATE("A(",C75,")=")</f>
        <v>A(#NA)=</v>
      </c>
      <c r="L77" s="84" t="e">
        <f>VLOOKUP(C75,STN_TABLE,3,FALSE)</f>
        <v>#N/A</v>
      </c>
      <c r="M77" t="str">
        <f>CONCATENATE("A(",C77,")=")</f>
        <v>A(5.61111111111111)=</v>
      </c>
      <c r="N77" t="e">
        <f>J77+L77</f>
        <v>#N/A</v>
      </c>
      <c r="O77" s="99">
        <f>O76+1</f>
        <v>10</v>
      </c>
      <c r="P77" s="99">
        <f t="shared" si="97"/>
        <v>6</v>
      </c>
      <c r="Q77" s="82" t="str">
        <f t="shared" ref="Q77" si="102">IF(P77-P76=P76-P75,P77,IF(P78-P76=P76-P75,P78,IF(P77-P76=P76-P74,P77,IF(P78-P76=P76-P74,P78,"-"))))</f>
        <v>-</v>
      </c>
      <c r="R77" s="83" t="e">
        <f>VLOOKUP(Q77,STN_TABLE,2,FALSE)</f>
        <v>#N/A</v>
      </c>
      <c r="S77" s="83">
        <v>-1</v>
      </c>
      <c r="T77" s="82" t="e">
        <f t="shared" si="95"/>
        <v>#N/A</v>
      </c>
      <c r="U77" s="88">
        <v>-1</v>
      </c>
      <c r="V77" s="82" t="e">
        <f t="shared" si="96"/>
        <v>#N/A</v>
      </c>
      <c r="W77" s="84" t="str">
        <f t="shared" ref="W77" si="103">CONCATENATE("a'(",Q75,"~",Q76,")=")</f>
        <v>a'(-~5.61111111111111)=</v>
      </c>
      <c r="X77" s="84" t="e">
        <f t="shared" ref="X77" si="104">2*X75/12*T78</f>
        <v>#VALUE!</v>
      </c>
      <c r="Y77" s="84" t="str">
        <f t="shared" ref="Y77" si="105">CONCATENATE("A(",Q75,")=")</f>
        <v>A(-)=</v>
      </c>
      <c r="Z77" s="84" t="e">
        <f>VLOOKUP(Q75,STN_TABLE,3,FALSE)</f>
        <v>#N/A</v>
      </c>
      <c r="AA77" t="str">
        <f t="shared" ref="AA77" si="106">CONCATENATE("A(",Q76,")=")</f>
        <v>A(5.61111111111111)=</v>
      </c>
      <c r="AB77" t="e">
        <f t="shared" ref="AB77:AB78" si="107">X77+Z77</f>
        <v>#VALUE!</v>
      </c>
      <c r="AC77" s="99">
        <f>AC76+1</f>
        <v>9</v>
      </c>
      <c r="AD77" s="100">
        <f>VLOOKUP(AC77,STN_TABLE_2,2,FALSE)</f>
        <v>5.6111111111111107</v>
      </c>
      <c r="AE77">
        <f t="shared" si="99"/>
        <v>12.25</v>
      </c>
      <c r="AF77">
        <v>1</v>
      </c>
      <c r="AG77" s="82">
        <f>VLOOKUP(AD77,STN_TABLE,2,FALSE)</f>
        <v>12.25</v>
      </c>
      <c r="AH77" s="82">
        <v>2</v>
      </c>
      <c r="AI77" s="83">
        <f t="shared" si="100"/>
        <v>24.5</v>
      </c>
      <c r="AJ77" s="84" t="str">
        <f t="shared" ref="AJ77" si="108">CONCATENATE("a'(",AD77,")=")</f>
        <v>a'(5.61111111111111)=</v>
      </c>
      <c r="AK77" s="84">
        <f t="shared" ref="AK77" si="109">2*AK75/2*AG78</f>
        <v>26.949999999999985</v>
      </c>
      <c r="AL77" s="84" t="str">
        <f t="shared" ref="AL77" si="110">CONCATENATE("A(",AD76,")=")</f>
        <v>A(5)=</v>
      </c>
      <c r="AM77" s="84">
        <f>VLOOKUP(AD76,STN_TABLE,3,FALSE)</f>
        <v>209.71800000000002</v>
      </c>
      <c r="AN77" t="str">
        <f t="shared" ref="AN77" si="111">CONCATENATE("A(",AD77,")=")</f>
        <v>A(5.61111111111111)=</v>
      </c>
      <c r="AO77">
        <f t="shared" ref="AO77:AO78" si="112">AK77+AM77</f>
        <v>236.66800000000001</v>
      </c>
      <c r="AQ77" s="68" t="str">
        <f>AA77</f>
        <v>A(5.61111111111111)=</v>
      </c>
      <c r="AR77" s="68" t="str">
        <f>IFERROR(VLOOKUP(AQ77,Rise_Results,2,FALSE),"-")</f>
        <v>-</v>
      </c>
      <c r="AS77" s="76" t="str">
        <f>IFERROR(N77,"-")</f>
        <v>-</v>
      </c>
      <c r="AT77" s="76" t="str">
        <f>IFERROR(IF(OR(AB77&lt;=0,AB78&lt;=0),1/0,AB77),"-")</f>
        <v>-</v>
      </c>
      <c r="AU77" s="76">
        <f t="shared" ref="AU77:AU78" si="113">AO77</f>
        <v>236.66800000000001</v>
      </c>
      <c r="AV77">
        <f t="shared" ref="AV77:AV78" si="114">IF(ISNUMBER(AR77),AR77,IF(ISNUMBER(AS77),AS77,IF(ISNUMBER(AT77),AT77,AU77)))</f>
        <v>236.66800000000001</v>
      </c>
      <c r="BG77"/>
      <c r="BH77"/>
    </row>
    <row r="78" spans="1:60" x14ac:dyDescent="0.25">
      <c r="A78" s="84">
        <f>A77+1</f>
        <v>9</v>
      </c>
      <c r="B78" s="84">
        <f>VLOOKUP(A78,STN_TABLE_2,2,FALSE)</f>
        <v>5.6111111111111107</v>
      </c>
      <c r="C78" s="191" t="s">
        <v>168</v>
      </c>
      <c r="D78" s="191" t="s">
        <v>168</v>
      </c>
      <c r="E78" s="6" t="s">
        <v>172</v>
      </c>
      <c r="F78" s="89" t="e">
        <f>SUM(F75:F77)</f>
        <v>#N/A</v>
      </c>
      <c r="G78" s="6" t="s">
        <v>172</v>
      </c>
      <c r="H78" s="82" t="e">
        <f>SUM(H75:H77)</f>
        <v>#N/A</v>
      </c>
      <c r="I78" s="84" t="str">
        <f>CONCATENATE("m'(",C75,"~",C77,")=")</f>
        <v>m'(#NA~5.61111111111111)=</v>
      </c>
      <c r="J78" s="84" t="e">
        <f>2*(J75*(WLS))/3*H78</f>
        <v>#N/A</v>
      </c>
      <c r="K78" s="84" t="str">
        <f>CONCATENATE("M(",C75,")=")</f>
        <v>M(#NA)=</v>
      </c>
      <c r="L78" s="84" t="e">
        <f>VLOOKUP(C75,STN_TABLE,4,FALSE)</f>
        <v>#N/A</v>
      </c>
      <c r="M78" t="str">
        <f>CONCATENATE("M(",C77,")=")</f>
        <v>M(5.61111111111111)=</v>
      </c>
      <c r="N78" t="e">
        <f>J78+L78</f>
        <v>#N/A</v>
      </c>
      <c r="O78" s="99">
        <f>O77+1</f>
        <v>11</v>
      </c>
      <c r="P78" s="99">
        <f t="shared" si="97"/>
        <v>7</v>
      </c>
      <c r="Q78" s="191" t="s">
        <v>168</v>
      </c>
      <c r="R78" s="191" t="s">
        <v>168</v>
      </c>
      <c r="S78" s="6" t="s">
        <v>172</v>
      </c>
      <c r="T78" s="89" t="e">
        <f t="shared" ref="T78" si="115">SUM(T75:T77)</f>
        <v>#N/A</v>
      </c>
      <c r="U78" s="6" t="s">
        <v>172</v>
      </c>
      <c r="V78" s="82" t="e">
        <f t="shared" ref="V78" si="116">SUM(V75:V77)</f>
        <v>#N/A</v>
      </c>
      <c r="W78" s="84" t="str">
        <f t="shared" ref="W78" si="117">CONCATENATE("m'(",Q75,"~",Q76,")=")</f>
        <v>m'(-~5.61111111111111)=</v>
      </c>
      <c r="X78" s="84" t="e">
        <f>(2*(X75^2)/24*V78)+(X77*Q75*WLS)</f>
        <v>#VALUE!</v>
      </c>
      <c r="Y78" s="84" t="str">
        <f t="shared" ref="Y78" si="118">CONCATENATE("M(",Q75,")=")</f>
        <v>M(-)=</v>
      </c>
      <c r="Z78" s="84" t="e">
        <f>VLOOKUP(Q75,STN_TABLE,4,FALSE)</f>
        <v>#N/A</v>
      </c>
      <c r="AA78" t="str">
        <f t="shared" ref="AA78" si="119">CONCATENATE("M(",Q76,")=")</f>
        <v>M(5.61111111111111)=</v>
      </c>
      <c r="AB78" t="e">
        <f t="shared" si="107"/>
        <v>#VALUE!</v>
      </c>
      <c r="AD78" s="191" t="s">
        <v>168</v>
      </c>
      <c r="AE78" s="191" t="s">
        <v>168</v>
      </c>
      <c r="AF78" s="6" t="s">
        <v>172</v>
      </c>
      <c r="AG78" s="89">
        <f t="shared" ref="AG78" si="120">SUM(AG76:AG77)</f>
        <v>24.5</v>
      </c>
      <c r="AH78" s="6" t="s">
        <v>172</v>
      </c>
      <c r="AI78" s="89">
        <f t="shared" ref="AI78" si="121">SUM(AI76:AI77)</f>
        <v>36.75</v>
      </c>
      <c r="AJ78" s="84" t="str">
        <f t="shared" ref="AJ78" si="122">CONCATENATE("m'(",AD77,")=")</f>
        <v>m'(5.61111111111111)=</v>
      </c>
      <c r="AK78" s="84">
        <f>(2*(AK75^2)/6*AI78)+(AK77*AD76*WLS)</f>
        <v>257.37249999999983</v>
      </c>
      <c r="AL78" s="84" t="str">
        <f t="shared" ref="AL78" si="123">CONCATENATE("M(",AD76,")=")</f>
        <v>M(5)=</v>
      </c>
      <c r="AM78" s="84">
        <f>VLOOKUP(AD76,STN_TABLE,4,FALSE)</f>
        <v>983.61000000000013</v>
      </c>
      <c r="AN78" t="str">
        <f t="shared" ref="AN78" si="124">CONCATENATE("M(",AD77,")=")</f>
        <v>M(5.61111111111111)=</v>
      </c>
      <c r="AO78">
        <f t="shared" si="112"/>
        <v>1240.9825000000001</v>
      </c>
      <c r="AQ78" s="82" t="str">
        <f>AA78</f>
        <v>M(5.61111111111111)=</v>
      </c>
      <c r="AR78" s="82" t="str">
        <f>IFERROR(VLOOKUP(AQ78,Rise_Results,2,FALSE),"-")</f>
        <v>-</v>
      </c>
      <c r="AS78" s="82" t="str">
        <f>IFERROR(N78,"-")</f>
        <v>-</v>
      </c>
      <c r="AT78" s="82" t="str">
        <f>IFERROR(IF(OR(AB77&lt;=0,AB78&lt;=0),1/0,AB78),"-")</f>
        <v>-</v>
      </c>
      <c r="AU78" s="82">
        <f t="shared" si="113"/>
        <v>1240.9825000000001</v>
      </c>
      <c r="AV78">
        <f t="shared" si="114"/>
        <v>1240.9825000000001</v>
      </c>
      <c r="BG78"/>
      <c r="BH78"/>
    </row>
    <row r="79" spans="1:60" x14ac:dyDescent="0.25">
      <c r="A79" s="84"/>
      <c r="B79" s="84"/>
      <c r="F79" s="81"/>
      <c r="H79" s="81"/>
      <c r="I79" s="84"/>
      <c r="J79" s="84"/>
      <c r="K79" s="84"/>
      <c r="L79" s="84"/>
      <c r="O79" s="99"/>
      <c r="P79" s="99"/>
      <c r="T79" s="81"/>
      <c r="V79" s="81"/>
      <c r="W79" s="84"/>
      <c r="X79" s="84"/>
      <c r="Y79" s="84"/>
      <c r="Z79" s="84"/>
      <c r="AD79" s="191" t="s">
        <v>168</v>
      </c>
      <c r="AE79" s="191" t="s">
        <v>168</v>
      </c>
      <c r="AF79" s="191" t="s">
        <v>168</v>
      </c>
      <c r="AG79" s="191" t="s">
        <v>168</v>
      </c>
      <c r="AH79" s="191" t="s">
        <v>168</v>
      </c>
      <c r="AI79" s="191" t="s">
        <v>168</v>
      </c>
      <c r="AJ79" s="191" t="s">
        <v>168</v>
      </c>
      <c r="AK79" s="191" t="s">
        <v>168</v>
      </c>
      <c r="AL79" s="191" t="s">
        <v>168</v>
      </c>
      <c r="AM79" s="191" t="s">
        <v>168</v>
      </c>
      <c r="AN79" s="191" t="s">
        <v>168</v>
      </c>
      <c r="AO79" s="191" t="s">
        <v>168</v>
      </c>
      <c r="AQ79" s="81"/>
      <c r="AR79" s="81"/>
      <c r="AS79" s="81"/>
      <c r="AT79" s="81"/>
      <c r="AU79" s="81"/>
      <c r="BG79"/>
      <c r="BH79"/>
    </row>
    <row r="80" spans="1:60" ht="18" x14ac:dyDescent="0.35">
      <c r="A80" s="101">
        <f>A74+1</f>
        <v>6</v>
      </c>
      <c r="B80" s="101">
        <f>VLOOKUP(A80,STN_TABLE_2,2,FALSE)</f>
        <v>3</v>
      </c>
      <c r="C80" t="s">
        <v>0</v>
      </c>
      <c r="D80" t="s">
        <v>95</v>
      </c>
      <c r="E80" t="s">
        <v>164</v>
      </c>
      <c r="F80" t="s">
        <v>165</v>
      </c>
      <c r="G80" t="s">
        <v>13</v>
      </c>
      <c r="H80" t="s">
        <v>169</v>
      </c>
      <c r="I80" s="191" t="s">
        <v>168</v>
      </c>
      <c r="J80" s="191" t="s">
        <v>168</v>
      </c>
      <c r="K80" s="191" t="s">
        <v>168</v>
      </c>
      <c r="L80" s="191" t="s">
        <v>168</v>
      </c>
      <c r="M80" s="191" t="s">
        <v>168</v>
      </c>
      <c r="N80" s="191" t="s">
        <v>168</v>
      </c>
      <c r="O80" s="101">
        <f>O74+1</f>
        <v>8</v>
      </c>
      <c r="P80" s="101">
        <f t="shared" ref="P80" si="125">VLOOKUP(O80,STN_TABLE_2,2,FALSE)</f>
        <v>5</v>
      </c>
      <c r="Q80" t="s">
        <v>0</v>
      </c>
      <c r="R80" t="s">
        <v>95</v>
      </c>
      <c r="S80" t="s">
        <v>164</v>
      </c>
      <c r="T80" t="s">
        <v>165</v>
      </c>
      <c r="U80" t="s">
        <v>166</v>
      </c>
      <c r="V80" t="s">
        <v>167</v>
      </c>
      <c r="W80" s="191" t="s">
        <v>168</v>
      </c>
      <c r="X80" s="191" t="s">
        <v>168</v>
      </c>
      <c r="Y80" s="191" t="s">
        <v>168</v>
      </c>
      <c r="Z80" s="191" t="s">
        <v>168</v>
      </c>
      <c r="AA80" s="191" t="s">
        <v>168</v>
      </c>
      <c r="AB80" s="191" t="s">
        <v>168</v>
      </c>
      <c r="BG80"/>
      <c r="BH80"/>
    </row>
    <row r="81" spans="1:60" ht="18" x14ac:dyDescent="0.35">
      <c r="A81" s="84">
        <f>A80+1</f>
        <v>7</v>
      </c>
      <c r="B81" s="84">
        <f>VLOOKUP(A81,STN_TABLE_2,2,FALSE)</f>
        <v>4</v>
      </c>
      <c r="C81" s="79">
        <f>IF(C82=B83,IF(C83-C82=C82-B82,B82,IF(C83-C82=C82-B81,B81,"#NA")),IF(C82=B82,IF(C83-C82=C82-B81,B81,IF(C83-C82=C82-B80,B80,"#NA")),"#NA"))</f>
        <v>4</v>
      </c>
      <c r="D81" s="68">
        <f>VLOOKUP(C81,STN_TABLE,2,FALSE)</f>
        <v>12.25</v>
      </c>
      <c r="E81" s="102">
        <v>1</v>
      </c>
      <c r="F81" s="68">
        <f>D81*E81</f>
        <v>12.25</v>
      </c>
      <c r="G81" s="69">
        <f>C81</f>
        <v>4</v>
      </c>
      <c r="H81" s="69">
        <f>F81*G81</f>
        <v>49</v>
      </c>
      <c r="I81" s="6" t="s">
        <v>93</v>
      </c>
      <c r="J81" s="70">
        <f>IF(OR(D81=0,D82=0,D83=0),"#NA",IF(AND(C83-C82=C82-C81,C82&lt;&gt;C83,C81&lt;&gt;C82,C81&lt;&gt;C83,D83&lt;&gt;0,OR(D81&lt;&gt;0,D82&lt;&gt;0)),WLS*(C83-C82),"#NA"))</f>
        <v>1.8</v>
      </c>
      <c r="K81" s="191" t="s">
        <v>168</v>
      </c>
      <c r="L81" s="191" t="s">
        <v>168</v>
      </c>
      <c r="M81" s="191" t="s">
        <v>168</v>
      </c>
      <c r="N81" s="191" t="s">
        <v>168</v>
      </c>
      <c r="O81" s="99">
        <f>O80+1</f>
        <v>9</v>
      </c>
      <c r="P81" s="99">
        <f t="shared" si="97"/>
        <v>5.6111111111111107</v>
      </c>
      <c r="Q81" s="68">
        <f t="shared" ref="Q81" si="126">IF(OR(P83-P82=P82-P81,P84-P82=P82-P81),P81,IF(OR(P83-P82=P82-P80,P84-P82=P82-P80),P80,"-"))</f>
        <v>5</v>
      </c>
      <c r="R81" s="69">
        <f>VLOOKUP(Q81,STN_TABLE,2,FALSE)</f>
        <v>12.25</v>
      </c>
      <c r="S81" s="69">
        <v>5</v>
      </c>
      <c r="T81" s="68">
        <f t="shared" ref="T81:T83" si="127">R81*S81</f>
        <v>61.25</v>
      </c>
      <c r="U81" s="79">
        <v>3</v>
      </c>
      <c r="V81" s="68">
        <f t="shared" ref="V81:V83" si="128">R81*U81</f>
        <v>36.75</v>
      </c>
      <c r="W81" s="6" t="s">
        <v>93</v>
      </c>
      <c r="X81" s="70">
        <f>IF(AND(Q83-Q82=Q82-Q81,NOT(AND(Q81=0,Q82=0)),NOT(AND(Q82=0,Q83=0))),WLS*(Q83-Q82),"#NA")</f>
        <v>1.8</v>
      </c>
      <c r="Y81" s="191" t="s">
        <v>168</v>
      </c>
      <c r="Z81" s="191" t="s">
        <v>168</v>
      </c>
      <c r="AA81" s="191" t="s">
        <v>168</v>
      </c>
      <c r="AB81" s="191" t="s">
        <v>168</v>
      </c>
      <c r="AD81" t="s">
        <v>0</v>
      </c>
      <c r="AE81" t="s">
        <v>95</v>
      </c>
      <c r="AF81" t="s">
        <v>173</v>
      </c>
      <c r="AG81" t="s">
        <v>183</v>
      </c>
      <c r="AH81" t="s">
        <v>175</v>
      </c>
      <c r="AI81" t="s">
        <v>184</v>
      </c>
      <c r="AJ81" s="6" t="s">
        <v>93</v>
      </c>
      <c r="AK81" s="70">
        <f>WLS*(AD83-AD82)</f>
        <v>0.70000000000000073</v>
      </c>
      <c r="AL81" s="191" t="s">
        <v>168</v>
      </c>
      <c r="AM81" s="191" t="s">
        <v>168</v>
      </c>
      <c r="AN81" s="191" t="s">
        <v>168</v>
      </c>
      <c r="AO81" s="191" t="s">
        <v>168</v>
      </c>
      <c r="BG81"/>
      <c r="BH81"/>
    </row>
    <row r="82" spans="1:60" x14ac:dyDescent="0.25">
      <c r="A82" s="84">
        <f>A81+1</f>
        <v>8</v>
      </c>
      <c r="B82" s="84">
        <f>VLOOKUP(A82,STN_TABLE_2,2,FALSE)</f>
        <v>5</v>
      </c>
      <c r="C82" s="80">
        <f>IF(OR(B84-B83=B83-B82,B84-B83=B83-B81,B84-B83=B83-B80),B83,IF(OR(B84-B82=B82-B81,B84-B82=B82-B80),B82,IF(B84-B81=B81-B80,B81,"#NA")))</f>
        <v>5</v>
      </c>
      <c r="D82" s="76">
        <f>VLOOKUP(C82,STN_TABLE,2,FALSE)</f>
        <v>12.25</v>
      </c>
      <c r="E82" s="81">
        <v>4</v>
      </c>
      <c r="F82" s="76">
        <f>D82*E82</f>
        <v>49</v>
      </c>
      <c r="G82" s="77">
        <f>C82</f>
        <v>5</v>
      </c>
      <c r="H82" s="77">
        <f>F82*G82</f>
        <v>245</v>
      </c>
      <c r="I82" s="201" t="s">
        <v>171</v>
      </c>
      <c r="J82" s="191" t="s">
        <v>168</v>
      </c>
      <c r="K82" s="78" t="s">
        <v>98</v>
      </c>
      <c r="L82" s="191" t="s">
        <v>168</v>
      </c>
      <c r="M82" s="7" t="s">
        <v>77</v>
      </c>
      <c r="N82" s="191" t="s">
        <v>168</v>
      </c>
      <c r="O82" s="99">
        <f>O81+1</f>
        <v>10</v>
      </c>
      <c r="P82" s="99">
        <f t="shared" si="97"/>
        <v>6</v>
      </c>
      <c r="Q82" s="76">
        <f t="shared" ref="Q82" si="129">P82</f>
        <v>6</v>
      </c>
      <c r="R82" s="77">
        <f>VLOOKUP(Q82,STN_TABLE,2,FALSE)</f>
        <v>12.25</v>
      </c>
      <c r="S82" s="77">
        <v>8</v>
      </c>
      <c r="T82" s="76">
        <f t="shared" si="127"/>
        <v>98</v>
      </c>
      <c r="U82" s="80">
        <v>10</v>
      </c>
      <c r="V82" s="76">
        <f t="shared" si="128"/>
        <v>122.5</v>
      </c>
      <c r="W82" s="201" t="s">
        <v>171</v>
      </c>
      <c r="X82" s="191" t="s">
        <v>168</v>
      </c>
      <c r="Y82" s="78" t="s">
        <v>98</v>
      </c>
      <c r="Z82" s="191" t="s">
        <v>168</v>
      </c>
      <c r="AA82" s="7" t="s">
        <v>77</v>
      </c>
      <c r="AB82" s="191" t="s">
        <v>168</v>
      </c>
      <c r="AC82" s="99">
        <f>AC76+1</f>
        <v>9</v>
      </c>
      <c r="AD82" s="95">
        <f>VLOOKUP(AC82,STN_TABLE_2,2,FALSE)</f>
        <v>5.6111111111111107</v>
      </c>
      <c r="AE82">
        <f t="shared" ref="AE82:AE83" si="130">AG82</f>
        <v>12.25</v>
      </c>
      <c r="AF82">
        <v>1</v>
      </c>
      <c r="AG82" s="68">
        <f>VLOOKUP(AD82,STN_TABLE,2,FALSE)</f>
        <v>12.25</v>
      </c>
      <c r="AH82" s="68">
        <v>1</v>
      </c>
      <c r="AI82" s="69">
        <f t="shared" ref="AI82:AI83" si="131">AG82*AH82</f>
        <v>12.25</v>
      </c>
      <c r="AJ82" s="201" t="s">
        <v>171</v>
      </c>
      <c r="AK82" s="191" t="s">
        <v>168</v>
      </c>
      <c r="AL82" s="78" t="s">
        <v>98</v>
      </c>
      <c r="AM82" s="191" t="s">
        <v>168</v>
      </c>
      <c r="AN82" s="7" t="s">
        <v>77</v>
      </c>
      <c r="AO82" s="191" t="s">
        <v>168</v>
      </c>
      <c r="AR82" s="86" t="s">
        <v>112</v>
      </c>
      <c r="AS82" s="89" t="s">
        <v>113</v>
      </c>
      <c r="AT82" s="89" t="s">
        <v>114</v>
      </c>
      <c r="AU82" s="89" t="s">
        <v>115</v>
      </c>
      <c r="AV82" s="71" t="str">
        <f t="shared" ref="AV82" si="132">IF(AV83=AR83,AR82,IF(AV83=AS83,AS82,IF(AV83=AT83,AT82,AU82)))</f>
        <v>1,4,1 rule</v>
      </c>
      <c r="BG82"/>
      <c r="BH82"/>
    </row>
    <row r="83" spans="1:60" x14ac:dyDescent="0.25">
      <c r="A83" s="84">
        <f>A82+1</f>
        <v>9</v>
      </c>
      <c r="B83" s="84">
        <f>VLOOKUP(A83,STN_TABLE_2,2,FALSE)</f>
        <v>5.6111111111111107</v>
      </c>
      <c r="C83" s="88">
        <f>B84</f>
        <v>6</v>
      </c>
      <c r="D83" s="82">
        <f>VLOOKUP(C83,STN_TABLE,2,FALSE)</f>
        <v>12.25</v>
      </c>
      <c r="E83" s="92">
        <v>1</v>
      </c>
      <c r="F83" s="82">
        <f>D83*E83</f>
        <v>12.25</v>
      </c>
      <c r="G83" s="83">
        <f>C83</f>
        <v>6</v>
      </c>
      <c r="H83" s="83">
        <f>F83*G83</f>
        <v>73.5</v>
      </c>
      <c r="I83" s="84" t="str">
        <f>CONCATENATE("a'(",C81,"~",C83,")=")</f>
        <v>a'(4~6)=</v>
      </c>
      <c r="J83" s="84">
        <f>2*J81/3*F84</f>
        <v>88.2</v>
      </c>
      <c r="K83" s="84" t="str">
        <f>CONCATENATE("A(",C81,")=")</f>
        <v>A(4)=</v>
      </c>
      <c r="L83" s="84">
        <f>VLOOKUP(C81,STN_TABLE,3,FALSE)</f>
        <v>165.52800000000002</v>
      </c>
      <c r="M83" t="str">
        <f>CONCATENATE("A(",C83,")=")</f>
        <v>A(6)=</v>
      </c>
      <c r="N83">
        <f>J83+L83</f>
        <v>253.72800000000001</v>
      </c>
      <c r="O83" s="99">
        <f>O82+1</f>
        <v>11</v>
      </c>
      <c r="P83" s="99">
        <f t="shared" si="97"/>
        <v>7</v>
      </c>
      <c r="Q83" s="82">
        <f t="shared" ref="Q83" si="133">IF(P83-P82=P82-P81,P83,IF(P84-P82=P82-P81,P84,IF(P83-P82=P82-P80,P83,IF(P84-P82=P82-P80,P84,"-"))))</f>
        <v>7</v>
      </c>
      <c r="R83" s="83">
        <f>VLOOKUP(Q83,STN_TABLE,2,FALSE)</f>
        <v>12.25</v>
      </c>
      <c r="S83" s="83">
        <v>-1</v>
      </c>
      <c r="T83" s="82">
        <f t="shared" si="127"/>
        <v>-12.25</v>
      </c>
      <c r="U83" s="88">
        <v>-1</v>
      </c>
      <c r="V83" s="82">
        <f t="shared" si="128"/>
        <v>-12.25</v>
      </c>
      <c r="W83" s="84" t="str">
        <f t="shared" ref="W83" si="134">CONCATENATE("a'(",Q81,"~",Q82,")=")</f>
        <v>a'(5~6)=</v>
      </c>
      <c r="X83" s="84">
        <f t="shared" ref="X83" si="135">2*X81/12*T84</f>
        <v>44.1</v>
      </c>
      <c r="Y83" s="84" t="str">
        <f t="shared" ref="Y83" si="136">CONCATENATE("A(",Q81,")=")</f>
        <v>A(5)=</v>
      </c>
      <c r="Z83" s="84">
        <f>VLOOKUP(Q81,STN_TABLE,3,FALSE)</f>
        <v>209.71800000000002</v>
      </c>
      <c r="AA83" t="str">
        <f t="shared" ref="AA83" si="137">CONCATENATE("A(",Q82,")=")</f>
        <v>A(6)=</v>
      </c>
      <c r="AB83">
        <f t="shared" ref="AB83:AB84" si="138">X83+Z83</f>
        <v>253.81800000000001</v>
      </c>
      <c r="AC83" s="99">
        <f>AC82+1</f>
        <v>10</v>
      </c>
      <c r="AD83" s="100">
        <f>VLOOKUP(AC83,STN_TABLE_2,2,FALSE)</f>
        <v>6</v>
      </c>
      <c r="AE83">
        <f t="shared" si="130"/>
        <v>12.25</v>
      </c>
      <c r="AF83">
        <v>1</v>
      </c>
      <c r="AG83" s="82">
        <f>VLOOKUP(AD83,STN_TABLE,2,FALSE)</f>
        <v>12.25</v>
      </c>
      <c r="AH83" s="82">
        <v>2</v>
      </c>
      <c r="AI83" s="83">
        <f t="shared" si="131"/>
        <v>24.5</v>
      </c>
      <c r="AJ83" s="84" t="str">
        <f t="shared" ref="AJ83" si="139">CONCATENATE("a'(",AD83,")=")</f>
        <v>a'(6)=</v>
      </c>
      <c r="AK83" s="84">
        <f t="shared" ref="AK83" si="140">2*AK81/2*AG84</f>
        <v>17.150000000000016</v>
      </c>
      <c r="AL83" s="84" t="str">
        <f t="shared" ref="AL83" si="141">CONCATENATE("A(",AD82,")=")</f>
        <v>A(5.61111111111111)=</v>
      </c>
      <c r="AM83" s="84">
        <f>VLOOKUP(AD82,STN_TABLE,3,FALSE)</f>
        <v>236.66800000000001</v>
      </c>
      <c r="AN83" t="str">
        <f t="shared" ref="AN83" si="142">CONCATENATE("A(",AD83,")=")</f>
        <v>A(6)=</v>
      </c>
      <c r="AO83">
        <f t="shared" ref="AO83:AO84" si="143">AK83+AM83</f>
        <v>253.81800000000001</v>
      </c>
      <c r="AQ83" s="68" t="str">
        <f>AA83</f>
        <v>A(6)=</v>
      </c>
      <c r="AR83" s="68" t="str">
        <f>IFERROR(VLOOKUP(AQ83,Rise_Results,2,FALSE),"-")</f>
        <v>-</v>
      </c>
      <c r="AS83" s="76">
        <f>IFERROR(N83,"-")</f>
        <v>253.72800000000001</v>
      </c>
      <c r="AT83" s="76">
        <f>IFERROR(IF(OR(AB83&lt;=0,AB84&lt;=0),1/0,AB83),"-")</f>
        <v>253.81800000000001</v>
      </c>
      <c r="AU83" s="76">
        <f t="shared" ref="AU83:AU84" si="144">AO83</f>
        <v>253.81800000000001</v>
      </c>
      <c r="AV83">
        <f t="shared" ref="AV83:AV84" si="145">IF(ISNUMBER(AR83),AR83,IF(ISNUMBER(AS83),AS83,IF(ISNUMBER(AT83),AT83,AU83)))</f>
        <v>253.72800000000001</v>
      </c>
      <c r="BG83"/>
      <c r="BH83"/>
    </row>
    <row r="84" spans="1:60" x14ac:dyDescent="0.25">
      <c r="A84" s="84">
        <f>A83+1</f>
        <v>10</v>
      </c>
      <c r="B84" s="84">
        <f>VLOOKUP(A84,STN_TABLE_2,2,FALSE)</f>
        <v>6</v>
      </c>
      <c r="C84" s="191" t="s">
        <v>168</v>
      </c>
      <c r="D84" s="191" t="s">
        <v>168</v>
      </c>
      <c r="E84" s="6" t="s">
        <v>172</v>
      </c>
      <c r="F84" s="89">
        <f>SUM(F81:F83)</f>
        <v>73.5</v>
      </c>
      <c r="G84" s="6" t="s">
        <v>172</v>
      </c>
      <c r="H84" s="82">
        <f>SUM(H81:H83)</f>
        <v>367.5</v>
      </c>
      <c r="I84" s="84" t="str">
        <f>CONCATENATE("m'(",C81,"~",C83,")=")</f>
        <v>m'(4~6)=</v>
      </c>
      <c r="J84" s="84">
        <f>2*(J81*(WLS))/3*H84</f>
        <v>793.80000000000007</v>
      </c>
      <c r="K84" s="84" t="str">
        <f>CONCATENATE("M(",C81,")=")</f>
        <v>M(4)=</v>
      </c>
      <c r="L84" s="84">
        <f>VLOOKUP(C81,STN_TABLE,4,FALSE)</f>
        <v>625.86000000000013</v>
      </c>
      <c r="M84" t="str">
        <f>CONCATENATE("M(",C83,")=")</f>
        <v>M(6)=</v>
      </c>
      <c r="N84">
        <f>J84+L84</f>
        <v>1419.6600000000003</v>
      </c>
      <c r="O84" s="99">
        <f>O83+1</f>
        <v>12</v>
      </c>
      <c r="P84" s="99">
        <f t="shared" si="97"/>
        <v>7.8833333333333329</v>
      </c>
      <c r="Q84" s="191" t="s">
        <v>168</v>
      </c>
      <c r="R84" s="191" t="s">
        <v>168</v>
      </c>
      <c r="S84" s="6" t="s">
        <v>172</v>
      </c>
      <c r="T84" s="89">
        <f t="shared" ref="T84:T144" si="146">SUM(T81:T83)</f>
        <v>147</v>
      </c>
      <c r="U84" s="6" t="s">
        <v>172</v>
      </c>
      <c r="V84" s="82">
        <f t="shared" ref="V84:V144" si="147">SUM(V81:V83)</f>
        <v>147</v>
      </c>
      <c r="W84" s="84" t="str">
        <f t="shared" ref="W84" si="148">CONCATENATE("m'(",Q81,"~",Q82,")=")</f>
        <v>m'(5~6)=</v>
      </c>
      <c r="X84" s="84">
        <f>(2*(X81^2)/24*V84)+(X83*Q81*WLS)</f>
        <v>436.59000000000003</v>
      </c>
      <c r="Y84" s="84" t="str">
        <f t="shared" ref="Y84" si="149">CONCATENATE("M(",Q81,")=")</f>
        <v>M(5)=</v>
      </c>
      <c r="Z84" s="84">
        <f>VLOOKUP(Q81,STN_TABLE,4,FALSE)</f>
        <v>983.61000000000013</v>
      </c>
      <c r="AA84" t="str">
        <f t="shared" ref="AA84" si="150">CONCATENATE("M(",Q82,")=")</f>
        <v>M(6)=</v>
      </c>
      <c r="AB84">
        <f t="shared" si="138"/>
        <v>1420.2000000000003</v>
      </c>
      <c r="AD84" s="191" t="s">
        <v>168</v>
      </c>
      <c r="AE84" s="191" t="s">
        <v>168</v>
      </c>
      <c r="AF84" s="6" t="s">
        <v>172</v>
      </c>
      <c r="AG84" s="89">
        <f t="shared" ref="AG84:AG144" si="151">SUM(AG82:AG83)</f>
        <v>24.5</v>
      </c>
      <c r="AH84" s="6" t="s">
        <v>172</v>
      </c>
      <c r="AI84" s="89">
        <f t="shared" ref="AI84:AI144" si="152">SUM(AI82:AI83)</f>
        <v>36.75</v>
      </c>
      <c r="AJ84" s="84" t="str">
        <f t="shared" ref="AJ84" si="153">CONCATENATE("m'(",AD83,")=")</f>
        <v>m'(6)=</v>
      </c>
      <c r="AK84" s="84">
        <f>(2*(AK81^2)/6*AI84)+(AK83*AD82*WLS)</f>
        <v>179.21750000000017</v>
      </c>
      <c r="AL84" s="84" t="str">
        <f t="shared" ref="AL84" si="154">CONCATENATE("M(",AD82,")=")</f>
        <v>M(5.61111111111111)=</v>
      </c>
      <c r="AM84" s="84">
        <f>VLOOKUP(AD82,STN_TABLE,4,FALSE)</f>
        <v>1240.9825000000001</v>
      </c>
      <c r="AN84" t="str">
        <f t="shared" ref="AN84" si="155">CONCATENATE("M(",AD83,")=")</f>
        <v>M(6)=</v>
      </c>
      <c r="AO84">
        <f t="shared" si="143"/>
        <v>1420.2000000000003</v>
      </c>
      <c r="AQ84" s="82" t="str">
        <f>AA84</f>
        <v>M(6)=</v>
      </c>
      <c r="AR84" s="82" t="str">
        <f>IFERROR(VLOOKUP(AQ84,Rise_Results,2,FALSE),"-")</f>
        <v>-</v>
      </c>
      <c r="AS84" s="82">
        <f>IFERROR(N84,"-")</f>
        <v>1419.6600000000003</v>
      </c>
      <c r="AT84" s="82">
        <f>IFERROR(IF(OR(AB83&lt;=0,AB84&lt;=0),1/0,AB84),"-")</f>
        <v>1420.2000000000003</v>
      </c>
      <c r="AU84" s="82">
        <f t="shared" si="144"/>
        <v>1420.2000000000003</v>
      </c>
      <c r="AV84">
        <f t="shared" si="145"/>
        <v>1419.6600000000003</v>
      </c>
      <c r="BG84"/>
      <c r="BH84"/>
    </row>
    <row r="85" spans="1:60" x14ac:dyDescent="0.25">
      <c r="A85" s="84"/>
      <c r="B85" s="84"/>
      <c r="F85" s="81"/>
      <c r="H85" s="81"/>
      <c r="I85" s="84"/>
      <c r="J85" s="84"/>
      <c r="K85" s="84"/>
      <c r="L85" s="84"/>
      <c r="O85" s="99"/>
      <c r="P85" s="99"/>
      <c r="T85" s="81"/>
      <c r="V85" s="81"/>
      <c r="W85" s="84"/>
      <c r="X85" s="84"/>
      <c r="Y85" s="84"/>
      <c r="Z85" s="84"/>
      <c r="AD85" s="191" t="s">
        <v>168</v>
      </c>
      <c r="AE85" s="191" t="s">
        <v>168</v>
      </c>
      <c r="AF85" s="191" t="s">
        <v>168</v>
      </c>
      <c r="AG85" s="191" t="s">
        <v>168</v>
      </c>
      <c r="AH85" s="191" t="s">
        <v>168</v>
      </c>
      <c r="AI85" s="191" t="s">
        <v>168</v>
      </c>
      <c r="AJ85" s="191" t="s">
        <v>168</v>
      </c>
      <c r="AK85" s="191" t="s">
        <v>168</v>
      </c>
      <c r="AL85" s="191" t="s">
        <v>168</v>
      </c>
      <c r="AM85" s="191" t="s">
        <v>168</v>
      </c>
      <c r="AN85" s="191" t="s">
        <v>168</v>
      </c>
      <c r="AO85" s="191" t="s">
        <v>168</v>
      </c>
      <c r="AQ85" s="81"/>
      <c r="AR85" s="81"/>
      <c r="AS85" s="81"/>
      <c r="AT85" s="81"/>
      <c r="AU85" s="81"/>
      <c r="BG85"/>
      <c r="BH85"/>
    </row>
    <row r="86" spans="1:60" ht="18" x14ac:dyDescent="0.35">
      <c r="A86" s="101">
        <f>A80+1</f>
        <v>7</v>
      </c>
      <c r="B86" s="101">
        <f>VLOOKUP(A86,STN_TABLE_2,2,FALSE)</f>
        <v>4</v>
      </c>
      <c r="C86" t="s">
        <v>0</v>
      </c>
      <c r="D86" t="s">
        <v>95</v>
      </c>
      <c r="E86" t="s">
        <v>164</v>
      </c>
      <c r="F86" t="s">
        <v>165</v>
      </c>
      <c r="G86" t="s">
        <v>13</v>
      </c>
      <c r="H86" t="s">
        <v>169</v>
      </c>
      <c r="I86" s="191" t="s">
        <v>168</v>
      </c>
      <c r="J86" s="191" t="s">
        <v>168</v>
      </c>
      <c r="K86" s="191" t="s">
        <v>168</v>
      </c>
      <c r="L86" s="191" t="s">
        <v>168</v>
      </c>
      <c r="M86" s="191" t="s">
        <v>168</v>
      </c>
      <c r="N86" s="191" t="s">
        <v>168</v>
      </c>
      <c r="O86" s="101">
        <f>O80+1</f>
        <v>9</v>
      </c>
      <c r="P86" s="101">
        <f t="shared" ref="P86" si="156">VLOOKUP(O86,STN_TABLE_2,2,FALSE)</f>
        <v>5.6111111111111107</v>
      </c>
      <c r="Q86" t="s">
        <v>0</v>
      </c>
      <c r="R86" t="s">
        <v>95</v>
      </c>
      <c r="S86" t="s">
        <v>164</v>
      </c>
      <c r="T86" t="s">
        <v>165</v>
      </c>
      <c r="U86" t="s">
        <v>166</v>
      </c>
      <c r="V86" t="s">
        <v>167</v>
      </c>
      <c r="W86" s="191" t="s">
        <v>168</v>
      </c>
      <c r="X86" s="191" t="s">
        <v>168</v>
      </c>
      <c r="Y86" s="191" t="s">
        <v>168</v>
      </c>
      <c r="Z86" s="191" t="s">
        <v>168</v>
      </c>
      <c r="AA86" s="191" t="s">
        <v>168</v>
      </c>
      <c r="AB86" s="191" t="s">
        <v>168</v>
      </c>
      <c r="BG86"/>
      <c r="BH86"/>
    </row>
    <row r="87" spans="1:60" ht="18" x14ac:dyDescent="0.35">
      <c r="A87" s="84">
        <f>A86+1</f>
        <v>8</v>
      </c>
      <c r="B87" s="84">
        <f>VLOOKUP(A87,STN_TABLE_2,2,FALSE)</f>
        <v>5</v>
      </c>
      <c r="C87" s="79">
        <f t="shared" ref="C87" si="157">IF(C88=B89,IF(C89-C88=C88-B88,B88,IF(C89-C88=C88-B87,B87,"#NA")),IF(C88=B88,IF(C89-C88=C88-B87,B87,IF(C89-C88=C88-B86,B86,"#NA")),"#NA"))</f>
        <v>5</v>
      </c>
      <c r="D87" s="68">
        <f>VLOOKUP(C87,STN_TABLE,2,FALSE)</f>
        <v>12.25</v>
      </c>
      <c r="E87" s="102">
        <v>1</v>
      </c>
      <c r="F87" s="68">
        <f t="shared" ref="F87:F89" si="158">D87*E87</f>
        <v>12.25</v>
      </c>
      <c r="G87" s="69">
        <f t="shared" ref="G87:G89" si="159">C87</f>
        <v>5</v>
      </c>
      <c r="H87" s="69">
        <f t="shared" ref="H87:H89" si="160">F87*G87</f>
        <v>61.25</v>
      </c>
      <c r="I87" s="6" t="s">
        <v>93</v>
      </c>
      <c r="J87" s="70">
        <f>IF(OR(D87=0,D88=0,D89=0),"#NA",IF(AND(C89-C88=C88-C87,C88&lt;&gt;C89,C87&lt;&gt;C88,C87&lt;&gt;C89,D89&lt;&gt;0,OR(D87&lt;&gt;0,D88&lt;&gt;0)),WLS*(C89-C88),"#NA"))</f>
        <v>1.8</v>
      </c>
      <c r="K87" s="191" t="s">
        <v>168</v>
      </c>
      <c r="L87" s="191" t="s">
        <v>168</v>
      </c>
      <c r="M87" s="191" t="s">
        <v>168</v>
      </c>
      <c r="N87" s="191" t="s">
        <v>168</v>
      </c>
      <c r="O87" s="99">
        <f>O86+1</f>
        <v>10</v>
      </c>
      <c r="P87" s="99">
        <f t="shared" si="97"/>
        <v>6</v>
      </c>
      <c r="Q87" s="68" t="e">
        <f t="shared" ref="Q87" si="161">IF(OR(P89-P88=P88-P87,P90-P88=P88-P87),P87,IF(OR(P89-P88=P88-P86,P90-P88=P88-P86),P86,"-"))</f>
        <v>#VALUE!</v>
      </c>
      <c r="R87" s="69" t="e">
        <f>VLOOKUP(Q87,STN_TABLE,2,FALSE)</f>
        <v>#VALUE!</v>
      </c>
      <c r="S87" s="69">
        <v>5</v>
      </c>
      <c r="T87" s="68" t="e">
        <f t="shared" ref="T87:T89" si="162">R87*S87</f>
        <v>#VALUE!</v>
      </c>
      <c r="U87" s="79">
        <v>3</v>
      </c>
      <c r="V87" s="68" t="e">
        <f t="shared" ref="V87:V89" si="163">R87*U87</f>
        <v>#VALUE!</v>
      </c>
      <c r="W87" s="6" t="s">
        <v>93</v>
      </c>
      <c r="X87" s="70" t="e">
        <f>IF(AND(Q89-Q88=Q88-Q87,NOT(AND(Q87=0,Q88=0)),NOT(AND(Q88=0,Q89=0))),WLS*(Q89-Q88),"#NA")</f>
        <v>#VALUE!</v>
      </c>
      <c r="Y87" s="191" t="s">
        <v>168</v>
      </c>
      <c r="Z87" s="191" t="s">
        <v>168</v>
      </c>
      <c r="AA87" s="191" t="s">
        <v>168</v>
      </c>
      <c r="AB87" s="191" t="s">
        <v>168</v>
      </c>
      <c r="AD87" t="s">
        <v>0</v>
      </c>
      <c r="AE87" t="s">
        <v>95</v>
      </c>
      <c r="AF87" t="s">
        <v>173</v>
      </c>
      <c r="AG87" t="s">
        <v>183</v>
      </c>
      <c r="AH87" t="s">
        <v>175</v>
      </c>
      <c r="AI87" t="s">
        <v>184</v>
      </c>
      <c r="AJ87" s="6" t="s">
        <v>93</v>
      </c>
      <c r="AK87" s="70">
        <f>WLS*(AD89-AD88)</f>
        <v>1.8</v>
      </c>
      <c r="AL87" s="191" t="s">
        <v>168</v>
      </c>
      <c r="AM87" s="191" t="s">
        <v>168</v>
      </c>
      <c r="AN87" s="191" t="s">
        <v>168</v>
      </c>
      <c r="AO87" s="191" t="s">
        <v>168</v>
      </c>
      <c r="BG87"/>
      <c r="BH87"/>
    </row>
    <row r="88" spans="1:60" x14ac:dyDescent="0.25">
      <c r="A88" s="84">
        <f>A87+1</f>
        <v>9</v>
      </c>
      <c r="B88" s="84">
        <f>VLOOKUP(A88,STN_TABLE_2,2,FALSE)</f>
        <v>5.6111111111111107</v>
      </c>
      <c r="C88" s="80">
        <f t="shared" ref="C88" si="164">IF(OR(B90-B89=B89-B88,B90-B89=B89-B87,B90-B89=B89-B86),B89,IF(OR(B90-B88=B88-B87,B90-B88=B88-B86),B88,IF(B90-B87=B87-B86,B87,"#NA")))</f>
        <v>6</v>
      </c>
      <c r="D88" s="76">
        <f>VLOOKUP(C88,STN_TABLE,2,FALSE)</f>
        <v>12.25</v>
      </c>
      <c r="E88" s="81">
        <v>4</v>
      </c>
      <c r="F88" s="76">
        <f t="shared" si="158"/>
        <v>49</v>
      </c>
      <c r="G88" s="77">
        <f t="shared" si="159"/>
        <v>6</v>
      </c>
      <c r="H88" s="77">
        <f t="shared" si="160"/>
        <v>294</v>
      </c>
      <c r="I88" s="201" t="s">
        <v>171</v>
      </c>
      <c r="J88" s="191" t="s">
        <v>168</v>
      </c>
      <c r="K88" s="78" t="s">
        <v>98</v>
      </c>
      <c r="L88" s="191" t="s">
        <v>168</v>
      </c>
      <c r="M88" s="7" t="s">
        <v>77</v>
      </c>
      <c r="N88" s="191" t="s">
        <v>168</v>
      </c>
      <c r="O88" s="99">
        <f>O87+1</f>
        <v>11</v>
      </c>
      <c r="P88" s="99">
        <f t="shared" si="97"/>
        <v>7</v>
      </c>
      <c r="Q88" s="76">
        <f t="shared" ref="Q88" si="165">P88</f>
        <v>7</v>
      </c>
      <c r="R88" s="77">
        <f>VLOOKUP(Q88,STN_TABLE,2,FALSE)</f>
        <v>12.25</v>
      </c>
      <c r="S88" s="77">
        <v>8</v>
      </c>
      <c r="T88" s="76">
        <f t="shared" si="162"/>
        <v>98</v>
      </c>
      <c r="U88" s="80">
        <v>10</v>
      </c>
      <c r="V88" s="76">
        <f t="shared" si="163"/>
        <v>122.5</v>
      </c>
      <c r="W88" s="201" t="s">
        <v>171</v>
      </c>
      <c r="X88" s="191" t="s">
        <v>168</v>
      </c>
      <c r="Y88" s="78" t="s">
        <v>98</v>
      </c>
      <c r="Z88" s="191" t="s">
        <v>168</v>
      </c>
      <c r="AA88" s="7" t="s">
        <v>77</v>
      </c>
      <c r="AB88" s="191" t="s">
        <v>168</v>
      </c>
      <c r="AC88" s="99">
        <f>AC82+1</f>
        <v>10</v>
      </c>
      <c r="AD88" s="95">
        <f>VLOOKUP(AC88,STN_TABLE_2,2,FALSE)</f>
        <v>6</v>
      </c>
      <c r="AE88">
        <f t="shared" ref="AE88:AE89" si="166">AG88</f>
        <v>12.25</v>
      </c>
      <c r="AF88">
        <v>1</v>
      </c>
      <c r="AG88" s="68">
        <f>VLOOKUP(AD88,STN_TABLE,2,FALSE)</f>
        <v>12.25</v>
      </c>
      <c r="AH88" s="68">
        <v>1</v>
      </c>
      <c r="AI88" s="69">
        <f t="shared" ref="AI88:AI89" si="167">AG88*AH88</f>
        <v>12.25</v>
      </c>
      <c r="AJ88" s="201" t="s">
        <v>171</v>
      </c>
      <c r="AK88" s="191" t="s">
        <v>168</v>
      </c>
      <c r="AL88" s="78" t="s">
        <v>98</v>
      </c>
      <c r="AM88" s="191" t="s">
        <v>168</v>
      </c>
      <c r="AN88" s="7" t="s">
        <v>77</v>
      </c>
      <c r="AO88" s="191" t="s">
        <v>168</v>
      </c>
      <c r="AR88" s="86" t="s">
        <v>112</v>
      </c>
      <c r="AS88" s="89" t="s">
        <v>113</v>
      </c>
      <c r="AT88" s="89" t="s">
        <v>114</v>
      </c>
      <c r="AU88" s="89" t="s">
        <v>115</v>
      </c>
      <c r="AV88" s="71" t="str">
        <f t="shared" ref="AV88" si="168">IF(AV89=AR89,AR88,IF(AV89=AS89,AS88,IF(AV89=AT89,AT88,AU88)))</f>
        <v>1,4,1 rule</v>
      </c>
      <c r="BG88"/>
      <c r="BH88"/>
    </row>
    <row r="89" spans="1:60" x14ac:dyDescent="0.25">
      <c r="A89" s="84">
        <f>A88+1</f>
        <v>10</v>
      </c>
      <c r="B89" s="84">
        <f>VLOOKUP(A89,STN_TABLE_2,2,FALSE)</f>
        <v>6</v>
      </c>
      <c r="C89" s="88">
        <f t="shared" ref="C89" si="169">B90</f>
        <v>7</v>
      </c>
      <c r="D89" s="82">
        <f>VLOOKUP(C89,STN_TABLE,2,FALSE)</f>
        <v>12.25</v>
      </c>
      <c r="E89" s="92">
        <v>1</v>
      </c>
      <c r="F89" s="82">
        <f t="shared" si="158"/>
        <v>12.25</v>
      </c>
      <c r="G89" s="83">
        <f t="shared" si="159"/>
        <v>7</v>
      </c>
      <c r="H89" s="83">
        <f t="shared" si="160"/>
        <v>85.75</v>
      </c>
      <c r="I89" s="84" t="str">
        <f t="shared" ref="I89" si="170">CONCATENATE("a'(",C87,"~",C89,")=")</f>
        <v>a'(5~7)=</v>
      </c>
      <c r="J89" s="84">
        <f t="shared" ref="J89" si="171">2*J87/3*F90</f>
        <v>88.2</v>
      </c>
      <c r="K89" s="84" t="str">
        <f t="shared" ref="K89" si="172">CONCATENATE("A(",C87,")=")</f>
        <v>A(5)=</v>
      </c>
      <c r="L89" s="84">
        <f>VLOOKUP(C87,STN_TABLE,3,FALSE)</f>
        <v>209.71800000000002</v>
      </c>
      <c r="M89" t="str">
        <f t="shared" ref="M89" si="173">CONCATENATE("A(",C89,")=")</f>
        <v>A(7)=</v>
      </c>
      <c r="N89">
        <f t="shared" ref="N89:N90" si="174">J89+L89</f>
        <v>297.91800000000001</v>
      </c>
      <c r="O89" s="99">
        <f>O88+1</f>
        <v>12</v>
      </c>
      <c r="P89" s="99">
        <f t="shared" si="97"/>
        <v>7.8833333333333329</v>
      </c>
      <c r="Q89" s="82" t="e">
        <f t="shared" ref="Q89" si="175">IF(P89-P88=P88-P87,P89,IF(P90-P88=P88-P87,P90,IF(P89-P88=P88-P86,P89,IF(P90-P88=P88-P86,P90,"-"))))</f>
        <v>#VALUE!</v>
      </c>
      <c r="R89" s="83" t="e">
        <f>VLOOKUP(Q89,STN_TABLE,2,FALSE)</f>
        <v>#VALUE!</v>
      </c>
      <c r="S89" s="83">
        <v>-1</v>
      </c>
      <c r="T89" s="82" t="e">
        <f t="shared" si="162"/>
        <v>#VALUE!</v>
      </c>
      <c r="U89" s="88">
        <v>-1</v>
      </c>
      <c r="V89" s="82" t="e">
        <f t="shared" si="163"/>
        <v>#VALUE!</v>
      </c>
      <c r="W89" s="84" t="e">
        <f t="shared" ref="W89" si="176">CONCATENATE("a'(",Q87,"~",Q88,")=")</f>
        <v>#VALUE!</v>
      </c>
      <c r="X89" s="84" t="e">
        <f t="shared" ref="X89" si="177">2*X87/12*T90</f>
        <v>#VALUE!</v>
      </c>
      <c r="Y89" s="84" t="e">
        <f t="shared" ref="Y89" si="178">CONCATENATE("A(",Q87,")=")</f>
        <v>#VALUE!</v>
      </c>
      <c r="Z89" s="84" t="e">
        <f>VLOOKUP(Q87,STN_TABLE,3,FALSE)</f>
        <v>#VALUE!</v>
      </c>
      <c r="AA89" t="str">
        <f t="shared" ref="AA89" si="179">CONCATENATE("A(",Q88,")=")</f>
        <v>A(7)=</v>
      </c>
      <c r="AB89" t="e">
        <f t="shared" ref="AB89:AB90" si="180">X89+Z89</f>
        <v>#VALUE!</v>
      </c>
      <c r="AC89" s="99">
        <f>AC88+1</f>
        <v>11</v>
      </c>
      <c r="AD89" s="100">
        <f>VLOOKUP(AC89,STN_TABLE_2,2,FALSE)</f>
        <v>7</v>
      </c>
      <c r="AE89">
        <f t="shared" si="166"/>
        <v>12.25</v>
      </c>
      <c r="AF89">
        <v>1</v>
      </c>
      <c r="AG89" s="82">
        <f>VLOOKUP(AD89,STN_TABLE,2,FALSE)</f>
        <v>12.25</v>
      </c>
      <c r="AH89" s="82">
        <v>2</v>
      </c>
      <c r="AI89" s="83">
        <f t="shared" si="167"/>
        <v>24.5</v>
      </c>
      <c r="AJ89" s="84" t="str">
        <f t="shared" ref="AJ89" si="181">CONCATENATE("a'(",AD89,")=")</f>
        <v>a'(7)=</v>
      </c>
      <c r="AK89" s="84">
        <f t="shared" ref="AK89" si="182">2*AK87/2*AG90</f>
        <v>44.1</v>
      </c>
      <c r="AL89" s="84" t="str">
        <f t="shared" ref="AL89" si="183">CONCATENATE("A(",AD88,")=")</f>
        <v>A(6)=</v>
      </c>
      <c r="AM89" s="84">
        <f>VLOOKUP(AD88,STN_TABLE,3,FALSE)</f>
        <v>253.72800000000001</v>
      </c>
      <c r="AN89" t="str">
        <f t="shared" ref="AN89" si="184">CONCATENATE("A(",AD89,")=")</f>
        <v>A(7)=</v>
      </c>
      <c r="AO89">
        <f t="shared" ref="AO89:AO90" si="185">AK89+AM89</f>
        <v>297.82800000000003</v>
      </c>
      <c r="AQ89" s="68" t="str">
        <f>AA89</f>
        <v>A(7)=</v>
      </c>
      <c r="AR89" s="68" t="str">
        <f>IFERROR(VLOOKUP(AQ89,Rise_Results,2,FALSE),"-")</f>
        <v>-</v>
      </c>
      <c r="AS89" s="76">
        <f>IFERROR(N89,"-")</f>
        <v>297.91800000000001</v>
      </c>
      <c r="AT89" s="76" t="str">
        <f>IFERROR(IF(OR(AB89&lt;=0,AB90&lt;=0),1/0,AB89),"-")</f>
        <v>-</v>
      </c>
      <c r="AU89" s="76">
        <f t="shared" ref="AU89:AU90" si="186">AO89</f>
        <v>297.82800000000003</v>
      </c>
      <c r="AV89">
        <f t="shared" ref="AV89:AV90" si="187">IF(ISNUMBER(AR89),AR89,IF(ISNUMBER(AS89),AS89,IF(ISNUMBER(AT89),AT89,AU89)))</f>
        <v>297.91800000000001</v>
      </c>
      <c r="BG89"/>
      <c r="BH89"/>
    </row>
    <row r="90" spans="1:60" x14ac:dyDescent="0.25">
      <c r="A90" s="84">
        <f>A89+1</f>
        <v>11</v>
      </c>
      <c r="B90" s="84">
        <f>VLOOKUP(A90,STN_TABLE_2,2,FALSE)</f>
        <v>7</v>
      </c>
      <c r="C90" s="191" t="s">
        <v>168</v>
      </c>
      <c r="D90" s="191" t="s">
        <v>168</v>
      </c>
      <c r="E90" s="6" t="s">
        <v>172</v>
      </c>
      <c r="F90" s="89">
        <f t="shared" ref="F90" si="188">SUM(F87:F89)</f>
        <v>73.5</v>
      </c>
      <c r="G90" s="6" t="s">
        <v>172</v>
      </c>
      <c r="H90" s="82">
        <f t="shared" ref="H90" si="189">SUM(H87:H89)</f>
        <v>441</v>
      </c>
      <c r="I90" s="84" t="str">
        <f t="shared" ref="I90" si="190">CONCATENATE("m'(",C87,"~",C89,")=")</f>
        <v>m'(5~7)=</v>
      </c>
      <c r="J90" s="84">
        <f>2*(J87*(WLS))/3*H90</f>
        <v>952.56000000000006</v>
      </c>
      <c r="K90" s="84" t="str">
        <f t="shared" ref="K90" si="191">CONCATENATE("M(",C87,")=")</f>
        <v>M(5)=</v>
      </c>
      <c r="L90" s="84">
        <f>VLOOKUP(C87,STN_TABLE,4,FALSE)</f>
        <v>983.61000000000013</v>
      </c>
      <c r="M90" t="str">
        <f t="shared" ref="M90" si="192">CONCATENATE("M(",C89,")=")</f>
        <v>M(7)=</v>
      </c>
      <c r="N90">
        <f t="shared" si="174"/>
        <v>1936.17</v>
      </c>
      <c r="O90" s="99">
        <f>O89+1</f>
        <v>13</v>
      </c>
      <c r="P90" s="99" t="str">
        <f t="shared" si="97"/>
        <v xml:space="preserve">  </v>
      </c>
      <c r="Q90" s="191" t="s">
        <v>168</v>
      </c>
      <c r="R90" s="191" t="s">
        <v>168</v>
      </c>
      <c r="S90" s="6" t="s">
        <v>172</v>
      </c>
      <c r="T90" s="89" t="e">
        <f t="shared" si="146"/>
        <v>#VALUE!</v>
      </c>
      <c r="U90" s="6" t="s">
        <v>172</v>
      </c>
      <c r="V90" s="82" t="e">
        <f t="shared" si="147"/>
        <v>#VALUE!</v>
      </c>
      <c r="W90" s="84" t="e">
        <f t="shared" ref="W90" si="193">CONCATENATE("m'(",Q87,"~",Q88,")=")</f>
        <v>#VALUE!</v>
      </c>
      <c r="X90" s="84" t="e">
        <f>(2*(X87^2)/24*V90)+(X89*Q87*WLS)</f>
        <v>#VALUE!</v>
      </c>
      <c r="Y90" s="84" t="e">
        <f t="shared" ref="Y90" si="194">CONCATENATE("M(",Q87,")=")</f>
        <v>#VALUE!</v>
      </c>
      <c r="Z90" s="84" t="e">
        <f>VLOOKUP(Q87,STN_TABLE,4,FALSE)</f>
        <v>#VALUE!</v>
      </c>
      <c r="AA90" t="str">
        <f t="shared" ref="AA90" si="195">CONCATENATE("M(",Q88,")=")</f>
        <v>M(7)=</v>
      </c>
      <c r="AB90" t="e">
        <f t="shared" si="180"/>
        <v>#VALUE!</v>
      </c>
      <c r="AD90" s="191" t="s">
        <v>168</v>
      </c>
      <c r="AE90" s="191" t="s">
        <v>168</v>
      </c>
      <c r="AF90" s="6" t="s">
        <v>172</v>
      </c>
      <c r="AG90" s="89">
        <f t="shared" si="151"/>
        <v>24.5</v>
      </c>
      <c r="AH90" s="6" t="s">
        <v>172</v>
      </c>
      <c r="AI90" s="89">
        <f t="shared" si="152"/>
        <v>36.75</v>
      </c>
      <c r="AJ90" s="84" t="str">
        <f t="shared" ref="AJ90" si="196">CONCATENATE("m'(",AD89,")=")</f>
        <v>m'(7)=</v>
      </c>
      <c r="AK90" s="84">
        <f>(2*(AK87^2)/6*AI90)+(AK89*AD88*WLS)</f>
        <v>515.97</v>
      </c>
      <c r="AL90" s="84" t="str">
        <f t="shared" ref="AL90" si="197">CONCATENATE("M(",AD88,")=")</f>
        <v>M(6)=</v>
      </c>
      <c r="AM90" s="84">
        <f>VLOOKUP(AD88,STN_TABLE,4,FALSE)</f>
        <v>1419.6600000000003</v>
      </c>
      <c r="AN90" t="str">
        <f t="shared" ref="AN90" si="198">CONCATENATE("M(",AD89,")=")</f>
        <v>M(7)=</v>
      </c>
      <c r="AO90">
        <f t="shared" si="185"/>
        <v>1935.6300000000003</v>
      </c>
      <c r="AQ90" s="82" t="str">
        <f>AA90</f>
        <v>M(7)=</v>
      </c>
      <c r="AR90" s="82" t="str">
        <f>IFERROR(VLOOKUP(AQ90,Rise_Results,2,FALSE),"-")</f>
        <v>-</v>
      </c>
      <c r="AS90" s="82">
        <f>IFERROR(N90,"-")</f>
        <v>1936.17</v>
      </c>
      <c r="AT90" s="82" t="str">
        <f>IFERROR(IF(OR(AB89&lt;=0,AB90&lt;=0),1/0,AB90),"-")</f>
        <v>-</v>
      </c>
      <c r="AU90" s="82">
        <f t="shared" si="186"/>
        <v>1935.6300000000003</v>
      </c>
      <c r="AV90">
        <f t="shared" si="187"/>
        <v>1936.17</v>
      </c>
      <c r="BG90"/>
      <c r="BH90"/>
    </row>
    <row r="91" spans="1:60" x14ac:dyDescent="0.25">
      <c r="A91" s="84"/>
      <c r="B91" s="84"/>
      <c r="F91" s="81"/>
      <c r="H91" s="81"/>
      <c r="I91" s="84"/>
      <c r="J91" s="84"/>
      <c r="K91" s="84"/>
      <c r="L91" s="84"/>
      <c r="O91" s="99"/>
      <c r="P91" s="99"/>
      <c r="T91" s="81"/>
      <c r="V91" s="81"/>
      <c r="W91" s="84"/>
      <c r="X91" s="84"/>
      <c r="Y91" s="84"/>
      <c r="Z91" s="84"/>
      <c r="AD91" s="191" t="s">
        <v>168</v>
      </c>
      <c r="AE91" s="191" t="s">
        <v>168</v>
      </c>
      <c r="AF91" s="191" t="s">
        <v>168</v>
      </c>
      <c r="AG91" s="191" t="s">
        <v>168</v>
      </c>
      <c r="AH91" s="191" t="s">
        <v>168</v>
      </c>
      <c r="AI91" s="191" t="s">
        <v>168</v>
      </c>
      <c r="AJ91" s="191" t="s">
        <v>168</v>
      </c>
      <c r="AK91" s="191" t="s">
        <v>168</v>
      </c>
      <c r="AL91" s="191" t="s">
        <v>168</v>
      </c>
      <c r="AM91" s="191" t="s">
        <v>168</v>
      </c>
      <c r="AN91" s="191" t="s">
        <v>168</v>
      </c>
      <c r="AO91" s="191" t="s">
        <v>168</v>
      </c>
      <c r="AQ91" s="81"/>
      <c r="AR91" s="81"/>
      <c r="AS91" s="81"/>
      <c r="AT91" s="81"/>
      <c r="AU91" s="81"/>
      <c r="BG91"/>
      <c r="BH91"/>
    </row>
    <row r="92" spans="1:60" ht="18" x14ac:dyDescent="0.35">
      <c r="A92" s="101">
        <f>A86+1</f>
        <v>8</v>
      </c>
      <c r="B92" s="101">
        <f>VLOOKUP(A92,STN_TABLE_2,2,FALSE)</f>
        <v>5</v>
      </c>
      <c r="C92" t="s">
        <v>0</v>
      </c>
      <c r="D92" t="s">
        <v>95</v>
      </c>
      <c r="E92" t="s">
        <v>164</v>
      </c>
      <c r="F92" t="s">
        <v>165</v>
      </c>
      <c r="G92" t="s">
        <v>13</v>
      </c>
      <c r="H92" t="s">
        <v>169</v>
      </c>
      <c r="I92" s="191" t="s">
        <v>168</v>
      </c>
      <c r="J92" s="191" t="s">
        <v>168</v>
      </c>
      <c r="K92" s="191" t="s">
        <v>168</v>
      </c>
      <c r="L92" s="191" t="s">
        <v>168</v>
      </c>
      <c r="M92" s="191" t="s">
        <v>168</v>
      </c>
      <c r="N92" s="191" t="s">
        <v>168</v>
      </c>
      <c r="O92" s="101">
        <f>O86+1</f>
        <v>10</v>
      </c>
      <c r="P92" s="101">
        <f t="shared" ref="P92" si="199">VLOOKUP(O92,STN_TABLE_2,2,FALSE)</f>
        <v>6</v>
      </c>
      <c r="Q92" t="s">
        <v>0</v>
      </c>
      <c r="R92" t="s">
        <v>95</v>
      </c>
      <c r="S92" t="s">
        <v>164</v>
      </c>
      <c r="T92" t="s">
        <v>165</v>
      </c>
      <c r="U92" t="s">
        <v>166</v>
      </c>
      <c r="V92" t="s">
        <v>167</v>
      </c>
      <c r="W92" s="191" t="s">
        <v>168</v>
      </c>
      <c r="X92" s="191" t="s">
        <v>168</v>
      </c>
      <c r="Y92" s="191" t="s">
        <v>168</v>
      </c>
      <c r="Z92" s="191" t="s">
        <v>168</v>
      </c>
      <c r="AA92" s="191" t="s">
        <v>168</v>
      </c>
      <c r="AB92" s="191" t="s">
        <v>168</v>
      </c>
      <c r="BG92"/>
      <c r="BH92"/>
    </row>
    <row r="93" spans="1:60" ht="18" x14ac:dyDescent="0.35">
      <c r="A93" s="84">
        <f>A92+1</f>
        <v>9</v>
      </c>
      <c r="B93" s="84">
        <f>VLOOKUP(A93,STN_TABLE_2,2,FALSE)</f>
        <v>5.6111111111111107</v>
      </c>
      <c r="C93" s="79" t="str">
        <f t="shared" ref="C93" si="200">IF(C94=B95,IF(C95-C94=C94-B94,B94,IF(C95-C94=C94-B93,B93,"#NA")),IF(C94=B94,IF(C95-C94=C94-B93,B93,IF(C95-C94=C94-B92,B92,"#NA")),"#NA"))</f>
        <v>#NA</v>
      </c>
      <c r="D93" s="68" t="e">
        <f>VLOOKUP(C93,STN_TABLE,2,FALSE)</f>
        <v>#N/A</v>
      </c>
      <c r="E93" s="102">
        <v>1</v>
      </c>
      <c r="F93" s="68" t="e">
        <f t="shared" ref="F93:F95" si="201">D93*E93</f>
        <v>#N/A</v>
      </c>
      <c r="G93" s="69" t="str">
        <f t="shared" ref="G93:G95" si="202">C93</f>
        <v>#NA</v>
      </c>
      <c r="H93" s="69" t="e">
        <f t="shared" ref="H93:H95" si="203">F93*G93</f>
        <v>#N/A</v>
      </c>
      <c r="I93" s="6" t="s">
        <v>93</v>
      </c>
      <c r="J93" s="70" t="e">
        <f>IF(OR(D93=0,D94=0,D95=0),"#NA",IF(AND(C95-C94=C94-C93,C94&lt;&gt;C95,C93&lt;&gt;C94,C93&lt;&gt;C95,D95&lt;&gt;0,OR(D93&lt;&gt;0,D94&lt;&gt;0)),WLS*(C95-C94),"#NA"))</f>
        <v>#N/A</v>
      </c>
      <c r="K93" s="191" t="s">
        <v>168</v>
      </c>
      <c r="L93" s="191" t="s">
        <v>168</v>
      </c>
      <c r="M93" s="191" t="s">
        <v>168</v>
      </c>
      <c r="N93" s="191" t="s">
        <v>168</v>
      </c>
      <c r="O93" s="99">
        <f>O92+1</f>
        <v>11</v>
      </c>
      <c r="P93" s="99">
        <f t="shared" si="97"/>
        <v>7</v>
      </c>
      <c r="Q93" s="68" t="e">
        <f t="shared" ref="Q93" si="204">IF(OR(P95-P94=P94-P93,P96-P94=P94-P93),P93,IF(OR(P95-P94=P94-P92,P96-P94=P94-P92),P92,"-"))</f>
        <v>#VALUE!</v>
      </c>
      <c r="R93" s="69" t="e">
        <f>VLOOKUP(Q93,STN_TABLE,2,FALSE)</f>
        <v>#VALUE!</v>
      </c>
      <c r="S93" s="69">
        <v>5</v>
      </c>
      <c r="T93" s="68" t="e">
        <f t="shared" ref="T93:T95" si="205">R93*S93</f>
        <v>#VALUE!</v>
      </c>
      <c r="U93" s="79">
        <v>3</v>
      </c>
      <c r="V93" s="68" t="e">
        <f t="shared" ref="V93:V95" si="206">R93*U93</f>
        <v>#VALUE!</v>
      </c>
      <c r="W93" s="6" t="s">
        <v>93</v>
      </c>
      <c r="X93" s="70" t="e">
        <f>IF(AND(Q95-Q94=Q94-Q93,NOT(AND(Q93=0,Q94=0)),NOT(AND(Q94=0,Q95=0))),WLS*(Q95-Q94),"#NA")</f>
        <v>#VALUE!</v>
      </c>
      <c r="Y93" s="191" t="s">
        <v>168</v>
      </c>
      <c r="Z93" s="191" t="s">
        <v>168</v>
      </c>
      <c r="AA93" s="191" t="s">
        <v>168</v>
      </c>
      <c r="AB93" s="191" t="s">
        <v>168</v>
      </c>
      <c r="AD93" t="s">
        <v>0</v>
      </c>
      <c r="AE93" t="s">
        <v>95</v>
      </c>
      <c r="AF93" t="s">
        <v>173</v>
      </c>
      <c r="AG93" t="s">
        <v>183</v>
      </c>
      <c r="AH93" t="s">
        <v>175</v>
      </c>
      <c r="AI93" t="s">
        <v>184</v>
      </c>
      <c r="AJ93" s="6" t="s">
        <v>93</v>
      </c>
      <c r="AK93" s="70">
        <f>WLS*(AD95-AD94)</f>
        <v>1.5899999999999992</v>
      </c>
      <c r="AL93" s="191" t="s">
        <v>168</v>
      </c>
      <c r="AM93" s="191" t="s">
        <v>168</v>
      </c>
      <c r="AN93" s="191" t="s">
        <v>168</v>
      </c>
      <c r="AO93" s="191" t="s">
        <v>168</v>
      </c>
      <c r="BG93"/>
      <c r="BH93"/>
    </row>
    <row r="94" spans="1:60" x14ac:dyDescent="0.25">
      <c r="A94" s="84">
        <f>A93+1</f>
        <v>10</v>
      </c>
      <c r="B94" s="84">
        <f>VLOOKUP(A94,STN_TABLE_2,2,FALSE)</f>
        <v>6</v>
      </c>
      <c r="C94" s="80" t="str">
        <f t="shared" ref="C94" si="207">IF(OR(B96-B95=B95-B94,B96-B95=B95-B93,B96-B95=B95-B92),B95,IF(OR(B96-B94=B94-B93,B96-B94=B94-B92),B94,IF(B96-B93=B93-B92,B93,"#NA")))</f>
        <v>#NA</v>
      </c>
      <c r="D94" s="76" t="e">
        <f>VLOOKUP(C94,STN_TABLE,2,FALSE)</f>
        <v>#N/A</v>
      </c>
      <c r="E94" s="81">
        <v>4</v>
      </c>
      <c r="F94" s="76" t="e">
        <f t="shared" si="201"/>
        <v>#N/A</v>
      </c>
      <c r="G94" s="77" t="str">
        <f t="shared" si="202"/>
        <v>#NA</v>
      </c>
      <c r="H94" s="77" t="e">
        <f t="shared" si="203"/>
        <v>#N/A</v>
      </c>
      <c r="I94" s="201" t="s">
        <v>171</v>
      </c>
      <c r="J94" s="191" t="s">
        <v>168</v>
      </c>
      <c r="K94" s="78" t="s">
        <v>98</v>
      </c>
      <c r="L94" s="191" t="s">
        <v>168</v>
      </c>
      <c r="M94" s="7" t="s">
        <v>77</v>
      </c>
      <c r="N94" s="191" t="s">
        <v>168</v>
      </c>
      <c r="O94" s="99">
        <f>O93+1</f>
        <v>12</v>
      </c>
      <c r="P94" s="99">
        <f t="shared" si="97"/>
        <v>7.8833333333333329</v>
      </c>
      <c r="Q94" s="76">
        <f t="shared" ref="Q94" si="208">P94</f>
        <v>7.8833333333333329</v>
      </c>
      <c r="R94" s="77">
        <f>VLOOKUP(Q94,STN_TABLE,2,FALSE)</f>
        <v>12.25</v>
      </c>
      <c r="S94" s="77">
        <v>8</v>
      </c>
      <c r="T94" s="76">
        <f t="shared" si="205"/>
        <v>98</v>
      </c>
      <c r="U94" s="80">
        <v>10</v>
      </c>
      <c r="V94" s="76">
        <f t="shared" si="206"/>
        <v>122.5</v>
      </c>
      <c r="W94" s="201" t="s">
        <v>171</v>
      </c>
      <c r="X94" s="191" t="s">
        <v>168</v>
      </c>
      <c r="Y94" s="78" t="s">
        <v>98</v>
      </c>
      <c r="Z94" s="191" t="s">
        <v>168</v>
      </c>
      <c r="AA94" s="7" t="s">
        <v>77</v>
      </c>
      <c r="AB94" s="191" t="s">
        <v>168</v>
      </c>
      <c r="AC94" s="99">
        <f>AC88+1</f>
        <v>11</v>
      </c>
      <c r="AD94" s="95">
        <f>VLOOKUP(AC94,STN_TABLE_2,2,FALSE)</f>
        <v>7</v>
      </c>
      <c r="AE94">
        <f t="shared" ref="AE94:AE95" si="209">AG94</f>
        <v>12.25</v>
      </c>
      <c r="AF94">
        <v>1</v>
      </c>
      <c r="AG94" s="68">
        <f>VLOOKUP(AD94,STN_TABLE,2,FALSE)</f>
        <v>12.25</v>
      </c>
      <c r="AH94" s="68">
        <v>1</v>
      </c>
      <c r="AI94" s="69">
        <f t="shared" ref="AI94:AI95" si="210">AG94*AH94</f>
        <v>12.25</v>
      </c>
      <c r="AJ94" s="201" t="s">
        <v>171</v>
      </c>
      <c r="AK94" s="191" t="s">
        <v>168</v>
      </c>
      <c r="AL94" s="78" t="s">
        <v>98</v>
      </c>
      <c r="AM94" s="191" t="s">
        <v>168</v>
      </c>
      <c r="AN94" s="7" t="s">
        <v>77</v>
      </c>
      <c r="AO94" s="191" t="s">
        <v>168</v>
      </c>
      <c r="AR94" s="86" t="s">
        <v>112</v>
      </c>
      <c r="AS94" s="89" t="s">
        <v>113</v>
      </c>
      <c r="AT94" s="89" t="s">
        <v>114</v>
      </c>
      <c r="AU94" s="89" t="s">
        <v>115</v>
      </c>
      <c r="AV94" s="71" t="str">
        <f t="shared" ref="AV94" si="211">IF(AV95=AR95,AR94,IF(AV95=AS95,AS94,IF(AV95=AT95,AT94,AU94)))</f>
        <v>Trapezoid</v>
      </c>
      <c r="BG94"/>
      <c r="BH94"/>
    </row>
    <row r="95" spans="1:60" x14ac:dyDescent="0.25">
      <c r="A95" s="84">
        <f>A94+1</f>
        <v>11</v>
      </c>
      <c r="B95" s="84">
        <f>VLOOKUP(A95,STN_TABLE_2,2,FALSE)</f>
        <v>7</v>
      </c>
      <c r="C95" s="88">
        <f t="shared" ref="C95" si="212">B96</f>
        <v>7.8833333333333329</v>
      </c>
      <c r="D95" s="82">
        <f>VLOOKUP(C95,STN_TABLE,2,FALSE)</f>
        <v>12.25</v>
      </c>
      <c r="E95" s="92">
        <v>1</v>
      </c>
      <c r="F95" s="82">
        <f t="shared" si="201"/>
        <v>12.25</v>
      </c>
      <c r="G95" s="83">
        <f t="shared" si="202"/>
        <v>7.8833333333333329</v>
      </c>
      <c r="H95" s="83">
        <f t="shared" si="203"/>
        <v>96.570833333333326</v>
      </c>
      <c r="I95" s="84" t="str">
        <f t="shared" ref="I95" si="213">CONCATENATE("a'(",C93,"~",C95,")=")</f>
        <v>a'(#NA~7.88333333333333)=</v>
      </c>
      <c r="J95" s="84" t="e">
        <f t="shared" ref="J95" si="214">2*J93/3*F96</f>
        <v>#N/A</v>
      </c>
      <c r="K95" s="84" t="str">
        <f t="shared" ref="K95" si="215">CONCATENATE("A(",C93,")=")</f>
        <v>A(#NA)=</v>
      </c>
      <c r="L95" s="84" t="e">
        <f>VLOOKUP(C93,STN_TABLE,3,FALSE)</f>
        <v>#N/A</v>
      </c>
      <c r="M95" t="str">
        <f t="shared" ref="M95" si="216">CONCATENATE("A(",C95,")=")</f>
        <v>A(7.88333333333333)=</v>
      </c>
      <c r="N95" t="e">
        <f t="shared" ref="N95:N96" si="217">J95+L95</f>
        <v>#N/A</v>
      </c>
      <c r="O95" s="99">
        <f>O94+1</f>
        <v>13</v>
      </c>
      <c r="P95" s="99" t="str">
        <f t="shared" si="97"/>
        <v xml:space="preserve">  </v>
      </c>
      <c r="Q95" s="82" t="e">
        <f t="shared" ref="Q95" si="218">IF(P95-P94=P94-P93,P95,IF(P96-P94=P94-P93,P96,IF(P95-P94=P94-P92,P95,IF(P96-P94=P94-P92,P96,"-"))))</f>
        <v>#VALUE!</v>
      </c>
      <c r="R95" s="83" t="e">
        <f>VLOOKUP(Q95,STN_TABLE,2,FALSE)</f>
        <v>#VALUE!</v>
      </c>
      <c r="S95" s="83">
        <v>-1</v>
      </c>
      <c r="T95" s="82" t="e">
        <f t="shared" si="205"/>
        <v>#VALUE!</v>
      </c>
      <c r="U95" s="88">
        <v>-1</v>
      </c>
      <c r="V95" s="82" t="e">
        <f t="shared" si="206"/>
        <v>#VALUE!</v>
      </c>
      <c r="W95" s="84" t="e">
        <f t="shared" ref="W95" si="219">CONCATENATE("a'(",Q93,"~",Q94,")=")</f>
        <v>#VALUE!</v>
      </c>
      <c r="X95" s="84" t="e">
        <f t="shared" ref="X95" si="220">2*X93/12*T96</f>
        <v>#VALUE!</v>
      </c>
      <c r="Y95" s="84" t="e">
        <f t="shared" ref="Y95" si="221">CONCATENATE("A(",Q93,")=")</f>
        <v>#VALUE!</v>
      </c>
      <c r="Z95" s="84" t="e">
        <f>VLOOKUP(Q93,STN_TABLE,3,FALSE)</f>
        <v>#VALUE!</v>
      </c>
      <c r="AA95" t="str">
        <f t="shared" ref="AA95" si="222">CONCATENATE("A(",Q94,")=")</f>
        <v>A(7.88333333333333)=</v>
      </c>
      <c r="AB95" t="e">
        <f t="shared" ref="AB95:AB96" si="223">X95+Z95</f>
        <v>#VALUE!</v>
      </c>
      <c r="AC95" s="99">
        <f>AC94+1</f>
        <v>12</v>
      </c>
      <c r="AD95" s="100">
        <f>VLOOKUP(AC95,STN_TABLE_2,2,FALSE)</f>
        <v>7.8833333333333329</v>
      </c>
      <c r="AE95">
        <f t="shared" si="209"/>
        <v>12.25</v>
      </c>
      <c r="AF95">
        <v>1</v>
      </c>
      <c r="AG95" s="82">
        <f>VLOOKUP(AD95,STN_TABLE,2,FALSE)</f>
        <v>12.25</v>
      </c>
      <c r="AH95" s="82">
        <v>2</v>
      </c>
      <c r="AI95" s="83">
        <f t="shared" si="210"/>
        <v>24.5</v>
      </c>
      <c r="AJ95" s="84" t="str">
        <f t="shared" ref="AJ95" si="224">CONCATENATE("a'(",AD95,")=")</f>
        <v>a'(7.88333333333333)=</v>
      </c>
      <c r="AK95" s="84">
        <f t="shared" ref="AK95" si="225">2*AK93/2*AG96</f>
        <v>38.954999999999977</v>
      </c>
      <c r="AL95" s="84" t="str">
        <f t="shared" ref="AL95" si="226">CONCATENATE("A(",AD94,")=")</f>
        <v>A(7)=</v>
      </c>
      <c r="AM95" s="84">
        <f>VLOOKUP(AD94,STN_TABLE,3,FALSE)</f>
        <v>297.91800000000001</v>
      </c>
      <c r="AN95" t="str">
        <f t="shared" ref="AN95" si="227">CONCATENATE("A(",AD95,")=")</f>
        <v>A(7.88333333333333)=</v>
      </c>
      <c r="AO95">
        <f t="shared" ref="AO95:AO96" si="228">AK95+AM95</f>
        <v>336.87299999999999</v>
      </c>
      <c r="AQ95" s="68" t="str">
        <f>AA95</f>
        <v>A(7.88333333333333)=</v>
      </c>
      <c r="AR95" s="68" t="str">
        <f>IFERROR(VLOOKUP(AQ95,Rise_Results,2,FALSE),"-")</f>
        <v>-</v>
      </c>
      <c r="AS95" s="76" t="str">
        <f>IFERROR(N95,"-")</f>
        <v>-</v>
      </c>
      <c r="AT95" s="76" t="str">
        <f>IFERROR(IF(OR(AB95&lt;=0,AB96&lt;=0),1/0,AB95),"-")</f>
        <v>-</v>
      </c>
      <c r="AU95" s="76">
        <f t="shared" ref="AU95:AU96" si="229">AO95</f>
        <v>336.87299999999999</v>
      </c>
      <c r="AV95">
        <f t="shared" ref="AV95:AV96" si="230">IF(ISNUMBER(AR95),AR95,IF(ISNUMBER(AS95),AS95,IF(ISNUMBER(AT95),AT95,AU95)))</f>
        <v>336.87299999999999</v>
      </c>
      <c r="BG95"/>
      <c r="BH95"/>
    </row>
    <row r="96" spans="1:60" x14ac:dyDescent="0.25">
      <c r="A96" s="84">
        <f>A95+1</f>
        <v>12</v>
      </c>
      <c r="B96" s="84">
        <f>VLOOKUP(A96,STN_TABLE_2,2,FALSE)</f>
        <v>7.8833333333333329</v>
      </c>
      <c r="C96" s="191" t="s">
        <v>168</v>
      </c>
      <c r="D96" s="191" t="s">
        <v>168</v>
      </c>
      <c r="E96" s="6" t="s">
        <v>172</v>
      </c>
      <c r="F96" s="89" t="e">
        <f t="shared" ref="F96" si="231">SUM(F93:F95)</f>
        <v>#N/A</v>
      </c>
      <c r="G96" s="6" t="s">
        <v>172</v>
      </c>
      <c r="H96" s="82" t="e">
        <f t="shared" ref="H96" si="232">SUM(H93:H95)</f>
        <v>#N/A</v>
      </c>
      <c r="I96" s="84" t="str">
        <f t="shared" ref="I96" si="233">CONCATENATE("m'(",C93,"~",C95,")=")</f>
        <v>m'(#NA~7.88333333333333)=</v>
      </c>
      <c r="J96" s="84" t="e">
        <f>2*(J93*(WLS))/3*H96</f>
        <v>#N/A</v>
      </c>
      <c r="K96" s="84" t="str">
        <f t="shared" ref="K96" si="234">CONCATENATE("M(",C93,")=")</f>
        <v>M(#NA)=</v>
      </c>
      <c r="L96" s="84" t="e">
        <f>VLOOKUP(C93,STN_TABLE,4,FALSE)</f>
        <v>#N/A</v>
      </c>
      <c r="M96" t="str">
        <f t="shared" ref="M96" si="235">CONCATENATE("M(",C95,")=")</f>
        <v>M(7.88333333333333)=</v>
      </c>
      <c r="N96" t="e">
        <f t="shared" si="217"/>
        <v>#N/A</v>
      </c>
      <c r="O96" s="99">
        <f>O95+1</f>
        <v>14</v>
      </c>
      <c r="P96" s="99" t="str">
        <f t="shared" si="97"/>
        <v xml:space="preserve">  </v>
      </c>
      <c r="Q96" s="191" t="s">
        <v>168</v>
      </c>
      <c r="R96" s="191" t="s">
        <v>168</v>
      </c>
      <c r="S96" s="6" t="s">
        <v>172</v>
      </c>
      <c r="T96" s="89" t="e">
        <f t="shared" si="146"/>
        <v>#VALUE!</v>
      </c>
      <c r="U96" s="6" t="s">
        <v>172</v>
      </c>
      <c r="V96" s="82" t="e">
        <f t="shared" si="147"/>
        <v>#VALUE!</v>
      </c>
      <c r="W96" s="84" t="e">
        <f t="shared" ref="W96" si="236">CONCATENATE("m'(",Q93,"~",Q94,")=")</f>
        <v>#VALUE!</v>
      </c>
      <c r="X96" s="84" t="e">
        <f>(2*(X93^2)/24*V96)+(X95*Q93*WLS)</f>
        <v>#VALUE!</v>
      </c>
      <c r="Y96" s="84" t="e">
        <f t="shared" ref="Y96" si="237">CONCATENATE("M(",Q93,")=")</f>
        <v>#VALUE!</v>
      </c>
      <c r="Z96" s="84" t="e">
        <f>VLOOKUP(Q93,STN_TABLE,4,FALSE)</f>
        <v>#VALUE!</v>
      </c>
      <c r="AA96" t="str">
        <f t="shared" ref="AA96" si="238">CONCATENATE("M(",Q94,")=")</f>
        <v>M(7.88333333333333)=</v>
      </c>
      <c r="AB96" t="e">
        <f t="shared" si="223"/>
        <v>#VALUE!</v>
      </c>
      <c r="AD96" s="191" t="s">
        <v>168</v>
      </c>
      <c r="AE96" s="191" t="s">
        <v>168</v>
      </c>
      <c r="AF96" s="6" t="s">
        <v>172</v>
      </c>
      <c r="AG96" s="89">
        <f t="shared" si="151"/>
        <v>24.5</v>
      </c>
      <c r="AH96" s="6" t="s">
        <v>172</v>
      </c>
      <c r="AI96" s="89">
        <f t="shared" si="152"/>
        <v>36.75</v>
      </c>
      <c r="AJ96" s="84" t="str">
        <f t="shared" ref="AJ96" si="239">CONCATENATE("m'(",AD95,")=")</f>
        <v>m'(7.88333333333333)=</v>
      </c>
      <c r="AK96" s="84">
        <f>(2*(AK93^2)/6*AI96)+(AK95*AD94*WLS)</f>
        <v>521.80222499999968</v>
      </c>
      <c r="AL96" s="84" t="str">
        <f t="shared" ref="AL96" si="240">CONCATENATE("M(",AD94,")=")</f>
        <v>M(7)=</v>
      </c>
      <c r="AM96" s="84">
        <f>VLOOKUP(AD94,STN_TABLE,4,FALSE)</f>
        <v>1936.17</v>
      </c>
      <c r="AN96" t="str">
        <f t="shared" ref="AN96" si="241">CONCATENATE("M(",AD95,")=")</f>
        <v>M(7.88333333333333)=</v>
      </c>
      <c r="AO96">
        <f t="shared" si="228"/>
        <v>2457.9722249999995</v>
      </c>
      <c r="AQ96" s="82" t="str">
        <f>AA96</f>
        <v>M(7.88333333333333)=</v>
      </c>
      <c r="AR96" s="82" t="str">
        <f>IFERROR(VLOOKUP(AQ96,Rise_Results,2,FALSE),"-")</f>
        <v>-</v>
      </c>
      <c r="AS96" s="82" t="str">
        <f>IFERROR(N96,"-")</f>
        <v>-</v>
      </c>
      <c r="AT96" s="82" t="str">
        <f>IFERROR(IF(OR(AB95&lt;=0,AB96&lt;=0),1/0,AB96),"-")</f>
        <v>-</v>
      </c>
      <c r="AU96" s="82">
        <f t="shared" si="229"/>
        <v>2457.9722249999995</v>
      </c>
      <c r="AV96">
        <f t="shared" si="230"/>
        <v>2457.9722249999995</v>
      </c>
      <c r="BG96"/>
      <c r="BH96"/>
    </row>
    <row r="97" spans="1:60" x14ac:dyDescent="0.25">
      <c r="A97" s="84"/>
      <c r="B97" s="84"/>
      <c r="F97" s="81"/>
      <c r="H97" s="81"/>
      <c r="I97" s="84"/>
      <c r="J97" s="84"/>
      <c r="K97" s="84"/>
      <c r="L97" s="84"/>
      <c r="O97" s="99"/>
      <c r="P97" s="99"/>
      <c r="T97" s="81"/>
      <c r="V97" s="81"/>
      <c r="W97" s="84"/>
      <c r="X97" s="84"/>
      <c r="Y97" s="84"/>
      <c r="Z97" s="84"/>
      <c r="AD97" s="191" t="s">
        <v>168</v>
      </c>
      <c r="AE97" s="191" t="s">
        <v>168</v>
      </c>
      <c r="AF97" s="191" t="s">
        <v>168</v>
      </c>
      <c r="AG97" s="191" t="s">
        <v>168</v>
      </c>
      <c r="AH97" s="191" t="s">
        <v>168</v>
      </c>
      <c r="AI97" s="191" t="s">
        <v>168</v>
      </c>
      <c r="AJ97" s="191" t="s">
        <v>168</v>
      </c>
      <c r="AK97" s="191" t="s">
        <v>168</v>
      </c>
      <c r="AL97" s="191" t="s">
        <v>168</v>
      </c>
      <c r="AM97" s="191" t="s">
        <v>168</v>
      </c>
      <c r="AN97" s="191" t="s">
        <v>168</v>
      </c>
      <c r="AO97" s="191" t="s">
        <v>168</v>
      </c>
      <c r="AQ97" s="81"/>
      <c r="AR97" s="81"/>
      <c r="AS97" s="81"/>
      <c r="AT97" s="81"/>
      <c r="AU97" s="81"/>
      <c r="BG97"/>
      <c r="BH97"/>
    </row>
    <row r="98" spans="1:60" ht="18" x14ac:dyDescent="0.35">
      <c r="A98" s="101">
        <f>A92+1</f>
        <v>9</v>
      </c>
      <c r="B98" s="101">
        <f>VLOOKUP(A98,STN_TABLE_2,2,FALSE)</f>
        <v>5.6111111111111107</v>
      </c>
      <c r="C98" t="s">
        <v>0</v>
      </c>
      <c r="D98" t="s">
        <v>95</v>
      </c>
      <c r="E98" t="s">
        <v>164</v>
      </c>
      <c r="F98" t="s">
        <v>165</v>
      </c>
      <c r="G98" t="s">
        <v>13</v>
      </c>
      <c r="H98" t="s">
        <v>169</v>
      </c>
      <c r="I98" s="191" t="s">
        <v>168</v>
      </c>
      <c r="J98" s="191" t="s">
        <v>168</v>
      </c>
      <c r="K98" s="191" t="s">
        <v>168</v>
      </c>
      <c r="L98" s="191" t="s">
        <v>168</v>
      </c>
      <c r="M98" s="191" t="s">
        <v>168</v>
      </c>
      <c r="N98" s="191" t="s">
        <v>168</v>
      </c>
      <c r="O98" s="101">
        <f>O92+1</f>
        <v>11</v>
      </c>
      <c r="P98" s="101">
        <f t="shared" ref="P98" si="242">VLOOKUP(O98,STN_TABLE_2,2,FALSE)</f>
        <v>7</v>
      </c>
      <c r="Q98" t="s">
        <v>0</v>
      </c>
      <c r="R98" t="s">
        <v>95</v>
      </c>
      <c r="S98" t="s">
        <v>164</v>
      </c>
      <c r="T98" t="s">
        <v>165</v>
      </c>
      <c r="U98" t="s">
        <v>166</v>
      </c>
      <c r="V98" t="s">
        <v>167</v>
      </c>
      <c r="W98" s="191" t="s">
        <v>168</v>
      </c>
      <c r="X98" s="191" t="s">
        <v>168</v>
      </c>
      <c r="Y98" s="191" t="s">
        <v>168</v>
      </c>
      <c r="Z98" s="191" t="s">
        <v>168</v>
      </c>
      <c r="AA98" s="191" t="s">
        <v>168</v>
      </c>
      <c r="AB98" s="191" t="s">
        <v>168</v>
      </c>
      <c r="BG98"/>
      <c r="BH98"/>
    </row>
    <row r="99" spans="1:60" ht="18" x14ac:dyDescent="0.35">
      <c r="A99" s="84">
        <f>A98+1</f>
        <v>10</v>
      </c>
      <c r="B99" s="84">
        <f>VLOOKUP(A99,STN_TABLE_2,2,FALSE)</f>
        <v>6</v>
      </c>
      <c r="C99" s="79" t="e">
        <f t="shared" ref="C99" si="243">IF(C100=B101,IF(C101-C100=C100-B100,B100,IF(C101-C100=C100-B99,B99,"#NA")),IF(C100=B100,IF(C101-C100=C100-B99,B99,IF(C101-C100=C100-B98,B98,"#NA")),"#NA"))</f>
        <v>#VALUE!</v>
      </c>
      <c r="D99" s="68" t="e">
        <f>VLOOKUP(C99,STN_TABLE,2,FALSE)</f>
        <v>#VALUE!</v>
      </c>
      <c r="E99" s="102">
        <v>1</v>
      </c>
      <c r="F99" s="68" t="e">
        <f t="shared" ref="F99:F101" si="244">D99*E99</f>
        <v>#VALUE!</v>
      </c>
      <c r="G99" s="69" t="e">
        <f t="shared" ref="G99:G101" si="245">C99</f>
        <v>#VALUE!</v>
      </c>
      <c r="H99" s="69" t="e">
        <f t="shared" ref="H99:H101" si="246">F99*G99</f>
        <v>#VALUE!</v>
      </c>
      <c r="I99" s="6" t="s">
        <v>93</v>
      </c>
      <c r="J99" s="70" t="e">
        <f>IF(OR(D99=0,D100=0,D101=0),"#NA",IF(AND(C101-C100=C100-C99,C100&lt;&gt;C101,C99&lt;&gt;C100,C99&lt;&gt;C101,D101&lt;&gt;0,OR(D99&lt;&gt;0,D100&lt;&gt;0)),WLS*(C101-C100),"#NA"))</f>
        <v>#VALUE!</v>
      </c>
      <c r="K99" s="191" t="s">
        <v>168</v>
      </c>
      <c r="L99" s="191" t="s">
        <v>168</v>
      </c>
      <c r="M99" s="191" t="s">
        <v>168</v>
      </c>
      <c r="N99" s="191" t="s">
        <v>168</v>
      </c>
      <c r="O99" s="99">
        <f>O98+1</f>
        <v>12</v>
      </c>
      <c r="P99" s="99">
        <f t="shared" si="97"/>
        <v>7.8833333333333329</v>
      </c>
      <c r="Q99" s="68" t="e">
        <f t="shared" ref="Q99" si="247">IF(OR(P101-P100=P100-P99,P102-P100=P100-P99),P99,IF(OR(P101-P100=P100-P98,P102-P100=P100-P98),P98,"-"))</f>
        <v>#VALUE!</v>
      </c>
      <c r="R99" s="69" t="e">
        <f>VLOOKUP(Q99,STN_TABLE,2,FALSE)</f>
        <v>#VALUE!</v>
      </c>
      <c r="S99" s="69">
        <v>5</v>
      </c>
      <c r="T99" s="68" t="e">
        <f t="shared" ref="T99:T101" si="248">R99*S99</f>
        <v>#VALUE!</v>
      </c>
      <c r="U99" s="79">
        <v>3</v>
      </c>
      <c r="V99" s="68" t="e">
        <f t="shared" ref="V99:V101" si="249">R99*U99</f>
        <v>#VALUE!</v>
      </c>
      <c r="W99" s="6" t="s">
        <v>93</v>
      </c>
      <c r="X99" s="70" t="e">
        <f>IF(AND(Q101-Q100=Q100-Q99,NOT(AND(Q99=0,Q100=0)),NOT(AND(Q100=0,Q101=0))),WLS*(Q101-Q100),"#NA")</f>
        <v>#VALUE!</v>
      </c>
      <c r="Y99" s="191" t="s">
        <v>168</v>
      </c>
      <c r="Z99" s="191" t="s">
        <v>168</v>
      </c>
      <c r="AA99" s="191" t="s">
        <v>168</v>
      </c>
      <c r="AB99" s="191" t="s">
        <v>168</v>
      </c>
      <c r="AD99" t="s">
        <v>0</v>
      </c>
      <c r="AE99" t="s">
        <v>95</v>
      </c>
      <c r="AF99" t="s">
        <v>173</v>
      </c>
      <c r="AG99" t="s">
        <v>183</v>
      </c>
      <c r="AH99" t="s">
        <v>175</v>
      </c>
      <c r="AI99" t="s">
        <v>184</v>
      </c>
      <c r="AJ99" s="6" t="s">
        <v>93</v>
      </c>
      <c r="AK99" s="70" t="e">
        <f>WLS*(AD101-AD100)</f>
        <v>#VALUE!</v>
      </c>
      <c r="AL99" s="191" t="s">
        <v>168</v>
      </c>
      <c r="AM99" s="191" t="s">
        <v>168</v>
      </c>
      <c r="AN99" s="191" t="s">
        <v>168</v>
      </c>
      <c r="AO99" s="191" t="s">
        <v>168</v>
      </c>
      <c r="BG99"/>
      <c r="BH99"/>
    </row>
    <row r="100" spans="1:60" x14ac:dyDescent="0.25">
      <c r="A100" s="84">
        <f>A99+1</f>
        <v>11</v>
      </c>
      <c r="B100" s="84">
        <f>VLOOKUP(A100,STN_TABLE_2,2,FALSE)</f>
        <v>7</v>
      </c>
      <c r="C100" s="80" t="e">
        <f t="shared" ref="C100" si="250">IF(OR(B102-B101=B101-B100,B102-B101=B101-B99,B102-B101=B101-B98),B101,IF(OR(B102-B100=B100-B99,B102-B100=B100-B98),B100,IF(B102-B99=B99-B98,B99,"#NA")))</f>
        <v>#VALUE!</v>
      </c>
      <c r="D100" s="76" t="e">
        <f>VLOOKUP(C100,STN_TABLE,2,FALSE)</f>
        <v>#VALUE!</v>
      </c>
      <c r="E100" s="81">
        <v>4</v>
      </c>
      <c r="F100" s="76" t="e">
        <f t="shared" si="244"/>
        <v>#VALUE!</v>
      </c>
      <c r="G100" s="77" t="e">
        <f t="shared" si="245"/>
        <v>#VALUE!</v>
      </c>
      <c r="H100" s="77" t="e">
        <f t="shared" si="246"/>
        <v>#VALUE!</v>
      </c>
      <c r="I100" s="201" t="s">
        <v>171</v>
      </c>
      <c r="J100" s="191" t="s">
        <v>168</v>
      </c>
      <c r="K100" s="78" t="s">
        <v>98</v>
      </c>
      <c r="L100" s="191" t="s">
        <v>168</v>
      </c>
      <c r="M100" s="7" t="s">
        <v>77</v>
      </c>
      <c r="N100" s="191" t="s">
        <v>168</v>
      </c>
      <c r="O100" s="99">
        <f>O99+1</f>
        <v>13</v>
      </c>
      <c r="P100" s="99" t="str">
        <f t="shared" si="97"/>
        <v xml:space="preserve">  </v>
      </c>
      <c r="Q100" s="76" t="str">
        <f t="shared" ref="Q100" si="251">P100</f>
        <v xml:space="preserve">  </v>
      </c>
      <c r="R100" s="77" t="str">
        <f>VLOOKUP(Q100,STN_TABLE,2,FALSE)</f>
        <v xml:space="preserve">  </v>
      </c>
      <c r="S100" s="77">
        <v>8</v>
      </c>
      <c r="T100" s="76" t="e">
        <f t="shared" si="248"/>
        <v>#VALUE!</v>
      </c>
      <c r="U100" s="80">
        <v>10</v>
      </c>
      <c r="V100" s="76" t="e">
        <f t="shared" si="249"/>
        <v>#VALUE!</v>
      </c>
      <c r="W100" s="201" t="s">
        <v>171</v>
      </c>
      <c r="X100" s="191" t="s">
        <v>168</v>
      </c>
      <c r="Y100" s="78" t="s">
        <v>98</v>
      </c>
      <c r="Z100" s="191" t="s">
        <v>168</v>
      </c>
      <c r="AA100" s="7" t="s">
        <v>77</v>
      </c>
      <c r="AB100" s="191" t="s">
        <v>168</v>
      </c>
      <c r="AC100" s="99">
        <f>AC94+1</f>
        <v>12</v>
      </c>
      <c r="AD100" s="95">
        <f>VLOOKUP(AC100,STN_TABLE_2,2,FALSE)</f>
        <v>7.8833333333333329</v>
      </c>
      <c r="AE100">
        <f t="shared" ref="AE100:AE101" si="252">AG100</f>
        <v>12.25</v>
      </c>
      <c r="AF100">
        <v>1</v>
      </c>
      <c r="AG100" s="68">
        <f>VLOOKUP(AD100,STN_TABLE,2,FALSE)</f>
        <v>12.25</v>
      </c>
      <c r="AH100" s="68">
        <v>1</v>
      </c>
      <c r="AI100" s="69">
        <f t="shared" ref="AI100:AI101" si="253">AG100*AH100</f>
        <v>12.25</v>
      </c>
      <c r="AJ100" s="201" t="s">
        <v>171</v>
      </c>
      <c r="AK100" s="191" t="s">
        <v>168</v>
      </c>
      <c r="AL100" s="78" t="s">
        <v>98</v>
      </c>
      <c r="AM100" s="191" t="s">
        <v>168</v>
      </c>
      <c r="AN100" s="7" t="s">
        <v>77</v>
      </c>
      <c r="AO100" s="191" t="s">
        <v>168</v>
      </c>
      <c r="AR100" s="86" t="s">
        <v>112</v>
      </c>
      <c r="AS100" s="89" t="s">
        <v>113</v>
      </c>
      <c r="AT100" s="89" t="s">
        <v>114</v>
      </c>
      <c r="AU100" s="89" t="s">
        <v>115</v>
      </c>
      <c r="AV100" s="71" t="e">
        <f t="shared" ref="AV100" si="254">IF(AV101=AR101,AR100,IF(AV101=AS101,AS100,IF(AV101=AT101,AT100,AU100)))</f>
        <v>#VALUE!</v>
      </c>
      <c r="BG100"/>
      <c r="BH100"/>
    </row>
    <row r="101" spans="1:60" x14ac:dyDescent="0.25">
      <c r="A101" s="84">
        <f>A100+1</f>
        <v>12</v>
      </c>
      <c r="B101" s="84">
        <f>VLOOKUP(A101,STN_TABLE_2,2,FALSE)</f>
        <v>7.8833333333333329</v>
      </c>
      <c r="C101" s="88" t="str">
        <f t="shared" ref="C101" si="255">B102</f>
        <v xml:space="preserve">  </v>
      </c>
      <c r="D101" s="82" t="str">
        <f>VLOOKUP(C101,STN_TABLE,2,FALSE)</f>
        <v xml:space="preserve">  </v>
      </c>
      <c r="E101" s="92">
        <v>1</v>
      </c>
      <c r="F101" s="82" t="e">
        <f t="shared" si="244"/>
        <v>#VALUE!</v>
      </c>
      <c r="G101" s="83" t="str">
        <f t="shared" si="245"/>
        <v xml:space="preserve">  </v>
      </c>
      <c r="H101" s="83" t="e">
        <f t="shared" si="246"/>
        <v>#VALUE!</v>
      </c>
      <c r="I101" s="84" t="e">
        <f t="shared" ref="I101" si="256">CONCATENATE("a'(",C99,"~",C101,")=")</f>
        <v>#VALUE!</v>
      </c>
      <c r="J101" s="84" t="e">
        <f t="shared" ref="J101" si="257">2*J99/3*F102</f>
        <v>#VALUE!</v>
      </c>
      <c r="K101" s="84" t="e">
        <f t="shared" ref="K101" si="258">CONCATENATE("A(",C99,")=")</f>
        <v>#VALUE!</v>
      </c>
      <c r="L101" s="84" t="e">
        <f>VLOOKUP(C99,STN_TABLE,3,FALSE)</f>
        <v>#VALUE!</v>
      </c>
      <c r="M101" t="str">
        <f t="shared" ref="M101" si="259">CONCATENATE("A(",C101,")=")</f>
        <v>A(  )=</v>
      </c>
      <c r="N101" t="e">
        <f t="shared" ref="N101:N102" si="260">J101+L101</f>
        <v>#VALUE!</v>
      </c>
      <c r="O101" s="99">
        <f>O100+1</f>
        <v>14</v>
      </c>
      <c r="P101" s="99" t="str">
        <f t="shared" si="97"/>
        <v xml:space="preserve">  </v>
      </c>
      <c r="Q101" s="82" t="e">
        <f t="shared" ref="Q101" si="261">IF(P101-P100=P100-P99,P101,IF(P102-P100=P100-P99,P102,IF(P101-P100=P100-P98,P101,IF(P102-P100=P100-P98,P102,"-"))))</f>
        <v>#VALUE!</v>
      </c>
      <c r="R101" s="83" t="e">
        <f>VLOOKUP(Q101,STN_TABLE,2,FALSE)</f>
        <v>#VALUE!</v>
      </c>
      <c r="S101" s="83">
        <v>-1</v>
      </c>
      <c r="T101" s="82" t="e">
        <f t="shared" si="248"/>
        <v>#VALUE!</v>
      </c>
      <c r="U101" s="88">
        <v>-1</v>
      </c>
      <c r="V101" s="82" t="e">
        <f t="shared" si="249"/>
        <v>#VALUE!</v>
      </c>
      <c r="W101" s="84" t="e">
        <f t="shared" ref="W101" si="262">CONCATENATE("a'(",Q99,"~",Q100,")=")</f>
        <v>#VALUE!</v>
      </c>
      <c r="X101" s="84" t="e">
        <f t="shared" ref="X101" si="263">2*X99/12*T102</f>
        <v>#VALUE!</v>
      </c>
      <c r="Y101" s="84" t="e">
        <f t="shared" ref="Y101" si="264">CONCATENATE("A(",Q99,")=")</f>
        <v>#VALUE!</v>
      </c>
      <c r="Z101" s="84" t="e">
        <f>VLOOKUP(Q99,STN_TABLE,3,FALSE)</f>
        <v>#VALUE!</v>
      </c>
      <c r="AA101" t="str">
        <f t="shared" ref="AA101" si="265">CONCATENATE("A(",Q100,")=")</f>
        <v>A(  )=</v>
      </c>
      <c r="AB101" t="e">
        <f t="shared" ref="AB101:AB102" si="266">X101+Z101</f>
        <v>#VALUE!</v>
      </c>
      <c r="AC101" s="99">
        <f>AC100+1</f>
        <v>13</v>
      </c>
      <c r="AD101" s="100" t="str">
        <f>VLOOKUP(AC101,STN_TABLE_2,2,FALSE)</f>
        <v xml:space="preserve">  </v>
      </c>
      <c r="AE101" t="str">
        <f t="shared" si="252"/>
        <v xml:space="preserve">  </v>
      </c>
      <c r="AF101">
        <v>1</v>
      </c>
      <c r="AG101" s="82" t="str">
        <f>VLOOKUP(AD101,STN_TABLE,2,FALSE)</f>
        <v xml:space="preserve">  </v>
      </c>
      <c r="AH101" s="82">
        <v>2</v>
      </c>
      <c r="AI101" s="83" t="e">
        <f t="shared" si="253"/>
        <v>#VALUE!</v>
      </c>
      <c r="AJ101" s="84" t="str">
        <f t="shared" ref="AJ101" si="267">CONCATENATE("a'(",AD101,")=")</f>
        <v>a'(  )=</v>
      </c>
      <c r="AK101" s="84" t="e">
        <f t="shared" ref="AK101" si="268">2*AK99/2*AG102</f>
        <v>#VALUE!</v>
      </c>
      <c r="AL101" s="84" t="str">
        <f t="shared" ref="AL101" si="269">CONCATENATE("A(",AD100,")=")</f>
        <v>A(7.88333333333333)=</v>
      </c>
      <c r="AM101" s="84">
        <f>VLOOKUP(AD100,STN_TABLE,3,FALSE)</f>
        <v>336.87299999999999</v>
      </c>
      <c r="AN101" t="str">
        <f t="shared" ref="AN101" si="270">CONCATENATE("A(",AD101,")=")</f>
        <v>A(  )=</v>
      </c>
      <c r="AO101" t="e">
        <f t="shared" ref="AO101:AO102" si="271">AK101+AM101</f>
        <v>#VALUE!</v>
      </c>
      <c r="AQ101" s="68" t="str">
        <f>AA101</f>
        <v>A(  )=</v>
      </c>
      <c r="AR101" s="68" t="str">
        <f>IFERROR(VLOOKUP(AQ101,Rise_Results,2,FALSE),"-")</f>
        <v>-</v>
      </c>
      <c r="AS101" s="76" t="str">
        <f>IFERROR(N101,"-")</f>
        <v>-</v>
      </c>
      <c r="AT101" s="76" t="str">
        <f>IFERROR(IF(OR(AB101&lt;=0,AB102&lt;=0),1/0,AB101),"-")</f>
        <v>-</v>
      </c>
      <c r="AU101" s="76" t="e">
        <f t="shared" ref="AU101:AU102" si="272">AO101</f>
        <v>#VALUE!</v>
      </c>
      <c r="AV101" t="e">
        <f t="shared" ref="AV101:AV102" si="273">IF(ISNUMBER(AR101),AR101,IF(ISNUMBER(AS101),AS101,IF(ISNUMBER(AT101),AT101,AU101)))</f>
        <v>#VALUE!</v>
      </c>
      <c r="BG101"/>
      <c r="BH101"/>
    </row>
    <row r="102" spans="1:60" x14ac:dyDescent="0.25">
      <c r="A102" s="84">
        <f>A101+1</f>
        <v>13</v>
      </c>
      <c r="B102" s="84" t="str">
        <f>VLOOKUP(A102,STN_TABLE_2,2,FALSE)</f>
        <v xml:space="preserve">  </v>
      </c>
      <c r="C102" s="191" t="s">
        <v>168</v>
      </c>
      <c r="D102" s="191" t="s">
        <v>168</v>
      </c>
      <c r="E102" s="6" t="s">
        <v>172</v>
      </c>
      <c r="F102" s="89" t="e">
        <f t="shared" ref="F102" si="274">SUM(F99:F101)</f>
        <v>#VALUE!</v>
      </c>
      <c r="G102" s="6" t="s">
        <v>172</v>
      </c>
      <c r="H102" s="82" t="e">
        <f t="shared" ref="H102" si="275">SUM(H99:H101)</f>
        <v>#VALUE!</v>
      </c>
      <c r="I102" s="84" t="e">
        <f t="shared" ref="I102" si="276">CONCATENATE("m'(",C99,"~",C101,")=")</f>
        <v>#VALUE!</v>
      </c>
      <c r="J102" s="84" t="e">
        <f>2*(J99*(WLS))/3*H102</f>
        <v>#VALUE!</v>
      </c>
      <c r="K102" s="84" t="e">
        <f t="shared" ref="K102" si="277">CONCATENATE("M(",C99,")=")</f>
        <v>#VALUE!</v>
      </c>
      <c r="L102" s="84" t="e">
        <f>VLOOKUP(C99,STN_TABLE,4,FALSE)</f>
        <v>#VALUE!</v>
      </c>
      <c r="M102" t="str">
        <f t="shared" ref="M102" si="278">CONCATENATE("M(",C101,")=")</f>
        <v>M(  )=</v>
      </c>
      <c r="N102" t="e">
        <f t="shared" si="260"/>
        <v>#VALUE!</v>
      </c>
      <c r="O102" s="99">
        <f>O101+1</f>
        <v>15</v>
      </c>
      <c r="P102" s="99" t="str">
        <f t="shared" si="97"/>
        <v xml:space="preserve">  </v>
      </c>
      <c r="Q102" s="191" t="s">
        <v>168</v>
      </c>
      <c r="R102" s="191" t="s">
        <v>168</v>
      </c>
      <c r="S102" s="6" t="s">
        <v>172</v>
      </c>
      <c r="T102" s="89" t="e">
        <f t="shared" si="146"/>
        <v>#VALUE!</v>
      </c>
      <c r="U102" s="6" t="s">
        <v>172</v>
      </c>
      <c r="V102" s="82" t="e">
        <f t="shared" si="147"/>
        <v>#VALUE!</v>
      </c>
      <c r="W102" s="84" t="e">
        <f t="shared" ref="W102" si="279">CONCATENATE("m'(",Q99,"~",Q100,")=")</f>
        <v>#VALUE!</v>
      </c>
      <c r="X102" s="84" t="e">
        <f>(2*(X99^2)/24*V102)+(X101*Q99*WLS)</f>
        <v>#VALUE!</v>
      </c>
      <c r="Y102" s="84" t="e">
        <f t="shared" ref="Y102" si="280">CONCATENATE("M(",Q99,")=")</f>
        <v>#VALUE!</v>
      </c>
      <c r="Z102" s="84" t="e">
        <f>VLOOKUP(Q99,STN_TABLE,4,FALSE)</f>
        <v>#VALUE!</v>
      </c>
      <c r="AA102" t="str">
        <f t="shared" ref="AA102" si="281">CONCATENATE("M(",Q100,")=")</f>
        <v>M(  )=</v>
      </c>
      <c r="AB102" t="e">
        <f t="shared" si="266"/>
        <v>#VALUE!</v>
      </c>
      <c r="AD102" s="191" t="s">
        <v>168</v>
      </c>
      <c r="AE102" s="191" t="s">
        <v>168</v>
      </c>
      <c r="AF102" s="6" t="s">
        <v>172</v>
      </c>
      <c r="AG102" s="89">
        <f t="shared" si="151"/>
        <v>12.25</v>
      </c>
      <c r="AH102" s="6" t="s">
        <v>172</v>
      </c>
      <c r="AI102" s="89" t="e">
        <f t="shared" si="152"/>
        <v>#VALUE!</v>
      </c>
      <c r="AJ102" s="84" t="str">
        <f t="shared" ref="AJ102" si="282">CONCATENATE("m'(",AD101,")=")</f>
        <v>m'(  )=</v>
      </c>
      <c r="AK102" s="84" t="e">
        <f>(2*(AK99^2)/6*AI102)+(AK101*AD100*WLS)</f>
        <v>#VALUE!</v>
      </c>
      <c r="AL102" s="84" t="str">
        <f t="shared" ref="AL102" si="283">CONCATENATE("M(",AD100,")=")</f>
        <v>M(7.88333333333333)=</v>
      </c>
      <c r="AM102" s="84">
        <f>VLOOKUP(AD100,STN_TABLE,4,FALSE)</f>
        <v>2457.9722249999995</v>
      </c>
      <c r="AN102" t="str">
        <f t="shared" ref="AN102" si="284">CONCATENATE("M(",AD101,")=")</f>
        <v>M(  )=</v>
      </c>
      <c r="AO102" t="e">
        <f t="shared" si="271"/>
        <v>#VALUE!</v>
      </c>
      <c r="AQ102" s="82" t="str">
        <f>AA102</f>
        <v>M(  )=</v>
      </c>
      <c r="AR102" s="82" t="str">
        <f>IFERROR(VLOOKUP(AQ102,Rise_Results,2,FALSE),"-")</f>
        <v>-</v>
      </c>
      <c r="AS102" s="82" t="str">
        <f>IFERROR(N102,"-")</f>
        <v>-</v>
      </c>
      <c r="AT102" s="82" t="str">
        <f>IFERROR(IF(OR(AB101&lt;=0,AB102&lt;=0),1/0,AB102),"-")</f>
        <v>-</v>
      </c>
      <c r="AU102" s="82" t="e">
        <f t="shared" si="272"/>
        <v>#VALUE!</v>
      </c>
      <c r="AV102" t="e">
        <f t="shared" si="273"/>
        <v>#VALUE!</v>
      </c>
      <c r="BG102"/>
      <c r="BH102"/>
    </row>
    <row r="103" spans="1:60" x14ac:dyDescent="0.25">
      <c r="A103" s="84"/>
      <c r="B103" s="84"/>
      <c r="F103" s="81"/>
      <c r="H103" s="81"/>
      <c r="I103" s="84"/>
      <c r="J103" s="84"/>
      <c r="K103" s="84"/>
      <c r="L103" s="84"/>
      <c r="O103" s="99"/>
      <c r="P103" s="99"/>
      <c r="T103" s="81"/>
      <c r="V103" s="81"/>
      <c r="W103" s="84"/>
      <c r="X103" s="84"/>
      <c r="Y103" s="84"/>
      <c r="Z103" s="84"/>
      <c r="AD103" s="191" t="s">
        <v>168</v>
      </c>
      <c r="AE103" s="191" t="s">
        <v>168</v>
      </c>
      <c r="AF103" s="191" t="s">
        <v>168</v>
      </c>
      <c r="AG103" s="191" t="s">
        <v>168</v>
      </c>
      <c r="AH103" s="191" t="s">
        <v>168</v>
      </c>
      <c r="AI103" s="191" t="s">
        <v>168</v>
      </c>
      <c r="AJ103" s="191" t="s">
        <v>168</v>
      </c>
      <c r="AK103" s="191" t="s">
        <v>168</v>
      </c>
      <c r="AL103" s="191" t="s">
        <v>168</v>
      </c>
      <c r="AM103" s="191" t="s">
        <v>168</v>
      </c>
      <c r="AN103" s="191" t="s">
        <v>168</v>
      </c>
      <c r="AO103" s="191" t="s">
        <v>168</v>
      </c>
      <c r="AQ103" s="81"/>
      <c r="AR103" s="81"/>
      <c r="AS103" s="81"/>
      <c r="AT103" s="81"/>
      <c r="AU103" s="81"/>
      <c r="BG103"/>
      <c r="BH103"/>
    </row>
    <row r="104" spans="1:60" ht="18" x14ac:dyDescent="0.35">
      <c r="A104" s="101">
        <f>A98+1</f>
        <v>10</v>
      </c>
      <c r="B104" s="101">
        <f>VLOOKUP(A104,STN_TABLE_2,2,FALSE)</f>
        <v>6</v>
      </c>
      <c r="C104" t="s">
        <v>0</v>
      </c>
      <c r="D104" t="s">
        <v>95</v>
      </c>
      <c r="E104" t="s">
        <v>164</v>
      </c>
      <c r="F104" t="s">
        <v>165</v>
      </c>
      <c r="G104" t="s">
        <v>13</v>
      </c>
      <c r="H104" t="s">
        <v>169</v>
      </c>
      <c r="I104" s="191" t="s">
        <v>168</v>
      </c>
      <c r="J104" s="191" t="s">
        <v>168</v>
      </c>
      <c r="K104" s="191" t="s">
        <v>168</v>
      </c>
      <c r="L104" s="191" t="s">
        <v>168</v>
      </c>
      <c r="M104" s="191" t="s">
        <v>168</v>
      </c>
      <c r="N104" s="191" t="s">
        <v>168</v>
      </c>
      <c r="O104" s="101">
        <f>O98+1</f>
        <v>12</v>
      </c>
      <c r="P104" s="101">
        <f t="shared" ref="P104" si="285">VLOOKUP(O104,STN_TABLE_2,2,FALSE)</f>
        <v>7.8833333333333329</v>
      </c>
      <c r="Q104" t="s">
        <v>0</v>
      </c>
      <c r="R104" t="s">
        <v>95</v>
      </c>
      <c r="S104" t="s">
        <v>164</v>
      </c>
      <c r="T104" t="s">
        <v>165</v>
      </c>
      <c r="U104" t="s">
        <v>166</v>
      </c>
      <c r="V104" t="s">
        <v>167</v>
      </c>
      <c r="W104" s="191" t="s">
        <v>168</v>
      </c>
      <c r="X104" s="191" t="s">
        <v>168</v>
      </c>
      <c r="Y104" s="191" t="s">
        <v>168</v>
      </c>
      <c r="Z104" s="191" t="s">
        <v>168</v>
      </c>
      <c r="AA104" s="191" t="s">
        <v>168</v>
      </c>
      <c r="AB104" s="191" t="s">
        <v>168</v>
      </c>
      <c r="BG104"/>
      <c r="BH104"/>
    </row>
    <row r="105" spans="1:60" ht="18" x14ac:dyDescent="0.35">
      <c r="A105" s="84">
        <f>A104+1</f>
        <v>11</v>
      </c>
      <c r="B105" s="84">
        <f>VLOOKUP(A105,STN_TABLE_2,2,FALSE)</f>
        <v>7</v>
      </c>
      <c r="C105" s="79" t="e">
        <f t="shared" ref="C105" si="286">IF(C106=B107,IF(C107-C106=C106-B106,B106,IF(C107-C106=C106-B105,B105,"#NA")),IF(C106=B106,IF(C107-C106=C106-B105,B105,IF(C107-C106=C106-B104,B104,"#NA")),"#NA"))</f>
        <v>#VALUE!</v>
      </c>
      <c r="D105" s="68" t="e">
        <f>VLOOKUP(C105,STN_TABLE,2,FALSE)</f>
        <v>#VALUE!</v>
      </c>
      <c r="E105" s="102">
        <v>1</v>
      </c>
      <c r="F105" s="68" t="e">
        <f t="shared" ref="F105:F107" si="287">D105*E105</f>
        <v>#VALUE!</v>
      </c>
      <c r="G105" s="69" t="e">
        <f t="shared" ref="G105:G107" si="288">C105</f>
        <v>#VALUE!</v>
      </c>
      <c r="H105" s="69" t="e">
        <f t="shared" ref="H105:H107" si="289">F105*G105</f>
        <v>#VALUE!</v>
      </c>
      <c r="I105" s="6" t="s">
        <v>93</v>
      </c>
      <c r="J105" s="70" t="e">
        <f>IF(OR(D105=0,D106=0,D107=0),"#NA",IF(AND(C107-C106=C106-C105,C106&lt;&gt;C107,C105&lt;&gt;C106,C105&lt;&gt;C107,D107&lt;&gt;0,OR(D105&lt;&gt;0,D106&lt;&gt;0)),WLS*(C107-C106),"#NA"))</f>
        <v>#VALUE!</v>
      </c>
      <c r="K105" s="191" t="s">
        <v>168</v>
      </c>
      <c r="L105" s="191" t="s">
        <v>168</v>
      </c>
      <c r="M105" s="191" t="s">
        <v>168</v>
      </c>
      <c r="N105" s="191" t="s">
        <v>168</v>
      </c>
      <c r="O105" s="99">
        <f>O104+1</f>
        <v>13</v>
      </c>
      <c r="P105" s="99" t="str">
        <f t="shared" si="97"/>
        <v xml:space="preserve">  </v>
      </c>
      <c r="Q105" s="68" t="e">
        <f t="shared" ref="Q105" si="290">IF(OR(P107-P106=P106-P105,P108-P106=P106-P105),P105,IF(OR(P107-P106=P106-P104,P108-P106=P106-P104),P104,"-"))</f>
        <v>#VALUE!</v>
      </c>
      <c r="R105" s="69" t="e">
        <f>VLOOKUP(Q105,STN_TABLE,2,FALSE)</f>
        <v>#VALUE!</v>
      </c>
      <c r="S105" s="69">
        <v>5</v>
      </c>
      <c r="T105" s="68" t="e">
        <f t="shared" ref="T105:T107" si="291">R105*S105</f>
        <v>#VALUE!</v>
      </c>
      <c r="U105" s="79">
        <v>3</v>
      </c>
      <c r="V105" s="68" t="e">
        <f t="shared" ref="V105:V107" si="292">R105*U105</f>
        <v>#VALUE!</v>
      </c>
      <c r="W105" s="6" t="s">
        <v>93</v>
      </c>
      <c r="X105" s="70" t="e">
        <f>IF(AND(Q107-Q106=Q106-Q105,NOT(AND(Q105=0,Q106=0)),NOT(AND(Q106=0,Q107=0))),WLS*(Q107-Q106),"#NA")</f>
        <v>#VALUE!</v>
      </c>
      <c r="Y105" s="191" t="s">
        <v>168</v>
      </c>
      <c r="Z105" s="191" t="s">
        <v>168</v>
      </c>
      <c r="AA105" s="191" t="s">
        <v>168</v>
      </c>
      <c r="AB105" s="191" t="s">
        <v>168</v>
      </c>
      <c r="AD105" t="s">
        <v>0</v>
      </c>
      <c r="AE105" t="s">
        <v>95</v>
      </c>
      <c r="AF105" t="s">
        <v>173</v>
      </c>
      <c r="AG105" t="s">
        <v>183</v>
      </c>
      <c r="AH105" t="s">
        <v>175</v>
      </c>
      <c r="AI105" t="s">
        <v>184</v>
      </c>
      <c r="AJ105" s="6" t="s">
        <v>93</v>
      </c>
      <c r="AK105" s="70" t="e">
        <f>WLS*(AD107-AD106)</f>
        <v>#VALUE!</v>
      </c>
      <c r="AL105" s="191" t="s">
        <v>168</v>
      </c>
      <c r="AM105" s="191" t="s">
        <v>168</v>
      </c>
      <c r="AN105" s="191" t="s">
        <v>168</v>
      </c>
      <c r="AO105" s="191" t="s">
        <v>168</v>
      </c>
      <c r="BG105"/>
      <c r="BH105"/>
    </row>
    <row r="106" spans="1:60" x14ac:dyDescent="0.25">
      <c r="A106" s="84">
        <f>A105+1</f>
        <v>12</v>
      </c>
      <c r="B106" s="84">
        <f>VLOOKUP(A106,STN_TABLE_2,2,FALSE)</f>
        <v>7.8833333333333329</v>
      </c>
      <c r="C106" s="80" t="e">
        <f t="shared" ref="C106" si="293">IF(OR(B108-B107=B107-B106,B108-B107=B107-B105,B108-B107=B107-B104),B107,IF(OR(B108-B106=B106-B105,B108-B106=B106-B104),B106,IF(B108-B105=B105-B104,B105,"#NA")))</f>
        <v>#VALUE!</v>
      </c>
      <c r="D106" s="76" t="e">
        <f>VLOOKUP(C106,STN_TABLE,2,FALSE)</f>
        <v>#VALUE!</v>
      </c>
      <c r="E106" s="81">
        <v>4</v>
      </c>
      <c r="F106" s="76" t="e">
        <f t="shared" si="287"/>
        <v>#VALUE!</v>
      </c>
      <c r="G106" s="77" t="e">
        <f t="shared" si="288"/>
        <v>#VALUE!</v>
      </c>
      <c r="H106" s="77" t="e">
        <f t="shared" si="289"/>
        <v>#VALUE!</v>
      </c>
      <c r="I106" s="201" t="s">
        <v>171</v>
      </c>
      <c r="J106" s="191" t="s">
        <v>168</v>
      </c>
      <c r="K106" s="78" t="s">
        <v>98</v>
      </c>
      <c r="L106" s="191" t="s">
        <v>168</v>
      </c>
      <c r="M106" s="7" t="s">
        <v>77</v>
      </c>
      <c r="N106" s="191" t="s">
        <v>168</v>
      </c>
      <c r="O106" s="99">
        <f>O105+1</f>
        <v>14</v>
      </c>
      <c r="P106" s="99" t="str">
        <f t="shared" si="97"/>
        <v xml:space="preserve">  </v>
      </c>
      <c r="Q106" s="76" t="str">
        <f t="shared" ref="Q106" si="294">P106</f>
        <v xml:space="preserve">  </v>
      </c>
      <c r="R106" s="77" t="str">
        <f>VLOOKUP(Q106,STN_TABLE,2,FALSE)</f>
        <v xml:space="preserve">  </v>
      </c>
      <c r="S106" s="77">
        <v>8</v>
      </c>
      <c r="T106" s="76" t="e">
        <f t="shared" si="291"/>
        <v>#VALUE!</v>
      </c>
      <c r="U106" s="80">
        <v>10</v>
      </c>
      <c r="V106" s="76" t="e">
        <f t="shared" si="292"/>
        <v>#VALUE!</v>
      </c>
      <c r="W106" s="201" t="s">
        <v>171</v>
      </c>
      <c r="X106" s="191" t="s">
        <v>168</v>
      </c>
      <c r="Y106" s="78" t="s">
        <v>98</v>
      </c>
      <c r="Z106" s="191" t="s">
        <v>168</v>
      </c>
      <c r="AA106" s="7" t="s">
        <v>77</v>
      </c>
      <c r="AB106" s="191" t="s">
        <v>168</v>
      </c>
      <c r="AC106" s="99">
        <f>AC100+1</f>
        <v>13</v>
      </c>
      <c r="AD106" s="95" t="str">
        <f>VLOOKUP(AC106,STN_TABLE_2,2,FALSE)</f>
        <v xml:space="preserve">  </v>
      </c>
      <c r="AE106" t="str">
        <f t="shared" ref="AE106:AE107" si="295">AG106</f>
        <v xml:space="preserve">  </v>
      </c>
      <c r="AF106">
        <v>1</v>
      </c>
      <c r="AG106" s="68" t="str">
        <f>VLOOKUP(AD106,STN_TABLE,2,FALSE)</f>
        <v xml:space="preserve">  </v>
      </c>
      <c r="AH106" s="68">
        <v>1</v>
      </c>
      <c r="AI106" s="69" t="e">
        <f t="shared" ref="AI106:AI107" si="296">AG106*AH106</f>
        <v>#VALUE!</v>
      </c>
      <c r="AJ106" s="201" t="s">
        <v>171</v>
      </c>
      <c r="AK106" s="191" t="s">
        <v>168</v>
      </c>
      <c r="AL106" s="78" t="s">
        <v>98</v>
      </c>
      <c r="AM106" s="191" t="s">
        <v>168</v>
      </c>
      <c r="AN106" s="7" t="s">
        <v>77</v>
      </c>
      <c r="AO106" s="191" t="s">
        <v>168</v>
      </c>
      <c r="AR106" s="86" t="s">
        <v>112</v>
      </c>
      <c r="AS106" s="89" t="s">
        <v>113</v>
      </c>
      <c r="AT106" s="89" t="s">
        <v>114</v>
      </c>
      <c r="AU106" s="89" t="s">
        <v>115</v>
      </c>
      <c r="AV106" s="71" t="e">
        <f t="shared" ref="AV106" si="297">IF(AV107=AR107,AR106,IF(AV107=AS107,AS106,IF(AV107=AT107,AT106,AU106)))</f>
        <v>#VALUE!</v>
      </c>
      <c r="BG106"/>
      <c r="BH106"/>
    </row>
    <row r="107" spans="1:60" x14ac:dyDescent="0.25">
      <c r="A107" s="84">
        <f>A106+1</f>
        <v>13</v>
      </c>
      <c r="B107" s="84" t="str">
        <f>VLOOKUP(A107,STN_TABLE_2,2,FALSE)</f>
        <v xml:space="preserve">  </v>
      </c>
      <c r="C107" s="88" t="str">
        <f t="shared" ref="C107" si="298">B108</f>
        <v xml:space="preserve">  </v>
      </c>
      <c r="D107" s="82" t="str">
        <f>VLOOKUP(C107,STN_TABLE,2,FALSE)</f>
        <v xml:space="preserve">  </v>
      </c>
      <c r="E107" s="92">
        <v>1</v>
      </c>
      <c r="F107" s="82" t="e">
        <f t="shared" si="287"/>
        <v>#VALUE!</v>
      </c>
      <c r="G107" s="83" t="str">
        <f t="shared" si="288"/>
        <v xml:space="preserve">  </v>
      </c>
      <c r="H107" s="83" t="e">
        <f t="shared" si="289"/>
        <v>#VALUE!</v>
      </c>
      <c r="I107" s="84" t="e">
        <f t="shared" ref="I107" si="299">CONCATENATE("a'(",C105,"~",C107,")=")</f>
        <v>#VALUE!</v>
      </c>
      <c r="J107" s="84" t="e">
        <f t="shared" ref="J107" si="300">2*J105/3*F108</f>
        <v>#VALUE!</v>
      </c>
      <c r="K107" s="84" t="e">
        <f t="shared" ref="K107" si="301">CONCATENATE("A(",C105,")=")</f>
        <v>#VALUE!</v>
      </c>
      <c r="L107" s="84" t="e">
        <f>VLOOKUP(C105,STN_TABLE,3,FALSE)</f>
        <v>#VALUE!</v>
      </c>
      <c r="M107" t="str">
        <f t="shared" ref="M107" si="302">CONCATENATE("A(",C107,")=")</f>
        <v>A(  )=</v>
      </c>
      <c r="N107" t="e">
        <f t="shared" ref="N107:N108" si="303">J107+L107</f>
        <v>#VALUE!</v>
      </c>
      <c r="O107" s="99">
        <f>O106+1</f>
        <v>15</v>
      </c>
      <c r="P107" s="99" t="str">
        <f t="shared" si="97"/>
        <v xml:space="preserve">  </v>
      </c>
      <c r="Q107" s="82" t="e">
        <f t="shared" ref="Q107" si="304">IF(P107-P106=P106-P105,P107,IF(P108-P106=P106-P105,P108,IF(P107-P106=P106-P104,P107,IF(P108-P106=P106-P104,P108,"-"))))</f>
        <v>#VALUE!</v>
      </c>
      <c r="R107" s="83" t="e">
        <f>VLOOKUP(Q107,STN_TABLE,2,FALSE)</f>
        <v>#VALUE!</v>
      </c>
      <c r="S107" s="83">
        <v>-1</v>
      </c>
      <c r="T107" s="82" t="e">
        <f t="shared" si="291"/>
        <v>#VALUE!</v>
      </c>
      <c r="U107" s="88">
        <v>-1</v>
      </c>
      <c r="V107" s="82" t="e">
        <f t="shared" si="292"/>
        <v>#VALUE!</v>
      </c>
      <c r="W107" s="84" t="e">
        <f t="shared" ref="W107" si="305">CONCATENATE("a'(",Q105,"~",Q106,")=")</f>
        <v>#VALUE!</v>
      </c>
      <c r="X107" s="84" t="e">
        <f t="shared" ref="X107" si="306">2*X105/12*T108</f>
        <v>#VALUE!</v>
      </c>
      <c r="Y107" s="84" t="e">
        <f t="shared" ref="Y107" si="307">CONCATENATE("A(",Q105,")=")</f>
        <v>#VALUE!</v>
      </c>
      <c r="Z107" s="84" t="e">
        <f>VLOOKUP(Q105,STN_TABLE,3,FALSE)</f>
        <v>#VALUE!</v>
      </c>
      <c r="AA107" t="str">
        <f t="shared" ref="AA107" si="308">CONCATENATE("A(",Q106,")=")</f>
        <v>A(  )=</v>
      </c>
      <c r="AB107" t="e">
        <f t="shared" ref="AB107:AB108" si="309">X107+Z107</f>
        <v>#VALUE!</v>
      </c>
      <c r="AC107" s="99">
        <f>AC106+1</f>
        <v>14</v>
      </c>
      <c r="AD107" s="100" t="str">
        <f>VLOOKUP(AC107,STN_TABLE_2,2,FALSE)</f>
        <v xml:space="preserve">  </v>
      </c>
      <c r="AE107" t="str">
        <f t="shared" si="295"/>
        <v xml:space="preserve">  </v>
      </c>
      <c r="AF107">
        <v>1</v>
      </c>
      <c r="AG107" s="82" t="str">
        <f>VLOOKUP(AD107,STN_TABLE,2,FALSE)</f>
        <v xml:space="preserve">  </v>
      </c>
      <c r="AH107" s="82">
        <v>2</v>
      </c>
      <c r="AI107" s="83" t="e">
        <f t="shared" si="296"/>
        <v>#VALUE!</v>
      </c>
      <c r="AJ107" s="84" t="str">
        <f t="shared" ref="AJ107" si="310">CONCATENATE("a'(",AD107,")=")</f>
        <v>a'(  )=</v>
      </c>
      <c r="AK107" s="84" t="e">
        <f t="shared" ref="AK107" si="311">2*AK105/2*AG108</f>
        <v>#VALUE!</v>
      </c>
      <c r="AL107" s="84" t="str">
        <f t="shared" ref="AL107" si="312">CONCATENATE("A(",AD106,")=")</f>
        <v>A(  )=</v>
      </c>
      <c r="AM107" s="84" t="str">
        <f>VLOOKUP(AD106,STN_TABLE,3,FALSE)</f>
        <v xml:space="preserve"> </v>
      </c>
      <c r="AN107" t="str">
        <f t="shared" ref="AN107" si="313">CONCATENATE("A(",AD107,")=")</f>
        <v>A(  )=</v>
      </c>
      <c r="AO107" t="e">
        <f t="shared" ref="AO107:AO108" si="314">AK107+AM107</f>
        <v>#VALUE!</v>
      </c>
      <c r="AQ107" s="68" t="str">
        <f>AA107</f>
        <v>A(  )=</v>
      </c>
      <c r="AR107" s="68" t="str">
        <f>IFERROR(VLOOKUP(AQ107,Rise_Results,2,FALSE),"-")</f>
        <v>-</v>
      </c>
      <c r="AS107" s="76" t="str">
        <f>IFERROR(N107,"-")</f>
        <v>-</v>
      </c>
      <c r="AT107" s="76" t="str">
        <f>IFERROR(IF(OR(AB107&lt;=0,AB108&lt;=0),1/0,AB107),"-")</f>
        <v>-</v>
      </c>
      <c r="AU107" s="76" t="e">
        <f t="shared" ref="AU107:AU108" si="315">AO107</f>
        <v>#VALUE!</v>
      </c>
      <c r="AV107" t="e">
        <f t="shared" ref="AV107:AV108" si="316">IF(ISNUMBER(AR107),AR107,IF(ISNUMBER(AS107),AS107,IF(ISNUMBER(AT107),AT107,AU107)))</f>
        <v>#VALUE!</v>
      </c>
      <c r="BG107"/>
      <c r="BH107"/>
    </row>
    <row r="108" spans="1:60" x14ac:dyDescent="0.25">
      <c r="A108" s="84">
        <f>A107+1</f>
        <v>14</v>
      </c>
      <c r="B108" s="84" t="str">
        <f>VLOOKUP(A108,STN_TABLE_2,2,FALSE)</f>
        <v xml:space="preserve">  </v>
      </c>
      <c r="C108" s="191" t="s">
        <v>168</v>
      </c>
      <c r="D108" s="191" t="s">
        <v>168</v>
      </c>
      <c r="E108" s="6" t="s">
        <v>172</v>
      </c>
      <c r="F108" s="89" t="e">
        <f t="shared" ref="F108" si="317">SUM(F105:F107)</f>
        <v>#VALUE!</v>
      </c>
      <c r="G108" s="6" t="s">
        <v>172</v>
      </c>
      <c r="H108" s="82" t="e">
        <f t="shared" ref="H108" si="318">SUM(H105:H107)</f>
        <v>#VALUE!</v>
      </c>
      <c r="I108" s="84" t="e">
        <f t="shared" ref="I108" si="319">CONCATENATE("m'(",C105,"~",C107,")=")</f>
        <v>#VALUE!</v>
      </c>
      <c r="J108" s="84" t="e">
        <f>2*(J105*(WLS))/3*H108</f>
        <v>#VALUE!</v>
      </c>
      <c r="K108" s="84" t="e">
        <f t="shared" ref="K108" si="320">CONCATENATE("M(",C105,")=")</f>
        <v>#VALUE!</v>
      </c>
      <c r="L108" s="84" t="e">
        <f>VLOOKUP(C105,STN_TABLE,4,FALSE)</f>
        <v>#VALUE!</v>
      </c>
      <c r="M108" t="str">
        <f t="shared" ref="M108" si="321">CONCATENATE("M(",C107,")=")</f>
        <v>M(  )=</v>
      </c>
      <c r="N108" t="e">
        <f t="shared" si="303"/>
        <v>#VALUE!</v>
      </c>
      <c r="O108" s="99">
        <f>O107+1</f>
        <v>16</v>
      </c>
      <c r="P108" s="99" t="str">
        <f t="shared" si="97"/>
        <v xml:space="preserve">  </v>
      </c>
      <c r="Q108" s="191" t="s">
        <v>168</v>
      </c>
      <c r="R108" s="191" t="s">
        <v>168</v>
      </c>
      <c r="S108" s="6" t="s">
        <v>172</v>
      </c>
      <c r="T108" s="89" t="e">
        <f t="shared" si="146"/>
        <v>#VALUE!</v>
      </c>
      <c r="U108" s="6" t="s">
        <v>172</v>
      </c>
      <c r="V108" s="82" t="e">
        <f t="shared" si="147"/>
        <v>#VALUE!</v>
      </c>
      <c r="W108" s="84" t="e">
        <f t="shared" ref="W108" si="322">CONCATENATE("m'(",Q105,"~",Q106,")=")</f>
        <v>#VALUE!</v>
      </c>
      <c r="X108" s="84" t="e">
        <f>(2*(X105^2)/24*V108)+(X107*Q105*WLS)</f>
        <v>#VALUE!</v>
      </c>
      <c r="Y108" s="84" t="e">
        <f t="shared" ref="Y108" si="323">CONCATENATE("M(",Q105,")=")</f>
        <v>#VALUE!</v>
      </c>
      <c r="Z108" s="84" t="e">
        <f>VLOOKUP(Q105,STN_TABLE,4,FALSE)</f>
        <v>#VALUE!</v>
      </c>
      <c r="AA108" t="str">
        <f t="shared" ref="AA108" si="324">CONCATENATE("M(",Q106,")=")</f>
        <v>M(  )=</v>
      </c>
      <c r="AB108" t="e">
        <f t="shared" si="309"/>
        <v>#VALUE!</v>
      </c>
      <c r="AD108" s="191" t="s">
        <v>168</v>
      </c>
      <c r="AE108" s="191" t="s">
        <v>168</v>
      </c>
      <c r="AF108" s="6" t="s">
        <v>172</v>
      </c>
      <c r="AG108" s="89">
        <f t="shared" si="151"/>
        <v>0</v>
      </c>
      <c r="AH108" s="6" t="s">
        <v>172</v>
      </c>
      <c r="AI108" s="89" t="e">
        <f t="shared" si="152"/>
        <v>#VALUE!</v>
      </c>
      <c r="AJ108" s="84" t="str">
        <f t="shared" ref="AJ108" si="325">CONCATENATE("m'(",AD107,")=")</f>
        <v>m'(  )=</v>
      </c>
      <c r="AK108" s="84" t="e">
        <f>(2*(AK105^2)/6*AI108)+(AK107*AD106*WLS)</f>
        <v>#VALUE!</v>
      </c>
      <c r="AL108" s="84" t="str">
        <f t="shared" ref="AL108" si="326">CONCATENATE("M(",AD106,")=")</f>
        <v>M(  )=</v>
      </c>
      <c r="AM108" s="84" t="str">
        <f>VLOOKUP(AD106,STN_TABLE,4,FALSE)</f>
        <v xml:space="preserve"> </v>
      </c>
      <c r="AN108" t="str">
        <f t="shared" ref="AN108" si="327">CONCATENATE("M(",AD107,")=")</f>
        <v>M(  )=</v>
      </c>
      <c r="AO108" t="e">
        <f t="shared" si="314"/>
        <v>#VALUE!</v>
      </c>
      <c r="AQ108" s="82" t="str">
        <f>AA108</f>
        <v>M(  )=</v>
      </c>
      <c r="AR108" s="82" t="str">
        <f>IFERROR(VLOOKUP(AQ108,Rise_Results,2,FALSE),"-")</f>
        <v>-</v>
      </c>
      <c r="AS108" s="82" t="str">
        <f>IFERROR(N108,"-")</f>
        <v>-</v>
      </c>
      <c r="AT108" s="82" t="str">
        <f>IFERROR(IF(OR(AB107&lt;=0,AB108&lt;=0),1/0,AB108),"-")</f>
        <v>-</v>
      </c>
      <c r="AU108" s="82" t="e">
        <f t="shared" si="315"/>
        <v>#VALUE!</v>
      </c>
      <c r="AV108" t="e">
        <f t="shared" si="316"/>
        <v>#VALUE!</v>
      </c>
      <c r="BG108"/>
      <c r="BH108"/>
    </row>
    <row r="109" spans="1:60" x14ac:dyDescent="0.25">
      <c r="A109" s="84"/>
      <c r="B109" s="84"/>
      <c r="F109" s="81"/>
      <c r="H109" s="81"/>
      <c r="I109" s="84"/>
      <c r="J109" s="84"/>
      <c r="K109" s="84"/>
      <c r="L109" s="84"/>
      <c r="O109" s="99"/>
      <c r="P109" s="99"/>
      <c r="T109" s="81"/>
      <c r="V109" s="81"/>
      <c r="W109" s="84"/>
      <c r="X109" s="84"/>
      <c r="Y109" s="84"/>
      <c r="Z109" s="84"/>
      <c r="AD109" s="191" t="s">
        <v>168</v>
      </c>
      <c r="AE109" s="191" t="s">
        <v>168</v>
      </c>
      <c r="AF109" s="191" t="s">
        <v>168</v>
      </c>
      <c r="AG109" s="191" t="s">
        <v>168</v>
      </c>
      <c r="AH109" s="191" t="s">
        <v>168</v>
      </c>
      <c r="AI109" s="191" t="s">
        <v>168</v>
      </c>
      <c r="AJ109" s="191" t="s">
        <v>168</v>
      </c>
      <c r="AK109" s="191" t="s">
        <v>168</v>
      </c>
      <c r="AL109" s="191" t="s">
        <v>168</v>
      </c>
      <c r="AM109" s="191" t="s">
        <v>168</v>
      </c>
      <c r="AN109" s="191" t="s">
        <v>168</v>
      </c>
      <c r="AO109" s="191" t="s">
        <v>168</v>
      </c>
      <c r="AQ109" s="81"/>
      <c r="AR109" s="81"/>
      <c r="AS109" s="81"/>
      <c r="AT109" s="81"/>
      <c r="AU109" s="81"/>
      <c r="BG109"/>
      <c r="BH109"/>
    </row>
    <row r="110" spans="1:60" ht="18" x14ac:dyDescent="0.35">
      <c r="A110" s="101">
        <f>A104+1</f>
        <v>11</v>
      </c>
      <c r="B110" s="101">
        <f>VLOOKUP(A110,STN_TABLE_2,2,FALSE)</f>
        <v>7</v>
      </c>
      <c r="C110" t="s">
        <v>0</v>
      </c>
      <c r="D110" t="s">
        <v>95</v>
      </c>
      <c r="E110" t="s">
        <v>164</v>
      </c>
      <c r="F110" t="s">
        <v>165</v>
      </c>
      <c r="G110" t="s">
        <v>13</v>
      </c>
      <c r="H110" t="s">
        <v>169</v>
      </c>
      <c r="I110" s="191" t="s">
        <v>168</v>
      </c>
      <c r="J110" s="191" t="s">
        <v>168</v>
      </c>
      <c r="K110" s="191" t="s">
        <v>168</v>
      </c>
      <c r="L110" s="191" t="s">
        <v>168</v>
      </c>
      <c r="M110" s="191" t="s">
        <v>168</v>
      </c>
      <c r="N110" s="191" t="s">
        <v>168</v>
      </c>
      <c r="O110" s="101">
        <f>O104+1</f>
        <v>13</v>
      </c>
      <c r="P110" s="101" t="str">
        <f t="shared" ref="P110" si="328">VLOOKUP(O110,STN_TABLE_2,2,FALSE)</f>
        <v xml:space="preserve">  </v>
      </c>
      <c r="Q110" t="s">
        <v>0</v>
      </c>
      <c r="R110" t="s">
        <v>95</v>
      </c>
      <c r="S110" t="s">
        <v>164</v>
      </c>
      <c r="T110" t="s">
        <v>165</v>
      </c>
      <c r="U110" t="s">
        <v>166</v>
      </c>
      <c r="V110" t="s">
        <v>167</v>
      </c>
      <c r="W110" s="191" t="s">
        <v>168</v>
      </c>
      <c r="X110" s="191" t="s">
        <v>168</v>
      </c>
      <c r="Y110" s="191" t="s">
        <v>168</v>
      </c>
      <c r="Z110" s="191" t="s">
        <v>168</v>
      </c>
      <c r="AA110" s="191" t="s">
        <v>168</v>
      </c>
      <c r="AB110" s="191" t="s">
        <v>168</v>
      </c>
      <c r="BG110"/>
      <c r="BH110"/>
    </row>
    <row r="111" spans="1:60" ht="18" x14ac:dyDescent="0.35">
      <c r="A111" s="84">
        <f>A110+1</f>
        <v>12</v>
      </c>
      <c r="B111" s="84">
        <f>VLOOKUP(A111,STN_TABLE_2,2,FALSE)</f>
        <v>7.8833333333333329</v>
      </c>
      <c r="C111" s="79" t="e">
        <f t="shared" ref="C111" si="329">IF(C112=B113,IF(C113-C112=C112-B112,B112,IF(C113-C112=C112-B111,B111,"#NA")),IF(C112=B112,IF(C113-C112=C112-B111,B111,IF(C113-C112=C112-B110,B110,"#NA")),"#NA"))</f>
        <v>#VALUE!</v>
      </c>
      <c r="D111" s="68" t="e">
        <f>VLOOKUP(C111,STN_TABLE,2,FALSE)</f>
        <v>#VALUE!</v>
      </c>
      <c r="E111" s="102">
        <v>1</v>
      </c>
      <c r="F111" s="68" t="e">
        <f t="shared" ref="F111:F113" si="330">D111*E111</f>
        <v>#VALUE!</v>
      </c>
      <c r="G111" s="69" t="e">
        <f t="shared" ref="G111:G113" si="331">C111</f>
        <v>#VALUE!</v>
      </c>
      <c r="H111" s="69" t="e">
        <f t="shared" ref="H111:H113" si="332">F111*G111</f>
        <v>#VALUE!</v>
      </c>
      <c r="I111" s="6" t="s">
        <v>93</v>
      </c>
      <c r="J111" s="70" t="e">
        <f>IF(OR(D111=0,D112=0,D113=0),"#NA",IF(AND(C113-C112=C112-C111,C112&lt;&gt;C113,C111&lt;&gt;C112,C111&lt;&gt;C113,D113&lt;&gt;0,OR(D111&lt;&gt;0,D112&lt;&gt;0)),WLS*(C113-C112),"#NA"))</f>
        <v>#VALUE!</v>
      </c>
      <c r="K111" s="191" t="s">
        <v>168</v>
      </c>
      <c r="L111" s="191" t="s">
        <v>168</v>
      </c>
      <c r="M111" s="191" t="s">
        <v>168</v>
      </c>
      <c r="N111" s="191" t="s">
        <v>168</v>
      </c>
      <c r="O111" s="99">
        <f>O110+1</f>
        <v>14</v>
      </c>
      <c r="P111" s="99" t="str">
        <f t="shared" si="97"/>
        <v xml:space="preserve">  </v>
      </c>
      <c r="Q111" s="68" t="e">
        <f t="shared" ref="Q111" si="333">IF(OR(P113-P112=P112-P111,P114-P112=P112-P111),P111,IF(OR(P113-P112=P112-P110,P114-P112=P112-P110),P110,"-"))</f>
        <v>#VALUE!</v>
      </c>
      <c r="R111" s="69" t="e">
        <f>VLOOKUP(Q111,STN_TABLE,2,FALSE)</f>
        <v>#VALUE!</v>
      </c>
      <c r="S111" s="69">
        <v>5</v>
      </c>
      <c r="T111" s="68" t="e">
        <f t="shared" ref="T111:T113" si="334">R111*S111</f>
        <v>#VALUE!</v>
      </c>
      <c r="U111" s="79">
        <v>3</v>
      </c>
      <c r="V111" s="68" t="e">
        <f t="shared" ref="V111:V113" si="335">R111*U111</f>
        <v>#VALUE!</v>
      </c>
      <c r="W111" s="6" t="s">
        <v>93</v>
      </c>
      <c r="X111" s="70" t="e">
        <f>IF(AND(Q113-Q112=Q112-Q111,NOT(AND(Q111=0,Q112=0)),NOT(AND(Q112=0,Q113=0))),WLS*(Q113-Q112),"#NA")</f>
        <v>#VALUE!</v>
      </c>
      <c r="Y111" s="191" t="s">
        <v>168</v>
      </c>
      <c r="Z111" s="191" t="s">
        <v>168</v>
      </c>
      <c r="AA111" s="191" t="s">
        <v>168</v>
      </c>
      <c r="AB111" s="191" t="s">
        <v>168</v>
      </c>
      <c r="AD111" t="s">
        <v>0</v>
      </c>
      <c r="AE111" t="s">
        <v>95</v>
      </c>
      <c r="AF111" t="s">
        <v>173</v>
      </c>
      <c r="AG111" t="s">
        <v>183</v>
      </c>
      <c r="AH111" t="s">
        <v>175</v>
      </c>
      <c r="AI111" t="s">
        <v>184</v>
      </c>
      <c r="AJ111" s="6" t="s">
        <v>93</v>
      </c>
      <c r="AK111" s="70" t="e">
        <f>WLS*(AD113-AD112)</f>
        <v>#VALUE!</v>
      </c>
      <c r="AL111" s="191" t="s">
        <v>168</v>
      </c>
      <c r="AM111" s="191" t="s">
        <v>168</v>
      </c>
      <c r="AN111" s="191" t="s">
        <v>168</v>
      </c>
      <c r="AO111" s="191" t="s">
        <v>168</v>
      </c>
      <c r="BG111"/>
      <c r="BH111"/>
    </row>
    <row r="112" spans="1:60" x14ac:dyDescent="0.25">
      <c r="A112" s="84">
        <f>A111+1</f>
        <v>13</v>
      </c>
      <c r="B112" s="84" t="str">
        <f>VLOOKUP(A112,STN_TABLE_2,2,FALSE)</f>
        <v xml:space="preserve">  </v>
      </c>
      <c r="C112" s="80" t="e">
        <f t="shared" ref="C112" si="336">IF(OR(B114-B113=B113-B112,B114-B113=B113-B111,B114-B113=B113-B110),B113,IF(OR(B114-B112=B112-B111,B114-B112=B112-B110),B112,IF(B114-B111=B111-B110,B111,"#NA")))</f>
        <v>#VALUE!</v>
      </c>
      <c r="D112" s="76" t="e">
        <f>VLOOKUP(C112,STN_TABLE,2,FALSE)</f>
        <v>#VALUE!</v>
      </c>
      <c r="E112" s="81">
        <v>4</v>
      </c>
      <c r="F112" s="76" t="e">
        <f t="shared" si="330"/>
        <v>#VALUE!</v>
      </c>
      <c r="G112" s="77" t="e">
        <f t="shared" si="331"/>
        <v>#VALUE!</v>
      </c>
      <c r="H112" s="77" t="e">
        <f t="shared" si="332"/>
        <v>#VALUE!</v>
      </c>
      <c r="I112" s="201" t="s">
        <v>171</v>
      </c>
      <c r="J112" s="191" t="s">
        <v>168</v>
      </c>
      <c r="K112" s="78" t="s">
        <v>98</v>
      </c>
      <c r="L112" s="191" t="s">
        <v>168</v>
      </c>
      <c r="M112" s="7" t="s">
        <v>77</v>
      </c>
      <c r="N112" s="191" t="s">
        <v>168</v>
      </c>
      <c r="O112" s="99">
        <f>O111+1</f>
        <v>15</v>
      </c>
      <c r="P112" s="99" t="str">
        <f t="shared" si="97"/>
        <v xml:space="preserve">  </v>
      </c>
      <c r="Q112" s="76" t="str">
        <f t="shared" ref="Q112" si="337">P112</f>
        <v xml:space="preserve">  </v>
      </c>
      <c r="R112" s="77" t="str">
        <f>VLOOKUP(Q112,STN_TABLE,2,FALSE)</f>
        <v xml:space="preserve">  </v>
      </c>
      <c r="S112" s="77">
        <v>8</v>
      </c>
      <c r="T112" s="76" t="e">
        <f t="shared" si="334"/>
        <v>#VALUE!</v>
      </c>
      <c r="U112" s="80">
        <v>10</v>
      </c>
      <c r="V112" s="76" t="e">
        <f t="shared" si="335"/>
        <v>#VALUE!</v>
      </c>
      <c r="W112" s="201" t="s">
        <v>171</v>
      </c>
      <c r="X112" s="191" t="s">
        <v>168</v>
      </c>
      <c r="Y112" s="78" t="s">
        <v>98</v>
      </c>
      <c r="Z112" s="191" t="s">
        <v>168</v>
      </c>
      <c r="AA112" s="7" t="s">
        <v>77</v>
      </c>
      <c r="AB112" s="191" t="s">
        <v>168</v>
      </c>
      <c r="AC112" s="99">
        <f>AC106+1</f>
        <v>14</v>
      </c>
      <c r="AD112" s="95" t="str">
        <f>VLOOKUP(AC112,STN_TABLE_2,2,FALSE)</f>
        <v xml:space="preserve">  </v>
      </c>
      <c r="AE112" t="str">
        <f t="shared" ref="AE112:AE113" si="338">AG112</f>
        <v xml:space="preserve">  </v>
      </c>
      <c r="AF112">
        <v>1</v>
      </c>
      <c r="AG112" s="68" t="str">
        <f>VLOOKUP(AD112,STN_TABLE,2,FALSE)</f>
        <v xml:space="preserve">  </v>
      </c>
      <c r="AH112" s="68">
        <v>1</v>
      </c>
      <c r="AI112" s="69" t="e">
        <f t="shared" ref="AI112:AI113" si="339">AG112*AH112</f>
        <v>#VALUE!</v>
      </c>
      <c r="AJ112" s="201" t="s">
        <v>171</v>
      </c>
      <c r="AK112" s="191" t="s">
        <v>168</v>
      </c>
      <c r="AL112" s="78" t="s">
        <v>98</v>
      </c>
      <c r="AM112" s="191" t="s">
        <v>168</v>
      </c>
      <c r="AN112" s="7" t="s">
        <v>77</v>
      </c>
      <c r="AO112" s="191" t="s">
        <v>168</v>
      </c>
      <c r="AR112" s="86" t="s">
        <v>112</v>
      </c>
      <c r="AS112" s="89" t="s">
        <v>113</v>
      </c>
      <c r="AT112" s="89" t="s">
        <v>114</v>
      </c>
      <c r="AU112" s="89" t="s">
        <v>115</v>
      </c>
      <c r="AV112" s="71" t="e">
        <f t="shared" ref="AV112" si="340">IF(AV113=AR113,AR112,IF(AV113=AS113,AS112,IF(AV113=AT113,AT112,AU112)))</f>
        <v>#VALUE!</v>
      </c>
      <c r="BG112"/>
      <c r="BH112"/>
    </row>
    <row r="113" spans="1:60" x14ac:dyDescent="0.25">
      <c r="A113" s="84">
        <f>A112+1</f>
        <v>14</v>
      </c>
      <c r="B113" s="84" t="str">
        <f>VLOOKUP(A113,STN_TABLE_2,2,FALSE)</f>
        <v xml:space="preserve">  </v>
      </c>
      <c r="C113" s="88" t="str">
        <f t="shared" ref="C113" si="341">B114</f>
        <v xml:space="preserve">  </v>
      </c>
      <c r="D113" s="82" t="str">
        <f>VLOOKUP(C113,STN_TABLE,2,FALSE)</f>
        <v xml:space="preserve">  </v>
      </c>
      <c r="E113" s="92">
        <v>1</v>
      </c>
      <c r="F113" s="82" t="e">
        <f t="shared" si="330"/>
        <v>#VALUE!</v>
      </c>
      <c r="G113" s="83" t="str">
        <f t="shared" si="331"/>
        <v xml:space="preserve">  </v>
      </c>
      <c r="H113" s="83" t="e">
        <f t="shared" si="332"/>
        <v>#VALUE!</v>
      </c>
      <c r="I113" s="84" t="e">
        <f t="shared" ref="I113" si="342">CONCATENATE("a'(",C111,"~",C113,")=")</f>
        <v>#VALUE!</v>
      </c>
      <c r="J113" s="84" t="e">
        <f t="shared" ref="J113" si="343">2*J111/3*F114</f>
        <v>#VALUE!</v>
      </c>
      <c r="K113" s="84" t="e">
        <f t="shared" ref="K113" si="344">CONCATENATE("A(",C111,")=")</f>
        <v>#VALUE!</v>
      </c>
      <c r="L113" s="84" t="e">
        <f>VLOOKUP(C111,STN_TABLE,3,FALSE)</f>
        <v>#VALUE!</v>
      </c>
      <c r="M113" t="str">
        <f t="shared" ref="M113" si="345">CONCATENATE("A(",C113,")=")</f>
        <v>A(  )=</v>
      </c>
      <c r="N113" t="e">
        <f t="shared" ref="N113:N114" si="346">J113+L113</f>
        <v>#VALUE!</v>
      </c>
      <c r="O113" s="99">
        <f>O112+1</f>
        <v>16</v>
      </c>
      <c r="P113" s="99" t="str">
        <f t="shared" si="97"/>
        <v xml:space="preserve">  </v>
      </c>
      <c r="Q113" s="82" t="e">
        <f t="shared" ref="Q113" si="347">IF(P113-P112=P112-P111,P113,IF(P114-P112=P112-P111,P114,IF(P113-P112=P112-P110,P113,IF(P114-P112=P112-P110,P114,"-"))))</f>
        <v>#VALUE!</v>
      </c>
      <c r="R113" s="83" t="e">
        <f>VLOOKUP(Q113,STN_TABLE,2,FALSE)</f>
        <v>#VALUE!</v>
      </c>
      <c r="S113" s="83">
        <v>-1</v>
      </c>
      <c r="T113" s="82" t="e">
        <f t="shared" si="334"/>
        <v>#VALUE!</v>
      </c>
      <c r="U113" s="88">
        <v>-1</v>
      </c>
      <c r="V113" s="82" t="e">
        <f t="shared" si="335"/>
        <v>#VALUE!</v>
      </c>
      <c r="W113" s="84" t="e">
        <f t="shared" ref="W113" si="348">CONCATENATE("a'(",Q111,"~",Q112,")=")</f>
        <v>#VALUE!</v>
      </c>
      <c r="X113" s="84" t="e">
        <f t="shared" ref="X113" si="349">2*X111/12*T114</f>
        <v>#VALUE!</v>
      </c>
      <c r="Y113" s="84" t="e">
        <f t="shared" ref="Y113" si="350">CONCATENATE("A(",Q111,")=")</f>
        <v>#VALUE!</v>
      </c>
      <c r="Z113" s="84" t="e">
        <f>VLOOKUP(Q111,STN_TABLE,3,FALSE)</f>
        <v>#VALUE!</v>
      </c>
      <c r="AA113" t="str">
        <f t="shared" ref="AA113" si="351">CONCATENATE("A(",Q112,")=")</f>
        <v>A(  )=</v>
      </c>
      <c r="AB113" t="e">
        <f t="shared" ref="AB113:AB114" si="352">X113+Z113</f>
        <v>#VALUE!</v>
      </c>
      <c r="AC113" s="99">
        <f>AC112+1</f>
        <v>15</v>
      </c>
      <c r="AD113" s="100" t="str">
        <f>VLOOKUP(AC113,STN_TABLE_2,2,FALSE)</f>
        <v xml:space="preserve">  </v>
      </c>
      <c r="AE113" t="str">
        <f t="shared" si="338"/>
        <v xml:space="preserve">  </v>
      </c>
      <c r="AF113">
        <v>1</v>
      </c>
      <c r="AG113" s="82" t="str">
        <f>VLOOKUP(AD113,STN_TABLE,2,FALSE)</f>
        <v xml:space="preserve">  </v>
      </c>
      <c r="AH113" s="82">
        <v>2</v>
      </c>
      <c r="AI113" s="83" t="e">
        <f t="shared" si="339"/>
        <v>#VALUE!</v>
      </c>
      <c r="AJ113" s="84" t="str">
        <f t="shared" ref="AJ113" si="353">CONCATENATE("a'(",AD113,")=")</f>
        <v>a'(  )=</v>
      </c>
      <c r="AK113" s="84" t="e">
        <f t="shared" ref="AK113" si="354">2*AK111/2*AG114</f>
        <v>#VALUE!</v>
      </c>
      <c r="AL113" s="84" t="str">
        <f t="shared" ref="AL113" si="355">CONCATENATE("A(",AD112,")=")</f>
        <v>A(  )=</v>
      </c>
      <c r="AM113" s="84" t="str">
        <f>VLOOKUP(AD112,STN_TABLE,3,FALSE)</f>
        <v xml:space="preserve"> </v>
      </c>
      <c r="AN113" t="str">
        <f t="shared" ref="AN113" si="356">CONCATENATE("A(",AD113,")=")</f>
        <v>A(  )=</v>
      </c>
      <c r="AO113" t="e">
        <f t="shared" ref="AO113:AO114" si="357">AK113+AM113</f>
        <v>#VALUE!</v>
      </c>
      <c r="AQ113" s="68" t="str">
        <f>AA113</f>
        <v>A(  )=</v>
      </c>
      <c r="AR113" s="68" t="str">
        <f>IFERROR(VLOOKUP(AQ113,Rise_Results,2,FALSE),"-")</f>
        <v>-</v>
      </c>
      <c r="AS113" s="76" t="str">
        <f>IFERROR(N113,"-")</f>
        <v>-</v>
      </c>
      <c r="AT113" s="76" t="str">
        <f>IFERROR(IF(OR(AB113&lt;=0,AB114&lt;=0),1/0,AB113),"-")</f>
        <v>-</v>
      </c>
      <c r="AU113" s="76" t="e">
        <f t="shared" ref="AU113:AU114" si="358">AO113</f>
        <v>#VALUE!</v>
      </c>
      <c r="AV113" t="e">
        <f t="shared" ref="AV113:AV114" si="359">IF(ISNUMBER(AR113),AR113,IF(ISNUMBER(AS113),AS113,IF(ISNUMBER(AT113),AT113,AU113)))</f>
        <v>#VALUE!</v>
      </c>
      <c r="BG113"/>
      <c r="BH113"/>
    </row>
    <row r="114" spans="1:60" x14ac:dyDescent="0.25">
      <c r="A114" s="84">
        <f>A113+1</f>
        <v>15</v>
      </c>
      <c r="B114" s="84" t="str">
        <f>VLOOKUP(A114,STN_TABLE_2,2,FALSE)</f>
        <v xml:space="preserve">  </v>
      </c>
      <c r="C114" s="191" t="s">
        <v>168</v>
      </c>
      <c r="D114" s="191" t="s">
        <v>168</v>
      </c>
      <c r="E114" s="6" t="s">
        <v>172</v>
      </c>
      <c r="F114" s="89" t="e">
        <f t="shared" ref="F114" si="360">SUM(F111:F113)</f>
        <v>#VALUE!</v>
      </c>
      <c r="G114" s="6" t="s">
        <v>172</v>
      </c>
      <c r="H114" s="82" t="e">
        <f t="shared" ref="H114" si="361">SUM(H111:H113)</f>
        <v>#VALUE!</v>
      </c>
      <c r="I114" s="84" t="e">
        <f t="shared" ref="I114" si="362">CONCATENATE("m'(",C111,"~",C113,")=")</f>
        <v>#VALUE!</v>
      </c>
      <c r="J114" s="84" t="e">
        <f>2*(J111*(WLS))/3*H114</f>
        <v>#VALUE!</v>
      </c>
      <c r="K114" s="84" t="e">
        <f t="shared" ref="K114" si="363">CONCATENATE("M(",C111,")=")</f>
        <v>#VALUE!</v>
      </c>
      <c r="L114" s="84" t="e">
        <f>VLOOKUP(C111,STN_TABLE,4,FALSE)</f>
        <v>#VALUE!</v>
      </c>
      <c r="M114" t="str">
        <f t="shared" ref="M114" si="364">CONCATENATE("M(",C113,")=")</f>
        <v>M(  )=</v>
      </c>
      <c r="N114" t="e">
        <f t="shared" si="346"/>
        <v>#VALUE!</v>
      </c>
      <c r="O114" s="99">
        <f>O113+1</f>
        <v>17</v>
      </c>
      <c r="P114" s="99" t="str">
        <f t="shared" ref="P114:P150" si="365">VLOOKUP(O114,STN_TABLE_2,2,FALSE)</f>
        <v xml:space="preserve">  </v>
      </c>
      <c r="Q114" s="191" t="s">
        <v>168</v>
      </c>
      <c r="R114" s="191" t="s">
        <v>168</v>
      </c>
      <c r="S114" s="6" t="s">
        <v>172</v>
      </c>
      <c r="T114" s="89" t="e">
        <f t="shared" si="146"/>
        <v>#VALUE!</v>
      </c>
      <c r="U114" s="6" t="s">
        <v>172</v>
      </c>
      <c r="V114" s="82" t="e">
        <f t="shared" si="147"/>
        <v>#VALUE!</v>
      </c>
      <c r="W114" s="84" t="e">
        <f t="shared" ref="W114" si="366">CONCATENATE("m'(",Q111,"~",Q112,")=")</f>
        <v>#VALUE!</v>
      </c>
      <c r="X114" s="84" t="e">
        <f>(2*(X111^2)/24*V114)+(X113*Q111*WLS)</f>
        <v>#VALUE!</v>
      </c>
      <c r="Y114" s="84" t="e">
        <f t="shared" ref="Y114" si="367">CONCATENATE("M(",Q111,")=")</f>
        <v>#VALUE!</v>
      </c>
      <c r="Z114" s="84" t="e">
        <f>VLOOKUP(Q111,STN_TABLE,4,FALSE)</f>
        <v>#VALUE!</v>
      </c>
      <c r="AA114" t="str">
        <f t="shared" ref="AA114" si="368">CONCATENATE("M(",Q112,")=")</f>
        <v>M(  )=</v>
      </c>
      <c r="AB114" t="e">
        <f t="shared" si="352"/>
        <v>#VALUE!</v>
      </c>
      <c r="AD114" s="191" t="s">
        <v>168</v>
      </c>
      <c r="AE114" s="191" t="s">
        <v>168</v>
      </c>
      <c r="AF114" s="6" t="s">
        <v>172</v>
      </c>
      <c r="AG114" s="89">
        <f t="shared" si="151"/>
        <v>0</v>
      </c>
      <c r="AH114" s="6" t="s">
        <v>172</v>
      </c>
      <c r="AI114" s="89" t="e">
        <f t="shared" si="152"/>
        <v>#VALUE!</v>
      </c>
      <c r="AJ114" s="84" t="str">
        <f t="shared" ref="AJ114" si="369">CONCATENATE("m'(",AD113,")=")</f>
        <v>m'(  )=</v>
      </c>
      <c r="AK114" s="84" t="e">
        <f>(2*(AK111^2)/6*AI114)+(AK113*AD112*WLS)</f>
        <v>#VALUE!</v>
      </c>
      <c r="AL114" s="84" t="str">
        <f t="shared" ref="AL114" si="370">CONCATENATE("M(",AD112,")=")</f>
        <v>M(  )=</v>
      </c>
      <c r="AM114" s="84" t="str">
        <f>VLOOKUP(AD112,STN_TABLE,4,FALSE)</f>
        <v xml:space="preserve"> </v>
      </c>
      <c r="AN114" t="str">
        <f t="shared" ref="AN114" si="371">CONCATENATE("M(",AD113,")=")</f>
        <v>M(  )=</v>
      </c>
      <c r="AO114" t="e">
        <f t="shared" si="357"/>
        <v>#VALUE!</v>
      </c>
      <c r="AQ114" s="82" t="str">
        <f>AA114</f>
        <v>M(  )=</v>
      </c>
      <c r="AR114" s="82" t="str">
        <f>IFERROR(VLOOKUP(AQ114,Rise_Results,2,FALSE),"-")</f>
        <v>-</v>
      </c>
      <c r="AS114" s="82" t="str">
        <f>IFERROR(N114,"-")</f>
        <v>-</v>
      </c>
      <c r="AT114" s="82" t="str">
        <f>IFERROR(IF(OR(AB113&lt;=0,AB114&lt;=0),1/0,AB114),"-")</f>
        <v>-</v>
      </c>
      <c r="AU114" s="82" t="e">
        <f t="shared" si="358"/>
        <v>#VALUE!</v>
      </c>
      <c r="AV114" t="e">
        <f t="shared" si="359"/>
        <v>#VALUE!</v>
      </c>
      <c r="BG114"/>
      <c r="BH114"/>
    </row>
    <row r="115" spans="1:60" x14ac:dyDescent="0.25">
      <c r="A115" s="84"/>
      <c r="B115" s="84"/>
      <c r="F115" s="81"/>
      <c r="H115" s="81"/>
      <c r="I115" s="84"/>
      <c r="J115" s="84"/>
      <c r="K115" s="84"/>
      <c r="L115" s="84"/>
      <c r="O115" s="99"/>
      <c r="P115" s="99"/>
      <c r="T115" s="81"/>
      <c r="V115" s="81"/>
      <c r="W115" s="84"/>
      <c r="X115" s="84"/>
      <c r="Y115" s="84"/>
      <c r="Z115" s="84"/>
      <c r="AD115" s="191" t="s">
        <v>168</v>
      </c>
      <c r="AE115" s="191" t="s">
        <v>168</v>
      </c>
      <c r="AF115" s="191" t="s">
        <v>168</v>
      </c>
      <c r="AG115" s="191" t="s">
        <v>168</v>
      </c>
      <c r="AH115" s="191" t="s">
        <v>168</v>
      </c>
      <c r="AI115" s="191" t="s">
        <v>168</v>
      </c>
      <c r="AJ115" s="191" t="s">
        <v>168</v>
      </c>
      <c r="AK115" s="191" t="s">
        <v>168</v>
      </c>
      <c r="AL115" s="191" t="s">
        <v>168</v>
      </c>
      <c r="AM115" s="191" t="s">
        <v>168</v>
      </c>
      <c r="AN115" s="191" t="s">
        <v>168</v>
      </c>
      <c r="AO115" s="191" t="s">
        <v>168</v>
      </c>
      <c r="AQ115" s="81"/>
      <c r="AR115" s="81"/>
      <c r="AS115" s="81"/>
      <c r="AT115" s="81"/>
      <c r="AU115" s="81"/>
      <c r="BG115"/>
      <c r="BH115"/>
    </row>
    <row r="116" spans="1:60" ht="18" x14ac:dyDescent="0.35">
      <c r="A116" s="101">
        <f>A110+1</f>
        <v>12</v>
      </c>
      <c r="B116" s="101">
        <f>VLOOKUP(A116,STN_TABLE_2,2,FALSE)</f>
        <v>7.8833333333333329</v>
      </c>
      <c r="C116" t="s">
        <v>0</v>
      </c>
      <c r="D116" t="s">
        <v>95</v>
      </c>
      <c r="E116" t="s">
        <v>164</v>
      </c>
      <c r="F116" t="s">
        <v>165</v>
      </c>
      <c r="G116" t="s">
        <v>13</v>
      </c>
      <c r="H116" t="s">
        <v>169</v>
      </c>
      <c r="I116" s="191" t="s">
        <v>168</v>
      </c>
      <c r="J116" s="191" t="s">
        <v>168</v>
      </c>
      <c r="K116" s="191" t="s">
        <v>168</v>
      </c>
      <c r="L116" s="191" t="s">
        <v>168</v>
      </c>
      <c r="M116" s="191" t="s">
        <v>168</v>
      </c>
      <c r="N116" s="191" t="s">
        <v>168</v>
      </c>
      <c r="O116" s="101">
        <f>O110+1</f>
        <v>14</v>
      </c>
      <c r="P116" s="101" t="str">
        <f t="shared" ref="P116" si="372">VLOOKUP(O116,STN_TABLE_2,2,FALSE)</f>
        <v xml:space="preserve">  </v>
      </c>
      <c r="Q116" t="s">
        <v>0</v>
      </c>
      <c r="R116" t="s">
        <v>95</v>
      </c>
      <c r="S116" t="s">
        <v>164</v>
      </c>
      <c r="T116" t="s">
        <v>165</v>
      </c>
      <c r="U116" t="s">
        <v>166</v>
      </c>
      <c r="V116" t="s">
        <v>167</v>
      </c>
      <c r="W116" s="191" t="s">
        <v>168</v>
      </c>
      <c r="X116" s="191" t="s">
        <v>168</v>
      </c>
      <c r="Y116" s="191" t="s">
        <v>168</v>
      </c>
      <c r="Z116" s="191" t="s">
        <v>168</v>
      </c>
      <c r="AA116" s="191" t="s">
        <v>168</v>
      </c>
      <c r="AB116" s="191" t="s">
        <v>168</v>
      </c>
      <c r="BG116"/>
      <c r="BH116"/>
    </row>
    <row r="117" spans="1:60" ht="18" x14ac:dyDescent="0.35">
      <c r="A117" s="84">
        <f>A116+1</f>
        <v>13</v>
      </c>
      <c r="B117" s="84" t="str">
        <f>VLOOKUP(A117,STN_TABLE_2,2,FALSE)</f>
        <v xml:space="preserve">  </v>
      </c>
      <c r="C117" s="79" t="e">
        <f t="shared" ref="C117" si="373">IF(C118=B119,IF(C119-C118=C118-B118,B118,IF(C119-C118=C118-B117,B117,"#NA")),IF(C118=B118,IF(C119-C118=C118-B117,B117,IF(C119-C118=C118-B116,B116,"#NA")),"#NA"))</f>
        <v>#VALUE!</v>
      </c>
      <c r="D117" s="68" t="e">
        <f>VLOOKUP(C117,STN_TABLE,2,FALSE)</f>
        <v>#VALUE!</v>
      </c>
      <c r="E117" s="102">
        <v>1</v>
      </c>
      <c r="F117" s="68" t="e">
        <f t="shared" ref="F117:F119" si="374">D117*E117</f>
        <v>#VALUE!</v>
      </c>
      <c r="G117" s="69" t="e">
        <f t="shared" ref="G117:G119" si="375">C117</f>
        <v>#VALUE!</v>
      </c>
      <c r="H117" s="69" t="e">
        <f t="shared" ref="H117:H119" si="376">F117*G117</f>
        <v>#VALUE!</v>
      </c>
      <c r="I117" s="6" t="s">
        <v>93</v>
      </c>
      <c r="J117" s="70" t="e">
        <f>IF(OR(D117=0,D118=0,D119=0),"#NA",IF(AND(C119-C118=C118-C117,C118&lt;&gt;C119,C117&lt;&gt;C118,C117&lt;&gt;C119,D119&lt;&gt;0,OR(D117&lt;&gt;0,D118&lt;&gt;0)),WLS*(C119-C118),"#NA"))</f>
        <v>#VALUE!</v>
      </c>
      <c r="K117" s="191" t="s">
        <v>168</v>
      </c>
      <c r="L117" s="191" t="s">
        <v>168</v>
      </c>
      <c r="M117" s="191" t="s">
        <v>168</v>
      </c>
      <c r="N117" s="191" t="s">
        <v>168</v>
      </c>
      <c r="O117" s="99">
        <f>O116+1</f>
        <v>15</v>
      </c>
      <c r="P117" s="99" t="str">
        <f t="shared" si="365"/>
        <v xml:space="preserve">  </v>
      </c>
      <c r="Q117" s="68" t="e">
        <f t="shared" ref="Q117" si="377">IF(OR(P119-P118=P118-P117,P120-P118=P118-P117),P117,IF(OR(P119-P118=P118-P116,P120-P118=P118-P116),P116,"-"))</f>
        <v>#VALUE!</v>
      </c>
      <c r="R117" s="69" t="e">
        <f>VLOOKUP(Q117,STN_TABLE,2,FALSE)</f>
        <v>#VALUE!</v>
      </c>
      <c r="S117" s="69">
        <v>5</v>
      </c>
      <c r="T117" s="68" t="e">
        <f t="shared" ref="T117:T119" si="378">R117*S117</f>
        <v>#VALUE!</v>
      </c>
      <c r="U117" s="79">
        <v>3</v>
      </c>
      <c r="V117" s="68" t="e">
        <f t="shared" ref="V117:V119" si="379">R117*U117</f>
        <v>#VALUE!</v>
      </c>
      <c r="W117" s="6" t="s">
        <v>93</v>
      </c>
      <c r="X117" s="70" t="e">
        <f>IF(AND(Q119-Q118=Q118-Q117,NOT(AND(Q117=0,Q118=0)),NOT(AND(Q118=0,Q119=0))),WLS*(Q119-Q118),"#NA")</f>
        <v>#VALUE!</v>
      </c>
      <c r="Y117" s="191" t="s">
        <v>168</v>
      </c>
      <c r="Z117" s="191" t="s">
        <v>168</v>
      </c>
      <c r="AA117" s="191" t="s">
        <v>168</v>
      </c>
      <c r="AB117" s="191" t="s">
        <v>168</v>
      </c>
      <c r="AD117" t="s">
        <v>0</v>
      </c>
      <c r="AE117" t="s">
        <v>95</v>
      </c>
      <c r="AF117" t="s">
        <v>173</v>
      </c>
      <c r="AG117" t="s">
        <v>183</v>
      </c>
      <c r="AH117" t="s">
        <v>175</v>
      </c>
      <c r="AI117" t="s">
        <v>184</v>
      </c>
      <c r="AJ117" s="6" t="s">
        <v>93</v>
      </c>
      <c r="AK117" s="70" t="e">
        <f>WLS*(AD119-AD118)</f>
        <v>#VALUE!</v>
      </c>
      <c r="AL117" s="191" t="s">
        <v>168</v>
      </c>
      <c r="AM117" s="191" t="s">
        <v>168</v>
      </c>
      <c r="AN117" s="191" t="s">
        <v>168</v>
      </c>
      <c r="AO117" s="191" t="s">
        <v>168</v>
      </c>
      <c r="BG117"/>
      <c r="BH117"/>
    </row>
    <row r="118" spans="1:60" x14ac:dyDescent="0.25">
      <c r="A118" s="84">
        <f>A117+1</f>
        <v>14</v>
      </c>
      <c r="B118" s="84" t="str">
        <f>VLOOKUP(A118,STN_TABLE_2,2,FALSE)</f>
        <v xml:space="preserve">  </v>
      </c>
      <c r="C118" s="80" t="e">
        <f t="shared" ref="C118" si="380">IF(OR(B120-B119=B119-B118,B120-B119=B119-B117,B120-B119=B119-B116),B119,IF(OR(B120-B118=B118-B117,B120-B118=B118-B116),B118,IF(B120-B117=B117-B116,B117,"#NA")))</f>
        <v>#VALUE!</v>
      </c>
      <c r="D118" s="76" t="e">
        <f>VLOOKUP(C118,STN_TABLE,2,FALSE)</f>
        <v>#VALUE!</v>
      </c>
      <c r="E118" s="81">
        <v>4</v>
      </c>
      <c r="F118" s="76" t="e">
        <f t="shared" si="374"/>
        <v>#VALUE!</v>
      </c>
      <c r="G118" s="77" t="e">
        <f t="shared" si="375"/>
        <v>#VALUE!</v>
      </c>
      <c r="H118" s="77" t="e">
        <f t="shared" si="376"/>
        <v>#VALUE!</v>
      </c>
      <c r="I118" s="201" t="s">
        <v>171</v>
      </c>
      <c r="J118" s="191" t="s">
        <v>168</v>
      </c>
      <c r="K118" s="78" t="s">
        <v>98</v>
      </c>
      <c r="L118" s="191" t="s">
        <v>168</v>
      </c>
      <c r="M118" s="7" t="s">
        <v>77</v>
      </c>
      <c r="N118" s="191" t="s">
        <v>168</v>
      </c>
      <c r="O118" s="99">
        <f>O117+1</f>
        <v>16</v>
      </c>
      <c r="P118" s="99" t="str">
        <f t="shared" si="365"/>
        <v xml:space="preserve">  </v>
      </c>
      <c r="Q118" s="76" t="str">
        <f t="shared" ref="Q118" si="381">P118</f>
        <v xml:space="preserve">  </v>
      </c>
      <c r="R118" s="77" t="str">
        <f>VLOOKUP(Q118,STN_TABLE,2,FALSE)</f>
        <v xml:space="preserve">  </v>
      </c>
      <c r="S118" s="77">
        <v>8</v>
      </c>
      <c r="T118" s="76" t="e">
        <f t="shared" si="378"/>
        <v>#VALUE!</v>
      </c>
      <c r="U118" s="80">
        <v>10</v>
      </c>
      <c r="V118" s="76" t="e">
        <f t="shared" si="379"/>
        <v>#VALUE!</v>
      </c>
      <c r="W118" s="201" t="s">
        <v>171</v>
      </c>
      <c r="X118" s="191" t="s">
        <v>168</v>
      </c>
      <c r="Y118" s="78" t="s">
        <v>98</v>
      </c>
      <c r="Z118" s="191" t="s">
        <v>168</v>
      </c>
      <c r="AA118" s="7" t="s">
        <v>77</v>
      </c>
      <c r="AB118" s="191" t="s">
        <v>168</v>
      </c>
      <c r="AC118" s="99">
        <f>AC112+1</f>
        <v>15</v>
      </c>
      <c r="AD118" s="95" t="str">
        <f>VLOOKUP(AC118,STN_TABLE_2,2,FALSE)</f>
        <v xml:space="preserve">  </v>
      </c>
      <c r="AE118" t="str">
        <f t="shared" ref="AE118:AE119" si="382">AG118</f>
        <v xml:space="preserve">  </v>
      </c>
      <c r="AF118">
        <v>1</v>
      </c>
      <c r="AG118" s="68" t="str">
        <f>VLOOKUP(AD118,STN_TABLE,2,FALSE)</f>
        <v xml:space="preserve">  </v>
      </c>
      <c r="AH118" s="68">
        <v>1</v>
      </c>
      <c r="AI118" s="69" t="e">
        <f t="shared" ref="AI118:AI119" si="383">AG118*AH118</f>
        <v>#VALUE!</v>
      </c>
      <c r="AJ118" s="201" t="s">
        <v>171</v>
      </c>
      <c r="AK118" s="191" t="s">
        <v>168</v>
      </c>
      <c r="AL118" s="78" t="s">
        <v>98</v>
      </c>
      <c r="AM118" s="191" t="s">
        <v>168</v>
      </c>
      <c r="AN118" s="7" t="s">
        <v>77</v>
      </c>
      <c r="AO118" s="191" t="s">
        <v>168</v>
      </c>
      <c r="AR118" s="86" t="s">
        <v>112</v>
      </c>
      <c r="AS118" s="89" t="s">
        <v>113</v>
      </c>
      <c r="AT118" s="89" t="s">
        <v>114</v>
      </c>
      <c r="AU118" s="89" t="s">
        <v>115</v>
      </c>
      <c r="AV118" s="71" t="e">
        <f t="shared" ref="AV118" si="384">IF(AV119=AR119,AR118,IF(AV119=AS119,AS118,IF(AV119=AT119,AT118,AU118)))</f>
        <v>#VALUE!</v>
      </c>
      <c r="BG118"/>
      <c r="BH118"/>
    </row>
    <row r="119" spans="1:60" x14ac:dyDescent="0.25">
      <c r="A119" s="84">
        <f>A118+1</f>
        <v>15</v>
      </c>
      <c r="B119" s="84" t="str">
        <f>VLOOKUP(A119,STN_TABLE_2,2,FALSE)</f>
        <v xml:space="preserve">  </v>
      </c>
      <c r="C119" s="88" t="str">
        <f t="shared" ref="C119" si="385">B120</f>
        <v xml:space="preserve">  </v>
      </c>
      <c r="D119" s="82" t="str">
        <f>VLOOKUP(C119,STN_TABLE,2,FALSE)</f>
        <v xml:space="preserve">  </v>
      </c>
      <c r="E119" s="92">
        <v>1</v>
      </c>
      <c r="F119" s="82" t="e">
        <f t="shared" si="374"/>
        <v>#VALUE!</v>
      </c>
      <c r="G119" s="83" t="str">
        <f t="shared" si="375"/>
        <v xml:space="preserve">  </v>
      </c>
      <c r="H119" s="83" t="e">
        <f t="shared" si="376"/>
        <v>#VALUE!</v>
      </c>
      <c r="I119" s="84" t="e">
        <f t="shared" ref="I119" si="386">CONCATENATE("a'(",C117,"~",C119,")=")</f>
        <v>#VALUE!</v>
      </c>
      <c r="J119" s="84" t="e">
        <f t="shared" ref="J119" si="387">2*J117/3*F120</f>
        <v>#VALUE!</v>
      </c>
      <c r="K119" s="84" t="e">
        <f t="shared" ref="K119" si="388">CONCATENATE("A(",C117,")=")</f>
        <v>#VALUE!</v>
      </c>
      <c r="L119" s="84" t="e">
        <f>VLOOKUP(C117,STN_TABLE,3,FALSE)</f>
        <v>#VALUE!</v>
      </c>
      <c r="M119" t="str">
        <f t="shared" ref="M119" si="389">CONCATENATE("A(",C119,")=")</f>
        <v>A(  )=</v>
      </c>
      <c r="N119" t="e">
        <f t="shared" ref="N119:N120" si="390">J119+L119</f>
        <v>#VALUE!</v>
      </c>
      <c r="O119" s="99">
        <f>O118+1</f>
        <v>17</v>
      </c>
      <c r="P119" s="99" t="str">
        <f t="shared" si="365"/>
        <v xml:space="preserve">  </v>
      </c>
      <c r="Q119" s="82" t="e">
        <f t="shared" ref="Q119" si="391">IF(P119-P118=P118-P117,P119,IF(P120-P118=P118-P117,P120,IF(P119-P118=P118-P116,P119,IF(P120-P118=P118-P116,P120,"-"))))</f>
        <v>#VALUE!</v>
      </c>
      <c r="R119" s="83" t="e">
        <f>VLOOKUP(Q119,STN_TABLE,2,FALSE)</f>
        <v>#VALUE!</v>
      </c>
      <c r="S119" s="83">
        <v>-1</v>
      </c>
      <c r="T119" s="82" t="e">
        <f t="shared" si="378"/>
        <v>#VALUE!</v>
      </c>
      <c r="U119" s="88">
        <v>-1</v>
      </c>
      <c r="V119" s="82" t="e">
        <f t="shared" si="379"/>
        <v>#VALUE!</v>
      </c>
      <c r="W119" s="84" t="e">
        <f t="shared" ref="W119" si="392">CONCATENATE("a'(",Q117,"~",Q118,")=")</f>
        <v>#VALUE!</v>
      </c>
      <c r="X119" s="84" t="e">
        <f t="shared" ref="X119" si="393">2*X117/12*T120</f>
        <v>#VALUE!</v>
      </c>
      <c r="Y119" s="84" t="e">
        <f t="shared" ref="Y119" si="394">CONCATENATE("A(",Q117,")=")</f>
        <v>#VALUE!</v>
      </c>
      <c r="Z119" s="84" t="e">
        <f>VLOOKUP(Q117,STN_TABLE,3,FALSE)</f>
        <v>#VALUE!</v>
      </c>
      <c r="AA119" t="str">
        <f t="shared" ref="AA119" si="395">CONCATENATE("A(",Q118,")=")</f>
        <v>A(  )=</v>
      </c>
      <c r="AB119" t="e">
        <f t="shared" ref="AB119:AB120" si="396">X119+Z119</f>
        <v>#VALUE!</v>
      </c>
      <c r="AC119" s="99">
        <f>AC118+1</f>
        <v>16</v>
      </c>
      <c r="AD119" s="100" t="str">
        <f>VLOOKUP(AC119,STN_TABLE_2,2,FALSE)</f>
        <v xml:space="preserve">  </v>
      </c>
      <c r="AE119" t="str">
        <f t="shared" si="382"/>
        <v xml:space="preserve">  </v>
      </c>
      <c r="AF119">
        <v>1</v>
      </c>
      <c r="AG119" s="82" t="str">
        <f>VLOOKUP(AD119,STN_TABLE,2,FALSE)</f>
        <v xml:space="preserve">  </v>
      </c>
      <c r="AH119" s="82">
        <v>2</v>
      </c>
      <c r="AI119" s="83" t="e">
        <f t="shared" si="383"/>
        <v>#VALUE!</v>
      </c>
      <c r="AJ119" s="84" t="str">
        <f t="shared" ref="AJ119" si="397">CONCATENATE("a'(",AD119,")=")</f>
        <v>a'(  )=</v>
      </c>
      <c r="AK119" s="84" t="e">
        <f t="shared" ref="AK119" si="398">2*AK117/2*AG120</f>
        <v>#VALUE!</v>
      </c>
      <c r="AL119" s="84" t="str">
        <f t="shared" ref="AL119" si="399">CONCATENATE("A(",AD118,")=")</f>
        <v>A(  )=</v>
      </c>
      <c r="AM119" s="84" t="str">
        <f>VLOOKUP(AD118,STN_TABLE,3,FALSE)</f>
        <v xml:space="preserve"> </v>
      </c>
      <c r="AN119" t="str">
        <f t="shared" ref="AN119" si="400">CONCATENATE("A(",AD119,")=")</f>
        <v>A(  )=</v>
      </c>
      <c r="AO119" t="e">
        <f t="shared" ref="AO119:AO120" si="401">AK119+AM119</f>
        <v>#VALUE!</v>
      </c>
      <c r="AQ119" s="68" t="str">
        <f>AA119</f>
        <v>A(  )=</v>
      </c>
      <c r="AR119" s="68" t="str">
        <f>IFERROR(VLOOKUP(AQ119,Rise_Results,2,FALSE),"-")</f>
        <v>-</v>
      </c>
      <c r="AS119" s="76" t="str">
        <f>IFERROR(N119,"-")</f>
        <v>-</v>
      </c>
      <c r="AT119" s="76" t="str">
        <f>IFERROR(IF(OR(AB119&lt;=0,AB120&lt;=0),1/0,AB119),"-")</f>
        <v>-</v>
      </c>
      <c r="AU119" s="76" t="e">
        <f t="shared" ref="AU119:AU120" si="402">AO119</f>
        <v>#VALUE!</v>
      </c>
      <c r="AV119" t="e">
        <f t="shared" ref="AV119:AV120" si="403">IF(ISNUMBER(AR119),AR119,IF(ISNUMBER(AS119),AS119,IF(ISNUMBER(AT119),AT119,AU119)))</f>
        <v>#VALUE!</v>
      </c>
      <c r="BG119"/>
      <c r="BH119"/>
    </row>
    <row r="120" spans="1:60" x14ac:dyDescent="0.25">
      <c r="A120" s="84">
        <f>A119+1</f>
        <v>16</v>
      </c>
      <c r="B120" s="84" t="str">
        <f>VLOOKUP(A120,STN_TABLE_2,2,FALSE)</f>
        <v xml:space="preserve">  </v>
      </c>
      <c r="C120" s="191" t="s">
        <v>168</v>
      </c>
      <c r="D120" s="191" t="s">
        <v>168</v>
      </c>
      <c r="E120" s="6" t="s">
        <v>172</v>
      </c>
      <c r="F120" s="89" t="e">
        <f t="shared" ref="F120" si="404">SUM(F117:F119)</f>
        <v>#VALUE!</v>
      </c>
      <c r="G120" s="6" t="s">
        <v>172</v>
      </c>
      <c r="H120" s="82" t="e">
        <f t="shared" ref="H120" si="405">SUM(H117:H119)</f>
        <v>#VALUE!</v>
      </c>
      <c r="I120" s="84" t="e">
        <f t="shared" ref="I120" si="406">CONCATENATE("m'(",C117,"~",C119,")=")</f>
        <v>#VALUE!</v>
      </c>
      <c r="J120" s="84" t="e">
        <f>2*(J117*(WLS))/3*H120</f>
        <v>#VALUE!</v>
      </c>
      <c r="K120" s="84" t="e">
        <f t="shared" ref="K120" si="407">CONCATENATE("M(",C117,")=")</f>
        <v>#VALUE!</v>
      </c>
      <c r="L120" s="84" t="e">
        <f>VLOOKUP(C117,STN_TABLE,4,FALSE)</f>
        <v>#VALUE!</v>
      </c>
      <c r="M120" t="str">
        <f t="shared" ref="M120" si="408">CONCATENATE("M(",C119,")=")</f>
        <v>M(  )=</v>
      </c>
      <c r="N120" t="e">
        <f t="shared" si="390"/>
        <v>#VALUE!</v>
      </c>
      <c r="O120" s="99">
        <f>O119+1</f>
        <v>18</v>
      </c>
      <c r="P120" s="99" t="str">
        <f t="shared" si="365"/>
        <v xml:space="preserve">  </v>
      </c>
      <c r="Q120" s="191" t="s">
        <v>168</v>
      </c>
      <c r="R120" s="191" t="s">
        <v>168</v>
      </c>
      <c r="S120" s="6" t="s">
        <v>172</v>
      </c>
      <c r="T120" s="89" t="e">
        <f t="shared" si="146"/>
        <v>#VALUE!</v>
      </c>
      <c r="U120" s="6" t="s">
        <v>172</v>
      </c>
      <c r="V120" s="82" t="e">
        <f t="shared" si="147"/>
        <v>#VALUE!</v>
      </c>
      <c r="W120" s="84" t="e">
        <f t="shared" ref="W120" si="409">CONCATENATE("m'(",Q117,"~",Q118,")=")</f>
        <v>#VALUE!</v>
      </c>
      <c r="X120" s="84" t="e">
        <f>(2*(X117^2)/24*V120)+(X119*Q117*WLS)</f>
        <v>#VALUE!</v>
      </c>
      <c r="Y120" s="84" t="e">
        <f t="shared" ref="Y120" si="410">CONCATENATE("M(",Q117,")=")</f>
        <v>#VALUE!</v>
      </c>
      <c r="Z120" s="84" t="e">
        <f>VLOOKUP(Q117,STN_TABLE,4,FALSE)</f>
        <v>#VALUE!</v>
      </c>
      <c r="AA120" t="str">
        <f t="shared" ref="AA120" si="411">CONCATENATE("M(",Q118,")=")</f>
        <v>M(  )=</v>
      </c>
      <c r="AB120" t="e">
        <f t="shared" si="396"/>
        <v>#VALUE!</v>
      </c>
      <c r="AD120" s="191" t="s">
        <v>168</v>
      </c>
      <c r="AE120" s="191" t="s">
        <v>168</v>
      </c>
      <c r="AF120" s="6" t="s">
        <v>172</v>
      </c>
      <c r="AG120" s="89">
        <f t="shared" si="151"/>
        <v>0</v>
      </c>
      <c r="AH120" s="6" t="s">
        <v>172</v>
      </c>
      <c r="AI120" s="89" t="e">
        <f t="shared" si="152"/>
        <v>#VALUE!</v>
      </c>
      <c r="AJ120" s="84" t="str">
        <f t="shared" ref="AJ120" si="412">CONCATENATE("m'(",AD119,")=")</f>
        <v>m'(  )=</v>
      </c>
      <c r="AK120" s="84" t="e">
        <f>(2*(AK117^2)/6*AI120)+(AK119*AD118*WLS)</f>
        <v>#VALUE!</v>
      </c>
      <c r="AL120" s="84" t="str">
        <f t="shared" ref="AL120" si="413">CONCATENATE("M(",AD118,")=")</f>
        <v>M(  )=</v>
      </c>
      <c r="AM120" s="84" t="str">
        <f>VLOOKUP(AD118,STN_TABLE,4,FALSE)</f>
        <v xml:space="preserve"> </v>
      </c>
      <c r="AN120" t="str">
        <f t="shared" ref="AN120" si="414">CONCATENATE("M(",AD119,")=")</f>
        <v>M(  )=</v>
      </c>
      <c r="AO120" t="e">
        <f t="shared" si="401"/>
        <v>#VALUE!</v>
      </c>
      <c r="AQ120" s="82" t="str">
        <f>AA120</f>
        <v>M(  )=</v>
      </c>
      <c r="AR120" s="82" t="str">
        <f>IFERROR(VLOOKUP(AQ120,Rise_Results,2,FALSE),"-")</f>
        <v>-</v>
      </c>
      <c r="AS120" s="82" t="str">
        <f>IFERROR(N120,"-")</f>
        <v>-</v>
      </c>
      <c r="AT120" s="82" t="str">
        <f>IFERROR(IF(OR(AB119&lt;=0,AB120&lt;=0),1/0,AB120),"-")</f>
        <v>-</v>
      </c>
      <c r="AU120" s="82" t="e">
        <f t="shared" si="402"/>
        <v>#VALUE!</v>
      </c>
      <c r="AV120" t="e">
        <f t="shared" si="403"/>
        <v>#VALUE!</v>
      </c>
      <c r="BG120"/>
      <c r="BH120"/>
    </row>
    <row r="121" spans="1:60" x14ac:dyDescent="0.25">
      <c r="A121" s="84"/>
      <c r="B121" s="84"/>
      <c r="F121" s="81"/>
      <c r="H121" s="81"/>
      <c r="I121" s="84"/>
      <c r="J121" s="84"/>
      <c r="K121" s="84"/>
      <c r="L121" s="84"/>
      <c r="O121" s="99"/>
      <c r="P121" s="99"/>
      <c r="T121" s="81"/>
      <c r="V121" s="81"/>
      <c r="W121" s="84"/>
      <c r="X121" s="84"/>
      <c r="Y121" s="84"/>
      <c r="Z121" s="84"/>
      <c r="AD121" s="191" t="s">
        <v>168</v>
      </c>
      <c r="AE121" s="191" t="s">
        <v>168</v>
      </c>
      <c r="AF121" s="191" t="s">
        <v>168</v>
      </c>
      <c r="AG121" s="191" t="s">
        <v>168</v>
      </c>
      <c r="AH121" s="191" t="s">
        <v>168</v>
      </c>
      <c r="AI121" s="191" t="s">
        <v>168</v>
      </c>
      <c r="AJ121" s="191" t="s">
        <v>168</v>
      </c>
      <c r="AK121" s="191" t="s">
        <v>168</v>
      </c>
      <c r="AL121" s="191" t="s">
        <v>168</v>
      </c>
      <c r="AM121" s="191" t="s">
        <v>168</v>
      </c>
      <c r="AN121" s="191" t="s">
        <v>168</v>
      </c>
      <c r="AO121" s="191" t="s">
        <v>168</v>
      </c>
      <c r="AQ121" s="81"/>
      <c r="AR121" s="81"/>
      <c r="AS121" s="81"/>
      <c r="AT121" s="81"/>
      <c r="AU121" s="81"/>
      <c r="BG121"/>
      <c r="BH121"/>
    </row>
    <row r="122" spans="1:60" ht="18" x14ac:dyDescent="0.35">
      <c r="A122" s="101">
        <f>A116+1</f>
        <v>13</v>
      </c>
      <c r="B122" s="101" t="str">
        <f>VLOOKUP(A122,STN_TABLE_2,2,FALSE)</f>
        <v xml:space="preserve">  </v>
      </c>
      <c r="C122" t="s">
        <v>0</v>
      </c>
      <c r="D122" t="s">
        <v>95</v>
      </c>
      <c r="E122" t="s">
        <v>164</v>
      </c>
      <c r="F122" t="s">
        <v>165</v>
      </c>
      <c r="G122" t="s">
        <v>13</v>
      </c>
      <c r="H122" t="s">
        <v>169</v>
      </c>
      <c r="I122" s="191" t="s">
        <v>168</v>
      </c>
      <c r="J122" s="191" t="s">
        <v>168</v>
      </c>
      <c r="K122" s="191" t="s">
        <v>168</v>
      </c>
      <c r="L122" s="191" t="s">
        <v>168</v>
      </c>
      <c r="M122" s="191" t="s">
        <v>168</v>
      </c>
      <c r="N122" s="191" t="s">
        <v>168</v>
      </c>
      <c r="O122" s="101">
        <f>O116+1</f>
        <v>15</v>
      </c>
      <c r="P122" s="101" t="str">
        <f t="shared" ref="P122" si="415">VLOOKUP(O122,STN_TABLE_2,2,FALSE)</f>
        <v xml:space="preserve">  </v>
      </c>
      <c r="Q122" t="s">
        <v>0</v>
      </c>
      <c r="R122" t="s">
        <v>95</v>
      </c>
      <c r="S122" t="s">
        <v>164</v>
      </c>
      <c r="T122" t="s">
        <v>165</v>
      </c>
      <c r="U122" t="s">
        <v>166</v>
      </c>
      <c r="V122" t="s">
        <v>167</v>
      </c>
      <c r="W122" s="191" t="s">
        <v>168</v>
      </c>
      <c r="X122" s="191" t="s">
        <v>168</v>
      </c>
      <c r="Y122" s="191" t="s">
        <v>168</v>
      </c>
      <c r="Z122" s="191" t="s">
        <v>168</v>
      </c>
      <c r="AA122" s="191" t="s">
        <v>168</v>
      </c>
      <c r="AB122" s="191" t="s">
        <v>168</v>
      </c>
      <c r="BG122"/>
      <c r="BH122"/>
    </row>
    <row r="123" spans="1:60" ht="18" x14ac:dyDescent="0.35">
      <c r="A123" s="84">
        <f>A122+1</f>
        <v>14</v>
      </c>
      <c r="B123" s="84" t="str">
        <f>VLOOKUP(A123,STN_TABLE_2,2,FALSE)</f>
        <v xml:space="preserve">  </v>
      </c>
      <c r="C123" s="79" t="e">
        <f t="shared" ref="C123" si="416">IF(C124=B125,IF(C125-C124=C124-B124,B124,IF(C125-C124=C124-B123,B123,"#NA")),IF(C124=B124,IF(C125-C124=C124-B123,B123,IF(C125-C124=C124-B122,B122,"#NA")),"#NA"))</f>
        <v>#VALUE!</v>
      </c>
      <c r="D123" s="68" t="e">
        <f>VLOOKUP(C123,STN_TABLE,2,FALSE)</f>
        <v>#VALUE!</v>
      </c>
      <c r="E123" s="102">
        <v>1</v>
      </c>
      <c r="F123" s="68" t="e">
        <f t="shared" ref="F123:F125" si="417">D123*E123</f>
        <v>#VALUE!</v>
      </c>
      <c r="G123" s="69" t="e">
        <f t="shared" ref="G123:G125" si="418">C123</f>
        <v>#VALUE!</v>
      </c>
      <c r="H123" s="69" t="e">
        <f t="shared" ref="H123:H125" si="419">F123*G123</f>
        <v>#VALUE!</v>
      </c>
      <c r="I123" s="6" t="s">
        <v>93</v>
      </c>
      <c r="J123" s="70" t="e">
        <f>IF(OR(D123=0,D124=0,D125=0),"#NA",IF(AND(C125-C124=C124-C123,C124&lt;&gt;C125,C123&lt;&gt;C124,C123&lt;&gt;C125,D125&lt;&gt;0,OR(D123&lt;&gt;0,D124&lt;&gt;0)),WLS*(C125-C124),"#NA"))</f>
        <v>#VALUE!</v>
      </c>
      <c r="K123" s="191" t="s">
        <v>168</v>
      </c>
      <c r="L123" s="191" t="s">
        <v>168</v>
      </c>
      <c r="M123" s="191" t="s">
        <v>168</v>
      </c>
      <c r="N123" s="191" t="s">
        <v>168</v>
      </c>
      <c r="O123" s="99">
        <f>O122+1</f>
        <v>16</v>
      </c>
      <c r="P123" s="99" t="str">
        <f t="shared" si="365"/>
        <v xml:space="preserve">  </v>
      </c>
      <c r="Q123" s="68" t="e">
        <f t="shared" ref="Q123" si="420">IF(OR(P125-P124=P124-P123,P126-P124=P124-P123),P123,IF(OR(P125-P124=P124-P122,P126-P124=P124-P122),P122,"-"))</f>
        <v>#VALUE!</v>
      </c>
      <c r="R123" s="69" t="e">
        <f>VLOOKUP(Q123,STN_TABLE,2,FALSE)</f>
        <v>#VALUE!</v>
      </c>
      <c r="S123" s="69">
        <v>5</v>
      </c>
      <c r="T123" s="68" t="e">
        <f t="shared" ref="T123:T125" si="421">R123*S123</f>
        <v>#VALUE!</v>
      </c>
      <c r="U123" s="79">
        <v>3</v>
      </c>
      <c r="V123" s="68" t="e">
        <f t="shared" ref="V123:V125" si="422">R123*U123</f>
        <v>#VALUE!</v>
      </c>
      <c r="W123" s="6" t="s">
        <v>93</v>
      </c>
      <c r="X123" s="70" t="e">
        <f>IF(AND(Q125-Q124=Q124-Q123,NOT(AND(Q123=0,Q124=0)),NOT(AND(Q124=0,Q125=0))),WLS*(Q125-Q124),"#NA")</f>
        <v>#VALUE!</v>
      </c>
      <c r="Y123" s="191" t="s">
        <v>168</v>
      </c>
      <c r="Z123" s="191" t="s">
        <v>168</v>
      </c>
      <c r="AA123" s="191" t="s">
        <v>168</v>
      </c>
      <c r="AB123" s="191" t="s">
        <v>168</v>
      </c>
      <c r="AD123" t="s">
        <v>0</v>
      </c>
      <c r="AE123" t="s">
        <v>95</v>
      </c>
      <c r="AF123" t="s">
        <v>173</v>
      </c>
      <c r="AG123" t="s">
        <v>183</v>
      </c>
      <c r="AH123" t="s">
        <v>175</v>
      </c>
      <c r="AI123" t="s">
        <v>184</v>
      </c>
      <c r="AJ123" s="6" t="s">
        <v>93</v>
      </c>
      <c r="AK123" s="70" t="e">
        <f>WLS*(AD125-AD124)</f>
        <v>#VALUE!</v>
      </c>
      <c r="AL123" s="191" t="s">
        <v>168</v>
      </c>
      <c r="AM123" s="191" t="s">
        <v>168</v>
      </c>
      <c r="AN123" s="191" t="s">
        <v>168</v>
      </c>
      <c r="AO123" s="191" t="s">
        <v>168</v>
      </c>
      <c r="BG123"/>
      <c r="BH123"/>
    </row>
    <row r="124" spans="1:60" x14ac:dyDescent="0.25">
      <c r="A124" s="84">
        <f>A123+1</f>
        <v>15</v>
      </c>
      <c r="B124" s="84" t="str">
        <f>VLOOKUP(A124,STN_TABLE_2,2,FALSE)</f>
        <v xml:space="preserve">  </v>
      </c>
      <c r="C124" s="80" t="e">
        <f t="shared" ref="C124" si="423">IF(OR(B126-B125=B125-B124,B126-B125=B125-B123,B126-B125=B125-B122),B125,IF(OR(B126-B124=B124-B123,B126-B124=B124-B122),B124,IF(B126-B123=B123-B122,B123,"#NA")))</f>
        <v>#VALUE!</v>
      </c>
      <c r="D124" s="76" t="e">
        <f>VLOOKUP(C124,STN_TABLE,2,FALSE)</f>
        <v>#VALUE!</v>
      </c>
      <c r="E124" s="81">
        <v>4</v>
      </c>
      <c r="F124" s="76" t="e">
        <f t="shared" si="417"/>
        <v>#VALUE!</v>
      </c>
      <c r="G124" s="77" t="e">
        <f t="shared" si="418"/>
        <v>#VALUE!</v>
      </c>
      <c r="H124" s="77" t="e">
        <f t="shared" si="419"/>
        <v>#VALUE!</v>
      </c>
      <c r="I124" s="201" t="s">
        <v>171</v>
      </c>
      <c r="J124" s="191" t="s">
        <v>168</v>
      </c>
      <c r="K124" s="78" t="s">
        <v>98</v>
      </c>
      <c r="L124" s="191" t="s">
        <v>168</v>
      </c>
      <c r="M124" s="7" t="s">
        <v>77</v>
      </c>
      <c r="N124" s="191" t="s">
        <v>168</v>
      </c>
      <c r="O124" s="99">
        <f>O123+1</f>
        <v>17</v>
      </c>
      <c r="P124" s="99" t="str">
        <f t="shared" si="365"/>
        <v xml:space="preserve">  </v>
      </c>
      <c r="Q124" s="76" t="str">
        <f t="shared" ref="Q124" si="424">P124</f>
        <v xml:space="preserve">  </v>
      </c>
      <c r="R124" s="77" t="str">
        <f>VLOOKUP(Q124,STN_TABLE,2,FALSE)</f>
        <v xml:space="preserve">  </v>
      </c>
      <c r="S124" s="77">
        <v>8</v>
      </c>
      <c r="T124" s="76" t="e">
        <f t="shared" si="421"/>
        <v>#VALUE!</v>
      </c>
      <c r="U124" s="80">
        <v>10</v>
      </c>
      <c r="V124" s="76" t="e">
        <f t="shared" si="422"/>
        <v>#VALUE!</v>
      </c>
      <c r="W124" s="201" t="s">
        <v>171</v>
      </c>
      <c r="X124" s="191" t="s">
        <v>168</v>
      </c>
      <c r="Y124" s="78" t="s">
        <v>98</v>
      </c>
      <c r="Z124" s="191" t="s">
        <v>168</v>
      </c>
      <c r="AA124" s="7" t="s">
        <v>77</v>
      </c>
      <c r="AB124" s="191" t="s">
        <v>168</v>
      </c>
      <c r="AC124" s="99">
        <f>AC118+1</f>
        <v>16</v>
      </c>
      <c r="AD124" s="95" t="str">
        <f>VLOOKUP(AC124,STN_TABLE_2,2,FALSE)</f>
        <v xml:space="preserve">  </v>
      </c>
      <c r="AE124" t="str">
        <f t="shared" ref="AE124:AE125" si="425">AG124</f>
        <v xml:space="preserve">  </v>
      </c>
      <c r="AF124">
        <v>1</v>
      </c>
      <c r="AG124" s="68" t="str">
        <f>VLOOKUP(AD124,STN_TABLE,2,FALSE)</f>
        <v xml:space="preserve">  </v>
      </c>
      <c r="AH124" s="68">
        <v>1</v>
      </c>
      <c r="AI124" s="69" t="e">
        <f t="shared" ref="AI124:AI125" si="426">AG124*AH124</f>
        <v>#VALUE!</v>
      </c>
      <c r="AJ124" s="201" t="s">
        <v>171</v>
      </c>
      <c r="AK124" s="191" t="s">
        <v>168</v>
      </c>
      <c r="AL124" s="78" t="s">
        <v>98</v>
      </c>
      <c r="AM124" s="191" t="s">
        <v>168</v>
      </c>
      <c r="AN124" s="7" t="s">
        <v>77</v>
      </c>
      <c r="AO124" s="191" t="s">
        <v>168</v>
      </c>
      <c r="AR124" s="86" t="s">
        <v>112</v>
      </c>
      <c r="AS124" s="89" t="s">
        <v>113</v>
      </c>
      <c r="AT124" s="89" t="s">
        <v>114</v>
      </c>
      <c r="AU124" s="89" t="s">
        <v>115</v>
      </c>
      <c r="AV124" s="71" t="e">
        <f t="shared" ref="AV124" si="427">IF(AV125=AR125,AR124,IF(AV125=AS125,AS124,IF(AV125=AT125,AT124,AU124)))</f>
        <v>#VALUE!</v>
      </c>
      <c r="BG124"/>
      <c r="BH124"/>
    </row>
    <row r="125" spans="1:60" x14ac:dyDescent="0.25">
      <c r="A125" s="84">
        <f>A124+1</f>
        <v>16</v>
      </c>
      <c r="B125" s="84" t="str">
        <f>VLOOKUP(A125,STN_TABLE_2,2,FALSE)</f>
        <v xml:space="preserve">  </v>
      </c>
      <c r="C125" s="88" t="str">
        <f t="shared" ref="C125" si="428">B126</f>
        <v xml:space="preserve">  </v>
      </c>
      <c r="D125" s="82" t="str">
        <f>VLOOKUP(C125,STN_TABLE,2,FALSE)</f>
        <v xml:space="preserve">  </v>
      </c>
      <c r="E125" s="92">
        <v>1</v>
      </c>
      <c r="F125" s="82" t="e">
        <f t="shared" si="417"/>
        <v>#VALUE!</v>
      </c>
      <c r="G125" s="83" t="str">
        <f t="shared" si="418"/>
        <v xml:space="preserve">  </v>
      </c>
      <c r="H125" s="83" t="e">
        <f t="shared" si="419"/>
        <v>#VALUE!</v>
      </c>
      <c r="I125" s="84" t="e">
        <f t="shared" ref="I125" si="429">CONCATENATE("a'(",C123,"~",C125,")=")</f>
        <v>#VALUE!</v>
      </c>
      <c r="J125" s="84" t="e">
        <f t="shared" ref="J125" si="430">2*J123/3*F126</f>
        <v>#VALUE!</v>
      </c>
      <c r="K125" s="84" t="e">
        <f t="shared" ref="K125" si="431">CONCATENATE("A(",C123,")=")</f>
        <v>#VALUE!</v>
      </c>
      <c r="L125" s="84" t="e">
        <f>VLOOKUP(C123,STN_TABLE,3,FALSE)</f>
        <v>#VALUE!</v>
      </c>
      <c r="M125" t="str">
        <f t="shared" ref="M125" si="432">CONCATENATE("A(",C125,")=")</f>
        <v>A(  )=</v>
      </c>
      <c r="N125" t="e">
        <f t="shared" ref="N125:N126" si="433">J125+L125</f>
        <v>#VALUE!</v>
      </c>
      <c r="O125" s="99">
        <f>O124+1</f>
        <v>18</v>
      </c>
      <c r="P125" s="99" t="str">
        <f t="shared" si="365"/>
        <v xml:space="preserve">  </v>
      </c>
      <c r="Q125" s="82" t="e">
        <f t="shared" ref="Q125" si="434">IF(P125-P124=P124-P123,P125,IF(P126-P124=P124-P123,P126,IF(P125-P124=P124-P122,P125,IF(P126-P124=P124-P122,P126,"-"))))</f>
        <v>#VALUE!</v>
      </c>
      <c r="R125" s="83" t="e">
        <f>VLOOKUP(Q125,STN_TABLE,2,FALSE)</f>
        <v>#VALUE!</v>
      </c>
      <c r="S125" s="83">
        <v>-1</v>
      </c>
      <c r="T125" s="82" t="e">
        <f t="shared" si="421"/>
        <v>#VALUE!</v>
      </c>
      <c r="U125" s="88">
        <v>-1</v>
      </c>
      <c r="V125" s="82" t="e">
        <f t="shared" si="422"/>
        <v>#VALUE!</v>
      </c>
      <c r="W125" s="84" t="e">
        <f t="shared" ref="W125" si="435">CONCATENATE("a'(",Q123,"~",Q124,")=")</f>
        <v>#VALUE!</v>
      </c>
      <c r="X125" s="84" t="e">
        <f t="shared" ref="X125" si="436">2*X123/12*T126</f>
        <v>#VALUE!</v>
      </c>
      <c r="Y125" s="84" t="e">
        <f t="shared" ref="Y125" si="437">CONCATENATE("A(",Q123,")=")</f>
        <v>#VALUE!</v>
      </c>
      <c r="Z125" s="84" t="e">
        <f>VLOOKUP(Q123,STN_TABLE,3,FALSE)</f>
        <v>#VALUE!</v>
      </c>
      <c r="AA125" t="str">
        <f t="shared" ref="AA125" si="438">CONCATENATE("A(",Q124,")=")</f>
        <v>A(  )=</v>
      </c>
      <c r="AB125" t="e">
        <f t="shared" ref="AB125:AB126" si="439">X125+Z125</f>
        <v>#VALUE!</v>
      </c>
      <c r="AC125" s="99">
        <f>AC124+1</f>
        <v>17</v>
      </c>
      <c r="AD125" s="100" t="str">
        <f>VLOOKUP(AC125,STN_TABLE_2,2,FALSE)</f>
        <v xml:space="preserve">  </v>
      </c>
      <c r="AE125" t="str">
        <f t="shared" si="425"/>
        <v xml:space="preserve">  </v>
      </c>
      <c r="AF125">
        <v>1</v>
      </c>
      <c r="AG125" s="82" t="str">
        <f>VLOOKUP(AD125,STN_TABLE,2,FALSE)</f>
        <v xml:space="preserve">  </v>
      </c>
      <c r="AH125" s="82">
        <v>2</v>
      </c>
      <c r="AI125" s="83" t="e">
        <f t="shared" si="426"/>
        <v>#VALUE!</v>
      </c>
      <c r="AJ125" s="84" t="str">
        <f t="shared" ref="AJ125" si="440">CONCATENATE("a'(",AD125,")=")</f>
        <v>a'(  )=</v>
      </c>
      <c r="AK125" s="84" t="e">
        <f t="shared" ref="AK125" si="441">2*AK123/2*AG126</f>
        <v>#VALUE!</v>
      </c>
      <c r="AL125" s="84" t="str">
        <f t="shared" ref="AL125" si="442">CONCATENATE("A(",AD124,")=")</f>
        <v>A(  )=</v>
      </c>
      <c r="AM125" s="84" t="str">
        <f>VLOOKUP(AD124,STN_TABLE,3,FALSE)</f>
        <v xml:space="preserve"> </v>
      </c>
      <c r="AN125" t="str">
        <f t="shared" ref="AN125" si="443">CONCATENATE("A(",AD125,")=")</f>
        <v>A(  )=</v>
      </c>
      <c r="AO125" t="e">
        <f t="shared" ref="AO125:AO126" si="444">AK125+AM125</f>
        <v>#VALUE!</v>
      </c>
      <c r="AQ125" s="68" t="str">
        <f>AA125</f>
        <v>A(  )=</v>
      </c>
      <c r="AR125" s="68" t="str">
        <f>IFERROR(VLOOKUP(AQ125,Rise_Results,2,FALSE),"-")</f>
        <v>-</v>
      </c>
      <c r="AS125" s="76" t="str">
        <f>IFERROR(N125,"-")</f>
        <v>-</v>
      </c>
      <c r="AT125" s="76" t="str">
        <f>IFERROR(IF(OR(AB125&lt;=0,AB126&lt;=0),1/0,AB125),"-")</f>
        <v>-</v>
      </c>
      <c r="AU125" s="76" t="e">
        <f t="shared" ref="AU125:AU126" si="445">AO125</f>
        <v>#VALUE!</v>
      </c>
      <c r="AV125" t="e">
        <f t="shared" ref="AV125:AV126" si="446">IF(ISNUMBER(AR125),AR125,IF(ISNUMBER(AS125),AS125,IF(ISNUMBER(AT125),AT125,AU125)))</f>
        <v>#VALUE!</v>
      </c>
      <c r="BG125"/>
      <c r="BH125"/>
    </row>
    <row r="126" spans="1:60" x14ac:dyDescent="0.25">
      <c r="A126" s="84">
        <f>A125+1</f>
        <v>17</v>
      </c>
      <c r="B126" s="84" t="str">
        <f>VLOOKUP(A126,STN_TABLE_2,2,FALSE)</f>
        <v xml:space="preserve">  </v>
      </c>
      <c r="C126" s="191" t="s">
        <v>168</v>
      </c>
      <c r="D126" s="191" t="s">
        <v>168</v>
      </c>
      <c r="E126" s="6" t="s">
        <v>172</v>
      </c>
      <c r="F126" s="89" t="e">
        <f t="shared" ref="F126" si="447">SUM(F123:F125)</f>
        <v>#VALUE!</v>
      </c>
      <c r="G126" s="6" t="s">
        <v>172</v>
      </c>
      <c r="H126" s="82" t="e">
        <f t="shared" ref="H126" si="448">SUM(H123:H125)</f>
        <v>#VALUE!</v>
      </c>
      <c r="I126" s="84" t="e">
        <f t="shared" ref="I126" si="449">CONCATENATE("m'(",C123,"~",C125,")=")</f>
        <v>#VALUE!</v>
      </c>
      <c r="J126" s="84" t="e">
        <f>2*(J123*(WLS))/3*H126</f>
        <v>#VALUE!</v>
      </c>
      <c r="K126" s="84" t="e">
        <f t="shared" ref="K126" si="450">CONCATENATE("M(",C123,")=")</f>
        <v>#VALUE!</v>
      </c>
      <c r="L126" s="84" t="e">
        <f>VLOOKUP(C123,STN_TABLE,4,FALSE)</f>
        <v>#VALUE!</v>
      </c>
      <c r="M126" t="str">
        <f t="shared" ref="M126" si="451">CONCATENATE("M(",C125,")=")</f>
        <v>M(  )=</v>
      </c>
      <c r="N126" t="e">
        <f t="shared" si="433"/>
        <v>#VALUE!</v>
      </c>
      <c r="O126" s="99">
        <f>O125+1</f>
        <v>19</v>
      </c>
      <c r="P126" s="99" t="str">
        <f t="shared" si="365"/>
        <v xml:space="preserve">  </v>
      </c>
      <c r="Q126" s="191" t="s">
        <v>168</v>
      </c>
      <c r="R126" s="191" t="s">
        <v>168</v>
      </c>
      <c r="S126" s="6" t="s">
        <v>172</v>
      </c>
      <c r="T126" s="89" t="e">
        <f t="shared" si="146"/>
        <v>#VALUE!</v>
      </c>
      <c r="U126" s="6" t="s">
        <v>172</v>
      </c>
      <c r="V126" s="82" t="e">
        <f t="shared" si="147"/>
        <v>#VALUE!</v>
      </c>
      <c r="W126" s="84" t="e">
        <f t="shared" ref="W126" si="452">CONCATENATE("m'(",Q123,"~",Q124,")=")</f>
        <v>#VALUE!</v>
      </c>
      <c r="X126" s="84" t="e">
        <f>(2*(X123^2)/24*V126)+(X125*Q123*WLS)</f>
        <v>#VALUE!</v>
      </c>
      <c r="Y126" s="84" t="e">
        <f t="shared" ref="Y126" si="453">CONCATENATE("M(",Q123,")=")</f>
        <v>#VALUE!</v>
      </c>
      <c r="Z126" s="84" t="e">
        <f>VLOOKUP(Q123,STN_TABLE,4,FALSE)</f>
        <v>#VALUE!</v>
      </c>
      <c r="AA126" t="str">
        <f t="shared" ref="AA126" si="454">CONCATENATE("M(",Q124,")=")</f>
        <v>M(  )=</v>
      </c>
      <c r="AB126" t="e">
        <f t="shared" si="439"/>
        <v>#VALUE!</v>
      </c>
      <c r="AD126" s="191" t="s">
        <v>168</v>
      </c>
      <c r="AE126" s="191" t="s">
        <v>168</v>
      </c>
      <c r="AF126" s="6" t="s">
        <v>172</v>
      </c>
      <c r="AG126" s="89">
        <f t="shared" si="151"/>
        <v>0</v>
      </c>
      <c r="AH126" s="6" t="s">
        <v>172</v>
      </c>
      <c r="AI126" s="89" t="e">
        <f t="shared" si="152"/>
        <v>#VALUE!</v>
      </c>
      <c r="AJ126" s="84" t="str">
        <f t="shared" ref="AJ126" si="455">CONCATENATE("m'(",AD125,")=")</f>
        <v>m'(  )=</v>
      </c>
      <c r="AK126" s="84" t="e">
        <f>(2*(AK123^2)/6*AI126)+(AK125*AD124*WLS)</f>
        <v>#VALUE!</v>
      </c>
      <c r="AL126" s="84" t="str">
        <f t="shared" ref="AL126" si="456">CONCATENATE("M(",AD124,")=")</f>
        <v>M(  )=</v>
      </c>
      <c r="AM126" s="84" t="str">
        <f>VLOOKUP(AD124,STN_TABLE,4,FALSE)</f>
        <v xml:space="preserve"> </v>
      </c>
      <c r="AN126" t="str">
        <f t="shared" ref="AN126" si="457">CONCATENATE("M(",AD125,")=")</f>
        <v>M(  )=</v>
      </c>
      <c r="AO126" t="e">
        <f t="shared" si="444"/>
        <v>#VALUE!</v>
      </c>
      <c r="AQ126" s="82" t="str">
        <f>AA126</f>
        <v>M(  )=</v>
      </c>
      <c r="AR126" s="82" t="str">
        <f>IFERROR(VLOOKUP(AQ126,Rise_Results,2,FALSE),"-")</f>
        <v>-</v>
      </c>
      <c r="AS126" s="82" t="str">
        <f>IFERROR(N126,"-")</f>
        <v>-</v>
      </c>
      <c r="AT126" s="82" t="str">
        <f>IFERROR(IF(OR(AB125&lt;=0,AB126&lt;=0),1/0,AB126),"-")</f>
        <v>-</v>
      </c>
      <c r="AU126" s="82" t="e">
        <f t="shared" si="445"/>
        <v>#VALUE!</v>
      </c>
      <c r="AV126" t="e">
        <f t="shared" si="446"/>
        <v>#VALUE!</v>
      </c>
      <c r="BG126"/>
      <c r="BH126"/>
    </row>
    <row r="127" spans="1:60" x14ac:dyDescent="0.25">
      <c r="A127" s="84"/>
      <c r="B127" s="84"/>
      <c r="F127" s="81"/>
      <c r="H127" s="81"/>
      <c r="I127" s="84"/>
      <c r="J127" s="84"/>
      <c r="K127" s="84"/>
      <c r="L127" s="84"/>
      <c r="O127" s="99"/>
      <c r="P127" s="99"/>
      <c r="T127" s="81"/>
      <c r="V127" s="81"/>
      <c r="W127" s="84"/>
      <c r="X127" s="84"/>
      <c r="Y127" s="84"/>
      <c r="Z127" s="84"/>
      <c r="AD127" s="191" t="s">
        <v>168</v>
      </c>
      <c r="AE127" s="191" t="s">
        <v>168</v>
      </c>
      <c r="AF127" s="191" t="s">
        <v>168</v>
      </c>
      <c r="AG127" s="191" t="s">
        <v>168</v>
      </c>
      <c r="AH127" s="191" t="s">
        <v>168</v>
      </c>
      <c r="AI127" s="191" t="s">
        <v>168</v>
      </c>
      <c r="AJ127" s="191" t="s">
        <v>168</v>
      </c>
      <c r="AK127" s="191" t="s">
        <v>168</v>
      </c>
      <c r="AL127" s="191" t="s">
        <v>168</v>
      </c>
      <c r="AM127" s="191" t="s">
        <v>168</v>
      </c>
      <c r="AN127" s="191" t="s">
        <v>168</v>
      </c>
      <c r="AO127" s="191" t="s">
        <v>168</v>
      </c>
      <c r="AQ127" s="81"/>
      <c r="AR127" s="81"/>
      <c r="AS127" s="81"/>
      <c r="AT127" s="81"/>
      <c r="AU127" s="81"/>
      <c r="BG127"/>
      <c r="BH127"/>
    </row>
    <row r="128" spans="1:60" ht="18" x14ac:dyDescent="0.35">
      <c r="A128" s="101">
        <f>A122+1</f>
        <v>14</v>
      </c>
      <c r="B128" s="101" t="str">
        <f>VLOOKUP(A128,STN_TABLE_2,2,FALSE)</f>
        <v xml:space="preserve">  </v>
      </c>
      <c r="C128" t="s">
        <v>0</v>
      </c>
      <c r="D128" t="s">
        <v>95</v>
      </c>
      <c r="E128" t="s">
        <v>164</v>
      </c>
      <c r="F128" t="s">
        <v>165</v>
      </c>
      <c r="G128" t="s">
        <v>13</v>
      </c>
      <c r="H128" t="s">
        <v>169</v>
      </c>
      <c r="I128" s="191" t="s">
        <v>168</v>
      </c>
      <c r="J128" s="191" t="s">
        <v>168</v>
      </c>
      <c r="K128" s="191" t="s">
        <v>168</v>
      </c>
      <c r="L128" s="191" t="s">
        <v>168</v>
      </c>
      <c r="M128" s="191" t="s">
        <v>168</v>
      </c>
      <c r="N128" s="191" t="s">
        <v>168</v>
      </c>
      <c r="O128" s="101">
        <f>O122+1</f>
        <v>16</v>
      </c>
      <c r="P128" s="101" t="str">
        <f t="shared" ref="P128" si="458">VLOOKUP(O128,STN_TABLE_2,2,FALSE)</f>
        <v xml:space="preserve">  </v>
      </c>
      <c r="Q128" t="s">
        <v>0</v>
      </c>
      <c r="R128" t="s">
        <v>95</v>
      </c>
      <c r="S128" t="s">
        <v>164</v>
      </c>
      <c r="T128" t="s">
        <v>165</v>
      </c>
      <c r="U128" t="s">
        <v>166</v>
      </c>
      <c r="V128" t="s">
        <v>167</v>
      </c>
      <c r="W128" s="191" t="s">
        <v>168</v>
      </c>
      <c r="X128" s="191" t="s">
        <v>168</v>
      </c>
      <c r="Y128" s="191" t="s">
        <v>168</v>
      </c>
      <c r="Z128" s="191" t="s">
        <v>168</v>
      </c>
      <c r="AA128" s="191" t="s">
        <v>168</v>
      </c>
      <c r="AB128" s="191" t="s">
        <v>168</v>
      </c>
      <c r="BG128"/>
      <c r="BH128"/>
    </row>
    <row r="129" spans="1:60" ht="18" x14ac:dyDescent="0.35">
      <c r="A129" s="84">
        <f>A128+1</f>
        <v>15</v>
      </c>
      <c r="B129" s="84" t="str">
        <f>VLOOKUP(A129,STN_TABLE_2,2,FALSE)</f>
        <v xml:space="preserve">  </v>
      </c>
      <c r="C129" s="79" t="e">
        <f t="shared" ref="C129" si="459">IF(C130=B131,IF(C131-C130=C130-B130,B130,IF(C131-C130=C130-B129,B129,"#NA")),IF(C130=B130,IF(C131-C130=C130-B129,B129,IF(C131-C130=C130-B128,B128,"#NA")),"#NA"))</f>
        <v>#VALUE!</v>
      </c>
      <c r="D129" s="68" t="e">
        <f>VLOOKUP(C129,STN_TABLE,2,FALSE)</f>
        <v>#VALUE!</v>
      </c>
      <c r="E129" s="102">
        <v>1</v>
      </c>
      <c r="F129" s="68" t="e">
        <f t="shared" ref="F129:F131" si="460">D129*E129</f>
        <v>#VALUE!</v>
      </c>
      <c r="G129" s="69" t="e">
        <f t="shared" ref="G129:G131" si="461">C129</f>
        <v>#VALUE!</v>
      </c>
      <c r="H129" s="69" t="e">
        <f t="shared" ref="H129:H131" si="462">F129*G129</f>
        <v>#VALUE!</v>
      </c>
      <c r="I129" s="6" t="s">
        <v>93</v>
      </c>
      <c r="J129" s="70" t="e">
        <f>IF(OR(D129=0,D130=0,D131=0),"#NA",IF(AND(C131-C130=C130-C129,C130&lt;&gt;C131,C129&lt;&gt;C130,C129&lt;&gt;C131,D131&lt;&gt;0,OR(D129&lt;&gt;0,D130&lt;&gt;0)),WLS*(C131-C130),"#NA"))</f>
        <v>#VALUE!</v>
      </c>
      <c r="K129" s="191" t="s">
        <v>168</v>
      </c>
      <c r="L129" s="191" t="s">
        <v>168</v>
      </c>
      <c r="M129" s="191" t="s">
        <v>168</v>
      </c>
      <c r="N129" s="191" t="s">
        <v>168</v>
      </c>
      <c r="O129" s="99">
        <f>O128+1</f>
        <v>17</v>
      </c>
      <c r="P129" s="99" t="str">
        <f t="shared" si="365"/>
        <v xml:space="preserve">  </v>
      </c>
      <c r="Q129" s="68" t="e">
        <f t="shared" ref="Q129" si="463">IF(OR(P131-P130=P130-P129,P132-P130=P130-P129),P129,IF(OR(P131-P130=P130-P128,P132-P130=P130-P128),P128,"-"))</f>
        <v>#VALUE!</v>
      </c>
      <c r="R129" s="69" t="e">
        <f>VLOOKUP(Q129,STN_TABLE,2,FALSE)</f>
        <v>#VALUE!</v>
      </c>
      <c r="S129" s="69">
        <v>5</v>
      </c>
      <c r="T129" s="68" t="e">
        <f t="shared" ref="T129:T131" si="464">R129*S129</f>
        <v>#VALUE!</v>
      </c>
      <c r="U129" s="79">
        <v>3</v>
      </c>
      <c r="V129" s="68" t="e">
        <f t="shared" ref="V129:V131" si="465">R129*U129</f>
        <v>#VALUE!</v>
      </c>
      <c r="W129" s="6" t="s">
        <v>93</v>
      </c>
      <c r="X129" s="70" t="e">
        <f>IF(AND(Q131-Q130=Q130-Q129,NOT(AND(Q129=0,Q130=0)),NOT(AND(Q130=0,Q131=0))),WLS*(Q131-Q130),"#NA")</f>
        <v>#VALUE!</v>
      </c>
      <c r="Y129" s="191" t="s">
        <v>168</v>
      </c>
      <c r="Z129" s="191" t="s">
        <v>168</v>
      </c>
      <c r="AA129" s="191" t="s">
        <v>168</v>
      </c>
      <c r="AB129" s="191" t="s">
        <v>168</v>
      </c>
      <c r="AD129" t="s">
        <v>0</v>
      </c>
      <c r="AE129" t="s">
        <v>95</v>
      </c>
      <c r="AF129" t="s">
        <v>173</v>
      </c>
      <c r="AG129" t="s">
        <v>183</v>
      </c>
      <c r="AH129" t="s">
        <v>175</v>
      </c>
      <c r="AI129" t="s">
        <v>184</v>
      </c>
      <c r="AJ129" s="6" t="s">
        <v>93</v>
      </c>
      <c r="AK129" s="70" t="e">
        <f>WLS*(AD131-AD130)</f>
        <v>#VALUE!</v>
      </c>
      <c r="AL129" s="191" t="s">
        <v>168</v>
      </c>
      <c r="AM129" s="191" t="s">
        <v>168</v>
      </c>
      <c r="AN129" s="191" t="s">
        <v>168</v>
      </c>
      <c r="AO129" s="191" t="s">
        <v>168</v>
      </c>
      <c r="BG129"/>
      <c r="BH129"/>
    </row>
    <row r="130" spans="1:60" x14ac:dyDescent="0.25">
      <c r="A130" s="84">
        <f>A129+1</f>
        <v>16</v>
      </c>
      <c r="B130" s="84" t="str">
        <f>VLOOKUP(A130,STN_TABLE_2,2,FALSE)</f>
        <v xml:space="preserve">  </v>
      </c>
      <c r="C130" s="80" t="e">
        <f t="shared" ref="C130" si="466">IF(OR(B132-B131=B131-B130,B132-B131=B131-B129,B132-B131=B131-B128),B131,IF(OR(B132-B130=B130-B129,B132-B130=B130-B128),B130,IF(B132-B129=B129-B128,B129,"#NA")))</f>
        <v>#VALUE!</v>
      </c>
      <c r="D130" s="76" t="e">
        <f>VLOOKUP(C130,STN_TABLE,2,FALSE)</f>
        <v>#VALUE!</v>
      </c>
      <c r="E130" s="81">
        <v>4</v>
      </c>
      <c r="F130" s="76" t="e">
        <f t="shared" si="460"/>
        <v>#VALUE!</v>
      </c>
      <c r="G130" s="77" t="e">
        <f t="shared" si="461"/>
        <v>#VALUE!</v>
      </c>
      <c r="H130" s="77" t="e">
        <f t="shared" si="462"/>
        <v>#VALUE!</v>
      </c>
      <c r="I130" s="201" t="s">
        <v>171</v>
      </c>
      <c r="J130" s="191" t="s">
        <v>168</v>
      </c>
      <c r="K130" s="78" t="s">
        <v>98</v>
      </c>
      <c r="L130" s="191" t="s">
        <v>168</v>
      </c>
      <c r="M130" s="7" t="s">
        <v>77</v>
      </c>
      <c r="N130" s="191" t="s">
        <v>168</v>
      </c>
      <c r="O130" s="99">
        <f>O129+1</f>
        <v>18</v>
      </c>
      <c r="P130" s="99" t="str">
        <f t="shared" si="365"/>
        <v xml:space="preserve">  </v>
      </c>
      <c r="Q130" s="76" t="str">
        <f t="shared" ref="Q130" si="467">P130</f>
        <v xml:space="preserve">  </v>
      </c>
      <c r="R130" s="77" t="str">
        <f>VLOOKUP(Q130,STN_TABLE,2,FALSE)</f>
        <v xml:space="preserve">  </v>
      </c>
      <c r="S130" s="77">
        <v>8</v>
      </c>
      <c r="T130" s="76" t="e">
        <f t="shared" si="464"/>
        <v>#VALUE!</v>
      </c>
      <c r="U130" s="80">
        <v>10</v>
      </c>
      <c r="V130" s="76" t="e">
        <f t="shared" si="465"/>
        <v>#VALUE!</v>
      </c>
      <c r="W130" s="201" t="s">
        <v>171</v>
      </c>
      <c r="X130" s="191" t="s">
        <v>168</v>
      </c>
      <c r="Y130" s="78" t="s">
        <v>98</v>
      </c>
      <c r="Z130" s="191" t="s">
        <v>168</v>
      </c>
      <c r="AA130" s="7" t="s">
        <v>77</v>
      </c>
      <c r="AB130" s="191" t="s">
        <v>168</v>
      </c>
      <c r="AC130" s="99">
        <f>AC124+1</f>
        <v>17</v>
      </c>
      <c r="AD130" s="95" t="str">
        <f>VLOOKUP(AC130,STN_TABLE_2,2,FALSE)</f>
        <v xml:space="preserve">  </v>
      </c>
      <c r="AE130" t="str">
        <f t="shared" ref="AE130:AE131" si="468">AG130</f>
        <v xml:space="preserve">  </v>
      </c>
      <c r="AF130">
        <v>1</v>
      </c>
      <c r="AG130" s="68" t="str">
        <f>VLOOKUP(AD130,STN_TABLE,2,FALSE)</f>
        <v xml:space="preserve">  </v>
      </c>
      <c r="AH130" s="68">
        <v>1</v>
      </c>
      <c r="AI130" s="69" t="e">
        <f t="shared" ref="AI130:AI131" si="469">AG130*AH130</f>
        <v>#VALUE!</v>
      </c>
      <c r="AJ130" s="201" t="s">
        <v>171</v>
      </c>
      <c r="AK130" s="191" t="s">
        <v>168</v>
      </c>
      <c r="AL130" s="78" t="s">
        <v>98</v>
      </c>
      <c r="AM130" s="191" t="s">
        <v>168</v>
      </c>
      <c r="AN130" s="7" t="s">
        <v>77</v>
      </c>
      <c r="AO130" s="191" t="s">
        <v>168</v>
      </c>
      <c r="AR130" s="86" t="s">
        <v>112</v>
      </c>
      <c r="AS130" s="89" t="s">
        <v>113</v>
      </c>
      <c r="AT130" s="89" t="s">
        <v>114</v>
      </c>
      <c r="AU130" s="89" t="s">
        <v>115</v>
      </c>
      <c r="AV130" s="71" t="e">
        <f t="shared" ref="AV130" si="470">IF(AV131=AR131,AR130,IF(AV131=AS131,AS130,IF(AV131=AT131,AT130,AU130)))</f>
        <v>#VALUE!</v>
      </c>
      <c r="BG130"/>
      <c r="BH130"/>
    </row>
    <row r="131" spans="1:60" x14ac:dyDescent="0.25">
      <c r="A131" s="84">
        <f>A130+1</f>
        <v>17</v>
      </c>
      <c r="B131" s="84" t="str">
        <f>VLOOKUP(A131,STN_TABLE_2,2,FALSE)</f>
        <v xml:space="preserve">  </v>
      </c>
      <c r="C131" s="88" t="str">
        <f t="shared" ref="C131" si="471">B132</f>
        <v xml:space="preserve">  </v>
      </c>
      <c r="D131" s="82" t="str">
        <f>VLOOKUP(C131,STN_TABLE,2,FALSE)</f>
        <v xml:space="preserve">  </v>
      </c>
      <c r="E131" s="92">
        <v>1</v>
      </c>
      <c r="F131" s="82" t="e">
        <f t="shared" si="460"/>
        <v>#VALUE!</v>
      </c>
      <c r="G131" s="83" t="str">
        <f t="shared" si="461"/>
        <v xml:space="preserve">  </v>
      </c>
      <c r="H131" s="83" t="e">
        <f t="shared" si="462"/>
        <v>#VALUE!</v>
      </c>
      <c r="I131" s="84" t="e">
        <f t="shared" ref="I131" si="472">CONCATENATE("a'(",C129,"~",C131,")=")</f>
        <v>#VALUE!</v>
      </c>
      <c r="J131" s="84" t="e">
        <f t="shared" ref="J131" si="473">2*J129/3*F132</f>
        <v>#VALUE!</v>
      </c>
      <c r="K131" s="84" t="e">
        <f t="shared" ref="K131" si="474">CONCATENATE("A(",C129,")=")</f>
        <v>#VALUE!</v>
      </c>
      <c r="L131" s="84" t="e">
        <f>VLOOKUP(C129,STN_TABLE,3,FALSE)</f>
        <v>#VALUE!</v>
      </c>
      <c r="M131" t="str">
        <f t="shared" ref="M131" si="475">CONCATENATE("A(",C131,")=")</f>
        <v>A(  )=</v>
      </c>
      <c r="N131" t="e">
        <f t="shared" ref="N131:N132" si="476">J131+L131</f>
        <v>#VALUE!</v>
      </c>
      <c r="O131" s="99">
        <f>O130+1</f>
        <v>19</v>
      </c>
      <c r="P131" s="99" t="str">
        <f t="shared" si="365"/>
        <v xml:space="preserve">  </v>
      </c>
      <c r="Q131" s="82" t="e">
        <f t="shared" ref="Q131" si="477">IF(P131-P130=P130-P129,P131,IF(P132-P130=P130-P129,P132,IF(P131-P130=P130-P128,P131,IF(P132-P130=P130-P128,P132,"-"))))</f>
        <v>#VALUE!</v>
      </c>
      <c r="R131" s="83" t="e">
        <f>VLOOKUP(Q131,STN_TABLE,2,FALSE)</f>
        <v>#VALUE!</v>
      </c>
      <c r="S131" s="83">
        <v>-1</v>
      </c>
      <c r="T131" s="82" t="e">
        <f t="shared" si="464"/>
        <v>#VALUE!</v>
      </c>
      <c r="U131" s="88">
        <v>-1</v>
      </c>
      <c r="V131" s="82" t="e">
        <f t="shared" si="465"/>
        <v>#VALUE!</v>
      </c>
      <c r="W131" s="84" t="e">
        <f t="shared" ref="W131" si="478">CONCATENATE("a'(",Q129,"~",Q130,")=")</f>
        <v>#VALUE!</v>
      </c>
      <c r="X131" s="84" t="e">
        <f t="shared" ref="X131" si="479">2*X129/12*T132</f>
        <v>#VALUE!</v>
      </c>
      <c r="Y131" s="84" t="e">
        <f t="shared" ref="Y131" si="480">CONCATENATE("A(",Q129,")=")</f>
        <v>#VALUE!</v>
      </c>
      <c r="Z131" s="84" t="e">
        <f>VLOOKUP(Q129,STN_TABLE,3,FALSE)</f>
        <v>#VALUE!</v>
      </c>
      <c r="AA131" t="str">
        <f t="shared" ref="AA131" si="481">CONCATENATE("A(",Q130,")=")</f>
        <v>A(  )=</v>
      </c>
      <c r="AB131" t="e">
        <f t="shared" ref="AB131:AB132" si="482">X131+Z131</f>
        <v>#VALUE!</v>
      </c>
      <c r="AC131" s="99">
        <f>AC130+1</f>
        <v>18</v>
      </c>
      <c r="AD131" s="100" t="str">
        <f>VLOOKUP(AC131,STN_TABLE_2,2,FALSE)</f>
        <v xml:space="preserve">  </v>
      </c>
      <c r="AE131" t="str">
        <f t="shared" si="468"/>
        <v xml:space="preserve">  </v>
      </c>
      <c r="AF131">
        <v>1</v>
      </c>
      <c r="AG131" s="82" t="str">
        <f>VLOOKUP(AD131,STN_TABLE,2,FALSE)</f>
        <v xml:space="preserve">  </v>
      </c>
      <c r="AH131" s="82">
        <v>2</v>
      </c>
      <c r="AI131" s="83" t="e">
        <f t="shared" si="469"/>
        <v>#VALUE!</v>
      </c>
      <c r="AJ131" s="84" t="str">
        <f t="shared" ref="AJ131" si="483">CONCATENATE("a'(",AD131,")=")</f>
        <v>a'(  )=</v>
      </c>
      <c r="AK131" s="84" t="e">
        <f t="shared" ref="AK131" si="484">2*AK129/2*AG132</f>
        <v>#VALUE!</v>
      </c>
      <c r="AL131" s="84" t="str">
        <f t="shared" ref="AL131" si="485">CONCATENATE("A(",AD130,")=")</f>
        <v>A(  )=</v>
      </c>
      <c r="AM131" s="84" t="str">
        <f>VLOOKUP(AD130,STN_TABLE,3,FALSE)</f>
        <v xml:space="preserve"> </v>
      </c>
      <c r="AN131" t="str">
        <f t="shared" ref="AN131" si="486">CONCATENATE("A(",AD131,")=")</f>
        <v>A(  )=</v>
      </c>
      <c r="AO131" t="e">
        <f t="shared" ref="AO131:AO132" si="487">AK131+AM131</f>
        <v>#VALUE!</v>
      </c>
      <c r="AQ131" s="68" t="str">
        <f>AA131</f>
        <v>A(  )=</v>
      </c>
      <c r="AR131" s="68" t="str">
        <f>IFERROR(VLOOKUP(AQ131,Rise_Results,2,FALSE),"-")</f>
        <v>-</v>
      </c>
      <c r="AS131" s="76" t="str">
        <f>IFERROR(N131,"-")</f>
        <v>-</v>
      </c>
      <c r="AT131" s="76" t="str">
        <f>IFERROR(IF(OR(AB131&lt;=0,AB132&lt;=0),1/0,AB131),"-")</f>
        <v>-</v>
      </c>
      <c r="AU131" s="76" t="e">
        <f t="shared" ref="AU131:AU132" si="488">AO131</f>
        <v>#VALUE!</v>
      </c>
      <c r="AV131" t="e">
        <f t="shared" ref="AV131:AV132" si="489">IF(ISNUMBER(AR131),AR131,IF(ISNUMBER(AS131),AS131,IF(ISNUMBER(AT131),AT131,AU131)))</f>
        <v>#VALUE!</v>
      </c>
      <c r="BG131"/>
      <c r="BH131"/>
    </row>
    <row r="132" spans="1:60" x14ac:dyDescent="0.25">
      <c r="A132" s="84">
        <f>A131+1</f>
        <v>18</v>
      </c>
      <c r="B132" s="84" t="str">
        <f>VLOOKUP(A132,STN_TABLE_2,2,FALSE)</f>
        <v xml:space="preserve">  </v>
      </c>
      <c r="C132" s="191" t="s">
        <v>168</v>
      </c>
      <c r="D132" s="191" t="s">
        <v>168</v>
      </c>
      <c r="E132" s="6" t="s">
        <v>172</v>
      </c>
      <c r="F132" s="89" t="e">
        <f t="shared" ref="F132" si="490">SUM(F129:F131)</f>
        <v>#VALUE!</v>
      </c>
      <c r="G132" s="6" t="s">
        <v>172</v>
      </c>
      <c r="H132" s="82" t="e">
        <f t="shared" ref="H132" si="491">SUM(H129:H131)</f>
        <v>#VALUE!</v>
      </c>
      <c r="I132" s="84" t="e">
        <f t="shared" ref="I132" si="492">CONCATENATE("m'(",C129,"~",C131,")=")</f>
        <v>#VALUE!</v>
      </c>
      <c r="J132" s="84" t="e">
        <f>2*(J129*(WLS))/3*H132</f>
        <v>#VALUE!</v>
      </c>
      <c r="K132" s="84" t="e">
        <f t="shared" ref="K132" si="493">CONCATENATE("M(",C129,")=")</f>
        <v>#VALUE!</v>
      </c>
      <c r="L132" s="84" t="e">
        <f>VLOOKUP(C129,STN_TABLE,4,FALSE)</f>
        <v>#VALUE!</v>
      </c>
      <c r="M132" t="str">
        <f t="shared" ref="M132" si="494">CONCATENATE("M(",C131,")=")</f>
        <v>M(  )=</v>
      </c>
      <c r="N132" t="e">
        <f t="shared" si="476"/>
        <v>#VALUE!</v>
      </c>
      <c r="O132" s="99">
        <f>O131+1</f>
        <v>20</v>
      </c>
      <c r="P132" s="99" t="str">
        <f t="shared" si="365"/>
        <v xml:space="preserve">  </v>
      </c>
      <c r="Q132" s="191" t="s">
        <v>168</v>
      </c>
      <c r="R132" s="191" t="s">
        <v>168</v>
      </c>
      <c r="S132" s="6" t="s">
        <v>172</v>
      </c>
      <c r="T132" s="89" t="e">
        <f t="shared" si="146"/>
        <v>#VALUE!</v>
      </c>
      <c r="U132" s="6" t="s">
        <v>172</v>
      </c>
      <c r="V132" s="82" t="e">
        <f t="shared" si="147"/>
        <v>#VALUE!</v>
      </c>
      <c r="W132" s="84" t="e">
        <f t="shared" ref="W132" si="495">CONCATENATE("m'(",Q129,"~",Q130,")=")</f>
        <v>#VALUE!</v>
      </c>
      <c r="X132" s="84" t="e">
        <f>(2*(X129^2)/24*V132)+(X131*Q129*WLS)</f>
        <v>#VALUE!</v>
      </c>
      <c r="Y132" s="84" t="e">
        <f t="shared" ref="Y132" si="496">CONCATENATE("M(",Q129,")=")</f>
        <v>#VALUE!</v>
      </c>
      <c r="Z132" s="84" t="e">
        <f>VLOOKUP(Q129,STN_TABLE,4,FALSE)</f>
        <v>#VALUE!</v>
      </c>
      <c r="AA132" t="str">
        <f t="shared" ref="AA132" si="497">CONCATENATE("M(",Q130,")=")</f>
        <v>M(  )=</v>
      </c>
      <c r="AB132" t="e">
        <f t="shared" si="482"/>
        <v>#VALUE!</v>
      </c>
      <c r="AD132" s="191" t="s">
        <v>168</v>
      </c>
      <c r="AE132" s="191" t="s">
        <v>168</v>
      </c>
      <c r="AF132" s="6" t="s">
        <v>172</v>
      </c>
      <c r="AG132" s="89">
        <f t="shared" si="151"/>
        <v>0</v>
      </c>
      <c r="AH132" s="6" t="s">
        <v>172</v>
      </c>
      <c r="AI132" s="89" t="e">
        <f t="shared" si="152"/>
        <v>#VALUE!</v>
      </c>
      <c r="AJ132" s="84" t="str">
        <f t="shared" ref="AJ132" si="498">CONCATENATE("m'(",AD131,")=")</f>
        <v>m'(  )=</v>
      </c>
      <c r="AK132" s="84" t="e">
        <f>(2*(AK129^2)/6*AI132)+(AK131*AD130*WLS)</f>
        <v>#VALUE!</v>
      </c>
      <c r="AL132" s="84" t="str">
        <f t="shared" ref="AL132" si="499">CONCATENATE("M(",AD130,")=")</f>
        <v>M(  )=</v>
      </c>
      <c r="AM132" s="84" t="str">
        <f>VLOOKUP(AD130,STN_TABLE,4,FALSE)</f>
        <v xml:space="preserve"> </v>
      </c>
      <c r="AN132" t="str">
        <f t="shared" ref="AN132" si="500">CONCATENATE("M(",AD131,")=")</f>
        <v>M(  )=</v>
      </c>
      <c r="AO132" t="e">
        <f t="shared" si="487"/>
        <v>#VALUE!</v>
      </c>
      <c r="AQ132" s="82" t="str">
        <f>AA132</f>
        <v>M(  )=</v>
      </c>
      <c r="AR132" s="82" t="str">
        <f>IFERROR(VLOOKUP(AQ132,Rise_Results,2,FALSE),"-")</f>
        <v>-</v>
      </c>
      <c r="AS132" s="82" t="str">
        <f>IFERROR(N132,"-")</f>
        <v>-</v>
      </c>
      <c r="AT132" s="82" t="str">
        <f>IFERROR(IF(OR(AB131&lt;=0,AB132&lt;=0),1/0,AB132),"-")</f>
        <v>-</v>
      </c>
      <c r="AU132" s="82" t="e">
        <f t="shared" si="488"/>
        <v>#VALUE!</v>
      </c>
      <c r="AV132" t="e">
        <f t="shared" si="489"/>
        <v>#VALUE!</v>
      </c>
      <c r="BG132"/>
      <c r="BH132"/>
    </row>
    <row r="133" spans="1:60" x14ac:dyDescent="0.25">
      <c r="A133" s="84"/>
      <c r="B133" s="84"/>
      <c r="F133" s="81"/>
      <c r="H133" s="81"/>
      <c r="I133" s="84"/>
      <c r="J133" s="84"/>
      <c r="K133" s="84"/>
      <c r="L133" s="84"/>
      <c r="O133" s="99"/>
      <c r="P133" s="99"/>
      <c r="T133" s="81"/>
      <c r="V133" s="81"/>
      <c r="W133" s="84"/>
      <c r="X133" s="84"/>
      <c r="Y133" s="84"/>
      <c r="Z133" s="84"/>
      <c r="AD133" s="191" t="s">
        <v>168</v>
      </c>
      <c r="AE133" s="191" t="s">
        <v>168</v>
      </c>
      <c r="AF133" s="191" t="s">
        <v>168</v>
      </c>
      <c r="AG133" s="191" t="s">
        <v>168</v>
      </c>
      <c r="AH133" s="191" t="s">
        <v>168</v>
      </c>
      <c r="AI133" s="191" t="s">
        <v>168</v>
      </c>
      <c r="AJ133" s="191" t="s">
        <v>168</v>
      </c>
      <c r="AK133" s="191" t="s">
        <v>168</v>
      </c>
      <c r="AL133" s="191" t="s">
        <v>168</v>
      </c>
      <c r="AM133" s="191" t="s">
        <v>168</v>
      </c>
      <c r="AN133" s="191" t="s">
        <v>168</v>
      </c>
      <c r="AO133" s="191" t="s">
        <v>168</v>
      </c>
      <c r="AQ133" s="81"/>
      <c r="AR133" s="81"/>
      <c r="AS133" s="81"/>
      <c r="AT133" s="81"/>
      <c r="AU133" s="81"/>
      <c r="BG133"/>
      <c r="BH133"/>
    </row>
    <row r="134" spans="1:60" ht="18" x14ac:dyDescent="0.35">
      <c r="A134" s="101">
        <f>A128+1</f>
        <v>15</v>
      </c>
      <c r="B134" s="101" t="str">
        <f>VLOOKUP(A134,STN_TABLE_2,2,FALSE)</f>
        <v xml:space="preserve">  </v>
      </c>
      <c r="C134" t="s">
        <v>0</v>
      </c>
      <c r="D134" t="s">
        <v>95</v>
      </c>
      <c r="E134" t="s">
        <v>164</v>
      </c>
      <c r="F134" t="s">
        <v>165</v>
      </c>
      <c r="G134" t="s">
        <v>13</v>
      </c>
      <c r="H134" t="s">
        <v>169</v>
      </c>
      <c r="I134" s="191" t="s">
        <v>168</v>
      </c>
      <c r="J134" s="191" t="s">
        <v>168</v>
      </c>
      <c r="K134" s="191" t="s">
        <v>168</v>
      </c>
      <c r="L134" s="191" t="s">
        <v>168</v>
      </c>
      <c r="M134" s="191" t="s">
        <v>168</v>
      </c>
      <c r="N134" s="191" t="s">
        <v>168</v>
      </c>
      <c r="O134" s="101">
        <f>O128+1</f>
        <v>17</v>
      </c>
      <c r="P134" s="101" t="str">
        <f t="shared" ref="P134" si="501">VLOOKUP(O134,STN_TABLE_2,2,FALSE)</f>
        <v xml:space="preserve">  </v>
      </c>
      <c r="Q134" t="s">
        <v>0</v>
      </c>
      <c r="R134" t="s">
        <v>95</v>
      </c>
      <c r="S134" t="s">
        <v>164</v>
      </c>
      <c r="T134" t="s">
        <v>165</v>
      </c>
      <c r="U134" t="s">
        <v>166</v>
      </c>
      <c r="V134" t="s">
        <v>167</v>
      </c>
      <c r="W134" s="191" t="s">
        <v>168</v>
      </c>
      <c r="X134" s="191" t="s">
        <v>168</v>
      </c>
      <c r="Y134" s="191" t="s">
        <v>168</v>
      </c>
      <c r="Z134" s="191" t="s">
        <v>168</v>
      </c>
      <c r="AA134" s="191" t="s">
        <v>168</v>
      </c>
      <c r="AB134" s="191" t="s">
        <v>168</v>
      </c>
      <c r="BG134"/>
      <c r="BH134"/>
    </row>
    <row r="135" spans="1:60" ht="18" x14ac:dyDescent="0.35">
      <c r="A135" s="84">
        <f>A134+1</f>
        <v>16</v>
      </c>
      <c r="B135" s="84" t="str">
        <f>VLOOKUP(A135,STN_TABLE_2,2,FALSE)</f>
        <v xml:space="preserve">  </v>
      </c>
      <c r="C135" s="79" t="e">
        <f t="shared" ref="C135" si="502">IF(C136=B137,IF(C137-C136=C136-B136,B136,IF(C137-C136=C136-B135,B135,"#NA")),IF(C136=B136,IF(C137-C136=C136-B135,B135,IF(C137-C136=C136-B134,B134,"#NA")),"#NA"))</f>
        <v>#VALUE!</v>
      </c>
      <c r="D135" s="68" t="e">
        <f>VLOOKUP(C135,STN_TABLE,2,FALSE)</f>
        <v>#VALUE!</v>
      </c>
      <c r="E135" s="102">
        <v>1</v>
      </c>
      <c r="F135" s="68" t="e">
        <f t="shared" ref="F135:F137" si="503">D135*E135</f>
        <v>#VALUE!</v>
      </c>
      <c r="G135" s="69" t="e">
        <f t="shared" ref="G135:G137" si="504">C135</f>
        <v>#VALUE!</v>
      </c>
      <c r="H135" s="69" t="e">
        <f t="shared" ref="H135:H137" si="505">F135*G135</f>
        <v>#VALUE!</v>
      </c>
      <c r="I135" s="6" t="s">
        <v>93</v>
      </c>
      <c r="J135" s="70" t="e">
        <f>IF(OR(D135=0,D136=0,D137=0),"#NA",IF(AND(C137-C136=C136-C135,C136&lt;&gt;C137,C135&lt;&gt;C136,C135&lt;&gt;C137,D137&lt;&gt;0,OR(D135&lt;&gt;0,D136&lt;&gt;0)),WLS*(C137-C136),"#NA"))</f>
        <v>#VALUE!</v>
      </c>
      <c r="K135" s="191" t="s">
        <v>168</v>
      </c>
      <c r="L135" s="191" t="s">
        <v>168</v>
      </c>
      <c r="M135" s="191" t="s">
        <v>168</v>
      </c>
      <c r="N135" s="191" t="s">
        <v>168</v>
      </c>
      <c r="O135" s="99">
        <f>O134+1</f>
        <v>18</v>
      </c>
      <c r="P135" s="99" t="str">
        <f t="shared" si="365"/>
        <v xml:space="preserve">  </v>
      </c>
      <c r="Q135" s="68" t="e">
        <f t="shared" ref="Q135" si="506">IF(OR(P137-P136=P136-P135,P138-P136=P136-P135),P135,IF(OR(P137-P136=P136-P134,P138-P136=P136-P134),P134,"-"))</f>
        <v>#VALUE!</v>
      </c>
      <c r="R135" s="69" t="e">
        <f>VLOOKUP(Q135,STN_TABLE,2,FALSE)</f>
        <v>#VALUE!</v>
      </c>
      <c r="S135" s="69">
        <v>5</v>
      </c>
      <c r="T135" s="68" t="e">
        <f t="shared" ref="T135:T137" si="507">R135*S135</f>
        <v>#VALUE!</v>
      </c>
      <c r="U135" s="79">
        <v>3</v>
      </c>
      <c r="V135" s="68" t="e">
        <f t="shared" ref="V135:V137" si="508">R135*U135</f>
        <v>#VALUE!</v>
      </c>
      <c r="W135" s="6" t="s">
        <v>93</v>
      </c>
      <c r="X135" s="70" t="e">
        <f>IF(AND(Q137-Q136=Q136-Q135,NOT(AND(Q135=0,Q136=0)),NOT(AND(Q136=0,Q137=0))),WLS*(Q137-Q136),"#NA")</f>
        <v>#VALUE!</v>
      </c>
      <c r="Y135" s="191" t="s">
        <v>168</v>
      </c>
      <c r="Z135" s="191" t="s">
        <v>168</v>
      </c>
      <c r="AA135" s="191" t="s">
        <v>168</v>
      </c>
      <c r="AB135" s="191" t="s">
        <v>168</v>
      </c>
      <c r="AD135" t="s">
        <v>0</v>
      </c>
      <c r="AE135" t="s">
        <v>95</v>
      </c>
      <c r="AF135" t="s">
        <v>173</v>
      </c>
      <c r="AG135" t="s">
        <v>183</v>
      </c>
      <c r="AH135" t="s">
        <v>175</v>
      </c>
      <c r="AI135" t="s">
        <v>184</v>
      </c>
      <c r="AJ135" s="6" t="s">
        <v>93</v>
      </c>
      <c r="AK135" s="70" t="e">
        <f>WLS*(AD137-AD136)</f>
        <v>#VALUE!</v>
      </c>
      <c r="AL135" s="191" t="s">
        <v>168</v>
      </c>
      <c r="AM135" s="191" t="s">
        <v>168</v>
      </c>
      <c r="AN135" s="191" t="s">
        <v>168</v>
      </c>
      <c r="AO135" s="191" t="s">
        <v>168</v>
      </c>
      <c r="BG135"/>
      <c r="BH135"/>
    </row>
    <row r="136" spans="1:60" x14ac:dyDescent="0.25">
      <c r="A136" s="84">
        <f>A135+1</f>
        <v>17</v>
      </c>
      <c r="B136" s="84" t="str">
        <f>VLOOKUP(A136,STN_TABLE_2,2,FALSE)</f>
        <v xml:space="preserve">  </v>
      </c>
      <c r="C136" s="80" t="e">
        <f t="shared" ref="C136" si="509">IF(OR(B138-B137=B137-B136,B138-B137=B137-B135,B138-B137=B137-B134),B137,IF(OR(B138-B136=B136-B135,B138-B136=B136-B134),B136,IF(B138-B135=B135-B134,B135,"#NA")))</f>
        <v>#VALUE!</v>
      </c>
      <c r="D136" s="76" t="e">
        <f>VLOOKUP(C136,STN_TABLE,2,FALSE)</f>
        <v>#VALUE!</v>
      </c>
      <c r="E136" s="81">
        <v>4</v>
      </c>
      <c r="F136" s="76" t="e">
        <f t="shared" si="503"/>
        <v>#VALUE!</v>
      </c>
      <c r="G136" s="77" t="e">
        <f t="shared" si="504"/>
        <v>#VALUE!</v>
      </c>
      <c r="H136" s="77" t="e">
        <f t="shared" si="505"/>
        <v>#VALUE!</v>
      </c>
      <c r="I136" s="201" t="s">
        <v>171</v>
      </c>
      <c r="J136" s="191" t="s">
        <v>168</v>
      </c>
      <c r="K136" s="78" t="s">
        <v>98</v>
      </c>
      <c r="L136" s="191" t="s">
        <v>168</v>
      </c>
      <c r="M136" s="7" t="s">
        <v>77</v>
      </c>
      <c r="N136" s="191" t="s">
        <v>168</v>
      </c>
      <c r="O136" s="99">
        <f>O135+1</f>
        <v>19</v>
      </c>
      <c r="P136" s="99" t="str">
        <f t="shared" si="365"/>
        <v xml:space="preserve">  </v>
      </c>
      <c r="Q136" s="76" t="str">
        <f t="shared" ref="Q136" si="510">P136</f>
        <v xml:space="preserve">  </v>
      </c>
      <c r="R136" s="77" t="str">
        <f>VLOOKUP(Q136,STN_TABLE,2,FALSE)</f>
        <v xml:space="preserve">  </v>
      </c>
      <c r="S136" s="77">
        <v>8</v>
      </c>
      <c r="T136" s="76" t="e">
        <f t="shared" si="507"/>
        <v>#VALUE!</v>
      </c>
      <c r="U136" s="80">
        <v>10</v>
      </c>
      <c r="V136" s="76" t="e">
        <f t="shared" si="508"/>
        <v>#VALUE!</v>
      </c>
      <c r="W136" s="201" t="s">
        <v>171</v>
      </c>
      <c r="X136" s="191" t="s">
        <v>168</v>
      </c>
      <c r="Y136" s="78" t="s">
        <v>98</v>
      </c>
      <c r="Z136" s="191" t="s">
        <v>168</v>
      </c>
      <c r="AA136" s="7" t="s">
        <v>77</v>
      </c>
      <c r="AB136" s="191" t="s">
        <v>168</v>
      </c>
      <c r="AC136" s="99">
        <f>AC130+1</f>
        <v>18</v>
      </c>
      <c r="AD136" s="95" t="str">
        <f>VLOOKUP(AC136,STN_TABLE_2,2,FALSE)</f>
        <v xml:space="preserve">  </v>
      </c>
      <c r="AE136" t="str">
        <f t="shared" ref="AE136:AE137" si="511">AG136</f>
        <v xml:space="preserve">  </v>
      </c>
      <c r="AF136">
        <v>1</v>
      </c>
      <c r="AG136" s="68" t="str">
        <f>VLOOKUP(AD136,STN_TABLE,2,FALSE)</f>
        <v xml:space="preserve">  </v>
      </c>
      <c r="AH136" s="68">
        <v>1</v>
      </c>
      <c r="AI136" s="69" t="e">
        <f t="shared" ref="AI136:AI137" si="512">AG136*AH136</f>
        <v>#VALUE!</v>
      </c>
      <c r="AJ136" s="201" t="s">
        <v>171</v>
      </c>
      <c r="AK136" s="191" t="s">
        <v>168</v>
      </c>
      <c r="AL136" s="78" t="s">
        <v>98</v>
      </c>
      <c r="AM136" s="191" t="s">
        <v>168</v>
      </c>
      <c r="AN136" s="7" t="s">
        <v>77</v>
      </c>
      <c r="AO136" s="191" t="s">
        <v>168</v>
      </c>
      <c r="AR136" s="86" t="s">
        <v>112</v>
      </c>
      <c r="AS136" s="89" t="s">
        <v>113</v>
      </c>
      <c r="AT136" s="89" t="s">
        <v>114</v>
      </c>
      <c r="AU136" s="89" t="s">
        <v>115</v>
      </c>
      <c r="AV136" s="71" t="e">
        <f t="shared" ref="AV136" si="513">IF(AV137=AR137,AR136,IF(AV137=AS137,AS136,IF(AV137=AT137,AT136,AU136)))</f>
        <v>#VALUE!</v>
      </c>
      <c r="BG136"/>
      <c r="BH136"/>
    </row>
    <row r="137" spans="1:60" x14ac:dyDescent="0.25">
      <c r="A137" s="84">
        <f>A136+1</f>
        <v>18</v>
      </c>
      <c r="B137" s="84" t="str">
        <f>VLOOKUP(A137,STN_TABLE_2,2,FALSE)</f>
        <v xml:space="preserve">  </v>
      </c>
      <c r="C137" s="88" t="str">
        <f t="shared" ref="C137" si="514">B138</f>
        <v xml:space="preserve">  </v>
      </c>
      <c r="D137" s="82" t="str">
        <f>VLOOKUP(C137,STN_TABLE,2,FALSE)</f>
        <v xml:space="preserve">  </v>
      </c>
      <c r="E137" s="92">
        <v>1</v>
      </c>
      <c r="F137" s="82" t="e">
        <f t="shared" si="503"/>
        <v>#VALUE!</v>
      </c>
      <c r="G137" s="83" t="str">
        <f t="shared" si="504"/>
        <v xml:space="preserve">  </v>
      </c>
      <c r="H137" s="83" t="e">
        <f t="shared" si="505"/>
        <v>#VALUE!</v>
      </c>
      <c r="I137" s="84" t="e">
        <f t="shared" ref="I137" si="515">CONCATENATE("a'(",C135,"~",C137,")=")</f>
        <v>#VALUE!</v>
      </c>
      <c r="J137" s="84" t="e">
        <f t="shared" ref="J137" si="516">2*J135/3*F138</f>
        <v>#VALUE!</v>
      </c>
      <c r="K137" s="84" t="e">
        <f t="shared" ref="K137" si="517">CONCATENATE("A(",C135,")=")</f>
        <v>#VALUE!</v>
      </c>
      <c r="L137" s="84" t="e">
        <f>VLOOKUP(C135,STN_TABLE,3,FALSE)</f>
        <v>#VALUE!</v>
      </c>
      <c r="M137" t="str">
        <f t="shared" ref="M137" si="518">CONCATENATE("A(",C137,")=")</f>
        <v>A(  )=</v>
      </c>
      <c r="N137" t="e">
        <f t="shared" ref="N137:N138" si="519">J137+L137</f>
        <v>#VALUE!</v>
      </c>
      <c r="O137" s="99">
        <f>O136+1</f>
        <v>20</v>
      </c>
      <c r="P137" s="99" t="str">
        <f t="shared" si="365"/>
        <v xml:space="preserve">  </v>
      </c>
      <c r="Q137" s="82" t="e">
        <f t="shared" ref="Q137" si="520">IF(P137-P136=P136-P135,P137,IF(P138-P136=P136-P135,P138,IF(P137-P136=P136-P134,P137,IF(P138-P136=P136-P134,P138,"-"))))</f>
        <v>#VALUE!</v>
      </c>
      <c r="R137" s="83" t="e">
        <f>VLOOKUP(Q137,STN_TABLE,2,FALSE)</f>
        <v>#VALUE!</v>
      </c>
      <c r="S137" s="83">
        <v>-1</v>
      </c>
      <c r="T137" s="82" t="e">
        <f t="shared" si="507"/>
        <v>#VALUE!</v>
      </c>
      <c r="U137" s="88">
        <v>-1</v>
      </c>
      <c r="V137" s="82" t="e">
        <f t="shared" si="508"/>
        <v>#VALUE!</v>
      </c>
      <c r="W137" s="84" t="e">
        <f t="shared" ref="W137" si="521">CONCATENATE("a'(",Q135,"~",Q136,")=")</f>
        <v>#VALUE!</v>
      </c>
      <c r="X137" s="84" t="e">
        <f t="shared" ref="X137" si="522">2*X135/12*T138</f>
        <v>#VALUE!</v>
      </c>
      <c r="Y137" s="84" t="e">
        <f t="shared" ref="Y137" si="523">CONCATENATE("A(",Q135,")=")</f>
        <v>#VALUE!</v>
      </c>
      <c r="Z137" s="84" t="e">
        <f>VLOOKUP(Q135,STN_TABLE,3,FALSE)</f>
        <v>#VALUE!</v>
      </c>
      <c r="AA137" t="str">
        <f t="shared" ref="AA137" si="524">CONCATENATE("A(",Q136,")=")</f>
        <v>A(  )=</v>
      </c>
      <c r="AB137" t="e">
        <f t="shared" ref="AB137:AB138" si="525">X137+Z137</f>
        <v>#VALUE!</v>
      </c>
      <c r="AC137" s="99">
        <f>AC136+1</f>
        <v>19</v>
      </c>
      <c r="AD137" s="100" t="str">
        <f>VLOOKUP(AC137,STN_TABLE_2,2,FALSE)</f>
        <v xml:space="preserve">  </v>
      </c>
      <c r="AE137" t="str">
        <f t="shared" si="511"/>
        <v xml:space="preserve">  </v>
      </c>
      <c r="AF137">
        <v>1</v>
      </c>
      <c r="AG137" s="82" t="str">
        <f>VLOOKUP(AD137,STN_TABLE,2,FALSE)</f>
        <v xml:space="preserve">  </v>
      </c>
      <c r="AH137" s="82">
        <v>2</v>
      </c>
      <c r="AI137" s="83" t="e">
        <f t="shared" si="512"/>
        <v>#VALUE!</v>
      </c>
      <c r="AJ137" s="84" t="str">
        <f t="shared" ref="AJ137" si="526">CONCATENATE("a'(",AD137,")=")</f>
        <v>a'(  )=</v>
      </c>
      <c r="AK137" s="84" t="e">
        <f t="shared" ref="AK137" si="527">2*AK135/2*AG138</f>
        <v>#VALUE!</v>
      </c>
      <c r="AL137" s="84" t="str">
        <f t="shared" ref="AL137" si="528">CONCATENATE("A(",AD136,")=")</f>
        <v>A(  )=</v>
      </c>
      <c r="AM137" s="84" t="str">
        <f>VLOOKUP(AD136,STN_TABLE,3,FALSE)</f>
        <v xml:space="preserve"> </v>
      </c>
      <c r="AN137" t="str">
        <f t="shared" ref="AN137" si="529">CONCATENATE("A(",AD137,")=")</f>
        <v>A(  )=</v>
      </c>
      <c r="AO137" t="e">
        <f t="shared" ref="AO137:AO138" si="530">AK137+AM137</f>
        <v>#VALUE!</v>
      </c>
      <c r="AQ137" s="68" t="str">
        <f>AA137</f>
        <v>A(  )=</v>
      </c>
      <c r="AR137" s="68" t="str">
        <f>IFERROR(VLOOKUP(AQ137,Rise_Results,2,FALSE),"-")</f>
        <v>-</v>
      </c>
      <c r="AS137" s="76" t="str">
        <f>IFERROR(N137,"-")</f>
        <v>-</v>
      </c>
      <c r="AT137" s="76" t="str">
        <f>IFERROR(IF(OR(AB137&lt;=0,AB138&lt;=0),1/0,AB137),"-")</f>
        <v>-</v>
      </c>
      <c r="AU137" s="76" t="e">
        <f t="shared" ref="AU137:AU138" si="531">AO137</f>
        <v>#VALUE!</v>
      </c>
      <c r="AV137" t="e">
        <f t="shared" ref="AV137:AV138" si="532">IF(ISNUMBER(AR137),AR137,IF(ISNUMBER(AS137),AS137,IF(ISNUMBER(AT137),AT137,AU137)))</f>
        <v>#VALUE!</v>
      </c>
      <c r="BG137"/>
      <c r="BH137"/>
    </row>
    <row r="138" spans="1:60" x14ac:dyDescent="0.25">
      <c r="A138" s="84">
        <f>A137+1</f>
        <v>19</v>
      </c>
      <c r="B138" s="84" t="str">
        <f>VLOOKUP(A138,STN_TABLE_2,2,FALSE)</f>
        <v xml:space="preserve">  </v>
      </c>
      <c r="C138" s="191" t="s">
        <v>168</v>
      </c>
      <c r="D138" s="191" t="s">
        <v>168</v>
      </c>
      <c r="E138" s="6" t="s">
        <v>172</v>
      </c>
      <c r="F138" s="89" t="e">
        <f t="shared" ref="F138" si="533">SUM(F135:F137)</f>
        <v>#VALUE!</v>
      </c>
      <c r="G138" s="6" t="s">
        <v>172</v>
      </c>
      <c r="H138" s="82" t="e">
        <f t="shared" ref="H138" si="534">SUM(H135:H137)</f>
        <v>#VALUE!</v>
      </c>
      <c r="I138" s="84" t="e">
        <f t="shared" ref="I138" si="535">CONCATENATE("m'(",C135,"~",C137,")=")</f>
        <v>#VALUE!</v>
      </c>
      <c r="J138" s="84" t="e">
        <f>2*(J135*(WLS))/3*H138</f>
        <v>#VALUE!</v>
      </c>
      <c r="K138" s="84" t="e">
        <f t="shared" ref="K138" si="536">CONCATENATE("M(",C135,")=")</f>
        <v>#VALUE!</v>
      </c>
      <c r="L138" s="84" t="e">
        <f>VLOOKUP(C135,STN_TABLE,4,FALSE)</f>
        <v>#VALUE!</v>
      </c>
      <c r="M138" t="str">
        <f t="shared" ref="M138" si="537">CONCATENATE("M(",C137,")=")</f>
        <v>M(  )=</v>
      </c>
      <c r="N138" t="e">
        <f t="shared" si="519"/>
        <v>#VALUE!</v>
      </c>
      <c r="O138" s="99">
        <f>O137+1</f>
        <v>21</v>
      </c>
      <c r="P138" s="99" t="str">
        <f t="shared" si="365"/>
        <v xml:space="preserve">  </v>
      </c>
      <c r="Q138" s="191" t="s">
        <v>168</v>
      </c>
      <c r="R138" s="191" t="s">
        <v>168</v>
      </c>
      <c r="S138" s="6" t="s">
        <v>172</v>
      </c>
      <c r="T138" s="89" t="e">
        <f t="shared" si="146"/>
        <v>#VALUE!</v>
      </c>
      <c r="U138" s="6" t="s">
        <v>172</v>
      </c>
      <c r="V138" s="82" t="e">
        <f t="shared" si="147"/>
        <v>#VALUE!</v>
      </c>
      <c r="W138" s="84" t="e">
        <f t="shared" ref="W138" si="538">CONCATENATE("m'(",Q135,"~",Q136,")=")</f>
        <v>#VALUE!</v>
      </c>
      <c r="X138" s="84" t="e">
        <f>(2*(X135^2)/24*V138)+(X137*Q135*WLS)</f>
        <v>#VALUE!</v>
      </c>
      <c r="Y138" s="84" t="e">
        <f t="shared" ref="Y138" si="539">CONCATENATE("M(",Q135,")=")</f>
        <v>#VALUE!</v>
      </c>
      <c r="Z138" s="84" t="e">
        <f>VLOOKUP(Q135,STN_TABLE,4,FALSE)</f>
        <v>#VALUE!</v>
      </c>
      <c r="AA138" t="str">
        <f t="shared" ref="AA138" si="540">CONCATENATE("M(",Q136,")=")</f>
        <v>M(  )=</v>
      </c>
      <c r="AB138" t="e">
        <f t="shared" si="525"/>
        <v>#VALUE!</v>
      </c>
      <c r="AD138" s="191" t="s">
        <v>168</v>
      </c>
      <c r="AE138" s="191" t="s">
        <v>168</v>
      </c>
      <c r="AF138" s="6" t="s">
        <v>172</v>
      </c>
      <c r="AG138" s="89">
        <f t="shared" si="151"/>
        <v>0</v>
      </c>
      <c r="AH138" s="6" t="s">
        <v>172</v>
      </c>
      <c r="AI138" s="89" t="e">
        <f t="shared" si="152"/>
        <v>#VALUE!</v>
      </c>
      <c r="AJ138" s="84" t="str">
        <f t="shared" ref="AJ138" si="541">CONCATENATE("m'(",AD137,")=")</f>
        <v>m'(  )=</v>
      </c>
      <c r="AK138" s="84" t="e">
        <f>(2*(AK135^2)/6*AI138)+(AK137*AD136*WLS)</f>
        <v>#VALUE!</v>
      </c>
      <c r="AL138" s="84" t="str">
        <f t="shared" ref="AL138" si="542">CONCATENATE("M(",AD136,")=")</f>
        <v>M(  )=</v>
      </c>
      <c r="AM138" s="84" t="str">
        <f>VLOOKUP(AD136,STN_TABLE,4,FALSE)</f>
        <v xml:space="preserve"> </v>
      </c>
      <c r="AN138" t="str">
        <f t="shared" ref="AN138" si="543">CONCATENATE("M(",AD137,")=")</f>
        <v>M(  )=</v>
      </c>
      <c r="AO138" t="e">
        <f t="shared" si="530"/>
        <v>#VALUE!</v>
      </c>
      <c r="AQ138" s="82" t="str">
        <f>AA138</f>
        <v>M(  )=</v>
      </c>
      <c r="AR138" s="82" t="str">
        <f>IFERROR(VLOOKUP(AQ138,Rise_Results,2,FALSE),"-")</f>
        <v>-</v>
      </c>
      <c r="AS138" s="82" t="str">
        <f>IFERROR(N138,"-")</f>
        <v>-</v>
      </c>
      <c r="AT138" s="82" t="str">
        <f>IFERROR(IF(OR(AB137&lt;=0,AB138&lt;=0),1/0,AB138),"-")</f>
        <v>-</v>
      </c>
      <c r="AU138" s="82" t="e">
        <f t="shared" si="531"/>
        <v>#VALUE!</v>
      </c>
      <c r="AV138" t="e">
        <f t="shared" si="532"/>
        <v>#VALUE!</v>
      </c>
      <c r="BG138"/>
      <c r="BH138"/>
    </row>
    <row r="139" spans="1:60" x14ac:dyDescent="0.25">
      <c r="A139" s="84"/>
      <c r="B139" s="84"/>
      <c r="F139" s="81"/>
      <c r="H139" s="81"/>
      <c r="I139" s="84"/>
      <c r="J139" s="84"/>
      <c r="K139" s="84"/>
      <c r="L139" s="84"/>
      <c r="O139" s="99"/>
      <c r="P139" s="99"/>
      <c r="T139" s="81"/>
      <c r="V139" s="81"/>
      <c r="W139" s="84"/>
      <c r="X139" s="84"/>
      <c r="Y139" s="84"/>
      <c r="Z139" s="84"/>
      <c r="AD139" s="191" t="s">
        <v>168</v>
      </c>
      <c r="AE139" s="191" t="s">
        <v>168</v>
      </c>
      <c r="AF139" s="191" t="s">
        <v>168</v>
      </c>
      <c r="AG139" s="191" t="s">
        <v>168</v>
      </c>
      <c r="AH139" s="191" t="s">
        <v>168</v>
      </c>
      <c r="AI139" s="191" t="s">
        <v>168</v>
      </c>
      <c r="AJ139" s="191" t="s">
        <v>168</v>
      </c>
      <c r="AK139" s="191" t="s">
        <v>168</v>
      </c>
      <c r="AL139" s="191" t="s">
        <v>168</v>
      </c>
      <c r="AM139" s="191" t="s">
        <v>168</v>
      </c>
      <c r="AN139" s="191" t="s">
        <v>168</v>
      </c>
      <c r="AO139" s="191" t="s">
        <v>168</v>
      </c>
      <c r="AQ139" s="81"/>
      <c r="AR139" s="81"/>
      <c r="AS139" s="81"/>
      <c r="AT139" s="81"/>
      <c r="AU139" s="81"/>
      <c r="BG139"/>
      <c r="BH139"/>
    </row>
    <row r="140" spans="1:60" ht="18" x14ac:dyDescent="0.35">
      <c r="A140" s="101">
        <f>A134+1</f>
        <v>16</v>
      </c>
      <c r="B140" s="101" t="str">
        <f>VLOOKUP(A140,STN_TABLE_2,2,FALSE)</f>
        <v xml:space="preserve">  </v>
      </c>
      <c r="C140" t="s">
        <v>0</v>
      </c>
      <c r="D140" t="s">
        <v>95</v>
      </c>
      <c r="E140" t="s">
        <v>164</v>
      </c>
      <c r="F140" t="s">
        <v>165</v>
      </c>
      <c r="G140" t="s">
        <v>13</v>
      </c>
      <c r="H140" t="s">
        <v>169</v>
      </c>
      <c r="I140" s="191" t="s">
        <v>168</v>
      </c>
      <c r="J140" s="191" t="s">
        <v>168</v>
      </c>
      <c r="K140" s="191" t="s">
        <v>168</v>
      </c>
      <c r="L140" s="191" t="s">
        <v>168</v>
      </c>
      <c r="M140" s="191" t="s">
        <v>168</v>
      </c>
      <c r="N140" s="191" t="s">
        <v>168</v>
      </c>
      <c r="O140" s="101">
        <f>O134+1</f>
        <v>18</v>
      </c>
      <c r="P140" s="101" t="str">
        <f t="shared" ref="P140" si="544">VLOOKUP(O140,STN_TABLE_2,2,FALSE)</f>
        <v xml:space="preserve">  </v>
      </c>
      <c r="Q140" t="s">
        <v>0</v>
      </c>
      <c r="R140" t="s">
        <v>95</v>
      </c>
      <c r="S140" t="s">
        <v>164</v>
      </c>
      <c r="T140" t="s">
        <v>165</v>
      </c>
      <c r="U140" t="s">
        <v>166</v>
      </c>
      <c r="V140" t="s">
        <v>167</v>
      </c>
      <c r="W140" s="191" t="s">
        <v>168</v>
      </c>
      <c r="X140" s="191" t="s">
        <v>168</v>
      </c>
      <c r="Y140" s="191" t="s">
        <v>168</v>
      </c>
      <c r="Z140" s="191" t="s">
        <v>168</v>
      </c>
      <c r="AA140" s="191" t="s">
        <v>168</v>
      </c>
      <c r="AB140" s="191" t="s">
        <v>168</v>
      </c>
      <c r="BG140"/>
      <c r="BH140"/>
    </row>
    <row r="141" spans="1:60" ht="18" x14ac:dyDescent="0.35">
      <c r="A141" s="84">
        <f>A140+1</f>
        <v>17</v>
      </c>
      <c r="B141" s="84" t="str">
        <f>VLOOKUP(A141,STN_TABLE_2,2,FALSE)</f>
        <v xml:space="preserve">  </v>
      </c>
      <c r="C141" s="79" t="e">
        <f t="shared" ref="C141" si="545">IF(C142=B143,IF(C143-C142=C142-B142,B142,IF(C143-C142=C142-B141,B141,"#NA")),IF(C142=B142,IF(C143-C142=C142-B141,B141,IF(C143-C142=C142-B140,B140,"#NA")),"#NA"))</f>
        <v>#VALUE!</v>
      </c>
      <c r="D141" s="68" t="e">
        <f>VLOOKUP(C141,STN_TABLE,2,FALSE)</f>
        <v>#VALUE!</v>
      </c>
      <c r="E141" s="102">
        <v>1</v>
      </c>
      <c r="F141" s="68" t="e">
        <f t="shared" ref="F141:F143" si="546">D141*E141</f>
        <v>#VALUE!</v>
      </c>
      <c r="G141" s="69" t="e">
        <f t="shared" ref="G141:G143" si="547">C141</f>
        <v>#VALUE!</v>
      </c>
      <c r="H141" s="69" t="e">
        <f t="shared" ref="H141:H143" si="548">F141*G141</f>
        <v>#VALUE!</v>
      </c>
      <c r="I141" s="6" t="s">
        <v>93</v>
      </c>
      <c r="J141" s="70" t="e">
        <f>IF(OR(D141=0,D142=0,D143=0),"#NA",IF(AND(C143-C142=C142-C141,C142&lt;&gt;C143,C141&lt;&gt;C142,C141&lt;&gt;C143,D143&lt;&gt;0,OR(D141&lt;&gt;0,D142&lt;&gt;0)),WLS*(C143-C142),"#NA"))</f>
        <v>#VALUE!</v>
      </c>
      <c r="K141" s="191" t="s">
        <v>168</v>
      </c>
      <c r="L141" s="191" t="s">
        <v>168</v>
      </c>
      <c r="M141" s="191" t="s">
        <v>168</v>
      </c>
      <c r="N141" s="191" t="s">
        <v>168</v>
      </c>
      <c r="O141" s="99">
        <f>O140+1</f>
        <v>19</v>
      </c>
      <c r="P141" s="99" t="str">
        <f t="shared" si="365"/>
        <v xml:space="preserve">  </v>
      </c>
      <c r="Q141" s="68" t="e">
        <f t="shared" ref="Q141" si="549">IF(OR(P143-P142=P142-P141,P144-P142=P142-P141),P141,IF(OR(P143-P142=P142-P140,P144-P142=P142-P140),P140,"-"))</f>
        <v>#VALUE!</v>
      </c>
      <c r="R141" s="69" t="e">
        <f>VLOOKUP(Q141,STN_TABLE,2,FALSE)</f>
        <v>#VALUE!</v>
      </c>
      <c r="S141" s="69">
        <v>5</v>
      </c>
      <c r="T141" s="68" t="e">
        <f t="shared" ref="T141:T143" si="550">R141*S141</f>
        <v>#VALUE!</v>
      </c>
      <c r="U141" s="79">
        <v>3</v>
      </c>
      <c r="V141" s="68" t="e">
        <f t="shared" ref="V141:V143" si="551">R141*U141</f>
        <v>#VALUE!</v>
      </c>
      <c r="W141" s="6" t="s">
        <v>93</v>
      </c>
      <c r="X141" s="70" t="e">
        <f>IF(AND(Q143-Q142=Q142-Q141,NOT(AND(Q141=0,Q142=0)),NOT(AND(Q142=0,Q143=0))),WLS*(Q143-Q142),"#NA")</f>
        <v>#VALUE!</v>
      </c>
      <c r="Y141" s="191" t="s">
        <v>168</v>
      </c>
      <c r="Z141" s="191" t="s">
        <v>168</v>
      </c>
      <c r="AA141" s="191" t="s">
        <v>168</v>
      </c>
      <c r="AB141" s="191" t="s">
        <v>168</v>
      </c>
      <c r="AD141" t="s">
        <v>0</v>
      </c>
      <c r="AE141" t="s">
        <v>95</v>
      </c>
      <c r="AF141" t="s">
        <v>173</v>
      </c>
      <c r="AG141" t="s">
        <v>183</v>
      </c>
      <c r="AH141" t="s">
        <v>175</v>
      </c>
      <c r="AI141" t="s">
        <v>184</v>
      </c>
      <c r="AJ141" s="6" t="s">
        <v>93</v>
      </c>
      <c r="AK141" s="70" t="e">
        <f>WLS*(AD143-AD142)</f>
        <v>#VALUE!</v>
      </c>
      <c r="AL141" s="191" t="s">
        <v>168</v>
      </c>
      <c r="AM141" s="191" t="s">
        <v>168</v>
      </c>
      <c r="AN141" s="191" t="s">
        <v>168</v>
      </c>
      <c r="AO141" s="191" t="s">
        <v>168</v>
      </c>
      <c r="BG141"/>
      <c r="BH141"/>
    </row>
    <row r="142" spans="1:60" x14ac:dyDescent="0.25">
      <c r="A142" s="84">
        <f>A141+1</f>
        <v>18</v>
      </c>
      <c r="B142" s="84" t="str">
        <f>VLOOKUP(A142,STN_TABLE_2,2,FALSE)</f>
        <v xml:space="preserve">  </v>
      </c>
      <c r="C142" s="80" t="e">
        <f t="shared" ref="C142" si="552">IF(OR(B144-B143=B143-B142,B144-B143=B143-B141,B144-B143=B143-B140),B143,IF(OR(B144-B142=B142-B141,B144-B142=B142-B140),B142,IF(B144-B141=B141-B140,B141,"#NA")))</f>
        <v>#VALUE!</v>
      </c>
      <c r="D142" s="76" t="e">
        <f>VLOOKUP(C142,STN_TABLE,2,FALSE)</f>
        <v>#VALUE!</v>
      </c>
      <c r="E142" s="81">
        <v>4</v>
      </c>
      <c r="F142" s="76" t="e">
        <f t="shared" si="546"/>
        <v>#VALUE!</v>
      </c>
      <c r="G142" s="77" t="e">
        <f t="shared" si="547"/>
        <v>#VALUE!</v>
      </c>
      <c r="H142" s="77" t="e">
        <f t="shared" si="548"/>
        <v>#VALUE!</v>
      </c>
      <c r="I142" s="201" t="s">
        <v>171</v>
      </c>
      <c r="J142" s="191" t="s">
        <v>168</v>
      </c>
      <c r="K142" s="78" t="s">
        <v>98</v>
      </c>
      <c r="L142" s="191" t="s">
        <v>168</v>
      </c>
      <c r="M142" s="7" t="s">
        <v>77</v>
      </c>
      <c r="N142" s="191" t="s">
        <v>168</v>
      </c>
      <c r="O142" s="99">
        <f>O141+1</f>
        <v>20</v>
      </c>
      <c r="P142" s="99" t="str">
        <f t="shared" si="365"/>
        <v xml:space="preserve">  </v>
      </c>
      <c r="Q142" s="76" t="str">
        <f t="shared" ref="Q142" si="553">P142</f>
        <v xml:space="preserve">  </v>
      </c>
      <c r="R142" s="77" t="str">
        <f>VLOOKUP(Q142,STN_TABLE,2,FALSE)</f>
        <v xml:space="preserve">  </v>
      </c>
      <c r="S142" s="77">
        <v>8</v>
      </c>
      <c r="T142" s="76" t="e">
        <f t="shared" si="550"/>
        <v>#VALUE!</v>
      </c>
      <c r="U142" s="80">
        <v>10</v>
      </c>
      <c r="V142" s="76" t="e">
        <f t="shared" si="551"/>
        <v>#VALUE!</v>
      </c>
      <c r="W142" s="201" t="s">
        <v>171</v>
      </c>
      <c r="X142" s="191" t="s">
        <v>168</v>
      </c>
      <c r="Y142" s="78" t="s">
        <v>98</v>
      </c>
      <c r="Z142" s="191" t="s">
        <v>168</v>
      </c>
      <c r="AA142" s="7" t="s">
        <v>77</v>
      </c>
      <c r="AB142" s="191" t="s">
        <v>168</v>
      </c>
      <c r="AC142" s="99">
        <f>AC136+1</f>
        <v>19</v>
      </c>
      <c r="AD142" s="95" t="str">
        <f>VLOOKUP(AC142,STN_TABLE_2,2,FALSE)</f>
        <v xml:space="preserve">  </v>
      </c>
      <c r="AE142" t="str">
        <f t="shared" ref="AE142:AE143" si="554">AG142</f>
        <v xml:space="preserve">  </v>
      </c>
      <c r="AF142">
        <v>1</v>
      </c>
      <c r="AG142" s="68" t="str">
        <f>VLOOKUP(AD142,STN_TABLE,2,FALSE)</f>
        <v xml:space="preserve">  </v>
      </c>
      <c r="AH142" s="68">
        <v>1</v>
      </c>
      <c r="AI142" s="69" t="e">
        <f t="shared" ref="AI142:AI143" si="555">AG142*AH142</f>
        <v>#VALUE!</v>
      </c>
      <c r="AJ142" s="201" t="s">
        <v>171</v>
      </c>
      <c r="AK142" s="191" t="s">
        <v>168</v>
      </c>
      <c r="AL142" s="78" t="s">
        <v>98</v>
      </c>
      <c r="AM142" s="191" t="s">
        <v>168</v>
      </c>
      <c r="AN142" s="7" t="s">
        <v>77</v>
      </c>
      <c r="AO142" s="191" t="s">
        <v>168</v>
      </c>
      <c r="AR142" s="86" t="s">
        <v>112</v>
      </c>
      <c r="AS142" s="89" t="s">
        <v>113</v>
      </c>
      <c r="AT142" s="89" t="s">
        <v>114</v>
      </c>
      <c r="AU142" s="89" t="s">
        <v>115</v>
      </c>
      <c r="AV142" s="71" t="e">
        <f t="shared" ref="AV142" si="556">IF(AV143=AR143,AR142,IF(AV143=AS143,AS142,IF(AV143=AT143,AT142,AU142)))</f>
        <v>#VALUE!</v>
      </c>
      <c r="BG142"/>
      <c r="BH142"/>
    </row>
    <row r="143" spans="1:60" x14ac:dyDescent="0.25">
      <c r="A143" s="84">
        <f>A142+1</f>
        <v>19</v>
      </c>
      <c r="B143" s="84" t="str">
        <f>VLOOKUP(A143,STN_TABLE_2,2,FALSE)</f>
        <v xml:space="preserve">  </v>
      </c>
      <c r="C143" s="88" t="str">
        <f t="shared" ref="C143" si="557">B144</f>
        <v xml:space="preserve">  </v>
      </c>
      <c r="D143" s="82" t="str">
        <f>VLOOKUP(C143,STN_TABLE,2,FALSE)</f>
        <v xml:space="preserve">  </v>
      </c>
      <c r="E143" s="92">
        <v>1</v>
      </c>
      <c r="F143" s="82" t="e">
        <f t="shared" si="546"/>
        <v>#VALUE!</v>
      </c>
      <c r="G143" s="83" t="str">
        <f t="shared" si="547"/>
        <v xml:space="preserve">  </v>
      </c>
      <c r="H143" s="83" t="e">
        <f t="shared" si="548"/>
        <v>#VALUE!</v>
      </c>
      <c r="I143" s="84" t="e">
        <f t="shared" ref="I143" si="558">CONCATENATE("a'(",C141,"~",C143,")=")</f>
        <v>#VALUE!</v>
      </c>
      <c r="J143" s="84" t="e">
        <f t="shared" ref="J143" si="559">2*J141/3*F144</f>
        <v>#VALUE!</v>
      </c>
      <c r="K143" s="84" t="e">
        <f t="shared" ref="K143" si="560">CONCATENATE("A(",C141,")=")</f>
        <v>#VALUE!</v>
      </c>
      <c r="L143" s="84" t="e">
        <f>VLOOKUP(C141,STN_TABLE,3,FALSE)</f>
        <v>#VALUE!</v>
      </c>
      <c r="M143" t="str">
        <f t="shared" ref="M143" si="561">CONCATENATE("A(",C143,")=")</f>
        <v>A(  )=</v>
      </c>
      <c r="N143" t="e">
        <f t="shared" ref="N143:N144" si="562">J143+L143</f>
        <v>#VALUE!</v>
      </c>
      <c r="O143" s="99">
        <f>O142+1</f>
        <v>21</v>
      </c>
      <c r="P143" s="99" t="str">
        <f t="shared" si="365"/>
        <v xml:space="preserve">  </v>
      </c>
      <c r="Q143" s="82" t="e">
        <f t="shared" ref="Q143" si="563">IF(P143-P142=P142-P141,P143,IF(P144-P142=P142-P141,P144,IF(P143-P142=P142-P140,P143,IF(P144-P142=P142-P140,P144,"-"))))</f>
        <v>#VALUE!</v>
      </c>
      <c r="R143" s="83" t="e">
        <f>VLOOKUP(Q143,STN_TABLE,2,FALSE)</f>
        <v>#VALUE!</v>
      </c>
      <c r="S143" s="83">
        <v>-1</v>
      </c>
      <c r="T143" s="82" t="e">
        <f t="shared" si="550"/>
        <v>#VALUE!</v>
      </c>
      <c r="U143" s="88">
        <v>-1</v>
      </c>
      <c r="V143" s="82" t="e">
        <f t="shared" si="551"/>
        <v>#VALUE!</v>
      </c>
      <c r="W143" s="84" t="e">
        <f t="shared" ref="W143" si="564">CONCATENATE("a'(",Q141,"~",Q142,")=")</f>
        <v>#VALUE!</v>
      </c>
      <c r="X143" s="84" t="e">
        <f t="shared" ref="X143" si="565">2*X141/12*T144</f>
        <v>#VALUE!</v>
      </c>
      <c r="Y143" s="84" t="e">
        <f t="shared" ref="Y143" si="566">CONCATENATE("A(",Q141,")=")</f>
        <v>#VALUE!</v>
      </c>
      <c r="Z143" s="84" t="e">
        <f>VLOOKUP(Q141,STN_TABLE,3,FALSE)</f>
        <v>#VALUE!</v>
      </c>
      <c r="AA143" t="str">
        <f t="shared" ref="AA143" si="567">CONCATENATE("A(",Q142,")=")</f>
        <v>A(  )=</v>
      </c>
      <c r="AB143" t="e">
        <f t="shared" ref="AB143:AB144" si="568">X143+Z143</f>
        <v>#VALUE!</v>
      </c>
      <c r="AC143" s="99">
        <f>AC142+1</f>
        <v>20</v>
      </c>
      <c r="AD143" s="100" t="str">
        <f>VLOOKUP(AC143,STN_TABLE_2,2,FALSE)</f>
        <v xml:space="preserve">  </v>
      </c>
      <c r="AE143" t="str">
        <f t="shared" si="554"/>
        <v xml:space="preserve">  </v>
      </c>
      <c r="AF143">
        <v>1</v>
      </c>
      <c r="AG143" s="82" t="str">
        <f>VLOOKUP(AD143,STN_TABLE,2,FALSE)</f>
        <v xml:space="preserve">  </v>
      </c>
      <c r="AH143" s="82">
        <v>2</v>
      </c>
      <c r="AI143" s="83" t="e">
        <f t="shared" si="555"/>
        <v>#VALUE!</v>
      </c>
      <c r="AJ143" s="84" t="str">
        <f t="shared" ref="AJ143" si="569">CONCATENATE("a'(",AD143,")=")</f>
        <v>a'(  )=</v>
      </c>
      <c r="AK143" s="84" t="e">
        <f t="shared" ref="AK143" si="570">2*AK141/2*AG144</f>
        <v>#VALUE!</v>
      </c>
      <c r="AL143" s="84" t="str">
        <f t="shared" ref="AL143" si="571">CONCATENATE("A(",AD142,")=")</f>
        <v>A(  )=</v>
      </c>
      <c r="AM143" s="84" t="str">
        <f>VLOOKUP(AD142,STN_TABLE,3,FALSE)</f>
        <v xml:space="preserve"> </v>
      </c>
      <c r="AN143" t="str">
        <f t="shared" ref="AN143" si="572">CONCATENATE("A(",AD143,")=")</f>
        <v>A(  )=</v>
      </c>
      <c r="AO143" t="e">
        <f t="shared" ref="AO143:AO144" si="573">AK143+AM143</f>
        <v>#VALUE!</v>
      </c>
      <c r="AQ143" s="68" t="str">
        <f>AA143</f>
        <v>A(  )=</v>
      </c>
      <c r="AR143" s="68" t="str">
        <f>IFERROR(VLOOKUP(AQ143,Rise_Results,2,FALSE),"-")</f>
        <v>-</v>
      </c>
      <c r="AS143" s="76" t="str">
        <f>IFERROR(N143,"-")</f>
        <v>-</v>
      </c>
      <c r="AT143" s="76" t="str">
        <f>IFERROR(IF(OR(AB143&lt;=0,AB144&lt;=0),1/0,AB143),"-")</f>
        <v>-</v>
      </c>
      <c r="AU143" s="76" t="e">
        <f t="shared" ref="AU143:AU144" si="574">AO143</f>
        <v>#VALUE!</v>
      </c>
      <c r="AV143" t="e">
        <f t="shared" ref="AV143:AV144" si="575">IF(ISNUMBER(AR143),AR143,IF(ISNUMBER(AS143),AS143,IF(ISNUMBER(AT143),AT143,AU143)))</f>
        <v>#VALUE!</v>
      </c>
      <c r="BG143"/>
      <c r="BH143"/>
    </row>
    <row r="144" spans="1:60" x14ac:dyDescent="0.25">
      <c r="A144" s="84">
        <f>A143+1</f>
        <v>20</v>
      </c>
      <c r="B144" s="84" t="str">
        <f>VLOOKUP(A144,STN_TABLE_2,2,FALSE)</f>
        <v xml:space="preserve">  </v>
      </c>
      <c r="C144" s="191" t="s">
        <v>168</v>
      </c>
      <c r="D144" s="191" t="s">
        <v>168</v>
      </c>
      <c r="E144" s="6" t="s">
        <v>172</v>
      </c>
      <c r="F144" s="89" t="e">
        <f t="shared" ref="F144" si="576">SUM(F141:F143)</f>
        <v>#VALUE!</v>
      </c>
      <c r="G144" s="6" t="s">
        <v>172</v>
      </c>
      <c r="H144" s="82" t="e">
        <f t="shared" ref="H144" si="577">SUM(H141:H143)</f>
        <v>#VALUE!</v>
      </c>
      <c r="I144" s="84" t="e">
        <f t="shared" ref="I144" si="578">CONCATENATE("m'(",C141,"~",C143,")=")</f>
        <v>#VALUE!</v>
      </c>
      <c r="J144" s="84" t="e">
        <f>2*(J141*(WLS))/3*H144</f>
        <v>#VALUE!</v>
      </c>
      <c r="K144" s="84" t="e">
        <f t="shared" ref="K144" si="579">CONCATENATE("M(",C141,")=")</f>
        <v>#VALUE!</v>
      </c>
      <c r="L144" s="84" t="e">
        <f>VLOOKUP(C141,STN_TABLE,4,FALSE)</f>
        <v>#VALUE!</v>
      </c>
      <c r="M144" t="str">
        <f t="shared" ref="M144" si="580">CONCATENATE("M(",C143,")=")</f>
        <v>M(  )=</v>
      </c>
      <c r="N144" t="e">
        <f t="shared" si="562"/>
        <v>#VALUE!</v>
      </c>
      <c r="O144" s="99">
        <f>O143+1</f>
        <v>22</v>
      </c>
      <c r="P144" s="99" t="str">
        <f t="shared" si="365"/>
        <v xml:space="preserve">  </v>
      </c>
      <c r="Q144" s="191" t="s">
        <v>168</v>
      </c>
      <c r="R144" s="191" t="s">
        <v>168</v>
      </c>
      <c r="S144" s="6" t="s">
        <v>172</v>
      </c>
      <c r="T144" s="89" t="e">
        <f t="shared" si="146"/>
        <v>#VALUE!</v>
      </c>
      <c r="U144" s="6" t="s">
        <v>172</v>
      </c>
      <c r="V144" s="82" t="e">
        <f t="shared" si="147"/>
        <v>#VALUE!</v>
      </c>
      <c r="W144" s="84" t="e">
        <f t="shared" ref="W144" si="581">CONCATENATE("m'(",Q141,"~",Q142,")=")</f>
        <v>#VALUE!</v>
      </c>
      <c r="X144" s="84" t="e">
        <f>(2*(X141^2)/24*V144)+(X143*Q141*WLS)</f>
        <v>#VALUE!</v>
      </c>
      <c r="Y144" s="84" t="e">
        <f t="shared" ref="Y144" si="582">CONCATENATE("M(",Q141,")=")</f>
        <v>#VALUE!</v>
      </c>
      <c r="Z144" s="84" t="e">
        <f>VLOOKUP(Q141,STN_TABLE,4,FALSE)</f>
        <v>#VALUE!</v>
      </c>
      <c r="AA144" t="str">
        <f t="shared" ref="AA144" si="583">CONCATENATE("M(",Q142,")=")</f>
        <v>M(  )=</v>
      </c>
      <c r="AB144" t="e">
        <f t="shared" si="568"/>
        <v>#VALUE!</v>
      </c>
      <c r="AD144" s="191" t="s">
        <v>168</v>
      </c>
      <c r="AE144" s="191" t="s">
        <v>168</v>
      </c>
      <c r="AF144" s="6" t="s">
        <v>172</v>
      </c>
      <c r="AG144" s="89">
        <f t="shared" si="151"/>
        <v>0</v>
      </c>
      <c r="AH144" s="6" t="s">
        <v>172</v>
      </c>
      <c r="AI144" s="89" t="e">
        <f t="shared" si="152"/>
        <v>#VALUE!</v>
      </c>
      <c r="AJ144" s="84" t="str">
        <f t="shared" ref="AJ144" si="584">CONCATENATE("m'(",AD143,")=")</f>
        <v>m'(  )=</v>
      </c>
      <c r="AK144" s="84" t="e">
        <f>(2*(AK141^2)/6*AI144)+(AK143*AD142*WLS)</f>
        <v>#VALUE!</v>
      </c>
      <c r="AL144" s="84" t="str">
        <f t="shared" ref="AL144" si="585">CONCATENATE("M(",AD142,")=")</f>
        <v>M(  )=</v>
      </c>
      <c r="AM144" s="84" t="str">
        <f>VLOOKUP(AD142,STN_TABLE,4,FALSE)</f>
        <v xml:space="preserve"> </v>
      </c>
      <c r="AN144" t="str">
        <f t="shared" ref="AN144" si="586">CONCATENATE("M(",AD143,")=")</f>
        <v>M(  )=</v>
      </c>
      <c r="AO144" t="e">
        <f t="shared" si="573"/>
        <v>#VALUE!</v>
      </c>
      <c r="AQ144" s="82" t="str">
        <f>AA144</f>
        <v>M(  )=</v>
      </c>
      <c r="AR144" s="82" t="str">
        <f>IFERROR(VLOOKUP(AQ144,Rise_Results,2,FALSE),"-")</f>
        <v>-</v>
      </c>
      <c r="AS144" s="82" t="str">
        <f>IFERROR(N144,"-")</f>
        <v>-</v>
      </c>
      <c r="AT144" s="82" t="str">
        <f>IFERROR(IF(OR(AB143&lt;=0,AB144&lt;=0),1/0,AB144),"-")</f>
        <v>-</v>
      </c>
      <c r="AU144" s="82" t="e">
        <f t="shared" si="574"/>
        <v>#VALUE!</v>
      </c>
      <c r="AV144" t="e">
        <f t="shared" si="575"/>
        <v>#VALUE!</v>
      </c>
      <c r="BG144"/>
      <c r="BH144"/>
    </row>
    <row r="145" spans="1:60" x14ac:dyDescent="0.25">
      <c r="A145" s="84"/>
      <c r="B145" s="84"/>
      <c r="F145" s="81"/>
      <c r="H145" s="81"/>
      <c r="I145" s="84"/>
      <c r="J145" s="84"/>
      <c r="K145" s="84"/>
      <c r="L145" s="84"/>
      <c r="O145" s="99"/>
      <c r="P145" s="99"/>
      <c r="T145" s="81"/>
      <c r="V145" s="81"/>
      <c r="W145" s="84"/>
      <c r="X145" s="84"/>
      <c r="Y145" s="84"/>
      <c r="Z145" s="84"/>
      <c r="AD145" s="191" t="s">
        <v>168</v>
      </c>
      <c r="AE145" s="191" t="s">
        <v>168</v>
      </c>
      <c r="AF145" s="191" t="s">
        <v>168</v>
      </c>
      <c r="AG145" s="191" t="s">
        <v>168</v>
      </c>
      <c r="AH145" s="191" t="s">
        <v>168</v>
      </c>
      <c r="AI145" s="191" t="s">
        <v>168</v>
      </c>
      <c r="AJ145" s="191" t="s">
        <v>168</v>
      </c>
      <c r="AK145" s="191" t="s">
        <v>168</v>
      </c>
      <c r="AL145" s="191" t="s">
        <v>168</v>
      </c>
      <c r="AM145" s="191" t="s">
        <v>168</v>
      </c>
      <c r="AN145" s="191" t="s">
        <v>168</v>
      </c>
      <c r="AO145" s="191" t="s">
        <v>168</v>
      </c>
      <c r="AQ145" s="81"/>
      <c r="AR145" s="81"/>
      <c r="AS145" s="81"/>
      <c r="AT145" s="81"/>
      <c r="AU145" s="81"/>
      <c r="BG145"/>
      <c r="BH145"/>
    </row>
    <row r="146" spans="1:60" ht="18" x14ac:dyDescent="0.35">
      <c r="A146" s="101">
        <f>A140+1</f>
        <v>17</v>
      </c>
      <c r="B146" s="101" t="str">
        <f>VLOOKUP(A146,STN_TABLE_2,2,FALSE)</f>
        <v xml:space="preserve">  </v>
      </c>
      <c r="C146" t="s">
        <v>0</v>
      </c>
      <c r="D146" t="s">
        <v>95</v>
      </c>
      <c r="E146" t="s">
        <v>164</v>
      </c>
      <c r="F146" t="s">
        <v>165</v>
      </c>
      <c r="G146" t="s">
        <v>13</v>
      </c>
      <c r="H146" t="s">
        <v>169</v>
      </c>
      <c r="I146" s="191" t="s">
        <v>168</v>
      </c>
      <c r="J146" s="191" t="s">
        <v>168</v>
      </c>
      <c r="K146" s="191" t="s">
        <v>168</v>
      </c>
      <c r="L146" s="191" t="s">
        <v>168</v>
      </c>
      <c r="M146" s="191" t="s">
        <v>168</v>
      </c>
      <c r="N146" s="191" t="s">
        <v>168</v>
      </c>
      <c r="O146" s="101">
        <f>O140+1</f>
        <v>19</v>
      </c>
      <c r="P146" s="101" t="str">
        <f t="shared" ref="P146" si="587">VLOOKUP(O146,STN_TABLE_2,2,FALSE)</f>
        <v xml:space="preserve">  </v>
      </c>
      <c r="Q146" t="s">
        <v>0</v>
      </c>
      <c r="R146" t="s">
        <v>95</v>
      </c>
      <c r="S146" t="s">
        <v>164</v>
      </c>
      <c r="T146" t="s">
        <v>165</v>
      </c>
      <c r="U146" t="s">
        <v>166</v>
      </c>
      <c r="V146" t="s">
        <v>167</v>
      </c>
      <c r="W146" s="191" t="s">
        <v>168</v>
      </c>
      <c r="X146" s="191" t="s">
        <v>168</v>
      </c>
      <c r="Y146" s="191" t="s">
        <v>168</v>
      </c>
      <c r="Z146" s="191" t="s">
        <v>168</v>
      </c>
      <c r="AA146" s="191" t="s">
        <v>168</v>
      </c>
      <c r="AB146" s="191" t="s">
        <v>168</v>
      </c>
      <c r="BG146"/>
      <c r="BH146"/>
    </row>
    <row r="147" spans="1:60" ht="18" x14ac:dyDescent="0.35">
      <c r="A147" s="84">
        <f>A146+1</f>
        <v>18</v>
      </c>
      <c r="B147" s="84" t="str">
        <f>VLOOKUP(A147,STN_TABLE_2,2,FALSE)</f>
        <v xml:space="preserve">  </v>
      </c>
      <c r="C147" s="79" t="e">
        <f t="shared" ref="C147" si="588">IF(C148=B149,IF(C149-C148=C148-B148,B148,IF(C149-C148=C148-B147,B147,"#NA")),IF(C148=B148,IF(C149-C148=C148-B147,B147,IF(C149-C148=C148-B146,B146,"#NA")),"#NA"))</f>
        <v>#VALUE!</v>
      </c>
      <c r="D147" s="68" t="e">
        <f>VLOOKUP(C147,STN_TABLE,2,FALSE)</f>
        <v>#VALUE!</v>
      </c>
      <c r="E147" s="102">
        <v>1</v>
      </c>
      <c r="F147" s="68" t="e">
        <f t="shared" ref="F147:F149" si="589">D147*E147</f>
        <v>#VALUE!</v>
      </c>
      <c r="G147" s="69" t="e">
        <f t="shared" ref="G147:G149" si="590">C147</f>
        <v>#VALUE!</v>
      </c>
      <c r="H147" s="69" t="e">
        <f t="shared" ref="H147:H149" si="591">F147*G147</f>
        <v>#VALUE!</v>
      </c>
      <c r="I147" s="6" t="s">
        <v>93</v>
      </c>
      <c r="J147" s="70" t="e">
        <f>IF(OR(D147=0,D148=0,D149=0),"#NA",IF(AND(C149-C148=C148-C147,C148&lt;&gt;C149,C147&lt;&gt;C148,C147&lt;&gt;C149,D149&lt;&gt;0,OR(D147&lt;&gt;0,D148&lt;&gt;0)),WLS*(C149-C148),"#NA"))</f>
        <v>#VALUE!</v>
      </c>
      <c r="K147" s="191" t="s">
        <v>168</v>
      </c>
      <c r="L147" s="191" t="s">
        <v>168</v>
      </c>
      <c r="M147" s="191" t="s">
        <v>168</v>
      </c>
      <c r="N147" s="191" t="s">
        <v>168</v>
      </c>
      <c r="O147" s="99">
        <f>O146+1</f>
        <v>20</v>
      </c>
      <c r="P147" s="99" t="str">
        <f t="shared" si="365"/>
        <v xml:space="preserve">  </v>
      </c>
      <c r="Q147" s="68" t="e">
        <f t="shared" ref="Q147" si="592">IF(OR(P149-P148=P148-P147,P150-P148=P148-P147),P147,IF(OR(P149-P148=P148-P146,P150-P148=P148-P146),P146,"-"))</f>
        <v>#VALUE!</v>
      </c>
      <c r="R147" s="69" t="e">
        <f>VLOOKUP(Q147,STN_TABLE,2,FALSE)</f>
        <v>#VALUE!</v>
      </c>
      <c r="S147" s="69">
        <v>5</v>
      </c>
      <c r="T147" s="68" t="e">
        <f t="shared" ref="T147:T149" si="593">R147*S147</f>
        <v>#VALUE!</v>
      </c>
      <c r="U147" s="79">
        <v>3</v>
      </c>
      <c r="V147" s="68" t="e">
        <f t="shared" ref="V147:V149" si="594">R147*U147</f>
        <v>#VALUE!</v>
      </c>
      <c r="W147" s="6" t="s">
        <v>93</v>
      </c>
      <c r="X147" s="70" t="e">
        <f>IF(AND(Q149-Q148=Q148-Q147,NOT(AND(Q147=0,Q148=0)),NOT(AND(Q148=0,Q149=0))),WLS*(Q149-Q148),"#NA")</f>
        <v>#VALUE!</v>
      </c>
      <c r="Y147" s="191" t="s">
        <v>168</v>
      </c>
      <c r="Z147" s="191" t="s">
        <v>168</v>
      </c>
      <c r="AA147" s="191" t="s">
        <v>168</v>
      </c>
      <c r="AB147" s="191" t="s">
        <v>168</v>
      </c>
      <c r="AD147" t="s">
        <v>0</v>
      </c>
      <c r="AE147" t="s">
        <v>95</v>
      </c>
      <c r="AF147" t="s">
        <v>173</v>
      </c>
      <c r="AG147" t="s">
        <v>183</v>
      </c>
      <c r="AH147" t="s">
        <v>175</v>
      </c>
      <c r="AI147" t="s">
        <v>184</v>
      </c>
      <c r="AJ147" s="6" t="s">
        <v>93</v>
      </c>
      <c r="AK147" s="70" t="e">
        <f>WLS*(AD149-AD148)</f>
        <v>#VALUE!</v>
      </c>
      <c r="AL147" s="191" t="s">
        <v>168</v>
      </c>
      <c r="AM147" s="191" t="s">
        <v>168</v>
      </c>
      <c r="AN147" s="191" t="s">
        <v>168</v>
      </c>
      <c r="AO147" s="191" t="s">
        <v>168</v>
      </c>
      <c r="BG147"/>
      <c r="BH147"/>
    </row>
    <row r="148" spans="1:60" x14ac:dyDescent="0.25">
      <c r="A148" s="84">
        <f>A147+1</f>
        <v>19</v>
      </c>
      <c r="B148" s="84" t="str">
        <f>VLOOKUP(A148,STN_TABLE_2,2,FALSE)</f>
        <v xml:space="preserve">  </v>
      </c>
      <c r="C148" s="80" t="e">
        <f t="shared" ref="C148" si="595">IF(OR(B150-B149=B149-B148,B150-B149=B149-B147,B150-B149=B149-B146),B149,IF(OR(B150-B148=B148-B147,B150-B148=B148-B146),B148,IF(B150-B147=B147-B146,B147,"#NA")))</f>
        <v>#VALUE!</v>
      </c>
      <c r="D148" s="76" t="e">
        <f>VLOOKUP(C148,STN_TABLE,2,FALSE)</f>
        <v>#VALUE!</v>
      </c>
      <c r="E148" s="81">
        <v>4</v>
      </c>
      <c r="F148" s="76" t="e">
        <f t="shared" si="589"/>
        <v>#VALUE!</v>
      </c>
      <c r="G148" s="77" t="e">
        <f t="shared" si="590"/>
        <v>#VALUE!</v>
      </c>
      <c r="H148" s="77" t="e">
        <f t="shared" si="591"/>
        <v>#VALUE!</v>
      </c>
      <c r="I148" s="201" t="s">
        <v>171</v>
      </c>
      <c r="J148" s="191" t="s">
        <v>168</v>
      </c>
      <c r="K148" s="78" t="s">
        <v>98</v>
      </c>
      <c r="L148" s="191" t="s">
        <v>168</v>
      </c>
      <c r="M148" s="7" t="s">
        <v>77</v>
      </c>
      <c r="N148" s="191" t="s">
        <v>168</v>
      </c>
      <c r="O148" s="99">
        <f>O147+1</f>
        <v>21</v>
      </c>
      <c r="P148" s="99" t="str">
        <f t="shared" si="365"/>
        <v xml:space="preserve">  </v>
      </c>
      <c r="Q148" s="76" t="str">
        <f t="shared" ref="Q148" si="596">P148</f>
        <v xml:space="preserve">  </v>
      </c>
      <c r="R148" s="77" t="str">
        <f>VLOOKUP(Q148,STN_TABLE,2,FALSE)</f>
        <v xml:space="preserve">  </v>
      </c>
      <c r="S148" s="77">
        <v>8</v>
      </c>
      <c r="T148" s="76" t="e">
        <f t="shared" si="593"/>
        <v>#VALUE!</v>
      </c>
      <c r="U148" s="80">
        <v>10</v>
      </c>
      <c r="V148" s="76" t="e">
        <f t="shared" si="594"/>
        <v>#VALUE!</v>
      </c>
      <c r="W148" s="201" t="s">
        <v>171</v>
      </c>
      <c r="X148" s="191" t="s">
        <v>168</v>
      </c>
      <c r="Y148" s="78" t="s">
        <v>98</v>
      </c>
      <c r="Z148" s="191" t="s">
        <v>168</v>
      </c>
      <c r="AA148" s="7" t="s">
        <v>77</v>
      </c>
      <c r="AB148" s="191" t="s">
        <v>168</v>
      </c>
      <c r="AC148" s="99">
        <f>AC142+1</f>
        <v>20</v>
      </c>
      <c r="AD148" s="95" t="str">
        <f>VLOOKUP(AC148,STN_TABLE_2,2,FALSE)</f>
        <v xml:space="preserve">  </v>
      </c>
      <c r="AE148" t="str">
        <f t="shared" ref="AE148:AE149" si="597">AG148</f>
        <v xml:space="preserve">  </v>
      </c>
      <c r="AF148">
        <v>1</v>
      </c>
      <c r="AG148" s="68" t="str">
        <f>VLOOKUP(AD148,STN_TABLE,2,FALSE)</f>
        <v xml:space="preserve">  </v>
      </c>
      <c r="AH148" s="68">
        <v>1</v>
      </c>
      <c r="AI148" s="69" t="e">
        <f t="shared" ref="AI148:AI149" si="598">AG148*AH148</f>
        <v>#VALUE!</v>
      </c>
      <c r="AJ148" s="201" t="s">
        <v>171</v>
      </c>
      <c r="AK148" s="191" t="s">
        <v>168</v>
      </c>
      <c r="AL148" s="78" t="s">
        <v>98</v>
      </c>
      <c r="AM148" s="191" t="s">
        <v>168</v>
      </c>
      <c r="AN148" s="7" t="s">
        <v>77</v>
      </c>
      <c r="AO148" s="191" t="s">
        <v>168</v>
      </c>
      <c r="AR148" s="86" t="s">
        <v>112</v>
      </c>
      <c r="AS148" s="89" t="s">
        <v>113</v>
      </c>
      <c r="AT148" s="89" t="s">
        <v>114</v>
      </c>
      <c r="AU148" s="89" t="s">
        <v>115</v>
      </c>
      <c r="AV148" s="71" t="e">
        <f t="shared" ref="AV148" si="599">IF(AV149=AR149,AR148,IF(AV149=AS149,AS148,IF(AV149=AT149,AT148,AU148)))</f>
        <v>#VALUE!</v>
      </c>
      <c r="BG148"/>
      <c r="BH148"/>
    </row>
    <row r="149" spans="1:60" x14ac:dyDescent="0.25">
      <c r="A149" s="84">
        <f>A148+1</f>
        <v>20</v>
      </c>
      <c r="B149" s="84" t="str">
        <f>VLOOKUP(A149,STN_TABLE_2,2,FALSE)</f>
        <v xml:space="preserve">  </v>
      </c>
      <c r="C149" s="88" t="str">
        <f t="shared" ref="C149" si="600">B150</f>
        <v xml:space="preserve">  </v>
      </c>
      <c r="D149" s="82" t="str">
        <f>VLOOKUP(C149,STN_TABLE,2,FALSE)</f>
        <v xml:space="preserve">  </v>
      </c>
      <c r="E149" s="92">
        <v>1</v>
      </c>
      <c r="F149" s="82" t="e">
        <f t="shared" si="589"/>
        <v>#VALUE!</v>
      </c>
      <c r="G149" s="83" t="str">
        <f t="shared" si="590"/>
        <v xml:space="preserve">  </v>
      </c>
      <c r="H149" s="83" t="e">
        <f t="shared" si="591"/>
        <v>#VALUE!</v>
      </c>
      <c r="I149" s="84" t="e">
        <f t="shared" ref="I149" si="601">CONCATENATE("a'(",C147,"~",C149,")=")</f>
        <v>#VALUE!</v>
      </c>
      <c r="J149" s="84" t="e">
        <f t="shared" ref="J149" si="602">2*J147/3*F150</f>
        <v>#VALUE!</v>
      </c>
      <c r="K149" s="84" t="e">
        <f t="shared" ref="K149" si="603">CONCATENATE("A(",C147,")=")</f>
        <v>#VALUE!</v>
      </c>
      <c r="L149" s="84" t="e">
        <f>VLOOKUP(C147,STN_TABLE,3,FALSE)</f>
        <v>#VALUE!</v>
      </c>
      <c r="M149" t="str">
        <f t="shared" ref="M149" si="604">CONCATENATE("A(",C149,")=")</f>
        <v>A(  )=</v>
      </c>
      <c r="N149" t="e">
        <f t="shared" ref="N149:N150" si="605">J149+L149</f>
        <v>#VALUE!</v>
      </c>
      <c r="O149" s="99">
        <f>O148+1</f>
        <v>22</v>
      </c>
      <c r="P149" s="99" t="str">
        <f t="shared" si="365"/>
        <v xml:space="preserve">  </v>
      </c>
      <c r="Q149" s="82" t="e">
        <f t="shared" ref="Q149" si="606">IF(P149-P148=P148-P147,P149,IF(P150-P148=P148-P147,P150,IF(P149-P148=P148-P146,P149,IF(P150-P148=P148-P146,P150,"-"))))</f>
        <v>#VALUE!</v>
      </c>
      <c r="R149" s="83" t="e">
        <f>VLOOKUP(Q149,STN_TABLE,2,FALSE)</f>
        <v>#VALUE!</v>
      </c>
      <c r="S149" s="83">
        <v>-1</v>
      </c>
      <c r="T149" s="82" t="e">
        <f t="shared" si="593"/>
        <v>#VALUE!</v>
      </c>
      <c r="U149" s="88">
        <v>-1</v>
      </c>
      <c r="V149" s="82" t="e">
        <f t="shared" si="594"/>
        <v>#VALUE!</v>
      </c>
      <c r="W149" s="84" t="e">
        <f t="shared" ref="W149" si="607">CONCATENATE("a'(",Q147,"~",Q148,")=")</f>
        <v>#VALUE!</v>
      </c>
      <c r="X149" s="84" t="e">
        <f t="shared" ref="X149" si="608">2*X147/12*T150</f>
        <v>#VALUE!</v>
      </c>
      <c r="Y149" s="84" t="e">
        <f t="shared" ref="Y149" si="609">CONCATENATE("A(",Q147,")=")</f>
        <v>#VALUE!</v>
      </c>
      <c r="Z149" s="84" t="e">
        <f>VLOOKUP(Q147,STN_TABLE,3,FALSE)</f>
        <v>#VALUE!</v>
      </c>
      <c r="AA149" t="str">
        <f t="shared" ref="AA149" si="610">CONCATENATE("A(",Q148,")=")</f>
        <v>A(  )=</v>
      </c>
      <c r="AB149" t="e">
        <f t="shared" ref="AB149:AB150" si="611">X149+Z149</f>
        <v>#VALUE!</v>
      </c>
      <c r="AC149" s="99">
        <f>AC148+1</f>
        <v>21</v>
      </c>
      <c r="AD149" s="100" t="str">
        <f>VLOOKUP(AC149,STN_TABLE_2,2,FALSE)</f>
        <v xml:space="preserve">  </v>
      </c>
      <c r="AE149" t="str">
        <f t="shared" si="597"/>
        <v xml:space="preserve">  </v>
      </c>
      <c r="AF149">
        <v>1</v>
      </c>
      <c r="AG149" s="82" t="str">
        <f>VLOOKUP(AD149,STN_TABLE,2,FALSE)</f>
        <v xml:space="preserve">  </v>
      </c>
      <c r="AH149" s="82">
        <v>2</v>
      </c>
      <c r="AI149" s="83" t="e">
        <f t="shared" si="598"/>
        <v>#VALUE!</v>
      </c>
      <c r="AJ149" s="84" t="str">
        <f t="shared" ref="AJ149" si="612">CONCATENATE("a'(",AD149,")=")</f>
        <v>a'(  )=</v>
      </c>
      <c r="AK149" s="84" t="e">
        <f t="shared" ref="AK149" si="613">2*AK147/2*AG150</f>
        <v>#VALUE!</v>
      </c>
      <c r="AL149" s="84" t="str">
        <f t="shared" ref="AL149" si="614">CONCATENATE("A(",AD148,")=")</f>
        <v>A(  )=</v>
      </c>
      <c r="AM149" s="84" t="str">
        <f>VLOOKUP(AD148,STN_TABLE,3,FALSE)</f>
        <v xml:space="preserve"> </v>
      </c>
      <c r="AN149" t="str">
        <f t="shared" ref="AN149" si="615">CONCATENATE("A(",AD149,")=")</f>
        <v>A(  )=</v>
      </c>
      <c r="AO149" t="e">
        <f t="shared" ref="AO149:AO150" si="616">AK149+AM149</f>
        <v>#VALUE!</v>
      </c>
      <c r="AQ149" s="68" t="str">
        <f>AA149</f>
        <v>A(  )=</v>
      </c>
      <c r="AR149" s="68" t="str">
        <f>IFERROR(VLOOKUP(AQ149,Rise_Results,2,FALSE),"-")</f>
        <v>-</v>
      </c>
      <c r="AS149" s="76" t="str">
        <f>IFERROR(N149,"-")</f>
        <v>-</v>
      </c>
      <c r="AT149" s="76" t="str">
        <f>IFERROR(IF(OR(AB149&lt;=0,AB150&lt;=0),1/0,AB149),"-")</f>
        <v>-</v>
      </c>
      <c r="AU149" s="76" t="e">
        <f t="shared" ref="AU149:AU150" si="617">AO149</f>
        <v>#VALUE!</v>
      </c>
      <c r="AV149" t="e">
        <f t="shared" ref="AV149:AV150" si="618">IF(ISNUMBER(AR149),AR149,IF(ISNUMBER(AS149),AS149,IF(ISNUMBER(AT149),AT149,AU149)))</f>
        <v>#VALUE!</v>
      </c>
      <c r="BG149"/>
      <c r="BH149"/>
    </row>
    <row r="150" spans="1:60" x14ac:dyDescent="0.25">
      <c r="A150" s="84">
        <f>A149+1</f>
        <v>21</v>
      </c>
      <c r="B150" s="84" t="str">
        <f>VLOOKUP(A150,STN_TABLE_2,2,FALSE)</f>
        <v xml:space="preserve">  </v>
      </c>
      <c r="C150" s="191" t="s">
        <v>168</v>
      </c>
      <c r="D150" s="191" t="s">
        <v>168</v>
      </c>
      <c r="E150" s="6" t="s">
        <v>172</v>
      </c>
      <c r="F150" s="89" t="e">
        <f t="shared" ref="F150" si="619">SUM(F147:F149)</f>
        <v>#VALUE!</v>
      </c>
      <c r="G150" s="6" t="s">
        <v>172</v>
      </c>
      <c r="H150" s="82" t="e">
        <f t="shared" ref="H150" si="620">SUM(H147:H149)</f>
        <v>#VALUE!</v>
      </c>
      <c r="I150" s="84" t="e">
        <f t="shared" ref="I150" si="621">CONCATENATE("m'(",C147,"~",C149,")=")</f>
        <v>#VALUE!</v>
      </c>
      <c r="J150" s="84" t="e">
        <f>2*(J147*(WLS))/3*H150</f>
        <v>#VALUE!</v>
      </c>
      <c r="K150" s="84" t="e">
        <f t="shared" ref="K150" si="622">CONCATENATE("M(",C147,")=")</f>
        <v>#VALUE!</v>
      </c>
      <c r="L150" s="84" t="e">
        <f>VLOOKUP(C147,STN_TABLE,4,FALSE)</f>
        <v>#VALUE!</v>
      </c>
      <c r="M150" t="str">
        <f t="shared" ref="M150" si="623">CONCATENATE("M(",C149,")=")</f>
        <v>M(  )=</v>
      </c>
      <c r="N150" t="e">
        <f t="shared" si="605"/>
        <v>#VALUE!</v>
      </c>
      <c r="O150" s="99">
        <f>O149+1</f>
        <v>23</v>
      </c>
      <c r="P150" s="99" t="str">
        <f t="shared" si="365"/>
        <v xml:space="preserve">  </v>
      </c>
      <c r="Q150" s="191" t="s">
        <v>168</v>
      </c>
      <c r="R150" s="191" t="s">
        <v>168</v>
      </c>
      <c r="S150" s="6" t="s">
        <v>172</v>
      </c>
      <c r="T150" s="89" t="e">
        <f t="shared" ref="T150:T168" si="624">SUM(T147:T149)</f>
        <v>#VALUE!</v>
      </c>
      <c r="U150" s="6" t="s">
        <v>172</v>
      </c>
      <c r="V150" s="82" t="e">
        <f t="shared" ref="V150:V168" si="625">SUM(V147:V149)</f>
        <v>#VALUE!</v>
      </c>
      <c r="W150" s="84" t="e">
        <f t="shared" ref="W150" si="626">CONCATENATE("m'(",Q147,"~",Q148,")=")</f>
        <v>#VALUE!</v>
      </c>
      <c r="X150" s="84" t="e">
        <f>(2*(X147^2)/24*V150)+(X149*Q147*WLS)</f>
        <v>#VALUE!</v>
      </c>
      <c r="Y150" s="84" t="e">
        <f t="shared" ref="Y150" si="627">CONCATENATE("M(",Q147,")=")</f>
        <v>#VALUE!</v>
      </c>
      <c r="Z150" s="84" t="e">
        <f>VLOOKUP(Q147,STN_TABLE,4,FALSE)</f>
        <v>#VALUE!</v>
      </c>
      <c r="AA150" t="str">
        <f t="shared" ref="AA150" si="628">CONCATENATE("M(",Q148,")=")</f>
        <v>M(  )=</v>
      </c>
      <c r="AB150" t="e">
        <f t="shared" si="611"/>
        <v>#VALUE!</v>
      </c>
      <c r="AD150" s="191" t="s">
        <v>168</v>
      </c>
      <c r="AE150" s="191" t="s">
        <v>168</v>
      </c>
      <c r="AF150" s="6" t="s">
        <v>172</v>
      </c>
      <c r="AG150" s="89">
        <f t="shared" ref="AG150:AG174" si="629">SUM(AG148:AG149)</f>
        <v>0</v>
      </c>
      <c r="AH150" s="6" t="s">
        <v>172</v>
      </c>
      <c r="AI150" s="89" t="e">
        <f t="shared" ref="AI150:AI174" si="630">SUM(AI148:AI149)</f>
        <v>#VALUE!</v>
      </c>
      <c r="AJ150" s="84" t="str">
        <f t="shared" ref="AJ150" si="631">CONCATENATE("m'(",AD149,")=")</f>
        <v>m'(  )=</v>
      </c>
      <c r="AK150" s="84" t="e">
        <f>(2*(AK147^2)/6*AI150)+(AK149*AD148*WLS)</f>
        <v>#VALUE!</v>
      </c>
      <c r="AL150" s="84" t="str">
        <f t="shared" ref="AL150" si="632">CONCATENATE("M(",AD148,")=")</f>
        <v>M(  )=</v>
      </c>
      <c r="AM150" s="84" t="str">
        <f>VLOOKUP(AD148,STN_TABLE,4,FALSE)</f>
        <v xml:space="preserve"> </v>
      </c>
      <c r="AN150" t="str">
        <f t="shared" ref="AN150" si="633">CONCATENATE("M(",AD149,")=")</f>
        <v>M(  )=</v>
      </c>
      <c r="AO150" t="e">
        <f t="shared" si="616"/>
        <v>#VALUE!</v>
      </c>
      <c r="AQ150" s="82" t="str">
        <f>AA150</f>
        <v>M(  )=</v>
      </c>
      <c r="AR150" s="82" t="str">
        <f>IFERROR(VLOOKUP(AQ150,Rise_Results,2,FALSE),"-")</f>
        <v>-</v>
      </c>
      <c r="AS150" s="82" t="str">
        <f>IFERROR(N150,"-")</f>
        <v>-</v>
      </c>
      <c r="AT150" s="82" t="str">
        <f>IFERROR(IF(OR(AB149&lt;=0,AB150&lt;=0),1/0,AB150),"-")</f>
        <v>-</v>
      </c>
      <c r="AU150" s="82" t="e">
        <f t="shared" si="617"/>
        <v>#VALUE!</v>
      </c>
      <c r="AV150" t="e">
        <f t="shared" si="618"/>
        <v>#VALUE!</v>
      </c>
      <c r="BG150"/>
      <c r="BH150"/>
    </row>
    <row r="151" spans="1:60" x14ac:dyDescent="0.25">
      <c r="A151" s="84"/>
      <c r="B151" s="84"/>
      <c r="F151" s="81"/>
      <c r="H151" s="81"/>
      <c r="I151" s="84"/>
      <c r="J151" s="84"/>
      <c r="K151" s="84"/>
      <c r="L151" s="84"/>
      <c r="O151" s="99"/>
      <c r="P151" s="99"/>
      <c r="T151" s="81"/>
      <c r="V151" s="81"/>
      <c r="W151" s="84"/>
      <c r="X151" s="84"/>
      <c r="Y151" s="84"/>
      <c r="Z151" s="84"/>
      <c r="AD151" s="191" t="s">
        <v>168</v>
      </c>
      <c r="AE151" s="191" t="s">
        <v>168</v>
      </c>
      <c r="AF151" s="191" t="s">
        <v>168</v>
      </c>
      <c r="AG151" s="191" t="s">
        <v>168</v>
      </c>
      <c r="AH151" s="191" t="s">
        <v>168</v>
      </c>
      <c r="AI151" s="191" t="s">
        <v>168</v>
      </c>
      <c r="AJ151" s="191" t="s">
        <v>168</v>
      </c>
      <c r="AK151" s="191" t="s">
        <v>168</v>
      </c>
      <c r="AL151" s="191" t="s">
        <v>168</v>
      </c>
      <c r="AM151" s="191" t="s">
        <v>168</v>
      </c>
      <c r="AN151" s="191" t="s">
        <v>168</v>
      </c>
      <c r="AO151" s="191" t="s">
        <v>168</v>
      </c>
      <c r="AQ151" s="81"/>
      <c r="AR151" s="81"/>
      <c r="AS151" s="81"/>
      <c r="AT151" s="81"/>
      <c r="AU151" s="81"/>
      <c r="BG151"/>
      <c r="BH151"/>
    </row>
    <row r="152" spans="1:60" ht="18" x14ac:dyDescent="0.35">
      <c r="A152" s="101">
        <f>A146+1</f>
        <v>18</v>
      </c>
      <c r="B152" s="101" t="str">
        <f>VLOOKUP(A152,STN_TABLE_2,2,FALSE)</f>
        <v xml:space="preserve">  </v>
      </c>
      <c r="C152" t="s">
        <v>0</v>
      </c>
      <c r="D152" t="s">
        <v>95</v>
      </c>
      <c r="E152" t="s">
        <v>164</v>
      </c>
      <c r="F152" t="s">
        <v>165</v>
      </c>
      <c r="G152" t="s">
        <v>13</v>
      </c>
      <c r="H152" t="s">
        <v>169</v>
      </c>
      <c r="I152" s="191" t="s">
        <v>168</v>
      </c>
      <c r="J152" s="191" t="s">
        <v>168</v>
      </c>
      <c r="K152" s="191" t="s">
        <v>168</v>
      </c>
      <c r="L152" s="191" t="s">
        <v>168</v>
      </c>
      <c r="M152" s="191" t="s">
        <v>168</v>
      </c>
      <c r="N152" s="191" t="s">
        <v>168</v>
      </c>
      <c r="O152" s="101">
        <f>O146+1</f>
        <v>20</v>
      </c>
      <c r="P152" s="101" t="str">
        <f t="shared" ref="P152" si="634">VLOOKUP(O152,STN_TABLE_2,2,FALSE)</f>
        <v xml:space="preserve">  </v>
      </c>
      <c r="Q152" t="s">
        <v>0</v>
      </c>
      <c r="R152" t="s">
        <v>95</v>
      </c>
      <c r="S152" t="s">
        <v>164</v>
      </c>
      <c r="T152" t="s">
        <v>165</v>
      </c>
      <c r="U152" t="s">
        <v>166</v>
      </c>
      <c r="V152" t="s">
        <v>167</v>
      </c>
      <c r="W152" s="191" t="s">
        <v>168</v>
      </c>
      <c r="X152" s="191" t="s">
        <v>168</v>
      </c>
      <c r="Y152" s="191" t="s">
        <v>168</v>
      </c>
      <c r="Z152" s="191" t="s">
        <v>168</v>
      </c>
      <c r="AA152" s="191" t="s">
        <v>168</v>
      </c>
      <c r="AB152" s="191" t="s">
        <v>168</v>
      </c>
      <c r="BG152"/>
      <c r="BH152"/>
    </row>
    <row r="153" spans="1:60" ht="18" x14ac:dyDescent="0.35">
      <c r="A153" s="84">
        <f>A152+1</f>
        <v>19</v>
      </c>
      <c r="B153" s="84" t="str">
        <f>VLOOKUP(A153,STN_TABLE_2,2,FALSE)</f>
        <v xml:space="preserve">  </v>
      </c>
      <c r="C153" s="79" t="e">
        <f t="shared" ref="C153" si="635">IF(C154=B155,IF(C155-C154=C154-B154,B154,IF(C155-C154=C154-B153,B153,"#NA")),IF(C154=B154,IF(C155-C154=C154-B153,B153,IF(C155-C154=C154-B152,B152,"#NA")),"#NA"))</f>
        <v>#VALUE!</v>
      </c>
      <c r="D153" s="68" t="e">
        <f>VLOOKUP(C153,STN_TABLE,2,FALSE)</f>
        <v>#VALUE!</v>
      </c>
      <c r="E153" s="102">
        <v>1</v>
      </c>
      <c r="F153" s="68" t="e">
        <f t="shared" ref="F153:F155" si="636">D153*E153</f>
        <v>#VALUE!</v>
      </c>
      <c r="G153" s="69" t="e">
        <f t="shared" ref="G153:G155" si="637">C153</f>
        <v>#VALUE!</v>
      </c>
      <c r="H153" s="69" t="e">
        <f t="shared" ref="H153:H155" si="638">F153*G153</f>
        <v>#VALUE!</v>
      </c>
      <c r="I153" s="6" t="s">
        <v>93</v>
      </c>
      <c r="J153" s="70" t="e">
        <f>IF(OR(D153=0,D154=0,D155=0),"#NA",IF(AND(C155-C154=C154-C153,C154&lt;&gt;C155,C153&lt;&gt;C154,C153&lt;&gt;C155,D155&lt;&gt;0,OR(D153&lt;&gt;0,D154&lt;&gt;0)),WLS*(C155-C154),"#NA"))</f>
        <v>#VALUE!</v>
      </c>
      <c r="K153" s="191" t="s">
        <v>168</v>
      </c>
      <c r="L153" s="191" t="s">
        <v>168</v>
      </c>
      <c r="M153" s="191" t="s">
        <v>168</v>
      </c>
      <c r="N153" s="191" t="s">
        <v>168</v>
      </c>
      <c r="O153" s="99">
        <f>O152+1</f>
        <v>21</v>
      </c>
      <c r="P153" s="99" t="str">
        <f>VLOOKUP(O153,STN_TABLE_2,2,FALSE)</f>
        <v xml:space="preserve">  </v>
      </c>
      <c r="Q153" s="68" t="e">
        <f t="shared" ref="Q153" si="639">IF(OR(P155-P154=P154-P153,P156-P154=P154-P153),P153,IF(OR(P155-P154=P154-P152,P156-P154=P154-P152),P152,"-"))</f>
        <v>#VALUE!</v>
      </c>
      <c r="R153" s="69" t="e">
        <f>VLOOKUP(Q153,STN_TABLE,2,FALSE)</f>
        <v>#VALUE!</v>
      </c>
      <c r="S153" s="69">
        <v>5</v>
      </c>
      <c r="T153" s="68" t="e">
        <f t="shared" ref="T153:T155" si="640">R153*S153</f>
        <v>#VALUE!</v>
      </c>
      <c r="U153" s="79">
        <v>3</v>
      </c>
      <c r="V153" s="68" t="e">
        <f t="shared" ref="V153:V155" si="641">R153*U153</f>
        <v>#VALUE!</v>
      </c>
      <c r="W153" s="6" t="s">
        <v>93</v>
      </c>
      <c r="X153" s="70" t="e">
        <f>IF(AND(Q155-Q154=Q154-Q153,NOT(AND(Q153=0,Q154=0)),NOT(AND(Q154=0,Q155=0))),WLS*(Q155-Q154),"#NA")</f>
        <v>#VALUE!</v>
      </c>
      <c r="Y153" s="191" t="s">
        <v>168</v>
      </c>
      <c r="Z153" s="191" t="s">
        <v>168</v>
      </c>
      <c r="AA153" s="191" t="s">
        <v>168</v>
      </c>
      <c r="AB153" s="191" t="s">
        <v>168</v>
      </c>
      <c r="AD153" t="s">
        <v>0</v>
      </c>
      <c r="AE153" t="s">
        <v>95</v>
      </c>
      <c r="AF153" t="s">
        <v>173</v>
      </c>
      <c r="AG153" t="s">
        <v>183</v>
      </c>
      <c r="AH153" t="s">
        <v>175</v>
      </c>
      <c r="AI153" t="s">
        <v>184</v>
      </c>
      <c r="AJ153" s="6" t="s">
        <v>93</v>
      </c>
      <c r="AK153" s="70" t="e">
        <f>WLS*(AD155-AD154)</f>
        <v>#VALUE!</v>
      </c>
      <c r="AL153" s="191" t="s">
        <v>168</v>
      </c>
      <c r="AM153" s="191" t="s">
        <v>168</v>
      </c>
      <c r="AN153" s="191" t="s">
        <v>168</v>
      </c>
      <c r="AO153" s="191" t="s">
        <v>168</v>
      </c>
      <c r="BG153"/>
      <c r="BH153"/>
    </row>
    <row r="154" spans="1:60" x14ac:dyDescent="0.25">
      <c r="A154" s="84">
        <f>A153+1</f>
        <v>20</v>
      </c>
      <c r="B154" s="84" t="str">
        <f>VLOOKUP(A154,STN_TABLE_2,2,FALSE)</f>
        <v xml:space="preserve">  </v>
      </c>
      <c r="C154" s="80" t="e">
        <f t="shared" ref="C154" si="642">IF(OR(B156-B155=B155-B154,B156-B155=B155-B153,B156-B155=B155-B152),B155,IF(OR(B156-B154=B154-B153,B156-B154=B154-B152),B154,IF(B156-B153=B153-B152,B153,"#NA")))</f>
        <v>#VALUE!</v>
      </c>
      <c r="D154" s="76" t="e">
        <f>VLOOKUP(C154,STN_TABLE,2,FALSE)</f>
        <v>#VALUE!</v>
      </c>
      <c r="E154" s="81">
        <v>4</v>
      </c>
      <c r="F154" s="76" t="e">
        <f t="shared" si="636"/>
        <v>#VALUE!</v>
      </c>
      <c r="G154" s="77" t="e">
        <f t="shared" si="637"/>
        <v>#VALUE!</v>
      </c>
      <c r="H154" s="77" t="e">
        <f t="shared" si="638"/>
        <v>#VALUE!</v>
      </c>
      <c r="I154" s="201" t="s">
        <v>171</v>
      </c>
      <c r="J154" s="191" t="s">
        <v>168</v>
      </c>
      <c r="K154" s="78" t="s">
        <v>98</v>
      </c>
      <c r="L154" s="191" t="s">
        <v>168</v>
      </c>
      <c r="M154" s="7" t="s">
        <v>77</v>
      </c>
      <c r="N154" s="191" t="s">
        <v>168</v>
      </c>
      <c r="O154" s="99">
        <f>O153+1</f>
        <v>22</v>
      </c>
      <c r="P154" s="99" t="str">
        <f>VLOOKUP(O154,STN_TABLE_2,2,FALSE)</f>
        <v xml:space="preserve">  </v>
      </c>
      <c r="Q154" s="76" t="str">
        <f t="shared" ref="Q154" si="643">P154</f>
        <v xml:space="preserve">  </v>
      </c>
      <c r="R154" s="77" t="str">
        <f>VLOOKUP(Q154,STN_TABLE,2,FALSE)</f>
        <v xml:space="preserve">  </v>
      </c>
      <c r="S154" s="77">
        <v>8</v>
      </c>
      <c r="T154" s="76" t="e">
        <f t="shared" si="640"/>
        <v>#VALUE!</v>
      </c>
      <c r="U154" s="80">
        <v>10</v>
      </c>
      <c r="V154" s="76" t="e">
        <f t="shared" si="641"/>
        <v>#VALUE!</v>
      </c>
      <c r="W154" s="201" t="s">
        <v>171</v>
      </c>
      <c r="X154" s="191" t="s">
        <v>168</v>
      </c>
      <c r="Y154" s="78" t="s">
        <v>98</v>
      </c>
      <c r="Z154" s="191" t="s">
        <v>168</v>
      </c>
      <c r="AA154" s="7" t="s">
        <v>77</v>
      </c>
      <c r="AB154" s="191" t="s">
        <v>168</v>
      </c>
      <c r="AC154" s="99">
        <f>AC148+1</f>
        <v>21</v>
      </c>
      <c r="AD154" s="95" t="str">
        <f>VLOOKUP(AC154,STN_TABLE_2,2,FALSE)</f>
        <v xml:space="preserve">  </v>
      </c>
      <c r="AE154" t="str">
        <f t="shared" ref="AE154:AE155" si="644">AG154</f>
        <v xml:space="preserve">  </v>
      </c>
      <c r="AF154">
        <v>1</v>
      </c>
      <c r="AG154" s="68" t="str">
        <f>VLOOKUP(AD154,STN_TABLE,2,FALSE)</f>
        <v xml:space="preserve">  </v>
      </c>
      <c r="AH154" s="68">
        <v>1</v>
      </c>
      <c r="AI154" s="69" t="e">
        <f t="shared" ref="AI154:AI155" si="645">AG154*AH154</f>
        <v>#VALUE!</v>
      </c>
      <c r="AJ154" s="201" t="s">
        <v>171</v>
      </c>
      <c r="AK154" s="191" t="s">
        <v>168</v>
      </c>
      <c r="AL154" s="78" t="s">
        <v>98</v>
      </c>
      <c r="AM154" s="191" t="s">
        <v>168</v>
      </c>
      <c r="AN154" s="7" t="s">
        <v>77</v>
      </c>
      <c r="AO154" s="191" t="s">
        <v>168</v>
      </c>
      <c r="AR154" s="86" t="s">
        <v>112</v>
      </c>
      <c r="AS154" s="89" t="s">
        <v>113</v>
      </c>
      <c r="AT154" s="89" t="s">
        <v>114</v>
      </c>
      <c r="AU154" s="89" t="s">
        <v>115</v>
      </c>
      <c r="AV154" s="71" t="e">
        <f t="shared" ref="AV154" si="646">IF(AV155=AR155,AR154,IF(AV155=AS155,AS154,IF(AV155=AT155,AT154,AU154)))</f>
        <v>#VALUE!</v>
      </c>
      <c r="BG154"/>
      <c r="BH154"/>
    </row>
    <row r="155" spans="1:60" x14ac:dyDescent="0.25">
      <c r="A155" s="84">
        <f>A154+1</f>
        <v>21</v>
      </c>
      <c r="B155" s="84" t="str">
        <f>VLOOKUP(A155,STN_TABLE_2,2,FALSE)</f>
        <v xml:space="preserve">  </v>
      </c>
      <c r="C155" s="88" t="str">
        <f t="shared" ref="C155" si="647">B156</f>
        <v xml:space="preserve">  </v>
      </c>
      <c r="D155" s="82" t="str">
        <f>VLOOKUP(C155,STN_TABLE,2,FALSE)</f>
        <v xml:space="preserve">  </v>
      </c>
      <c r="E155" s="92">
        <v>1</v>
      </c>
      <c r="F155" s="82" t="e">
        <f t="shared" si="636"/>
        <v>#VALUE!</v>
      </c>
      <c r="G155" s="83" t="str">
        <f t="shared" si="637"/>
        <v xml:space="preserve">  </v>
      </c>
      <c r="H155" s="83" t="e">
        <f t="shared" si="638"/>
        <v>#VALUE!</v>
      </c>
      <c r="I155" s="84" t="e">
        <f t="shared" ref="I155" si="648">CONCATENATE("a'(",C153,"~",C155,")=")</f>
        <v>#VALUE!</v>
      </c>
      <c r="J155" s="84" t="e">
        <f t="shared" ref="J155" si="649">2*J153/3*F156</f>
        <v>#VALUE!</v>
      </c>
      <c r="K155" s="84" t="e">
        <f t="shared" ref="K155" si="650">CONCATENATE("A(",C153,")=")</f>
        <v>#VALUE!</v>
      </c>
      <c r="L155" s="84" t="e">
        <f>VLOOKUP(C153,STN_TABLE,3,FALSE)</f>
        <v>#VALUE!</v>
      </c>
      <c r="M155" t="str">
        <f t="shared" ref="M155" si="651">CONCATENATE("A(",C155,")=")</f>
        <v>A(  )=</v>
      </c>
      <c r="N155" t="e">
        <f t="shared" ref="N155:N156" si="652">J155+L155</f>
        <v>#VALUE!</v>
      </c>
      <c r="O155" s="99">
        <f>O154+1</f>
        <v>23</v>
      </c>
      <c r="P155" s="99" t="str">
        <f>VLOOKUP(O155,STN_TABLE_2,2,FALSE)</f>
        <v xml:space="preserve">  </v>
      </c>
      <c r="Q155" s="82" t="e">
        <f t="shared" ref="Q155" si="653">IF(P155-P154=P154-P153,P155,IF(P156-P154=P154-P153,P156,IF(P155-P154=P154-P152,P155,IF(P156-P154=P154-P152,P156,"-"))))</f>
        <v>#VALUE!</v>
      </c>
      <c r="R155" s="83" t="e">
        <f>VLOOKUP(Q155,STN_TABLE,2,FALSE)</f>
        <v>#VALUE!</v>
      </c>
      <c r="S155" s="83">
        <v>-1</v>
      </c>
      <c r="T155" s="82" t="e">
        <f t="shared" si="640"/>
        <v>#VALUE!</v>
      </c>
      <c r="U155" s="88">
        <v>-1</v>
      </c>
      <c r="V155" s="82" t="e">
        <f t="shared" si="641"/>
        <v>#VALUE!</v>
      </c>
      <c r="W155" s="84" t="e">
        <f t="shared" ref="W155" si="654">CONCATENATE("a'(",Q153,"~",Q154,")=")</f>
        <v>#VALUE!</v>
      </c>
      <c r="X155" s="84" t="e">
        <f t="shared" ref="X155" si="655">2*X153/12*T156</f>
        <v>#VALUE!</v>
      </c>
      <c r="Y155" s="84" t="e">
        <f t="shared" ref="Y155" si="656">CONCATENATE("A(",Q153,")=")</f>
        <v>#VALUE!</v>
      </c>
      <c r="Z155" s="84" t="e">
        <f>VLOOKUP(Q153,STN_TABLE,3,FALSE)</f>
        <v>#VALUE!</v>
      </c>
      <c r="AA155" t="str">
        <f t="shared" ref="AA155" si="657">CONCATENATE("A(",Q154,")=")</f>
        <v>A(  )=</v>
      </c>
      <c r="AB155" t="e">
        <f t="shared" ref="AB155:AB156" si="658">X155+Z155</f>
        <v>#VALUE!</v>
      </c>
      <c r="AC155" s="99">
        <f>AC154+1</f>
        <v>22</v>
      </c>
      <c r="AD155" s="100" t="str">
        <f>VLOOKUP(AC155,STN_TABLE_2,2,FALSE)</f>
        <v xml:space="preserve">  </v>
      </c>
      <c r="AE155" t="str">
        <f t="shared" si="644"/>
        <v xml:space="preserve">  </v>
      </c>
      <c r="AF155">
        <v>1</v>
      </c>
      <c r="AG155" s="82" t="str">
        <f>VLOOKUP(AD155,STN_TABLE,2,FALSE)</f>
        <v xml:space="preserve">  </v>
      </c>
      <c r="AH155" s="82">
        <v>2</v>
      </c>
      <c r="AI155" s="83" t="e">
        <f t="shared" si="645"/>
        <v>#VALUE!</v>
      </c>
      <c r="AJ155" s="84" t="str">
        <f t="shared" ref="AJ155" si="659">CONCATENATE("a'(",AD155,")=")</f>
        <v>a'(  )=</v>
      </c>
      <c r="AK155" s="84" t="e">
        <f t="shared" ref="AK155" si="660">2*AK153/2*AG156</f>
        <v>#VALUE!</v>
      </c>
      <c r="AL155" s="84" t="str">
        <f t="shared" ref="AL155" si="661">CONCATENATE("A(",AD154,")=")</f>
        <v>A(  )=</v>
      </c>
      <c r="AM155" s="84" t="str">
        <f>VLOOKUP(AD154,STN_TABLE,3,FALSE)</f>
        <v xml:space="preserve"> </v>
      </c>
      <c r="AN155" t="str">
        <f t="shared" ref="AN155" si="662">CONCATENATE("A(",AD155,")=")</f>
        <v>A(  )=</v>
      </c>
      <c r="AO155" t="e">
        <f t="shared" ref="AO155:AO156" si="663">AK155+AM155</f>
        <v>#VALUE!</v>
      </c>
      <c r="AQ155" s="68" t="str">
        <f>AA155</f>
        <v>A(  )=</v>
      </c>
      <c r="AR155" s="68" t="str">
        <f>IFERROR(VLOOKUP(AQ155,Rise_Results,2,FALSE),"-")</f>
        <v>-</v>
      </c>
      <c r="AS155" s="76" t="str">
        <f>IFERROR(N155,"-")</f>
        <v>-</v>
      </c>
      <c r="AT155" s="76" t="str">
        <f>IFERROR(IF(OR(AB155&lt;=0,AB156&lt;=0),1/0,AB155),"-")</f>
        <v>-</v>
      </c>
      <c r="AU155" s="76" t="e">
        <f t="shared" ref="AU155:AU156" si="664">AO155</f>
        <v>#VALUE!</v>
      </c>
      <c r="AV155" t="e">
        <f t="shared" ref="AV155:AV156" si="665">IF(ISNUMBER(AR155),AR155,IF(ISNUMBER(AS155),AS155,IF(ISNUMBER(AT155),AT155,AU155)))</f>
        <v>#VALUE!</v>
      </c>
      <c r="BG155"/>
      <c r="BH155"/>
    </row>
    <row r="156" spans="1:60" x14ac:dyDescent="0.25">
      <c r="A156" s="84">
        <f>A155+1</f>
        <v>22</v>
      </c>
      <c r="B156" s="84" t="str">
        <f>VLOOKUP(A156,STN_TABLE_2,2,FALSE)</f>
        <v xml:space="preserve">  </v>
      </c>
      <c r="C156" s="191" t="s">
        <v>168</v>
      </c>
      <c r="D156" s="191" t="s">
        <v>168</v>
      </c>
      <c r="E156" s="6" t="s">
        <v>172</v>
      </c>
      <c r="F156" s="89" t="e">
        <f t="shared" ref="F156" si="666">SUM(F153:F155)</f>
        <v>#VALUE!</v>
      </c>
      <c r="G156" s="6" t="s">
        <v>172</v>
      </c>
      <c r="H156" s="82" t="e">
        <f t="shared" ref="H156" si="667">SUM(H153:H155)</f>
        <v>#VALUE!</v>
      </c>
      <c r="I156" s="84" t="e">
        <f t="shared" ref="I156" si="668">CONCATENATE("m'(",C153,"~",C155,")=")</f>
        <v>#VALUE!</v>
      </c>
      <c r="J156" s="84" t="e">
        <f>2*(J153*(WLS))/3*H156</f>
        <v>#VALUE!</v>
      </c>
      <c r="K156" s="84" t="e">
        <f t="shared" ref="K156" si="669">CONCATENATE("M(",C153,")=")</f>
        <v>#VALUE!</v>
      </c>
      <c r="L156" s="84" t="e">
        <f>VLOOKUP(C153,STN_TABLE,4,FALSE)</f>
        <v>#VALUE!</v>
      </c>
      <c r="M156" t="str">
        <f t="shared" ref="M156" si="670">CONCATENATE("M(",C155,")=")</f>
        <v>M(  )=</v>
      </c>
      <c r="N156" t="e">
        <f t="shared" si="652"/>
        <v>#VALUE!</v>
      </c>
      <c r="O156" s="99">
        <f>O155+1</f>
        <v>24</v>
      </c>
      <c r="P156" s="99" t="str">
        <f>VLOOKUP(O156,STN_TABLE_2,2,FALSE)</f>
        <v xml:space="preserve">  </v>
      </c>
      <c r="Q156" s="191" t="s">
        <v>168</v>
      </c>
      <c r="R156" s="191" t="s">
        <v>168</v>
      </c>
      <c r="S156" s="6" t="s">
        <v>172</v>
      </c>
      <c r="T156" s="89" t="e">
        <f t="shared" si="624"/>
        <v>#VALUE!</v>
      </c>
      <c r="U156" s="6" t="s">
        <v>172</v>
      </c>
      <c r="V156" s="82" t="e">
        <f t="shared" si="625"/>
        <v>#VALUE!</v>
      </c>
      <c r="W156" s="84" t="e">
        <f t="shared" ref="W156" si="671">CONCATENATE("m'(",Q153,"~",Q154,")=")</f>
        <v>#VALUE!</v>
      </c>
      <c r="X156" s="84" t="e">
        <f>(2*(X153^2)/24*V156)+(X155*Q153*WLS)</f>
        <v>#VALUE!</v>
      </c>
      <c r="Y156" s="84" t="e">
        <f t="shared" ref="Y156" si="672">CONCATENATE("M(",Q153,")=")</f>
        <v>#VALUE!</v>
      </c>
      <c r="Z156" s="84" t="e">
        <f>VLOOKUP(Q153,STN_TABLE,4,FALSE)</f>
        <v>#VALUE!</v>
      </c>
      <c r="AA156" t="str">
        <f t="shared" ref="AA156" si="673">CONCATENATE("M(",Q154,")=")</f>
        <v>M(  )=</v>
      </c>
      <c r="AB156" t="e">
        <f t="shared" si="658"/>
        <v>#VALUE!</v>
      </c>
      <c r="AD156" s="191" t="s">
        <v>168</v>
      </c>
      <c r="AE156" s="191" t="s">
        <v>168</v>
      </c>
      <c r="AF156" s="6" t="s">
        <v>172</v>
      </c>
      <c r="AG156" s="89">
        <f t="shared" si="629"/>
        <v>0</v>
      </c>
      <c r="AH156" s="6" t="s">
        <v>172</v>
      </c>
      <c r="AI156" s="89" t="e">
        <f t="shared" si="630"/>
        <v>#VALUE!</v>
      </c>
      <c r="AJ156" s="84" t="str">
        <f t="shared" ref="AJ156" si="674">CONCATENATE("m'(",AD155,")=")</f>
        <v>m'(  )=</v>
      </c>
      <c r="AK156" s="84" t="e">
        <f>(2*(AK153^2)/6*AI156)+(AK155*AD154*WLS)</f>
        <v>#VALUE!</v>
      </c>
      <c r="AL156" s="84" t="str">
        <f t="shared" ref="AL156" si="675">CONCATENATE("M(",AD154,")=")</f>
        <v>M(  )=</v>
      </c>
      <c r="AM156" s="84" t="str">
        <f>VLOOKUP(AD154,STN_TABLE,4,FALSE)</f>
        <v xml:space="preserve"> </v>
      </c>
      <c r="AN156" t="str">
        <f t="shared" ref="AN156" si="676">CONCATENATE("M(",AD155,")=")</f>
        <v>M(  )=</v>
      </c>
      <c r="AO156" t="e">
        <f t="shared" si="663"/>
        <v>#VALUE!</v>
      </c>
      <c r="AQ156" s="82" t="str">
        <f>AA156</f>
        <v>M(  )=</v>
      </c>
      <c r="AR156" s="82" t="str">
        <f>IFERROR(VLOOKUP(AQ156,Rise_Results,2,FALSE),"-")</f>
        <v>-</v>
      </c>
      <c r="AS156" s="82" t="str">
        <f>IFERROR(N156,"-")</f>
        <v>-</v>
      </c>
      <c r="AT156" s="82" t="str">
        <f>IFERROR(IF(OR(AB155&lt;=0,AB156&lt;=0),1/0,AB156),"-")</f>
        <v>-</v>
      </c>
      <c r="AU156" s="82" t="e">
        <f t="shared" si="664"/>
        <v>#VALUE!</v>
      </c>
      <c r="AV156" t="e">
        <f t="shared" si="665"/>
        <v>#VALUE!</v>
      </c>
      <c r="BG156"/>
      <c r="BH156"/>
    </row>
    <row r="157" spans="1:60" x14ac:dyDescent="0.25">
      <c r="A157" s="84"/>
      <c r="B157" s="84"/>
      <c r="F157" s="81"/>
      <c r="H157" s="81"/>
      <c r="I157" s="84"/>
      <c r="J157" s="84"/>
      <c r="K157" s="84"/>
      <c r="L157" s="84"/>
      <c r="O157" s="99"/>
      <c r="P157" s="99"/>
      <c r="T157" s="81"/>
      <c r="V157" s="81"/>
      <c r="W157" s="84"/>
      <c r="X157" s="84"/>
      <c r="Y157" s="84"/>
      <c r="Z157" s="84"/>
      <c r="AD157" s="191" t="s">
        <v>168</v>
      </c>
      <c r="AE157" s="191" t="s">
        <v>168</v>
      </c>
      <c r="AF157" s="191" t="s">
        <v>168</v>
      </c>
      <c r="AG157" s="191" t="s">
        <v>168</v>
      </c>
      <c r="AH157" s="191" t="s">
        <v>168</v>
      </c>
      <c r="AI157" s="191" t="s">
        <v>168</v>
      </c>
      <c r="AJ157" s="191" t="s">
        <v>168</v>
      </c>
      <c r="AK157" s="191" t="s">
        <v>168</v>
      </c>
      <c r="AL157" s="191" t="s">
        <v>168</v>
      </c>
      <c r="AM157" s="191" t="s">
        <v>168</v>
      </c>
      <c r="AN157" s="191" t="s">
        <v>168</v>
      </c>
      <c r="AO157" s="191" t="s">
        <v>168</v>
      </c>
      <c r="AQ157" s="81"/>
      <c r="AR157" s="81"/>
      <c r="AS157" s="81"/>
      <c r="AT157" s="81"/>
      <c r="AU157" s="81"/>
      <c r="BG157"/>
      <c r="BH157"/>
    </row>
    <row r="158" spans="1:60" ht="18" x14ac:dyDescent="0.35">
      <c r="A158" s="101">
        <f>A152+1</f>
        <v>19</v>
      </c>
      <c r="B158" s="101" t="str">
        <f>VLOOKUP(A158,STN_TABLE_2,2,FALSE)</f>
        <v xml:space="preserve">  </v>
      </c>
      <c r="C158" t="s">
        <v>0</v>
      </c>
      <c r="D158" t="s">
        <v>95</v>
      </c>
      <c r="E158" t="s">
        <v>164</v>
      </c>
      <c r="F158" t="s">
        <v>165</v>
      </c>
      <c r="G158" t="s">
        <v>13</v>
      </c>
      <c r="H158" t="s">
        <v>169</v>
      </c>
      <c r="I158" s="191" t="s">
        <v>168</v>
      </c>
      <c r="J158" s="191" t="s">
        <v>168</v>
      </c>
      <c r="K158" s="191" t="s">
        <v>168</v>
      </c>
      <c r="L158" s="191" t="s">
        <v>168</v>
      </c>
      <c r="M158" s="191" t="s">
        <v>168</v>
      </c>
      <c r="N158" s="191" t="s">
        <v>168</v>
      </c>
      <c r="O158" s="101">
        <f>O152+1</f>
        <v>21</v>
      </c>
      <c r="P158" s="101" t="str">
        <f t="shared" ref="P158" si="677">VLOOKUP(O158,STN_TABLE_2,2,FALSE)</f>
        <v xml:space="preserve">  </v>
      </c>
      <c r="Q158" t="s">
        <v>0</v>
      </c>
      <c r="R158" t="s">
        <v>95</v>
      </c>
      <c r="S158" t="s">
        <v>164</v>
      </c>
      <c r="T158" t="s">
        <v>165</v>
      </c>
      <c r="U158" t="s">
        <v>166</v>
      </c>
      <c r="V158" t="s">
        <v>167</v>
      </c>
      <c r="W158" s="191" t="s">
        <v>168</v>
      </c>
      <c r="X158" s="191" t="s">
        <v>168</v>
      </c>
      <c r="Y158" s="191" t="s">
        <v>168</v>
      </c>
      <c r="Z158" s="191" t="s">
        <v>168</v>
      </c>
      <c r="AA158" s="191" t="s">
        <v>168</v>
      </c>
      <c r="AB158" s="191" t="s">
        <v>168</v>
      </c>
      <c r="BG158"/>
      <c r="BH158"/>
    </row>
    <row r="159" spans="1:60" ht="18" x14ac:dyDescent="0.35">
      <c r="A159" s="84">
        <f>A158+1</f>
        <v>20</v>
      </c>
      <c r="B159" s="84" t="str">
        <f>VLOOKUP(A159,STN_TABLE_2,2,FALSE)</f>
        <v xml:space="preserve">  </v>
      </c>
      <c r="C159" s="79" t="e">
        <f t="shared" ref="C159" si="678">IF(C160=B161,IF(C161-C160=C160-B160,B160,IF(C161-C160=C160-B159,B159,"#NA")),IF(C160=B160,IF(C161-C160=C160-B159,B159,IF(C161-C160=C160-B158,B158,"#NA")),"#NA"))</f>
        <v>#VALUE!</v>
      </c>
      <c r="D159" s="68" t="e">
        <f>VLOOKUP(C159,STN_TABLE,2,FALSE)</f>
        <v>#VALUE!</v>
      </c>
      <c r="E159" s="102">
        <v>1</v>
      </c>
      <c r="F159" s="68" t="e">
        <f t="shared" ref="F159:F161" si="679">D159*E159</f>
        <v>#VALUE!</v>
      </c>
      <c r="G159" s="69" t="e">
        <f t="shared" ref="G159:G161" si="680">C159</f>
        <v>#VALUE!</v>
      </c>
      <c r="H159" s="69" t="e">
        <f t="shared" ref="H159:H161" si="681">F159*G159</f>
        <v>#VALUE!</v>
      </c>
      <c r="I159" s="6" t="s">
        <v>93</v>
      </c>
      <c r="J159" s="70" t="e">
        <f>IF(OR(D159=0,D160=0,D161=0),"#NA",IF(AND(C161-C160=C160-C159,C160&lt;&gt;C161,C159&lt;&gt;C160,C159&lt;&gt;C161,D161&lt;&gt;0,OR(D159&lt;&gt;0,D160&lt;&gt;0)),WLS*(C161-C160),"#NA"))</f>
        <v>#VALUE!</v>
      </c>
      <c r="K159" s="191" t="s">
        <v>168</v>
      </c>
      <c r="L159" s="191" t="s">
        <v>168</v>
      </c>
      <c r="M159" s="191" t="s">
        <v>168</v>
      </c>
      <c r="N159" s="191" t="s">
        <v>168</v>
      </c>
      <c r="O159" s="99">
        <f>O158+1</f>
        <v>22</v>
      </c>
      <c r="P159" s="99" t="str">
        <f>VLOOKUP(O159,STN_TABLE_2,2,FALSE)</f>
        <v xml:space="preserve">  </v>
      </c>
      <c r="Q159" s="68" t="e">
        <f t="shared" ref="Q159" si="682">IF(OR(P161-P160=P160-P159,P162-P160=P160-P159),P159,IF(OR(P161-P160=P160-P158,P162-P160=P160-P158),P158,"-"))</f>
        <v>#VALUE!</v>
      </c>
      <c r="R159" s="69" t="e">
        <f>VLOOKUP(Q159,STN_TABLE,2,FALSE)</f>
        <v>#VALUE!</v>
      </c>
      <c r="S159" s="69">
        <v>5</v>
      </c>
      <c r="T159" s="68" t="e">
        <f t="shared" ref="T159:T161" si="683">R159*S159</f>
        <v>#VALUE!</v>
      </c>
      <c r="U159" s="79">
        <v>3</v>
      </c>
      <c r="V159" s="68" t="e">
        <f t="shared" ref="V159:V161" si="684">R159*U159</f>
        <v>#VALUE!</v>
      </c>
      <c r="W159" s="6" t="s">
        <v>93</v>
      </c>
      <c r="X159" s="70" t="e">
        <f>IF(AND(Q161-Q160=Q160-Q159,NOT(AND(Q159=0,Q160=0)),NOT(AND(Q160=0,Q161=0))),WLS*(Q161-Q160),"#NA")</f>
        <v>#VALUE!</v>
      </c>
      <c r="Y159" s="191" t="s">
        <v>168</v>
      </c>
      <c r="Z159" s="191" t="s">
        <v>168</v>
      </c>
      <c r="AA159" s="191" t="s">
        <v>168</v>
      </c>
      <c r="AB159" s="191" t="s">
        <v>168</v>
      </c>
      <c r="AD159" t="s">
        <v>0</v>
      </c>
      <c r="AE159" t="s">
        <v>95</v>
      </c>
      <c r="AF159" t="s">
        <v>173</v>
      </c>
      <c r="AG159" t="s">
        <v>183</v>
      </c>
      <c r="AH159" t="s">
        <v>175</v>
      </c>
      <c r="AI159" t="s">
        <v>184</v>
      </c>
      <c r="AJ159" s="6" t="s">
        <v>93</v>
      </c>
      <c r="AK159" s="70" t="e">
        <f>WLS*(AD161-AD160)</f>
        <v>#VALUE!</v>
      </c>
      <c r="AL159" s="191" t="s">
        <v>168</v>
      </c>
      <c r="AM159" s="191" t="s">
        <v>168</v>
      </c>
      <c r="AN159" s="191" t="s">
        <v>168</v>
      </c>
      <c r="AO159" s="191" t="s">
        <v>168</v>
      </c>
      <c r="BG159"/>
      <c r="BH159"/>
    </row>
    <row r="160" spans="1:60" x14ac:dyDescent="0.25">
      <c r="A160" s="84">
        <f>A159+1</f>
        <v>21</v>
      </c>
      <c r="B160" s="84" t="str">
        <f t="shared" ref="B160:B174" si="685">VLOOKUP(A160,STN_TABLE_2,2,FALSE)</f>
        <v xml:space="preserve">  </v>
      </c>
      <c r="C160" s="80" t="e">
        <f t="shared" ref="C160" si="686">IF(OR(B162-B161=B161-B160,B162-B161=B161-B159,B162-B161=B161-B158),B161,IF(OR(B162-B160=B160-B159,B162-B160=B160-B158),B160,IF(B162-B159=B159-B158,B159,"#NA")))</f>
        <v>#VALUE!</v>
      </c>
      <c r="D160" s="76" t="e">
        <f>VLOOKUP(C160,STN_TABLE,2,FALSE)</f>
        <v>#VALUE!</v>
      </c>
      <c r="E160" s="81">
        <v>4</v>
      </c>
      <c r="F160" s="76" t="e">
        <f t="shared" si="679"/>
        <v>#VALUE!</v>
      </c>
      <c r="G160" s="77" t="e">
        <f t="shared" si="680"/>
        <v>#VALUE!</v>
      </c>
      <c r="H160" s="77" t="e">
        <f t="shared" si="681"/>
        <v>#VALUE!</v>
      </c>
      <c r="I160" s="201" t="s">
        <v>171</v>
      </c>
      <c r="J160" s="191" t="s">
        <v>168</v>
      </c>
      <c r="K160" s="78" t="s">
        <v>98</v>
      </c>
      <c r="L160" s="191" t="s">
        <v>168</v>
      </c>
      <c r="M160" s="7" t="s">
        <v>77</v>
      </c>
      <c r="N160" s="191" t="s">
        <v>168</v>
      </c>
      <c r="O160" s="99">
        <f>O159+1</f>
        <v>23</v>
      </c>
      <c r="P160" s="99" t="str">
        <f>VLOOKUP(O160,STN_TABLE_2,2,FALSE)</f>
        <v xml:space="preserve">  </v>
      </c>
      <c r="Q160" s="76" t="str">
        <f t="shared" ref="Q160" si="687">P160</f>
        <v xml:space="preserve">  </v>
      </c>
      <c r="R160" s="77" t="str">
        <f>VLOOKUP(Q160,STN_TABLE,2,FALSE)</f>
        <v xml:space="preserve">  </v>
      </c>
      <c r="S160" s="77">
        <v>8</v>
      </c>
      <c r="T160" s="76" t="e">
        <f t="shared" si="683"/>
        <v>#VALUE!</v>
      </c>
      <c r="U160" s="80">
        <v>10</v>
      </c>
      <c r="V160" s="76" t="e">
        <f t="shared" si="684"/>
        <v>#VALUE!</v>
      </c>
      <c r="W160" s="201" t="s">
        <v>171</v>
      </c>
      <c r="X160" s="191" t="s">
        <v>168</v>
      </c>
      <c r="Y160" s="78" t="s">
        <v>98</v>
      </c>
      <c r="Z160" s="191" t="s">
        <v>168</v>
      </c>
      <c r="AA160" s="7" t="s">
        <v>77</v>
      </c>
      <c r="AB160" s="191" t="s">
        <v>168</v>
      </c>
      <c r="AC160" s="99">
        <f>AC154+1</f>
        <v>22</v>
      </c>
      <c r="AD160" s="95" t="str">
        <f>VLOOKUP(AC160,STN_TABLE_2,2,FALSE)</f>
        <v xml:space="preserve">  </v>
      </c>
      <c r="AE160" t="str">
        <f t="shared" ref="AE160:AE161" si="688">AG160</f>
        <v xml:space="preserve">  </v>
      </c>
      <c r="AF160">
        <v>1</v>
      </c>
      <c r="AG160" s="68" t="str">
        <f>VLOOKUP(AD160,STN_TABLE,2,FALSE)</f>
        <v xml:space="preserve">  </v>
      </c>
      <c r="AH160" s="68">
        <v>1</v>
      </c>
      <c r="AI160" s="69" t="e">
        <f t="shared" ref="AI160:AI161" si="689">AG160*AH160</f>
        <v>#VALUE!</v>
      </c>
      <c r="AJ160" s="201" t="s">
        <v>171</v>
      </c>
      <c r="AK160" s="191" t="s">
        <v>168</v>
      </c>
      <c r="AL160" s="78" t="s">
        <v>98</v>
      </c>
      <c r="AM160" s="191" t="s">
        <v>168</v>
      </c>
      <c r="AN160" s="7" t="s">
        <v>77</v>
      </c>
      <c r="AO160" s="191" t="s">
        <v>168</v>
      </c>
      <c r="AR160" s="86" t="s">
        <v>112</v>
      </c>
      <c r="AS160" s="89" t="s">
        <v>113</v>
      </c>
      <c r="AT160" s="89" t="s">
        <v>114</v>
      </c>
      <c r="AU160" s="89" t="s">
        <v>115</v>
      </c>
      <c r="AV160" s="71" t="e">
        <f t="shared" ref="AV160" si="690">IF(AV161=AR161,AR160,IF(AV161=AS161,AS160,IF(AV161=AT161,AT160,AU160)))</f>
        <v>#VALUE!</v>
      </c>
      <c r="BG160"/>
      <c r="BH160"/>
    </row>
    <row r="161" spans="1:60" x14ac:dyDescent="0.25">
      <c r="A161" s="84">
        <f>A160+1</f>
        <v>22</v>
      </c>
      <c r="B161" s="84" t="str">
        <f t="shared" si="685"/>
        <v xml:space="preserve">  </v>
      </c>
      <c r="C161" s="88" t="str">
        <f t="shared" ref="C161" si="691">B162</f>
        <v xml:space="preserve">  </v>
      </c>
      <c r="D161" s="82" t="str">
        <f>VLOOKUP(C161,STN_TABLE,2,FALSE)</f>
        <v xml:space="preserve">  </v>
      </c>
      <c r="E161" s="92">
        <v>1</v>
      </c>
      <c r="F161" s="82" t="e">
        <f t="shared" si="679"/>
        <v>#VALUE!</v>
      </c>
      <c r="G161" s="83" t="str">
        <f t="shared" si="680"/>
        <v xml:space="preserve">  </v>
      </c>
      <c r="H161" s="83" t="e">
        <f t="shared" si="681"/>
        <v>#VALUE!</v>
      </c>
      <c r="I161" s="84" t="e">
        <f t="shared" ref="I161" si="692">CONCATENATE("a'(",C159,"~",C161,")=")</f>
        <v>#VALUE!</v>
      </c>
      <c r="J161" s="84" t="e">
        <f t="shared" ref="J161" si="693">2*J159/3*F162</f>
        <v>#VALUE!</v>
      </c>
      <c r="K161" s="84" t="e">
        <f t="shared" ref="K161" si="694">CONCATENATE("A(",C159,")=")</f>
        <v>#VALUE!</v>
      </c>
      <c r="L161" s="84" t="e">
        <f>VLOOKUP(C159,STN_TABLE,3,FALSE)</f>
        <v>#VALUE!</v>
      </c>
      <c r="M161" t="str">
        <f t="shared" ref="M161" si="695">CONCATENATE("A(",C161,")=")</f>
        <v>A(  )=</v>
      </c>
      <c r="N161" t="e">
        <f t="shared" ref="N161:N162" si="696">J161+L161</f>
        <v>#VALUE!</v>
      </c>
      <c r="O161" s="99">
        <f>O160+1</f>
        <v>24</v>
      </c>
      <c r="P161" s="99" t="str">
        <f>VLOOKUP(O161,STN_TABLE_2,2,FALSE)</f>
        <v xml:space="preserve">  </v>
      </c>
      <c r="Q161" s="82" t="e">
        <f t="shared" ref="Q161" si="697">IF(P161-P160=P160-P159,P161,IF(P162-P160=P160-P159,P162,IF(P161-P160=P160-P158,P161,IF(P162-P160=P160-P158,P162,"-"))))</f>
        <v>#VALUE!</v>
      </c>
      <c r="R161" s="83" t="e">
        <f>VLOOKUP(Q161,STN_TABLE,2,FALSE)</f>
        <v>#VALUE!</v>
      </c>
      <c r="S161" s="83">
        <v>-1</v>
      </c>
      <c r="T161" s="82" t="e">
        <f t="shared" si="683"/>
        <v>#VALUE!</v>
      </c>
      <c r="U161" s="88">
        <v>-1</v>
      </c>
      <c r="V161" s="82" t="e">
        <f t="shared" si="684"/>
        <v>#VALUE!</v>
      </c>
      <c r="W161" s="84" t="e">
        <f t="shared" ref="W161" si="698">CONCATENATE("a'(",Q159,"~",Q160,")=")</f>
        <v>#VALUE!</v>
      </c>
      <c r="X161" s="84" t="e">
        <f t="shared" ref="X161" si="699">2*X159/12*T162</f>
        <v>#VALUE!</v>
      </c>
      <c r="Y161" s="84" t="e">
        <f t="shared" ref="Y161" si="700">CONCATENATE("A(",Q159,")=")</f>
        <v>#VALUE!</v>
      </c>
      <c r="Z161" s="84" t="e">
        <f>VLOOKUP(Q159,STN_TABLE,3,FALSE)</f>
        <v>#VALUE!</v>
      </c>
      <c r="AA161" t="str">
        <f t="shared" ref="AA161" si="701">CONCATENATE("A(",Q160,")=")</f>
        <v>A(  )=</v>
      </c>
      <c r="AB161" t="e">
        <f t="shared" ref="AB161:AB162" si="702">X161+Z161</f>
        <v>#VALUE!</v>
      </c>
      <c r="AC161" s="99">
        <f>AC160+1</f>
        <v>23</v>
      </c>
      <c r="AD161" s="100" t="str">
        <f>VLOOKUP(AC161,STN_TABLE_2,2,FALSE)</f>
        <v xml:space="preserve">  </v>
      </c>
      <c r="AE161" t="str">
        <f t="shared" si="688"/>
        <v xml:space="preserve">  </v>
      </c>
      <c r="AF161">
        <v>1</v>
      </c>
      <c r="AG161" s="82" t="str">
        <f>VLOOKUP(AD161,STN_TABLE,2,FALSE)</f>
        <v xml:space="preserve">  </v>
      </c>
      <c r="AH161" s="82">
        <v>2</v>
      </c>
      <c r="AI161" s="83" t="e">
        <f t="shared" si="689"/>
        <v>#VALUE!</v>
      </c>
      <c r="AJ161" s="84" t="str">
        <f t="shared" ref="AJ161" si="703">CONCATENATE("a'(",AD161,")=")</f>
        <v>a'(  )=</v>
      </c>
      <c r="AK161" s="84" t="e">
        <f t="shared" ref="AK161" si="704">2*AK159/2*AG162</f>
        <v>#VALUE!</v>
      </c>
      <c r="AL161" s="84" t="str">
        <f t="shared" ref="AL161" si="705">CONCATENATE("A(",AD160,")=")</f>
        <v>A(  )=</v>
      </c>
      <c r="AM161" s="84" t="str">
        <f>VLOOKUP(AD160,STN_TABLE,3,FALSE)</f>
        <v xml:space="preserve"> </v>
      </c>
      <c r="AN161" t="str">
        <f t="shared" ref="AN161" si="706">CONCATENATE("A(",AD161,")=")</f>
        <v>A(  )=</v>
      </c>
      <c r="AO161" t="e">
        <f t="shared" ref="AO161:AO162" si="707">AK161+AM161</f>
        <v>#VALUE!</v>
      </c>
      <c r="AQ161" s="68" t="str">
        <f>AA161</f>
        <v>A(  )=</v>
      </c>
      <c r="AR161" s="68" t="str">
        <f>IFERROR(VLOOKUP(AQ161,Rise_Results,2,FALSE),"-")</f>
        <v>-</v>
      </c>
      <c r="AS161" s="76" t="str">
        <f>IFERROR(N161,"-")</f>
        <v>-</v>
      </c>
      <c r="AT161" s="76" t="str">
        <f>IFERROR(IF(OR(AB161&lt;=0,AB162&lt;=0),1/0,AB161),"-")</f>
        <v>-</v>
      </c>
      <c r="AU161" s="76" t="e">
        <f t="shared" ref="AU161:AU162" si="708">AO161</f>
        <v>#VALUE!</v>
      </c>
      <c r="AV161" t="e">
        <f t="shared" ref="AV161:AV162" si="709">IF(ISNUMBER(AR161),AR161,IF(ISNUMBER(AS161),AS161,IF(ISNUMBER(AT161),AT161,AU161)))</f>
        <v>#VALUE!</v>
      </c>
      <c r="BG161"/>
      <c r="BH161"/>
    </row>
    <row r="162" spans="1:60" x14ac:dyDescent="0.25">
      <c r="A162" s="84">
        <f>A161+1</f>
        <v>23</v>
      </c>
      <c r="B162" s="84" t="str">
        <f t="shared" si="685"/>
        <v xml:space="preserve">  </v>
      </c>
      <c r="C162" s="191" t="s">
        <v>168</v>
      </c>
      <c r="D162" s="191" t="s">
        <v>168</v>
      </c>
      <c r="E162" s="6" t="s">
        <v>172</v>
      </c>
      <c r="F162" s="89" t="e">
        <f t="shared" ref="F162" si="710">SUM(F159:F161)</f>
        <v>#VALUE!</v>
      </c>
      <c r="G162" s="6" t="s">
        <v>172</v>
      </c>
      <c r="H162" s="82" t="e">
        <f t="shared" ref="H162" si="711">SUM(H159:H161)</f>
        <v>#VALUE!</v>
      </c>
      <c r="I162" s="84" t="e">
        <f t="shared" ref="I162" si="712">CONCATENATE("m'(",C159,"~",C161,")=")</f>
        <v>#VALUE!</v>
      </c>
      <c r="J162" s="84" t="e">
        <f>2*(J159*(WLS))/3*H162</f>
        <v>#VALUE!</v>
      </c>
      <c r="K162" s="84" t="e">
        <f t="shared" ref="K162" si="713">CONCATENATE("M(",C159,")=")</f>
        <v>#VALUE!</v>
      </c>
      <c r="L162" s="84" t="e">
        <f>VLOOKUP(C159,STN_TABLE,4,FALSE)</f>
        <v>#VALUE!</v>
      </c>
      <c r="M162" t="str">
        <f t="shared" ref="M162" si="714">CONCATENATE("M(",C161,")=")</f>
        <v>M(  )=</v>
      </c>
      <c r="N162" t="e">
        <f t="shared" si="696"/>
        <v>#VALUE!</v>
      </c>
      <c r="O162" s="99">
        <f>O161+1</f>
        <v>25</v>
      </c>
      <c r="P162" s="99" t="str">
        <f>VLOOKUP(O162,STN_TABLE_2,2,FALSE)</f>
        <v xml:space="preserve">  </v>
      </c>
      <c r="Q162" s="191" t="s">
        <v>168</v>
      </c>
      <c r="R162" s="191" t="s">
        <v>168</v>
      </c>
      <c r="S162" s="6" t="s">
        <v>172</v>
      </c>
      <c r="T162" s="89" t="e">
        <f t="shared" si="624"/>
        <v>#VALUE!</v>
      </c>
      <c r="U162" s="6" t="s">
        <v>172</v>
      </c>
      <c r="V162" s="82" t="e">
        <f t="shared" si="625"/>
        <v>#VALUE!</v>
      </c>
      <c r="W162" s="84" t="e">
        <f t="shared" ref="W162" si="715">CONCATENATE("m'(",Q159,"~",Q160,")=")</f>
        <v>#VALUE!</v>
      </c>
      <c r="X162" s="84" t="e">
        <f>(2*(X159^2)/24*V162)+(X161*Q159*WLS)</f>
        <v>#VALUE!</v>
      </c>
      <c r="Y162" s="84" t="e">
        <f t="shared" ref="Y162" si="716">CONCATENATE("M(",Q159,")=")</f>
        <v>#VALUE!</v>
      </c>
      <c r="Z162" s="84" t="e">
        <f>VLOOKUP(Q159,STN_TABLE,4,FALSE)</f>
        <v>#VALUE!</v>
      </c>
      <c r="AA162" t="str">
        <f t="shared" ref="AA162" si="717">CONCATENATE("M(",Q160,")=")</f>
        <v>M(  )=</v>
      </c>
      <c r="AB162" t="e">
        <f t="shared" si="702"/>
        <v>#VALUE!</v>
      </c>
      <c r="AD162" s="191" t="s">
        <v>168</v>
      </c>
      <c r="AE162" s="191" t="s">
        <v>168</v>
      </c>
      <c r="AF162" s="6" t="s">
        <v>172</v>
      </c>
      <c r="AG162" s="89">
        <f t="shared" si="629"/>
        <v>0</v>
      </c>
      <c r="AH162" s="6" t="s">
        <v>172</v>
      </c>
      <c r="AI162" s="89" t="e">
        <f t="shared" si="630"/>
        <v>#VALUE!</v>
      </c>
      <c r="AJ162" s="84" t="str">
        <f t="shared" ref="AJ162" si="718">CONCATENATE("m'(",AD161,")=")</f>
        <v>m'(  )=</v>
      </c>
      <c r="AK162" s="84" t="e">
        <f>(2*(AK159^2)/6*AI162)+(AK161*AD160*WLS)</f>
        <v>#VALUE!</v>
      </c>
      <c r="AL162" s="84" t="str">
        <f t="shared" ref="AL162" si="719">CONCATENATE("M(",AD160,")=")</f>
        <v>M(  )=</v>
      </c>
      <c r="AM162" s="84" t="str">
        <f>VLOOKUP(AD160,STN_TABLE,4,FALSE)</f>
        <v xml:space="preserve"> </v>
      </c>
      <c r="AN162" t="str">
        <f t="shared" ref="AN162" si="720">CONCATENATE("M(",AD161,")=")</f>
        <v>M(  )=</v>
      </c>
      <c r="AO162" t="e">
        <f t="shared" si="707"/>
        <v>#VALUE!</v>
      </c>
      <c r="AQ162" s="82" t="str">
        <f>AA162</f>
        <v>M(  )=</v>
      </c>
      <c r="AR162" s="82" t="str">
        <f>IFERROR(VLOOKUP(AQ162,Rise_Results,2,FALSE),"-")</f>
        <v>-</v>
      </c>
      <c r="AS162" s="82" t="str">
        <f>IFERROR(N162,"-")</f>
        <v>-</v>
      </c>
      <c r="AT162" s="82" t="str">
        <f>IFERROR(IF(OR(AB161&lt;=0,AB162&lt;=0),1/0,AB162),"-")</f>
        <v>-</v>
      </c>
      <c r="AU162" s="82" t="e">
        <f t="shared" si="708"/>
        <v>#VALUE!</v>
      </c>
      <c r="AV162" t="e">
        <f t="shared" si="709"/>
        <v>#VALUE!</v>
      </c>
      <c r="BG162"/>
      <c r="BH162"/>
    </row>
    <row r="163" spans="1:60" x14ac:dyDescent="0.25">
      <c r="A163" s="84"/>
      <c r="B163" s="84"/>
      <c r="F163" s="81"/>
      <c r="H163" s="81"/>
      <c r="I163" s="84"/>
      <c r="J163" s="84"/>
      <c r="K163" s="84"/>
      <c r="L163" s="84"/>
      <c r="O163" s="99"/>
      <c r="P163" s="99"/>
      <c r="T163" s="81"/>
      <c r="V163" s="81"/>
      <c r="W163" s="84"/>
      <c r="X163" s="84"/>
      <c r="Y163" s="84"/>
      <c r="Z163" s="84"/>
      <c r="AD163" s="191" t="s">
        <v>168</v>
      </c>
      <c r="AE163" s="191" t="s">
        <v>168</v>
      </c>
      <c r="AF163" s="191" t="s">
        <v>168</v>
      </c>
      <c r="AG163" s="191" t="s">
        <v>168</v>
      </c>
      <c r="AH163" s="191" t="s">
        <v>168</v>
      </c>
      <c r="AI163" s="191" t="s">
        <v>168</v>
      </c>
      <c r="AJ163" s="191" t="s">
        <v>168</v>
      </c>
      <c r="AK163" s="191" t="s">
        <v>168</v>
      </c>
      <c r="AL163" s="191" t="s">
        <v>168</v>
      </c>
      <c r="AM163" s="191" t="s">
        <v>168</v>
      </c>
      <c r="AN163" s="191" t="s">
        <v>168</v>
      </c>
      <c r="AO163" s="191" t="s">
        <v>168</v>
      </c>
      <c r="AQ163" s="81"/>
      <c r="AR163" s="81"/>
      <c r="AS163" s="81"/>
      <c r="AT163" s="81"/>
      <c r="AU163" s="81"/>
      <c r="BG163"/>
      <c r="BH163"/>
    </row>
    <row r="164" spans="1:60" ht="18" x14ac:dyDescent="0.35">
      <c r="A164" s="101">
        <f>A158+1</f>
        <v>20</v>
      </c>
      <c r="B164" s="101" t="str">
        <f t="shared" si="685"/>
        <v xml:space="preserve">  </v>
      </c>
      <c r="C164" t="s">
        <v>0</v>
      </c>
      <c r="D164" t="s">
        <v>95</v>
      </c>
      <c r="E164" t="s">
        <v>164</v>
      </c>
      <c r="F164" t="s">
        <v>165</v>
      </c>
      <c r="G164" t="s">
        <v>13</v>
      </c>
      <c r="H164" t="s">
        <v>169</v>
      </c>
      <c r="I164" s="191" t="s">
        <v>168</v>
      </c>
      <c r="J164" s="191" t="s">
        <v>168</v>
      </c>
      <c r="K164" s="191" t="s">
        <v>168</v>
      </c>
      <c r="L164" s="191" t="s">
        <v>168</v>
      </c>
      <c r="M164" s="191" t="s">
        <v>168</v>
      </c>
      <c r="N164" s="191" t="s">
        <v>168</v>
      </c>
      <c r="O164" s="101">
        <f>O158+1</f>
        <v>22</v>
      </c>
      <c r="P164" s="101" t="str">
        <f t="shared" ref="P164" si="721">VLOOKUP(O164,STN_TABLE_2,2,FALSE)</f>
        <v xml:space="preserve">  </v>
      </c>
      <c r="Q164" t="s">
        <v>0</v>
      </c>
      <c r="R164" t="s">
        <v>95</v>
      </c>
      <c r="S164" t="s">
        <v>164</v>
      </c>
      <c r="T164" t="s">
        <v>165</v>
      </c>
      <c r="U164" t="s">
        <v>166</v>
      </c>
      <c r="V164" t="s">
        <v>167</v>
      </c>
      <c r="W164" s="191" t="s">
        <v>168</v>
      </c>
      <c r="X164" s="191" t="s">
        <v>168</v>
      </c>
      <c r="Y164" s="191" t="s">
        <v>168</v>
      </c>
      <c r="Z164" s="191" t="s">
        <v>168</v>
      </c>
      <c r="AA164" s="191" t="s">
        <v>168</v>
      </c>
      <c r="AB164" s="191" t="s">
        <v>168</v>
      </c>
      <c r="BG164"/>
      <c r="BH164"/>
    </row>
    <row r="165" spans="1:60" ht="18" x14ac:dyDescent="0.35">
      <c r="A165" s="84">
        <f>A164+1</f>
        <v>21</v>
      </c>
      <c r="B165" s="84" t="str">
        <f t="shared" si="685"/>
        <v xml:space="preserve">  </v>
      </c>
      <c r="C165" s="79" t="e">
        <f t="shared" ref="C165" si="722">IF(C166=B167,IF(C167-C166=C166-B166,B166,IF(C167-C166=C166-B165,B165,"#NA")),IF(C166=B166,IF(C167-C166=C166-B165,B165,IF(C167-C166=C166-B164,B164,"#NA")),"#NA"))</f>
        <v>#VALUE!</v>
      </c>
      <c r="D165" s="68" t="e">
        <f>VLOOKUP(C165,STN_TABLE,2,FALSE)</f>
        <v>#VALUE!</v>
      </c>
      <c r="E165" s="102">
        <v>1</v>
      </c>
      <c r="F165" s="68" t="e">
        <f t="shared" ref="F165:F167" si="723">D165*E165</f>
        <v>#VALUE!</v>
      </c>
      <c r="G165" s="69" t="e">
        <f t="shared" ref="G165:G167" si="724">C165</f>
        <v>#VALUE!</v>
      </c>
      <c r="H165" s="69" t="e">
        <f t="shared" ref="H165:H167" si="725">F165*G165</f>
        <v>#VALUE!</v>
      </c>
      <c r="I165" s="6" t="s">
        <v>93</v>
      </c>
      <c r="J165" s="70" t="e">
        <f>IF(OR(D165=0,D166=0,D167=0),"#NA",IF(AND(C167-C166=C166-C165,C166&lt;&gt;C167,C165&lt;&gt;C166,C165&lt;&gt;C167,D167&lt;&gt;0,OR(D165&lt;&gt;0,D166&lt;&gt;0)),WLS*(C167-C166),"#NA"))</f>
        <v>#VALUE!</v>
      </c>
      <c r="K165" s="191" t="s">
        <v>168</v>
      </c>
      <c r="L165" s="191" t="s">
        <v>168</v>
      </c>
      <c r="M165" s="191" t="s">
        <v>168</v>
      </c>
      <c r="N165" s="191" t="s">
        <v>168</v>
      </c>
      <c r="O165" s="99">
        <f>O164+1</f>
        <v>23</v>
      </c>
      <c r="P165" s="99" t="str">
        <f>VLOOKUP(O165,STN_TABLE_2,2,FALSE)</f>
        <v xml:space="preserve">  </v>
      </c>
      <c r="Q165" s="68" t="e">
        <f t="shared" ref="Q165" si="726">IF(OR(P167-P166=P166-P165,P168-P166=P166-P165),P165,IF(OR(P167-P166=P166-P164,P168-P166=P166-P164),P164,"-"))</f>
        <v>#VALUE!</v>
      </c>
      <c r="R165" s="69" t="e">
        <f>VLOOKUP(Q165,STN_TABLE,2,FALSE)</f>
        <v>#VALUE!</v>
      </c>
      <c r="S165" s="69">
        <v>5</v>
      </c>
      <c r="T165" s="68" t="e">
        <f t="shared" ref="T165:T167" si="727">R165*S165</f>
        <v>#VALUE!</v>
      </c>
      <c r="U165" s="79">
        <v>3</v>
      </c>
      <c r="V165" s="68" t="e">
        <f t="shared" ref="V165:V167" si="728">R165*U165</f>
        <v>#VALUE!</v>
      </c>
      <c r="W165" s="6" t="s">
        <v>93</v>
      </c>
      <c r="X165" s="70" t="e">
        <f>IF(AND(Q167-Q166=Q166-Q165,NOT(AND(Q165=0,Q166=0)),NOT(AND(Q166=0,Q167=0))),WLS*(Q167-Q166),"#NA")</f>
        <v>#VALUE!</v>
      </c>
      <c r="Y165" s="191" t="s">
        <v>168</v>
      </c>
      <c r="Z165" s="191" t="s">
        <v>168</v>
      </c>
      <c r="AA165" s="191" t="s">
        <v>168</v>
      </c>
      <c r="AB165" s="191" t="s">
        <v>168</v>
      </c>
      <c r="AD165" t="s">
        <v>0</v>
      </c>
      <c r="AE165" t="s">
        <v>95</v>
      </c>
      <c r="AF165" t="s">
        <v>173</v>
      </c>
      <c r="AG165" t="s">
        <v>183</v>
      </c>
      <c r="AH165" t="s">
        <v>175</v>
      </c>
      <c r="AI165" t="s">
        <v>184</v>
      </c>
      <c r="AJ165" s="6" t="s">
        <v>93</v>
      </c>
      <c r="AK165" s="70" t="e">
        <f>WLS*(AD167-AD166)</f>
        <v>#VALUE!</v>
      </c>
      <c r="AL165" s="191" t="s">
        <v>168</v>
      </c>
      <c r="AM165" s="191" t="s">
        <v>168</v>
      </c>
      <c r="AN165" s="191" t="s">
        <v>168</v>
      </c>
      <c r="AO165" s="191" t="s">
        <v>168</v>
      </c>
      <c r="BG165"/>
      <c r="BH165"/>
    </row>
    <row r="166" spans="1:60" x14ac:dyDescent="0.25">
      <c r="A166" s="84">
        <f>A165+1</f>
        <v>22</v>
      </c>
      <c r="B166" s="84" t="str">
        <f t="shared" si="685"/>
        <v xml:space="preserve">  </v>
      </c>
      <c r="C166" s="80" t="e">
        <f t="shared" ref="C166" si="729">IF(OR(B168-B167=B167-B166,B168-B167=B167-B165,B168-B167=B167-B164),B167,IF(OR(B168-B166=B166-B165,B168-B166=B166-B164),B166,IF(B168-B165=B165-B164,B165,"#NA")))</f>
        <v>#VALUE!</v>
      </c>
      <c r="D166" s="76" t="e">
        <f>VLOOKUP(C166,STN_TABLE,2,FALSE)</f>
        <v>#VALUE!</v>
      </c>
      <c r="E166" s="81">
        <v>4</v>
      </c>
      <c r="F166" s="76" t="e">
        <f t="shared" si="723"/>
        <v>#VALUE!</v>
      </c>
      <c r="G166" s="77" t="e">
        <f t="shared" si="724"/>
        <v>#VALUE!</v>
      </c>
      <c r="H166" s="77" t="e">
        <f t="shared" si="725"/>
        <v>#VALUE!</v>
      </c>
      <c r="I166" s="201" t="s">
        <v>171</v>
      </c>
      <c r="J166" s="191" t="s">
        <v>168</v>
      </c>
      <c r="K166" s="78" t="s">
        <v>98</v>
      </c>
      <c r="L166" s="191" t="s">
        <v>168</v>
      </c>
      <c r="M166" s="7" t="s">
        <v>77</v>
      </c>
      <c r="N166" s="191" t="s">
        <v>168</v>
      </c>
      <c r="O166" s="99">
        <f>O165+1</f>
        <v>24</v>
      </c>
      <c r="P166" s="99" t="str">
        <f>VLOOKUP(O166,STN_TABLE_2,2,FALSE)</f>
        <v xml:space="preserve">  </v>
      </c>
      <c r="Q166" s="76" t="str">
        <f t="shared" ref="Q166" si="730">P166</f>
        <v xml:space="preserve">  </v>
      </c>
      <c r="R166" s="77" t="str">
        <f>VLOOKUP(Q166,STN_TABLE,2,FALSE)</f>
        <v xml:space="preserve">  </v>
      </c>
      <c r="S166" s="77">
        <v>8</v>
      </c>
      <c r="T166" s="76" t="e">
        <f t="shared" si="727"/>
        <v>#VALUE!</v>
      </c>
      <c r="U166" s="80">
        <v>10</v>
      </c>
      <c r="V166" s="76" t="e">
        <f t="shared" si="728"/>
        <v>#VALUE!</v>
      </c>
      <c r="W166" s="201" t="s">
        <v>171</v>
      </c>
      <c r="X166" s="191" t="s">
        <v>168</v>
      </c>
      <c r="Y166" s="78" t="s">
        <v>98</v>
      </c>
      <c r="Z166" s="191" t="s">
        <v>168</v>
      </c>
      <c r="AA166" s="7" t="s">
        <v>77</v>
      </c>
      <c r="AB166" s="191" t="s">
        <v>168</v>
      </c>
      <c r="AC166" s="99">
        <f>AC160+1</f>
        <v>23</v>
      </c>
      <c r="AD166" s="95" t="str">
        <f>VLOOKUP(AC166,STN_TABLE_2,2,FALSE)</f>
        <v xml:space="preserve">  </v>
      </c>
      <c r="AE166" t="str">
        <f t="shared" ref="AE166:AE167" si="731">AG166</f>
        <v xml:space="preserve">  </v>
      </c>
      <c r="AF166">
        <v>1</v>
      </c>
      <c r="AG166" s="68" t="str">
        <f>VLOOKUP(AD166,STN_TABLE,2,FALSE)</f>
        <v xml:space="preserve">  </v>
      </c>
      <c r="AH166" s="68">
        <v>1</v>
      </c>
      <c r="AI166" s="69" t="e">
        <f t="shared" ref="AI166:AI167" si="732">AG166*AH166</f>
        <v>#VALUE!</v>
      </c>
      <c r="AJ166" s="201" t="s">
        <v>171</v>
      </c>
      <c r="AK166" s="191" t="s">
        <v>168</v>
      </c>
      <c r="AL166" s="78" t="s">
        <v>98</v>
      </c>
      <c r="AM166" s="191" t="s">
        <v>168</v>
      </c>
      <c r="AN166" s="7" t="s">
        <v>77</v>
      </c>
      <c r="AO166" s="191" t="s">
        <v>168</v>
      </c>
      <c r="AR166" s="86" t="s">
        <v>112</v>
      </c>
      <c r="AS166" s="89" t="s">
        <v>113</v>
      </c>
      <c r="AT166" s="89" t="s">
        <v>114</v>
      </c>
      <c r="AU166" s="89" t="s">
        <v>115</v>
      </c>
      <c r="AV166" s="71" t="e">
        <f t="shared" ref="AV166" si="733">IF(AV167=AR167,AR166,IF(AV167=AS167,AS166,IF(AV167=AT167,AT166,AU166)))</f>
        <v>#VALUE!</v>
      </c>
      <c r="BG166"/>
      <c r="BH166"/>
    </row>
    <row r="167" spans="1:60" x14ac:dyDescent="0.25">
      <c r="A167" s="84">
        <f>A166+1</f>
        <v>23</v>
      </c>
      <c r="B167" s="84" t="str">
        <f t="shared" si="685"/>
        <v xml:space="preserve">  </v>
      </c>
      <c r="C167" s="88" t="str">
        <f t="shared" ref="C167" si="734">B168</f>
        <v xml:space="preserve">  </v>
      </c>
      <c r="D167" s="82" t="str">
        <f>VLOOKUP(C167,STN_TABLE,2,FALSE)</f>
        <v xml:space="preserve">  </v>
      </c>
      <c r="E167" s="92">
        <v>1</v>
      </c>
      <c r="F167" s="82" t="e">
        <f t="shared" si="723"/>
        <v>#VALUE!</v>
      </c>
      <c r="G167" s="83" t="str">
        <f t="shared" si="724"/>
        <v xml:space="preserve">  </v>
      </c>
      <c r="H167" s="83" t="e">
        <f t="shared" si="725"/>
        <v>#VALUE!</v>
      </c>
      <c r="I167" s="84" t="e">
        <f t="shared" ref="I167" si="735">CONCATENATE("a'(",C165,"~",C167,")=")</f>
        <v>#VALUE!</v>
      </c>
      <c r="J167" s="84" t="e">
        <f t="shared" ref="J167" si="736">2*J165/3*F168</f>
        <v>#VALUE!</v>
      </c>
      <c r="K167" s="84" t="e">
        <f t="shared" ref="K167" si="737">CONCATENATE("A(",C165,")=")</f>
        <v>#VALUE!</v>
      </c>
      <c r="L167" s="84" t="e">
        <f>VLOOKUP(C165,STN_TABLE,3,FALSE)</f>
        <v>#VALUE!</v>
      </c>
      <c r="M167" t="str">
        <f t="shared" ref="M167" si="738">CONCATENATE("A(",C167,")=")</f>
        <v>A(  )=</v>
      </c>
      <c r="N167" t="e">
        <f t="shared" ref="N167:N168" si="739">J167+L167</f>
        <v>#VALUE!</v>
      </c>
      <c r="O167" s="99">
        <f>O166+1</f>
        <v>25</v>
      </c>
      <c r="P167" s="99" t="str">
        <f>VLOOKUP(O167,STN_TABLE_2,2,FALSE)</f>
        <v xml:space="preserve">  </v>
      </c>
      <c r="Q167" s="82" t="e">
        <f t="shared" ref="Q167" si="740">IF(P167-P166=P166-P165,P167,IF(P168-P166=P166-P165,P168,IF(P167-P166=P166-P164,P167,IF(P168-P166=P166-P164,P168,"-"))))</f>
        <v>#VALUE!</v>
      </c>
      <c r="R167" s="83" t="e">
        <f>VLOOKUP(Q167,STN_TABLE,2,FALSE)</f>
        <v>#VALUE!</v>
      </c>
      <c r="S167" s="83">
        <v>-1</v>
      </c>
      <c r="T167" s="82" t="e">
        <f t="shared" si="727"/>
        <v>#VALUE!</v>
      </c>
      <c r="U167" s="88">
        <v>-1</v>
      </c>
      <c r="V167" s="82" t="e">
        <f t="shared" si="728"/>
        <v>#VALUE!</v>
      </c>
      <c r="W167" s="84" t="e">
        <f t="shared" ref="W167" si="741">CONCATENATE("a'(",Q165,"~",Q166,")=")</f>
        <v>#VALUE!</v>
      </c>
      <c r="X167" s="84" t="e">
        <f t="shared" ref="X167" si="742">2*X165/12*T168</f>
        <v>#VALUE!</v>
      </c>
      <c r="Y167" s="84" t="e">
        <f t="shared" ref="Y167" si="743">CONCATENATE("A(",Q165,")=")</f>
        <v>#VALUE!</v>
      </c>
      <c r="Z167" s="84" t="e">
        <f>VLOOKUP(Q165,STN_TABLE,3,FALSE)</f>
        <v>#VALUE!</v>
      </c>
      <c r="AA167" t="str">
        <f t="shared" ref="AA167" si="744">CONCATENATE("A(",Q166,")=")</f>
        <v>A(  )=</v>
      </c>
      <c r="AB167" t="e">
        <f t="shared" ref="AB167:AB168" si="745">X167+Z167</f>
        <v>#VALUE!</v>
      </c>
      <c r="AC167" s="99">
        <f>AC166+1</f>
        <v>24</v>
      </c>
      <c r="AD167" s="100" t="str">
        <f>VLOOKUP(AC167,STN_TABLE_2,2,FALSE)</f>
        <v xml:space="preserve">  </v>
      </c>
      <c r="AE167" t="str">
        <f t="shared" si="731"/>
        <v xml:space="preserve">  </v>
      </c>
      <c r="AF167">
        <v>1</v>
      </c>
      <c r="AG167" s="82" t="str">
        <f>VLOOKUP(AD167,STN_TABLE,2,FALSE)</f>
        <v xml:space="preserve">  </v>
      </c>
      <c r="AH167" s="82">
        <v>2</v>
      </c>
      <c r="AI167" s="83" t="e">
        <f t="shared" si="732"/>
        <v>#VALUE!</v>
      </c>
      <c r="AJ167" s="84" t="str">
        <f t="shared" ref="AJ167" si="746">CONCATENATE("a'(",AD167,")=")</f>
        <v>a'(  )=</v>
      </c>
      <c r="AK167" s="84" t="e">
        <f t="shared" ref="AK167" si="747">2*AK165/2*AG168</f>
        <v>#VALUE!</v>
      </c>
      <c r="AL167" s="84" t="str">
        <f t="shared" ref="AL167" si="748">CONCATENATE("A(",AD166,")=")</f>
        <v>A(  )=</v>
      </c>
      <c r="AM167" s="84" t="str">
        <f>VLOOKUP(AD166,STN_TABLE,3,FALSE)</f>
        <v xml:space="preserve"> </v>
      </c>
      <c r="AN167" t="str">
        <f t="shared" ref="AN167" si="749">CONCATENATE("A(",AD167,")=")</f>
        <v>A(  )=</v>
      </c>
      <c r="AO167" t="e">
        <f t="shared" ref="AO167:AO168" si="750">AK167+AM167</f>
        <v>#VALUE!</v>
      </c>
      <c r="AQ167" s="68" t="str">
        <f>AA167</f>
        <v>A(  )=</v>
      </c>
      <c r="AR167" s="68" t="str">
        <f>IFERROR(VLOOKUP(AQ167,Rise_Results,2,FALSE),"-")</f>
        <v>-</v>
      </c>
      <c r="AS167" s="76" t="str">
        <f>IFERROR(N167,"-")</f>
        <v>-</v>
      </c>
      <c r="AT167" s="76" t="str">
        <f>IFERROR(IF(OR(AB167&lt;=0,AB168&lt;=0),1/0,AB167),"-")</f>
        <v>-</v>
      </c>
      <c r="AU167" s="76" t="e">
        <f t="shared" ref="AU167:AU168" si="751">AO167</f>
        <v>#VALUE!</v>
      </c>
      <c r="AV167" t="e">
        <f t="shared" ref="AV167:AV168" si="752">IF(ISNUMBER(AR167),AR167,IF(ISNUMBER(AS167),AS167,IF(ISNUMBER(AT167),AT167,AU167)))</f>
        <v>#VALUE!</v>
      </c>
      <c r="BG167"/>
      <c r="BH167"/>
    </row>
    <row r="168" spans="1:60" x14ac:dyDescent="0.25">
      <c r="A168" s="84">
        <f>A167+1</f>
        <v>24</v>
      </c>
      <c r="B168" s="84" t="str">
        <f t="shared" si="685"/>
        <v xml:space="preserve">  </v>
      </c>
      <c r="C168" s="191" t="s">
        <v>168</v>
      </c>
      <c r="D168" s="191" t="s">
        <v>168</v>
      </c>
      <c r="E168" s="6" t="s">
        <v>172</v>
      </c>
      <c r="F168" s="89" t="e">
        <f t="shared" ref="F168" si="753">SUM(F165:F167)</f>
        <v>#VALUE!</v>
      </c>
      <c r="G168" s="6" t="s">
        <v>172</v>
      </c>
      <c r="H168" s="82" t="e">
        <f t="shared" ref="H168" si="754">SUM(H165:H167)</f>
        <v>#VALUE!</v>
      </c>
      <c r="I168" s="84" t="e">
        <f t="shared" ref="I168" si="755">CONCATENATE("m'(",C165,"~",C167,")=")</f>
        <v>#VALUE!</v>
      </c>
      <c r="J168" s="84" t="e">
        <f>2*(J165*(WLS))/3*H168</f>
        <v>#VALUE!</v>
      </c>
      <c r="K168" s="84" t="e">
        <f t="shared" ref="K168" si="756">CONCATENATE("M(",C165,")=")</f>
        <v>#VALUE!</v>
      </c>
      <c r="L168" s="84" t="e">
        <f>VLOOKUP(C165,STN_TABLE,4,FALSE)</f>
        <v>#VALUE!</v>
      </c>
      <c r="M168" t="str">
        <f t="shared" ref="M168" si="757">CONCATENATE("M(",C167,")=")</f>
        <v>M(  )=</v>
      </c>
      <c r="N168" t="e">
        <f t="shared" si="739"/>
        <v>#VALUE!</v>
      </c>
      <c r="O168" s="99">
        <f>O167+1</f>
        <v>26</v>
      </c>
      <c r="P168" s="99" t="e">
        <f>VLOOKUP(O168,STN_TABLE_2,2,FALSE)</f>
        <v>#N/A</v>
      </c>
      <c r="Q168" s="191" t="s">
        <v>168</v>
      </c>
      <c r="R168" s="191" t="s">
        <v>168</v>
      </c>
      <c r="S168" s="6" t="s">
        <v>172</v>
      </c>
      <c r="T168" s="89" t="e">
        <f t="shared" si="624"/>
        <v>#VALUE!</v>
      </c>
      <c r="U168" s="6" t="s">
        <v>172</v>
      </c>
      <c r="V168" s="82" t="e">
        <f t="shared" si="625"/>
        <v>#VALUE!</v>
      </c>
      <c r="W168" s="84" t="e">
        <f t="shared" ref="W168" si="758">CONCATENATE("m'(",Q165,"~",Q166,")=")</f>
        <v>#VALUE!</v>
      </c>
      <c r="X168" s="84" t="e">
        <f>(2*(X165^2)/24*V168)+(X167*Q165*WLS)</f>
        <v>#VALUE!</v>
      </c>
      <c r="Y168" s="84" t="e">
        <f t="shared" ref="Y168" si="759">CONCATENATE("M(",Q165,")=")</f>
        <v>#VALUE!</v>
      </c>
      <c r="Z168" s="84" t="e">
        <f>VLOOKUP(Q165,STN_TABLE,4,FALSE)</f>
        <v>#VALUE!</v>
      </c>
      <c r="AA168" t="str">
        <f t="shared" ref="AA168" si="760">CONCATENATE("M(",Q166,")=")</f>
        <v>M(  )=</v>
      </c>
      <c r="AB168" t="e">
        <f t="shared" si="745"/>
        <v>#VALUE!</v>
      </c>
      <c r="AD168" s="191" t="s">
        <v>168</v>
      </c>
      <c r="AE168" s="191" t="s">
        <v>168</v>
      </c>
      <c r="AF168" s="6" t="s">
        <v>172</v>
      </c>
      <c r="AG168" s="89">
        <f t="shared" si="629"/>
        <v>0</v>
      </c>
      <c r="AH168" s="6" t="s">
        <v>172</v>
      </c>
      <c r="AI168" s="89" t="e">
        <f t="shared" si="630"/>
        <v>#VALUE!</v>
      </c>
      <c r="AJ168" s="84" t="str">
        <f t="shared" ref="AJ168" si="761">CONCATENATE("m'(",AD167,")=")</f>
        <v>m'(  )=</v>
      </c>
      <c r="AK168" s="84" t="e">
        <f>(2*(AK165^2)/6*AI168)+(AK167*AD166*WLS)</f>
        <v>#VALUE!</v>
      </c>
      <c r="AL168" s="84" t="str">
        <f t="shared" ref="AL168" si="762">CONCATENATE("M(",AD166,")=")</f>
        <v>M(  )=</v>
      </c>
      <c r="AM168" s="84" t="str">
        <f>VLOOKUP(AD166,STN_TABLE,4,FALSE)</f>
        <v xml:space="preserve"> </v>
      </c>
      <c r="AN168" t="str">
        <f t="shared" ref="AN168" si="763">CONCATENATE("M(",AD167,")=")</f>
        <v>M(  )=</v>
      </c>
      <c r="AO168" t="e">
        <f t="shared" si="750"/>
        <v>#VALUE!</v>
      </c>
      <c r="AQ168" s="82" t="str">
        <f>AA168</f>
        <v>M(  )=</v>
      </c>
      <c r="AR168" s="82" t="str">
        <f>IFERROR(VLOOKUP(AQ168,Rise_Results,2,FALSE),"-")</f>
        <v>-</v>
      </c>
      <c r="AS168" s="82" t="str">
        <f>IFERROR(N168,"-")</f>
        <v>-</v>
      </c>
      <c r="AT168" s="82" t="str">
        <f>IFERROR(IF(OR(AB167&lt;=0,AB168&lt;=0),1/0,AB168),"-")</f>
        <v>-</v>
      </c>
      <c r="AU168" s="82" t="e">
        <f t="shared" si="751"/>
        <v>#VALUE!</v>
      </c>
      <c r="AV168" t="e">
        <f t="shared" si="752"/>
        <v>#VALUE!</v>
      </c>
      <c r="BG168"/>
      <c r="BH168"/>
    </row>
    <row r="169" spans="1:60" x14ac:dyDescent="0.25">
      <c r="A169" s="84"/>
      <c r="B169" s="84"/>
      <c r="F169" s="81"/>
      <c r="H169" s="81"/>
      <c r="I169" s="84"/>
      <c r="J169" s="84"/>
      <c r="K169" s="84"/>
      <c r="L169" s="84"/>
      <c r="O169" s="99"/>
      <c r="P169" s="99"/>
      <c r="T169" s="81"/>
      <c r="V169" s="81"/>
      <c r="W169" s="84"/>
      <c r="X169" s="84"/>
      <c r="Y169" s="84"/>
      <c r="Z169" s="84"/>
      <c r="AD169" s="191" t="s">
        <v>168</v>
      </c>
      <c r="AE169" s="191" t="s">
        <v>168</v>
      </c>
      <c r="AF169" s="191" t="s">
        <v>168</v>
      </c>
      <c r="AG169" s="191" t="s">
        <v>168</v>
      </c>
      <c r="AH169" s="191" t="s">
        <v>168</v>
      </c>
      <c r="AI169" s="191" t="s">
        <v>168</v>
      </c>
      <c r="AJ169" s="191" t="s">
        <v>168</v>
      </c>
      <c r="AK169" s="191" t="s">
        <v>168</v>
      </c>
      <c r="AL169" s="191" t="s">
        <v>168</v>
      </c>
      <c r="AM169" s="191" t="s">
        <v>168</v>
      </c>
      <c r="AN169" s="191" t="s">
        <v>168</v>
      </c>
      <c r="AO169" s="191" t="s">
        <v>168</v>
      </c>
      <c r="AQ169" s="81"/>
      <c r="AR169" s="81"/>
      <c r="AS169" s="81"/>
      <c r="AT169" s="81"/>
      <c r="AU169" s="81"/>
      <c r="BG169"/>
      <c r="BH169"/>
    </row>
    <row r="170" spans="1:60" ht="18" x14ac:dyDescent="0.35">
      <c r="A170" s="101">
        <f>A164+1</f>
        <v>21</v>
      </c>
      <c r="B170" s="101" t="str">
        <f t="shared" si="685"/>
        <v xml:space="preserve">  </v>
      </c>
      <c r="C170" t="s">
        <v>0</v>
      </c>
      <c r="D170" t="s">
        <v>95</v>
      </c>
      <c r="E170" t="s">
        <v>164</v>
      </c>
      <c r="F170" t="s">
        <v>165</v>
      </c>
      <c r="G170" t="s">
        <v>13</v>
      </c>
      <c r="H170" t="s">
        <v>169</v>
      </c>
      <c r="I170" s="191" t="s">
        <v>168</v>
      </c>
      <c r="J170" s="191" t="s">
        <v>168</v>
      </c>
      <c r="K170" s="191" t="s">
        <v>168</v>
      </c>
      <c r="L170" s="191" t="s">
        <v>168</v>
      </c>
      <c r="M170" s="191" t="s">
        <v>168</v>
      </c>
      <c r="N170" s="191" t="s">
        <v>168</v>
      </c>
      <c r="O170" s="101">
        <f>O164+1</f>
        <v>23</v>
      </c>
      <c r="P170" s="101" t="str">
        <f t="shared" ref="P170" si="764">VLOOKUP(O170,STN_TABLE_2,2,FALSE)</f>
        <v xml:space="preserve">  </v>
      </c>
      <c r="Q170" t="s">
        <v>0</v>
      </c>
      <c r="R170" t="s">
        <v>95</v>
      </c>
      <c r="S170" t="s">
        <v>164</v>
      </c>
      <c r="T170" t="s">
        <v>165</v>
      </c>
      <c r="U170" t="s">
        <v>166</v>
      </c>
      <c r="V170" t="s">
        <v>167</v>
      </c>
      <c r="W170" s="191" t="s">
        <v>168</v>
      </c>
      <c r="X170" s="191" t="s">
        <v>168</v>
      </c>
      <c r="Y170" s="191" t="s">
        <v>168</v>
      </c>
      <c r="Z170" s="191" t="s">
        <v>168</v>
      </c>
      <c r="AA170" s="191" t="s">
        <v>168</v>
      </c>
      <c r="AB170" s="191" t="s">
        <v>168</v>
      </c>
      <c r="BG170"/>
      <c r="BH170"/>
    </row>
    <row r="171" spans="1:60" ht="18" x14ac:dyDescent="0.35">
      <c r="A171" s="84">
        <f>A170+1</f>
        <v>22</v>
      </c>
      <c r="B171" s="84" t="str">
        <f t="shared" si="685"/>
        <v xml:space="preserve">  </v>
      </c>
      <c r="C171" s="79" t="e">
        <f t="shared" ref="C171" si="765">IF(C172=B173,IF(C173-C172=C172-B172,B172,IF(C173-C172=C172-B171,B171,"#NA")),IF(C172=B172,IF(C173-C172=C172-B171,B171,IF(C173-C172=C172-B170,B170,"#NA")),"#NA"))</f>
        <v>#VALUE!</v>
      </c>
      <c r="D171" s="68" t="e">
        <f>VLOOKUP(C171,STN_TABLE,2,FALSE)</f>
        <v>#VALUE!</v>
      </c>
      <c r="E171" s="102">
        <v>1</v>
      </c>
      <c r="F171" s="68" t="e">
        <f t="shared" ref="F171:F173" si="766">D171*E171</f>
        <v>#VALUE!</v>
      </c>
      <c r="G171" s="69" t="e">
        <f t="shared" ref="G171:G173" si="767">C171</f>
        <v>#VALUE!</v>
      </c>
      <c r="H171" s="69" t="e">
        <f t="shared" ref="H171:H173" si="768">F171*G171</f>
        <v>#VALUE!</v>
      </c>
      <c r="I171" s="6" t="s">
        <v>93</v>
      </c>
      <c r="J171" s="70" t="e">
        <f>IF(OR(D171=0,D172=0,D173=0),"#NA",IF(AND(C173-C172=C172-C171,C172&lt;&gt;C173,C171&lt;&gt;C172,C171&lt;&gt;C173,D173&lt;&gt;0,OR(D171&lt;&gt;0,D172&lt;&gt;0)),WLS*(C173-C172),"#NA"))</f>
        <v>#VALUE!</v>
      </c>
      <c r="K171" s="191" t="s">
        <v>168</v>
      </c>
      <c r="L171" s="191" t="s">
        <v>168</v>
      </c>
      <c r="M171" s="191" t="s">
        <v>168</v>
      </c>
      <c r="N171" s="191" t="s">
        <v>168</v>
      </c>
      <c r="O171" s="99">
        <f>O170+1</f>
        <v>24</v>
      </c>
      <c r="P171" s="99" t="str">
        <f>VLOOKUP(O171,STN_TABLE_2,2,FALSE)</f>
        <v xml:space="preserve">  </v>
      </c>
      <c r="Q171" s="202" t="e">
        <f>IF(P173-P172=P172-P171,P171,IF(P173-P172=P172-P170,P170,"-"))</f>
        <v>#N/A</v>
      </c>
      <c r="R171" s="69" t="e">
        <f>VLOOKUP(Q171,STN_TABLE,2,FALSE)</f>
        <v>#N/A</v>
      </c>
      <c r="S171" s="69">
        <v>5</v>
      </c>
      <c r="T171" s="68" t="e">
        <f t="shared" ref="T171:T173" si="769">R171*S171</f>
        <v>#N/A</v>
      </c>
      <c r="U171" s="79">
        <v>3</v>
      </c>
      <c r="V171" s="68" t="e">
        <f t="shared" ref="V171:V173" si="770">R171*U171</f>
        <v>#N/A</v>
      </c>
      <c r="W171" s="6" t="s">
        <v>93</v>
      </c>
      <c r="X171" s="70" t="e">
        <f>IF(AND(Q173-Q172=Q172-Q171,NOT(AND(Q171=0,Q172=0)),NOT(AND(Q172=0,Q173=0))),WLS*(Q173-Q172),"#NA")</f>
        <v>#N/A</v>
      </c>
      <c r="Y171" s="191" t="s">
        <v>168</v>
      </c>
      <c r="Z171" s="191" t="s">
        <v>168</v>
      </c>
      <c r="AA171" s="191" t="s">
        <v>168</v>
      </c>
      <c r="AB171" s="191" t="s">
        <v>168</v>
      </c>
      <c r="AD171" t="s">
        <v>0</v>
      </c>
      <c r="AE171" t="s">
        <v>95</v>
      </c>
      <c r="AF171" t="s">
        <v>173</v>
      </c>
      <c r="AG171" t="s">
        <v>183</v>
      </c>
      <c r="AH171" t="s">
        <v>175</v>
      </c>
      <c r="AI171" t="s">
        <v>184</v>
      </c>
      <c r="AJ171" s="6" t="s">
        <v>93</v>
      </c>
      <c r="AK171" s="70" t="e">
        <f>WLS*(AD173-AD172)</f>
        <v>#VALUE!</v>
      </c>
      <c r="AL171" s="191" t="s">
        <v>168</v>
      </c>
      <c r="AM171" s="191" t="s">
        <v>168</v>
      </c>
      <c r="AN171" s="191" t="s">
        <v>168</v>
      </c>
      <c r="AO171" s="191" t="s">
        <v>168</v>
      </c>
      <c r="BG171"/>
      <c r="BH171"/>
    </row>
    <row r="172" spans="1:60" x14ac:dyDescent="0.25">
      <c r="A172" s="84">
        <f>A171+1</f>
        <v>23</v>
      </c>
      <c r="B172" s="84" t="str">
        <f t="shared" si="685"/>
        <v xml:space="preserve">  </v>
      </c>
      <c r="C172" s="80" t="e">
        <f t="shared" ref="C172" si="771">IF(OR(B174-B173=B173-B172,B174-B173=B173-B171,B174-B173=B173-B170),B173,IF(OR(B174-B172=B172-B171,B174-B172=B172-B170),B172,IF(B174-B171=B171-B170,B171,"#NA")))</f>
        <v>#VALUE!</v>
      </c>
      <c r="D172" s="76" t="e">
        <f>VLOOKUP(C172,STN_TABLE,2,FALSE)</f>
        <v>#VALUE!</v>
      </c>
      <c r="E172" s="81">
        <v>4</v>
      </c>
      <c r="F172" s="76" t="e">
        <f t="shared" si="766"/>
        <v>#VALUE!</v>
      </c>
      <c r="G172" s="77" t="e">
        <f t="shared" si="767"/>
        <v>#VALUE!</v>
      </c>
      <c r="H172" s="77" t="e">
        <f t="shared" si="768"/>
        <v>#VALUE!</v>
      </c>
      <c r="I172" s="201" t="s">
        <v>171</v>
      </c>
      <c r="J172" s="191" t="s">
        <v>168</v>
      </c>
      <c r="K172" s="78" t="s">
        <v>98</v>
      </c>
      <c r="L172" s="191" t="s">
        <v>168</v>
      </c>
      <c r="M172" s="7" t="s">
        <v>77</v>
      </c>
      <c r="N172" s="191" t="s">
        <v>168</v>
      </c>
      <c r="O172" s="99">
        <f>O171+1</f>
        <v>25</v>
      </c>
      <c r="P172" s="99" t="str">
        <f>VLOOKUP(O172,STN_TABLE_2,2,FALSE)</f>
        <v xml:space="preserve">  </v>
      </c>
      <c r="Q172" s="203" t="str">
        <f>P172</f>
        <v xml:space="preserve">  </v>
      </c>
      <c r="R172" s="77" t="str">
        <f>VLOOKUP(Q172,STN_TABLE,2,FALSE)</f>
        <v xml:space="preserve">  </v>
      </c>
      <c r="S172" s="77">
        <v>8</v>
      </c>
      <c r="T172" s="76" t="e">
        <f t="shared" si="769"/>
        <v>#VALUE!</v>
      </c>
      <c r="U172" s="80">
        <v>10</v>
      </c>
      <c r="V172" s="76" t="e">
        <f t="shared" si="770"/>
        <v>#VALUE!</v>
      </c>
      <c r="W172" s="201" t="s">
        <v>171</v>
      </c>
      <c r="X172" s="191" t="s">
        <v>168</v>
      </c>
      <c r="Y172" s="78" t="s">
        <v>98</v>
      </c>
      <c r="Z172" s="191" t="s">
        <v>168</v>
      </c>
      <c r="AA172" s="7" t="s">
        <v>77</v>
      </c>
      <c r="AB172" s="191" t="s">
        <v>168</v>
      </c>
      <c r="AC172" s="99">
        <f>AC166+1</f>
        <v>24</v>
      </c>
      <c r="AD172" s="95" t="str">
        <f>VLOOKUP(AC172,STN_TABLE_2,2,FALSE)</f>
        <v xml:space="preserve">  </v>
      </c>
      <c r="AE172" t="str">
        <f t="shared" ref="AE172:AE173" si="772">AG172</f>
        <v xml:space="preserve">  </v>
      </c>
      <c r="AF172">
        <v>1</v>
      </c>
      <c r="AG172" s="68" t="str">
        <f>VLOOKUP(AD172,STN_TABLE,2,FALSE)</f>
        <v xml:space="preserve">  </v>
      </c>
      <c r="AH172" s="68">
        <v>1</v>
      </c>
      <c r="AI172" s="69" t="e">
        <f t="shared" ref="AI172:AI173" si="773">AG172*AH172</f>
        <v>#VALUE!</v>
      </c>
      <c r="AJ172" s="201" t="s">
        <v>171</v>
      </c>
      <c r="AK172" s="191" t="s">
        <v>168</v>
      </c>
      <c r="AL172" s="78" t="s">
        <v>98</v>
      </c>
      <c r="AM172" s="191" t="s">
        <v>168</v>
      </c>
      <c r="AN172" s="7" t="s">
        <v>77</v>
      </c>
      <c r="AO172" s="191" t="s">
        <v>168</v>
      </c>
      <c r="AR172" s="86" t="s">
        <v>112</v>
      </c>
      <c r="AS172" s="89" t="s">
        <v>113</v>
      </c>
      <c r="AT172" s="89" t="s">
        <v>114</v>
      </c>
      <c r="AU172" s="89" t="s">
        <v>115</v>
      </c>
      <c r="AV172" s="71" t="e">
        <f t="shared" ref="AV172" si="774">IF(AV173=AR173,AR172,IF(AV173=AS173,AS172,IF(AV173=AT173,AT172,AU172)))</f>
        <v>#VALUE!</v>
      </c>
      <c r="BG172"/>
      <c r="BH172"/>
    </row>
    <row r="173" spans="1:60" x14ac:dyDescent="0.25">
      <c r="A173" s="84">
        <f>A172+1</f>
        <v>24</v>
      </c>
      <c r="B173" s="84" t="str">
        <f t="shared" si="685"/>
        <v xml:space="preserve">  </v>
      </c>
      <c r="C173" s="88" t="str">
        <f t="shared" ref="C173" si="775">B174</f>
        <v xml:space="preserve">  </v>
      </c>
      <c r="D173" s="82" t="str">
        <f>VLOOKUP(C173,STN_TABLE,2,FALSE)</f>
        <v xml:space="preserve">  </v>
      </c>
      <c r="E173" s="92">
        <v>1</v>
      </c>
      <c r="F173" s="82" t="e">
        <f t="shared" si="766"/>
        <v>#VALUE!</v>
      </c>
      <c r="G173" s="83" t="str">
        <f t="shared" si="767"/>
        <v xml:space="preserve">  </v>
      </c>
      <c r="H173" s="83" t="e">
        <f t="shared" si="768"/>
        <v>#VALUE!</v>
      </c>
      <c r="I173" s="84" t="e">
        <f t="shared" ref="I173" si="776">CONCATENATE("a'(",C171,"~",C173,")=")</f>
        <v>#VALUE!</v>
      </c>
      <c r="J173" s="84" t="e">
        <f t="shared" ref="J173" si="777">2*J171/3*F174</f>
        <v>#VALUE!</v>
      </c>
      <c r="K173" s="84" t="e">
        <f t="shared" ref="K173" si="778">CONCATENATE("A(",C171,")=")</f>
        <v>#VALUE!</v>
      </c>
      <c r="L173" s="84" t="e">
        <f>VLOOKUP(C171,STN_TABLE,3,FALSE)</f>
        <v>#VALUE!</v>
      </c>
      <c r="M173" t="str">
        <f t="shared" ref="M173" si="779">CONCATENATE("A(",C173,")=")</f>
        <v>A(  )=</v>
      </c>
      <c r="N173" t="e">
        <f t="shared" ref="N173:N174" si="780">J173+L173</f>
        <v>#VALUE!</v>
      </c>
      <c r="O173" s="99">
        <f>O172+1</f>
        <v>26</v>
      </c>
      <c r="P173" s="99" t="e">
        <f>VLOOKUP(O173,STN_TABLE_2,2,FALSE)</f>
        <v>#N/A</v>
      </c>
      <c r="Q173" s="204" t="e">
        <f>IF(P173-P172=P172-P171,P173,IF(P173-P172=P172-P170,P173,"-"))</f>
        <v>#N/A</v>
      </c>
      <c r="R173" s="83" t="e">
        <f>VLOOKUP(Q173,STN_TABLE,2,FALSE)</f>
        <v>#N/A</v>
      </c>
      <c r="S173" s="83">
        <v>-1</v>
      </c>
      <c r="T173" s="82" t="e">
        <f t="shared" si="769"/>
        <v>#N/A</v>
      </c>
      <c r="U173" s="88">
        <v>-1</v>
      </c>
      <c r="V173" s="82" t="e">
        <f t="shared" si="770"/>
        <v>#N/A</v>
      </c>
      <c r="W173" s="84" t="str">
        <f>CONCATENATE("a'(",Q172,")=")</f>
        <v>a'(  )=</v>
      </c>
      <c r="X173" s="84" t="e">
        <f>2*X171/12*T174</f>
        <v>#N/A</v>
      </c>
      <c r="Y173" s="84" t="e">
        <f>CONCATENATE("A(",Q171,")=")</f>
        <v>#N/A</v>
      </c>
      <c r="Z173" s="84" t="e">
        <f>VLOOKUP(Q171,STN_TABLE,3,FALSE)</f>
        <v>#N/A</v>
      </c>
      <c r="AA173" t="str">
        <f>CONCATENATE("A(",Q172,")=")</f>
        <v>A(  )=</v>
      </c>
      <c r="AB173" t="e">
        <f>X173+Z173</f>
        <v>#N/A</v>
      </c>
      <c r="AC173" s="99">
        <f>AC172+1</f>
        <v>25</v>
      </c>
      <c r="AD173" s="100" t="str">
        <f>VLOOKUP(AC173,STN_TABLE_2,2,FALSE)</f>
        <v xml:space="preserve">  </v>
      </c>
      <c r="AE173" t="str">
        <f t="shared" si="772"/>
        <v xml:space="preserve">  </v>
      </c>
      <c r="AF173">
        <v>1</v>
      </c>
      <c r="AG173" s="82" t="str">
        <f>VLOOKUP(AD173,STN_TABLE,2,FALSE)</f>
        <v xml:space="preserve">  </v>
      </c>
      <c r="AH173" s="82">
        <v>2</v>
      </c>
      <c r="AI173" s="83" t="e">
        <f t="shared" si="773"/>
        <v>#VALUE!</v>
      </c>
      <c r="AJ173" s="84" t="str">
        <f t="shared" ref="AJ173" si="781">CONCATENATE("a'(",AD173,")=")</f>
        <v>a'(  )=</v>
      </c>
      <c r="AK173" s="84" t="e">
        <f t="shared" ref="AK173" si="782">2*AK171/2*AG174</f>
        <v>#VALUE!</v>
      </c>
      <c r="AL173" s="84" t="str">
        <f t="shared" ref="AL173" si="783">CONCATENATE("A(",AD172,")=")</f>
        <v>A(  )=</v>
      </c>
      <c r="AM173" s="84" t="str">
        <f>VLOOKUP(AD172,STN_TABLE,3,FALSE)</f>
        <v xml:space="preserve"> </v>
      </c>
      <c r="AN173" t="str">
        <f t="shared" ref="AN173" si="784">CONCATENATE("A(",AD173,")=")</f>
        <v>A(  )=</v>
      </c>
      <c r="AO173" t="e">
        <f t="shared" ref="AO173:AO174" si="785">AK173+AM173</f>
        <v>#VALUE!</v>
      </c>
      <c r="AQ173" s="68" t="str">
        <f>AA173</f>
        <v>A(  )=</v>
      </c>
      <c r="AR173" s="68" t="str">
        <f>IFERROR(VLOOKUP(AQ173,Rise_Results,2,FALSE),"-")</f>
        <v>-</v>
      </c>
      <c r="AS173" s="76" t="str">
        <f>IFERROR(N173,"-")</f>
        <v>-</v>
      </c>
      <c r="AT173" s="76" t="str">
        <f>IFERROR(IF(OR(AB173&lt;=0,AB174&lt;=0),1/0,AB173),"-")</f>
        <v>-</v>
      </c>
      <c r="AU173" s="76" t="e">
        <f t="shared" ref="AU173:AU174" si="786">AO173</f>
        <v>#VALUE!</v>
      </c>
      <c r="AV173" t="e">
        <f t="shared" ref="AV173:AV174" si="787">IF(ISNUMBER(AR173),AR173,IF(ISNUMBER(AS173),AS173,IF(ISNUMBER(AT173),AT173,AU173)))</f>
        <v>#VALUE!</v>
      </c>
      <c r="BG173"/>
      <c r="BH173"/>
    </row>
    <row r="174" spans="1:60" x14ac:dyDescent="0.25">
      <c r="A174" s="84">
        <f>A173+1</f>
        <v>25</v>
      </c>
      <c r="B174" s="84" t="str">
        <f t="shared" si="685"/>
        <v xml:space="preserve">  </v>
      </c>
      <c r="C174" s="191" t="s">
        <v>168</v>
      </c>
      <c r="D174" s="191" t="s">
        <v>168</v>
      </c>
      <c r="E174" s="6" t="s">
        <v>172</v>
      </c>
      <c r="F174" s="89" t="e">
        <f t="shared" ref="F174" si="788">SUM(F171:F173)</f>
        <v>#VALUE!</v>
      </c>
      <c r="G174" s="6" t="s">
        <v>172</v>
      </c>
      <c r="H174" s="82" t="e">
        <f t="shared" ref="H174" si="789">SUM(H171:H173)</f>
        <v>#VALUE!</v>
      </c>
      <c r="I174" s="84" t="e">
        <f t="shared" ref="I174" si="790">CONCATENATE("m'(",C171,"~",C173,")=")</f>
        <v>#VALUE!</v>
      </c>
      <c r="J174" s="84" t="e">
        <f>2*(J171*(WLS))/3*H174</f>
        <v>#VALUE!</v>
      </c>
      <c r="K174" s="84" t="e">
        <f t="shared" ref="K174" si="791">CONCATENATE("M(",C171,")=")</f>
        <v>#VALUE!</v>
      </c>
      <c r="L174" s="84" t="e">
        <f>VLOOKUP(C171,STN_TABLE,4,FALSE)</f>
        <v>#VALUE!</v>
      </c>
      <c r="M174" t="str">
        <f t="shared" ref="M174" si="792">CONCATENATE("M(",C173,")=")</f>
        <v>M(  )=</v>
      </c>
      <c r="N174" t="e">
        <f t="shared" si="780"/>
        <v>#VALUE!</v>
      </c>
      <c r="O174" s="99"/>
      <c r="P174" s="99"/>
      <c r="Q174" s="191" t="s">
        <v>168</v>
      </c>
      <c r="R174" s="191" t="s">
        <v>168</v>
      </c>
      <c r="S174" s="6" t="s">
        <v>172</v>
      </c>
      <c r="T174" s="89" t="e">
        <f t="shared" ref="T174" si="793">SUM(T171:T173)</f>
        <v>#N/A</v>
      </c>
      <c r="U174" s="6" t="s">
        <v>172</v>
      </c>
      <c r="V174" s="82" t="e">
        <f t="shared" ref="V174" si="794">SUM(V171:V173)</f>
        <v>#N/A</v>
      </c>
      <c r="W174" s="84" t="str">
        <f>CONCATENATE("m'(",Q172,")=")</f>
        <v>m'(  )=</v>
      </c>
      <c r="X174" s="84" t="e">
        <f>(2*(X171^2)/24*V174)+(X173*Q171*WLS)</f>
        <v>#N/A</v>
      </c>
      <c r="Y174" s="84" t="e">
        <f>CONCATENATE("M(",Q171,")=")</f>
        <v>#N/A</v>
      </c>
      <c r="Z174" s="84" t="e">
        <f>VLOOKUP(Q171,STN_TABLE,4,FALSE)</f>
        <v>#N/A</v>
      </c>
      <c r="AA174" t="str">
        <f>CONCATENATE("M(",Q172,")=")</f>
        <v>M(  )=</v>
      </c>
      <c r="AB174" t="e">
        <f>X174+Z174</f>
        <v>#N/A</v>
      </c>
      <c r="AD174" s="191" t="s">
        <v>168</v>
      </c>
      <c r="AE174" s="191" t="s">
        <v>168</v>
      </c>
      <c r="AF174" s="6" t="s">
        <v>172</v>
      </c>
      <c r="AG174" s="89">
        <f t="shared" si="629"/>
        <v>0</v>
      </c>
      <c r="AH174" s="6" t="s">
        <v>172</v>
      </c>
      <c r="AI174" s="89" t="e">
        <f t="shared" si="630"/>
        <v>#VALUE!</v>
      </c>
      <c r="AJ174" s="84" t="str">
        <f t="shared" ref="AJ174" si="795">CONCATENATE("m'(",AD173,")=")</f>
        <v>m'(  )=</v>
      </c>
      <c r="AK174" s="84" t="e">
        <f>(2*(AK171^2)/6*AI174)+(AK173*AD172*WLS)</f>
        <v>#VALUE!</v>
      </c>
      <c r="AL174" s="84" t="str">
        <f t="shared" ref="AL174" si="796">CONCATENATE("M(",AD172,")=")</f>
        <v>M(  )=</v>
      </c>
      <c r="AM174" s="84" t="str">
        <f>VLOOKUP(AD172,STN_TABLE,4,FALSE)</f>
        <v xml:space="preserve"> </v>
      </c>
      <c r="AN174" t="str">
        <f t="shared" ref="AN174" si="797">CONCATENATE("M(",AD173,")=")</f>
        <v>M(  )=</v>
      </c>
      <c r="AO174" t="e">
        <f t="shared" si="785"/>
        <v>#VALUE!</v>
      </c>
      <c r="AQ174" s="82" t="str">
        <f>AA174</f>
        <v>M(  )=</v>
      </c>
      <c r="AR174" s="82" t="str">
        <f>IFERROR(VLOOKUP(AQ174,Rise_Results,2,FALSE),"-")</f>
        <v>-</v>
      </c>
      <c r="AS174" s="82" t="str">
        <f>IFERROR(N174,"-")</f>
        <v>-</v>
      </c>
      <c r="AT174" s="82" t="str">
        <f>IFERROR(IF(OR(AB173&lt;=0,AB174&lt;=0),1/0,AB174),"-")</f>
        <v>-</v>
      </c>
      <c r="AU174" s="82" t="e">
        <f t="shared" si="786"/>
        <v>#VALUE!</v>
      </c>
      <c r="AV174" t="e">
        <f t="shared" si="787"/>
        <v>#VALUE!</v>
      </c>
      <c r="BG174"/>
      <c r="BH174"/>
    </row>
    <row r="175" spans="1:60" x14ac:dyDescent="0.25">
      <c r="A175" s="101"/>
      <c r="B175" s="101"/>
      <c r="F175" s="81"/>
      <c r="H175" s="81"/>
      <c r="I175" s="84"/>
      <c r="J175" s="84"/>
      <c r="K175" s="84"/>
      <c r="L175" s="84"/>
      <c r="T175" s="81"/>
      <c r="V175" s="81"/>
      <c r="AD175" s="191" t="s">
        <v>168</v>
      </c>
      <c r="AE175" s="191" t="s">
        <v>168</v>
      </c>
      <c r="AF175" s="191" t="s">
        <v>168</v>
      </c>
      <c r="AG175" s="191" t="s">
        <v>168</v>
      </c>
      <c r="AH175" s="191" t="s">
        <v>168</v>
      </c>
      <c r="AI175" s="191" t="s">
        <v>168</v>
      </c>
      <c r="AJ175" s="191" t="s">
        <v>168</v>
      </c>
      <c r="AK175" s="191" t="s">
        <v>168</v>
      </c>
      <c r="AL175" s="191" t="s">
        <v>168</v>
      </c>
      <c r="AM175" s="191" t="s">
        <v>168</v>
      </c>
      <c r="AN175" s="191" t="s">
        <v>168</v>
      </c>
      <c r="AO175" s="191" t="s">
        <v>168</v>
      </c>
      <c r="BG175"/>
      <c r="BH175"/>
    </row>
    <row r="176" spans="1:60" x14ac:dyDescent="0.25">
      <c r="A176" s="84"/>
      <c r="B176" s="84"/>
      <c r="E176" s="81"/>
      <c r="F176" s="81"/>
      <c r="G176" s="81"/>
      <c r="H176" s="81"/>
      <c r="I176" s="103"/>
      <c r="J176" s="70"/>
      <c r="BG176"/>
      <c r="BH176"/>
    </row>
    <row r="177" spans="1:60" x14ac:dyDescent="0.25">
      <c r="A177" s="84"/>
      <c r="B177" s="84"/>
      <c r="E177" s="81"/>
      <c r="F177" s="81"/>
      <c r="G177" s="81"/>
      <c r="H177" s="81"/>
      <c r="I177" s="104"/>
      <c r="J177" s="78"/>
      <c r="K177" s="78"/>
      <c r="L177" s="78"/>
      <c r="M177" s="7"/>
      <c r="N177" s="7"/>
      <c r="AO177" s="81"/>
      <c r="AP177" s="81"/>
      <c r="AQ177" s="81"/>
      <c r="AR177" s="81"/>
      <c r="AS177" s="81"/>
      <c r="AT177" s="81"/>
      <c r="AU177" s="81"/>
      <c r="BG177"/>
      <c r="BH177"/>
    </row>
    <row r="178" spans="1:60" x14ac:dyDescent="0.25">
      <c r="A178" s="84"/>
      <c r="B178" s="84"/>
      <c r="E178" s="81"/>
      <c r="F178" s="81"/>
      <c r="G178" s="81"/>
      <c r="H178" s="81"/>
      <c r="I178" s="105"/>
      <c r="J178" s="84"/>
      <c r="K178" s="84"/>
      <c r="L178" s="84"/>
      <c r="AO178" s="81"/>
      <c r="AP178" s="81"/>
      <c r="AQ178" s="81"/>
      <c r="AR178" s="81"/>
      <c r="AS178" s="81"/>
      <c r="AT178" s="81"/>
      <c r="AU178" s="81"/>
    </row>
    <row r="179" spans="1:60" x14ac:dyDescent="0.25">
      <c r="A179" s="84"/>
      <c r="B179" s="84"/>
      <c r="E179" s="81"/>
      <c r="F179" s="81"/>
      <c r="G179" s="81"/>
      <c r="H179" s="81"/>
      <c r="I179" s="105"/>
      <c r="J179" s="84"/>
      <c r="K179" s="84"/>
      <c r="L179" s="84"/>
      <c r="AO179" s="81"/>
      <c r="AP179" s="81"/>
      <c r="AQ179" s="81"/>
      <c r="AR179" s="81"/>
      <c r="AS179" s="81"/>
      <c r="AT179" s="81"/>
      <c r="AU179" s="81"/>
    </row>
    <row r="180" spans="1:60" x14ac:dyDescent="0.25">
      <c r="A180" s="101"/>
      <c r="B180" s="101"/>
      <c r="E180" s="81"/>
      <c r="F180" s="81"/>
      <c r="G180" s="81"/>
      <c r="H180" s="81"/>
      <c r="I180" s="81"/>
      <c r="AO180" s="81"/>
      <c r="AP180" s="81"/>
      <c r="AQ180" s="81"/>
      <c r="AR180" s="81"/>
      <c r="AS180" s="81"/>
      <c r="AT180" s="81"/>
      <c r="AU180" s="81"/>
    </row>
    <row r="181" spans="1:60" x14ac:dyDescent="0.25">
      <c r="A181" s="84"/>
      <c r="B181" s="84"/>
      <c r="E181" s="81"/>
      <c r="F181" s="81"/>
      <c r="G181" s="81"/>
      <c r="H181" s="81"/>
      <c r="I181" s="103"/>
      <c r="J181" s="70"/>
      <c r="AO181" s="81"/>
      <c r="AP181" s="81"/>
      <c r="AQ181" s="81"/>
      <c r="AR181" s="81"/>
      <c r="AS181" s="81"/>
      <c r="AT181" s="81"/>
      <c r="AU181" s="81"/>
    </row>
    <row r="182" spans="1:60" x14ac:dyDescent="0.25">
      <c r="A182" s="84"/>
      <c r="B182" s="84"/>
      <c r="E182" s="81"/>
      <c r="F182" s="81"/>
      <c r="G182" s="81"/>
      <c r="H182" s="81"/>
      <c r="I182" s="104"/>
      <c r="J182" s="78"/>
      <c r="K182" s="78"/>
      <c r="L182" s="78"/>
      <c r="M182" s="7"/>
      <c r="N182" s="7"/>
      <c r="AO182" s="81"/>
      <c r="AP182" s="81"/>
      <c r="AQ182" s="81"/>
      <c r="AR182" s="81"/>
      <c r="AS182" s="81"/>
      <c r="AT182" s="81"/>
      <c r="AU182" s="81"/>
    </row>
    <row r="183" spans="1:60" x14ac:dyDescent="0.25">
      <c r="A183" s="84"/>
      <c r="B183" s="84"/>
      <c r="E183" s="81"/>
      <c r="F183" s="81"/>
      <c r="G183" s="81"/>
      <c r="H183" s="81"/>
      <c r="I183" s="105"/>
      <c r="J183" s="84"/>
      <c r="K183" s="84"/>
      <c r="L183" s="84"/>
      <c r="AO183" s="81"/>
      <c r="AP183" s="81"/>
      <c r="AQ183" s="81"/>
      <c r="AR183" s="81"/>
      <c r="AS183" s="81"/>
      <c r="AT183" s="81"/>
      <c r="AU183" s="81"/>
    </row>
    <row r="184" spans="1:60" x14ac:dyDescent="0.25">
      <c r="A184" s="84"/>
      <c r="B184" s="84"/>
      <c r="E184" s="81"/>
      <c r="F184" s="81"/>
      <c r="G184" s="81"/>
      <c r="H184" s="81"/>
      <c r="I184" s="105"/>
      <c r="J184" s="84"/>
      <c r="K184" s="84"/>
      <c r="L184" s="84"/>
      <c r="AO184" s="81"/>
      <c r="AP184" s="81"/>
      <c r="AQ184" s="81"/>
      <c r="AR184" s="81"/>
      <c r="AS184" s="81"/>
      <c r="AT184" s="81"/>
      <c r="AU184" s="81"/>
    </row>
    <row r="185" spans="1:60" x14ac:dyDescent="0.25">
      <c r="A185" s="101"/>
      <c r="B185" s="101"/>
      <c r="E185" s="81"/>
      <c r="F185" s="81"/>
      <c r="G185" s="81"/>
      <c r="H185" s="81"/>
      <c r="I185" s="81"/>
      <c r="AO185" s="81"/>
      <c r="AP185" s="81"/>
      <c r="AQ185" s="81"/>
      <c r="AR185" s="81"/>
      <c r="AS185" s="81"/>
      <c r="AT185" s="81"/>
      <c r="AU185" s="81"/>
    </row>
    <row r="186" spans="1:60" x14ac:dyDescent="0.25">
      <c r="A186" s="84"/>
      <c r="B186" s="84"/>
      <c r="E186" s="81"/>
      <c r="F186" s="81"/>
      <c r="G186" s="81"/>
      <c r="H186" s="81"/>
      <c r="I186" s="103"/>
      <c r="J186" s="70"/>
      <c r="AO186" s="81"/>
      <c r="AP186" s="81"/>
      <c r="AQ186" s="81"/>
      <c r="AR186" s="81"/>
      <c r="AS186" s="81"/>
      <c r="AT186" s="81"/>
      <c r="AU186" s="81"/>
    </row>
    <row r="187" spans="1:60" x14ac:dyDescent="0.25">
      <c r="A187" s="84"/>
      <c r="B187" s="84"/>
      <c r="E187" s="81"/>
      <c r="F187" s="81"/>
      <c r="G187" s="81"/>
      <c r="H187" s="81"/>
      <c r="I187" s="104"/>
      <c r="J187" s="78"/>
      <c r="K187" s="78"/>
      <c r="L187" s="78"/>
      <c r="M187" s="7"/>
      <c r="N187" s="7"/>
      <c r="AO187" s="81"/>
      <c r="AP187" s="81"/>
      <c r="AQ187" s="81"/>
      <c r="AR187" s="81"/>
      <c r="AS187" s="81"/>
      <c r="AT187" s="81"/>
      <c r="AU187" s="81"/>
    </row>
    <row r="188" spans="1:60" x14ac:dyDescent="0.25">
      <c r="A188" s="84"/>
      <c r="B188" s="84"/>
      <c r="E188" s="81"/>
      <c r="F188" s="81"/>
      <c r="G188" s="81"/>
      <c r="H188" s="81"/>
      <c r="I188" s="105"/>
      <c r="J188" s="84"/>
      <c r="K188" s="84"/>
      <c r="L188" s="84"/>
    </row>
    <row r="189" spans="1:60" x14ac:dyDescent="0.25">
      <c r="A189" s="84"/>
      <c r="B189" s="84"/>
      <c r="E189" s="81"/>
      <c r="F189" s="81"/>
      <c r="G189" s="81"/>
      <c r="H189" s="81"/>
      <c r="I189" s="105"/>
      <c r="J189" s="84"/>
      <c r="K189" s="84"/>
      <c r="L189" s="84"/>
    </row>
    <row r="190" spans="1:60" x14ac:dyDescent="0.25">
      <c r="A190" s="101"/>
      <c r="B190" s="101"/>
      <c r="E190" s="81"/>
      <c r="F190" s="81"/>
      <c r="G190" s="81"/>
      <c r="H190" s="81"/>
      <c r="I190" s="81"/>
    </row>
    <row r="191" spans="1:60" x14ac:dyDescent="0.25">
      <c r="A191" s="84"/>
      <c r="B191" s="84"/>
      <c r="E191" s="81"/>
      <c r="F191" s="81"/>
      <c r="G191" s="81"/>
      <c r="H191" s="81"/>
      <c r="I191" s="103"/>
      <c r="J191" s="70"/>
    </row>
    <row r="192" spans="1:60" x14ac:dyDescent="0.25">
      <c r="A192" s="84"/>
      <c r="B192" s="84"/>
      <c r="E192" s="81"/>
      <c r="F192" s="81"/>
      <c r="G192" s="81"/>
      <c r="H192" s="81"/>
      <c r="I192" s="104"/>
      <c r="J192" s="78"/>
      <c r="K192" s="78"/>
      <c r="L192" s="78"/>
      <c r="M192" s="7"/>
      <c r="N192" s="7"/>
    </row>
    <row r="193" spans="1:12" x14ac:dyDescent="0.25">
      <c r="A193" s="84"/>
      <c r="B193" s="84"/>
      <c r="E193" s="81"/>
      <c r="F193" s="81"/>
      <c r="G193" s="81"/>
      <c r="H193" s="81"/>
      <c r="I193" s="105"/>
      <c r="J193" s="84"/>
      <c r="K193" s="84"/>
      <c r="L193" s="84"/>
    </row>
    <row r="194" spans="1:12" x14ac:dyDescent="0.25">
      <c r="A194" s="84"/>
      <c r="B194" s="84"/>
      <c r="E194" s="81"/>
      <c r="F194" s="81"/>
      <c r="G194" s="81"/>
      <c r="H194" s="81"/>
      <c r="I194" s="105"/>
      <c r="J194" s="84"/>
      <c r="K194" s="84"/>
      <c r="L194" s="84"/>
    </row>
    <row r="195" spans="1:12" x14ac:dyDescent="0.25">
      <c r="E195" s="81"/>
      <c r="F195" s="81"/>
      <c r="G195" s="81"/>
      <c r="H195" s="81"/>
      <c r="I195" s="81"/>
    </row>
  </sheetData>
  <mergeCells count="3">
    <mergeCell ref="A1:B1"/>
    <mergeCell ref="E1:F1"/>
    <mergeCell ref="L1:M1"/>
  </mergeCells>
  <conditionalFormatting sqref="BA2:BL33">
    <cfRule type="containsErrors" dxfId="31" priority="2">
      <formula>ISERROR(BA2)</formula>
    </cfRule>
  </conditionalFormatting>
  <conditionalFormatting sqref="A52:AZ56 BM52:XFD56 A1:XFD51 A57:XFD1048576">
    <cfRule type="containsText" dxfId="30" priority="1" operator="containsText" text="    ">
      <formula>NOT(ISERROR(SEARCH("    ",A1)))</formula>
    </cfRule>
  </conditionalFormatting>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W40"/>
  <sheetViews>
    <sheetView showGridLines="0" showRowColHeaders="0" topLeftCell="C1" zoomScale="115" zoomScaleNormal="115" workbookViewId="0">
      <selection activeCell="Q1" sqref="Q1"/>
    </sheetView>
  </sheetViews>
  <sheetFormatPr defaultRowHeight="15" x14ac:dyDescent="0.25"/>
  <cols>
    <col min="1" max="1" width="4.7109375" style="129" customWidth="1"/>
    <col min="2" max="2" width="5.7109375" style="129" customWidth="1"/>
    <col min="3" max="3" width="12.5703125" style="129" customWidth="1"/>
    <col min="4" max="4" width="8.5703125" style="129" customWidth="1"/>
    <col min="5" max="5" width="5.5703125" style="129" customWidth="1"/>
    <col min="6" max="6" width="9.28515625" style="129" customWidth="1"/>
    <col min="7" max="7" width="10.5703125" style="129" customWidth="1"/>
    <col min="8" max="8" width="8.85546875" style="129" customWidth="1"/>
    <col min="9" max="9" width="11" style="129" customWidth="1"/>
    <col min="10" max="10" width="6.7109375" style="129" customWidth="1"/>
    <col min="11" max="12" width="9.5703125" style="129" customWidth="1"/>
    <col min="13" max="13" width="9" style="129" customWidth="1"/>
    <col min="14" max="14" width="10.140625" style="129" customWidth="1"/>
    <col min="15" max="15" width="10.5703125" style="129" customWidth="1"/>
    <col min="16" max="16" width="6.7109375" style="129" customWidth="1"/>
    <col min="17" max="17" width="19.7109375" style="129" customWidth="1"/>
    <col min="18" max="18" width="14" style="129" customWidth="1"/>
    <col min="19" max="19" width="12.42578125" style="129" customWidth="1"/>
    <col min="20" max="16384" width="9.140625" style="129"/>
  </cols>
  <sheetData>
    <row r="1" spans="1:23" ht="19.5" thickBot="1" x14ac:dyDescent="0.35">
      <c r="A1" s="205" t="s">
        <v>185</v>
      </c>
      <c r="B1" s="206"/>
      <c r="C1" s="206"/>
      <c r="D1" s="206"/>
      <c r="E1" s="206"/>
      <c r="F1" s="127"/>
      <c r="G1" s="127"/>
      <c r="H1" s="206"/>
      <c r="I1" s="206"/>
      <c r="J1" s="206"/>
      <c r="K1" s="206"/>
      <c r="L1" s="206"/>
      <c r="M1" s="206"/>
      <c r="N1" s="206"/>
      <c r="O1" s="206"/>
      <c r="P1" s="206"/>
      <c r="Q1" s="206"/>
      <c r="R1" s="206"/>
      <c r="S1" s="206"/>
      <c r="T1" s="127"/>
      <c r="U1" s="127"/>
      <c r="V1" s="127"/>
      <c r="W1" s="127"/>
    </row>
    <row r="2" spans="1:23" ht="16.5" customHeight="1" thickBot="1" x14ac:dyDescent="0.3">
      <c r="A2" s="206"/>
      <c r="B2" s="206"/>
      <c r="C2" s="207" t="s">
        <v>319</v>
      </c>
      <c r="D2" s="522">
        <v>3</v>
      </c>
      <c r="E2" s="523"/>
      <c r="F2" s="421" t="s">
        <v>318</v>
      </c>
      <c r="G2" s="127"/>
      <c r="H2" s="127"/>
      <c r="I2" s="206"/>
      <c r="J2" s="206"/>
      <c r="K2" s="207" t="s">
        <v>302</v>
      </c>
      <c r="L2" s="410"/>
      <c r="M2" s="410"/>
      <c r="N2" s="410"/>
      <c r="P2" s="208"/>
      <c r="Q2" s="208"/>
      <c r="R2" s="206"/>
      <c r="S2" s="206"/>
      <c r="T2" s="127"/>
      <c r="U2" s="127"/>
      <c r="V2" s="127"/>
      <c r="W2" s="127"/>
    </row>
    <row r="3" spans="1:23" x14ac:dyDescent="0.25">
      <c r="A3" s="206"/>
      <c r="B3" s="206"/>
      <c r="C3" s="207"/>
      <c r="D3" s="209"/>
      <c r="E3" s="209"/>
      <c r="F3" s="127"/>
      <c r="G3" s="127"/>
      <c r="H3" s="127"/>
      <c r="I3" s="206"/>
      <c r="J3" s="206"/>
      <c r="K3" s="207"/>
      <c r="L3" s="210" t="str">
        <f>IF(Tools!L50=1,"Note: LWL is taken as LBP for every waterline.",IF(Tools!L50=2,"Note: LWL for each waterline is adjusted according to the offset. (Excluding repeated zeros that implies absence of hull.)"))</f>
        <v>Note: LWL is taken as LBP for every waterline.</v>
      </c>
      <c r="M3" s="211"/>
      <c r="N3" s="211"/>
      <c r="O3" s="208"/>
      <c r="P3" s="208"/>
      <c r="Q3" s="208"/>
      <c r="R3" s="206"/>
      <c r="S3" s="206"/>
      <c r="T3" s="127"/>
      <c r="U3" s="127"/>
      <c r="V3" s="127"/>
      <c r="W3" s="127"/>
    </row>
    <row r="4" spans="1:23" s="212" customFormat="1" ht="12" customHeight="1" x14ac:dyDescent="0.2">
      <c r="A4" s="524" t="s">
        <v>5</v>
      </c>
      <c r="B4" s="525"/>
      <c r="C4" s="525"/>
      <c r="D4" s="526"/>
      <c r="E4" s="526"/>
      <c r="F4" s="525"/>
      <c r="G4" s="525"/>
      <c r="H4" s="525"/>
      <c r="I4" s="527"/>
      <c r="K4" s="528" t="s">
        <v>6</v>
      </c>
      <c r="L4" s="529"/>
      <c r="M4" s="529"/>
      <c r="N4" s="529"/>
      <c r="O4" s="530"/>
      <c r="P4" s="213"/>
      <c r="Q4" s="213"/>
      <c r="R4" s="213"/>
      <c r="S4" s="213"/>
      <c r="T4" s="213"/>
      <c r="U4" s="213"/>
      <c r="V4" s="213"/>
      <c r="W4" s="213"/>
    </row>
    <row r="5" spans="1:23" s="212" customFormat="1" ht="12" customHeight="1" x14ac:dyDescent="0.2">
      <c r="A5" s="214" t="str">
        <f t="array" ref="A5:P37">IF(Tools!L54="Use 141 rule only",'WL (x)'!A3:P35,IF(Tools!L54="Use 141 and 1331 rules",'WL (x)'!AO3:BD35,'WL (x)'!AO36:BD68))</f>
        <v>STN</v>
      </c>
      <c r="B5" s="215" t="str">
        <v>1/2 Ord</v>
      </c>
      <c r="C5" s="215" t="str">
        <v>SM</v>
      </c>
      <c r="D5" s="215" t="str">
        <v>f(A)</v>
      </c>
      <c r="E5" s="215" t="str">
        <v>Lever</v>
      </c>
      <c r="F5" s="215" t="str">
        <v>f(M)</v>
      </c>
      <c r="G5" s="215" t="str">
        <v>f(IL)</v>
      </c>
      <c r="H5" s="215" t="str">
        <v>(1/2 Ord)³</v>
      </c>
      <c r="I5" s="215" t="str">
        <v>f(IT)</v>
      </c>
      <c r="J5" s="216" t="str">
        <v xml:space="preserve">     </v>
      </c>
      <c r="K5" s="215" t="str">
        <v>Area</v>
      </c>
      <c r="L5" s="215" t="str">
        <v>f(V)</v>
      </c>
      <c r="M5" s="215" t="str">
        <v>Moment</v>
      </c>
      <c r="N5" s="215" t="str">
        <v>f(MT)</v>
      </c>
      <c r="O5" s="215" t="str">
        <v>f(ML)</v>
      </c>
      <c r="P5" s="213" t="str">
        <v xml:space="preserve">     </v>
      </c>
      <c r="Q5" s="225" t="str">
        <f t="array" ref="Q5:S12">IF(Tools!L54="Use 141 rule only",'WL (x)'!Q3:S10,IF(Tools!L54="Use 141 and 1331 rules",'WL (x)'!BE3:BG10,'WL (x)'!AU39:AW46))</f>
        <v>Waterline Spacing (t)</v>
      </c>
      <c r="R5" s="226" t="str">
        <v>m</v>
      </c>
      <c r="S5" s="227">
        <v>1.8</v>
      </c>
      <c r="T5" s="213"/>
      <c r="U5" s="213"/>
      <c r="V5" s="213"/>
      <c r="W5" s="213"/>
    </row>
    <row r="6" spans="1:23" s="212" customFormat="1" ht="12" customHeight="1" x14ac:dyDescent="0.2">
      <c r="A6" s="217">
        <v>0</v>
      </c>
      <c r="B6" s="218">
        <v>0</v>
      </c>
      <c r="C6" s="219">
        <v>0.5</v>
      </c>
      <c r="D6" s="220">
        <v>0</v>
      </c>
      <c r="E6" s="219">
        <v>-10</v>
      </c>
      <c r="F6" s="220">
        <v>0</v>
      </c>
      <c r="G6" s="220">
        <v>0</v>
      </c>
      <c r="H6" s="220">
        <v>0</v>
      </c>
      <c r="I6" s="220">
        <v>0</v>
      </c>
      <c r="J6" s="213" t="str">
        <v xml:space="preserve">     </v>
      </c>
      <c r="K6" s="221">
        <v>0</v>
      </c>
      <c r="L6" s="220">
        <v>0</v>
      </c>
      <c r="M6" s="220">
        <v>0</v>
      </c>
      <c r="N6" s="220">
        <v>0</v>
      </c>
      <c r="O6" s="220">
        <v>0</v>
      </c>
      <c r="P6" s="213" t="str">
        <v xml:space="preserve">     </v>
      </c>
      <c r="Q6" s="228" t="str">
        <v>Station Spacing (h)</v>
      </c>
      <c r="R6" s="226" t="str">
        <v>m</v>
      </c>
      <c r="S6" s="227">
        <v>6.5849999999999991</v>
      </c>
      <c r="T6" s="213"/>
      <c r="U6" s="213"/>
      <c r="V6" s="213"/>
      <c r="W6" s="213"/>
    </row>
    <row r="7" spans="1:23" s="212" customFormat="1" ht="12" customHeight="1" x14ac:dyDescent="0.2">
      <c r="A7" s="217">
        <v>0.5</v>
      </c>
      <c r="B7" s="218">
        <v>0</v>
      </c>
      <c r="C7" s="219">
        <v>2</v>
      </c>
      <c r="D7" s="220">
        <v>0</v>
      </c>
      <c r="E7" s="219">
        <v>-9.5</v>
      </c>
      <c r="F7" s="220">
        <v>0</v>
      </c>
      <c r="G7" s="220">
        <v>0</v>
      </c>
      <c r="H7" s="220">
        <v>0</v>
      </c>
      <c r="I7" s="220">
        <v>0</v>
      </c>
      <c r="J7" s="213" t="str">
        <v xml:space="preserve">     </v>
      </c>
      <c r="K7" s="221">
        <v>0</v>
      </c>
      <c r="L7" s="220">
        <v>0</v>
      </c>
      <c r="M7" s="220">
        <v>0</v>
      </c>
      <c r="N7" s="220">
        <v>0</v>
      </c>
      <c r="O7" s="220">
        <v>0</v>
      </c>
      <c r="P7" s="213" t="str">
        <v xml:space="preserve">     </v>
      </c>
      <c r="Q7" s="228" t="str">
        <v>LBP</v>
      </c>
      <c r="R7" s="226" t="str">
        <v>m</v>
      </c>
      <c r="S7" s="227">
        <v>131.69999999999999</v>
      </c>
      <c r="T7" s="213"/>
      <c r="U7" s="213"/>
      <c r="V7" s="213"/>
      <c r="W7" s="213"/>
    </row>
    <row r="8" spans="1:23" s="212" customFormat="1" ht="12" customHeight="1" x14ac:dyDescent="0.2">
      <c r="A8" s="217">
        <v>1</v>
      </c>
      <c r="B8" s="218">
        <v>0</v>
      </c>
      <c r="C8" s="219">
        <v>1</v>
      </c>
      <c r="D8" s="220">
        <v>0</v>
      </c>
      <c r="E8" s="219">
        <v>-9</v>
      </c>
      <c r="F8" s="220">
        <v>0</v>
      </c>
      <c r="G8" s="220">
        <v>0</v>
      </c>
      <c r="H8" s="220">
        <v>0</v>
      </c>
      <c r="I8" s="220">
        <v>0</v>
      </c>
      <c r="J8" s="213" t="str">
        <v xml:space="preserve">     </v>
      </c>
      <c r="K8" s="221">
        <v>0</v>
      </c>
      <c r="L8" s="220">
        <v>0</v>
      </c>
      <c r="M8" s="220">
        <v>0</v>
      </c>
      <c r="N8" s="220">
        <v>0</v>
      </c>
      <c r="O8" s="220">
        <v>0</v>
      </c>
      <c r="P8" s="213" t="str">
        <v xml:space="preserve">     </v>
      </c>
      <c r="Q8" s="225" t="str">
        <v>B</v>
      </c>
      <c r="R8" s="226" t="str">
        <v>m</v>
      </c>
      <c r="S8" s="227">
        <v>24.5</v>
      </c>
      <c r="T8" s="213"/>
      <c r="U8" s="213"/>
      <c r="V8" s="213"/>
      <c r="W8" s="213"/>
    </row>
    <row r="9" spans="1:23" s="212" customFormat="1" ht="12" customHeight="1" x14ac:dyDescent="0.2">
      <c r="A9" s="217">
        <v>1.5</v>
      </c>
      <c r="B9" s="218">
        <v>1.2</v>
      </c>
      <c r="C9" s="219">
        <v>2</v>
      </c>
      <c r="D9" s="220">
        <v>2.4</v>
      </c>
      <c r="E9" s="219">
        <v>-8.5</v>
      </c>
      <c r="F9" s="220">
        <v>-20.399999999999999</v>
      </c>
      <c r="G9" s="220">
        <v>173.39999999999998</v>
      </c>
      <c r="H9" s="220">
        <v>1.728</v>
      </c>
      <c r="I9" s="220">
        <v>3.456</v>
      </c>
      <c r="J9" s="213" t="str">
        <v xml:space="preserve">     </v>
      </c>
      <c r="K9" s="221">
        <v>4.5</v>
      </c>
      <c r="L9" s="220">
        <v>9</v>
      </c>
      <c r="M9" s="220">
        <v>18.609000000000002</v>
      </c>
      <c r="N9" s="220">
        <v>37.218000000000004</v>
      </c>
      <c r="O9" s="220">
        <v>-76.5</v>
      </c>
      <c r="P9" s="213" t="str">
        <v xml:space="preserve">     </v>
      </c>
      <c r="Q9" s="225" t="str">
        <v>D</v>
      </c>
      <c r="R9" s="226" t="str">
        <v>m</v>
      </c>
      <c r="S9" s="227">
        <v>14.19</v>
      </c>
      <c r="T9" s="213"/>
      <c r="U9" s="213"/>
      <c r="V9" s="213"/>
      <c r="W9" s="213"/>
    </row>
    <row r="10" spans="1:23" s="212" customFormat="1" ht="12" customHeight="1" x14ac:dyDescent="0.2">
      <c r="A10" s="217">
        <v>2</v>
      </c>
      <c r="B10" s="218">
        <v>2.7</v>
      </c>
      <c r="C10" s="219">
        <v>1.5</v>
      </c>
      <c r="D10" s="220">
        <v>4.0500000000000007</v>
      </c>
      <c r="E10" s="219">
        <v>-8</v>
      </c>
      <c r="F10" s="220">
        <v>-32.400000000000006</v>
      </c>
      <c r="G10" s="220">
        <v>259.20000000000005</v>
      </c>
      <c r="H10" s="220">
        <v>19.683000000000003</v>
      </c>
      <c r="I10" s="220">
        <v>29.524500000000003</v>
      </c>
      <c r="J10" s="213" t="str">
        <v xml:space="preserve">     </v>
      </c>
      <c r="K10" s="221">
        <v>14.102999999999998</v>
      </c>
      <c r="L10" s="220">
        <v>21.154499999999999</v>
      </c>
      <c r="M10" s="220">
        <v>51.095130000000012</v>
      </c>
      <c r="N10" s="220">
        <v>76.642695000000018</v>
      </c>
      <c r="O10" s="220">
        <v>-169.23599999999999</v>
      </c>
      <c r="P10" s="213" t="str">
        <v xml:space="preserve">     </v>
      </c>
      <c r="Q10" s="225" t="str">
        <v>Current B</v>
      </c>
      <c r="R10" s="226" t="str">
        <v>m</v>
      </c>
      <c r="S10" s="227">
        <v>24.5</v>
      </c>
      <c r="T10" s="213"/>
      <c r="U10" s="213"/>
      <c r="V10" s="213"/>
      <c r="W10" s="213"/>
    </row>
    <row r="11" spans="1:23" s="212" customFormat="1" ht="12" customHeight="1" x14ac:dyDescent="0.2">
      <c r="A11" s="217">
        <v>3</v>
      </c>
      <c r="B11" s="218">
        <v>5.7</v>
      </c>
      <c r="C11" s="219">
        <v>4</v>
      </c>
      <c r="D11" s="220">
        <v>22.8</v>
      </c>
      <c r="E11" s="219">
        <v>-7</v>
      </c>
      <c r="F11" s="220">
        <v>-159.6</v>
      </c>
      <c r="G11" s="220">
        <v>1117.2</v>
      </c>
      <c r="H11" s="220">
        <v>185.19300000000001</v>
      </c>
      <c r="I11" s="220">
        <v>740.77200000000005</v>
      </c>
      <c r="J11" s="213" t="str">
        <v xml:space="preserve">     </v>
      </c>
      <c r="K11" s="221">
        <v>30.047999999999995</v>
      </c>
      <c r="L11" s="220">
        <v>120.19199999999998</v>
      </c>
      <c r="M11" s="220">
        <v>101.56320000000001</v>
      </c>
      <c r="N11" s="220">
        <v>406.25280000000004</v>
      </c>
      <c r="O11" s="220">
        <v>-841.34399999999982</v>
      </c>
      <c r="P11" s="213" t="str">
        <v xml:space="preserve">     </v>
      </c>
      <c r="Q11" s="225" t="str">
        <v xml:space="preserve">     </v>
      </c>
      <c r="R11" s="226" t="str">
        <v xml:space="preserve">     </v>
      </c>
      <c r="S11" s="227" t="str">
        <v xml:space="preserve">     </v>
      </c>
      <c r="T11" s="213"/>
      <c r="U11" s="213"/>
      <c r="V11" s="213"/>
      <c r="W11" s="213"/>
    </row>
    <row r="12" spans="1:23" s="212" customFormat="1" ht="12" customHeight="1" x14ac:dyDescent="0.2">
      <c r="A12" s="217">
        <v>4</v>
      </c>
      <c r="B12" s="218">
        <v>9.1999999999999993</v>
      </c>
      <c r="C12" s="219">
        <v>2</v>
      </c>
      <c r="D12" s="220">
        <v>18.399999999999999</v>
      </c>
      <c r="E12" s="219">
        <v>-6</v>
      </c>
      <c r="F12" s="220">
        <v>-110.39999999999999</v>
      </c>
      <c r="G12" s="220">
        <v>662.4</v>
      </c>
      <c r="H12" s="220">
        <v>778.68799999999976</v>
      </c>
      <c r="I12" s="220">
        <v>1557.3759999999995</v>
      </c>
      <c r="J12" s="213" t="str">
        <v xml:space="preserve">     </v>
      </c>
      <c r="K12" s="221">
        <v>54.432000000000002</v>
      </c>
      <c r="L12" s="220">
        <v>108.864</v>
      </c>
      <c r="M12" s="220">
        <v>179.90640000000002</v>
      </c>
      <c r="N12" s="220">
        <v>359.81280000000004</v>
      </c>
      <c r="O12" s="220">
        <v>-653.18399999999997</v>
      </c>
      <c r="P12" s="213" t="str">
        <v xml:space="preserve">     </v>
      </c>
      <c r="Q12" s="213" t="str">
        <v xml:space="preserve">     </v>
      </c>
      <c r="R12" s="213" t="str">
        <v xml:space="preserve">     </v>
      </c>
      <c r="S12" s="213" t="str">
        <v xml:space="preserve">     </v>
      </c>
      <c r="T12" s="213"/>
      <c r="U12" s="213"/>
      <c r="V12" s="213"/>
      <c r="W12" s="213"/>
    </row>
    <row r="13" spans="1:23" s="212" customFormat="1" ht="12" customHeight="1" x14ac:dyDescent="0.2">
      <c r="A13" s="217">
        <v>5</v>
      </c>
      <c r="B13" s="218">
        <v>11.15</v>
      </c>
      <c r="C13" s="219">
        <v>4</v>
      </c>
      <c r="D13" s="220">
        <v>44.6</v>
      </c>
      <c r="E13" s="219">
        <v>-5</v>
      </c>
      <c r="F13" s="220">
        <v>-223</v>
      </c>
      <c r="G13" s="220">
        <v>1115</v>
      </c>
      <c r="H13" s="220">
        <v>1386.1958750000001</v>
      </c>
      <c r="I13" s="220">
        <v>5544.7835000000005</v>
      </c>
      <c r="J13" s="213" t="str">
        <v xml:space="preserve">     </v>
      </c>
      <c r="K13" s="221">
        <v>80.201999999999984</v>
      </c>
      <c r="L13" s="220">
        <v>320.80799999999994</v>
      </c>
      <c r="M13" s="220">
        <v>258.41160000000002</v>
      </c>
      <c r="N13" s="220">
        <v>1033.6464000000001</v>
      </c>
      <c r="O13" s="220">
        <v>-1604.0399999999997</v>
      </c>
      <c r="P13" s="213" t="str">
        <v xml:space="preserve">     </v>
      </c>
      <c r="Q13" s="213"/>
      <c r="R13" s="213"/>
      <c r="S13" s="213"/>
      <c r="T13" s="213"/>
      <c r="U13" s="213"/>
      <c r="V13" s="213"/>
      <c r="W13" s="213"/>
    </row>
    <row r="14" spans="1:23" s="212" customFormat="1" ht="12" customHeight="1" x14ac:dyDescent="0.2">
      <c r="A14" s="217">
        <v>6</v>
      </c>
      <c r="B14" s="218">
        <v>11.97</v>
      </c>
      <c r="C14" s="219">
        <v>2</v>
      </c>
      <c r="D14" s="220">
        <v>23.94</v>
      </c>
      <c r="E14" s="219">
        <v>-4</v>
      </c>
      <c r="F14" s="220">
        <v>-95.76</v>
      </c>
      <c r="G14" s="220">
        <v>383.04</v>
      </c>
      <c r="H14" s="220">
        <v>1715.0723730000002</v>
      </c>
      <c r="I14" s="220">
        <v>3430.1447460000004</v>
      </c>
      <c r="J14" s="213" t="str">
        <v xml:space="preserve">     </v>
      </c>
      <c r="K14" s="221">
        <v>98.927999999999997</v>
      </c>
      <c r="L14" s="220">
        <v>197.85599999999999</v>
      </c>
      <c r="M14" s="220">
        <v>307.51920000000007</v>
      </c>
      <c r="N14" s="220">
        <v>615.03840000000014</v>
      </c>
      <c r="O14" s="220">
        <v>-791.42399999999998</v>
      </c>
      <c r="P14" s="213" t="str">
        <v xml:space="preserve">     </v>
      </c>
      <c r="Q14" s="229" t="s">
        <v>31</v>
      </c>
      <c r="R14" s="229" t="s">
        <v>32</v>
      </c>
      <c r="S14" s="229" t="s">
        <v>33</v>
      </c>
      <c r="T14" s="213"/>
      <c r="U14" s="213"/>
      <c r="V14" s="213"/>
      <c r="W14" s="213"/>
    </row>
    <row r="15" spans="1:23" s="212" customFormat="1" ht="12" customHeight="1" x14ac:dyDescent="0.2">
      <c r="A15" s="217">
        <v>7</v>
      </c>
      <c r="B15" s="218">
        <v>12.25</v>
      </c>
      <c r="C15" s="219">
        <v>4</v>
      </c>
      <c r="D15" s="220">
        <v>49</v>
      </c>
      <c r="E15" s="219">
        <v>-3</v>
      </c>
      <c r="F15" s="220">
        <v>-147</v>
      </c>
      <c r="G15" s="220">
        <v>441</v>
      </c>
      <c r="H15" s="220">
        <v>1838.265625</v>
      </c>
      <c r="I15" s="220">
        <v>7353.0625</v>
      </c>
      <c r="J15" s="213" t="str">
        <v xml:space="preserve">     </v>
      </c>
      <c r="K15" s="221">
        <v>112.91399999999999</v>
      </c>
      <c r="L15" s="220">
        <v>451.65599999999995</v>
      </c>
      <c r="M15" s="220">
        <v>336.096</v>
      </c>
      <c r="N15" s="220">
        <v>1344.384</v>
      </c>
      <c r="O15" s="220">
        <v>-1354.9679999999998</v>
      </c>
      <c r="P15" s="213" t="str">
        <v xml:space="preserve">     </v>
      </c>
      <c r="Q15" s="230" t="s">
        <v>187</v>
      </c>
      <c r="R15" s="226" t="str">
        <f t="array" ref="R15:R24">IF(Tools!L54="Use 141 rule only",'WL (x)'!R13:R22,IF(Tools!L54="Use 141 and 1331 rules",'WL (x)'!BF13:BF22,'WL (x)'!BH13:BH22))</f>
        <v>2/3*h*∑F(A)</v>
      </c>
      <c r="S15" s="231">
        <f t="array" ref="S15:S37">IF(Tools!L54="Use 141 rule only",'WL (x)'!S13:S35,IF(Tools!L54="Use 141 and 1331 rules",'WL (x)'!BG13:BG35,'WL (x)'!BH13:BH35))</f>
        <v>2152.5486999999994</v>
      </c>
      <c r="T15" s="213"/>
      <c r="U15" s="213"/>
      <c r="V15" s="213"/>
      <c r="W15" s="213"/>
    </row>
    <row r="16" spans="1:23" s="212" customFormat="1" ht="12" customHeight="1" x14ac:dyDescent="0.2">
      <c r="A16" s="217">
        <v>8</v>
      </c>
      <c r="B16" s="218">
        <v>12.25</v>
      </c>
      <c r="C16" s="219">
        <v>2</v>
      </c>
      <c r="D16" s="220">
        <v>24.5</v>
      </c>
      <c r="E16" s="219">
        <v>-2</v>
      </c>
      <c r="F16" s="220">
        <v>-49</v>
      </c>
      <c r="G16" s="220">
        <v>98</v>
      </c>
      <c r="H16" s="220">
        <v>1838.265625</v>
      </c>
      <c r="I16" s="220">
        <v>3676.53125</v>
      </c>
      <c r="J16" s="213" t="str">
        <v xml:space="preserve">     </v>
      </c>
      <c r="K16" s="221">
        <v>121.518</v>
      </c>
      <c r="L16" s="220">
        <v>243.036</v>
      </c>
      <c r="M16" s="220">
        <v>348.57</v>
      </c>
      <c r="N16" s="220">
        <v>697.14</v>
      </c>
      <c r="O16" s="220">
        <v>-486.072</v>
      </c>
      <c r="P16" s="213" t="str">
        <v xml:space="preserve">     </v>
      </c>
      <c r="Q16" s="230" t="s">
        <v>188</v>
      </c>
      <c r="R16" s="226" t="str">
        <v>2/3*h2*∑F(M)</v>
      </c>
      <c r="S16" s="231">
        <v>-558.79453949999754</v>
      </c>
      <c r="T16" s="213"/>
      <c r="U16" s="213"/>
      <c r="V16" s="213"/>
      <c r="W16" s="213"/>
    </row>
    <row r="17" spans="1:23" s="212" customFormat="1" ht="12" customHeight="1" x14ac:dyDescent="0.2">
      <c r="A17" s="217">
        <v>9</v>
      </c>
      <c r="B17" s="218">
        <v>12.25</v>
      </c>
      <c r="C17" s="219">
        <v>4</v>
      </c>
      <c r="D17" s="220">
        <v>49</v>
      </c>
      <c r="E17" s="219">
        <v>-1</v>
      </c>
      <c r="F17" s="220">
        <v>-49</v>
      </c>
      <c r="G17" s="220">
        <v>49</v>
      </c>
      <c r="H17" s="220">
        <v>1838.265625</v>
      </c>
      <c r="I17" s="220">
        <v>7353.0625</v>
      </c>
      <c r="J17" s="213" t="str">
        <v xml:space="preserve">     </v>
      </c>
      <c r="K17" s="221">
        <v>124.78799999999998</v>
      </c>
      <c r="L17" s="220">
        <v>499.15199999999993</v>
      </c>
      <c r="M17" s="220">
        <v>352.31760000000003</v>
      </c>
      <c r="N17" s="220">
        <v>1409.2704000000001</v>
      </c>
      <c r="O17" s="220">
        <v>-499.15199999999993</v>
      </c>
      <c r="P17" s="213" t="str">
        <v xml:space="preserve">     </v>
      </c>
      <c r="Q17" s="233" t="s">
        <v>39</v>
      </c>
      <c r="R17" s="226" t="str">
        <v>M mid / Awp</v>
      </c>
      <c r="S17" s="231">
        <v>-0.25959670018150932</v>
      </c>
      <c r="T17" s="213"/>
      <c r="U17" s="213"/>
      <c r="V17" s="213"/>
      <c r="W17" s="213"/>
    </row>
    <row r="18" spans="1:23" s="212" customFormat="1" ht="12" customHeight="1" x14ac:dyDescent="0.25">
      <c r="A18" s="217">
        <v>10</v>
      </c>
      <c r="B18" s="218">
        <v>12.25</v>
      </c>
      <c r="C18" s="219">
        <v>2</v>
      </c>
      <c r="D18" s="220">
        <v>24.5</v>
      </c>
      <c r="E18" s="219">
        <v>0</v>
      </c>
      <c r="F18" s="220">
        <v>0</v>
      </c>
      <c r="G18" s="220">
        <v>0</v>
      </c>
      <c r="H18" s="220">
        <v>1838.265625</v>
      </c>
      <c r="I18" s="220">
        <v>3676.53125</v>
      </c>
      <c r="J18" s="213" t="str">
        <v xml:space="preserve">     </v>
      </c>
      <c r="K18" s="221">
        <v>125.63399999999999</v>
      </c>
      <c r="L18" s="220">
        <v>251.26799999999997</v>
      </c>
      <c r="M18" s="220">
        <v>352.57679999999999</v>
      </c>
      <c r="N18" s="220">
        <v>705.15359999999998</v>
      </c>
      <c r="O18" s="220">
        <v>0</v>
      </c>
      <c r="P18" s="213" t="str">
        <v xml:space="preserve">     </v>
      </c>
      <c r="Q18" s="233" t="s">
        <v>189</v>
      </c>
      <c r="R18" s="226" t="str">
        <v>2/3*h3*∑F(IL)</v>
      </c>
      <c r="S18" s="231">
        <v>1680432.9348382868</v>
      </c>
      <c r="T18" s="213"/>
      <c r="U18" s="213"/>
      <c r="V18" s="213"/>
      <c r="W18" s="213"/>
    </row>
    <row r="19" spans="1:23" s="212" customFormat="1" ht="12" customHeight="1" x14ac:dyDescent="0.25">
      <c r="A19" s="217">
        <v>11</v>
      </c>
      <c r="B19" s="218">
        <v>12.25</v>
      </c>
      <c r="C19" s="219">
        <v>4</v>
      </c>
      <c r="D19" s="220">
        <v>49</v>
      </c>
      <c r="E19" s="219">
        <v>1</v>
      </c>
      <c r="F19" s="220">
        <v>49</v>
      </c>
      <c r="G19" s="220">
        <v>49</v>
      </c>
      <c r="H19" s="220">
        <v>1838.265625</v>
      </c>
      <c r="I19" s="220">
        <v>7353.0625</v>
      </c>
      <c r="J19" s="213" t="str">
        <v xml:space="preserve">     </v>
      </c>
      <c r="K19" s="221">
        <v>124.94400000000002</v>
      </c>
      <c r="L19" s="220">
        <v>499.77600000000007</v>
      </c>
      <c r="M19" s="220">
        <v>351.02160000000003</v>
      </c>
      <c r="N19" s="220">
        <v>1404.0864000000001</v>
      </c>
      <c r="O19" s="220">
        <v>499.77600000000007</v>
      </c>
      <c r="P19" s="213" t="str">
        <v xml:space="preserve">     </v>
      </c>
      <c r="Q19" s="234" t="s">
        <v>190</v>
      </c>
      <c r="R19" s="226" t="str">
        <v>2/9*h*∑F(IT)</v>
      </c>
      <c r="S19" s="231">
        <v>83572.881411993309</v>
      </c>
      <c r="T19" s="213"/>
      <c r="U19" s="213"/>
      <c r="V19" s="213"/>
      <c r="W19" s="213"/>
    </row>
    <row r="20" spans="1:23" s="212" customFormat="1" ht="12" customHeight="1" x14ac:dyDescent="0.25">
      <c r="A20" s="217">
        <v>12</v>
      </c>
      <c r="B20" s="218">
        <v>12.2</v>
      </c>
      <c r="C20" s="219">
        <v>2</v>
      </c>
      <c r="D20" s="220">
        <v>24.4</v>
      </c>
      <c r="E20" s="219">
        <v>2</v>
      </c>
      <c r="F20" s="220">
        <v>48.8</v>
      </c>
      <c r="G20" s="220">
        <v>97.6</v>
      </c>
      <c r="H20" s="220">
        <v>1815.8479999999995</v>
      </c>
      <c r="I20" s="220">
        <v>3631.695999999999</v>
      </c>
      <c r="J20" s="213" t="str">
        <v xml:space="preserve">     </v>
      </c>
      <c r="K20" s="221">
        <v>120.59399999999999</v>
      </c>
      <c r="L20" s="220">
        <v>241.18799999999999</v>
      </c>
      <c r="M20" s="220">
        <v>342.64080000000001</v>
      </c>
      <c r="N20" s="220">
        <v>685.28160000000003</v>
      </c>
      <c r="O20" s="220">
        <v>482.37599999999998</v>
      </c>
      <c r="P20" s="213" t="str">
        <v xml:space="preserve">     </v>
      </c>
      <c r="Q20" s="233" t="s">
        <v>191</v>
      </c>
      <c r="R20" s="226" t="str">
        <v>IL- Awp *(LCF)2</v>
      </c>
      <c r="S20" s="231">
        <v>1680287.8736197532</v>
      </c>
      <c r="T20" s="213"/>
      <c r="U20" s="213"/>
      <c r="V20" s="213"/>
      <c r="W20" s="213"/>
    </row>
    <row r="21" spans="1:23" s="212" customFormat="1" ht="12" customHeight="1" x14ac:dyDescent="0.2">
      <c r="A21" s="217">
        <v>13</v>
      </c>
      <c r="B21" s="218">
        <v>11.64</v>
      </c>
      <c r="C21" s="219">
        <v>4</v>
      </c>
      <c r="D21" s="220">
        <v>46.56</v>
      </c>
      <c r="E21" s="219">
        <v>3</v>
      </c>
      <c r="F21" s="220">
        <v>139.68</v>
      </c>
      <c r="G21" s="220">
        <v>419.04</v>
      </c>
      <c r="H21" s="220">
        <v>1577.0989440000003</v>
      </c>
      <c r="I21" s="220">
        <v>6308.3957760000012</v>
      </c>
      <c r="J21" s="213" t="str">
        <v xml:space="preserve">     </v>
      </c>
      <c r="K21" s="221">
        <v>110.538</v>
      </c>
      <c r="L21" s="220">
        <v>442.15199999999999</v>
      </c>
      <c r="M21" s="220">
        <v>318.82680000000005</v>
      </c>
      <c r="N21" s="220">
        <v>1275.3072000000002</v>
      </c>
      <c r="O21" s="220">
        <v>1326.4559999999999</v>
      </c>
      <c r="P21" s="213" t="str">
        <v xml:space="preserve">     </v>
      </c>
      <c r="Q21" s="233" t="s">
        <v>50</v>
      </c>
      <c r="R21" s="226" t="str">
        <v>1/3*h*∑F(V)</v>
      </c>
      <c r="S21" s="231">
        <v>9448.0125812500009</v>
      </c>
      <c r="T21" s="213"/>
      <c r="U21" s="213"/>
      <c r="V21" s="213"/>
      <c r="W21" s="213"/>
    </row>
    <row r="22" spans="1:23" s="212" customFormat="1" ht="12" customHeight="1" x14ac:dyDescent="0.2">
      <c r="A22" s="217">
        <v>14</v>
      </c>
      <c r="B22" s="218">
        <v>10.5</v>
      </c>
      <c r="C22" s="219">
        <v>2</v>
      </c>
      <c r="D22" s="220">
        <v>21</v>
      </c>
      <c r="E22" s="219">
        <v>4</v>
      </c>
      <c r="F22" s="220">
        <v>84</v>
      </c>
      <c r="G22" s="220">
        <v>336</v>
      </c>
      <c r="H22" s="220">
        <v>1157.625</v>
      </c>
      <c r="I22" s="220">
        <v>2315.25</v>
      </c>
      <c r="J22" s="213" t="str">
        <v xml:space="preserve">     </v>
      </c>
      <c r="K22" s="221">
        <v>94.775999999999982</v>
      </c>
      <c r="L22" s="220">
        <v>189.55199999999996</v>
      </c>
      <c r="M22" s="220">
        <v>278.67240000000004</v>
      </c>
      <c r="N22" s="220">
        <v>557.34480000000008</v>
      </c>
      <c r="O22" s="220">
        <v>758.20799999999986</v>
      </c>
      <c r="P22" s="213" t="str">
        <v xml:space="preserve">     </v>
      </c>
      <c r="Q22" s="233" t="s">
        <v>52</v>
      </c>
      <c r="R22" s="226" t="str">
        <v>▼*1.006*1.025</v>
      </c>
      <c r="S22" s="231">
        <v>9742.3181731559362</v>
      </c>
      <c r="T22" s="213"/>
      <c r="U22" s="213"/>
      <c r="V22" s="213"/>
      <c r="W22" s="213"/>
    </row>
    <row r="23" spans="1:23" s="212" customFormat="1" ht="12" customHeight="1" x14ac:dyDescent="0.25">
      <c r="A23" s="217">
        <v>15</v>
      </c>
      <c r="B23" s="218">
        <v>8.91</v>
      </c>
      <c r="C23" s="219">
        <v>4</v>
      </c>
      <c r="D23" s="220">
        <v>35.64</v>
      </c>
      <c r="E23" s="219">
        <v>5</v>
      </c>
      <c r="F23" s="220">
        <v>178.2</v>
      </c>
      <c r="G23" s="220">
        <v>891</v>
      </c>
      <c r="H23" s="220">
        <v>707.34797100000014</v>
      </c>
      <c r="I23" s="220">
        <v>2829.3918840000006</v>
      </c>
      <c r="J23" s="213" t="str">
        <v xml:space="preserve">     </v>
      </c>
      <c r="K23" s="221">
        <v>77.555999999999997</v>
      </c>
      <c r="L23" s="220">
        <v>310.22399999999999</v>
      </c>
      <c r="M23" s="220">
        <v>231.59520000000001</v>
      </c>
      <c r="N23" s="220">
        <v>926.38080000000002</v>
      </c>
      <c r="O23" s="220">
        <v>1551.12</v>
      </c>
      <c r="P23" s="213" t="str">
        <v xml:space="preserve">     </v>
      </c>
      <c r="Q23" s="233" t="s">
        <v>192</v>
      </c>
      <c r="R23" s="226" t="str">
        <v>1/3*h*∑F(MT)</v>
      </c>
      <c r="S23" s="231">
        <v>28099.332793980837</v>
      </c>
      <c r="T23" s="213"/>
      <c r="U23" s="213"/>
      <c r="V23" s="213"/>
      <c r="W23" s="213"/>
    </row>
    <row r="24" spans="1:23" s="212" customFormat="1" ht="12" customHeight="1" x14ac:dyDescent="0.25">
      <c r="A24" s="217">
        <v>16</v>
      </c>
      <c r="B24" s="218">
        <v>7.02</v>
      </c>
      <c r="C24" s="219">
        <v>2</v>
      </c>
      <c r="D24" s="220">
        <v>14.04</v>
      </c>
      <c r="E24" s="219">
        <v>6</v>
      </c>
      <c r="F24" s="220">
        <v>84.24</v>
      </c>
      <c r="G24" s="220">
        <v>505.43999999999994</v>
      </c>
      <c r="H24" s="220">
        <v>345.94840799999992</v>
      </c>
      <c r="I24" s="220">
        <v>691.89681599999983</v>
      </c>
      <c r="J24" s="213" t="str">
        <v xml:space="preserve">     </v>
      </c>
      <c r="K24" s="221">
        <v>58.56</v>
      </c>
      <c r="L24" s="220">
        <v>117.12</v>
      </c>
      <c r="M24" s="220">
        <v>178.41600000000003</v>
      </c>
      <c r="N24" s="220">
        <v>356.83200000000005</v>
      </c>
      <c r="O24" s="220">
        <v>702.72</v>
      </c>
      <c r="P24" s="213" t="str">
        <v xml:space="preserve">     </v>
      </c>
      <c r="Q24" s="233" t="s">
        <v>193</v>
      </c>
      <c r="R24" s="226" t="str">
        <v>1/3*h2*∑F(ML)</v>
      </c>
      <c r="S24" s="231">
        <v>14611.419169635001</v>
      </c>
      <c r="T24" s="213"/>
      <c r="U24" s="213"/>
      <c r="V24" s="213"/>
      <c r="W24" s="213"/>
    </row>
    <row r="25" spans="1:23" s="212" customFormat="1" ht="12" customHeight="1" x14ac:dyDescent="0.25">
      <c r="A25" s="217">
        <v>17</v>
      </c>
      <c r="B25" s="218">
        <v>5.03</v>
      </c>
      <c r="C25" s="219">
        <v>4</v>
      </c>
      <c r="D25" s="220">
        <v>20.12</v>
      </c>
      <c r="E25" s="219">
        <v>7</v>
      </c>
      <c r="F25" s="220">
        <v>140.84</v>
      </c>
      <c r="G25" s="220">
        <v>985.88</v>
      </c>
      <c r="H25" s="220">
        <v>127.26352700000001</v>
      </c>
      <c r="I25" s="220">
        <v>509.05410800000004</v>
      </c>
      <c r="J25" s="213" t="str">
        <v xml:space="preserve">     </v>
      </c>
      <c r="K25" s="221">
        <v>40.337999999999994</v>
      </c>
      <c r="L25" s="220">
        <v>161.35199999999998</v>
      </c>
      <c r="M25" s="220">
        <v>126.2304</v>
      </c>
      <c r="N25" s="220">
        <v>504.92160000000001</v>
      </c>
      <c r="O25" s="220">
        <v>1129.4639999999999</v>
      </c>
      <c r="P25" s="213" t="str">
        <v xml:space="preserve">     </v>
      </c>
      <c r="Q25" s="233" t="s">
        <v>194</v>
      </c>
      <c r="R25" s="235" t="s">
        <v>195</v>
      </c>
      <c r="S25" s="231">
        <v>177.84564310957404</v>
      </c>
      <c r="T25" s="213"/>
      <c r="U25" s="213"/>
      <c r="V25" s="213"/>
      <c r="W25" s="213"/>
    </row>
    <row r="26" spans="1:23" s="212" customFormat="1" ht="12" customHeight="1" x14ac:dyDescent="0.25">
      <c r="A26" s="217">
        <v>18</v>
      </c>
      <c r="B26" s="218">
        <v>3.25</v>
      </c>
      <c r="C26" s="219">
        <v>1.5</v>
      </c>
      <c r="D26" s="220">
        <v>4.875</v>
      </c>
      <c r="E26" s="219">
        <v>8</v>
      </c>
      <c r="F26" s="220">
        <v>39</v>
      </c>
      <c r="G26" s="220">
        <v>312</v>
      </c>
      <c r="H26" s="220">
        <v>34.328125</v>
      </c>
      <c r="I26" s="220">
        <v>51.4921875</v>
      </c>
      <c r="J26" s="213" t="str">
        <v xml:space="preserve">     </v>
      </c>
      <c r="K26" s="221">
        <v>25.675499999999996</v>
      </c>
      <c r="L26" s="220">
        <v>38.513249999999992</v>
      </c>
      <c r="M26" s="220">
        <v>82.730025000000012</v>
      </c>
      <c r="N26" s="220">
        <v>124.09503750000002</v>
      </c>
      <c r="O26" s="220">
        <v>308.10599999999994</v>
      </c>
      <c r="P26" s="213" t="str">
        <v xml:space="preserve">     </v>
      </c>
      <c r="Q26" s="233" t="s">
        <v>196</v>
      </c>
      <c r="R26" s="235" t="s">
        <v>197</v>
      </c>
      <c r="S26" s="231">
        <v>8.8455514525718755</v>
      </c>
      <c r="T26" s="213"/>
      <c r="U26" s="213"/>
      <c r="V26" s="213"/>
      <c r="W26" s="213"/>
    </row>
    <row r="27" spans="1:23" s="212" customFormat="1" ht="12" customHeight="1" x14ac:dyDescent="0.2">
      <c r="A27" s="217">
        <v>18.5</v>
      </c>
      <c r="B27" s="218">
        <v>2.57</v>
      </c>
      <c r="C27" s="219">
        <v>2</v>
      </c>
      <c r="D27" s="220">
        <v>5.14</v>
      </c>
      <c r="E27" s="219">
        <v>8.5</v>
      </c>
      <c r="F27" s="220">
        <v>43.69</v>
      </c>
      <c r="G27" s="220">
        <v>371.36500000000001</v>
      </c>
      <c r="H27" s="220">
        <v>16.974592999999995</v>
      </c>
      <c r="I27" s="220">
        <v>33.94918599999999</v>
      </c>
      <c r="J27" s="213" t="str">
        <v xml:space="preserve">     </v>
      </c>
      <c r="K27" s="221">
        <v>19.746199999999998</v>
      </c>
      <c r="L27" s="220">
        <v>39.492399999999996</v>
      </c>
      <c r="M27" s="220">
        <v>65.686611333333332</v>
      </c>
      <c r="N27" s="220">
        <v>131.37322266666666</v>
      </c>
      <c r="O27" s="220">
        <v>335.68539999999996</v>
      </c>
      <c r="P27" s="213" t="str">
        <v xml:space="preserve">     </v>
      </c>
      <c r="Q27" s="233" t="s">
        <v>65</v>
      </c>
      <c r="R27" s="235" t="s">
        <v>198</v>
      </c>
      <c r="S27" s="231">
        <v>2.9740998492894906</v>
      </c>
      <c r="T27" s="213"/>
      <c r="U27" s="213"/>
      <c r="V27" s="213"/>
      <c r="W27" s="213"/>
    </row>
    <row r="28" spans="1:23" s="212" customFormat="1" ht="12" customHeight="1" x14ac:dyDescent="0.25">
      <c r="A28" s="217">
        <v>19</v>
      </c>
      <c r="B28" s="218">
        <v>2.1</v>
      </c>
      <c r="C28" s="219">
        <v>1</v>
      </c>
      <c r="D28" s="220">
        <v>2.1</v>
      </c>
      <c r="E28" s="219">
        <v>9</v>
      </c>
      <c r="F28" s="220">
        <v>18.900000000000002</v>
      </c>
      <c r="G28" s="220">
        <v>170.10000000000002</v>
      </c>
      <c r="H28" s="220">
        <v>9.261000000000001</v>
      </c>
      <c r="I28" s="220">
        <v>9.261000000000001</v>
      </c>
      <c r="J28" s="213" t="str">
        <v xml:space="preserve">     </v>
      </c>
      <c r="K28" s="221">
        <v>15.357599999999998</v>
      </c>
      <c r="L28" s="220">
        <v>15.357599999999998</v>
      </c>
      <c r="M28" s="220">
        <v>52.796202000000008</v>
      </c>
      <c r="N28" s="220">
        <v>52.796202000000008</v>
      </c>
      <c r="O28" s="220">
        <v>138.21839999999997</v>
      </c>
      <c r="P28" s="213" t="str">
        <v xml:space="preserve">     </v>
      </c>
      <c r="Q28" s="233" t="s">
        <v>199</v>
      </c>
      <c r="R28" s="235" t="s">
        <v>200</v>
      </c>
      <c r="S28" s="231">
        <v>11.819651301861366</v>
      </c>
      <c r="T28" s="213"/>
      <c r="U28" s="213"/>
      <c r="V28" s="213"/>
      <c r="W28" s="213"/>
    </row>
    <row r="29" spans="1:23" s="212" customFormat="1" ht="12" customHeight="1" x14ac:dyDescent="0.25">
      <c r="A29" s="217">
        <v>19.5</v>
      </c>
      <c r="B29" s="218">
        <v>1.77</v>
      </c>
      <c r="C29" s="219">
        <v>2</v>
      </c>
      <c r="D29" s="220">
        <v>3.54</v>
      </c>
      <c r="E29" s="219">
        <v>9.5</v>
      </c>
      <c r="F29" s="220">
        <v>33.630000000000003</v>
      </c>
      <c r="G29" s="220">
        <v>319.48500000000001</v>
      </c>
      <c r="H29" s="220">
        <v>5.5452330000000005</v>
      </c>
      <c r="I29" s="220">
        <v>11.090466000000001</v>
      </c>
      <c r="J29" s="213" t="str">
        <v xml:space="preserve">     </v>
      </c>
      <c r="K29" s="221">
        <v>11.524000000000001</v>
      </c>
      <c r="L29" s="220">
        <v>23.048000000000002</v>
      </c>
      <c r="M29" s="220">
        <v>42.030133333333332</v>
      </c>
      <c r="N29" s="220">
        <v>84.060266666666664</v>
      </c>
      <c r="O29" s="220">
        <v>218.95600000000002</v>
      </c>
      <c r="P29" s="213" t="str">
        <v xml:space="preserve">     </v>
      </c>
      <c r="Q29" s="233" t="s">
        <v>201</v>
      </c>
      <c r="R29" s="235" t="s">
        <v>202</v>
      </c>
      <c r="S29" s="231">
        <v>180.81974295886354</v>
      </c>
      <c r="T29" s="213"/>
      <c r="U29" s="213"/>
      <c r="V29" s="213"/>
      <c r="W29" s="213"/>
    </row>
    <row r="30" spans="1:23" s="212" customFormat="1" ht="12" customHeight="1" thickBot="1" x14ac:dyDescent="0.25">
      <c r="A30" s="217">
        <v>20</v>
      </c>
      <c r="B30" s="218">
        <v>1.45</v>
      </c>
      <c r="C30" s="219">
        <v>0.5</v>
      </c>
      <c r="D30" s="220">
        <v>0.72499999999999998</v>
      </c>
      <c r="E30" s="219">
        <v>10</v>
      </c>
      <c r="F30" s="222">
        <v>7.25</v>
      </c>
      <c r="G30" s="222">
        <v>72.5</v>
      </c>
      <c r="H30" s="220">
        <v>3.0486249999999999</v>
      </c>
      <c r="I30" s="220">
        <v>1.5243125</v>
      </c>
      <c r="J30" s="213" t="str">
        <v xml:space="preserve">     </v>
      </c>
      <c r="K30" s="221">
        <v>7.1440000000000001</v>
      </c>
      <c r="L30" s="222">
        <v>3.5720000000000001</v>
      </c>
      <c r="M30" s="222">
        <v>28.960266666666669</v>
      </c>
      <c r="N30" s="220">
        <v>14.480133333333335</v>
      </c>
      <c r="O30" s="220">
        <v>35.72</v>
      </c>
      <c r="P30" s="213" t="str">
        <v xml:space="preserve">     </v>
      </c>
      <c r="Q30" s="233" t="s">
        <v>71</v>
      </c>
      <c r="R30" s="235" t="s">
        <v>203</v>
      </c>
      <c r="S30" s="231">
        <v>22.06362417499999</v>
      </c>
      <c r="T30" s="213"/>
      <c r="U30" s="213"/>
      <c r="V30" s="213"/>
      <c r="W30" s="213"/>
    </row>
    <row r="31" spans="1:23" s="212" customFormat="1" ht="12" customHeight="1" thickBot="1" x14ac:dyDescent="0.25">
      <c r="A31" s="223" t="str">
        <v>Total</v>
      </c>
      <c r="B31" s="212" t="str">
        <v xml:space="preserve">     </v>
      </c>
      <c r="C31" s="212" t="str">
        <v xml:space="preserve">     </v>
      </c>
      <c r="D31" s="224">
        <v>490.33000000000004</v>
      </c>
      <c r="E31" s="212" t="str">
        <v xml:space="preserve">     </v>
      </c>
      <c r="F31" s="224">
        <v>-19.32999999999992</v>
      </c>
      <c r="G31" s="224">
        <v>8827.6500000000015</v>
      </c>
      <c r="H31" s="212" t="str">
        <v xml:space="preserve">     </v>
      </c>
      <c r="I31" s="224">
        <v>57111.308481999993</v>
      </c>
      <c r="J31" s="213" t="str">
        <v xml:space="preserve">     </v>
      </c>
      <c r="K31" s="212" t="str">
        <v xml:space="preserve">     </v>
      </c>
      <c r="L31" s="224">
        <v>4304.3337500000007</v>
      </c>
      <c r="M31" s="212" t="str">
        <v xml:space="preserve">     </v>
      </c>
      <c r="N31" s="224">
        <v>12801.518357166669</v>
      </c>
      <c r="O31" s="224">
        <v>1010.8858000000004</v>
      </c>
      <c r="P31" s="213" t="str">
        <v xml:space="preserve">     </v>
      </c>
      <c r="Q31" s="233" t="s">
        <v>73</v>
      </c>
      <c r="R31" s="235" t="s">
        <v>204</v>
      </c>
      <c r="S31" s="231">
        <v>1.5465071668757098</v>
      </c>
      <c r="T31" s="213"/>
      <c r="U31" s="213"/>
      <c r="V31" s="213"/>
      <c r="W31" s="213"/>
    </row>
    <row r="32" spans="1:23" s="212" customFormat="1" ht="12" customHeight="1" x14ac:dyDescent="0.25">
      <c r="A32" s="213" t="str">
        <v xml:space="preserve">     </v>
      </c>
      <c r="B32" s="213" t="str">
        <v xml:space="preserve">     </v>
      </c>
      <c r="C32" s="213" t="str">
        <v xml:space="preserve">     </v>
      </c>
      <c r="D32" s="213" t="str">
        <v xml:space="preserve">     </v>
      </c>
      <c r="E32" s="213" t="str">
        <v xml:space="preserve">     </v>
      </c>
      <c r="F32" s="213" t="str">
        <v xml:space="preserve">     </v>
      </c>
      <c r="G32" s="213" t="str">
        <v xml:space="preserve">     </v>
      </c>
      <c r="H32" s="213" t="str">
        <v xml:space="preserve">     </v>
      </c>
      <c r="I32" s="213" t="str">
        <v xml:space="preserve">     </v>
      </c>
      <c r="J32" s="213" t="str">
        <v xml:space="preserve">     </v>
      </c>
      <c r="K32" s="213" t="str">
        <v xml:space="preserve">     </v>
      </c>
      <c r="L32" s="213" t="str">
        <v xml:space="preserve">     </v>
      </c>
      <c r="M32" s="213" t="str">
        <v xml:space="preserve">     </v>
      </c>
      <c r="N32" s="213" t="str">
        <v xml:space="preserve">     </v>
      </c>
      <c r="O32" s="213" t="str">
        <v xml:space="preserve">     </v>
      </c>
      <c r="P32" s="213" t="str">
        <v xml:space="preserve">     </v>
      </c>
      <c r="Q32" s="233" t="s">
        <v>205</v>
      </c>
      <c r="R32" s="235" t="s">
        <v>76</v>
      </c>
      <c r="S32" s="231">
        <v>131.55875784988672</v>
      </c>
      <c r="T32" s="213"/>
      <c r="U32" s="213"/>
      <c r="V32" s="213"/>
      <c r="W32" s="213"/>
    </row>
    <row r="33" spans="1:23" s="212" customFormat="1" ht="12" customHeight="1" x14ac:dyDescent="0.2">
      <c r="A33" s="213" t="str">
        <v xml:space="preserve">     </v>
      </c>
      <c r="B33" s="213" t="str">
        <v xml:space="preserve">     </v>
      </c>
      <c r="C33" s="213" t="str">
        <v xml:space="preserve">     </v>
      </c>
      <c r="D33" s="213" t="str">
        <v xml:space="preserve">     </v>
      </c>
      <c r="E33" s="213" t="str">
        <v xml:space="preserve">     </v>
      </c>
      <c r="F33" s="213" t="str">
        <v xml:space="preserve">     </v>
      </c>
      <c r="G33" s="213" t="str">
        <v xml:space="preserve">     </v>
      </c>
      <c r="H33" s="213" t="str">
        <v xml:space="preserve">     </v>
      </c>
      <c r="I33" s="213" t="str">
        <v xml:space="preserve">     </v>
      </c>
      <c r="J33" s="213" t="str">
        <v xml:space="preserve">     </v>
      </c>
      <c r="K33" s="213" t="str">
        <v xml:space="preserve">     </v>
      </c>
      <c r="L33" s="213" t="str">
        <v xml:space="preserve">     </v>
      </c>
      <c r="M33" s="213" t="str">
        <v xml:space="preserve">     </v>
      </c>
      <c r="N33" s="213" t="str">
        <v xml:space="preserve">     </v>
      </c>
      <c r="O33" s="213" t="str">
        <v xml:space="preserve">     </v>
      </c>
      <c r="P33" s="213" t="str">
        <v xml:space="preserve">     </v>
      </c>
      <c r="Q33" s="233" t="s">
        <v>78</v>
      </c>
      <c r="R33" s="235" t="s">
        <v>79</v>
      </c>
      <c r="S33" s="231">
        <v>5.4</v>
      </c>
      <c r="T33" s="213"/>
      <c r="U33" s="213"/>
      <c r="V33" s="213"/>
      <c r="W33" s="213"/>
    </row>
    <row r="34" spans="1:23" s="212" customFormat="1" ht="12" customHeight="1" x14ac:dyDescent="0.25">
      <c r="A34" s="213" t="str">
        <v xml:space="preserve">     </v>
      </c>
      <c r="B34" s="213" t="str">
        <v xml:space="preserve">     </v>
      </c>
      <c r="C34" s="213" t="str">
        <v xml:space="preserve">     </v>
      </c>
      <c r="D34" s="213" t="str">
        <v xml:space="preserve">     </v>
      </c>
      <c r="E34" s="213" t="str">
        <v xml:space="preserve">     </v>
      </c>
      <c r="F34" s="213" t="str">
        <v xml:space="preserve">     </v>
      </c>
      <c r="G34" s="213" t="str">
        <v xml:space="preserve">     </v>
      </c>
      <c r="H34" s="213" t="str">
        <v xml:space="preserve">     </v>
      </c>
      <c r="I34" s="213" t="str">
        <v xml:space="preserve">     </v>
      </c>
      <c r="J34" s="213" t="str">
        <v xml:space="preserve">     </v>
      </c>
      <c r="K34" s="213" t="str">
        <v xml:space="preserve">     </v>
      </c>
      <c r="L34" s="213" t="str">
        <v xml:space="preserve">     </v>
      </c>
      <c r="M34" s="213" t="str">
        <v xml:space="preserve">     </v>
      </c>
      <c r="N34" s="213" t="str">
        <v xml:space="preserve">     </v>
      </c>
      <c r="O34" s="213" t="str">
        <v xml:space="preserve">     </v>
      </c>
      <c r="P34" s="213" t="str">
        <v xml:space="preserve">     </v>
      </c>
      <c r="Q34" s="233" t="s">
        <v>206</v>
      </c>
      <c r="R34" s="235" t="s">
        <v>207</v>
      </c>
      <c r="S34" s="231">
        <v>0.66711564625850328</v>
      </c>
      <c r="T34" s="213"/>
      <c r="U34" s="213"/>
      <c r="V34" s="213"/>
      <c r="W34" s="213"/>
    </row>
    <row r="35" spans="1:23" s="212" customFormat="1" ht="12" customHeight="1" x14ac:dyDescent="0.25">
      <c r="A35" s="213" t="str">
        <v xml:space="preserve">     </v>
      </c>
      <c r="B35" s="213" t="str">
        <v xml:space="preserve">     </v>
      </c>
      <c r="C35" s="213" t="str">
        <v xml:space="preserve">     </v>
      </c>
      <c r="D35" s="213" t="str">
        <v xml:space="preserve">     </v>
      </c>
      <c r="E35" s="213" t="str">
        <v xml:space="preserve">     </v>
      </c>
      <c r="F35" s="213" t="str">
        <v xml:space="preserve">     </v>
      </c>
      <c r="G35" s="213" t="str">
        <v xml:space="preserve">     </v>
      </c>
      <c r="H35" s="213" t="str">
        <v xml:space="preserve">     </v>
      </c>
      <c r="I35" s="213" t="str">
        <v xml:space="preserve">     </v>
      </c>
      <c r="J35" s="213" t="str">
        <v xml:space="preserve">     </v>
      </c>
      <c r="K35" s="213" t="str">
        <v xml:space="preserve">     </v>
      </c>
      <c r="L35" s="213" t="str">
        <v xml:space="preserve">     </v>
      </c>
      <c r="M35" s="213" t="str">
        <v xml:space="preserve">     </v>
      </c>
      <c r="N35" s="213" t="str">
        <v xml:space="preserve">     </v>
      </c>
      <c r="O35" s="213" t="str">
        <v xml:space="preserve">     </v>
      </c>
      <c r="P35" s="213" t="str">
        <v xml:space="preserve">     </v>
      </c>
      <c r="Q35" s="233" t="s">
        <v>208</v>
      </c>
      <c r="R35" s="235" t="s">
        <v>83</v>
      </c>
      <c r="S35" s="231">
        <v>0.5422441106072059</v>
      </c>
      <c r="T35" s="213"/>
      <c r="U35" s="213"/>
      <c r="V35" s="213"/>
      <c r="W35" s="213"/>
    </row>
    <row r="36" spans="1:23" s="212" customFormat="1" ht="12" customHeight="1" x14ac:dyDescent="0.25">
      <c r="A36" s="213" t="str">
        <v xml:space="preserve">     </v>
      </c>
      <c r="B36" s="213" t="str">
        <v xml:space="preserve">     </v>
      </c>
      <c r="C36" s="213" t="str">
        <v xml:space="preserve">     </v>
      </c>
      <c r="D36" s="213" t="str">
        <v xml:space="preserve">     </v>
      </c>
      <c r="E36" s="213" t="str">
        <v xml:space="preserve">     </v>
      </c>
      <c r="F36" s="213" t="str">
        <v xml:space="preserve">     </v>
      </c>
      <c r="G36" s="213" t="str">
        <v xml:space="preserve">     </v>
      </c>
      <c r="H36" s="213" t="str">
        <v xml:space="preserve">     </v>
      </c>
      <c r="I36" s="213" t="str">
        <v xml:space="preserve">     </v>
      </c>
      <c r="J36" s="213" t="str">
        <v xml:space="preserve">     </v>
      </c>
      <c r="K36" s="213" t="str">
        <v xml:space="preserve">     </v>
      </c>
      <c r="L36" s="213" t="str">
        <v xml:space="preserve">     </v>
      </c>
      <c r="M36" s="213" t="str">
        <v xml:space="preserve">     </v>
      </c>
      <c r="N36" s="213" t="str">
        <v xml:space="preserve">     </v>
      </c>
      <c r="O36" s="213" t="str">
        <v xml:space="preserve">     </v>
      </c>
      <c r="P36" s="213" t="str">
        <v xml:space="preserve">     </v>
      </c>
      <c r="Q36" s="233" t="s">
        <v>209</v>
      </c>
      <c r="R36" s="235" t="s">
        <v>210</v>
      </c>
      <c r="S36" s="232">
        <v>0.94961451247165518</v>
      </c>
      <c r="T36" s="213"/>
      <c r="U36" s="213"/>
      <c r="V36" s="213"/>
      <c r="W36" s="213"/>
    </row>
    <row r="37" spans="1:23" s="212" customFormat="1" ht="12" customHeight="1" x14ac:dyDescent="0.25">
      <c r="A37" s="213" t="str">
        <v xml:space="preserve">     </v>
      </c>
      <c r="B37" s="213" t="str">
        <v xml:space="preserve">     </v>
      </c>
      <c r="C37" s="213" t="str">
        <v xml:space="preserve">     </v>
      </c>
      <c r="D37" s="213" t="str">
        <v xml:space="preserve">     </v>
      </c>
      <c r="E37" s="213" t="str">
        <v xml:space="preserve">     </v>
      </c>
      <c r="F37" s="213" t="str">
        <v xml:space="preserve">     </v>
      </c>
      <c r="G37" s="213" t="str">
        <v xml:space="preserve">     </v>
      </c>
      <c r="H37" s="213" t="str">
        <v xml:space="preserve">     </v>
      </c>
      <c r="I37" s="213" t="str">
        <v xml:space="preserve">     </v>
      </c>
      <c r="J37" s="213" t="str">
        <v xml:space="preserve">     </v>
      </c>
      <c r="K37" s="213" t="str">
        <v xml:space="preserve">     </v>
      </c>
      <c r="L37" s="213" t="str">
        <v xml:space="preserve">     </v>
      </c>
      <c r="M37" s="213" t="str">
        <v xml:space="preserve">     </v>
      </c>
      <c r="N37" s="213" t="str">
        <v xml:space="preserve">     </v>
      </c>
      <c r="O37" s="213" t="str">
        <v xml:space="preserve">     </v>
      </c>
      <c r="P37" s="213" t="str">
        <v xml:space="preserve">     </v>
      </c>
      <c r="Q37" s="233" t="s">
        <v>211</v>
      </c>
      <c r="R37" s="235" t="s">
        <v>212</v>
      </c>
      <c r="S37" s="231">
        <v>0.57101497869472717</v>
      </c>
      <c r="T37" s="213"/>
      <c r="U37" s="213"/>
      <c r="V37" s="213"/>
      <c r="W37" s="213"/>
    </row>
    <row r="38" spans="1:23" x14ac:dyDescent="0.25">
      <c r="A38" s="127"/>
      <c r="B38" s="127"/>
      <c r="C38" s="127"/>
      <c r="D38" s="127"/>
      <c r="E38" s="127"/>
      <c r="F38" s="127"/>
      <c r="G38" s="127"/>
      <c r="H38" s="127"/>
      <c r="I38" s="127"/>
      <c r="J38" s="127"/>
      <c r="K38" s="127"/>
      <c r="L38" s="127"/>
      <c r="M38" s="127"/>
      <c r="N38" s="127"/>
      <c r="O38" s="127"/>
      <c r="P38" s="127"/>
      <c r="Q38" s="127"/>
      <c r="R38" s="127"/>
      <c r="S38" s="127"/>
      <c r="T38" s="127"/>
    </row>
    <row r="39" spans="1:23" x14ac:dyDescent="0.25">
      <c r="A39" s="127"/>
      <c r="B39" s="127"/>
      <c r="C39" s="127"/>
      <c r="D39" s="127"/>
      <c r="E39" s="127"/>
      <c r="F39" s="127"/>
      <c r="G39" s="127"/>
      <c r="H39" s="127"/>
      <c r="I39" s="127"/>
      <c r="J39" s="127"/>
      <c r="K39" s="127"/>
      <c r="L39" s="127"/>
      <c r="M39" s="127"/>
      <c r="N39" s="127"/>
      <c r="O39" s="127"/>
      <c r="P39" s="127"/>
      <c r="Q39" s="127"/>
      <c r="R39" s="127"/>
      <c r="S39" s="127"/>
      <c r="T39" s="127"/>
    </row>
    <row r="40" spans="1:23" x14ac:dyDescent="0.25">
      <c r="A40" s="127"/>
      <c r="B40" s="127"/>
      <c r="C40" s="127"/>
      <c r="D40" s="127"/>
      <c r="E40" s="127"/>
      <c r="F40" s="127"/>
      <c r="G40" s="127"/>
      <c r="H40" s="127"/>
      <c r="I40" s="127"/>
      <c r="J40" s="127"/>
      <c r="K40" s="127"/>
      <c r="L40" s="127"/>
      <c r="M40" s="127"/>
      <c r="N40" s="127"/>
      <c r="O40" s="127"/>
      <c r="P40" s="127"/>
      <c r="Q40" s="127"/>
      <c r="R40" s="127"/>
      <c r="S40" s="127"/>
      <c r="T40" s="127"/>
    </row>
  </sheetData>
  <sheetProtection password="CC2F" sheet="1" objects="1" scenarios="1"/>
  <mergeCells count="3">
    <mergeCell ref="D2:E2"/>
    <mergeCell ref="A4:I4"/>
    <mergeCell ref="K4:O4"/>
  </mergeCells>
  <conditionalFormatting sqref="K4:O4">
    <cfRule type="containsErrors" dxfId="29" priority="22">
      <formula>ISERROR(K4)</formula>
    </cfRule>
  </conditionalFormatting>
  <conditionalFormatting sqref="R14:S14">
    <cfRule type="containsErrors" dxfId="28" priority="6">
      <formula>ISERROR(R14)</formula>
    </cfRule>
  </conditionalFormatting>
  <conditionalFormatting sqref="R15:R24">
    <cfRule type="containsErrors" dxfId="27" priority="21">
      <formula>ISERROR(R15)</formula>
    </cfRule>
  </conditionalFormatting>
  <conditionalFormatting sqref="S15:S37">
    <cfRule type="containsErrors" dxfId="26" priority="20">
      <formula>ISERROR(S15)</formula>
    </cfRule>
  </conditionalFormatting>
  <conditionalFormatting sqref="A31 D31 F31:G31 I31">
    <cfRule type="containsErrors" dxfId="25" priority="18">
      <formula>ISERROR(A31)</formula>
    </cfRule>
  </conditionalFormatting>
  <conditionalFormatting sqref="A6:I30">
    <cfRule type="containsErrors" dxfId="24" priority="19">
      <formula>ISERROR(A6)</formula>
    </cfRule>
  </conditionalFormatting>
  <conditionalFormatting sqref="K6:O30">
    <cfRule type="containsErrors" dxfId="23" priority="17">
      <formula>ISERROR(K6)</formula>
    </cfRule>
  </conditionalFormatting>
  <conditionalFormatting sqref="L31">
    <cfRule type="containsErrors" dxfId="22" priority="16">
      <formula>ISERROR(L31)</formula>
    </cfRule>
  </conditionalFormatting>
  <conditionalFormatting sqref="N31">
    <cfRule type="containsErrors" dxfId="21" priority="15">
      <formula>ISERROR(N31)</formula>
    </cfRule>
  </conditionalFormatting>
  <conditionalFormatting sqref="O31">
    <cfRule type="containsErrors" dxfId="20" priority="14">
      <formula>ISERROR(O31)</formula>
    </cfRule>
  </conditionalFormatting>
  <conditionalFormatting sqref="A4">
    <cfRule type="containsErrors" dxfId="19" priority="13">
      <formula>ISERROR(A4)</formula>
    </cfRule>
  </conditionalFormatting>
  <conditionalFormatting sqref="Q5:R9">
    <cfRule type="containsErrors" dxfId="18" priority="12">
      <formula>ISERROR(Q5)</formula>
    </cfRule>
  </conditionalFormatting>
  <conditionalFormatting sqref="R10">
    <cfRule type="containsErrors" dxfId="17" priority="10">
      <formula>ISERROR(R10)</formula>
    </cfRule>
  </conditionalFormatting>
  <conditionalFormatting sqref="Q10">
    <cfRule type="containsErrors" dxfId="16" priority="11">
      <formula>ISERROR(Q10)</formula>
    </cfRule>
  </conditionalFormatting>
  <conditionalFormatting sqref="R25:R37">
    <cfRule type="containsErrors" dxfId="15" priority="9">
      <formula>ISERROR(R25)</formula>
    </cfRule>
  </conditionalFormatting>
  <conditionalFormatting sqref="Q14">
    <cfRule type="containsErrors" dxfId="14" priority="8">
      <formula>ISERROR(Q14)</formula>
    </cfRule>
  </conditionalFormatting>
  <conditionalFormatting sqref="Q15:Q37">
    <cfRule type="containsErrors" dxfId="13" priority="7">
      <formula>ISERROR(Q15)</formula>
    </cfRule>
  </conditionalFormatting>
  <conditionalFormatting sqref="R11">
    <cfRule type="containsErrors" dxfId="12" priority="4">
      <formula>ISERROR(R11)</formula>
    </cfRule>
  </conditionalFormatting>
  <conditionalFormatting sqref="Q11">
    <cfRule type="containsErrors" dxfId="11" priority="5">
      <formula>ISERROR(Q11)</formula>
    </cfRule>
  </conditionalFormatting>
  <conditionalFormatting sqref="S5:S9">
    <cfRule type="containsErrors" dxfId="10" priority="3">
      <formula>ISERROR(S5)</formula>
    </cfRule>
  </conditionalFormatting>
  <conditionalFormatting sqref="S10">
    <cfRule type="containsErrors" dxfId="9" priority="2">
      <formula>ISERROR(S10)</formula>
    </cfRule>
  </conditionalFormatting>
  <conditionalFormatting sqref="S11">
    <cfRule type="containsErrors" dxfId="8" priority="1">
      <formula>ISERROR(S11)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Drop Down 2">
              <controlPr defaultSize="0" autoLine="0" autoPict="0">
                <anchor moveWithCells="1">
                  <from>
                    <xdr:col>11</xdr:col>
                    <xdr:colOff>47625</xdr:colOff>
                    <xdr:row>1</xdr:row>
                    <xdr:rowOff>0</xdr:rowOff>
                  </from>
                  <to>
                    <xdr:col>14</xdr:col>
                    <xdr:colOff>600075</xdr:colOff>
                    <xdr:row>1</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OFFSET(Tools!$BE$3,,,Max_WL_count,1)</xm:f>
          </x14:formula1>
          <xm:sqref>D2:E2</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GQ237"/>
  <sheetViews>
    <sheetView showGridLines="0" topLeftCell="FQ93" zoomScale="70" zoomScaleNormal="70" workbookViewId="0">
      <selection activeCell="GQ126" sqref="GQ126"/>
    </sheetView>
  </sheetViews>
  <sheetFormatPr defaultRowHeight="15" x14ac:dyDescent="0.25"/>
  <cols>
    <col min="1" max="1" width="19.7109375" style="129" customWidth="1"/>
    <col min="2" max="3" width="9.28515625" style="129" bestFit="1" customWidth="1"/>
    <col min="4" max="4" width="9.7109375" style="129" bestFit="1" customWidth="1"/>
    <col min="5" max="5" width="13.85546875" style="129" customWidth="1"/>
    <col min="6" max="6" width="13.140625" style="129" customWidth="1"/>
    <col min="7" max="8" width="9.28515625" style="129" bestFit="1" customWidth="1"/>
    <col min="9" max="9" width="11.140625" style="129" bestFit="1" customWidth="1"/>
    <col min="10" max="11" width="9.28515625" style="129" bestFit="1" customWidth="1"/>
    <col min="12" max="12" width="9.140625" style="129" customWidth="1"/>
    <col min="13" max="19" width="9.28515625" style="129" bestFit="1" customWidth="1"/>
    <col min="20" max="25" width="9.7109375" style="129" bestFit="1" customWidth="1"/>
    <col min="26" max="27" width="9.28515625" style="129" bestFit="1" customWidth="1"/>
    <col min="28" max="28" width="12.42578125" style="129" bestFit="1" customWidth="1"/>
    <col min="29" max="29" width="9.28515625" style="129" bestFit="1" customWidth="1"/>
    <col min="30" max="30" width="10.28515625" style="129" bestFit="1" customWidth="1"/>
    <col min="31" max="35" width="9.28515625" style="129" bestFit="1" customWidth="1"/>
    <col min="36" max="38" width="12" style="129" bestFit="1" customWidth="1"/>
    <col min="39" max="39" width="11" style="129" bestFit="1" customWidth="1"/>
    <col min="40" max="46" width="12" style="129" bestFit="1" customWidth="1"/>
    <col min="47" max="47" width="9.140625" style="129" customWidth="1"/>
    <col min="48" max="52" width="12" style="129" bestFit="1" customWidth="1"/>
    <col min="53" max="53" width="9.140625" style="129" customWidth="1"/>
    <col min="54" max="55" width="12" style="129" bestFit="1" customWidth="1"/>
    <col min="56" max="67" width="12.42578125" style="129" bestFit="1" customWidth="1"/>
    <col min="68" max="68" width="17.42578125" style="129" bestFit="1" customWidth="1"/>
    <col min="69" max="69" width="9.28515625" style="129" bestFit="1" customWidth="1"/>
    <col min="70" max="80" width="10.28515625" style="129" bestFit="1" customWidth="1"/>
    <col min="81" max="81" width="9.140625" style="129" customWidth="1"/>
    <col min="82" max="84" width="10.28515625" style="129" bestFit="1" customWidth="1"/>
    <col min="85" max="85" width="12.28515625" style="129" bestFit="1" customWidth="1"/>
    <col min="86" max="86" width="10.28515625" style="129" bestFit="1" customWidth="1"/>
    <col min="87" max="87" width="9.140625" style="129" customWidth="1"/>
    <col min="88" max="88" width="12.42578125" style="129" bestFit="1" customWidth="1"/>
    <col min="89" max="96" width="10.28515625" style="129" bestFit="1" customWidth="1"/>
    <col min="97" max="100" width="9.28515625" style="129" bestFit="1" customWidth="1"/>
    <col min="101" max="113" width="10.28515625" style="129" bestFit="1" customWidth="1"/>
    <col min="114" max="114" width="15.7109375" style="129" customWidth="1"/>
    <col min="115" max="128" width="9.28515625" style="129" bestFit="1" customWidth="1"/>
    <col min="129" max="16384" width="9.140625" style="129"/>
  </cols>
  <sheetData>
    <row r="1" spans="1:114" x14ac:dyDescent="0.25">
      <c r="A1" s="236" t="str">
        <f t="array" ref="A1:AA27">Offset!R2:AR28</f>
        <v>STN/WL</v>
      </c>
      <c r="B1" s="237">
        <v>0</v>
      </c>
      <c r="C1" s="237">
        <v>0.5</v>
      </c>
      <c r="D1" s="237">
        <v>1</v>
      </c>
      <c r="E1" s="237">
        <v>1.5</v>
      </c>
      <c r="F1" s="237">
        <v>2</v>
      </c>
      <c r="G1" s="237">
        <v>3</v>
      </c>
      <c r="H1" s="237">
        <v>4</v>
      </c>
      <c r="I1" s="237">
        <v>5</v>
      </c>
      <c r="J1" s="237" t="str">
        <v>LWL</v>
      </c>
      <c r="K1" s="237">
        <v>6</v>
      </c>
      <c r="L1" s="237">
        <v>7</v>
      </c>
      <c r="M1" s="237" t="str">
        <v>MDK</v>
      </c>
      <c r="N1" s="237">
        <v>0</v>
      </c>
      <c r="O1" s="237">
        <v>0</v>
      </c>
      <c r="P1" s="237">
        <v>0</v>
      </c>
      <c r="Q1" s="237">
        <v>0</v>
      </c>
      <c r="R1" s="237">
        <v>0</v>
      </c>
      <c r="S1" s="237">
        <v>0</v>
      </c>
      <c r="T1" s="237">
        <v>0</v>
      </c>
      <c r="U1" s="237">
        <v>0</v>
      </c>
      <c r="V1" s="237">
        <v>0</v>
      </c>
      <c r="W1" s="237">
        <v>0</v>
      </c>
      <c r="X1" s="237">
        <v>0</v>
      </c>
      <c r="Y1" s="237">
        <v>0</v>
      </c>
      <c r="Z1" s="238">
        <v>0</v>
      </c>
      <c r="AA1" s="129">
        <v>0</v>
      </c>
      <c r="AC1" s="246" t="s">
        <v>213</v>
      </c>
      <c r="AD1" s="246" t="str">
        <f>A1</f>
        <v>STN/WL</v>
      </c>
      <c r="AE1" s="246">
        <f>IF(ISBLANK(Offset!S2),"  ",IF(OR(B1="LWL",B1="Lwl",B1="lwl"),DRAFT/WLS,IF(OR(B1="MDK",B1="Mdk",B1="mdk"),DEPTH/WLS,B1)))</f>
        <v>0</v>
      </c>
      <c r="AF1" s="246">
        <f>IF(ISBLANK(Offset!T2),"  ",IF(OR(C1="LWL",C1="Lwl",C1="lwl"),DRAFT/WLS,IF(OR(C1="MDK",C1="Mdk",C1="mdk"),DEPTH/WLS,C1)))</f>
        <v>0.5</v>
      </c>
      <c r="AG1" s="246">
        <f>IF(ISBLANK(Offset!U2),"  ",IF(OR(D1="LWL",D1="Lwl",D1="lwl"),DRAFT/WLS,IF(OR(D1="MDK",D1="Mdk",D1="mdk"),DEPTH/WLS,D1)))</f>
        <v>1</v>
      </c>
      <c r="AH1" s="246">
        <f>IF(ISBLANK(Offset!V2),"  ",IF(OR(E1="LWL",E1="Lwl",E1="lwl"),DRAFT/WLS,IF(OR(E1="MDK",E1="Mdk",E1="mdk"),DEPTH/WLS,E1)))</f>
        <v>1.5</v>
      </c>
      <c r="AI1" s="246">
        <f>IF(ISBLANK(Offset!W2),"  ",IF(OR(F1="LWL",F1="Lwl",F1="lwl"),DRAFT/WLS,IF(OR(F1="MDK",F1="Mdk",F1="mdk"),DEPTH/WLS,F1)))</f>
        <v>2</v>
      </c>
      <c r="AJ1" s="246">
        <f>IF(ISBLANK(Offset!X2),"  ",IF(OR(G1="LWL",G1="Lwl",G1="lwl"),DRAFT/WLS,IF(OR(G1="MDK",G1="Mdk",G1="mdk"),DEPTH/WLS,G1)))</f>
        <v>3</v>
      </c>
      <c r="AK1" s="246">
        <f>IF(ISBLANK(Offset!Y2),"  ",IF(OR(H1="LWL",H1="Lwl",H1="lwl"),DRAFT/WLS,IF(OR(H1="MDK",H1="Mdk",H1="mdk"),DEPTH/WLS,H1)))</f>
        <v>4</v>
      </c>
      <c r="AL1" s="246">
        <f>IF(ISBLANK(Offset!Z2),"  ",IF(OR(I1="LWL",I1="Lwl",I1="lwl"),DRAFT/WLS,IF(OR(I1="MDK",I1="Mdk",I1="mdk"),DEPTH/WLS,I1)))</f>
        <v>5</v>
      </c>
      <c r="AM1" s="246">
        <f>IF(ISBLANK(Offset!AA2),"  ",IF(OR(J1="LWL",J1="Lwl",J1="lwl"),DRAFT/WLS,IF(OR(J1="MDK",J1="Mdk",J1="mdk"),DEPTH/WLS,J1)))</f>
        <v>5.6111111111111107</v>
      </c>
      <c r="AN1" s="246">
        <f>IF(ISBLANK(Offset!AB2),"  ",IF(OR(K1="LWL",K1="Lwl",K1="lwl"),DRAFT/WLS,IF(OR(K1="MDK",K1="Mdk",K1="mdk"),DEPTH/WLS,K1)))</f>
        <v>6</v>
      </c>
      <c r="AO1" s="246">
        <f>IF(ISBLANK(Offset!AC2),"  ",IF(OR(L1="LWL",L1="Lwl",L1="lwl"),DRAFT/WLS,IF(OR(L1="MDK",L1="Mdk",L1="mdk"),DEPTH/WLS,L1)))</f>
        <v>7</v>
      </c>
      <c r="AP1" s="246">
        <f>IF(ISBLANK(Offset!AD2),"  ",IF(OR(M1="LWL",M1="Lwl",M1="lwl"),DRAFT/WLS,IF(OR(M1="MDK",M1="Mdk",M1="mdk"),DEPTH/WLS,M1)))</f>
        <v>7.8833333333333329</v>
      </c>
      <c r="AQ1" s="246" t="str">
        <f>IF(ISBLANK(Offset!AE2),"  ",IF(OR(N1="LWL",N1="Lwl",N1="lwl"),DRAFT/WLS,IF(OR(N1="MDK",N1="Mdk",N1="mdk"),DEPTH/WLS,N1)))</f>
        <v xml:space="preserve">  </v>
      </c>
      <c r="AR1" s="246" t="str">
        <f>IF(ISBLANK(Offset!AF2),"  ",IF(OR(O1="LWL",O1="Lwl",O1="lwl"),DRAFT/WLS,IF(OR(O1="MDK",O1="Mdk",O1="mdk"),DEPTH/WLS,O1)))</f>
        <v xml:space="preserve">  </v>
      </c>
      <c r="AS1" s="246" t="str">
        <f>IF(ISBLANK(Offset!AG2),"  ",IF(OR(P1="LWL",P1="Lwl",P1="lwl"),DRAFT/WLS,IF(OR(P1="MDK",P1="Mdk",P1="mdk"),DEPTH/WLS,P1)))</f>
        <v xml:space="preserve">  </v>
      </c>
      <c r="AT1" s="246" t="str">
        <f>IF(ISBLANK(Offset!AH2),"  ",IF(OR(Q1="LWL",Q1="Lwl",Q1="lwl"),DRAFT/WLS,IF(OR(Q1="MDK",Q1="Mdk",Q1="mdk"),DEPTH/WLS,Q1)))</f>
        <v xml:space="preserve">  </v>
      </c>
      <c r="AU1" s="246" t="str">
        <f>IF(ISBLANK(Offset!AI2),"  ",IF(OR(R1="LWL",R1="Lwl",R1="lwl"),DRAFT/WLS,IF(OR(R1="MDK",R1="Mdk",R1="mdk"),DEPTH/WLS,R1)))</f>
        <v xml:space="preserve">  </v>
      </c>
      <c r="AV1" s="246" t="str">
        <f>IF(ISBLANK(Offset!AJ2),"  ",IF(OR(S1="LWL",S1="Lwl",S1="lwl"),DRAFT/WLS,IF(OR(S1="MDK",S1="Mdk",S1="mdk"),DEPTH/WLS,S1)))</f>
        <v xml:space="preserve">  </v>
      </c>
      <c r="AW1" s="246" t="str">
        <f>IF(ISBLANK(Offset!AK2),"  ",IF(OR(T1="LWL",T1="Lwl",T1="lwl"),DRAFT/WLS,IF(OR(T1="MDK",T1="Mdk",T1="mdk"),DEPTH/WLS,T1)))</f>
        <v xml:space="preserve">  </v>
      </c>
      <c r="AX1" s="246" t="str">
        <f>IF(ISBLANK(Offset!AL2),"  ",IF(OR(U1="LWL",U1="Lwl",U1="lwl"),DRAFT/WLS,IF(OR(U1="MDK",U1="Mdk",U1="mdk"),DEPTH/WLS,U1)))</f>
        <v xml:space="preserve">  </v>
      </c>
      <c r="AY1" s="246" t="str">
        <f>IF(ISBLANK(Offset!AM2),"  ",IF(OR(V1="LWL",V1="Lwl",V1="lwl"),DRAFT/WLS,IF(OR(V1="MDK",V1="Mdk",V1="mdk"),DEPTH/WLS,V1)))</f>
        <v xml:space="preserve">  </v>
      </c>
      <c r="AZ1" s="246" t="str">
        <f>IF(ISBLANK(Offset!AN2),"  ",IF(OR(W1="LWL",W1="Lwl",W1="lwl"),DRAFT/WLS,IF(OR(W1="MDK",W1="Mdk",W1="mdk"),DEPTH/WLS,W1)))</f>
        <v xml:space="preserve">  </v>
      </c>
      <c r="BA1" s="246" t="str">
        <f>IF(ISBLANK(Offset!AO2),"  ",IF(OR(X1="LWL",X1="Lwl",X1="lwl"),DRAFT/WLS,IF(OR(X1="MDK",X1="Mdk",X1="mdk"),DEPTH/WLS,X1)))</f>
        <v xml:space="preserve">  </v>
      </c>
      <c r="BB1" s="246" t="str">
        <f>IF(ISBLANK(Offset!AP2),"  ",IF(OR(Y1="LWL",Y1="Lwl",Y1="lwl"),DRAFT/WLS,IF(OR(Y1="MDK",Y1="Mdk",Y1="mdk"),DEPTH/WLS,Y1)))</f>
        <v xml:space="preserve">  </v>
      </c>
      <c r="BC1" s="246" t="str">
        <f>IF(ISBLANK(Offset!AQ2),"  ",IF(OR(Z1="LWL",Z1="Lwl",Z1="lwl"),DRAFT/WLS,IF(OR(Z1="MDK",Z1="Mdk",Z1="mdk"),DEPTH/WLS,Z1)))</f>
        <v xml:space="preserve">  </v>
      </c>
      <c r="BE1" s="247"/>
      <c r="BF1" s="248">
        <v>1</v>
      </c>
      <c r="BG1" s="248">
        <v>2</v>
      </c>
      <c r="BH1" s="248">
        <v>3</v>
      </c>
      <c r="BI1" s="248">
        <v>4</v>
      </c>
      <c r="BJ1" s="248">
        <v>5</v>
      </c>
      <c r="BK1" s="248">
        <v>6</v>
      </c>
      <c r="BL1" s="248">
        <v>7</v>
      </c>
      <c r="BM1" s="248">
        <v>8</v>
      </c>
      <c r="BN1" s="248">
        <v>9</v>
      </c>
      <c r="BO1" s="248">
        <v>10</v>
      </c>
      <c r="BP1" s="248">
        <v>11</v>
      </c>
      <c r="BQ1" s="248">
        <v>12</v>
      </c>
      <c r="BR1" s="248">
        <v>13</v>
      </c>
      <c r="BS1" s="248">
        <v>14</v>
      </c>
      <c r="BT1" s="248">
        <v>15</v>
      </c>
      <c r="BU1" s="248">
        <v>16</v>
      </c>
      <c r="BV1" s="248">
        <v>17</v>
      </c>
      <c r="BW1" s="248">
        <v>18</v>
      </c>
      <c r="BX1" s="248">
        <v>19</v>
      </c>
      <c r="BY1" s="248">
        <v>20</v>
      </c>
      <c r="BZ1" s="248">
        <v>21</v>
      </c>
      <c r="CA1" s="248">
        <v>22</v>
      </c>
      <c r="CB1" s="248">
        <v>23</v>
      </c>
      <c r="CC1" s="248">
        <v>24</v>
      </c>
      <c r="CD1" s="249">
        <v>25</v>
      </c>
    </row>
    <row r="2" spans="1:114" x14ac:dyDescent="0.25">
      <c r="A2" s="239">
        <v>0</v>
      </c>
      <c r="B2" s="240">
        <v>0</v>
      </c>
      <c r="C2" s="240">
        <v>0</v>
      </c>
      <c r="D2" s="240">
        <v>0</v>
      </c>
      <c r="E2" s="240">
        <v>0</v>
      </c>
      <c r="F2" s="240">
        <v>0</v>
      </c>
      <c r="G2" s="240">
        <v>0</v>
      </c>
      <c r="H2" s="240">
        <v>0</v>
      </c>
      <c r="I2" s="240">
        <v>0</v>
      </c>
      <c r="J2" s="240">
        <v>2.8919999999999999</v>
      </c>
      <c r="K2" s="240">
        <v>6.2</v>
      </c>
      <c r="L2" s="240">
        <v>9.6</v>
      </c>
      <c r="M2" s="240">
        <v>10.89</v>
      </c>
      <c r="N2" s="240">
        <v>0</v>
      </c>
      <c r="O2" s="240">
        <v>0</v>
      </c>
      <c r="P2" s="240">
        <v>0</v>
      </c>
      <c r="Q2" s="240">
        <v>0</v>
      </c>
      <c r="R2" s="240">
        <v>0</v>
      </c>
      <c r="S2" s="240">
        <v>0</v>
      </c>
      <c r="T2" s="240">
        <v>0</v>
      </c>
      <c r="U2" s="240">
        <v>0</v>
      </c>
      <c r="V2" s="240">
        <v>0</v>
      </c>
      <c r="W2" s="240">
        <v>0</v>
      </c>
      <c r="X2" s="240">
        <v>0</v>
      </c>
      <c r="Y2" s="240">
        <v>0</v>
      </c>
      <c r="Z2" s="241">
        <v>0</v>
      </c>
      <c r="AA2" s="129">
        <v>0</v>
      </c>
      <c r="AC2" s="246"/>
      <c r="AD2" s="250" t="s">
        <v>133</v>
      </c>
      <c r="AE2" s="251">
        <f t="shared" ref="AE2:BC2" si="0">IF(ISNUMBER(AE1),AE1,"  ")</f>
        <v>0</v>
      </c>
      <c r="AF2" s="251">
        <f t="shared" si="0"/>
        <v>0.5</v>
      </c>
      <c r="AG2" s="251">
        <f t="shared" si="0"/>
        <v>1</v>
      </c>
      <c r="AH2" s="251">
        <f t="shared" si="0"/>
        <v>1.5</v>
      </c>
      <c r="AI2" s="251">
        <f t="shared" si="0"/>
        <v>2</v>
      </c>
      <c r="AJ2" s="251">
        <f t="shared" si="0"/>
        <v>3</v>
      </c>
      <c r="AK2" s="251">
        <f t="shared" si="0"/>
        <v>4</v>
      </c>
      <c r="AL2" s="251">
        <f t="shared" si="0"/>
        <v>5</v>
      </c>
      <c r="AM2" s="251">
        <f t="shared" si="0"/>
        <v>5.6111111111111107</v>
      </c>
      <c r="AN2" s="251">
        <f t="shared" si="0"/>
        <v>6</v>
      </c>
      <c r="AO2" s="251">
        <f t="shared" si="0"/>
        <v>7</v>
      </c>
      <c r="AP2" s="251">
        <f t="shared" si="0"/>
        <v>7.8833333333333329</v>
      </c>
      <c r="AQ2" s="251" t="str">
        <f t="shared" si="0"/>
        <v xml:space="preserve">  </v>
      </c>
      <c r="AR2" s="251" t="str">
        <f t="shared" si="0"/>
        <v xml:space="preserve">  </v>
      </c>
      <c r="AS2" s="251" t="str">
        <f t="shared" si="0"/>
        <v xml:space="preserve">  </v>
      </c>
      <c r="AT2" s="251" t="str">
        <f t="shared" si="0"/>
        <v xml:space="preserve">  </v>
      </c>
      <c r="AU2" s="251" t="str">
        <f>IF(ISNUMBER(AU1),AU1,"  ")</f>
        <v xml:space="preserve">  </v>
      </c>
      <c r="AV2" s="251" t="str">
        <f t="shared" si="0"/>
        <v xml:space="preserve">  </v>
      </c>
      <c r="AW2" s="251" t="str">
        <f t="shared" si="0"/>
        <v xml:space="preserve">  </v>
      </c>
      <c r="AX2" s="251" t="str">
        <f t="shared" si="0"/>
        <v xml:space="preserve">  </v>
      </c>
      <c r="AY2" s="251" t="str">
        <f t="shared" si="0"/>
        <v xml:space="preserve">  </v>
      </c>
      <c r="AZ2" s="251" t="str">
        <f t="shared" si="0"/>
        <v xml:space="preserve">  </v>
      </c>
      <c r="BA2" s="251" t="str">
        <f t="shared" si="0"/>
        <v xml:space="preserve">  </v>
      </c>
      <c r="BB2" s="251" t="str">
        <f t="shared" si="0"/>
        <v xml:space="preserve">  </v>
      </c>
      <c r="BC2" s="251" t="str">
        <f t="shared" si="0"/>
        <v xml:space="preserve">  </v>
      </c>
      <c r="BE2" s="252" t="str">
        <f t="array" ref="BE2:CD27">TRANSPOSE(AD2:BC27)</f>
        <v>STN/WL</v>
      </c>
      <c r="BF2" s="253">
        <v>0</v>
      </c>
      <c r="BG2" s="253">
        <v>0.5</v>
      </c>
      <c r="BH2" s="253">
        <v>1</v>
      </c>
      <c r="BI2" s="253">
        <v>1.5</v>
      </c>
      <c r="BJ2" s="253">
        <v>2</v>
      </c>
      <c r="BK2" s="253">
        <v>3</v>
      </c>
      <c r="BL2" s="253">
        <v>4</v>
      </c>
      <c r="BM2" s="253">
        <v>5</v>
      </c>
      <c r="BN2" s="253">
        <v>6</v>
      </c>
      <c r="BO2" s="253">
        <v>7</v>
      </c>
      <c r="BP2" s="253">
        <v>8</v>
      </c>
      <c r="BQ2" s="253">
        <v>9</v>
      </c>
      <c r="BR2" s="253">
        <v>10</v>
      </c>
      <c r="BS2" s="253">
        <v>11</v>
      </c>
      <c r="BT2" s="253">
        <v>12</v>
      </c>
      <c r="BU2" s="253">
        <v>13</v>
      </c>
      <c r="BV2" s="253">
        <v>14</v>
      </c>
      <c r="BW2" s="253">
        <v>15</v>
      </c>
      <c r="BX2" s="253">
        <v>16</v>
      </c>
      <c r="BY2" s="253">
        <v>17</v>
      </c>
      <c r="BZ2" s="253">
        <v>18</v>
      </c>
      <c r="CA2" s="253">
        <v>18.5</v>
      </c>
      <c r="CB2" s="253">
        <v>19</v>
      </c>
      <c r="CC2" s="253">
        <v>19.5</v>
      </c>
      <c r="CD2" s="254">
        <v>20</v>
      </c>
    </row>
    <row r="3" spans="1:114" x14ac:dyDescent="0.25">
      <c r="A3" s="239">
        <v>0.5</v>
      </c>
      <c r="B3" s="240">
        <v>0</v>
      </c>
      <c r="C3" s="240">
        <v>0</v>
      </c>
      <c r="D3" s="240">
        <v>0</v>
      </c>
      <c r="E3" s="240">
        <v>0</v>
      </c>
      <c r="F3" s="240">
        <v>0</v>
      </c>
      <c r="G3" s="240">
        <v>0</v>
      </c>
      <c r="H3" s="240">
        <v>0</v>
      </c>
      <c r="I3" s="240">
        <v>1.2</v>
      </c>
      <c r="J3" s="240">
        <v>6.8</v>
      </c>
      <c r="K3" s="240">
        <v>8.4600000000000009</v>
      </c>
      <c r="L3" s="240">
        <v>10.63</v>
      </c>
      <c r="M3" s="240">
        <v>11.52</v>
      </c>
      <c r="N3" s="240">
        <v>0</v>
      </c>
      <c r="O3" s="240">
        <v>0</v>
      </c>
      <c r="P3" s="240">
        <v>0</v>
      </c>
      <c r="Q3" s="240">
        <v>0</v>
      </c>
      <c r="R3" s="240">
        <v>0</v>
      </c>
      <c r="S3" s="240">
        <v>0</v>
      </c>
      <c r="T3" s="240">
        <v>0</v>
      </c>
      <c r="U3" s="240">
        <v>0</v>
      </c>
      <c r="V3" s="240">
        <v>0</v>
      </c>
      <c r="W3" s="240">
        <v>0</v>
      </c>
      <c r="X3" s="240">
        <v>0</v>
      </c>
      <c r="Y3" s="240">
        <v>0</v>
      </c>
      <c r="Z3" s="241">
        <v>0</v>
      </c>
      <c r="AA3" s="129">
        <v>0</v>
      </c>
      <c r="AC3" s="246">
        <v>1</v>
      </c>
      <c r="AD3" s="260">
        <f>IF(AD2=0,"  ",A2)</f>
        <v>0</v>
      </c>
      <c r="AE3" s="261">
        <f t="shared" ref="AE3:BC13" si="1">IF(OR(AE2="  ",AD3="  "),"  ",B2)</f>
        <v>0</v>
      </c>
      <c r="AF3" s="261">
        <f t="shared" si="1"/>
        <v>0</v>
      </c>
      <c r="AG3" s="261">
        <f t="shared" si="1"/>
        <v>0</v>
      </c>
      <c r="AH3" s="261">
        <f t="shared" si="1"/>
        <v>0</v>
      </c>
      <c r="AI3" s="261">
        <f t="shared" si="1"/>
        <v>0</v>
      </c>
      <c r="AJ3" s="261">
        <f t="shared" si="1"/>
        <v>0</v>
      </c>
      <c r="AK3" s="261">
        <f t="shared" si="1"/>
        <v>0</v>
      </c>
      <c r="AL3" s="261">
        <f t="shared" si="1"/>
        <v>0</v>
      </c>
      <c r="AM3" s="261">
        <f t="shared" si="1"/>
        <v>2.8919999999999999</v>
      </c>
      <c r="AN3" s="261">
        <f t="shared" si="1"/>
        <v>6.2</v>
      </c>
      <c r="AO3" s="261">
        <f t="shared" si="1"/>
        <v>9.6</v>
      </c>
      <c r="AP3" s="261">
        <f t="shared" si="1"/>
        <v>10.89</v>
      </c>
      <c r="AQ3" s="261" t="str">
        <f t="shared" si="1"/>
        <v xml:space="preserve">  </v>
      </c>
      <c r="AR3" s="261" t="str">
        <f t="shared" si="1"/>
        <v xml:space="preserve">  </v>
      </c>
      <c r="AS3" s="261" t="str">
        <f t="shared" si="1"/>
        <v xml:space="preserve">  </v>
      </c>
      <c r="AT3" s="261" t="str">
        <f t="shared" si="1"/>
        <v xml:space="preserve">  </v>
      </c>
      <c r="AU3" s="261" t="str">
        <f t="shared" si="1"/>
        <v xml:space="preserve">  </v>
      </c>
      <c r="AV3" s="261" t="str">
        <f t="shared" si="1"/>
        <v xml:space="preserve">  </v>
      </c>
      <c r="AW3" s="261" t="str">
        <f t="shared" si="1"/>
        <v xml:space="preserve">  </v>
      </c>
      <c r="AX3" s="261" t="str">
        <f t="shared" si="1"/>
        <v xml:space="preserve">  </v>
      </c>
      <c r="AY3" s="261" t="str">
        <f t="shared" si="1"/>
        <v xml:space="preserve">  </v>
      </c>
      <c r="AZ3" s="261" t="str">
        <f t="shared" si="1"/>
        <v xml:space="preserve">  </v>
      </c>
      <c r="BA3" s="261" t="str">
        <f t="shared" si="1"/>
        <v xml:space="preserve">  </v>
      </c>
      <c r="BB3" s="261" t="str">
        <f t="shared" si="1"/>
        <v xml:space="preserve">  </v>
      </c>
      <c r="BC3" s="261" t="str">
        <f t="shared" si="1"/>
        <v xml:space="preserve">  </v>
      </c>
      <c r="BD3" s="129">
        <v>1</v>
      </c>
      <c r="BE3" s="252">
        <v>0</v>
      </c>
      <c r="BF3" s="255">
        <v>0</v>
      </c>
      <c r="BG3" s="255">
        <v>0</v>
      </c>
      <c r="BH3" s="255">
        <v>0</v>
      </c>
      <c r="BI3" s="255">
        <v>0</v>
      </c>
      <c r="BJ3" s="255">
        <v>0</v>
      </c>
      <c r="BK3" s="255">
        <v>0.3</v>
      </c>
      <c r="BL3" s="255">
        <v>1</v>
      </c>
      <c r="BM3" s="255">
        <v>1.62</v>
      </c>
      <c r="BN3" s="255">
        <v>2.2000000000000002</v>
      </c>
      <c r="BO3" s="255">
        <v>3.71</v>
      </c>
      <c r="BP3" s="255">
        <v>5.9</v>
      </c>
      <c r="BQ3" s="255">
        <v>7.2</v>
      </c>
      <c r="BR3" s="255">
        <v>8.25</v>
      </c>
      <c r="BS3" s="255">
        <v>8.6</v>
      </c>
      <c r="BT3" s="255">
        <v>7.85</v>
      </c>
      <c r="BU3" s="255">
        <v>6.7</v>
      </c>
      <c r="BV3" s="255">
        <v>5.35</v>
      </c>
      <c r="BW3" s="255">
        <v>3.8</v>
      </c>
      <c r="BX3" s="255">
        <v>2.2200000000000002</v>
      </c>
      <c r="BY3" s="255">
        <v>0.65</v>
      </c>
      <c r="BZ3" s="255">
        <v>0</v>
      </c>
      <c r="CA3" s="255">
        <v>0</v>
      </c>
      <c r="CB3" s="255">
        <v>0</v>
      </c>
      <c r="CC3" s="255">
        <v>0</v>
      </c>
      <c r="CD3" s="256">
        <v>0</v>
      </c>
    </row>
    <row r="4" spans="1:114" x14ac:dyDescent="0.25">
      <c r="A4" s="239">
        <v>1</v>
      </c>
      <c r="B4" s="240">
        <v>0</v>
      </c>
      <c r="C4" s="240">
        <v>0</v>
      </c>
      <c r="D4" s="240">
        <v>0</v>
      </c>
      <c r="E4" s="240">
        <v>0</v>
      </c>
      <c r="F4" s="240">
        <v>0</v>
      </c>
      <c r="G4" s="240">
        <v>0</v>
      </c>
      <c r="H4" s="240">
        <v>0</v>
      </c>
      <c r="I4" s="240">
        <v>6.12</v>
      </c>
      <c r="J4" s="240">
        <v>8.8000000000000007</v>
      </c>
      <c r="K4" s="240">
        <v>9.84</v>
      </c>
      <c r="L4" s="240">
        <v>11.33</v>
      </c>
      <c r="M4" s="240">
        <v>11.9</v>
      </c>
      <c r="N4" s="240">
        <v>0</v>
      </c>
      <c r="O4" s="240">
        <v>0</v>
      </c>
      <c r="P4" s="240">
        <v>0</v>
      </c>
      <c r="Q4" s="240">
        <v>0</v>
      </c>
      <c r="R4" s="240">
        <v>0</v>
      </c>
      <c r="S4" s="240">
        <v>0</v>
      </c>
      <c r="T4" s="240">
        <v>0</v>
      </c>
      <c r="U4" s="240">
        <v>0</v>
      </c>
      <c r="V4" s="240">
        <v>0</v>
      </c>
      <c r="W4" s="240">
        <v>0</v>
      </c>
      <c r="X4" s="240">
        <v>0</v>
      </c>
      <c r="Y4" s="240">
        <v>0</v>
      </c>
      <c r="Z4" s="241">
        <v>0</v>
      </c>
      <c r="AA4" s="129">
        <v>0</v>
      </c>
      <c r="AC4" s="246">
        <v>2</v>
      </c>
      <c r="AD4" s="260">
        <f t="shared" ref="AD4:AD27" si="2">IF(A3=0,"  ",A3)</f>
        <v>0.5</v>
      </c>
      <c r="AE4" s="261">
        <f t="shared" si="1"/>
        <v>0</v>
      </c>
      <c r="AF4" s="261">
        <f t="shared" si="1"/>
        <v>0</v>
      </c>
      <c r="AG4" s="261">
        <f t="shared" si="1"/>
        <v>0</v>
      </c>
      <c r="AH4" s="261">
        <f t="shared" si="1"/>
        <v>0</v>
      </c>
      <c r="AI4" s="261">
        <f t="shared" si="1"/>
        <v>0</v>
      </c>
      <c r="AJ4" s="261">
        <f t="shared" si="1"/>
        <v>0</v>
      </c>
      <c r="AK4" s="261">
        <f t="shared" si="1"/>
        <v>0</v>
      </c>
      <c r="AL4" s="261">
        <f t="shared" si="1"/>
        <v>1.2</v>
      </c>
      <c r="AM4" s="261">
        <f t="shared" si="1"/>
        <v>6.8</v>
      </c>
      <c r="AN4" s="261">
        <f t="shared" si="1"/>
        <v>8.4600000000000009</v>
      </c>
      <c r="AO4" s="261">
        <f t="shared" si="1"/>
        <v>10.63</v>
      </c>
      <c r="AP4" s="261">
        <f t="shared" si="1"/>
        <v>11.52</v>
      </c>
      <c r="AQ4" s="261" t="str">
        <f t="shared" si="1"/>
        <v xml:space="preserve">  </v>
      </c>
      <c r="AR4" s="261" t="str">
        <f t="shared" si="1"/>
        <v xml:space="preserve">  </v>
      </c>
      <c r="AS4" s="261" t="str">
        <f t="shared" si="1"/>
        <v xml:space="preserve">  </v>
      </c>
      <c r="AT4" s="261" t="str">
        <f t="shared" si="1"/>
        <v xml:space="preserve">  </v>
      </c>
      <c r="AU4" s="261" t="str">
        <f t="shared" si="1"/>
        <v xml:space="preserve">  </v>
      </c>
      <c r="AV4" s="261" t="str">
        <f t="shared" si="1"/>
        <v xml:space="preserve">  </v>
      </c>
      <c r="AW4" s="261" t="str">
        <f t="shared" si="1"/>
        <v xml:space="preserve">  </v>
      </c>
      <c r="AX4" s="261" t="str">
        <f t="shared" si="1"/>
        <v xml:space="preserve">  </v>
      </c>
      <c r="AY4" s="261" t="str">
        <f t="shared" si="1"/>
        <v xml:space="preserve">  </v>
      </c>
      <c r="AZ4" s="261" t="str">
        <f t="shared" si="1"/>
        <v xml:space="preserve">  </v>
      </c>
      <c r="BA4" s="261" t="str">
        <f t="shared" si="1"/>
        <v xml:space="preserve">  </v>
      </c>
      <c r="BB4" s="261" t="str">
        <f t="shared" si="1"/>
        <v xml:space="preserve">  </v>
      </c>
      <c r="BC4" s="261" t="str">
        <f t="shared" si="1"/>
        <v xml:space="preserve">  </v>
      </c>
      <c r="BD4" s="129">
        <v>2</v>
      </c>
      <c r="BE4" s="252">
        <v>0.5</v>
      </c>
      <c r="BF4" s="255">
        <v>0</v>
      </c>
      <c r="BG4" s="255">
        <v>0</v>
      </c>
      <c r="BH4" s="255">
        <v>0</v>
      </c>
      <c r="BI4" s="255">
        <v>0</v>
      </c>
      <c r="BJ4" s="255">
        <v>0.4</v>
      </c>
      <c r="BK4" s="255">
        <v>1.67</v>
      </c>
      <c r="BL4" s="255">
        <v>3.17</v>
      </c>
      <c r="BM4" s="255">
        <v>4.8099999999999996</v>
      </c>
      <c r="BN4" s="255">
        <v>6.59</v>
      </c>
      <c r="BO4" s="255">
        <v>8.58</v>
      </c>
      <c r="BP4" s="255">
        <v>10.16</v>
      </c>
      <c r="BQ4" s="255">
        <v>10.78</v>
      </c>
      <c r="BR4" s="255">
        <v>10.84</v>
      </c>
      <c r="BS4" s="255">
        <v>10.65</v>
      </c>
      <c r="BT4" s="255">
        <v>10.02</v>
      </c>
      <c r="BU4" s="255">
        <v>8.84</v>
      </c>
      <c r="BV4" s="255">
        <v>7.29</v>
      </c>
      <c r="BW4" s="255">
        <v>5.65</v>
      </c>
      <c r="BX4" s="255">
        <v>4.05</v>
      </c>
      <c r="BY4" s="255">
        <v>2.63</v>
      </c>
      <c r="BZ4" s="255">
        <v>1.49</v>
      </c>
      <c r="CA4" s="255">
        <v>1.04</v>
      </c>
      <c r="CB4" s="255">
        <v>0.64</v>
      </c>
      <c r="CC4" s="255">
        <v>0</v>
      </c>
      <c r="CD4" s="256">
        <v>0</v>
      </c>
      <c r="CG4" s="262" t="str">
        <f>CK4</f>
        <v>STN/WL</v>
      </c>
      <c r="CH4" s="262">
        <f>CL4</f>
        <v>0</v>
      </c>
      <c r="CI4" s="262">
        <f>DEPTH/WLS</f>
        <v>7.8833333333333329</v>
      </c>
      <c r="CJ4" s="262"/>
      <c r="CK4" s="263" t="str">
        <f t="shared" ref="CK4:CK19" si="3">A69</f>
        <v>STN/WL</v>
      </c>
      <c r="CL4" s="264">
        <f>IF(B69="  ",NA(),B69)</f>
        <v>0</v>
      </c>
      <c r="CM4" s="264">
        <f t="shared" ref="CM4:DJ4" si="4">IF(C69="  ",NA(),C69)</f>
        <v>0.5</v>
      </c>
      <c r="CN4" s="264">
        <f t="shared" si="4"/>
        <v>1</v>
      </c>
      <c r="CO4" s="264">
        <f t="shared" si="4"/>
        <v>1.5</v>
      </c>
      <c r="CP4" s="264">
        <f t="shared" si="4"/>
        <v>2</v>
      </c>
      <c r="CQ4" s="264">
        <f t="shared" si="4"/>
        <v>3</v>
      </c>
      <c r="CR4" s="264">
        <f t="shared" si="4"/>
        <v>4</v>
      </c>
      <c r="CS4" s="264">
        <f t="shared" si="4"/>
        <v>5</v>
      </c>
      <c r="CT4" s="264">
        <f t="shared" si="4"/>
        <v>5.6111111111111107</v>
      </c>
      <c r="CU4" s="264">
        <f t="shared" si="4"/>
        <v>6</v>
      </c>
      <c r="CV4" s="264">
        <f t="shared" si="4"/>
        <v>7</v>
      </c>
      <c r="CW4" s="264">
        <f t="shared" si="4"/>
        <v>7.8833333333333329</v>
      </c>
      <c r="CX4" s="264" t="e">
        <f t="shared" si="4"/>
        <v>#N/A</v>
      </c>
      <c r="CY4" s="264" t="e">
        <f t="shared" si="4"/>
        <v>#N/A</v>
      </c>
      <c r="CZ4" s="264" t="e">
        <f t="shared" si="4"/>
        <v>#N/A</v>
      </c>
      <c r="DA4" s="264" t="e">
        <f t="shared" si="4"/>
        <v>#N/A</v>
      </c>
      <c r="DB4" s="264" t="e">
        <f t="shared" si="4"/>
        <v>#N/A</v>
      </c>
      <c r="DC4" s="264" t="e">
        <f t="shared" si="4"/>
        <v>#N/A</v>
      </c>
      <c r="DD4" s="264" t="e">
        <f t="shared" si="4"/>
        <v>#N/A</v>
      </c>
      <c r="DE4" s="264" t="e">
        <f t="shared" si="4"/>
        <v>#N/A</v>
      </c>
      <c r="DF4" s="264" t="e">
        <f t="shared" si="4"/>
        <v>#N/A</v>
      </c>
      <c r="DG4" s="264" t="e">
        <f t="shared" si="4"/>
        <v>#N/A</v>
      </c>
      <c r="DH4" s="264" t="e">
        <f t="shared" si="4"/>
        <v>#N/A</v>
      </c>
      <c r="DI4" s="264" t="e">
        <f t="shared" si="4"/>
        <v>#N/A</v>
      </c>
      <c r="DJ4" s="264" t="e">
        <f t="shared" si="4"/>
        <v>#N/A</v>
      </c>
    </row>
    <row r="5" spans="1:114" x14ac:dyDescent="0.25">
      <c r="A5" s="239">
        <v>1.5</v>
      </c>
      <c r="B5" s="240">
        <v>0</v>
      </c>
      <c r="C5" s="240">
        <v>0</v>
      </c>
      <c r="D5" s="240">
        <v>0</v>
      </c>
      <c r="E5" s="240">
        <v>0.4</v>
      </c>
      <c r="F5" s="240">
        <v>0.7</v>
      </c>
      <c r="G5" s="240">
        <v>1.2</v>
      </c>
      <c r="H5" s="240">
        <v>2.4</v>
      </c>
      <c r="I5" s="240">
        <v>8.5500000000000007</v>
      </c>
      <c r="J5" s="240">
        <v>10.14</v>
      </c>
      <c r="K5" s="240">
        <v>10.78</v>
      </c>
      <c r="L5" s="240">
        <v>11.77</v>
      </c>
      <c r="M5" s="240">
        <v>12.1</v>
      </c>
      <c r="N5" s="240">
        <v>0</v>
      </c>
      <c r="O5" s="240">
        <v>0</v>
      </c>
      <c r="P5" s="240">
        <v>0</v>
      </c>
      <c r="Q5" s="240">
        <v>0</v>
      </c>
      <c r="R5" s="240">
        <v>0</v>
      </c>
      <c r="S5" s="240">
        <v>0</v>
      </c>
      <c r="T5" s="240">
        <v>0</v>
      </c>
      <c r="U5" s="240">
        <v>0</v>
      </c>
      <c r="V5" s="240">
        <v>0</v>
      </c>
      <c r="W5" s="240">
        <v>0</v>
      </c>
      <c r="X5" s="240">
        <v>0</v>
      </c>
      <c r="Y5" s="240">
        <v>0</v>
      </c>
      <c r="Z5" s="241">
        <v>0</v>
      </c>
      <c r="AA5" s="129">
        <v>0</v>
      </c>
      <c r="AC5" s="246">
        <v>3</v>
      </c>
      <c r="AD5" s="260">
        <f t="shared" si="2"/>
        <v>1</v>
      </c>
      <c r="AE5" s="261">
        <f t="shared" si="1"/>
        <v>0</v>
      </c>
      <c r="AF5" s="261">
        <f t="shared" si="1"/>
        <v>0</v>
      </c>
      <c r="AG5" s="261">
        <f t="shared" si="1"/>
        <v>0</v>
      </c>
      <c r="AH5" s="261">
        <f t="shared" si="1"/>
        <v>0</v>
      </c>
      <c r="AI5" s="261">
        <f t="shared" si="1"/>
        <v>0</v>
      </c>
      <c r="AJ5" s="261">
        <f t="shared" si="1"/>
        <v>0</v>
      </c>
      <c r="AK5" s="261">
        <f t="shared" si="1"/>
        <v>0</v>
      </c>
      <c r="AL5" s="261">
        <f t="shared" si="1"/>
        <v>6.12</v>
      </c>
      <c r="AM5" s="261">
        <f t="shared" si="1"/>
        <v>8.8000000000000007</v>
      </c>
      <c r="AN5" s="261">
        <f t="shared" si="1"/>
        <v>9.84</v>
      </c>
      <c r="AO5" s="261">
        <f t="shared" si="1"/>
        <v>11.33</v>
      </c>
      <c r="AP5" s="261">
        <f t="shared" si="1"/>
        <v>11.9</v>
      </c>
      <c r="AQ5" s="261" t="str">
        <f t="shared" si="1"/>
        <v xml:space="preserve">  </v>
      </c>
      <c r="AR5" s="261" t="str">
        <f t="shared" si="1"/>
        <v xml:space="preserve">  </v>
      </c>
      <c r="AS5" s="261" t="str">
        <f t="shared" si="1"/>
        <v xml:space="preserve">  </v>
      </c>
      <c r="AT5" s="261" t="str">
        <f t="shared" si="1"/>
        <v xml:space="preserve">  </v>
      </c>
      <c r="AU5" s="261" t="str">
        <f t="shared" si="1"/>
        <v xml:space="preserve">  </v>
      </c>
      <c r="AV5" s="261" t="str">
        <f t="shared" si="1"/>
        <v xml:space="preserve">  </v>
      </c>
      <c r="AW5" s="261" t="str">
        <f t="shared" si="1"/>
        <v xml:space="preserve">  </v>
      </c>
      <c r="AX5" s="261" t="str">
        <f t="shared" si="1"/>
        <v xml:space="preserve">  </v>
      </c>
      <c r="AY5" s="261" t="str">
        <f t="shared" si="1"/>
        <v xml:space="preserve">  </v>
      </c>
      <c r="AZ5" s="261" t="str">
        <f t="shared" si="1"/>
        <v xml:space="preserve">  </v>
      </c>
      <c r="BA5" s="261" t="str">
        <f t="shared" si="1"/>
        <v xml:space="preserve">  </v>
      </c>
      <c r="BB5" s="261" t="str">
        <f t="shared" si="1"/>
        <v xml:space="preserve">  </v>
      </c>
      <c r="BC5" s="261" t="str">
        <f t="shared" si="1"/>
        <v xml:space="preserve">  </v>
      </c>
      <c r="BD5" s="129">
        <v>3</v>
      </c>
      <c r="BE5" s="252">
        <v>1</v>
      </c>
      <c r="BF5" s="255">
        <v>0</v>
      </c>
      <c r="BG5" s="255">
        <v>0</v>
      </c>
      <c r="BH5" s="255">
        <v>0</v>
      </c>
      <c r="BI5" s="255">
        <v>0</v>
      </c>
      <c r="BJ5" s="255">
        <v>1.04</v>
      </c>
      <c r="BK5" s="255">
        <v>2.2999999999999998</v>
      </c>
      <c r="BL5" s="255">
        <v>4.08</v>
      </c>
      <c r="BM5" s="255">
        <v>6.09</v>
      </c>
      <c r="BN5" s="255">
        <v>8.34</v>
      </c>
      <c r="BO5" s="255">
        <v>10.26</v>
      </c>
      <c r="BP5" s="255">
        <v>11.35</v>
      </c>
      <c r="BQ5" s="255">
        <v>11.72</v>
      </c>
      <c r="BR5" s="255">
        <v>11.76</v>
      </c>
      <c r="BS5" s="255">
        <v>11.62</v>
      </c>
      <c r="BT5" s="255">
        <v>11.1</v>
      </c>
      <c r="BU5" s="255">
        <v>10.029999999999999</v>
      </c>
      <c r="BV5" s="255">
        <v>8.15</v>
      </c>
      <c r="BW5" s="255">
        <v>6.8</v>
      </c>
      <c r="BX5" s="255">
        <v>5.0999999999999996</v>
      </c>
      <c r="BY5" s="255">
        <v>3.52</v>
      </c>
      <c r="BZ5" s="255">
        <v>2.23</v>
      </c>
      <c r="CA5" s="255">
        <v>1.7</v>
      </c>
      <c r="CB5" s="255">
        <v>1.27</v>
      </c>
      <c r="CC5" s="255">
        <v>0.86</v>
      </c>
      <c r="CD5" s="256">
        <v>0</v>
      </c>
      <c r="CG5" s="262">
        <f t="shared" ref="CG5:CG29" si="5">A70</f>
        <v>0</v>
      </c>
      <c r="CH5" s="262">
        <f t="shared" ref="CH5:CI29" si="6">CG5</f>
        <v>0</v>
      </c>
      <c r="CI5" s="262">
        <f t="shared" si="6"/>
        <v>0</v>
      </c>
      <c r="CJ5" s="262"/>
      <c r="CK5" s="265">
        <f t="shared" si="3"/>
        <v>0</v>
      </c>
      <c r="CL5" s="266">
        <f t="shared" ref="CL5:CL29" si="7">$CK5+B70/$N$31/STN_GAP</f>
        <v>0</v>
      </c>
      <c r="CM5" s="266">
        <f t="shared" ref="CM5:CM29" si="8">$CK5+C70/$N$31/STN_GAP</f>
        <v>0</v>
      </c>
      <c r="CN5" s="266">
        <f t="shared" ref="CN5:CN29" si="9">$CK5+D70/$N$31/STN_GAP</f>
        <v>0</v>
      </c>
      <c r="CO5" s="266">
        <f t="shared" ref="CO5:CO29" si="10">$CK5+E70/$N$31/STN_GAP</f>
        <v>0</v>
      </c>
      <c r="CP5" s="266">
        <f t="shared" ref="CP5:CP29" si="11">$CK5+F70/$N$31/STN_GAP</f>
        <v>0</v>
      </c>
      <c r="CQ5" s="266">
        <f t="shared" ref="CQ5:CQ29" si="12">$CK5+G70/$N$31/STN_GAP</f>
        <v>0</v>
      </c>
      <c r="CR5" s="266">
        <f t="shared" ref="CR5:CR29" si="13">$CK5+H70/$N$31/STN_GAP</f>
        <v>0</v>
      </c>
      <c r="CS5" s="266">
        <f t="shared" ref="CS5:CS29" si="14">$CK5+I70/$N$31/STN_GAP</f>
        <v>0</v>
      </c>
      <c r="CT5" s="266">
        <f t="shared" ref="CT5:CT29" si="15">$CK5+J70/$N$31/STN_GAP</f>
        <v>1.254799869834034E-3</v>
      </c>
      <c r="CU5" s="266">
        <f t="shared" ref="CU5:CU29" si="16">$CK5+K70/$N$31/STN_GAP</f>
        <v>1.5061937303395175E-2</v>
      </c>
      <c r="CV5" s="266">
        <f t="shared" ref="CV5:CV29" si="17">$CK5+L70/$N$31/STN_GAP</f>
        <v>7.6760603102288771E-2</v>
      </c>
      <c r="CW5" s="266">
        <f t="shared" ref="CW5:CW29" si="18">$CK5+M70/$N$31/STN_GAP</f>
        <v>0.14743876776223017</v>
      </c>
      <c r="CX5" s="266" t="e">
        <f t="shared" ref="CX5:CX29" si="19">$CK5+N70/$N$31/STN_GAP</f>
        <v>#VALUE!</v>
      </c>
      <c r="CY5" s="266" t="e">
        <f t="shared" ref="CY5:CY29" si="20">$CK5+O70/$N$31/STN_GAP</f>
        <v>#VALUE!</v>
      </c>
      <c r="CZ5" s="266" t="e">
        <f t="shared" ref="CZ5:CZ29" si="21">$CK5+P70/$N$31/STN_GAP</f>
        <v>#VALUE!</v>
      </c>
      <c r="DA5" s="266" t="e">
        <f t="shared" ref="DA5:DA29" si="22">$CK5+Q70/$N$31/STN_GAP</f>
        <v>#VALUE!</v>
      </c>
      <c r="DB5" s="266" t="e">
        <f t="shared" ref="DB5:DB29" si="23">$CK5+R70/$N$31/STN_GAP</f>
        <v>#VALUE!</v>
      </c>
      <c r="DC5" s="266" t="e">
        <f t="shared" ref="DC5:DC29" si="24">$CK5+S70/$N$31/STN_GAP</f>
        <v>#VALUE!</v>
      </c>
      <c r="DD5" s="266" t="e">
        <f t="shared" ref="DD5:DD29" si="25">$CK5+T70/$N$31/STN_GAP</f>
        <v>#VALUE!</v>
      </c>
      <c r="DE5" s="266" t="e">
        <f t="shared" ref="DE5:DE29" si="26">$CK5+U70/$N$31/STN_GAP</f>
        <v>#VALUE!</v>
      </c>
      <c r="DF5" s="266" t="e">
        <f t="shared" ref="DF5:DF29" si="27">$CK5+V70/$N$31/STN_GAP</f>
        <v>#VALUE!</v>
      </c>
      <c r="DG5" s="266" t="e">
        <f t="shared" ref="DG5:DG29" si="28">$CK5+W70/$N$31/STN_GAP</f>
        <v>#VALUE!</v>
      </c>
      <c r="DH5" s="266" t="e">
        <f t="shared" ref="DH5:DH29" si="29">$CK5+X70/$N$31/STN_GAP</f>
        <v>#VALUE!</v>
      </c>
      <c r="DI5" s="266" t="e">
        <f t="shared" ref="DI5:DI29" si="30">$CK5+Y70/$N$31/STN_GAP</f>
        <v>#VALUE!</v>
      </c>
      <c r="DJ5" s="266" t="e">
        <f t="shared" ref="DJ5:DJ29" si="31">$CK5+Z70/$N$31/STN_GAP</f>
        <v>#VALUE!</v>
      </c>
    </row>
    <row r="6" spans="1:114" x14ac:dyDescent="0.25">
      <c r="A6" s="239">
        <v>2</v>
      </c>
      <c r="B6" s="240">
        <v>0</v>
      </c>
      <c r="C6" s="240">
        <v>0.4</v>
      </c>
      <c r="D6" s="240">
        <v>1.04</v>
      </c>
      <c r="E6" s="240">
        <v>1.5</v>
      </c>
      <c r="F6" s="240">
        <v>1.7</v>
      </c>
      <c r="G6" s="240">
        <v>2.7</v>
      </c>
      <c r="H6" s="240">
        <v>5.5</v>
      </c>
      <c r="I6" s="240">
        <v>9.9</v>
      </c>
      <c r="J6" s="240">
        <v>10.9</v>
      </c>
      <c r="K6" s="240">
        <v>11.34</v>
      </c>
      <c r="L6" s="240">
        <v>12</v>
      </c>
      <c r="M6" s="240">
        <v>12.2</v>
      </c>
      <c r="N6" s="240">
        <v>0</v>
      </c>
      <c r="O6" s="240">
        <v>0</v>
      </c>
      <c r="P6" s="240">
        <v>0</v>
      </c>
      <c r="Q6" s="240">
        <v>0</v>
      </c>
      <c r="R6" s="240">
        <v>0</v>
      </c>
      <c r="S6" s="240">
        <v>0</v>
      </c>
      <c r="T6" s="240">
        <v>0</v>
      </c>
      <c r="U6" s="240">
        <v>0</v>
      </c>
      <c r="V6" s="240">
        <v>0</v>
      </c>
      <c r="W6" s="240">
        <v>0</v>
      </c>
      <c r="X6" s="240">
        <v>0</v>
      </c>
      <c r="Y6" s="240">
        <v>0</v>
      </c>
      <c r="Z6" s="241">
        <v>0</v>
      </c>
      <c r="AA6" s="129">
        <v>0</v>
      </c>
      <c r="AC6" s="246">
        <v>4</v>
      </c>
      <c r="AD6" s="260">
        <f t="shared" si="2"/>
        <v>1.5</v>
      </c>
      <c r="AE6" s="261">
        <f t="shared" si="1"/>
        <v>0</v>
      </c>
      <c r="AF6" s="261">
        <f t="shared" si="1"/>
        <v>0</v>
      </c>
      <c r="AG6" s="261">
        <f t="shared" si="1"/>
        <v>0</v>
      </c>
      <c r="AH6" s="261">
        <f t="shared" si="1"/>
        <v>0.4</v>
      </c>
      <c r="AI6" s="261">
        <f t="shared" si="1"/>
        <v>0.7</v>
      </c>
      <c r="AJ6" s="261">
        <f t="shared" si="1"/>
        <v>1.2</v>
      </c>
      <c r="AK6" s="261">
        <f t="shared" si="1"/>
        <v>2.4</v>
      </c>
      <c r="AL6" s="261">
        <f t="shared" si="1"/>
        <v>8.5500000000000007</v>
      </c>
      <c r="AM6" s="261">
        <f t="shared" si="1"/>
        <v>10.14</v>
      </c>
      <c r="AN6" s="261">
        <f t="shared" si="1"/>
        <v>10.78</v>
      </c>
      <c r="AO6" s="261">
        <f t="shared" si="1"/>
        <v>11.77</v>
      </c>
      <c r="AP6" s="261">
        <f t="shared" si="1"/>
        <v>12.1</v>
      </c>
      <c r="AQ6" s="261" t="str">
        <f t="shared" si="1"/>
        <v xml:space="preserve">  </v>
      </c>
      <c r="AR6" s="261" t="str">
        <f t="shared" si="1"/>
        <v xml:space="preserve">  </v>
      </c>
      <c r="AS6" s="261" t="str">
        <f t="shared" si="1"/>
        <v xml:space="preserve">  </v>
      </c>
      <c r="AT6" s="261" t="str">
        <f t="shared" si="1"/>
        <v xml:space="preserve">  </v>
      </c>
      <c r="AU6" s="261" t="str">
        <f t="shared" si="1"/>
        <v xml:space="preserve">  </v>
      </c>
      <c r="AV6" s="261" t="str">
        <f t="shared" si="1"/>
        <v xml:space="preserve">  </v>
      </c>
      <c r="AW6" s="261" t="str">
        <f t="shared" si="1"/>
        <v xml:space="preserve">  </v>
      </c>
      <c r="AX6" s="261" t="str">
        <f t="shared" si="1"/>
        <v xml:space="preserve">  </v>
      </c>
      <c r="AY6" s="261" t="str">
        <f t="shared" si="1"/>
        <v xml:space="preserve">  </v>
      </c>
      <c r="AZ6" s="261" t="str">
        <f t="shared" si="1"/>
        <v xml:space="preserve">  </v>
      </c>
      <c r="BA6" s="261" t="str">
        <f t="shared" si="1"/>
        <v xml:space="preserve">  </v>
      </c>
      <c r="BB6" s="261" t="str">
        <f t="shared" si="1"/>
        <v xml:space="preserve">  </v>
      </c>
      <c r="BC6" s="261" t="str">
        <f t="shared" si="1"/>
        <v xml:space="preserve">  </v>
      </c>
      <c r="BD6" s="129">
        <v>4</v>
      </c>
      <c r="BE6" s="252">
        <v>1.5</v>
      </c>
      <c r="BF6" s="255">
        <v>0</v>
      </c>
      <c r="BG6" s="255">
        <v>0</v>
      </c>
      <c r="BH6" s="255">
        <v>0</v>
      </c>
      <c r="BI6" s="255">
        <v>0.4</v>
      </c>
      <c r="BJ6" s="255">
        <v>1.5</v>
      </c>
      <c r="BK6" s="255">
        <v>2.7</v>
      </c>
      <c r="BL6" s="255">
        <v>4.8</v>
      </c>
      <c r="BM6" s="255">
        <v>7.37</v>
      </c>
      <c r="BN6" s="255">
        <v>9.82</v>
      </c>
      <c r="BO6" s="255">
        <v>11.25</v>
      </c>
      <c r="BP6" s="255">
        <v>11.9</v>
      </c>
      <c r="BQ6" s="255">
        <v>12.12</v>
      </c>
      <c r="BR6" s="255">
        <v>12.14</v>
      </c>
      <c r="BS6" s="255">
        <v>12.04</v>
      </c>
      <c r="BT6" s="255">
        <v>11.63</v>
      </c>
      <c r="BU6" s="255">
        <v>10.68</v>
      </c>
      <c r="BV6" s="255">
        <v>9.25</v>
      </c>
      <c r="BW6" s="255">
        <v>7.54</v>
      </c>
      <c r="BX6" s="255">
        <v>5.74</v>
      </c>
      <c r="BY6" s="255">
        <v>4.0599999999999996</v>
      </c>
      <c r="BZ6" s="255">
        <v>2.69</v>
      </c>
      <c r="CA6" s="255">
        <v>2.14</v>
      </c>
      <c r="CB6" s="255">
        <v>1.68</v>
      </c>
      <c r="CC6" s="255">
        <v>1.29</v>
      </c>
      <c r="CD6" s="256">
        <v>0.76</v>
      </c>
      <c r="CG6" s="262">
        <f t="shared" si="5"/>
        <v>0.5</v>
      </c>
      <c r="CH6" s="262">
        <f t="shared" si="6"/>
        <v>0.5</v>
      </c>
      <c r="CI6" s="262">
        <f t="shared" si="6"/>
        <v>0.5</v>
      </c>
      <c r="CJ6" s="262"/>
      <c r="CK6" s="265">
        <f t="shared" si="3"/>
        <v>0.5</v>
      </c>
      <c r="CL6" s="266">
        <f t="shared" si="7"/>
        <v>0.5</v>
      </c>
      <c r="CM6" s="266">
        <f t="shared" si="8"/>
        <v>0.5</v>
      </c>
      <c r="CN6" s="266">
        <f t="shared" si="9"/>
        <v>0.5</v>
      </c>
      <c r="CO6" s="266">
        <f t="shared" si="10"/>
        <v>0.5</v>
      </c>
      <c r="CP6" s="266">
        <f t="shared" si="11"/>
        <v>0.5</v>
      </c>
      <c r="CQ6" s="266">
        <f t="shared" si="12"/>
        <v>0.5</v>
      </c>
      <c r="CR6" s="266">
        <f t="shared" si="13"/>
        <v>0.5</v>
      </c>
      <c r="CS6" s="266">
        <f t="shared" si="14"/>
        <v>0.50026033192320207</v>
      </c>
      <c r="CT6" s="266">
        <f t="shared" si="15"/>
        <v>0.51935133962468816</v>
      </c>
      <c r="CU6" s="266">
        <f t="shared" si="16"/>
        <v>0.54129515131793038</v>
      </c>
      <c r="CV6" s="266">
        <f t="shared" si="17"/>
        <v>0.61915392124959323</v>
      </c>
      <c r="CW6" s="266">
        <f t="shared" si="18"/>
        <v>0.69555808656036444</v>
      </c>
      <c r="CX6" s="266" t="e">
        <f t="shared" si="19"/>
        <v>#VALUE!</v>
      </c>
      <c r="CY6" s="266" t="e">
        <f t="shared" si="20"/>
        <v>#VALUE!</v>
      </c>
      <c r="CZ6" s="266" t="e">
        <f t="shared" si="21"/>
        <v>#VALUE!</v>
      </c>
      <c r="DA6" s="266" t="e">
        <f t="shared" si="22"/>
        <v>#VALUE!</v>
      </c>
      <c r="DB6" s="266" t="e">
        <f t="shared" si="23"/>
        <v>#VALUE!</v>
      </c>
      <c r="DC6" s="266" t="e">
        <f t="shared" si="24"/>
        <v>#VALUE!</v>
      </c>
      <c r="DD6" s="266" t="e">
        <f t="shared" si="25"/>
        <v>#VALUE!</v>
      </c>
      <c r="DE6" s="266" t="e">
        <f t="shared" si="26"/>
        <v>#VALUE!</v>
      </c>
      <c r="DF6" s="266" t="e">
        <f t="shared" si="27"/>
        <v>#VALUE!</v>
      </c>
      <c r="DG6" s="266" t="e">
        <f t="shared" si="28"/>
        <v>#VALUE!</v>
      </c>
      <c r="DH6" s="266" t="e">
        <f t="shared" si="29"/>
        <v>#VALUE!</v>
      </c>
      <c r="DI6" s="266" t="e">
        <f t="shared" si="30"/>
        <v>#VALUE!</v>
      </c>
      <c r="DJ6" s="266" t="e">
        <f t="shared" si="31"/>
        <v>#VALUE!</v>
      </c>
    </row>
    <row r="7" spans="1:114" x14ac:dyDescent="0.25">
      <c r="A7" s="239">
        <v>3</v>
      </c>
      <c r="B7" s="240">
        <v>0.3</v>
      </c>
      <c r="C7" s="240">
        <v>1.67</v>
      </c>
      <c r="D7" s="240">
        <v>2.2999999999999998</v>
      </c>
      <c r="E7" s="240">
        <v>2.7</v>
      </c>
      <c r="F7" s="240">
        <v>3.1</v>
      </c>
      <c r="G7" s="240">
        <v>5.7</v>
      </c>
      <c r="H7" s="240">
        <v>9.6999999999999993</v>
      </c>
      <c r="I7" s="240">
        <v>11.23</v>
      </c>
      <c r="J7" s="240">
        <v>11.7</v>
      </c>
      <c r="K7" s="240">
        <v>11.93</v>
      </c>
      <c r="L7" s="240">
        <v>12.21</v>
      </c>
      <c r="M7" s="240">
        <v>12.23</v>
      </c>
      <c r="N7" s="240">
        <v>0</v>
      </c>
      <c r="O7" s="240">
        <v>0</v>
      </c>
      <c r="P7" s="240">
        <v>0</v>
      </c>
      <c r="Q7" s="240">
        <v>0</v>
      </c>
      <c r="R7" s="240">
        <v>0</v>
      </c>
      <c r="S7" s="240">
        <v>0</v>
      </c>
      <c r="T7" s="240">
        <v>0</v>
      </c>
      <c r="U7" s="240">
        <v>0</v>
      </c>
      <c r="V7" s="240">
        <v>0</v>
      </c>
      <c r="W7" s="240">
        <v>0</v>
      </c>
      <c r="X7" s="240">
        <v>0</v>
      </c>
      <c r="Y7" s="240">
        <v>0</v>
      </c>
      <c r="Z7" s="241">
        <v>0</v>
      </c>
      <c r="AA7" s="129">
        <v>0</v>
      </c>
      <c r="AC7" s="246">
        <v>5</v>
      </c>
      <c r="AD7" s="260">
        <f t="shared" si="2"/>
        <v>2</v>
      </c>
      <c r="AE7" s="261">
        <f t="shared" si="1"/>
        <v>0</v>
      </c>
      <c r="AF7" s="261">
        <f t="shared" si="1"/>
        <v>0.4</v>
      </c>
      <c r="AG7" s="261">
        <f t="shared" si="1"/>
        <v>1.04</v>
      </c>
      <c r="AH7" s="261">
        <f t="shared" si="1"/>
        <v>1.5</v>
      </c>
      <c r="AI7" s="261">
        <f t="shared" si="1"/>
        <v>1.7</v>
      </c>
      <c r="AJ7" s="261">
        <f t="shared" si="1"/>
        <v>2.7</v>
      </c>
      <c r="AK7" s="261">
        <f t="shared" si="1"/>
        <v>5.5</v>
      </c>
      <c r="AL7" s="261">
        <f t="shared" si="1"/>
        <v>9.9</v>
      </c>
      <c r="AM7" s="261">
        <f t="shared" si="1"/>
        <v>10.9</v>
      </c>
      <c r="AN7" s="261">
        <f t="shared" si="1"/>
        <v>11.34</v>
      </c>
      <c r="AO7" s="261">
        <f t="shared" si="1"/>
        <v>12</v>
      </c>
      <c r="AP7" s="261">
        <f t="shared" si="1"/>
        <v>12.2</v>
      </c>
      <c r="AQ7" s="261" t="str">
        <f t="shared" si="1"/>
        <v xml:space="preserve">  </v>
      </c>
      <c r="AR7" s="261" t="str">
        <f t="shared" si="1"/>
        <v xml:space="preserve">  </v>
      </c>
      <c r="AS7" s="261" t="str">
        <f t="shared" si="1"/>
        <v xml:space="preserve">  </v>
      </c>
      <c r="AT7" s="261" t="str">
        <f t="shared" si="1"/>
        <v xml:space="preserve">  </v>
      </c>
      <c r="AU7" s="261" t="str">
        <f t="shared" si="1"/>
        <v xml:space="preserve">  </v>
      </c>
      <c r="AV7" s="261" t="str">
        <f t="shared" si="1"/>
        <v xml:space="preserve">  </v>
      </c>
      <c r="AW7" s="261" t="str">
        <f t="shared" si="1"/>
        <v xml:space="preserve">  </v>
      </c>
      <c r="AX7" s="261" t="str">
        <f t="shared" si="1"/>
        <v xml:space="preserve">  </v>
      </c>
      <c r="AY7" s="261" t="str">
        <f t="shared" si="1"/>
        <v xml:space="preserve">  </v>
      </c>
      <c r="AZ7" s="261" t="str">
        <f t="shared" si="1"/>
        <v xml:space="preserve">  </v>
      </c>
      <c r="BA7" s="261" t="str">
        <f t="shared" si="1"/>
        <v xml:space="preserve">  </v>
      </c>
      <c r="BB7" s="261" t="str">
        <f t="shared" si="1"/>
        <v xml:space="preserve">  </v>
      </c>
      <c r="BC7" s="261" t="str">
        <f t="shared" si="1"/>
        <v xml:space="preserve">  </v>
      </c>
      <c r="BD7" s="129">
        <v>5</v>
      </c>
      <c r="BE7" s="252">
        <v>2</v>
      </c>
      <c r="BF7" s="255">
        <v>0</v>
      </c>
      <c r="BG7" s="255">
        <v>0</v>
      </c>
      <c r="BH7" s="255">
        <v>0</v>
      </c>
      <c r="BI7" s="255">
        <v>0.7</v>
      </c>
      <c r="BJ7" s="255">
        <v>1.7</v>
      </c>
      <c r="BK7" s="255">
        <v>3.1</v>
      </c>
      <c r="BL7" s="255">
        <v>5.8</v>
      </c>
      <c r="BM7" s="255">
        <v>9.0299999999999994</v>
      </c>
      <c r="BN7" s="255">
        <v>10.92</v>
      </c>
      <c r="BO7" s="255">
        <v>11.86</v>
      </c>
      <c r="BP7" s="255">
        <v>12.18</v>
      </c>
      <c r="BQ7" s="255">
        <v>12.25</v>
      </c>
      <c r="BR7" s="255">
        <v>12.25</v>
      </c>
      <c r="BS7" s="255">
        <v>12.21</v>
      </c>
      <c r="BT7" s="255">
        <v>11.92</v>
      </c>
      <c r="BU7" s="255">
        <v>11.1</v>
      </c>
      <c r="BV7" s="255">
        <v>9.75</v>
      </c>
      <c r="BW7" s="255">
        <v>8.08</v>
      </c>
      <c r="BX7" s="255">
        <v>6.23</v>
      </c>
      <c r="BY7" s="255">
        <v>4.43</v>
      </c>
      <c r="BZ7" s="255">
        <v>2.97</v>
      </c>
      <c r="CA7" s="255">
        <v>2.4</v>
      </c>
      <c r="CB7" s="255">
        <v>1.96</v>
      </c>
      <c r="CC7" s="255">
        <v>1.6</v>
      </c>
      <c r="CD7" s="256">
        <v>1.1499999999999999</v>
      </c>
      <c r="CG7" s="262">
        <f t="shared" si="5"/>
        <v>1</v>
      </c>
      <c r="CH7" s="262">
        <f t="shared" si="6"/>
        <v>1</v>
      </c>
      <c r="CI7" s="262">
        <f t="shared" si="6"/>
        <v>1</v>
      </c>
      <c r="CJ7" s="262"/>
      <c r="CK7" s="265">
        <f t="shared" si="3"/>
        <v>1</v>
      </c>
      <c r="CL7" s="266">
        <f t="shared" si="7"/>
        <v>1</v>
      </c>
      <c r="CM7" s="266">
        <f t="shared" si="8"/>
        <v>1</v>
      </c>
      <c r="CN7" s="266">
        <f t="shared" si="9"/>
        <v>1</v>
      </c>
      <c r="CO7" s="266">
        <f t="shared" si="10"/>
        <v>1</v>
      </c>
      <c r="CP7" s="266">
        <f t="shared" si="11"/>
        <v>1</v>
      </c>
      <c r="CQ7" s="266">
        <f t="shared" si="12"/>
        <v>1</v>
      </c>
      <c r="CR7" s="266">
        <f t="shared" si="13"/>
        <v>1</v>
      </c>
      <c r="CS7" s="266">
        <f t="shared" si="14"/>
        <v>1.0159323136999674</v>
      </c>
      <c r="CT7" s="266">
        <f t="shared" si="15"/>
        <v>1.0515370430632389</v>
      </c>
      <c r="CU7" s="266">
        <f t="shared" si="16"/>
        <v>1.0797071265863978</v>
      </c>
      <c r="CV7" s="266">
        <f t="shared" si="17"/>
        <v>1.1638268792710706</v>
      </c>
      <c r="CW7" s="266">
        <f t="shared" si="18"/>
        <v>1.2439563944028635</v>
      </c>
      <c r="CX7" s="266" t="e">
        <f t="shared" si="19"/>
        <v>#VALUE!</v>
      </c>
      <c r="CY7" s="266" t="e">
        <f t="shared" si="20"/>
        <v>#VALUE!</v>
      </c>
      <c r="CZ7" s="266" t="e">
        <f t="shared" si="21"/>
        <v>#VALUE!</v>
      </c>
      <c r="DA7" s="266" t="e">
        <f t="shared" si="22"/>
        <v>#VALUE!</v>
      </c>
      <c r="DB7" s="266" t="e">
        <f t="shared" si="23"/>
        <v>#VALUE!</v>
      </c>
      <c r="DC7" s="266" t="e">
        <f t="shared" si="24"/>
        <v>#VALUE!</v>
      </c>
      <c r="DD7" s="266" t="e">
        <f t="shared" si="25"/>
        <v>#VALUE!</v>
      </c>
      <c r="DE7" s="266" t="e">
        <f t="shared" si="26"/>
        <v>#VALUE!</v>
      </c>
      <c r="DF7" s="266" t="e">
        <f t="shared" si="27"/>
        <v>#VALUE!</v>
      </c>
      <c r="DG7" s="266" t="e">
        <f t="shared" si="28"/>
        <v>#VALUE!</v>
      </c>
      <c r="DH7" s="266" t="e">
        <f t="shared" si="29"/>
        <v>#VALUE!</v>
      </c>
      <c r="DI7" s="266" t="e">
        <f t="shared" si="30"/>
        <v>#VALUE!</v>
      </c>
      <c r="DJ7" s="266" t="e">
        <f t="shared" si="31"/>
        <v>#VALUE!</v>
      </c>
    </row>
    <row r="8" spans="1:114" x14ac:dyDescent="0.25">
      <c r="A8" s="239">
        <v>4</v>
      </c>
      <c r="B8" s="240">
        <v>1</v>
      </c>
      <c r="C8" s="240">
        <v>3.17</v>
      </c>
      <c r="D8" s="240">
        <v>4.08</v>
      </c>
      <c r="E8" s="240">
        <v>4.8</v>
      </c>
      <c r="F8" s="240">
        <v>5.8</v>
      </c>
      <c r="G8" s="240">
        <v>9.1999999999999993</v>
      </c>
      <c r="H8" s="240">
        <v>11.17</v>
      </c>
      <c r="I8" s="240">
        <v>11.91</v>
      </c>
      <c r="J8" s="240">
        <v>12.14</v>
      </c>
      <c r="K8" s="240">
        <v>12.2</v>
      </c>
      <c r="L8" s="240">
        <v>12.25</v>
      </c>
      <c r="M8" s="240">
        <v>12.25</v>
      </c>
      <c r="N8" s="240">
        <v>0</v>
      </c>
      <c r="O8" s="240">
        <v>0</v>
      </c>
      <c r="P8" s="240">
        <v>0</v>
      </c>
      <c r="Q8" s="240">
        <v>0</v>
      </c>
      <c r="R8" s="240">
        <v>0</v>
      </c>
      <c r="S8" s="240">
        <v>0</v>
      </c>
      <c r="T8" s="240">
        <v>0</v>
      </c>
      <c r="U8" s="240">
        <v>0</v>
      </c>
      <c r="V8" s="240">
        <v>0</v>
      </c>
      <c r="W8" s="240">
        <v>0</v>
      </c>
      <c r="X8" s="240">
        <v>0</v>
      </c>
      <c r="Y8" s="240">
        <v>0</v>
      </c>
      <c r="Z8" s="241">
        <v>0</v>
      </c>
      <c r="AA8" s="129">
        <v>0</v>
      </c>
      <c r="AC8" s="246">
        <v>6</v>
      </c>
      <c r="AD8" s="260">
        <f t="shared" si="2"/>
        <v>3</v>
      </c>
      <c r="AE8" s="261">
        <f t="shared" si="1"/>
        <v>0.3</v>
      </c>
      <c r="AF8" s="261">
        <f t="shared" si="1"/>
        <v>1.67</v>
      </c>
      <c r="AG8" s="261">
        <f t="shared" si="1"/>
        <v>2.2999999999999998</v>
      </c>
      <c r="AH8" s="261">
        <f t="shared" si="1"/>
        <v>2.7</v>
      </c>
      <c r="AI8" s="261">
        <f t="shared" si="1"/>
        <v>3.1</v>
      </c>
      <c r="AJ8" s="261">
        <f t="shared" si="1"/>
        <v>5.7</v>
      </c>
      <c r="AK8" s="261">
        <f t="shared" si="1"/>
        <v>9.6999999999999993</v>
      </c>
      <c r="AL8" s="261">
        <f t="shared" si="1"/>
        <v>11.23</v>
      </c>
      <c r="AM8" s="261">
        <f t="shared" si="1"/>
        <v>11.7</v>
      </c>
      <c r="AN8" s="261">
        <f t="shared" si="1"/>
        <v>11.93</v>
      </c>
      <c r="AO8" s="261">
        <f t="shared" si="1"/>
        <v>12.21</v>
      </c>
      <c r="AP8" s="261">
        <f t="shared" si="1"/>
        <v>12.23</v>
      </c>
      <c r="AQ8" s="261" t="str">
        <f t="shared" si="1"/>
        <v xml:space="preserve">  </v>
      </c>
      <c r="AR8" s="261" t="str">
        <f t="shared" si="1"/>
        <v xml:space="preserve">  </v>
      </c>
      <c r="AS8" s="261" t="str">
        <f t="shared" si="1"/>
        <v xml:space="preserve">  </v>
      </c>
      <c r="AT8" s="261" t="str">
        <f t="shared" si="1"/>
        <v xml:space="preserve">  </v>
      </c>
      <c r="AU8" s="261" t="str">
        <f t="shared" si="1"/>
        <v xml:space="preserve">  </v>
      </c>
      <c r="AV8" s="261" t="str">
        <f t="shared" si="1"/>
        <v xml:space="preserve">  </v>
      </c>
      <c r="AW8" s="261" t="str">
        <f t="shared" si="1"/>
        <v xml:space="preserve">  </v>
      </c>
      <c r="AX8" s="261" t="str">
        <f t="shared" si="1"/>
        <v xml:space="preserve">  </v>
      </c>
      <c r="AY8" s="261" t="str">
        <f t="shared" si="1"/>
        <v xml:space="preserve">  </v>
      </c>
      <c r="AZ8" s="261" t="str">
        <f t="shared" si="1"/>
        <v xml:space="preserve">  </v>
      </c>
      <c r="BA8" s="261" t="str">
        <f t="shared" si="1"/>
        <v xml:space="preserve">  </v>
      </c>
      <c r="BB8" s="261" t="str">
        <f t="shared" si="1"/>
        <v xml:space="preserve">  </v>
      </c>
      <c r="BC8" s="261" t="str">
        <f t="shared" si="1"/>
        <v xml:space="preserve">  </v>
      </c>
      <c r="BD8" s="129">
        <v>6</v>
      </c>
      <c r="BE8" s="252">
        <v>3</v>
      </c>
      <c r="BF8" s="255">
        <v>0</v>
      </c>
      <c r="BG8" s="255">
        <v>0</v>
      </c>
      <c r="BH8" s="255">
        <v>0</v>
      </c>
      <c r="BI8" s="255">
        <v>1.2</v>
      </c>
      <c r="BJ8" s="255">
        <v>2.7</v>
      </c>
      <c r="BK8" s="255">
        <v>5.7</v>
      </c>
      <c r="BL8" s="255">
        <v>9.1999999999999993</v>
      </c>
      <c r="BM8" s="255">
        <v>11.15</v>
      </c>
      <c r="BN8" s="255">
        <v>11.97</v>
      </c>
      <c r="BO8" s="255">
        <v>12.25</v>
      </c>
      <c r="BP8" s="255">
        <v>12.25</v>
      </c>
      <c r="BQ8" s="255">
        <v>12.25</v>
      </c>
      <c r="BR8" s="255">
        <v>12.25</v>
      </c>
      <c r="BS8" s="255">
        <v>12.25</v>
      </c>
      <c r="BT8" s="255">
        <v>12.2</v>
      </c>
      <c r="BU8" s="255">
        <v>11.64</v>
      </c>
      <c r="BV8" s="255">
        <v>10.5</v>
      </c>
      <c r="BW8" s="255">
        <v>8.91</v>
      </c>
      <c r="BX8" s="255">
        <v>7.02</v>
      </c>
      <c r="BY8" s="255">
        <v>5.03</v>
      </c>
      <c r="BZ8" s="255">
        <v>3.25</v>
      </c>
      <c r="CA8" s="255">
        <v>2.57</v>
      </c>
      <c r="CB8" s="255">
        <v>2.1</v>
      </c>
      <c r="CC8" s="255">
        <v>1.77</v>
      </c>
      <c r="CD8" s="256">
        <v>1.45</v>
      </c>
      <c r="CG8" s="262">
        <f t="shared" si="5"/>
        <v>1.5</v>
      </c>
      <c r="CH8" s="262">
        <f t="shared" si="6"/>
        <v>1.5</v>
      </c>
      <c r="CI8" s="262">
        <f t="shared" si="6"/>
        <v>1.5</v>
      </c>
      <c r="CJ8" s="262"/>
      <c r="CK8" s="265">
        <f t="shared" si="3"/>
        <v>1.5</v>
      </c>
      <c r="CL8" s="266">
        <f t="shared" si="7"/>
        <v>1.5</v>
      </c>
      <c r="CM8" s="266">
        <f t="shared" si="8"/>
        <v>1.5</v>
      </c>
      <c r="CN8" s="266">
        <f t="shared" si="9"/>
        <v>1.5</v>
      </c>
      <c r="CO8" s="266">
        <f t="shared" si="10"/>
        <v>1.5006508298080052</v>
      </c>
      <c r="CP8" s="266">
        <f t="shared" si="11"/>
        <v>1.5027985681744225</v>
      </c>
      <c r="CQ8" s="266">
        <f t="shared" si="12"/>
        <v>1.5097624471200781</v>
      </c>
      <c r="CR8" s="266">
        <f t="shared" si="13"/>
        <v>1.523364790107387</v>
      </c>
      <c r="CS8" s="266">
        <f t="shared" si="14"/>
        <v>1.5601366742596812</v>
      </c>
      <c r="CT8" s="266">
        <f t="shared" si="15"/>
        <v>1.604738041002278</v>
      </c>
      <c r="CU8" s="266">
        <f t="shared" si="16"/>
        <v>1.6467100553205336</v>
      </c>
      <c r="CV8" s="266">
        <f t="shared" si="17"/>
        <v>1.7252912463390824</v>
      </c>
      <c r="CW8" s="266">
        <f t="shared" si="18"/>
        <v>1.807628376179629</v>
      </c>
      <c r="CX8" s="266" t="e">
        <f t="shared" si="19"/>
        <v>#VALUE!</v>
      </c>
      <c r="CY8" s="266" t="e">
        <f t="shared" si="20"/>
        <v>#VALUE!</v>
      </c>
      <c r="CZ8" s="266" t="e">
        <f t="shared" si="21"/>
        <v>#VALUE!</v>
      </c>
      <c r="DA8" s="266" t="e">
        <f t="shared" si="22"/>
        <v>#VALUE!</v>
      </c>
      <c r="DB8" s="266" t="e">
        <f t="shared" si="23"/>
        <v>#VALUE!</v>
      </c>
      <c r="DC8" s="266" t="e">
        <f t="shared" si="24"/>
        <v>#VALUE!</v>
      </c>
      <c r="DD8" s="266" t="e">
        <f t="shared" si="25"/>
        <v>#VALUE!</v>
      </c>
      <c r="DE8" s="266" t="e">
        <f t="shared" si="26"/>
        <v>#VALUE!</v>
      </c>
      <c r="DF8" s="266" t="e">
        <f t="shared" si="27"/>
        <v>#VALUE!</v>
      </c>
      <c r="DG8" s="266" t="e">
        <f t="shared" si="28"/>
        <v>#VALUE!</v>
      </c>
      <c r="DH8" s="266" t="e">
        <f t="shared" si="29"/>
        <v>#VALUE!</v>
      </c>
      <c r="DI8" s="266" t="e">
        <f t="shared" si="30"/>
        <v>#VALUE!</v>
      </c>
      <c r="DJ8" s="266" t="e">
        <f t="shared" si="31"/>
        <v>#VALUE!</v>
      </c>
    </row>
    <row r="9" spans="1:114" x14ac:dyDescent="0.25">
      <c r="A9" s="239">
        <v>5</v>
      </c>
      <c r="B9" s="240">
        <v>1.62</v>
      </c>
      <c r="C9" s="240">
        <v>4.8099999999999996</v>
      </c>
      <c r="D9" s="240">
        <v>6.09</v>
      </c>
      <c r="E9" s="240">
        <v>7.37</v>
      </c>
      <c r="F9" s="240">
        <v>9.0299999999999994</v>
      </c>
      <c r="G9" s="240">
        <v>11.15</v>
      </c>
      <c r="H9" s="240">
        <v>11.95</v>
      </c>
      <c r="I9" s="240">
        <v>12.22</v>
      </c>
      <c r="J9" s="240">
        <v>12.25</v>
      </c>
      <c r="K9" s="240">
        <v>12.25</v>
      </c>
      <c r="L9" s="240">
        <v>12.25</v>
      </c>
      <c r="M9" s="240">
        <v>12.25</v>
      </c>
      <c r="N9" s="240">
        <v>0</v>
      </c>
      <c r="O9" s="240">
        <v>0</v>
      </c>
      <c r="P9" s="240">
        <v>0</v>
      </c>
      <c r="Q9" s="240">
        <v>0</v>
      </c>
      <c r="R9" s="240">
        <v>0</v>
      </c>
      <c r="S9" s="240">
        <v>0</v>
      </c>
      <c r="T9" s="240">
        <v>0</v>
      </c>
      <c r="U9" s="240">
        <v>0</v>
      </c>
      <c r="V9" s="240">
        <v>0</v>
      </c>
      <c r="W9" s="240">
        <v>0</v>
      </c>
      <c r="X9" s="240">
        <v>0</v>
      </c>
      <c r="Y9" s="240">
        <v>0</v>
      </c>
      <c r="Z9" s="241">
        <v>0</v>
      </c>
      <c r="AA9" s="129">
        <v>0</v>
      </c>
      <c r="AC9" s="246">
        <v>7</v>
      </c>
      <c r="AD9" s="260">
        <f t="shared" si="2"/>
        <v>4</v>
      </c>
      <c r="AE9" s="261">
        <f t="shared" si="1"/>
        <v>1</v>
      </c>
      <c r="AF9" s="261">
        <f t="shared" si="1"/>
        <v>3.17</v>
      </c>
      <c r="AG9" s="261">
        <f t="shared" si="1"/>
        <v>4.08</v>
      </c>
      <c r="AH9" s="261">
        <f t="shared" si="1"/>
        <v>4.8</v>
      </c>
      <c r="AI9" s="261">
        <f t="shared" si="1"/>
        <v>5.8</v>
      </c>
      <c r="AJ9" s="261">
        <f t="shared" si="1"/>
        <v>9.1999999999999993</v>
      </c>
      <c r="AK9" s="261">
        <f t="shared" si="1"/>
        <v>11.17</v>
      </c>
      <c r="AL9" s="261">
        <f t="shared" si="1"/>
        <v>11.91</v>
      </c>
      <c r="AM9" s="261">
        <f t="shared" si="1"/>
        <v>12.14</v>
      </c>
      <c r="AN9" s="261">
        <f t="shared" si="1"/>
        <v>12.2</v>
      </c>
      <c r="AO9" s="261">
        <f t="shared" si="1"/>
        <v>12.25</v>
      </c>
      <c r="AP9" s="261">
        <f t="shared" si="1"/>
        <v>12.25</v>
      </c>
      <c r="AQ9" s="261" t="str">
        <f t="shared" si="1"/>
        <v xml:space="preserve">  </v>
      </c>
      <c r="AR9" s="261" t="str">
        <f t="shared" si="1"/>
        <v xml:space="preserve">  </v>
      </c>
      <c r="AS9" s="261" t="str">
        <f t="shared" si="1"/>
        <v xml:space="preserve">  </v>
      </c>
      <c r="AT9" s="261" t="str">
        <f t="shared" si="1"/>
        <v xml:space="preserve">  </v>
      </c>
      <c r="AU9" s="261" t="str">
        <f t="shared" si="1"/>
        <v xml:space="preserve">  </v>
      </c>
      <c r="AV9" s="261" t="str">
        <f t="shared" si="1"/>
        <v xml:space="preserve">  </v>
      </c>
      <c r="AW9" s="261" t="str">
        <f t="shared" si="1"/>
        <v xml:space="preserve">  </v>
      </c>
      <c r="AX9" s="261" t="str">
        <f t="shared" si="1"/>
        <v xml:space="preserve">  </v>
      </c>
      <c r="AY9" s="261" t="str">
        <f t="shared" si="1"/>
        <v xml:space="preserve">  </v>
      </c>
      <c r="AZ9" s="261" t="str">
        <f t="shared" si="1"/>
        <v xml:space="preserve">  </v>
      </c>
      <c r="BA9" s="261" t="str">
        <f t="shared" si="1"/>
        <v xml:space="preserve">  </v>
      </c>
      <c r="BB9" s="261" t="str">
        <f t="shared" si="1"/>
        <v xml:space="preserve">  </v>
      </c>
      <c r="BC9" s="261" t="str">
        <f t="shared" si="1"/>
        <v xml:space="preserve">  </v>
      </c>
      <c r="BD9" s="129">
        <v>7</v>
      </c>
      <c r="BE9" s="252">
        <v>4</v>
      </c>
      <c r="BF9" s="255">
        <v>0</v>
      </c>
      <c r="BG9" s="255">
        <v>0</v>
      </c>
      <c r="BH9" s="255">
        <v>0</v>
      </c>
      <c r="BI9" s="255">
        <v>2.4</v>
      </c>
      <c r="BJ9" s="255">
        <v>5.5</v>
      </c>
      <c r="BK9" s="255">
        <v>9.6999999999999993</v>
      </c>
      <c r="BL9" s="255">
        <v>11.17</v>
      </c>
      <c r="BM9" s="255">
        <v>11.95</v>
      </c>
      <c r="BN9" s="255">
        <v>12.25</v>
      </c>
      <c r="BO9" s="255">
        <v>12.25</v>
      </c>
      <c r="BP9" s="255">
        <v>12.25</v>
      </c>
      <c r="BQ9" s="255">
        <v>12.25</v>
      </c>
      <c r="BR9" s="255">
        <v>12.25</v>
      </c>
      <c r="BS9" s="255">
        <v>12.25</v>
      </c>
      <c r="BT9" s="255">
        <v>12.25</v>
      </c>
      <c r="BU9" s="255">
        <v>11.97</v>
      </c>
      <c r="BV9" s="255">
        <v>11.06</v>
      </c>
      <c r="BW9" s="255">
        <v>9.64</v>
      </c>
      <c r="BX9" s="255">
        <v>7.81</v>
      </c>
      <c r="BY9" s="255">
        <v>5.69</v>
      </c>
      <c r="BZ9" s="255">
        <v>3.51</v>
      </c>
      <c r="CA9" s="255">
        <v>2.5499999999999998</v>
      </c>
      <c r="CB9" s="255">
        <v>1.8</v>
      </c>
      <c r="CC9" s="255">
        <v>1.31</v>
      </c>
      <c r="CD9" s="256">
        <v>1.04</v>
      </c>
      <c r="CG9" s="262">
        <f t="shared" si="5"/>
        <v>2</v>
      </c>
      <c r="CH9" s="262">
        <f t="shared" si="6"/>
        <v>2</v>
      </c>
      <c r="CI9" s="262">
        <f t="shared" si="6"/>
        <v>2</v>
      </c>
      <c r="CJ9" s="262"/>
      <c r="CK9" s="265">
        <f t="shared" si="3"/>
        <v>2</v>
      </c>
      <c r="CL9" s="266">
        <f t="shared" si="7"/>
        <v>2</v>
      </c>
      <c r="CM9" s="266">
        <f t="shared" si="8"/>
        <v>2.0002863651155223</v>
      </c>
      <c r="CN9" s="266">
        <f t="shared" si="9"/>
        <v>2.0031565245688254</v>
      </c>
      <c r="CO9" s="266">
        <f t="shared" si="10"/>
        <v>2.0081744223885454</v>
      </c>
      <c r="CP9" s="266">
        <f t="shared" si="11"/>
        <v>2.0145330296127564</v>
      </c>
      <c r="CQ9" s="266">
        <f t="shared" si="12"/>
        <v>2.0305955092743249</v>
      </c>
      <c r="CR9" s="266">
        <f t="shared" si="13"/>
        <v>2.0613927757891313</v>
      </c>
      <c r="CS9" s="266">
        <f t="shared" si="14"/>
        <v>2.1206703547022454</v>
      </c>
      <c r="CT9" s="266">
        <f t="shared" si="15"/>
        <v>2.1703069747261092</v>
      </c>
      <c r="CU9" s="266">
        <f t="shared" si="16"/>
        <v>2.2083241132443865</v>
      </c>
      <c r="CV9" s="266">
        <f t="shared" si="17"/>
        <v>2.295769606247966</v>
      </c>
      <c r="CW9" s="266">
        <f t="shared" si="18"/>
        <v>2.3792450374227139</v>
      </c>
      <c r="CX9" s="266" t="e">
        <f t="shared" si="19"/>
        <v>#VALUE!</v>
      </c>
      <c r="CY9" s="266" t="e">
        <f t="shared" si="20"/>
        <v>#VALUE!</v>
      </c>
      <c r="CZ9" s="266" t="e">
        <f t="shared" si="21"/>
        <v>#VALUE!</v>
      </c>
      <c r="DA9" s="266" t="e">
        <f t="shared" si="22"/>
        <v>#VALUE!</v>
      </c>
      <c r="DB9" s="266" t="e">
        <f t="shared" si="23"/>
        <v>#VALUE!</v>
      </c>
      <c r="DC9" s="266" t="e">
        <f t="shared" si="24"/>
        <v>#VALUE!</v>
      </c>
      <c r="DD9" s="266" t="e">
        <f t="shared" si="25"/>
        <v>#VALUE!</v>
      </c>
      <c r="DE9" s="266" t="e">
        <f t="shared" si="26"/>
        <v>#VALUE!</v>
      </c>
      <c r="DF9" s="266" t="e">
        <f t="shared" si="27"/>
        <v>#VALUE!</v>
      </c>
      <c r="DG9" s="266" t="e">
        <f t="shared" si="28"/>
        <v>#VALUE!</v>
      </c>
      <c r="DH9" s="266" t="e">
        <f t="shared" si="29"/>
        <v>#VALUE!</v>
      </c>
      <c r="DI9" s="266" t="e">
        <f t="shared" si="30"/>
        <v>#VALUE!</v>
      </c>
      <c r="DJ9" s="266" t="e">
        <f t="shared" si="31"/>
        <v>#VALUE!</v>
      </c>
    </row>
    <row r="10" spans="1:114" x14ac:dyDescent="0.25">
      <c r="A10" s="239">
        <v>6</v>
      </c>
      <c r="B10" s="240">
        <v>2.2000000000000002</v>
      </c>
      <c r="C10" s="240">
        <v>6.59</v>
      </c>
      <c r="D10" s="240">
        <v>8.34</v>
      </c>
      <c r="E10" s="240">
        <v>9.82</v>
      </c>
      <c r="F10" s="240">
        <v>10.92</v>
      </c>
      <c r="G10" s="240">
        <v>11.97</v>
      </c>
      <c r="H10" s="240">
        <v>12.25</v>
      </c>
      <c r="I10" s="240">
        <v>12.25</v>
      </c>
      <c r="J10" s="240">
        <v>12.25</v>
      </c>
      <c r="K10" s="240">
        <v>12.25</v>
      </c>
      <c r="L10" s="240">
        <v>12.25</v>
      </c>
      <c r="M10" s="240">
        <v>12.25</v>
      </c>
      <c r="N10" s="240">
        <v>0</v>
      </c>
      <c r="O10" s="240">
        <v>0</v>
      </c>
      <c r="P10" s="240">
        <v>0</v>
      </c>
      <c r="Q10" s="240">
        <v>0</v>
      </c>
      <c r="R10" s="240">
        <v>0</v>
      </c>
      <c r="S10" s="240">
        <v>0</v>
      </c>
      <c r="T10" s="240">
        <v>0</v>
      </c>
      <c r="U10" s="240">
        <v>0</v>
      </c>
      <c r="V10" s="240">
        <v>0</v>
      </c>
      <c r="W10" s="240">
        <v>0</v>
      </c>
      <c r="X10" s="240">
        <v>0</v>
      </c>
      <c r="Y10" s="240">
        <v>0</v>
      </c>
      <c r="Z10" s="241">
        <v>0</v>
      </c>
      <c r="AA10" s="129">
        <v>0</v>
      </c>
      <c r="AC10" s="246">
        <v>8</v>
      </c>
      <c r="AD10" s="260">
        <f t="shared" si="2"/>
        <v>5</v>
      </c>
      <c r="AE10" s="261">
        <f t="shared" si="1"/>
        <v>1.62</v>
      </c>
      <c r="AF10" s="261">
        <f t="shared" si="1"/>
        <v>4.8099999999999996</v>
      </c>
      <c r="AG10" s="261">
        <f t="shared" si="1"/>
        <v>6.09</v>
      </c>
      <c r="AH10" s="261">
        <f t="shared" si="1"/>
        <v>7.37</v>
      </c>
      <c r="AI10" s="261">
        <f t="shared" si="1"/>
        <v>9.0299999999999994</v>
      </c>
      <c r="AJ10" s="261">
        <f t="shared" si="1"/>
        <v>11.15</v>
      </c>
      <c r="AK10" s="261">
        <f t="shared" si="1"/>
        <v>11.95</v>
      </c>
      <c r="AL10" s="261">
        <f t="shared" si="1"/>
        <v>12.22</v>
      </c>
      <c r="AM10" s="261">
        <f t="shared" si="1"/>
        <v>12.25</v>
      </c>
      <c r="AN10" s="261">
        <f t="shared" si="1"/>
        <v>12.25</v>
      </c>
      <c r="AO10" s="261">
        <f t="shared" si="1"/>
        <v>12.25</v>
      </c>
      <c r="AP10" s="261">
        <f t="shared" si="1"/>
        <v>12.25</v>
      </c>
      <c r="AQ10" s="261" t="str">
        <f t="shared" si="1"/>
        <v xml:space="preserve">  </v>
      </c>
      <c r="AR10" s="261" t="str">
        <f t="shared" si="1"/>
        <v xml:space="preserve">  </v>
      </c>
      <c r="AS10" s="261" t="str">
        <f t="shared" si="1"/>
        <v xml:space="preserve">  </v>
      </c>
      <c r="AT10" s="261" t="str">
        <f t="shared" si="1"/>
        <v xml:space="preserve">  </v>
      </c>
      <c r="AU10" s="261" t="str">
        <f t="shared" si="1"/>
        <v xml:space="preserve">  </v>
      </c>
      <c r="AV10" s="261" t="str">
        <f t="shared" si="1"/>
        <v xml:space="preserve">  </v>
      </c>
      <c r="AW10" s="261" t="str">
        <f t="shared" si="1"/>
        <v xml:space="preserve">  </v>
      </c>
      <c r="AX10" s="261" t="str">
        <f t="shared" si="1"/>
        <v xml:space="preserve">  </v>
      </c>
      <c r="AY10" s="261" t="str">
        <f t="shared" si="1"/>
        <v xml:space="preserve">  </v>
      </c>
      <c r="AZ10" s="261" t="str">
        <f t="shared" si="1"/>
        <v xml:space="preserve">  </v>
      </c>
      <c r="BA10" s="261" t="str">
        <f t="shared" si="1"/>
        <v xml:space="preserve">  </v>
      </c>
      <c r="BB10" s="261" t="str">
        <f t="shared" si="1"/>
        <v xml:space="preserve">  </v>
      </c>
      <c r="BC10" s="261" t="str">
        <f t="shared" si="1"/>
        <v xml:space="preserve">  </v>
      </c>
      <c r="BD10" s="129">
        <v>8</v>
      </c>
      <c r="BE10" s="252">
        <v>5</v>
      </c>
      <c r="BF10" s="255">
        <v>0</v>
      </c>
      <c r="BG10" s="255">
        <v>1.2</v>
      </c>
      <c r="BH10" s="255">
        <v>6.12</v>
      </c>
      <c r="BI10" s="255">
        <v>8.5500000000000007</v>
      </c>
      <c r="BJ10" s="255">
        <v>9.9</v>
      </c>
      <c r="BK10" s="255">
        <v>11.23</v>
      </c>
      <c r="BL10" s="255">
        <v>11.91</v>
      </c>
      <c r="BM10" s="255">
        <v>12.22</v>
      </c>
      <c r="BN10" s="255">
        <v>12.25</v>
      </c>
      <c r="BO10" s="255">
        <v>12.25</v>
      </c>
      <c r="BP10" s="255">
        <v>12.25</v>
      </c>
      <c r="BQ10" s="255">
        <v>12.25</v>
      </c>
      <c r="BR10" s="255">
        <v>12.25</v>
      </c>
      <c r="BS10" s="255">
        <v>12.25</v>
      </c>
      <c r="BT10" s="255">
        <v>12.25</v>
      </c>
      <c r="BU10" s="255">
        <v>12.18</v>
      </c>
      <c r="BV10" s="255">
        <v>11.46</v>
      </c>
      <c r="BW10" s="255">
        <v>10.26</v>
      </c>
      <c r="BX10" s="255">
        <v>8.6300000000000008</v>
      </c>
      <c r="BY10" s="255">
        <v>6.59</v>
      </c>
      <c r="BZ10" s="255">
        <v>4.28</v>
      </c>
      <c r="CA10" s="255">
        <v>3.12</v>
      </c>
      <c r="CB10" s="255">
        <v>2</v>
      </c>
      <c r="CC10" s="255">
        <v>1</v>
      </c>
      <c r="CD10" s="256">
        <v>0</v>
      </c>
      <c r="CG10" s="262">
        <f t="shared" si="5"/>
        <v>3</v>
      </c>
      <c r="CH10" s="262">
        <f t="shared" si="6"/>
        <v>3</v>
      </c>
      <c r="CI10" s="262">
        <f t="shared" si="6"/>
        <v>3</v>
      </c>
      <c r="CJ10" s="262"/>
      <c r="CK10" s="265">
        <f t="shared" si="3"/>
        <v>3</v>
      </c>
      <c r="CL10" s="266">
        <f t="shared" si="7"/>
        <v>3</v>
      </c>
      <c r="CM10" s="266">
        <f t="shared" si="8"/>
        <v>3.0040872111942729</v>
      </c>
      <c r="CN10" s="266">
        <f t="shared" si="9"/>
        <v>3.0120794012365768</v>
      </c>
      <c r="CO10" s="266">
        <f t="shared" si="10"/>
        <v>3.0217507321835342</v>
      </c>
      <c r="CP10" s="266">
        <f t="shared" si="11"/>
        <v>3.0331662870159453</v>
      </c>
      <c r="CQ10" s="266">
        <f t="shared" si="12"/>
        <v>3.0651871135698014</v>
      </c>
      <c r="CR10" s="266">
        <f t="shared" si="13"/>
        <v>3.1258444516758868</v>
      </c>
      <c r="CS10" s="266">
        <f t="shared" si="14"/>
        <v>3.2102700943703222</v>
      </c>
      <c r="CT10" s="266">
        <f t="shared" si="15"/>
        <v>3.2649896951947066</v>
      </c>
      <c r="CU10" s="266">
        <f t="shared" si="16"/>
        <v>3.2990953465668729</v>
      </c>
      <c r="CV10" s="266">
        <f t="shared" si="17"/>
        <v>3.3955222909209244</v>
      </c>
      <c r="CW10" s="266">
        <f t="shared" si="18"/>
        <v>3.4798255776114546</v>
      </c>
      <c r="CX10" s="266" t="e">
        <f t="shared" si="19"/>
        <v>#VALUE!</v>
      </c>
      <c r="CY10" s="266" t="e">
        <f t="shared" si="20"/>
        <v>#VALUE!</v>
      </c>
      <c r="CZ10" s="266" t="e">
        <f t="shared" si="21"/>
        <v>#VALUE!</v>
      </c>
      <c r="DA10" s="266" t="e">
        <f t="shared" si="22"/>
        <v>#VALUE!</v>
      </c>
      <c r="DB10" s="266" t="e">
        <f t="shared" si="23"/>
        <v>#VALUE!</v>
      </c>
      <c r="DC10" s="266" t="e">
        <f t="shared" si="24"/>
        <v>#VALUE!</v>
      </c>
      <c r="DD10" s="266" t="e">
        <f t="shared" si="25"/>
        <v>#VALUE!</v>
      </c>
      <c r="DE10" s="266" t="e">
        <f t="shared" si="26"/>
        <v>#VALUE!</v>
      </c>
      <c r="DF10" s="266" t="e">
        <f t="shared" si="27"/>
        <v>#VALUE!</v>
      </c>
      <c r="DG10" s="266" t="e">
        <f t="shared" si="28"/>
        <v>#VALUE!</v>
      </c>
      <c r="DH10" s="266" t="e">
        <f t="shared" si="29"/>
        <v>#VALUE!</v>
      </c>
      <c r="DI10" s="266" t="e">
        <f t="shared" si="30"/>
        <v>#VALUE!</v>
      </c>
      <c r="DJ10" s="266" t="e">
        <f t="shared" si="31"/>
        <v>#VALUE!</v>
      </c>
    </row>
    <row r="11" spans="1:114" x14ac:dyDescent="0.25">
      <c r="A11" s="239">
        <v>7</v>
      </c>
      <c r="B11" s="240">
        <v>3.71</v>
      </c>
      <c r="C11" s="240">
        <v>8.58</v>
      </c>
      <c r="D11" s="240">
        <v>10.26</v>
      </c>
      <c r="E11" s="240">
        <v>11.25</v>
      </c>
      <c r="F11" s="240">
        <v>11.86</v>
      </c>
      <c r="G11" s="240">
        <v>12.25</v>
      </c>
      <c r="H11" s="240">
        <v>12.25</v>
      </c>
      <c r="I11" s="240">
        <v>12.25</v>
      </c>
      <c r="J11" s="240">
        <v>12.25</v>
      </c>
      <c r="K11" s="240">
        <v>12.25</v>
      </c>
      <c r="L11" s="240">
        <v>12.25</v>
      </c>
      <c r="M11" s="240">
        <v>12.25</v>
      </c>
      <c r="N11" s="240">
        <v>0</v>
      </c>
      <c r="O11" s="240">
        <v>0</v>
      </c>
      <c r="P11" s="240">
        <v>0</v>
      </c>
      <c r="Q11" s="240">
        <v>0</v>
      </c>
      <c r="R11" s="240">
        <v>0</v>
      </c>
      <c r="S11" s="240">
        <v>0</v>
      </c>
      <c r="T11" s="240">
        <v>0</v>
      </c>
      <c r="U11" s="240">
        <v>0</v>
      </c>
      <c r="V11" s="240">
        <v>0</v>
      </c>
      <c r="W11" s="240">
        <v>0</v>
      </c>
      <c r="X11" s="240">
        <v>0</v>
      </c>
      <c r="Y11" s="240">
        <v>0</v>
      </c>
      <c r="Z11" s="241">
        <v>0</v>
      </c>
      <c r="AA11" s="129">
        <v>0</v>
      </c>
      <c r="AC11" s="246">
        <v>9</v>
      </c>
      <c r="AD11" s="260">
        <f t="shared" si="2"/>
        <v>6</v>
      </c>
      <c r="AE11" s="261">
        <f t="shared" si="1"/>
        <v>2.2000000000000002</v>
      </c>
      <c r="AF11" s="261">
        <f t="shared" si="1"/>
        <v>6.59</v>
      </c>
      <c r="AG11" s="261">
        <f t="shared" si="1"/>
        <v>8.34</v>
      </c>
      <c r="AH11" s="261">
        <f t="shared" si="1"/>
        <v>9.82</v>
      </c>
      <c r="AI11" s="261">
        <f t="shared" si="1"/>
        <v>10.92</v>
      </c>
      <c r="AJ11" s="261">
        <f t="shared" si="1"/>
        <v>11.97</v>
      </c>
      <c r="AK11" s="261">
        <f t="shared" si="1"/>
        <v>12.25</v>
      </c>
      <c r="AL11" s="261">
        <f t="shared" si="1"/>
        <v>12.25</v>
      </c>
      <c r="AM11" s="261">
        <f t="shared" si="1"/>
        <v>12.25</v>
      </c>
      <c r="AN11" s="261">
        <f t="shared" si="1"/>
        <v>12.25</v>
      </c>
      <c r="AO11" s="261">
        <f t="shared" si="1"/>
        <v>12.25</v>
      </c>
      <c r="AP11" s="261">
        <f t="shared" si="1"/>
        <v>12.25</v>
      </c>
      <c r="AQ11" s="261" t="str">
        <f t="shared" si="1"/>
        <v xml:space="preserve">  </v>
      </c>
      <c r="AR11" s="261" t="str">
        <f t="shared" si="1"/>
        <v xml:space="preserve">  </v>
      </c>
      <c r="AS11" s="261" t="str">
        <f t="shared" si="1"/>
        <v xml:space="preserve">  </v>
      </c>
      <c r="AT11" s="261" t="str">
        <f t="shared" si="1"/>
        <v xml:space="preserve">  </v>
      </c>
      <c r="AU11" s="261" t="str">
        <f t="shared" si="1"/>
        <v xml:space="preserve">  </v>
      </c>
      <c r="AV11" s="261" t="str">
        <f t="shared" si="1"/>
        <v xml:space="preserve">  </v>
      </c>
      <c r="AW11" s="261" t="str">
        <f t="shared" si="1"/>
        <v xml:space="preserve">  </v>
      </c>
      <c r="AX11" s="261" t="str">
        <f t="shared" si="1"/>
        <v xml:space="preserve">  </v>
      </c>
      <c r="AY11" s="261" t="str">
        <f t="shared" si="1"/>
        <v xml:space="preserve">  </v>
      </c>
      <c r="AZ11" s="261" t="str">
        <f t="shared" si="1"/>
        <v xml:space="preserve">  </v>
      </c>
      <c r="BA11" s="261" t="str">
        <f t="shared" si="1"/>
        <v xml:space="preserve">  </v>
      </c>
      <c r="BB11" s="261" t="str">
        <f t="shared" si="1"/>
        <v xml:space="preserve">  </v>
      </c>
      <c r="BC11" s="261" t="str">
        <f t="shared" si="1"/>
        <v xml:space="preserve">  </v>
      </c>
      <c r="BD11" s="129">
        <v>9</v>
      </c>
      <c r="BE11" s="252">
        <v>5.6111111111111107</v>
      </c>
      <c r="BF11" s="255">
        <v>2.8919999999999999</v>
      </c>
      <c r="BG11" s="255">
        <v>6.8</v>
      </c>
      <c r="BH11" s="255">
        <v>8.8000000000000007</v>
      </c>
      <c r="BI11" s="255">
        <v>10.14</v>
      </c>
      <c r="BJ11" s="255">
        <v>10.9</v>
      </c>
      <c r="BK11" s="255">
        <v>11.7</v>
      </c>
      <c r="BL11" s="255">
        <v>12.14</v>
      </c>
      <c r="BM11" s="255">
        <v>12.25</v>
      </c>
      <c r="BN11" s="255">
        <v>12.25</v>
      </c>
      <c r="BO11" s="255">
        <v>12.25</v>
      </c>
      <c r="BP11" s="255">
        <v>12.25</v>
      </c>
      <c r="BQ11" s="255">
        <v>12.25</v>
      </c>
      <c r="BR11" s="255">
        <v>12.25</v>
      </c>
      <c r="BS11" s="255">
        <v>12.25</v>
      </c>
      <c r="BT11" s="255">
        <v>12.25</v>
      </c>
      <c r="BU11" s="255">
        <v>12.22</v>
      </c>
      <c r="BV11" s="255">
        <v>11.67</v>
      </c>
      <c r="BW11" s="255">
        <v>10.6</v>
      </c>
      <c r="BX11" s="255">
        <v>9.1199999999999992</v>
      </c>
      <c r="BY11" s="255">
        <v>7.22</v>
      </c>
      <c r="BZ11" s="255">
        <v>4.97</v>
      </c>
      <c r="CA11" s="255">
        <v>3.79</v>
      </c>
      <c r="CB11" s="255">
        <v>2.61</v>
      </c>
      <c r="CC11" s="255">
        <v>1.44</v>
      </c>
      <c r="CD11" s="256">
        <v>0</v>
      </c>
      <c r="CG11" s="262">
        <f t="shared" si="5"/>
        <v>4</v>
      </c>
      <c r="CH11" s="262">
        <f t="shared" si="6"/>
        <v>4</v>
      </c>
      <c r="CI11" s="262">
        <f t="shared" si="6"/>
        <v>4</v>
      </c>
      <c r="CJ11" s="262"/>
      <c r="CK11" s="265">
        <f t="shared" si="3"/>
        <v>4</v>
      </c>
      <c r="CL11" s="266">
        <f t="shared" si="7"/>
        <v>4</v>
      </c>
      <c r="CM11" s="266">
        <f t="shared" si="8"/>
        <v>4.0085519036771888</v>
      </c>
      <c r="CN11" s="266">
        <f t="shared" si="9"/>
        <v>4.0231174747803449</v>
      </c>
      <c r="CO11" s="266">
        <f t="shared" si="10"/>
        <v>4.0401692157500815</v>
      </c>
      <c r="CP11" s="266">
        <f t="shared" si="11"/>
        <v>4.0609697364139281</v>
      </c>
      <c r="CQ11" s="266">
        <f t="shared" si="12"/>
        <v>4.118086560364465</v>
      </c>
      <c r="CR11" s="266">
        <f t="shared" si="13"/>
        <v>4.2009502115196877</v>
      </c>
      <c r="CS11" s="266">
        <f t="shared" si="14"/>
        <v>4.2893589326391153</v>
      </c>
      <c r="CT11" s="266">
        <f t="shared" si="15"/>
        <v>4.346751274541707</v>
      </c>
      <c r="CU11" s="266">
        <f t="shared" si="16"/>
        <v>4.3858119101854864</v>
      </c>
      <c r="CV11" s="266">
        <f t="shared" si="17"/>
        <v>4.4792971038073546</v>
      </c>
      <c r="CW11" s="266">
        <f t="shared" si="18"/>
        <v>4.5638073543768307</v>
      </c>
      <c r="CX11" s="266" t="e">
        <f t="shared" si="19"/>
        <v>#VALUE!</v>
      </c>
      <c r="CY11" s="266" t="e">
        <f t="shared" si="20"/>
        <v>#VALUE!</v>
      </c>
      <c r="CZ11" s="266" t="e">
        <f t="shared" si="21"/>
        <v>#VALUE!</v>
      </c>
      <c r="DA11" s="266" t="e">
        <f t="shared" si="22"/>
        <v>#VALUE!</v>
      </c>
      <c r="DB11" s="266" t="e">
        <f t="shared" si="23"/>
        <v>#VALUE!</v>
      </c>
      <c r="DC11" s="266" t="e">
        <f t="shared" si="24"/>
        <v>#VALUE!</v>
      </c>
      <c r="DD11" s="266" t="e">
        <f t="shared" si="25"/>
        <v>#VALUE!</v>
      </c>
      <c r="DE11" s="266" t="e">
        <f t="shared" si="26"/>
        <v>#VALUE!</v>
      </c>
      <c r="DF11" s="266" t="e">
        <f t="shared" si="27"/>
        <v>#VALUE!</v>
      </c>
      <c r="DG11" s="266" t="e">
        <f t="shared" si="28"/>
        <v>#VALUE!</v>
      </c>
      <c r="DH11" s="266" t="e">
        <f t="shared" si="29"/>
        <v>#VALUE!</v>
      </c>
      <c r="DI11" s="266" t="e">
        <f t="shared" si="30"/>
        <v>#VALUE!</v>
      </c>
      <c r="DJ11" s="266" t="e">
        <f t="shared" si="31"/>
        <v>#VALUE!</v>
      </c>
    </row>
    <row r="12" spans="1:114" x14ac:dyDescent="0.25">
      <c r="A12" s="239">
        <v>8</v>
      </c>
      <c r="B12" s="240">
        <v>5.9</v>
      </c>
      <c r="C12" s="240">
        <v>10.16</v>
      </c>
      <c r="D12" s="240">
        <v>11.35</v>
      </c>
      <c r="E12" s="240">
        <v>11.9</v>
      </c>
      <c r="F12" s="240">
        <v>12.18</v>
      </c>
      <c r="G12" s="240">
        <v>12.25</v>
      </c>
      <c r="H12" s="240">
        <v>12.25</v>
      </c>
      <c r="I12" s="240">
        <v>12.25</v>
      </c>
      <c r="J12" s="240">
        <v>12.25</v>
      </c>
      <c r="K12" s="240">
        <v>12.25</v>
      </c>
      <c r="L12" s="240">
        <v>12.25</v>
      </c>
      <c r="M12" s="240">
        <v>12.25</v>
      </c>
      <c r="N12" s="240">
        <v>0</v>
      </c>
      <c r="O12" s="240">
        <v>0</v>
      </c>
      <c r="P12" s="240">
        <v>0</v>
      </c>
      <c r="Q12" s="240">
        <v>0</v>
      </c>
      <c r="R12" s="240">
        <v>0</v>
      </c>
      <c r="S12" s="240">
        <v>0</v>
      </c>
      <c r="T12" s="240">
        <v>0</v>
      </c>
      <c r="U12" s="240">
        <v>0</v>
      </c>
      <c r="V12" s="240">
        <v>0</v>
      </c>
      <c r="W12" s="240">
        <v>0</v>
      </c>
      <c r="X12" s="240">
        <v>0</v>
      </c>
      <c r="Y12" s="240">
        <v>0</v>
      </c>
      <c r="Z12" s="241">
        <v>0</v>
      </c>
      <c r="AA12" s="129">
        <v>0</v>
      </c>
      <c r="AC12" s="246">
        <v>10</v>
      </c>
      <c r="AD12" s="260">
        <f t="shared" si="2"/>
        <v>7</v>
      </c>
      <c r="AE12" s="261">
        <f t="shared" si="1"/>
        <v>3.71</v>
      </c>
      <c r="AF12" s="261">
        <f t="shared" si="1"/>
        <v>8.58</v>
      </c>
      <c r="AG12" s="261">
        <f t="shared" si="1"/>
        <v>10.26</v>
      </c>
      <c r="AH12" s="261">
        <f t="shared" si="1"/>
        <v>11.25</v>
      </c>
      <c r="AI12" s="261">
        <f t="shared" si="1"/>
        <v>11.86</v>
      </c>
      <c r="AJ12" s="261">
        <f t="shared" si="1"/>
        <v>12.25</v>
      </c>
      <c r="AK12" s="261">
        <f t="shared" si="1"/>
        <v>12.25</v>
      </c>
      <c r="AL12" s="261">
        <f t="shared" si="1"/>
        <v>12.25</v>
      </c>
      <c r="AM12" s="261">
        <f t="shared" si="1"/>
        <v>12.25</v>
      </c>
      <c r="AN12" s="261">
        <f t="shared" si="1"/>
        <v>12.25</v>
      </c>
      <c r="AO12" s="261">
        <f t="shared" si="1"/>
        <v>12.25</v>
      </c>
      <c r="AP12" s="261">
        <f t="shared" si="1"/>
        <v>12.25</v>
      </c>
      <c r="AQ12" s="261" t="str">
        <f t="shared" si="1"/>
        <v xml:space="preserve">  </v>
      </c>
      <c r="AR12" s="261" t="str">
        <f t="shared" si="1"/>
        <v xml:space="preserve">  </v>
      </c>
      <c r="AS12" s="261" t="str">
        <f t="shared" si="1"/>
        <v xml:space="preserve">  </v>
      </c>
      <c r="AT12" s="261" t="str">
        <f t="shared" si="1"/>
        <v xml:space="preserve">  </v>
      </c>
      <c r="AU12" s="261" t="str">
        <f t="shared" si="1"/>
        <v xml:space="preserve">  </v>
      </c>
      <c r="AV12" s="261" t="str">
        <f t="shared" si="1"/>
        <v xml:space="preserve">  </v>
      </c>
      <c r="AW12" s="261" t="str">
        <f t="shared" si="1"/>
        <v xml:space="preserve">  </v>
      </c>
      <c r="AX12" s="261" t="str">
        <f t="shared" si="1"/>
        <v xml:space="preserve">  </v>
      </c>
      <c r="AY12" s="261" t="str">
        <f t="shared" si="1"/>
        <v xml:space="preserve">  </v>
      </c>
      <c r="AZ12" s="261" t="str">
        <f t="shared" si="1"/>
        <v xml:space="preserve">  </v>
      </c>
      <c r="BA12" s="261" t="str">
        <f t="shared" si="1"/>
        <v xml:space="preserve">  </v>
      </c>
      <c r="BB12" s="261" t="str">
        <f t="shared" si="1"/>
        <v xml:space="preserve">  </v>
      </c>
      <c r="BC12" s="261" t="str">
        <f t="shared" si="1"/>
        <v xml:space="preserve">  </v>
      </c>
      <c r="BD12" s="129">
        <v>10</v>
      </c>
      <c r="BE12" s="252">
        <v>6</v>
      </c>
      <c r="BF12" s="255">
        <v>6.2</v>
      </c>
      <c r="BG12" s="255">
        <v>8.4600000000000009</v>
      </c>
      <c r="BH12" s="255">
        <v>9.84</v>
      </c>
      <c r="BI12" s="255">
        <v>10.78</v>
      </c>
      <c r="BJ12" s="255">
        <v>11.34</v>
      </c>
      <c r="BK12" s="255">
        <v>11.93</v>
      </c>
      <c r="BL12" s="255">
        <v>12.2</v>
      </c>
      <c r="BM12" s="255">
        <v>12.25</v>
      </c>
      <c r="BN12" s="255">
        <v>12.25</v>
      </c>
      <c r="BO12" s="255">
        <v>12.25</v>
      </c>
      <c r="BP12" s="255">
        <v>12.25</v>
      </c>
      <c r="BQ12" s="255">
        <v>12.25</v>
      </c>
      <c r="BR12" s="255">
        <v>12.25</v>
      </c>
      <c r="BS12" s="255">
        <v>12.25</v>
      </c>
      <c r="BT12" s="255">
        <v>12.25</v>
      </c>
      <c r="BU12" s="255">
        <v>12.23</v>
      </c>
      <c r="BV12" s="255">
        <v>11.79</v>
      </c>
      <c r="BW12" s="255">
        <v>10.8</v>
      </c>
      <c r="BX12" s="255">
        <v>9.43</v>
      </c>
      <c r="BY12" s="255">
        <v>7.64</v>
      </c>
      <c r="BZ12" s="255">
        <v>5.47</v>
      </c>
      <c r="CA12" s="255">
        <v>4.3</v>
      </c>
      <c r="CB12" s="255">
        <v>3.1</v>
      </c>
      <c r="CC12" s="255">
        <v>1.74</v>
      </c>
      <c r="CD12" s="256">
        <v>0.25</v>
      </c>
      <c r="CG12" s="262">
        <f t="shared" si="5"/>
        <v>5</v>
      </c>
      <c r="CH12" s="262">
        <f t="shared" si="6"/>
        <v>5</v>
      </c>
      <c r="CI12" s="262">
        <f t="shared" si="6"/>
        <v>5</v>
      </c>
      <c r="CJ12" s="262"/>
      <c r="CK12" s="265">
        <f t="shared" si="3"/>
        <v>5</v>
      </c>
      <c r="CL12" s="266">
        <f t="shared" si="7"/>
        <v>5</v>
      </c>
      <c r="CM12" s="266">
        <f t="shared" si="8"/>
        <v>5.0131760494630653</v>
      </c>
      <c r="CN12" s="266">
        <f t="shared" si="9"/>
        <v>5.0350797266514808</v>
      </c>
      <c r="CO12" s="266">
        <f t="shared" si="10"/>
        <v>5.0607386918320856</v>
      </c>
      <c r="CP12" s="266">
        <f t="shared" si="11"/>
        <v>5.0931337455255452</v>
      </c>
      <c r="CQ12" s="266">
        <f t="shared" si="12"/>
        <v>5.1739928408721116</v>
      </c>
      <c r="CR12" s="266">
        <f t="shared" si="13"/>
        <v>5.2638594207614711</v>
      </c>
      <c r="CS12" s="266">
        <f t="shared" si="14"/>
        <v>5.3592710706150344</v>
      </c>
      <c r="CT12" s="266">
        <f t="shared" si="15"/>
        <v>5.4176656904219547</v>
      </c>
      <c r="CU12" s="266">
        <f t="shared" si="16"/>
        <v>5.4541099902375532</v>
      </c>
      <c r="CV12" s="266">
        <f t="shared" si="17"/>
        <v>5.5505369345916042</v>
      </c>
      <c r="CW12" s="266">
        <f t="shared" si="18"/>
        <v>5.6350471851610804</v>
      </c>
      <c r="CX12" s="266" t="e">
        <f t="shared" si="19"/>
        <v>#VALUE!</v>
      </c>
      <c r="CY12" s="266" t="e">
        <f t="shared" si="20"/>
        <v>#VALUE!</v>
      </c>
      <c r="CZ12" s="266" t="e">
        <f t="shared" si="21"/>
        <v>#VALUE!</v>
      </c>
      <c r="DA12" s="266" t="e">
        <f t="shared" si="22"/>
        <v>#VALUE!</v>
      </c>
      <c r="DB12" s="266" t="e">
        <f t="shared" si="23"/>
        <v>#VALUE!</v>
      </c>
      <c r="DC12" s="266" t="e">
        <f t="shared" si="24"/>
        <v>#VALUE!</v>
      </c>
      <c r="DD12" s="266" t="e">
        <f t="shared" si="25"/>
        <v>#VALUE!</v>
      </c>
      <c r="DE12" s="266" t="e">
        <f t="shared" si="26"/>
        <v>#VALUE!</v>
      </c>
      <c r="DF12" s="266" t="e">
        <f t="shared" si="27"/>
        <v>#VALUE!</v>
      </c>
      <c r="DG12" s="266" t="e">
        <f t="shared" si="28"/>
        <v>#VALUE!</v>
      </c>
      <c r="DH12" s="266" t="e">
        <f t="shared" si="29"/>
        <v>#VALUE!</v>
      </c>
      <c r="DI12" s="266" t="e">
        <f t="shared" si="30"/>
        <v>#VALUE!</v>
      </c>
      <c r="DJ12" s="266" t="e">
        <f t="shared" si="31"/>
        <v>#VALUE!</v>
      </c>
    </row>
    <row r="13" spans="1:114" x14ac:dyDescent="0.25">
      <c r="A13" s="239">
        <v>9</v>
      </c>
      <c r="B13" s="240">
        <v>7.2</v>
      </c>
      <c r="C13" s="240">
        <v>10.78</v>
      </c>
      <c r="D13" s="240">
        <v>11.72</v>
      </c>
      <c r="E13" s="240">
        <v>12.12</v>
      </c>
      <c r="F13" s="240">
        <v>12.25</v>
      </c>
      <c r="G13" s="240">
        <v>12.25</v>
      </c>
      <c r="H13" s="240">
        <v>12.25</v>
      </c>
      <c r="I13" s="240">
        <v>12.25</v>
      </c>
      <c r="J13" s="240">
        <v>12.25</v>
      </c>
      <c r="K13" s="240">
        <v>12.25</v>
      </c>
      <c r="L13" s="240">
        <v>12.25</v>
      </c>
      <c r="M13" s="240">
        <v>12.25</v>
      </c>
      <c r="N13" s="240">
        <v>0</v>
      </c>
      <c r="O13" s="240">
        <v>0</v>
      </c>
      <c r="P13" s="240">
        <v>0</v>
      </c>
      <c r="Q13" s="240">
        <v>0</v>
      </c>
      <c r="R13" s="240">
        <v>0</v>
      </c>
      <c r="S13" s="240">
        <v>0</v>
      </c>
      <c r="T13" s="240">
        <v>0</v>
      </c>
      <c r="U13" s="240">
        <v>0</v>
      </c>
      <c r="V13" s="240">
        <v>0</v>
      </c>
      <c r="W13" s="240">
        <v>0</v>
      </c>
      <c r="X13" s="240">
        <v>0</v>
      </c>
      <c r="Y13" s="240">
        <v>0</v>
      </c>
      <c r="Z13" s="241">
        <v>0</v>
      </c>
      <c r="AA13" s="129">
        <v>0</v>
      </c>
      <c r="AC13" s="246">
        <v>11</v>
      </c>
      <c r="AD13" s="260">
        <f t="shared" si="2"/>
        <v>8</v>
      </c>
      <c r="AE13" s="261">
        <f t="shared" si="1"/>
        <v>5.9</v>
      </c>
      <c r="AF13" s="261">
        <f t="shared" si="1"/>
        <v>10.16</v>
      </c>
      <c r="AG13" s="261">
        <f t="shared" si="1"/>
        <v>11.35</v>
      </c>
      <c r="AH13" s="261">
        <f t="shared" si="1"/>
        <v>11.9</v>
      </c>
      <c r="AI13" s="261">
        <f t="shared" si="1"/>
        <v>12.18</v>
      </c>
      <c r="AJ13" s="261">
        <f t="shared" ref="AJ13:BC25" si="32">IF(OR(AJ12="  ",AI13="  "),"  ",G12)</f>
        <v>12.25</v>
      </c>
      <c r="AK13" s="261">
        <f t="shared" si="32"/>
        <v>12.25</v>
      </c>
      <c r="AL13" s="261">
        <f t="shared" si="32"/>
        <v>12.25</v>
      </c>
      <c r="AM13" s="261">
        <f t="shared" si="32"/>
        <v>12.25</v>
      </c>
      <c r="AN13" s="261">
        <f t="shared" si="32"/>
        <v>12.25</v>
      </c>
      <c r="AO13" s="261">
        <f t="shared" si="32"/>
        <v>12.25</v>
      </c>
      <c r="AP13" s="261">
        <f t="shared" si="32"/>
        <v>12.25</v>
      </c>
      <c r="AQ13" s="261" t="str">
        <f t="shared" si="32"/>
        <v xml:space="preserve">  </v>
      </c>
      <c r="AR13" s="261" t="str">
        <f t="shared" si="32"/>
        <v xml:space="preserve">  </v>
      </c>
      <c r="AS13" s="261" t="str">
        <f t="shared" si="32"/>
        <v xml:space="preserve">  </v>
      </c>
      <c r="AT13" s="261" t="str">
        <f t="shared" si="32"/>
        <v xml:space="preserve">  </v>
      </c>
      <c r="AU13" s="261" t="str">
        <f t="shared" si="32"/>
        <v xml:space="preserve">  </v>
      </c>
      <c r="AV13" s="261" t="str">
        <f t="shared" si="32"/>
        <v xml:space="preserve">  </v>
      </c>
      <c r="AW13" s="261" t="str">
        <f t="shared" si="32"/>
        <v xml:space="preserve">  </v>
      </c>
      <c r="AX13" s="261" t="str">
        <f t="shared" si="32"/>
        <v xml:space="preserve">  </v>
      </c>
      <c r="AY13" s="261" t="str">
        <f t="shared" si="32"/>
        <v xml:space="preserve">  </v>
      </c>
      <c r="AZ13" s="261" t="str">
        <f t="shared" si="32"/>
        <v xml:space="preserve">  </v>
      </c>
      <c r="BA13" s="261" t="str">
        <f t="shared" si="32"/>
        <v xml:space="preserve">  </v>
      </c>
      <c r="BB13" s="261" t="str">
        <f t="shared" si="32"/>
        <v xml:space="preserve">  </v>
      </c>
      <c r="BC13" s="261" t="str">
        <f t="shared" si="32"/>
        <v xml:space="preserve">  </v>
      </c>
      <c r="BD13" s="129">
        <v>11</v>
      </c>
      <c r="BE13" s="252">
        <v>7</v>
      </c>
      <c r="BF13" s="255">
        <v>9.6</v>
      </c>
      <c r="BG13" s="255">
        <v>10.63</v>
      </c>
      <c r="BH13" s="255">
        <v>11.33</v>
      </c>
      <c r="BI13" s="255">
        <v>11.77</v>
      </c>
      <c r="BJ13" s="255">
        <v>12</v>
      </c>
      <c r="BK13" s="255">
        <v>12.21</v>
      </c>
      <c r="BL13" s="255">
        <v>12.25</v>
      </c>
      <c r="BM13" s="255">
        <v>12.25</v>
      </c>
      <c r="BN13" s="255">
        <v>12.25</v>
      </c>
      <c r="BO13" s="255">
        <v>12.25</v>
      </c>
      <c r="BP13" s="255">
        <v>12.25</v>
      </c>
      <c r="BQ13" s="255">
        <v>12.25</v>
      </c>
      <c r="BR13" s="255">
        <v>12.25</v>
      </c>
      <c r="BS13" s="255">
        <v>12.25</v>
      </c>
      <c r="BT13" s="255">
        <v>12.25</v>
      </c>
      <c r="BU13" s="255">
        <v>12.23</v>
      </c>
      <c r="BV13" s="255">
        <v>12.07</v>
      </c>
      <c r="BW13" s="255">
        <v>11.29</v>
      </c>
      <c r="BX13" s="255">
        <v>10.199999999999999</v>
      </c>
      <c r="BY13" s="255">
        <v>8.73</v>
      </c>
      <c r="BZ13" s="255">
        <v>6.84</v>
      </c>
      <c r="CA13" s="255">
        <v>5.71</v>
      </c>
      <c r="CB13" s="255">
        <v>4.42</v>
      </c>
      <c r="CC13" s="255">
        <v>2.79</v>
      </c>
      <c r="CD13" s="256">
        <v>0.85</v>
      </c>
      <c r="CG13" s="262">
        <f t="shared" si="5"/>
        <v>6</v>
      </c>
      <c r="CH13" s="262">
        <f t="shared" si="6"/>
        <v>6</v>
      </c>
      <c r="CI13" s="262">
        <f t="shared" si="6"/>
        <v>6</v>
      </c>
      <c r="CJ13" s="262"/>
      <c r="CK13" s="265">
        <f t="shared" si="3"/>
        <v>6</v>
      </c>
      <c r="CL13" s="266">
        <f t="shared" si="7"/>
        <v>6</v>
      </c>
      <c r="CM13" s="266">
        <f t="shared" si="8"/>
        <v>6.0180214773836642</v>
      </c>
      <c r="CN13" s="266">
        <f t="shared" si="9"/>
        <v>6.0480312398307845</v>
      </c>
      <c r="CO13" s="266">
        <f t="shared" si="10"/>
        <v>6.0828050764725026</v>
      </c>
      <c r="CP13" s="266">
        <f t="shared" si="11"/>
        <v>6.1242303937520335</v>
      </c>
      <c r="CQ13" s="266">
        <f t="shared" si="12"/>
        <v>6.2146176374877973</v>
      </c>
      <c r="CR13" s="266">
        <f t="shared" si="13"/>
        <v>6.3091962251871134</v>
      </c>
      <c r="CS13" s="266">
        <f t="shared" si="14"/>
        <v>6.4052326716563623</v>
      </c>
      <c r="CT13" s="266">
        <f t="shared" si="15"/>
        <v>6.4636988827421629</v>
      </c>
      <c r="CU13" s="266">
        <f t="shared" si="16"/>
        <v>6.5005401887406444</v>
      </c>
      <c r="CV13" s="266">
        <f t="shared" si="17"/>
        <v>6.5965766352098925</v>
      </c>
      <c r="CW13" s="266">
        <f t="shared" si="18"/>
        <v>6.6810868857793686</v>
      </c>
      <c r="CX13" s="266" t="e">
        <f t="shared" si="19"/>
        <v>#VALUE!</v>
      </c>
      <c r="CY13" s="266" t="e">
        <f t="shared" si="20"/>
        <v>#VALUE!</v>
      </c>
      <c r="CZ13" s="266" t="e">
        <f t="shared" si="21"/>
        <v>#VALUE!</v>
      </c>
      <c r="DA13" s="266" t="e">
        <f t="shared" si="22"/>
        <v>#VALUE!</v>
      </c>
      <c r="DB13" s="266" t="e">
        <f t="shared" si="23"/>
        <v>#VALUE!</v>
      </c>
      <c r="DC13" s="266" t="e">
        <f t="shared" si="24"/>
        <v>#VALUE!</v>
      </c>
      <c r="DD13" s="266" t="e">
        <f t="shared" si="25"/>
        <v>#VALUE!</v>
      </c>
      <c r="DE13" s="266" t="e">
        <f t="shared" si="26"/>
        <v>#VALUE!</v>
      </c>
      <c r="DF13" s="266" t="e">
        <f t="shared" si="27"/>
        <v>#VALUE!</v>
      </c>
      <c r="DG13" s="266" t="e">
        <f t="shared" si="28"/>
        <v>#VALUE!</v>
      </c>
      <c r="DH13" s="266" t="e">
        <f t="shared" si="29"/>
        <v>#VALUE!</v>
      </c>
      <c r="DI13" s="266" t="e">
        <f t="shared" si="30"/>
        <v>#VALUE!</v>
      </c>
      <c r="DJ13" s="266" t="e">
        <f t="shared" si="31"/>
        <v>#VALUE!</v>
      </c>
    </row>
    <row r="14" spans="1:114" x14ac:dyDescent="0.25">
      <c r="A14" s="239">
        <v>10</v>
      </c>
      <c r="B14" s="240">
        <v>8.25</v>
      </c>
      <c r="C14" s="240">
        <v>10.84</v>
      </c>
      <c r="D14" s="240">
        <v>11.76</v>
      </c>
      <c r="E14" s="240">
        <v>12.14</v>
      </c>
      <c r="F14" s="240">
        <v>12.25</v>
      </c>
      <c r="G14" s="240">
        <v>12.25</v>
      </c>
      <c r="H14" s="240">
        <v>12.25</v>
      </c>
      <c r="I14" s="240">
        <v>12.25</v>
      </c>
      <c r="J14" s="240">
        <v>12.25</v>
      </c>
      <c r="K14" s="240">
        <v>12.25</v>
      </c>
      <c r="L14" s="240">
        <v>12.25</v>
      </c>
      <c r="M14" s="240">
        <v>12.25</v>
      </c>
      <c r="N14" s="240">
        <v>0</v>
      </c>
      <c r="O14" s="240">
        <v>0</v>
      </c>
      <c r="P14" s="240">
        <v>0</v>
      </c>
      <c r="Q14" s="240">
        <v>0</v>
      </c>
      <c r="R14" s="240">
        <v>0</v>
      </c>
      <c r="S14" s="240">
        <v>0</v>
      </c>
      <c r="T14" s="240">
        <v>0</v>
      </c>
      <c r="U14" s="240">
        <v>0</v>
      </c>
      <c r="V14" s="240">
        <v>0</v>
      </c>
      <c r="W14" s="240">
        <v>0</v>
      </c>
      <c r="X14" s="240">
        <v>0</v>
      </c>
      <c r="Y14" s="240">
        <v>0</v>
      </c>
      <c r="Z14" s="241">
        <v>0</v>
      </c>
      <c r="AA14" s="129">
        <v>0</v>
      </c>
      <c r="AC14" s="246">
        <v>12</v>
      </c>
      <c r="AD14" s="260">
        <f t="shared" si="2"/>
        <v>9</v>
      </c>
      <c r="AE14" s="261">
        <f t="shared" ref="AE14:AT27" si="33">IF(OR(AE13="  ",AD14="  "),"  ",B13)</f>
        <v>7.2</v>
      </c>
      <c r="AF14" s="261">
        <f t="shared" si="33"/>
        <v>10.78</v>
      </c>
      <c r="AG14" s="261">
        <f t="shared" si="33"/>
        <v>11.72</v>
      </c>
      <c r="AH14" s="261">
        <f t="shared" si="33"/>
        <v>12.12</v>
      </c>
      <c r="AI14" s="261">
        <f t="shared" si="33"/>
        <v>12.25</v>
      </c>
      <c r="AJ14" s="261">
        <f t="shared" si="32"/>
        <v>12.25</v>
      </c>
      <c r="AK14" s="261">
        <f t="shared" si="32"/>
        <v>12.25</v>
      </c>
      <c r="AL14" s="261">
        <f t="shared" si="32"/>
        <v>12.25</v>
      </c>
      <c r="AM14" s="261">
        <f t="shared" si="32"/>
        <v>12.25</v>
      </c>
      <c r="AN14" s="261">
        <f t="shared" si="32"/>
        <v>12.25</v>
      </c>
      <c r="AO14" s="261">
        <f t="shared" si="32"/>
        <v>12.25</v>
      </c>
      <c r="AP14" s="261">
        <f t="shared" si="32"/>
        <v>12.25</v>
      </c>
      <c r="AQ14" s="261" t="str">
        <f t="shared" si="32"/>
        <v xml:space="preserve">  </v>
      </c>
      <c r="AR14" s="261" t="str">
        <f t="shared" si="32"/>
        <v xml:space="preserve">  </v>
      </c>
      <c r="AS14" s="261" t="str">
        <f t="shared" si="32"/>
        <v xml:space="preserve">  </v>
      </c>
      <c r="AT14" s="261" t="str">
        <f t="shared" si="32"/>
        <v xml:space="preserve">  </v>
      </c>
      <c r="AU14" s="261" t="str">
        <f t="shared" si="32"/>
        <v xml:space="preserve">  </v>
      </c>
      <c r="AV14" s="261" t="str">
        <f t="shared" si="32"/>
        <v xml:space="preserve">  </v>
      </c>
      <c r="AW14" s="261" t="str">
        <f t="shared" si="32"/>
        <v xml:space="preserve">  </v>
      </c>
      <c r="AX14" s="261" t="str">
        <f t="shared" si="32"/>
        <v xml:space="preserve">  </v>
      </c>
      <c r="AY14" s="261" t="str">
        <f t="shared" si="32"/>
        <v xml:space="preserve">  </v>
      </c>
      <c r="AZ14" s="261" t="str">
        <f t="shared" si="32"/>
        <v xml:space="preserve">  </v>
      </c>
      <c r="BA14" s="261" t="str">
        <f t="shared" si="32"/>
        <v xml:space="preserve">  </v>
      </c>
      <c r="BB14" s="261" t="str">
        <f t="shared" si="32"/>
        <v xml:space="preserve">  </v>
      </c>
      <c r="BC14" s="261" t="str">
        <f t="shared" si="32"/>
        <v xml:space="preserve">  </v>
      </c>
      <c r="BD14" s="129">
        <v>12</v>
      </c>
      <c r="BE14" s="252">
        <v>7.8833333333333329</v>
      </c>
      <c r="BF14" s="255">
        <v>10.89</v>
      </c>
      <c r="BG14" s="255">
        <v>11.52</v>
      </c>
      <c r="BH14" s="255">
        <v>11.9</v>
      </c>
      <c r="BI14" s="255">
        <v>12.1</v>
      </c>
      <c r="BJ14" s="255">
        <v>12.2</v>
      </c>
      <c r="BK14" s="255">
        <v>12.23</v>
      </c>
      <c r="BL14" s="255">
        <v>12.25</v>
      </c>
      <c r="BM14" s="255">
        <v>12.25</v>
      </c>
      <c r="BN14" s="255">
        <v>12.25</v>
      </c>
      <c r="BO14" s="255">
        <v>12.25</v>
      </c>
      <c r="BP14" s="255">
        <v>12.25</v>
      </c>
      <c r="BQ14" s="255">
        <v>12.25</v>
      </c>
      <c r="BR14" s="255">
        <v>12.25</v>
      </c>
      <c r="BS14" s="255">
        <v>12.25</v>
      </c>
      <c r="BT14" s="255">
        <v>12.25</v>
      </c>
      <c r="BU14" s="255">
        <v>12.25</v>
      </c>
      <c r="BV14" s="255">
        <v>12.23</v>
      </c>
      <c r="BW14" s="255">
        <v>12.15</v>
      </c>
      <c r="BX14" s="255">
        <v>11.75</v>
      </c>
      <c r="BY14" s="255">
        <v>10.94</v>
      </c>
      <c r="BZ14" s="255">
        <v>9.77</v>
      </c>
      <c r="CA14" s="255">
        <v>8.1</v>
      </c>
      <c r="CB14" s="255">
        <v>5.76</v>
      </c>
      <c r="CC14" s="255">
        <v>4.0999999999999996</v>
      </c>
      <c r="CD14" s="256">
        <v>1.78</v>
      </c>
      <c r="CG14" s="262">
        <f t="shared" si="5"/>
        <v>7</v>
      </c>
      <c r="CH14" s="262">
        <f t="shared" si="6"/>
        <v>7</v>
      </c>
      <c r="CI14" s="262">
        <f t="shared" si="6"/>
        <v>7</v>
      </c>
      <c r="CJ14" s="262"/>
      <c r="CK14" s="265">
        <f t="shared" si="3"/>
        <v>7</v>
      </c>
      <c r="CL14" s="266">
        <f t="shared" si="7"/>
        <v>7</v>
      </c>
      <c r="CM14" s="266">
        <f t="shared" si="8"/>
        <v>7.02503416856492</v>
      </c>
      <c r="CN14" s="266">
        <f t="shared" si="9"/>
        <v>7.0628571428571432</v>
      </c>
      <c r="CO14" s="266">
        <f t="shared" si="10"/>
        <v>7.104266189391474</v>
      </c>
      <c r="CP14" s="266">
        <f t="shared" si="11"/>
        <v>7.150224536283762</v>
      </c>
      <c r="CQ14" s="266">
        <f t="shared" si="12"/>
        <v>7.2449593231369995</v>
      </c>
      <c r="CR14" s="266">
        <f t="shared" si="13"/>
        <v>7.3405532053368043</v>
      </c>
      <c r="CS14" s="266">
        <f t="shared" si="14"/>
        <v>7.4363032866905305</v>
      </c>
      <c r="CT14" s="266">
        <f t="shared" si="15"/>
        <v>7.4947694977763319</v>
      </c>
      <c r="CU14" s="266">
        <f t="shared" si="16"/>
        <v>7.5318971688903353</v>
      </c>
      <c r="CV14" s="266">
        <f t="shared" si="17"/>
        <v>7.6276472502440615</v>
      </c>
      <c r="CW14" s="266">
        <f t="shared" si="18"/>
        <v>7.7121575008135377</v>
      </c>
      <c r="CX14" s="266" t="e">
        <f t="shared" si="19"/>
        <v>#VALUE!</v>
      </c>
      <c r="CY14" s="266" t="e">
        <f t="shared" si="20"/>
        <v>#VALUE!</v>
      </c>
      <c r="CZ14" s="266" t="e">
        <f t="shared" si="21"/>
        <v>#VALUE!</v>
      </c>
      <c r="DA14" s="266" t="e">
        <f t="shared" si="22"/>
        <v>#VALUE!</v>
      </c>
      <c r="DB14" s="266" t="e">
        <f t="shared" si="23"/>
        <v>#VALUE!</v>
      </c>
      <c r="DC14" s="266" t="e">
        <f t="shared" si="24"/>
        <v>#VALUE!</v>
      </c>
      <c r="DD14" s="266" t="e">
        <f t="shared" si="25"/>
        <v>#VALUE!</v>
      </c>
      <c r="DE14" s="266" t="e">
        <f t="shared" si="26"/>
        <v>#VALUE!</v>
      </c>
      <c r="DF14" s="266" t="e">
        <f t="shared" si="27"/>
        <v>#VALUE!</v>
      </c>
      <c r="DG14" s="266" t="e">
        <f t="shared" si="28"/>
        <v>#VALUE!</v>
      </c>
      <c r="DH14" s="266" t="e">
        <f t="shared" si="29"/>
        <v>#VALUE!</v>
      </c>
      <c r="DI14" s="266" t="e">
        <f t="shared" si="30"/>
        <v>#VALUE!</v>
      </c>
      <c r="DJ14" s="266" t="e">
        <f t="shared" si="31"/>
        <v>#VALUE!</v>
      </c>
    </row>
    <row r="15" spans="1:114" x14ac:dyDescent="0.25">
      <c r="A15" s="239">
        <v>11</v>
      </c>
      <c r="B15" s="240">
        <v>8.6</v>
      </c>
      <c r="C15" s="240">
        <v>10.65</v>
      </c>
      <c r="D15" s="240">
        <v>11.62</v>
      </c>
      <c r="E15" s="240">
        <v>12.04</v>
      </c>
      <c r="F15" s="240">
        <v>12.21</v>
      </c>
      <c r="G15" s="240">
        <v>12.25</v>
      </c>
      <c r="H15" s="240">
        <v>12.25</v>
      </c>
      <c r="I15" s="240">
        <v>12.25</v>
      </c>
      <c r="J15" s="240">
        <v>12.25</v>
      </c>
      <c r="K15" s="240">
        <v>12.25</v>
      </c>
      <c r="L15" s="240">
        <v>12.25</v>
      </c>
      <c r="M15" s="240">
        <v>12.25</v>
      </c>
      <c r="N15" s="240">
        <v>0</v>
      </c>
      <c r="O15" s="240">
        <v>0</v>
      </c>
      <c r="P15" s="240">
        <v>0</v>
      </c>
      <c r="Q15" s="240">
        <v>0</v>
      </c>
      <c r="R15" s="240">
        <v>0</v>
      </c>
      <c r="S15" s="240">
        <v>0</v>
      </c>
      <c r="T15" s="240">
        <v>0</v>
      </c>
      <c r="U15" s="240">
        <v>0</v>
      </c>
      <c r="V15" s="240">
        <v>0</v>
      </c>
      <c r="W15" s="240">
        <v>0</v>
      </c>
      <c r="X15" s="240">
        <v>0</v>
      </c>
      <c r="Y15" s="240">
        <v>0</v>
      </c>
      <c r="Z15" s="241">
        <v>0</v>
      </c>
      <c r="AA15" s="129">
        <v>0</v>
      </c>
      <c r="AC15" s="246">
        <v>13</v>
      </c>
      <c r="AD15" s="260">
        <f t="shared" si="2"/>
        <v>10</v>
      </c>
      <c r="AE15" s="261">
        <f t="shared" si="33"/>
        <v>8.25</v>
      </c>
      <c r="AF15" s="261">
        <f t="shared" si="33"/>
        <v>10.84</v>
      </c>
      <c r="AG15" s="261">
        <f t="shared" si="33"/>
        <v>11.76</v>
      </c>
      <c r="AH15" s="261">
        <f t="shared" si="33"/>
        <v>12.14</v>
      </c>
      <c r="AI15" s="261">
        <f t="shared" si="33"/>
        <v>12.25</v>
      </c>
      <c r="AJ15" s="261">
        <f t="shared" si="32"/>
        <v>12.25</v>
      </c>
      <c r="AK15" s="261">
        <f t="shared" si="32"/>
        <v>12.25</v>
      </c>
      <c r="AL15" s="261">
        <f t="shared" si="32"/>
        <v>12.25</v>
      </c>
      <c r="AM15" s="261">
        <f t="shared" si="32"/>
        <v>12.25</v>
      </c>
      <c r="AN15" s="261">
        <f t="shared" si="32"/>
        <v>12.25</v>
      </c>
      <c r="AO15" s="261">
        <f t="shared" si="32"/>
        <v>12.25</v>
      </c>
      <c r="AP15" s="261">
        <f t="shared" si="32"/>
        <v>12.25</v>
      </c>
      <c r="AQ15" s="261" t="str">
        <f t="shared" si="32"/>
        <v xml:space="preserve">  </v>
      </c>
      <c r="AR15" s="261" t="str">
        <f t="shared" si="32"/>
        <v xml:space="preserve">  </v>
      </c>
      <c r="AS15" s="261" t="str">
        <f t="shared" si="32"/>
        <v xml:space="preserve">  </v>
      </c>
      <c r="AT15" s="261" t="str">
        <f t="shared" si="32"/>
        <v xml:space="preserve">  </v>
      </c>
      <c r="AU15" s="261" t="str">
        <f t="shared" si="32"/>
        <v xml:space="preserve">  </v>
      </c>
      <c r="AV15" s="261" t="str">
        <f t="shared" si="32"/>
        <v xml:space="preserve">  </v>
      </c>
      <c r="AW15" s="261" t="str">
        <f t="shared" si="32"/>
        <v xml:space="preserve">  </v>
      </c>
      <c r="AX15" s="261" t="str">
        <f t="shared" si="32"/>
        <v xml:space="preserve">  </v>
      </c>
      <c r="AY15" s="261" t="str">
        <f t="shared" si="32"/>
        <v xml:space="preserve">  </v>
      </c>
      <c r="AZ15" s="261" t="str">
        <f t="shared" si="32"/>
        <v xml:space="preserve">  </v>
      </c>
      <c r="BA15" s="261" t="str">
        <f t="shared" si="32"/>
        <v xml:space="preserve">  </v>
      </c>
      <c r="BB15" s="261" t="str">
        <f t="shared" si="32"/>
        <v xml:space="preserve">  </v>
      </c>
      <c r="BC15" s="261" t="str">
        <f t="shared" si="32"/>
        <v xml:space="preserve">  </v>
      </c>
      <c r="BD15" s="129">
        <v>13</v>
      </c>
      <c r="BE15" s="252" t="str">
        <v xml:space="preserve">  </v>
      </c>
      <c r="BF15" s="255" t="str">
        <v xml:space="preserve">  </v>
      </c>
      <c r="BG15" s="255" t="str">
        <v xml:space="preserve">  </v>
      </c>
      <c r="BH15" s="255" t="str">
        <v xml:space="preserve">  </v>
      </c>
      <c r="BI15" s="255" t="str">
        <v xml:space="preserve">  </v>
      </c>
      <c r="BJ15" s="255" t="str">
        <v xml:space="preserve">  </v>
      </c>
      <c r="BK15" s="255" t="str">
        <v xml:space="preserve">  </v>
      </c>
      <c r="BL15" s="255" t="str">
        <v xml:space="preserve">  </v>
      </c>
      <c r="BM15" s="255" t="str">
        <v xml:space="preserve">  </v>
      </c>
      <c r="BN15" s="255" t="str">
        <v xml:space="preserve">  </v>
      </c>
      <c r="BO15" s="255" t="str">
        <v xml:space="preserve">  </v>
      </c>
      <c r="BP15" s="255" t="str">
        <v xml:space="preserve">  </v>
      </c>
      <c r="BQ15" s="255" t="str">
        <v xml:space="preserve">  </v>
      </c>
      <c r="BR15" s="255" t="str">
        <v xml:space="preserve">  </v>
      </c>
      <c r="BS15" s="255" t="str">
        <v xml:space="preserve">  </v>
      </c>
      <c r="BT15" s="255" t="str">
        <v xml:space="preserve">  </v>
      </c>
      <c r="BU15" s="255" t="str">
        <v xml:space="preserve">  </v>
      </c>
      <c r="BV15" s="255" t="str">
        <v xml:space="preserve">  </v>
      </c>
      <c r="BW15" s="255" t="str">
        <v xml:space="preserve">  </v>
      </c>
      <c r="BX15" s="255" t="str">
        <v xml:space="preserve">  </v>
      </c>
      <c r="BY15" s="255" t="str">
        <v xml:space="preserve">  </v>
      </c>
      <c r="BZ15" s="255" t="str">
        <v xml:space="preserve">  </v>
      </c>
      <c r="CA15" s="255" t="str">
        <v xml:space="preserve">  </v>
      </c>
      <c r="CB15" s="255" t="str">
        <v xml:space="preserve">  </v>
      </c>
      <c r="CC15" s="255" t="str">
        <v xml:space="preserve">  </v>
      </c>
      <c r="CD15" s="256" t="str">
        <v xml:space="preserve">  </v>
      </c>
      <c r="CG15" s="262">
        <f t="shared" si="5"/>
        <v>8</v>
      </c>
      <c r="CH15" s="262">
        <f t="shared" si="6"/>
        <v>8</v>
      </c>
      <c r="CI15" s="262">
        <f t="shared" si="6"/>
        <v>8</v>
      </c>
      <c r="CJ15" s="262"/>
      <c r="CK15" s="265">
        <f t="shared" si="3"/>
        <v>8</v>
      </c>
      <c r="CL15" s="266">
        <f t="shared" si="7"/>
        <v>8</v>
      </c>
      <c r="CM15" s="266">
        <f t="shared" si="8"/>
        <v>8.0323560039049795</v>
      </c>
      <c r="CN15" s="266">
        <f t="shared" si="9"/>
        <v>8.0753530751708436</v>
      </c>
      <c r="CO15" s="266">
        <f t="shared" si="10"/>
        <v>8.1201659616010406</v>
      </c>
      <c r="CP15" s="266">
        <f t="shared" si="11"/>
        <v>8.1679401236576634</v>
      </c>
      <c r="CQ15" s="266">
        <f t="shared" si="12"/>
        <v>8.2636251220305894</v>
      </c>
      <c r="CR15" s="266">
        <f t="shared" si="13"/>
        <v>8.3591018548649529</v>
      </c>
      <c r="CS15" s="266">
        <f t="shared" si="14"/>
        <v>8.4549690855841195</v>
      </c>
      <c r="CT15" s="266">
        <f t="shared" si="15"/>
        <v>8.5134352966699218</v>
      </c>
      <c r="CU15" s="266">
        <f t="shared" si="16"/>
        <v>8.5504458184184831</v>
      </c>
      <c r="CV15" s="266">
        <f t="shared" si="17"/>
        <v>8.6463130491376514</v>
      </c>
      <c r="CW15" s="266">
        <f t="shared" si="18"/>
        <v>8.7308232997071258</v>
      </c>
      <c r="CX15" s="266" t="e">
        <f t="shared" si="19"/>
        <v>#VALUE!</v>
      </c>
      <c r="CY15" s="266" t="e">
        <f t="shared" si="20"/>
        <v>#VALUE!</v>
      </c>
      <c r="CZ15" s="266" t="e">
        <f t="shared" si="21"/>
        <v>#VALUE!</v>
      </c>
      <c r="DA15" s="266" t="e">
        <f t="shared" si="22"/>
        <v>#VALUE!</v>
      </c>
      <c r="DB15" s="266" t="e">
        <f t="shared" si="23"/>
        <v>#VALUE!</v>
      </c>
      <c r="DC15" s="266" t="e">
        <f t="shared" si="24"/>
        <v>#VALUE!</v>
      </c>
      <c r="DD15" s="266" t="e">
        <f t="shared" si="25"/>
        <v>#VALUE!</v>
      </c>
      <c r="DE15" s="266" t="e">
        <f t="shared" si="26"/>
        <v>#VALUE!</v>
      </c>
      <c r="DF15" s="266" t="e">
        <f t="shared" si="27"/>
        <v>#VALUE!</v>
      </c>
      <c r="DG15" s="266" t="e">
        <f t="shared" si="28"/>
        <v>#VALUE!</v>
      </c>
      <c r="DH15" s="266" t="e">
        <f t="shared" si="29"/>
        <v>#VALUE!</v>
      </c>
      <c r="DI15" s="266" t="e">
        <f t="shared" si="30"/>
        <v>#VALUE!</v>
      </c>
      <c r="DJ15" s="266" t="e">
        <f t="shared" si="31"/>
        <v>#VALUE!</v>
      </c>
    </row>
    <row r="16" spans="1:114" x14ac:dyDescent="0.25">
      <c r="A16" s="239">
        <v>12</v>
      </c>
      <c r="B16" s="240">
        <v>7.85</v>
      </c>
      <c r="C16" s="240">
        <v>10.02</v>
      </c>
      <c r="D16" s="240">
        <v>11.1</v>
      </c>
      <c r="E16" s="240">
        <v>11.63</v>
      </c>
      <c r="F16" s="240">
        <v>11.92</v>
      </c>
      <c r="G16" s="240">
        <v>12.2</v>
      </c>
      <c r="H16" s="240">
        <v>12.25</v>
      </c>
      <c r="I16" s="240">
        <v>12.25</v>
      </c>
      <c r="J16" s="240">
        <v>12.25</v>
      </c>
      <c r="K16" s="240">
        <v>12.25</v>
      </c>
      <c r="L16" s="240">
        <v>12.25</v>
      </c>
      <c r="M16" s="240">
        <v>12.25</v>
      </c>
      <c r="N16" s="240">
        <v>0</v>
      </c>
      <c r="O16" s="240">
        <v>0</v>
      </c>
      <c r="P16" s="240">
        <v>0</v>
      </c>
      <c r="Q16" s="240">
        <v>0</v>
      </c>
      <c r="R16" s="240">
        <v>0</v>
      </c>
      <c r="S16" s="240">
        <v>0</v>
      </c>
      <c r="T16" s="240">
        <v>0</v>
      </c>
      <c r="U16" s="240">
        <v>0</v>
      </c>
      <c r="V16" s="240">
        <v>0</v>
      </c>
      <c r="W16" s="240">
        <v>0</v>
      </c>
      <c r="X16" s="240">
        <v>0</v>
      </c>
      <c r="Y16" s="240">
        <v>0</v>
      </c>
      <c r="Z16" s="241">
        <v>0</v>
      </c>
      <c r="AA16" s="129">
        <v>0</v>
      </c>
      <c r="AC16" s="246">
        <v>14</v>
      </c>
      <c r="AD16" s="260">
        <f t="shared" si="2"/>
        <v>11</v>
      </c>
      <c r="AE16" s="261">
        <f t="shared" si="33"/>
        <v>8.6</v>
      </c>
      <c r="AF16" s="261">
        <f t="shared" si="33"/>
        <v>10.65</v>
      </c>
      <c r="AG16" s="261">
        <f t="shared" si="33"/>
        <v>11.62</v>
      </c>
      <c r="AH16" s="261">
        <f t="shared" si="33"/>
        <v>12.04</v>
      </c>
      <c r="AI16" s="261">
        <f t="shared" si="33"/>
        <v>12.21</v>
      </c>
      <c r="AJ16" s="261">
        <f t="shared" si="32"/>
        <v>12.25</v>
      </c>
      <c r="AK16" s="261">
        <f t="shared" si="32"/>
        <v>12.25</v>
      </c>
      <c r="AL16" s="261">
        <f t="shared" si="32"/>
        <v>12.25</v>
      </c>
      <c r="AM16" s="261">
        <f t="shared" si="32"/>
        <v>12.25</v>
      </c>
      <c r="AN16" s="261">
        <f t="shared" si="32"/>
        <v>12.25</v>
      </c>
      <c r="AO16" s="261">
        <f t="shared" si="32"/>
        <v>12.25</v>
      </c>
      <c r="AP16" s="261">
        <f t="shared" si="32"/>
        <v>12.25</v>
      </c>
      <c r="AQ16" s="261" t="str">
        <f t="shared" si="32"/>
        <v xml:space="preserve">  </v>
      </c>
      <c r="AR16" s="261" t="str">
        <f t="shared" si="32"/>
        <v xml:space="preserve">  </v>
      </c>
      <c r="AS16" s="261" t="str">
        <f t="shared" si="32"/>
        <v xml:space="preserve">  </v>
      </c>
      <c r="AT16" s="261" t="str">
        <f t="shared" si="32"/>
        <v xml:space="preserve">  </v>
      </c>
      <c r="AU16" s="261" t="str">
        <f t="shared" si="32"/>
        <v xml:space="preserve">  </v>
      </c>
      <c r="AV16" s="261" t="str">
        <f t="shared" si="32"/>
        <v xml:space="preserve">  </v>
      </c>
      <c r="AW16" s="261" t="str">
        <f t="shared" si="32"/>
        <v xml:space="preserve">  </v>
      </c>
      <c r="AX16" s="261" t="str">
        <f t="shared" si="32"/>
        <v xml:space="preserve">  </v>
      </c>
      <c r="AY16" s="261" t="str">
        <f t="shared" si="32"/>
        <v xml:space="preserve">  </v>
      </c>
      <c r="AZ16" s="261" t="str">
        <f t="shared" si="32"/>
        <v xml:space="preserve">  </v>
      </c>
      <c r="BA16" s="261" t="str">
        <f t="shared" si="32"/>
        <v xml:space="preserve">  </v>
      </c>
      <c r="BB16" s="261" t="str">
        <f t="shared" si="32"/>
        <v xml:space="preserve">  </v>
      </c>
      <c r="BC16" s="261" t="str">
        <f t="shared" si="32"/>
        <v xml:space="preserve">  </v>
      </c>
      <c r="BD16" s="129">
        <v>14</v>
      </c>
      <c r="BE16" s="252" t="str">
        <v xml:space="preserve">  </v>
      </c>
      <c r="BF16" s="255" t="str">
        <v xml:space="preserve">  </v>
      </c>
      <c r="BG16" s="255" t="str">
        <v xml:space="preserve">  </v>
      </c>
      <c r="BH16" s="255" t="str">
        <v xml:space="preserve">  </v>
      </c>
      <c r="BI16" s="255" t="str">
        <v xml:space="preserve">  </v>
      </c>
      <c r="BJ16" s="255" t="str">
        <v xml:space="preserve">  </v>
      </c>
      <c r="BK16" s="255" t="str">
        <v xml:space="preserve">  </v>
      </c>
      <c r="BL16" s="255" t="str">
        <v xml:space="preserve">  </v>
      </c>
      <c r="BM16" s="255" t="str">
        <v xml:space="preserve">  </v>
      </c>
      <c r="BN16" s="255" t="str">
        <v xml:space="preserve">  </v>
      </c>
      <c r="BO16" s="255" t="str">
        <v xml:space="preserve">  </v>
      </c>
      <c r="BP16" s="255" t="str">
        <v xml:space="preserve">  </v>
      </c>
      <c r="BQ16" s="255" t="str">
        <v xml:space="preserve">  </v>
      </c>
      <c r="BR16" s="255" t="str">
        <v xml:space="preserve">  </v>
      </c>
      <c r="BS16" s="255" t="str">
        <v xml:space="preserve">  </v>
      </c>
      <c r="BT16" s="255" t="str">
        <v xml:space="preserve">  </v>
      </c>
      <c r="BU16" s="255" t="str">
        <v xml:space="preserve">  </v>
      </c>
      <c r="BV16" s="255" t="str">
        <v xml:space="preserve">  </v>
      </c>
      <c r="BW16" s="255" t="str">
        <v xml:space="preserve">  </v>
      </c>
      <c r="BX16" s="255" t="str">
        <v xml:space="preserve">  </v>
      </c>
      <c r="BY16" s="255" t="str">
        <v xml:space="preserve">  </v>
      </c>
      <c r="BZ16" s="255" t="str">
        <v xml:space="preserve">  </v>
      </c>
      <c r="CA16" s="255" t="str">
        <v xml:space="preserve">  </v>
      </c>
      <c r="CB16" s="255" t="str">
        <v xml:space="preserve">  </v>
      </c>
      <c r="CC16" s="255" t="str">
        <v xml:space="preserve">  </v>
      </c>
      <c r="CD16" s="256" t="str">
        <v xml:space="preserve">  </v>
      </c>
      <c r="CG16" s="262">
        <f t="shared" si="5"/>
        <v>9</v>
      </c>
      <c r="CH16" s="262">
        <f t="shared" si="6"/>
        <v>9</v>
      </c>
      <c r="CI16" s="262">
        <f t="shared" si="6"/>
        <v>9</v>
      </c>
      <c r="CJ16" s="262"/>
      <c r="CK16" s="265">
        <f t="shared" si="3"/>
        <v>9</v>
      </c>
      <c r="CL16" s="266">
        <f t="shared" si="7"/>
        <v>9</v>
      </c>
      <c r="CM16" s="266">
        <f t="shared" si="8"/>
        <v>9.0359648551903682</v>
      </c>
      <c r="CN16" s="266">
        <f t="shared" si="9"/>
        <v>9.0807549625772861</v>
      </c>
      <c r="CO16" s="266">
        <f t="shared" si="10"/>
        <v>9.1267946631955752</v>
      </c>
      <c r="CP16" s="266">
        <f t="shared" si="11"/>
        <v>9.1750602017572405</v>
      </c>
      <c r="CQ16" s="266">
        <f t="shared" si="12"/>
        <v>9.2707191669378464</v>
      </c>
      <c r="CR16" s="266">
        <f t="shared" si="13"/>
        <v>9.3664041653107706</v>
      </c>
      <c r="CS16" s="266">
        <f t="shared" si="14"/>
        <v>9.4620631304913765</v>
      </c>
      <c r="CT16" s="266">
        <f t="shared" si="15"/>
        <v>9.520529341577177</v>
      </c>
      <c r="CU16" s="266">
        <f t="shared" si="16"/>
        <v>9.5577481288643025</v>
      </c>
      <c r="CV16" s="266">
        <f t="shared" si="17"/>
        <v>9.6534070940449066</v>
      </c>
      <c r="CW16" s="266">
        <f t="shared" si="18"/>
        <v>9.7379173446143827</v>
      </c>
      <c r="CX16" s="266" t="e">
        <f t="shared" si="19"/>
        <v>#VALUE!</v>
      </c>
      <c r="CY16" s="266" t="e">
        <f t="shared" si="20"/>
        <v>#VALUE!</v>
      </c>
      <c r="CZ16" s="266" t="e">
        <f t="shared" si="21"/>
        <v>#VALUE!</v>
      </c>
      <c r="DA16" s="266" t="e">
        <f t="shared" si="22"/>
        <v>#VALUE!</v>
      </c>
      <c r="DB16" s="266" t="e">
        <f t="shared" si="23"/>
        <v>#VALUE!</v>
      </c>
      <c r="DC16" s="266" t="e">
        <f t="shared" si="24"/>
        <v>#VALUE!</v>
      </c>
      <c r="DD16" s="266" t="e">
        <f t="shared" si="25"/>
        <v>#VALUE!</v>
      </c>
      <c r="DE16" s="266" t="e">
        <f t="shared" si="26"/>
        <v>#VALUE!</v>
      </c>
      <c r="DF16" s="266" t="e">
        <f t="shared" si="27"/>
        <v>#VALUE!</v>
      </c>
      <c r="DG16" s="266" t="e">
        <f t="shared" si="28"/>
        <v>#VALUE!</v>
      </c>
      <c r="DH16" s="266" t="e">
        <f t="shared" si="29"/>
        <v>#VALUE!</v>
      </c>
      <c r="DI16" s="266" t="e">
        <f t="shared" si="30"/>
        <v>#VALUE!</v>
      </c>
      <c r="DJ16" s="266" t="e">
        <f t="shared" si="31"/>
        <v>#VALUE!</v>
      </c>
    </row>
    <row r="17" spans="1:114" x14ac:dyDescent="0.25">
      <c r="A17" s="239">
        <v>13</v>
      </c>
      <c r="B17" s="240">
        <v>6.7</v>
      </c>
      <c r="C17" s="240">
        <v>8.84</v>
      </c>
      <c r="D17" s="240">
        <v>10.029999999999999</v>
      </c>
      <c r="E17" s="240">
        <v>10.68</v>
      </c>
      <c r="F17" s="240">
        <v>11.1</v>
      </c>
      <c r="G17" s="240">
        <v>11.64</v>
      </c>
      <c r="H17" s="240">
        <v>11.97</v>
      </c>
      <c r="I17" s="240">
        <v>12.18</v>
      </c>
      <c r="J17" s="240">
        <v>12.22</v>
      </c>
      <c r="K17" s="240">
        <v>12.23</v>
      </c>
      <c r="L17" s="240">
        <v>12.23</v>
      </c>
      <c r="M17" s="240">
        <v>12.25</v>
      </c>
      <c r="N17" s="240">
        <v>0</v>
      </c>
      <c r="O17" s="240">
        <v>0</v>
      </c>
      <c r="P17" s="240">
        <v>0</v>
      </c>
      <c r="Q17" s="240">
        <v>0</v>
      </c>
      <c r="R17" s="240">
        <v>0</v>
      </c>
      <c r="S17" s="240">
        <v>0</v>
      </c>
      <c r="T17" s="240">
        <v>0</v>
      </c>
      <c r="U17" s="240">
        <v>0</v>
      </c>
      <c r="V17" s="240">
        <v>0</v>
      </c>
      <c r="W17" s="240">
        <v>0</v>
      </c>
      <c r="X17" s="240">
        <v>0</v>
      </c>
      <c r="Y17" s="240">
        <v>0</v>
      </c>
      <c r="Z17" s="241">
        <v>0</v>
      </c>
      <c r="AA17" s="129">
        <v>0</v>
      </c>
      <c r="AC17" s="246">
        <v>15</v>
      </c>
      <c r="AD17" s="260">
        <f t="shared" si="2"/>
        <v>12</v>
      </c>
      <c r="AE17" s="261">
        <f t="shared" si="33"/>
        <v>7.85</v>
      </c>
      <c r="AF17" s="261">
        <f t="shared" si="33"/>
        <v>10.02</v>
      </c>
      <c r="AG17" s="261">
        <f t="shared" si="33"/>
        <v>11.1</v>
      </c>
      <c r="AH17" s="261">
        <f t="shared" si="33"/>
        <v>11.63</v>
      </c>
      <c r="AI17" s="261">
        <f t="shared" si="33"/>
        <v>11.92</v>
      </c>
      <c r="AJ17" s="261">
        <f t="shared" si="32"/>
        <v>12.2</v>
      </c>
      <c r="AK17" s="261">
        <f t="shared" si="32"/>
        <v>12.25</v>
      </c>
      <c r="AL17" s="261">
        <f t="shared" si="32"/>
        <v>12.25</v>
      </c>
      <c r="AM17" s="261">
        <f t="shared" si="32"/>
        <v>12.25</v>
      </c>
      <c r="AN17" s="261">
        <f t="shared" si="32"/>
        <v>12.25</v>
      </c>
      <c r="AO17" s="261">
        <f t="shared" si="32"/>
        <v>12.25</v>
      </c>
      <c r="AP17" s="261">
        <f t="shared" si="32"/>
        <v>12.25</v>
      </c>
      <c r="AQ17" s="261" t="str">
        <f t="shared" si="32"/>
        <v xml:space="preserve">  </v>
      </c>
      <c r="AR17" s="261" t="str">
        <f t="shared" si="32"/>
        <v xml:space="preserve">  </v>
      </c>
      <c r="AS17" s="261" t="str">
        <f t="shared" si="32"/>
        <v xml:space="preserve">  </v>
      </c>
      <c r="AT17" s="261" t="str">
        <f t="shared" si="32"/>
        <v xml:space="preserve">  </v>
      </c>
      <c r="AU17" s="261" t="str">
        <f t="shared" si="32"/>
        <v xml:space="preserve">  </v>
      </c>
      <c r="AV17" s="261" t="str">
        <f t="shared" si="32"/>
        <v xml:space="preserve">  </v>
      </c>
      <c r="AW17" s="261" t="str">
        <f t="shared" si="32"/>
        <v xml:space="preserve">  </v>
      </c>
      <c r="AX17" s="261" t="str">
        <f t="shared" si="32"/>
        <v xml:space="preserve">  </v>
      </c>
      <c r="AY17" s="261" t="str">
        <f t="shared" si="32"/>
        <v xml:space="preserve">  </v>
      </c>
      <c r="AZ17" s="261" t="str">
        <f t="shared" si="32"/>
        <v xml:space="preserve">  </v>
      </c>
      <c r="BA17" s="261" t="str">
        <f t="shared" si="32"/>
        <v xml:space="preserve">  </v>
      </c>
      <c r="BB17" s="261" t="str">
        <f t="shared" si="32"/>
        <v xml:space="preserve">  </v>
      </c>
      <c r="BC17" s="261" t="str">
        <f t="shared" si="32"/>
        <v xml:space="preserve">  </v>
      </c>
      <c r="BD17" s="129">
        <v>15</v>
      </c>
      <c r="BE17" s="252" t="str">
        <v xml:space="preserve">  </v>
      </c>
      <c r="BF17" s="255" t="str">
        <v xml:space="preserve">  </v>
      </c>
      <c r="BG17" s="255" t="str">
        <v xml:space="preserve">  </v>
      </c>
      <c r="BH17" s="255" t="str">
        <v xml:space="preserve">  </v>
      </c>
      <c r="BI17" s="255" t="str">
        <v xml:space="preserve">  </v>
      </c>
      <c r="BJ17" s="255" t="str">
        <v xml:space="preserve">  </v>
      </c>
      <c r="BK17" s="255" t="str">
        <v xml:space="preserve">  </v>
      </c>
      <c r="BL17" s="255" t="str">
        <v xml:space="preserve">  </v>
      </c>
      <c r="BM17" s="255" t="str">
        <v xml:space="preserve">  </v>
      </c>
      <c r="BN17" s="255" t="str">
        <v xml:space="preserve">  </v>
      </c>
      <c r="BO17" s="255" t="str">
        <v xml:space="preserve">  </v>
      </c>
      <c r="BP17" s="255" t="str">
        <v xml:space="preserve">  </v>
      </c>
      <c r="BQ17" s="255" t="str">
        <v xml:space="preserve">  </v>
      </c>
      <c r="BR17" s="255" t="str">
        <v xml:space="preserve">  </v>
      </c>
      <c r="BS17" s="255" t="str">
        <v xml:space="preserve">  </v>
      </c>
      <c r="BT17" s="255" t="str">
        <v xml:space="preserve">  </v>
      </c>
      <c r="BU17" s="255" t="str">
        <v xml:space="preserve">  </v>
      </c>
      <c r="BV17" s="255" t="str">
        <v xml:space="preserve">  </v>
      </c>
      <c r="BW17" s="255" t="str">
        <v xml:space="preserve">  </v>
      </c>
      <c r="BX17" s="255" t="str">
        <v xml:space="preserve">  </v>
      </c>
      <c r="BY17" s="255" t="str">
        <v xml:space="preserve">  </v>
      </c>
      <c r="BZ17" s="255" t="str">
        <v xml:space="preserve">  </v>
      </c>
      <c r="CA17" s="255" t="str">
        <v xml:space="preserve">  </v>
      </c>
      <c r="CB17" s="255" t="str">
        <v xml:space="preserve">  </v>
      </c>
      <c r="CC17" s="255" t="str">
        <v xml:space="preserve">  </v>
      </c>
      <c r="CD17" s="256" t="str">
        <v xml:space="preserve">  </v>
      </c>
      <c r="CG17" s="262">
        <f t="shared" si="5"/>
        <v>10</v>
      </c>
      <c r="CH17" s="262">
        <f t="shared" si="6"/>
        <v>10</v>
      </c>
      <c r="CI17" s="262">
        <f t="shared" si="6"/>
        <v>10</v>
      </c>
      <c r="CJ17" s="262"/>
      <c r="CK17" s="265">
        <f t="shared" si="3"/>
        <v>10</v>
      </c>
      <c r="CL17" s="266">
        <f t="shared" si="7"/>
        <v>10</v>
      </c>
      <c r="CM17" s="266">
        <f t="shared" si="8"/>
        <v>10.037816465994142</v>
      </c>
      <c r="CN17" s="266">
        <f t="shared" si="9"/>
        <v>10.082486169866581</v>
      </c>
      <c r="CO17" s="266">
        <f t="shared" si="10"/>
        <v>10.128958672307192</v>
      </c>
      <c r="CP17" s="266">
        <f t="shared" si="11"/>
        <v>10.176947608200456</v>
      </c>
      <c r="CQ17" s="266">
        <f t="shared" si="12"/>
        <v>10.272554506996421</v>
      </c>
      <c r="CR17" s="266">
        <f t="shared" si="13"/>
        <v>10.368291571753986</v>
      </c>
      <c r="CS17" s="266">
        <f t="shared" si="14"/>
        <v>10.463898470549951</v>
      </c>
      <c r="CT17" s="266">
        <f t="shared" si="15"/>
        <v>10.522364681635752</v>
      </c>
      <c r="CU17" s="266">
        <f t="shared" si="16"/>
        <v>10.559635535307518</v>
      </c>
      <c r="CV17" s="266">
        <f t="shared" si="17"/>
        <v>10.655242434103481</v>
      </c>
      <c r="CW17" s="266">
        <f t="shared" si="18"/>
        <v>10.739752684672958</v>
      </c>
      <c r="CX17" s="266" t="e">
        <f t="shared" si="19"/>
        <v>#VALUE!</v>
      </c>
      <c r="CY17" s="266" t="e">
        <f t="shared" si="20"/>
        <v>#VALUE!</v>
      </c>
      <c r="CZ17" s="266" t="e">
        <f t="shared" si="21"/>
        <v>#VALUE!</v>
      </c>
      <c r="DA17" s="266" t="e">
        <f t="shared" si="22"/>
        <v>#VALUE!</v>
      </c>
      <c r="DB17" s="266" t="e">
        <f t="shared" si="23"/>
        <v>#VALUE!</v>
      </c>
      <c r="DC17" s="266" t="e">
        <f t="shared" si="24"/>
        <v>#VALUE!</v>
      </c>
      <c r="DD17" s="266" t="e">
        <f t="shared" si="25"/>
        <v>#VALUE!</v>
      </c>
      <c r="DE17" s="266" t="e">
        <f t="shared" si="26"/>
        <v>#VALUE!</v>
      </c>
      <c r="DF17" s="266" t="e">
        <f t="shared" si="27"/>
        <v>#VALUE!</v>
      </c>
      <c r="DG17" s="266" t="e">
        <f t="shared" si="28"/>
        <v>#VALUE!</v>
      </c>
      <c r="DH17" s="266" t="e">
        <f t="shared" si="29"/>
        <v>#VALUE!</v>
      </c>
      <c r="DI17" s="266" t="e">
        <f t="shared" si="30"/>
        <v>#VALUE!</v>
      </c>
      <c r="DJ17" s="266" t="e">
        <f t="shared" si="31"/>
        <v>#VALUE!</v>
      </c>
    </row>
    <row r="18" spans="1:114" x14ac:dyDescent="0.25">
      <c r="A18" s="239">
        <v>14</v>
      </c>
      <c r="B18" s="240">
        <v>5.35</v>
      </c>
      <c r="C18" s="240">
        <v>7.29</v>
      </c>
      <c r="D18" s="240">
        <v>8.15</v>
      </c>
      <c r="E18" s="240">
        <v>9.25</v>
      </c>
      <c r="F18" s="240">
        <v>9.75</v>
      </c>
      <c r="G18" s="240">
        <v>10.5</v>
      </c>
      <c r="H18" s="240">
        <v>11.06</v>
      </c>
      <c r="I18" s="240">
        <v>11.46</v>
      </c>
      <c r="J18" s="240">
        <v>11.67</v>
      </c>
      <c r="K18" s="240">
        <v>11.79</v>
      </c>
      <c r="L18" s="240">
        <v>12.07</v>
      </c>
      <c r="M18" s="240">
        <v>12.23</v>
      </c>
      <c r="N18" s="240">
        <v>0</v>
      </c>
      <c r="O18" s="240">
        <v>0</v>
      </c>
      <c r="P18" s="240">
        <v>0</v>
      </c>
      <c r="Q18" s="240">
        <v>0</v>
      </c>
      <c r="R18" s="240">
        <v>0</v>
      </c>
      <c r="S18" s="240">
        <v>0</v>
      </c>
      <c r="T18" s="240">
        <v>0</v>
      </c>
      <c r="U18" s="240">
        <v>0</v>
      </c>
      <c r="V18" s="240">
        <v>0</v>
      </c>
      <c r="W18" s="240">
        <v>0</v>
      </c>
      <c r="X18" s="240">
        <v>0</v>
      </c>
      <c r="Y18" s="240">
        <v>0</v>
      </c>
      <c r="Z18" s="241">
        <v>0</v>
      </c>
      <c r="AA18" s="129">
        <v>0</v>
      </c>
      <c r="AC18" s="246">
        <v>16</v>
      </c>
      <c r="AD18" s="260">
        <f t="shared" si="2"/>
        <v>13</v>
      </c>
      <c r="AE18" s="261">
        <f t="shared" si="33"/>
        <v>6.7</v>
      </c>
      <c r="AF18" s="261">
        <f t="shared" si="33"/>
        <v>8.84</v>
      </c>
      <c r="AG18" s="261">
        <f t="shared" si="33"/>
        <v>10.029999999999999</v>
      </c>
      <c r="AH18" s="261">
        <f t="shared" si="33"/>
        <v>10.68</v>
      </c>
      <c r="AI18" s="261">
        <f t="shared" si="33"/>
        <v>11.1</v>
      </c>
      <c r="AJ18" s="261">
        <f t="shared" si="32"/>
        <v>11.64</v>
      </c>
      <c r="AK18" s="261">
        <f t="shared" si="32"/>
        <v>11.97</v>
      </c>
      <c r="AL18" s="261">
        <f t="shared" si="32"/>
        <v>12.18</v>
      </c>
      <c r="AM18" s="261">
        <f t="shared" si="32"/>
        <v>12.22</v>
      </c>
      <c r="AN18" s="261">
        <f t="shared" si="32"/>
        <v>12.23</v>
      </c>
      <c r="AO18" s="261">
        <f t="shared" si="32"/>
        <v>12.23</v>
      </c>
      <c r="AP18" s="261">
        <f t="shared" si="32"/>
        <v>12.25</v>
      </c>
      <c r="AQ18" s="261" t="str">
        <f t="shared" si="32"/>
        <v xml:space="preserve">  </v>
      </c>
      <c r="AR18" s="261" t="str">
        <f t="shared" si="32"/>
        <v xml:space="preserve">  </v>
      </c>
      <c r="AS18" s="261" t="str">
        <f t="shared" si="32"/>
        <v xml:space="preserve">  </v>
      </c>
      <c r="AT18" s="261" t="str">
        <f t="shared" si="32"/>
        <v xml:space="preserve">  </v>
      </c>
      <c r="AU18" s="261" t="str">
        <f t="shared" si="32"/>
        <v xml:space="preserve">  </v>
      </c>
      <c r="AV18" s="261" t="str">
        <f t="shared" si="32"/>
        <v xml:space="preserve">  </v>
      </c>
      <c r="AW18" s="261" t="str">
        <f t="shared" si="32"/>
        <v xml:space="preserve">  </v>
      </c>
      <c r="AX18" s="261" t="str">
        <f t="shared" si="32"/>
        <v xml:space="preserve">  </v>
      </c>
      <c r="AY18" s="261" t="str">
        <f t="shared" si="32"/>
        <v xml:space="preserve">  </v>
      </c>
      <c r="AZ18" s="261" t="str">
        <f t="shared" si="32"/>
        <v xml:space="preserve">  </v>
      </c>
      <c r="BA18" s="261" t="str">
        <f t="shared" si="32"/>
        <v xml:space="preserve">  </v>
      </c>
      <c r="BB18" s="261" t="str">
        <f t="shared" si="32"/>
        <v xml:space="preserve">  </v>
      </c>
      <c r="BC18" s="261" t="str">
        <f t="shared" si="32"/>
        <v xml:space="preserve">  </v>
      </c>
      <c r="BD18" s="129">
        <v>16</v>
      </c>
      <c r="BE18" s="252" t="str">
        <v xml:space="preserve">  </v>
      </c>
      <c r="BF18" s="255" t="str">
        <v xml:space="preserve">  </v>
      </c>
      <c r="BG18" s="255" t="str">
        <v xml:space="preserve">  </v>
      </c>
      <c r="BH18" s="255" t="str">
        <v xml:space="preserve">  </v>
      </c>
      <c r="BI18" s="255" t="str">
        <v xml:space="preserve">  </v>
      </c>
      <c r="BJ18" s="255" t="str">
        <v xml:space="preserve">  </v>
      </c>
      <c r="BK18" s="255" t="str">
        <v xml:space="preserve">  </v>
      </c>
      <c r="BL18" s="255" t="str">
        <v xml:space="preserve">  </v>
      </c>
      <c r="BM18" s="255" t="str">
        <v xml:space="preserve">  </v>
      </c>
      <c r="BN18" s="255" t="str">
        <v xml:space="preserve">  </v>
      </c>
      <c r="BO18" s="255" t="str">
        <v xml:space="preserve">  </v>
      </c>
      <c r="BP18" s="255" t="str">
        <v xml:space="preserve">  </v>
      </c>
      <c r="BQ18" s="255" t="str">
        <v xml:space="preserve">  </v>
      </c>
      <c r="BR18" s="255" t="str">
        <v xml:space="preserve">  </v>
      </c>
      <c r="BS18" s="255" t="str">
        <v xml:space="preserve">  </v>
      </c>
      <c r="BT18" s="255" t="str">
        <v xml:space="preserve">  </v>
      </c>
      <c r="BU18" s="255" t="str">
        <v xml:space="preserve">  </v>
      </c>
      <c r="BV18" s="255" t="str">
        <v xml:space="preserve">  </v>
      </c>
      <c r="BW18" s="255" t="str">
        <v xml:space="preserve">  </v>
      </c>
      <c r="BX18" s="255" t="str">
        <v xml:space="preserve">  </v>
      </c>
      <c r="BY18" s="255" t="str">
        <v xml:space="preserve">  </v>
      </c>
      <c r="BZ18" s="255" t="str">
        <v xml:space="preserve">  </v>
      </c>
      <c r="CA18" s="255" t="str">
        <v xml:space="preserve">  </v>
      </c>
      <c r="CB18" s="255" t="str">
        <v xml:space="preserve">  </v>
      </c>
      <c r="CC18" s="255" t="str">
        <v xml:space="preserve">  </v>
      </c>
      <c r="CD18" s="256" t="str">
        <v xml:space="preserve">  </v>
      </c>
      <c r="CG18" s="262">
        <f t="shared" si="5"/>
        <v>11</v>
      </c>
      <c r="CH18" s="262">
        <f t="shared" si="6"/>
        <v>11</v>
      </c>
      <c r="CI18" s="262">
        <f t="shared" si="6"/>
        <v>11</v>
      </c>
      <c r="CJ18" s="262"/>
      <c r="CK18" s="265">
        <f t="shared" si="3"/>
        <v>11</v>
      </c>
      <c r="CL18" s="266">
        <f t="shared" si="7"/>
        <v>11</v>
      </c>
      <c r="CM18" s="266">
        <f t="shared" si="8"/>
        <v>11.037936869508624</v>
      </c>
      <c r="CN18" s="266">
        <f t="shared" si="9"/>
        <v>11.081770257077775</v>
      </c>
      <c r="CO18" s="266">
        <f t="shared" si="10"/>
        <v>11.127972665148064</v>
      </c>
      <c r="CP18" s="266">
        <f t="shared" si="11"/>
        <v>11.175476732834364</v>
      </c>
      <c r="CQ18" s="266">
        <f t="shared" si="12"/>
        <v>11.271057598438009</v>
      </c>
      <c r="CR18" s="266">
        <f t="shared" si="13"/>
        <v>11.366716563618613</v>
      </c>
      <c r="CS18" s="266">
        <f t="shared" si="14"/>
        <v>11.462401561991539</v>
      </c>
      <c r="CT18" s="266">
        <f t="shared" si="15"/>
        <v>11.52086777307734</v>
      </c>
      <c r="CU18" s="266">
        <f t="shared" si="16"/>
        <v>11.558060527172145</v>
      </c>
      <c r="CV18" s="266">
        <f t="shared" si="17"/>
        <v>11.653745525545069</v>
      </c>
      <c r="CW18" s="266">
        <f t="shared" si="18"/>
        <v>11.738255776114546</v>
      </c>
      <c r="CX18" s="266" t="e">
        <f t="shared" si="19"/>
        <v>#VALUE!</v>
      </c>
      <c r="CY18" s="266" t="e">
        <f t="shared" si="20"/>
        <v>#VALUE!</v>
      </c>
      <c r="CZ18" s="266" t="e">
        <f t="shared" si="21"/>
        <v>#VALUE!</v>
      </c>
      <c r="DA18" s="266" t="e">
        <f t="shared" si="22"/>
        <v>#VALUE!</v>
      </c>
      <c r="DB18" s="266" t="e">
        <f t="shared" si="23"/>
        <v>#VALUE!</v>
      </c>
      <c r="DC18" s="266" t="e">
        <f t="shared" si="24"/>
        <v>#VALUE!</v>
      </c>
      <c r="DD18" s="266" t="e">
        <f t="shared" si="25"/>
        <v>#VALUE!</v>
      </c>
      <c r="DE18" s="266" t="e">
        <f t="shared" si="26"/>
        <v>#VALUE!</v>
      </c>
      <c r="DF18" s="266" t="e">
        <f t="shared" si="27"/>
        <v>#VALUE!</v>
      </c>
      <c r="DG18" s="266" t="e">
        <f t="shared" si="28"/>
        <v>#VALUE!</v>
      </c>
      <c r="DH18" s="266" t="e">
        <f t="shared" si="29"/>
        <v>#VALUE!</v>
      </c>
      <c r="DI18" s="266" t="e">
        <f t="shared" si="30"/>
        <v>#VALUE!</v>
      </c>
      <c r="DJ18" s="266" t="e">
        <f t="shared" si="31"/>
        <v>#VALUE!</v>
      </c>
    </row>
    <row r="19" spans="1:114" x14ac:dyDescent="0.25">
      <c r="A19" s="239">
        <v>15</v>
      </c>
      <c r="B19" s="240">
        <v>3.8</v>
      </c>
      <c r="C19" s="240">
        <v>5.65</v>
      </c>
      <c r="D19" s="240">
        <v>6.8</v>
      </c>
      <c r="E19" s="240">
        <v>7.54</v>
      </c>
      <c r="F19" s="240">
        <v>8.08</v>
      </c>
      <c r="G19" s="240">
        <v>8.91</v>
      </c>
      <c r="H19" s="240">
        <v>9.64</v>
      </c>
      <c r="I19" s="240">
        <v>10.26</v>
      </c>
      <c r="J19" s="240">
        <v>10.6</v>
      </c>
      <c r="K19" s="240">
        <v>10.8</v>
      </c>
      <c r="L19" s="240">
        <v>11.29</v>
      </c>
      <c r="M19" s="240">
        <v>12.15</v>
      </c>
      <c r="N19" s="240">
        <v>0</v>
      </c>
      <c r="O19" s="240">
        <v>0</v>
      </c>
      <c r="P19" s="240">
        <v>0</v>
      </c>
      <c r="Q19" s="240">
        <v>0</v>
      </c>
      <c r="R19" s="240">
        <v>0</v>
      </c>
      <c r="S19" s="240">
        <v>0</v>
      </c>
      <c r="T19" s="240">
        <v>0</v>
      </c>
      <c r="U19" s="240">
        <v>0</v>
      </c>
      <c r="V19" s="240">
        <v>0</v>
      </c>
      <c r="W19" s="240">
        <v>0</v>
      </c>
      <c r="X19" s="240">
        <v>0</v>
      </c>
      <c r="Y19" s="240">
        <v>0</v>
      </c>
      <c r="Z19" s="241">
        <v>0</v>
      </c>
      <c r="AA19" s="129">
        <v>0</v>
      </c>
      <c r="AC19" s="246">
        <v>17</v>
      </c>
      <c r="AD19" s="260">
        <f t="shared" si="2"/>
        <v>14</v>
      </c>
      <c r="AE19" s="261">
        <f t="shared" si="33"/>
        <v>5.35</v>
      </c>
      <c r="AF19" s="261">
        <f t="shared" si="33"/>
        <v>7.29</v>
      </c>
      <c r="AG19" s="261">
        <f t="shared" si="33"/>
        <v>8.15</v>
      </c>
      <c r="AH19" s="261">
        <f t="shared" si="33"/>
        <v>9.25</v>
      </c>
      <c r="AI19" s="261">
        <f t="shared" si="33"/>
        <v>9.75</v>
      </c>
      <c r="AJ19" s="261">
        <f t="shared" si="32"/>
        <v>10.5</v>
      </c>
      <c r="AK19" s="261">
        <f t="shared" si="32"/>
        <v>11.06</v>
      </c>
      <c r="AL19" s="261">
        <f t="shared" si="32"/>
        <v>11.46</v>
      </c>
      <c r="AM19" s="261">
        <f t="shared" si="32"/>
        <v>11.67</v>
      </c>
      <c r="AN19" s="261">
        <f t="shared" si="32"/>
        <v>11.79</v>
      </c>
      <c r="AO19" s="261">
        <f t="shared" si="32"/>
        <v>12.07</v>
      </c>
      <c r="AP19" s="261">
        <f t="shared" si="32"/>
        <v>12.23</v>
      </c>
      <c r="AQ19" s="261" t="str">
        <f t="shared" si="32"/>
        <v xml:space="preserve">  </v>
      </c>
      <c r="AR19" s="261" t="str">
        <f t="shared" si="32"/>
        <v xml:space="preserve">  </v>
      </c>
      <c r="AS19" s="261" t="str">
        <f t="shared" si="32"/>
        <v xml:space="preserve">  </v>
      </c>
      <c r="AT19" s="261" t="str">
        <f t="shared" si="32"/>
        <v xml:space="preserve">  </v>
      </c>
      <c r="AU19" s="261" t="str">
        <f t="shared" si="32"/>
        <v xml:space="preserve">  </v>
      </c>
      <c r="AV19" s="261" t="str">
        <f t="shared" si="32"/>
        <v xml:space="preserve">  </v>
      </c>
      <c r="AW19" s="261" t="str">
        <f t="shared" si="32"/>
        <v xml:space="preserve">  </v>
      </c>
      <c r="AX19" s="261" t="str">
        <f t="shared" si="32"/>
        <v xml:space="preserve">  </v>
      </c>
      <c r="AY19" s="261" t="str">
        <f t="shared" si="32"/>
        <v xml:space="preserve">  </v>
      </c>
      <c r="AZ19" s="261" t="str">
        <f t="shared" si="32"/>
        <v xml:space="preserve">  </v>
      </c>
      <c r="BA19" s="261" t="str">
        <f t="shared" si="32"/>
        <v xml:space="preserve">  </v>
      </c>
      <c r="BB19" s="261" t="str">
        <f t="shared" si="32"/>
        <v xml:space="preserve">  </v>
      </c>
      <c r="BC19" s="261" t="str">
        <f t="shared" si="32"/>
        <v xml:space="preserve">  </v>
      </c>
      <c r="BD19" s="129">
        <v>17</v>
      </c>
      <c r="BE19" s="252" t="str">
        <v xml:space="preserve">  </v>
      </c>
      <c r="BF19" s="255" t="str">
        <v xml:space="preserve">  </v>
      </c>
      <c r="BG19" s="255" t="str">
        <v xml:space="preserve">  </v>
      </c>
      <c r="BH19" s="255" t="str">
        <v xml:space="preserve">  </v>
      </c>
      <c r="BI19" s="255" t="str">
        <v xml:space="preserve">  </v>
      </c>
      <c r="BJ19" s="255" t="str">
        <v xml:space="preserve">  </v>
      </c>
      <c r="BK19" s="255" t="str">
        <v xml:space="preserve">  </v>
      </c>
      <c r="BL19" s="255" t="str">
        <v xml:space="preserve">  </v>
      </c>
      <c r="BM19" s="255" t="str">
        <v xml:space="preserve">  </v>
      </c>
      <c r="BN19" s="255" t="str">
        <v xml:space="preserve">  </v>
      </c>
      <c r="BO19" s="255" t="str">
        <v xml:space="preserve">  </v>
      </c>
      <c r="BP19" s="255" t="str">
        <v xml:space="preserve">  </v>
      </c>
      <c r="BQ19" s="255" t="str">
        <v xml:space="preserve">  </v>
      </c>
      <c r="BR19" s="255" t="str">
        <v xml:space="preserve">  </v>
      </c>
      <c r="BS19" s="255" t="str">
        <v xml:space="preserve">  </v>
      </c>
      <c r="BT19" s="255" t="str">
        <v xml:space="preserve">  </v>
      </c>
      <c r="BU19" s="255" t="str">
        <v xml:space="preserve">  </v>
      </c>
      <c r="BV19" s="255" t="str">
        <v xml:space="preserve">  </v>
      </c>
      <c r="BW19" s="255" t="str">
        <v xml:space="preserve">  </v>
      </c>
      <c r="BX19" s="255" t="str">
        <v xml:space="preserve">  </v>
      </c>
      <c r="BY19" s="255" t="str">
        <v xml:space="preserve">  </v>
      </c>
      <c r="BZ19" s="255" t="str">
        <v xml:space="preserve">  </v>
      </c>
      <c r="CA19" s="255" t="str">
        <v xml:space="preserve">  </v>
      </c>
      <c r="CB19" s="255" t="str">
        <v xml:space="preserve">  </v>
      </c>
      <c r="CC19" s="255" t="str">
        <v xml:space="preserve">  </v>
      </c>
      <c r="CD19" s="256" t="str">
        <v xml:space="preserve">  </v>
      </c>
      <c r="CG19" s="262">
        <f t="shared" si="5"/>
        <v>12</v>
      </c>
      <c r="CH19" s="262">
        <f t="shared" si="6"/>
        <v>12</v>
      </c>
      <c r="CI19" s="262">
        <f t="shared" si="6"/>
        <v>12</v>
      </c>
      <c r="CJ19" s="262"/>
      <c r="CK19" s="265">
        <f t="shared" si="3"/>
        <v>12</v>
      </c>
      <c r="CL19" s="266">
        <f t="shared" si="7"/>
        <v>12</v>
      </c>
      <c r="CM19" s="266">
        <f t="shared" si="8"/>
        <v>12.035245688252521</v>
      </c>
      <c r="CN19" s="266">
        <f t="shared" si="9"/>
        <v>12.076836967133096</v>
      </c>
      <c r="CO19" s="266">
        <f t="shared" si="10"/>
        <v>12.121220305890009</v>
      </c>
      <c r="CP19" s="266">
        <f t="shared" si="11"/>
        <v>12.16735437683046</v>
      </c>
      <c r="CQ19" s="266">
        <f t="shared" si="12"/>
        <v>12.261620566221932</v>
      </c>
      <c r="CR19" s="266">
        <f t="shared" si="13"/>
        <v>12.357318581191018</v>
      </c>
      <c r="CS19" s="266">
        <f t="shared" si="14"/>
        <v>12.452834363813862</v>
      </c>
      <c r="CT19" s="266">
        <f t="shared" si="15"/>
        <v>12.511300574899664</v>
      </c>
      <c r="CU19" s="266">
        <f t="shared" si="16"/>
        <v>12.54866254474455</v>
      </c>
      <c r="CV19" s="266">
        <f t="shared" si="17"/>
        <v>12.644178327367394</v>
      </c>
      <c r="CW19" s="266">
        <f t="shared" si="18"/>
        <v>12.72868857793687</v>
      </c>
      <c r="CX19" s="266" t="e">
        <f t="shared" si="19"/>
        <v>#VALUE!</v>
      </c>
      <c r="CY19" s="266" t="e">
        <f t="shared" si="20"/>
        <v>#VALUE!</v>
      </c>
      <c r="CZ19" s="266" t="e">
        <f t="shared" si="21"/>
        <v>#VALUE!</v>
      </c>
      <c r="DA19" s="266" t="e">
        <f t="shared" si="22"/>
        <v>#VALUE!</v>
      </c>
      <c r="DB19" s="266" t="e">
        <f t="shared" si="23"/>
        <v>#VALUE!</v>
      </c>
      <c r="DC19" s="266" t="e">
        <f t="shared" si="24"/>
        <v>#VALUE!</v>
      </c>
      <c r="DD19" s="266" t="e">
        <f t="shared" si="25"/>
        <v>#VALUE!</v>
      </c>
      <c r="DE19" s="266" t="e">
        <f t="shared" si="26"/>
        <v>#VALUE!</v>
      </c>
      <c r="DF19" s="266" t="e">
        <f t="shared" si="27"/>
        <v>#VALUE!</v>
      </c>
      <c r="DG19" s="266" t="e">
        <f t="shared" si="28"/>
        <v>#VALUE!</v>
      </c>
      <c r="DH19" s="266" t="e">
        <f t="shared" si="29"/>
        <v>#VALUE!</v>
      </c>
      <c r="DI19" s="266" t="e">
        <f t="shared" si="30"/>
        <v>#VALUE!</v>
      </c>
      <c r="DJ19" s="266" t="e">
        <f t="shared" si="31"/>
        <v>#VALUE!</v>
      </c>
    </row>
    <row r="20" spans="1:114" x14ac:dyDescent="0.25">
      <c r="A20" s="239">
        <v>16</v>
      </c>
      <c r="B20" s="240">
        <v>2.2200000000000002</v>
      </c>
      <c r="C20" s="240">
        <v>4.05</v>
      </c>
      <c r="D20" s="240">
        <v>5.0999999999999996</v>
      </c>
      <c r="E20" s="240">
        <v>5.74</v>
      </c>
      <c r="F20" s="240">
        <v>6.23</v>
      </c>
      <c r="G20" s="240">
        <v>7.02</v>
      </c>
      <c r="H20" s="240">
        <v>7.81</v>
      </c>
      <c r="I20" s="240">
        <v>8.6300000000000008</v>
      </c>
      <c r="J20" s="240">
        <v>9.1199999999999992</v>
      </c>
      <c r="K20" s="240">
        <v>9.43</v>
      </c>
      <c r="L20" s="240">
        <v>10.199999999999999</v>
      </c>
      <c r="M20" s="240">
        <v>11.75</v>
      </c>
      <c r="N20" s="240">
        <v>0</v>
      </c>
      <c r="O20" s="240">
        <v>0</v>
      </c>
      <c r="P20" s="240">
        <v>0</v>
      </c>
      <c r="Q20" s="240">
        <v>0</v>
      </c>
      <c r="R20" s="240">
        <v>0</v>
      </c>
      <c r="S20" s="240">
        <v>0</v>
      </c>
      <c r="T20" s="240">
        <v>0</v>
      </c>
      <c r="U20" s="240">
        <v>0</v>
      </c>
      <c r="V20" s="240">
        <v>0</v>
      </c>
      <c r="W20" s="240">
        <v>0</v>
      </c>
      <c r="X20" s="240">
        <v>0</v>
      </c>
      <c r="Y20" s="240">
        <v>0</v>
      </c>
      <c r="Z20" s="241">
        <v>0</v>
      </c>
      <c r="AA20" s="129">
        <v>0</v>
      </c>
      <c r="AC20" s="246">
        <v>18</v>
      </c>
      <c r="AD20" s="260">
        <f t="shared" si="2"/>
        <v>15</v>
      </c>
      <c r="AE20" s="261">
        <f t="shared" si="33"/>
        <v>3.8</v>
      </c>
      <c r="AF20" s="261">
        <f t="shared" si="33"/>
        <v>5.65</v>
      </c>
      <c r="AG20" s="261">
        <f t="shared" si="33"/>
        <v>6.8</v>
      </c>
      <c r="AH20" s="261">
        <f t="shared" si="33"/>
        <v>7.54</v>
      </c>
      <c r="AI20" s="261">
        <f t="shared" si="33"/>
        <v>8.08</v>
      </c>
      <c r="AJ20" s="261">
        <f t="shared" si="32"/>
        <v>8.91</v>
      </c>
      <c r="AK20" s="261">
        <f t="shared" si="32"/>
        <v>9.64</v>
      </c>
      <c r="AL20" s="261">
        <f t="shared" si="32"/>
        <v>10.26</v>
      </c>
      <c r="AM20" s="261">
        <f t="shared" si="32"/>
        <v>10.6</v>
      </c>
      <c r="AN20" s="261">
        <f t="shared" si="32"/>
        <v>10.8</v>
      </c>
      <c r="AO20" s="261">
        <f t="shared" si="32"/>
        <v>11.29</v>
      </c>
      <c r="AP20" s="261">
        <f t="shared" si="32"/>
        <v>12.15</v>
      </c>
      <c r="AQ20" s="261" t="str">
        <f t="shared" si="32"/>
        <v xml:space="preserve">  </v>
      </c>
      <c r="AR20" s="261" t="str">
        <f t="shared" si="32"/>
        <v xml:space="preserve">  </v>
      </c>
      <c r="AS20" s="261" t="str">
        <f t="shared" si="32"/>
        <v xml:space="preserve">  </v>
      </c>
      <c r="AT20" s="261" t="str">
        <f t="shared" si="32"/>
        <v xml:space="preserve">  </v>
      </c>
      <c r="AU20" s="261" t="str">
        <f t="shared" si="32"/>
        <v xml:space="preserve">  </v>
      </c>
      <c r="AV20" s="261" t="str">
        <f t="shared" si="32"/>
        <v xml:space="preserve">  </v>
      </c>
      <c r="AW20" s="261" t="str">
        <f t="shared" si="32"/>
        <v xml:space="preserve">  </v>
      </c>
      <c r="AX20" s="261" t="str">
        <f t="shared" si="32"/>
        <v xml:space="preserve">  </v>
      </c>
      <c r="AY20" s="261" t="str">
        <f t="shared" si="32"/>
        <v xml:space="preserve">  </v>
      </c>
      <c r="AZ20" s="261" t="str">
        <f t="shared" si="32"/>
        <v xml:space="preserve">  </v>
      </c>
      <c r="BA20" s="261" t="str">
        <f t="shared" si="32"/>
        <v xml:space="preserve">  </v>
      </c>
      <c r="BB20" s="261" t="str">
        <f t="shared" si="32"/>
        <v xml:space="preserve">  </v>
      </c>
      <c r="BC20" s="261" t="str">
        <f t="shared" si="32"/>
        <v xml:space="preserve">  </v>
      </c>
      <c r="BD20" s="129">
        <v>18</v>
      </c>
      <c r="BE20" s="252" t="str">
        <v xml:space="preserve">  </v>
      </c>
      <c r="BF20" s="255" t="str">
        <v xml:space="preserve">  </v>
      </c>
      <c r="BG20" s="255" t="str">
        <v xml:space="preserve">  </v>
      </c>
      <c r="BH20" s="255" t="str">
        <v xml:space="preserve">  </v>
      </c>
      <c r="BI20" s="255" t="str">
        <v xml:space="preserve">  </v>
      </c>
      <c r="BJ20" s="255" t="str">
        <v xml:space="preserve">  </v>
      </c>
      <c r="BK20" s="255" t="str">
        <v xml:space="preserve">  </v>
      </c>
      <c r="BL20" s="255" t="str">
        <v xml:space="preserve">  </v>
      </c>
      <c r="BM20" s="255" t="str">
        <v xml:space="preserve">  </v>
      </c>
      <c r="BN20" s="255" t="str">
        <v xml:space="preserve">  </v>
      </c>
      <c r="BO20" s="255" t="str">
        <v xml:space="preserve">  </v>
      </c>
      <c r="BP20" s="255" t="str">
        <v xml:space="preserve">  </v>
      </c>
      <c r="BQ20" s="255" t="str">
        <v xml:space="preserve">  </v>
      </c>
      <c r="BR20" s="255" t="str">
        <v xml:space="preserve">  </v>
      </c>
      <c r="BS20" s="255" t="str">
        <v xml:space="preserve">  </v>
      </c>
      <c r="BT20" s="255" t="str">
        <v xml:space="preserve">  </v>
      </c>
      <c r="BU20" s="255" t="str">
        <v xml:space="preserve">  </v>
      </c>
      <c r="BV20" s="255" t="str">
        <v xml:space="preserve">  </v>
      </c>
      <c r="BW20" s="255" t="str">
        <v xml:space="preserve">  </v>
      </c>
      <c r="BX20" s="255" t="str">
        <v xml:space="preserve">  </v>
      </c>
      <c r="BY20" s="255" t="str">
        <v xml:space="preserve">  </v>
      </c>
      <c r="BZ20" s="255" t="str">
        <v xml:space="preserve">  </v>
      </c>
      <c r="CA20" s="255" t="str">
        <v xml:space="preserve">  </v>
      </c>
      <c r="CB20" s="255" t="str">
        <v xml:space="preserve">  </v>
      </c>
      <c r="CC20" s="255" t="str">
        <v xml:space="preserve">  </v>
      </c>
      <c r="CD20" s="256" t="str">
        <v xml:space="preserve">  </v>
      </c>
      <c r="CG20" s="262">
        <f t="shared" si="5"/>
        <v>13</v>
      </c>
      <c r="CH20" s="262">
        <f t="shared" si="6"/>
        <v>13</v>
      </c>
      <c r="CI20" s="262">
        <f t="shared" si="6"/>
        <v>13</v>
      </c>
      <c r="CJ20" s="262"/>
      <c r="CK20" s="265">
        <f t="shared" ref="CK20:CK29" si="34">A85</f>
        <v>13</v>
      </c>
      <c r="CL20" s="266">
        <f t="shared" si="7"/>
        <v>13</v>
      </c>
      <c r="CM20" s="266">
        <f t="shared" si="8"/>
        <v>13.030650829808005</v>
      </c>
      <c r="CN20" s="266">
        <f t="shared" si="9"/>
        <v>13.067803449397982</v>
      </c>
      <c r="CO20" s="266">
        <f t="shared" si="10"/>
        <v>13.108281809306867</v>
      </c>
      <c r="CP20" s="266">
        <f t="shared" si="11"/>
        <v>13.150914415880248</v>
      </c>
      <c r="CQ20" s="266">
        <f t="shared" si="12"/>
        <v>13.239804751057598</v>
      </c>
      <c r="CR20" s="266">
        <f t="shared" si="13"/>
        <v>13.332183534005857</v>
      </c>
      <c r="CS20" s="266">
        <f t="shared" si="14"/>
        <v>13.426462739993491</v>
      </c>
      <c r="CT20" s="266">
        <f t="shared" si="15"/>
        <v>13.484690313483025</v>
      </c>
      <c r="CU20" s="266">
        <f t="shared" si="16"/>
        <v>13.522017572404817</v>
      </c>
      <c r="CV20" s="266">
        <f t="shared" si="17"/>
        <v>13.61736413927758</v>
      </c>
      <c r="CW20" s="266">
        <f t="shared" si="18"/>
        <v>13.701805401887407</v>
      </c>
      <c r="CX20" s="266" t="e">
        <f t="shared" si="19"/>
        <v>#VALUE!</v>
      </c>
      <c r="CY20" s="266" t="e">
        <f t="shared" si="20"/>
        <v>#VALUE!</v>
      </c>
      <c r="CZ20" s="266" t="e">
        <f t="shared" si="21"/>
        <v>#VALUE!</v>
      </c>
      <c r="DA20" s="266" t="e">
        <f t="shared" si="22"/>
        <v>#VALUE!</v>
      </c>
      <c r="DB20" s="266" t="e">
        <f t="shared" si="23"/>
        <v>#VALUE!</v>
      </c>
      <c r="DC20" s="266" t="e">
        <f t="shared" si="24"/>
        <v>#VALUE!</v>
      </c>
      <c r="DD20" s="266" t="e">
        <f t="shared" si="25"/>
        <v>#VALUE!</v>
      </c>
      <c r="DE20" s="266" t="e">
        <f t="shared" si="26"/>
        <v>#VALUE!</v>
      </c>
      <c r="DF20" s="266" t="e">
        <f t="shared" si="27"/>
        <v>#VALUE!</v>
      </c>
      <c r="DG20" s="266" t="e">
        <f t="shared" si="28"/>
        <v>#VALUE!</v>
      </c>
      <c r="DH20" s="266" t="e">
        <f t="shared" si="29"/>
        <v>#VALUE!</v>
      </c>
      <c r="DI20" s="266" t="e">
        <f t="shared" si="30"/>
        <v>#VALUE!</v>
      </c>
      <c r="DJ20" s="266" t="e">
        <f t="shared" si="31"/>
        <v>#VALUE!</v>
      </c>
    </row>
    <row r="21" spans="1:114" x14ac:dyDescent="0.25">
      <c r="A21" s="239">
        <v>17</v>
      </c>
      <c r="B21" s="240">
        <v>0.65</v>
      </c>
      <c r="C21" s="240">
        <v>2.63</v>
      </c>
      <c r="D21" s="240">
        <v>3.52</v>
      </c>
      <c r="E21" s="240">
        <v>4.0599999999999996</v>
      </c>
      <c r="F21" s="240">
        <v>4.43</v>
      </c>
      <c r="G21" s="240">
        <v>5.03</v>
      </c>
      <c r="H21" s="240">
        <v>5.69</v>
      </c>
      <c r="I21" s="240">
        <v>6.59</v>
      </c>
      <c r="J21" s="240">
        <v>7.22</v>
      </c>
      <c r="K21" s="240">
        <v>7.64</v>
      </c>
      <c r="L21" s="240">
        <v>8.73</v>
      </c>
      <c r="M21" s="240">
        <v>10.94</v>
      </c>
      <c r="N21" s="240">
        <v>0</v>
      </c>
      <c r="O21" s="240">
        <v>0</v>
      </c>
      <c r="P21" s="240">
        <v>0</v>
      </c>
      <c r="Q21" s="240">
        <v>0</v>
      </c>
      <c r="R21" s="240">
        <v>0</v>
      </c>
      <c r="S21" s="240">
        <v>0</v>
      </c>
      <c r="T21" s="240">
        <v>0</v>
      </c>
      <c r="U21" s="240">
        <v>0</v>
      </c>
      <c r="V21" s="240">
        <v>0</v>
      </c>
      <c r="W21" s="240">
        <v>0</v>
      </c>
      <c r="X21" s="240">
        <v>0</v>
      </c>
      <c r="Y21" s="240">
        <v>0</v>
      </c>
      <c r="Z21" s="241">
        <v>0</v>
      </c>
      <c r="AA21" s="129">
        <v>0</v>
      </c>
      <c r="AC21" s="246">
        <v>19</v>
      </c>
      <c r="AD21" s="260">
        <f t="shared" si="2"/>
        <v>16</v>
      </c>
      <c r="AE21" s="261">
        <f t="shared" si="33"/>
        <v>2.2200000000000002</v>
      </c>
      <c r="AF21" s="261">
        <f t="shared" si="33"/>
        <v>4.05</v>
      </c>
      <c r="AG21" s="261">
        <f t="shared" si="33"/>
        <v>5.0999999999999996</v>
      </c>
      <c r="AH21" s="261">
        <f t="shared" si="33"/>
        <v>5.74</v>
      </c>
      <c r="AI21" s="261">
        <f t="shared" si="33"/>
        <v>6.23</v>
      </c>
      <c r="AJ21" s="261">
        <f t="shared" si="32"/>
        <v>7.02</v>
      </c>
      <c r="AK21" s="261">
        <f t="shared" si="32"/>
        <v>7.81</v>
      </c>
      <c r="AL21" s="261">
        <f t="shared" si="32"/>
        <v>8.6300000000000008</v>
      </c>
      <c r="AM21" s="261">
        <f t="shared" si="32"/>
        <v>9.1199999999999992</v>
      </c>
      <c r="AN21" s="261">
        <f t="shared" si="32"/>
        <v>9.43</v>
      </c>
      <c r="AO21" s="261">
        <f t="shared" si="32"/>
        <v>10.199999999999999</v>
      </c>
      <c r="AP21" s="261">
        <f t="shared" si="32"/>
        <v>11.75</v>
      </c>
      <c r="AQ21" s="261" t="str">
        <f t="shared" si="32"/>
        <v xml:space="preserve">  </v>
      </c>
      <c r="AR21" s="261" t="str">
        <f t="shared" si="32"/>
        <v xml:space="preserve">  </v>
      </c>
      <c r="AS21" s="261" t="str">
        <f t="shared" si="32"/>
        <v xml:space="preserve">  </v>
      </c>
      <c r="AT21" s="261" t="str">
        <f t="shared" si="32"/>
        <v xml:space="preserve">  </v>
      </c>
      <c r="AU21" s="261" t="str">
        <f t="shared" si="32"/>
        <v xml:space="preserve">  </v>
      </c>
      <c r="AV21" s="261" t="str">
        <f t="shared" si="32"/>
        <v xml:space="preserve">  </v>
      </c>
      <c r="AW21" s="261" t="str">
        <f t="shared" si="32"/>
        <v xml:space="preserve">  </v>
      </c>
      <c r="AX21" s="261" t="str">
        <f t="shared" si="32"/>
        <v xml:space="preserve">  </v>
      </c>
      <c r="AY21" s="261" t="str">
        <f t="shared" si="32"/>
        <v xml:space="preserve">  </v>
      </c>
      <c r="AZ21" s="261" t="str">
        <f t="shared" si="32"/>
        <v xml:space="preserve">  </v>
      </c>
      <c r="BA21" s="261" t="str">
        <f t="shared" si="32"/>
        <v xml:space="preserve">  </v>
      </c>
      <c r="BB21" s="261" t="str">
        <f t="shared" si="32"/>
        <v xml:space="preserve">  </v>
      </c>
      <c r="BC21" s="261" t="str">
        <f t="shared" si="32"/>
        <v xml:space="preserve">  </v>
      </c>
      <c r="BD21" s="129">
        <v>19</v>
      </c>
      <c r="BE21" s="252" t="str">
        <v xml:space="preserve">  </v>
      </c>
      <c r="BF21" s="255" t="str">
        <v xml:space="preserve">  </v>
      </c>
      <c r="BG21" s="255" t="str">
        <v xml:space="preserve">  </v>
      </c>
      <c r="BH21" s="255" t="str">
        <v xml:space="preserve">  </v>
      </c>
      <c r="BI21" s="255" t="str">
        <v xml:space="preserve">  </v>
      </c>
      <c r="BJ21" s="255" t="str">
        <v xml:space="preserve">  </v>
      </c>
      <c r="BK21" s="255" t="str">
        <v xml:space="preserve">  </v>
      </c>
      <c r="BL21" s="255" t="str">
        <v xml:space="preserve">  </v>
      </c>
      <c r="BM21" s="255" t="str">
        <v xml:space="preserve">  </v>
      </c>
      <c r="BN21" s="255" t="str">
        <v xml:space="preserve">  </v>
      </c>
      <c r="BO21" s="255" t="str">
        <v xml:space="preserve">  </v>
      </c>
      <c r="BP21" s="255" t="str">
        <v xml:space="preserve">  </v>
      </c>
      <c r="BQ21" s="255" t="str">
        <v xml:space="preserve">  </v>
      </c>
      <c r="BR21" s="255" t="str">
        <v xml:space="preserve">  </v>
      </c>
      <c r="BS21" s="255" t="str">
        <v xml:space="preserve">  </v>
      </c>
      <c r="BT21" s="255" t="str">
        <v xml:space="preserve">  </v>
      </c>
      <c r="BU21" s="255" t="str">
        <v xml:space="preserve">  </v>
      </c>
      <c r="BV21" s="255" t="str">
        <v xml:space="preserve">  </v>
      </c>
      <c r="BW21" s="255" t="str">
        <v xml:space="preserve">  </v>
      </c>
      <c r="BX21" s="255" t="str">
        <v xml:space="preserve">  </v>
      </c>
      <c r="BY21" s="255" t="str">
        <v xml:space="preserve">  </v>
      </c>
      <c r="BZ21" s="255" t="str">
        <v xml:space="preserve">  </v>
      </c>
      <c r="CA21" s="255" t="str">
        <v xml:space="preserve">  </v>
      </c>
      <c r="CB21" s="255" t="str">
        <v xml:space="preserve">  </v>
      </c>
      <c r="CC21" s="255" t="str">
        <v xml:space="preserve">  </v>
      </c>
      <c r="CD21" s="256" t="str">
        <v xml:space="preserve">  </v>
      </c>
      <c r="CG21" s="262">
        <f t="shared" si="5"/>
        <v>14</v>
      </c>
      <c r="CH21" s="262">
        <f t="shared" si="6"/>
        <v>14</v>
      </c>
      <c r="CI21" s="262">
        <f t="shared" si="6"/>
        <v>14</v>
      </c>
      <c r="CJ21" s="262"/>
      <c r="CK21" s="265">
        <f t="shared" si="34"/>
        <v>14</v>
      </c>
      <c r="CL21" s="266">
        <f t="shared" si="7"/>
        <v>14</v>
      </c>
      <c r="CM21" s="266">
        <f t="shared" si="8"/>
        <v>14.025030914415881</v>
      </c>
      <c r="CN21" s="266">
        <f t="shared" si="9"/>
        <v>14.055528799219005</v>
      </c>
      <c r="CO21" s="266">
        <f t="shared" si="10"/>
        <v>14.088994467946632</v>
      </c>
      <c r="CP21" s="266">
        <f t="shared" si="11"/>
        <v>14.126989912137976</v>
      </c>
      <c r="CQ21" s="266">
        <f t="shared" si="12"/>
        <v>14.205610152945004</v>
      </c>
      <c r="CR21" s="266">
        <f t="shared" si="13"/>
        <v>14.290504393101203</v>
      </c>
      <c r="CS21" s="266">
        <f t="shared" si="14"/>
        <v>14.377949886104783</v>
      </c>
      <c r="CT21" s="266">
        <f t="shared" si="15"/>
        <v>14.433146762121705</v>
      </c>
      <c r="CU21" s="266">
        <f t="shared" si="16"/>
        <v>14.469326391148714</v>
      </c>
      <c r="CV21" s="266">
        <f t="shared" si="17"/>
        <v>14.561978522616336</v>
      </c>
      <c r="CW21" s="266">
        <f t="shared" si="18"/>
        <v>14.645798893589326</v>
      </c>
      <c r="CX21" s="266" t="e">
        <f t="shared" si="19"/>
        <v>#VALUE!</v>
      </c>
      <c r="CY21" s="266" t="e">
        <f t="shared" si="20"/>
        <v>#VALUE!</v>
      </c>
      <c r="CZ21" s="266" t="e">
        <f t="shared" si="21"/>
        <v>#VALUE!</v>
      </c>
      <c r="DA21" s="266" t="e">
        <f t="shared" si="22"/>
        <v>#VALUE!</v>
      </c>
      <c r="DB21" s="266" t="e">
        <f t="shared" si="23"/>
        <v>#VALUE!</v>
      </c>
      <c r="DC21" s="266" t="e">
        <f t="shared" si="24"/>
        <v>#VALUE!</v>
      </c>
      <c r="DD21" s="266" t="e">
        <f t="shared" si="25"/>
        <v>#VALUE!</v>
      </c>
      <c r="DE21" s="266" t="e">
        <f t="shared" si="26"/>
        <v>#VALUE!</v>
      </c>
      <c r="DF21" s="266" t="e">
        <f t="shared" si="27"/>
        <v>#VALUE!</v>
      </c>
      <c r="DG21" s="266" t="e">
        <f t="shared" si="28"/>
        <v>#VALUE!</v>
      </c>
      <c r="DH21" s="266" t="e">
        <f t="shared" si="29"/>
        <v>#VALUE!</v>
      </c>
      <c r="DI21" s="266" t="e">
        <f t="shared" si="30"/>
        <v>#VALUE!</v>
      </c>
      <c r="DJ21" s="266" t="e">
        <f t="shared" si="31"/>
        <v>#VALUE!</v>
      </c>
    </row>
    <row r="22" spans="1:114" x14ac:dyDescent="0.25">
      <c r="A22" s="239">
        <v>18</v>
      </c>
      <c r="B22" s="240">
        <v>0</v>
      </c>
      <c r="C22" s="240">
        <v>1.49</v>
      </c>
      <c r="D22" s="240">
        <v>2.23</v>
      </c>
      <c r="E22" s="240">
        <v>2.69</v>
      </c>
      <c r="F22" s="240">
        <v>2.97</v>
      </c>
      <c r="G22" s="240">
        <v>3.25</v>
      </c>
      <c r="H22" s="240">
        <v>3.51</v>
      </c>
      <c r="I22" s="240">
        <v>4.28</v>
      </c>
      <c r="J22" s="240">
        <v>4.97</v>
      </c>
      <c r="K22" s="240">
        <v>5.47</v>
      </c>
      <c r="L22" s="240">
        <v>6.84</v>
      </c>
      <c r="M22" s="240">
        <v>9.77</v>
      </c>
      <c r="N22" s="240">
        <v>0</v>
      </c>
      <c r="O22" s="240">
        <v>0</v>
      </c>
      <c r="P22" s="240">
        <v>0</v>
      </c>
      <c r="Q22" s="240">
        <v>0</v>
      </c>
      <c r="R22" s="240">
        <v>0</v>
      </c>
      <c r="S22" s="240">
        <v>0</v>
      </c>
      <c r="T22" s="240">
        <v>0</v>
      </c>
      <c r="U22" s="240">
        <v>0</v>
      </c>
      <c r="V22" s="240">
        <v>0</v>
      </c>
      <c r="W22" s="240">
        <v>0</v>
      </c>
      <c r="X22" s="240">
        <v>0</v>
      </c>
      <c r="Y22" s="240">
        <v>0</v>
      </c>
      <c r="Z22" s="241">
        <v>0</v>
      </c>
      <c r="AA22" s="129">
        <v>0</v>
      </c>
      <c r="AC22" s="246">
        <v>20</v>
      </c>
      <c r="AD22" s="260">
        <f t="shared" si="2"/>
        <v>17</v>
      </c>
      <c r="AE22" s="261">
        <f t="shared" si="33"/>
        <v>0.65</v>
      </c>
      <c r="AF22" s="261">
        <f t="shared" si="33"/>
        <v>2.63</v>
      </c>
      <c r="AG22" s="261">
        <f t="shared" si="33"/>
        <v>3.52</v>
      </c>
      <c r="AH22" s="261">
        <f t="shared" si="33"/>
        <v>4.0599999999999996</v>
      </c>
      <c r="AI22" s="261">
        <f t="shared" si="33"/>
        <v>4.43</v>
      </c>
      <c r="AJ22" s="261">
        <f t="shared" si="32"/>
        <v>5.03</v>
      </c>
      <c r="AK22" s="261">
        <f t="shared" si="32"/>
        <v>5.69</v>
      </c>
      <c r="AL22" s="261">
        <f t="shared" si="32"/>
        <v>6.59</v>
      </c>
      <c r="AM22" s="261">
        <f t="shared" si="32"/>
        <v>7.22</v>
      </c>
      <c r="AN22" s="261">
        <f t="shared" si="32"/>
        <v>7.64</v>
      </c>
      <c r="AO22" s="261">
        <f t="shared" si="32"/>
        <v>8.73</v>
      </c>
      <c r="AP22" s="261">
        <f t="shared" si="32"/>
        <v>10.94</v>
      </c>
      <c r="AQ22" s="261" t="str">
        <f t="shared" si="32"/>
        <v xml:space="preserve">  </v>
      </c>
      <c r="AR22" s="261" t="str">
        <f t="shared" si="32"/>
        <v xml:space="preserve">  </v>
      </c>
      <c r="AS22" s="261" t="str">
        <f t="shared" si="32"/>
        <v xml:space="preserve">  </v>
      </c>
      <c r="AT22" s="261" t="str">
        <f t="shared" si="32"/>
        <v xml:space="preserve">  </v>
      </c>
      <c r="AU22" s="261" t="str">
        <f t="shared" si="32"/>
        <v xml:space="preserve">  </v>
      </c>
      <c r="AV22" s="261" t="str">
        <f t="shared" si="32"/>
        <v xml:space="preserve">  </v>
      </c>
      <c r="AW22" s="261" t="str">
        <f t="shared" si="32"/>
        <v xml:space="preserve">  </v>
      </c>
      <c r="AX22" s="261" t="str">
        <f t="shared" si="32"/>
        <v xml:space="preserve">  </v>
      </c>
      <c r="AY22" s="261" t="str">
        <f t="shared" si="32"/>
        <v xml:space="preserve">  </v>
      </c>
      <c r="AZ22" s="261" t="str">
        <f t="shared" si="32"/>
        <v xml:space="preserve">  </v>
      </c>
      <c r="BA22" s="261" t="str">
        <f t="shared" si="32"/>
        <v xml:space="preserve">  </v>
      </c>
      <c r="BB22" s="261" t="str">
        <f t="shared" si="32"/>
        <v xml:space="preserve">  </v>
      </c>
      <c r="BC22" s="261" t="str">
        <f t="shared" si="32"/>
        <v xml:space="preserve">  </v>
      </c>
      <c r="BD22" s="129">
        <v>20</v>
      </c>
      <c r="BE22" s="252" t="str">
        <v xml:space="preserve">  </v>
      </c>
      <c r="BF22" s="255" t="str">
        <v xml:space="preserve">  </v>
      </c>
      <c r="BG22" s="255" t="str">
        <v xml:space="preserve">  </v>
      </c>
      <c r="BH22" s="255" t="str">
        <v xml:space="preserve">  </v>
      </c>
      <c r="BI22" s="255" t="str">
        <v xml:space="preserve">  </v>
      </c>
      <c r="BJ22" s="255" t="str">
        <v xml:space="preserve">  </v>
      </c>
      <c r="BK22" s="255" t="str">
        <v xml:space="preserve">  </v>
      </c>
      <c r="BL22" s="255" t="str">
        <v xml:space="preserve">  </v>
      </c>
      <c r="BM22" s="255" t="str">
        <v xml:space="preserve">  </v>
      </c>
      <c r="BN22" s="255" t="str">
        <v xml:space="preserve">  </v>
      </c>
      <c r="BO22" s="255" t="str">
        <v xml:space="preserve">  </v>
      </c>
      <c r="BP22" s="255" t="str">
        <v xml:space="preserve">  </v>
      </c>
      <c r="BQ22" s="255" t="str">
        <v xml:space="preserve">  </v>
      </c>
      <c r="BR22" s="255" t="str">
        <v xml:space="preserve">  </v>
      </c>
      <c r="BS22" s="255" t="str">
        <v xml:space="preserve">  </v>
      </c>
      <c r="BT22" s="255" t="str">
        <v xml:space="preserve">  </v>
      </c>
      <c r="BU22" s="255" t="str">
        <v xml:space="preserve">  </v>
      </c>
      <c r="BV22" s="255" t="str">
        <v xml:space="preserve">  </v>
      </c>
      <c r="BW22" s="255" t="str">
        <v xml:space="preserve">  </v>
      </c>
      <c r="BX22" s="255" t="str">
        <v xml:space="preserve">  </v>
      </c>
      <c r="BY22" s="255" t="str">
        <v xml:space="preserve">  </v>
      </c>
      <c r="BZ22" s="255" t="str">
        <v xml:space="preserve">  </v>
      </c>
      <c r="CA22" s="255" t="str">
        <v xml:space="preserve">  </v>
      </c>
      <c r="CB22" s="255" t="str">
        <v xml:space="preserve">  </v>
      </c>
      <c r="CC22" s="255" t="str">
        <v xml:space="preserve">  </v>
      </c>
      <c r="CD22" s="256" t="str">
        <v xml:space="preserve">  </v>
      </c>
      <c r="CG22" s="262">
        <f t="shared" si="5"/>
        <v>15</v>
      </c>
      <c r="CH22" s="262">
        <f t="shared" si="6"/>
        <v>15</v>
      </c>
      <c r="CI22" s="262">
        <f t="shared" si="6"/>
        <v>15</v>
      </c>
      <c r="CJ22" s="262"/>
      <c r="CK22" s="265">
        <f t="shared" si="34"/>
        <v>15</v>
      </c>
      <c r="CL22" s="266">
        <f t="shared" si="7"/>
        <v>15</v>
      </c>
      <c r="CM22" s="266">
        <f t="shared" si="8"/>
        <v>15.01867881548975</v>
      </c>
      <c r="CN22" s="266">
        <f t="shared" si="9"/>
        <v>15.043215099251546</v>
      </c>
      <c r="CO22" s="266">
        <f t="shared" si="10"/>
        <v>15.071252847380411</v>
      </c>
      <c r="CP22" s="266">
        <f t="shared" si="11"/>
        <v>15.101841848356655</v>
      </c>
      <c r="CQ22" s="266">
        <f t="shared" si="12"/>
        <v>15.168252521965506</v>
      </c>
      <c r="CR22" s="266">
        <f t="shared" si="13"/>
        <v>15.240754962577286</v>
      </c>
      <c r="CS22" s="266">
        <f t="shared" si="14"/>
        <v>15.318542141230068</v>
      </c>
      <c r="CT22" s="266">
        <f t="shared" si="15"/>
        <v>15.368321943811694</v>
      </c>
      <c r="CU22" s="266">
        <f t="shared" si="16"/>
        <v>15.400807028961927</v>
      </c>
      <c r="CV22" s="266">
        <f t="shared" si="17"/>
        <v>15.487107061503417</v>
      </c>
      <c r="CW22" s="266">
        <f t="shared" si="18"/>
        <v>15.567960950211519</v>
      </c>
      <c r="CX22" s="266" t="e">
        <f t="shared" si="19"/>
        <v>#VALUE!</v>
      </c>
      <c r="CY22" s="266" t="e">
        <f t="shared" si="20"/>
        <v>#VALUE!</v>
      </c>
      <c r="CZ22" s="266" t="e">
        <f t="shared" si="21"/>
        <v>#VALUE!</v>
      </c>
      <c r="DA22" s="266" t="e">
        <f t="shared" si="22"/>
        <v>#VALUE!</v>
      </c>
      <c r="DB22" s="266" t="e">
        <f t="shared" si="23"/>
        <v>#VALUE!</v>
      </c>
      <c r="DC22" s="266" t="e">
        <f t="shared" si="24"/>
        <v>#VALUE!</v>
      </c>
      <c r="DD22" s="266" t="e">
        <f t="shared" si="25"/>
        <v>#VALUE!</v>
      </c>
      <c r="DE22" s="266" t="e">
        <f t="shared" si="26"/>
        <v>#VALUE!</v>
      </c>
      <c r="DF22" s="266" t="e">
        <f t="shared" si="27"/>
        <v>#VALUE!</v>
      </c>
      <c r="DG22" s="266" t="e">
        <f t="shared" si="28"/>
        <v>#VALUE!</v>
      </c>
      <c r="DH22" s="266" t="e">
        <f t="shared" si="29"/>
        <v>#VALUE!</v>
      </c>
      <c r="DI22" s="266" t="e">
        <f t="shared" si="30"/>
        <v>#VALUE!</v>
      </c>
      <c r="DJ22" s="266" t="e">
        <f t="shared" si="31"/>
        <v>#VALUE!</v>
      </c>
    </row>
    <row r="23" spans="1:114" x14ac:dyDescent="0.25">
      <c r="A23" s="239">
        <v>18.5</v>
      </c>
      <c r="B23" s="240">
        <v>0</v>
      </c>
      <c r="C23" s="240">
        <v>1.04</v>
      </c>
      <c r="D23" s="240">
        <v>1.7</v>
      </c>
      <c r="E23" s="240">
        <v>2.14</v>
      </c>
      <c r="F23" s="240">
        <v>2.4</v>
      </c>
      <c r="G23" s="240">
        <v>2.57</v>
      </c>
      <c r="H23" s="240">
        <v>2.5499999999999998</v>
      </c>
      <c r="I23" s="240">
        <v>3.12</v>
      </c>
      <c r="J23" s="240">
        <v>3.79</v>
      </c>
      <c r="K23" s="240">
        <v>4.3</v>
      </c>
      <c r="L23" s="240">
        <v>5.71</v>
      </c>
      <c r="M23" s="240">
        <v>8.1</v>
      </c>
      <c r="N23" s="240">
        <v>0</v>
      </c>
      <c r="O23" s="240">
        <v>0</v>
      </c>
      <c r="P23" s="240">
        <v>0</v>
      </c>
      <c r="Q23" s="240">
        <v>0</v>
      </c>
      <c r="R23" s="240">
        <v>0</v>
      </c>
      <c r="S23" s="240">
        <v>0</v>
      </c>
      <c r="T23" s="240">
        <v>0</v>
      </c>
      <c r="U23" s="240">
        <v>0</v>
      </c>
      <c r="V23" s="240">
        <v>0</v>
      </c>
      <c r="W23" s="240">
        <v>0</v>
      </c>
      <c r="X23" s="240">
        <v>0</v>
      </c>
      <c r="Y23" s="240">
        <v>0</v>
      </c>
      <c r="Z23" s="241">
        <v>0</v>
      </c>
      <c r="AA23" s="129">
        <v>0</v>
      </c>
      <c r="AC23" s="246">
        <v>21</v>
      </c>
      <c r="AD23" s="260">
        <f t="shared" si="2"/>
        <v>18</v>
      </c>
      <c r="AE23" s="261">
        <f t="shared" si="33"/>
        <v>0</v>
      </c>
      <c r="AF23" s="261">
        <f t="shared" si="33"/>
        <v>1.49</v>
      </c>
      <c r="AG23" s="261">
        <f t="shared" si="33"/>
        <v>2.23</v>
      </c>
      <c r="AH23" s="261">
        <f t="shared" si="33"/>
        <v>2.69</v>
      </c>
      <c r="AI23" s="261">
        <f t="shared" si="33"/>
        <v>2.97</v>
      </c>
      <c r="AJ23" s="261">
        <f t="shared" si="32"/>
        <v>3.25</v>
      </c>
      <c r="AK23" s="261">
        <f t="shared" si="32"/>
        <v>3.51</v>
      </c>
      <c r="AL23" s="261">
        <f t="shared" si="32"/>
        <v>4.28</v>
      </c>
      <c r="AM23" s="261">
        <f t="shared" si="32"/>
        <v>4.97</v>
      </c>
      <c r="AN23" s="261">
        <f t="shared" si="32"/>
        <v>5.47</v>
      </c>
      <c r="AO23" s="261">
        <f t="shared" si="32"/>
        <v>6.84</v>
      </c>
      <c r="AP23" s="261">
        <f t="shared" si="32"/>
        <v>9.77</v>
      </c>
      <c r="AQ23" s="261" t="str">
        <f t="shared" si="32"/>
        <v xml:space="preserve">  </v>
      </c>
      <c r="AR23" s="261" t="str">
        <f t="shared" si="32"/>
        <v xml:space="preserve">  </v>
      </c>
      <c r="AS23" s="261" t="str">
        <f t="shared" si="32"/>
        <v xml:space="preserve">  </v>
      </c>
      <c r="AT23" s="261" t="str">
        <f t="shared" si="32"/>
        <v xml:space="preserve">  </v>
      </c>
      <c r="AU23" s="261" t="str">
        <f t="shared" si="32"/>
        <v xml:space="preserve">  </v>
      </c>
      <c r="AV23" s="261" t="str">
        <f t="shared" si="32"/>
        <v xml:space="preserve">  </v>
      </c>
      <c r="AW23" s="261" t="str">
        <f t="shared" si="32"/>
        <v xml:space="preserve">  </v>
      </c>
      <c r="AX23" s="261" t="str">
        <f t="shared" si="32"/>
        <v xml:space="preserve">  </v>
      </c>
      <c r="AY23" s="261" t="str">
        <f t="shared" si="32"/>
        <v xml:space="preserve">  </v>
      </c>
      <c r="AZ23" s="261" t="str">
        <f t="shared" si="32"/>
        <v xml:space="preserve">  </v>
      </c>
      <c r="BA23" s="261" t="str">
        <f t="shared" si="32"/>
        <v xml:space="preserve">  </v>
      </c>
      <c r="BB23" s="261" t="str">
        <f t="shared" si="32"/>
        <v xml:space="preserve">  </v>
      </c>
      <c r="BC23" s="261" t="str">
        <f t="shared" si="32"/>
        <v xml:space="preserve">  </v>
      </c>
      <c r="BD23" s="129">
        <v>21</v>
      </c>
      <c r="BE23" s="252" t="str">
        <v xml:space="preserve">  </v>
      </c>
      <c r="BF23" s="255" t="str">
        <v xml:space="preserve">  </v>
      </c>
      <c r="BG23" s="255" t="str">
        <v xml:space="preserve">  </v>
      </c>
      <c r="BH23" s="255" t="str">
        <v xml:space="preserve">  </v>
      </c>
      <c r="BI23" s="255" t="str">
        <v xml:space="preserve">  </v>
      </c>
      <c r="BJ23" s="255" t="str">
        <v xml:space="preserve">  </v>
      </c>
      <c r="BK23" s="255" t="str">
        <v xml:space="preserve">  </v>
      </c>
      <c r="BL23" s="255" t="str">
        <v xml:space="preserve">  </v>
      </c>
      <c r="BM23" s="255" t="str">
        <v xml:space="preserve">  </v>
      </c>
      <c r="BN23" s="255" t="str">
        <v xml:space="preserve">  </v>
      </c>
      <c r="BO23" s="255" t="str">
        <v xml:space="preserve">  </v>
      </c>
      <c r="BP23" s="255" t="str">
        <v xml:space="preserve">  </v>
      </c>
      <c r="BQ23" s="255" t="str">
        <v xml:space="preserve">  </v>
      </c>
      <c r="BR23" s="255" t="str">
        <v xml:space="preserve">  </v>
      </c>
      <c r="BS23" s="255" t="str">
        <v xml:space="preserve">  </v>
      </c>
      <c r="BT23" s="255" t="str">
        <v xml:space="preserve">  </v>
      </c>
      <c r="BU23" s="255" t="str">
        <v xml:space="preserve">  </v>
      </c>
      <c r="BV23" s="255" t="str">
        <v xml:space="preserve">  </v>
      </c>
      <c r="BW23" s="255" t="str">
        <v xml:space="preserve">  </v>
      </c>
      <c r="BX23" s="255" t="str">
        <v xml:space="preserve">  </v>
      </c>
      <c r="BY23" s="255" t="str">
        <v xml:space="preserve">  </v>
      </c>
      <c r="BZ23" s="255" t="str">
        <v xml:space="preserve">  </v>
      </c>
      <c r="CA23" s="255" t="str">
        <v xml:space="preserve">  </v>
      </c>
      <c r="CB23" s="255" t="str">
        <v xml:space="preserve">  </v>
      </c>
      <c r="CC23" s="255" t="str">
        <v xml:space="preserve">  </v>
      </c>
      <c r="CD23" s="256" t="str">
        <v xml:space="preserve">  </v>
      </c>
      <c r="CG23" s="262">
        <f t="shared" si="5"/>
        <v>16</v>
      </c>
      <c r="CH23" s="262">
        <f t="shared" si="6"/>
        <v>16</v>
      </c>
      <c r="CI23" s="262">
        <f t="shared" si="6"/>
        <v>16</v>
      </c>
      <c r="CJ23" s="262"/>
      <c r="CK23" s="265">
        <f t="shared" si="34"/>
        <v>16</v>
      </c>
      <c r="CL23" s="266">
        <f t="shared" si="7"/>
        <v>16</v>
      </c>
      <c r="CM23" s="266">
        <f t="shared" si="8"/>
        <v>16.012495932313701</v>
      </c>
      <c r="CN23" s="266">
        <f t="shared" si="9"/>
        <v>16.030615034168566</v>
      </c>
      <c r="CO23" s="266">
        <f t="shared" si="10"/>
        <v>16.051793036121055</v>
      </c>
      <c r="CP23" s="266">
        <f t="shared" si="11"/>
        <v>16.075248942401561</v>
      </c>
      <c r="CQ23" s="266">
        <f t="shared" si="12"/>
        <v>16.127041978522616</v>
      </c>
      <c r="CR23" s="266">
        <f t="shared" si="13"/>
        <v>16.184900748454279</v>
      </c>
      <c r="CS23" s="266">
        <f t="shared" si="14"/>
        <v>16.249111617312074</v>
      </c>
      <c r="CT23" s="266">
        <f t="shared" si="15"/>
        <v>16.291469790649746</v>
      </c>
      <c r="CU23" s="266">
        <f t="shared" si="16"/>
        <v>16.319648551903676</v>
      </c>
      <c r="CV23" s="266">
        <f t="shared" si="17"/>
        <v>16.396329319882852</v>
      </c>
      <c r="CW23" s="266">
        <f t="shared" si="18"/>
        <v>16.472043605597136</v>
      </c>
      <c r="CX23" s="266" t="e">
        <f t="shared" si="19"/>
        <v>#VALUE!</v>
      </c>
      <c r="CY23" s="266" t="e">
        <f t="shared" si="20"/>
        <v>#VALUE!</v>
      </c>
      <c r="CZ23" s="266" t="e">
        <f t="shared" si="21"/>
        <v>#VALUE!</v>
      </c>
      <c r="DA23" s="266" t="e">
        <f t="shared" si="22"/>
        <v>#VALUE!</v>
      </c>
      <c r="DB23" s="266" t="e">
        <f t="shared" si="23"/>
        <v>#VALUE!</v>
      </c>
      <c r="DC23" s="266" t="e">
        <f t="shared" si="24"/>
        <v>#VALUE!</v>
      </c>
      <c r="DD23" s="266" t="e">
        <f t="shared" si="25"/>
        <v>#VALUE!</v>
      </c>
      <c r="DE23" s="266" t="e">
        <f t="shared" si="26"/>
        <v>#VALUE!</v>
      </c>
      <c r="DF23" s="266" t="e">
        <f t="shared" si="27"/>
        <v>#VALUE!</v>
      </c>
      <c r="DG23" s="266" t="e">
        <f t="shared" si="28"/>
        <v>#VALUE!</v>
      </c>
      <c r="DH23" s="266" t="e">
        <f t="shared" si="29"/>
        <v>#VALUE!</v>
      </c>
      <c r="DI23" s="266" t="e">
        <f t="shared" si="30"/>
        <v>#VALUE!</v>
      </c>
      <c r="DJ23" s="266" t="e">
        <f t="shared" si="31"/>
        <v>#VALUE!</v>
      </c>
    </row>
    <row r="24" spans="1:114" x14ac:dyDescent="0.25">
      <c r="A24" s="239">
        <v>19</v>
      </c>
      <c r="B24" s="240">
        <v>0</v>
      </c>
      <c r="C24" s="240">
        <v>0.64</v>
      </c>
      <c r="D24" s="240">
        <v>1.27</v>
      </c>
      <c r="E24" s="240">
        <v>1.68</v>
      </c>
      <c r="F24" s="240">
        <v>1.96</v>
      </c>
      <c r="G24" s="240">
        <v>2.1</v>
      </c>
      <c r="H24" s="240">
        <v>1.8</v>
      </c>
      <c r="I24" s="240">
        <v>2</v>
      </c>
      <c r="J24" s="240">
        <v>2.61</v>
      </c>
      <c r="K24" s="240">
        <v>3.1</v>
      </c>
      <c r="L24" s="240">
        <v>4.42</v>
      </c>
      <c r="M24" s="240">
        <v>5.76</v>
      </c>
      <c r="N24" s="240">
        <v>0</v>
      </c>
      <c r="O24" s="240">
        <v>0</v>
      </c>
      <c r="P24" s="240">
        <v>0</v>
      </c>
      <c r="Q24" s="240">
        <v>0</v>
      </c>
      <c r="R24" s="240">
        <v>0</v>
      </c>
      <c r="S24" s="240">
        <v>0</v>
      </c>
      <c r="T24" s="240">
        <v>0</v>
      </c>
      <c r="U24" s="240">
        <v>0</v>
      </c>
      <c r="V24" s="240">
        <v>0</v>
      </c>
      <c r="W24" s="240">
        <v>0</v>
      </c>
      <c r="X24" s="240">
        <v>0</v>
      </c>
      <c r="Y24" s="240">
        <v>0</v>
      </c>
      <c r="Z24" s="241">
        <v>0</v>
      </c>
      <c r="AA24" s="129">
        <v>0</v>
      </c>
      <c r="AC24" s="246">
        <v>22</v>
      </c>
      <c r="AD24" s="260">
        <f t="shared" si="2"/>
        <v>18.5</v>
      </c>
      <c r="AE24" s="261">
        <f t="shared" si="33"/>
        <v>0</v>
      </c>
      <c r="AF24" s="261">
        <f t="shared" si="33"/>
        <v>1.04</v>
      </c>
      <c r="AG24" s="261">
        <f t="shared" si="33"/>
        <v>1.7</v>
      </c>
      <c r="AH24" s="261">
        <f t="shared" si="33"/>
        <v>2.14</v>
      </c>
      <c r="AI24" s="261">
        <f t="shared" si="33"/>
        <v>2.4</v>
      </c>
      <c r="AJ24" s="261">
        <f t="shared" si="32"/>
        <v>2.57</v>
      </c>
      <c r="AK24" s="261">
        <f t="shared" si="32"/>
        <v>2.5499999999999998</v>
      </c>
      <c r="AL24" s="261">
        <f t="shared" si="32"/>
        <v>3.12</v>
      </c>
      <c r="AM24" s="261">
        <f t="shared" si="32"/>
        <v>3.79</v>
      </c>
      <c r="AN24" s="261">
        <f t="shared" si="32"/>
        <v>4.3</v>
      </c>
      <c r="AO24" s="261">
        <f t="shared" si="32"/>
        <v>5.71</v>
      </c>
      <c r="AP24" s="261">
        <f t="shared" si="32"/>
        <v>8.1</v>
      </c>
      <c r="AQ24" s="261" t="str">
        <f t="shared" si="32"/>
        <v xml:space="preserve">  </v>
      </c>
      <c r="AR24" s="261" t="str">
        <f t="shared" si="32"/>
        <v xml:space="preserve">  </v>
      </c>
      <c r="AS24" s="261" t="str">
        <f t="shared" si="32"/>
        <v xml:space="preserve">  </v>
      </c>
      <c r="AT24" s="261" t="str">
        <f t="shared" si="32"/>
        <v xml:space="preserve">  </v>
      </c>
      <c r="AU24" s="261" t="str">
        <f t="shared" si="32"/>
        <v xml:space="preserve">  </v>
      </c>
      <c r="AV24" s="261" t="str">
        <f t="shared" si="32"/>
        <v xml:space="preserve">  </v>
      </c>
      <c r="AW24" s="261" t="str">
        <f t="shared" si="32"/>
        <v xml:space="preserve">  </v>
      </c>
      <c r="AX24" s="261" t="str">
        <f t="shared" si="32"/>
        <v xml:space="preserve">  </v>
      </c>
      <c r="AY24" s="261" t="str">
        <f t="shared" si="32"/>
        <v xml:space="preserve">  </v>
      </c>
      <c r="AZ24" s="261" t="str">
        <f t="shared" si="32"/>
        <v xml:space="preserve">  </v>
      </c>
      <c r="BA24" s="261" t="str">
        <f t="shared" si="32"/>
        <v xml:space="preserve">  </v>
      </c>
      <c r="BB24" s="261" t="str">
        <f t="shared" si="32"/>
        <v xml:space="preserve">  </v>
      </c>
      <c r="BC24" s="261" t="str">
        <f t="shared" si="32"/>
        <v xml:space="preserve">  </v>
      </c>
      <c r="BD24" s="129">
        <v>22</v>
      </c>
      <c r="BE24" s="252" t="str">
        <v xml:space="preserve">  </v>
      </c>
      <c r="BF24" s="255" t="str">
        <v xml:space="preserve">  </v>
      </c>
      <c r="BG24" s="255" t="str">
        <v xml:space="preserve">  </v>
      </c>
      <c r="BH24" s="255" t="str">
        <v xml:space="preserve">  </v>
      </c>
      <c r="BI24" s="255" t="str">
        <v xml:space="preserve">  </v>
      </c>
      <c r="BJ24" s="255" t="str">
        <v xml:space="preserve">  </v>
      </c>
      <c r="BK24" s="255" t="str">
        <v xml:space="preserve">  </v>
      </c>
      <c r="BL24" s="255" t="str">
        <v xml:space="preserve">  </v>
      </c>
      <c r="BM24" s="255" t="str">
        <v xml:space="preserve">  </v>
      </c>
      <c r="BN24" s="255" t="str">
        <v xml:space="preserve">  </v>
      </c>
      <c r="BO24" s="255" t="str">
        <v xml:space="preserve">  </v>
      </c>
      <c r="BP24" s="255" t="str">
        <v xml:space="preserve">  </v>
      </c>
      <c r="BQ24" s="255" t="str">
        <v xml:space="preserve">  </v>
      </c>
      <c r="BR24" s="255" t="str">
        <v xml:space="preserve">  </v>
      </c>
      <c r="BS24" s="255" t="str">
        <v xml:space="preserve">  </v>
      </c>
      <c r="BT24" s="255" t="str">
        <v xml:space="preserve">  </v>
      </c>
      <c r="BU24" s="255" t="str">
        <v xml:space="preserve">  </v>
      </c>
      <c r="BV24" s="255" t="str">
        <v xml:space="preserve">  </v>
      </c>
      <c r="BW24" s="255" t="str">
        <v xml:space="preserve">  </v>
      </c>
      <c r="BX24" s="255" t="str">
        <v xml:space="preserve">  </v>
      </c>
      <c r="BY24" s="255" t="str">
        <v xml:space="preserve">  </v>
      </c>
      <c r="BZ24" s="255" t="str">
        <v xml:space="preserve">  </v>
      </c>
      <c r="CA24" s="255" t="str">
        <v xml:space="preserve">  </v>
      </c>
      <c r="CB24" s="255" t="str">
        <v xml:space="preserve">  </v>
      </c>
      <c r="CC24" s="255" t="str">
        <v xml:space="preserve">  </v>
      </c>
      <c r="CD24" s="256" t="str">
        <v xml:space="preserve">  </v>
      </c>
      <c r="CG24" s="262">
        <f t="shared" si="5"/>
        <v>17</v>
      </c>
      <c r="CH24" s="262">
        <f t="shared" si="6"/>
        <v>17</v>
      </c>
      <c r="CI24" s="262">
        <f t="shared" si="6"/>
        <v>17</v>
      </c>
      <c r="CJ24" s="262"/>
      <c r="CK24" s="265">
        <f t="shared" si="34"/>
        <v>17</v>
      </c>
      <c r="CL24" s="266">
        <f t="shared" si="7"/>
        <v>17</v>
      </c>
      <c r="CM24" s="266">
        <f t="shared" si="8"/>
        <v>17.006758867556133</v>
      </c>
      <c r="CN24" s="266">
        <f t="shared" si="9"/>
        <v>17.019121379759191</v>
      </c>
      <c r="CO24" s="266">
        <f t="shared" si="10"/>
        <v>17.03379433778067</v>
      </c>
      <c r="CP24" s="266">
        <f t="shared" si="11"/>
        <v>17.050608525870484</v>
      </c>
      <c r="CQ24" s="266">
        <f t="shared" si="12"/>
        <v>17.087510575984378</v>
      </c>
      <c r="CR24" s="266">
        <f t="shared" si="13"/>
        <v>17.129332899446794</v>
      </c>
      <c r="CS24" s="266">
        <f t="shared" si="14"/>
        <v>17.177012691181258</v>
      </c>
      <c r="CT24" s="266">
        <f t="shared" si="15"/>
        <v>17.209968543225948</v>
      </c>
      <c r="CU24" s="266">
        <f t="shared" si="16"/>
        <v>17.232658639765702</v>
      </c>
      <c r="CV24" s="266">
        <f t="shared" si="17"/>
        <v>17.296452977546373</v>
      </c>
      <c r="CW24" s="266">
        <f t="shared" si="18"/>
        <v>17.364302635860721</v>
      </c>
      <c r="CX24" s="266" t="e">
        <f t="shared" si="19"/>
        <v>#VALUE!</v>
      </c>
      <c r="CY24" s="266" t="e">
        <f t="shared" si="20"/>
        <v>#VALUE!</v>
      </c>
      <c r="CZ24" s="266" t="e">
        <f t="shared" si="21"/>
        <v>#VALUE!</v>
      </c>
      <c r="DA24" s="266" t="e">
        <f t="shared" si="22"/>
        <v>#VALUE!</v>
      </c>
      <c r="DB24" s="266" t="e">
        <f t="shared" si="23"/>
        <v>#VALUE!</v>
      </c>
      <c r="DC24" s="266" t="e">
        <f t="shared" si="24"/>
        <v>#VALUE!</v>
      </c>
      <c r="DD24" s="266" t="e">
        <f t="shared" si="25"/>
        <v>#VALUE!</v>
      </c>
      <c r="DE24" s="266" t="e">
        <f t="shared" si="26"/>
        <v>#VALUE!</v>
      </c>
      <c r="DF24" s="266" t="e">
        <f t="shared" si="27"/>
        <v>#VALUE!</v>
      </c>
      <c r="DG24" s="266" t="e">
        <f t="shared" si="28"/>
        <v>#VALUE!</v>
      </c>
      <c r="DH24" s="266" t="e">
        <f t="shared" si="29"/>
        <v>#VALUE!</v>
      </c>
      <c r="DI24" s="266" t="e">
        <f t="shared" si="30"/>
        <v>#VALUE!</v>
      </c>
      <c r="DJ24" s="266" t="e">
        <f t="shared" si="31"/>
        <v>#VALUE!</v>
      </c>
    </row>
    <row r="25" spans="1:114" x14ac:dyDescent="0.25">
      <c r="A25" s="239">
        <v>19.5</v>
      </c>
      <c r="B25" s="240">
        <v>0</v>
      </c>
      <c r="C25" s="240">
        <v>0</v>
      </c>
      <c r="D25" s="240">
        <v>0.86</v>
      </c>
      <c r="E25" s="240">
        <v>1.29</v>
      </c>
      <c r="F25" s="240">
        <v>1.6</v>
      </c>
      <c r="G25" s="240">
        <v>1.77</v>
      </c>
      <c r="H25" s="240">
        <v>1.31</v>
      </c>
      <c r="I25" s="240">
        <v>1</v>
      </c>
      <c r="J25" s="240">
        <v>1.44</v>
      </c>
      <c r="K25" s="240">
        <v>1.74</v>
      </c>
      <c r="L25" s="240">
        <v>2.79</v>
      </c>
      <c r="M25" s="240">
        <v>4.0999999999999996</v>
      </c>
      <c r="N25" s="240">
        <v>0</v>
      </c>
      <c r="O25" s="240">
        <v>0</v>
      </c>
      <c r="P25" s="240">
        <v>0</v>
      </c>
      <c r="Q25" s="240">
        <v>0</v>
      </c>
      <c r="R25" s="240">
        <v>0</v>
      </c>
      <c r="S25" s="240">
        <v>0</v>
      </c>
      <c r="T25" s="240">
        <v>0</v>
      </c>
      <c r="U25" s="240">
        <v>0</v>
      </c>
      <c r="V25" s="240">
        <v>0</v>
      </c>
      <c r="W25" s="240">
        <v>0</v>
      </c>
      <c r="X25" s="240">
        <v>0</v>
      </c>
      <c r="Y25" s="240">
        <v>0</v>
      </c>
      <c r="Z25" s="241">
        <v>0</v>
      </c>
      <c r="AA25" s="129">
        <v>0</v>
      </c>
      <c r="AC25" s="246">
        <v>23</v>
      </c>
      <c r="AD25" s="260">
        <f t="shared" si="2"/>
        <v>19</v>
      </c>
      <c r="AE25" s="261">
        <f t="shared" si="33"/>
        <v>0</v>
      </c>
      <c r="AF25" s="261">
        <f t="shared" si="33"/>
        <v>0.64</v>
      </c>
      <c r="AG25" s="261">
        <f t="shared" si="33"/>
        <v>1.27</v>
      </c>
      <c r="AH25" s="261">
        <f t="shared" si="33"/>
        <v>1.68</v>
      </c>
      <c r="AI25" s="261">
        <f t="shared" si="33"/>
        <v>1.96</v>
      </c>
      <c r="AJ25" s="261">
        <f t="shared" si="32"/>
        <v>2.1</v>
      </c>
      <c r="AK25" s="261">
        <f t="shared" si="32"/>
        <v>1.8</v>
      </c>
      <c r="AL25" s="261">
        <f t="shared" si="32"/>
        <v>2</v>
      </c>
      <c r="AM25" s="261">
        <f t="shared" si="32"/>
        <v>2.61</v>
      </c>
      <c r="AN25" s="261">
        <f t="shared" si="32"/>
        <v>3.1</v>
      </c>
      <c r="AO25" s="261">
        <f t="shared" si="32"/>
        <v>4.42</v>
      </c>
      <c r="AP25" s="261">
        <f t="shared" si="32"/>
        <v>5.76</v>
      </c>
      <c r="AQ25" s="261" t="str">
        <f t="shared" si="32"/>
        <v xml:space="preserve">  </v>
      </c>
      <c r="AR25" s="261" t="str">
        <f t="shared" si="32"/>
        <v xml:space="preserve">  </v>
      </c>
      <c r="AS25" s="261" t="str">
        <f t="shared" si="32"/>
        <v xml:space="preserve">  </v>
      </c>
      <c r="AT25" s="261" t="str">
        <f t="shared" si="32"/>
        <v xml:space="preserve">  </v>
      </c>
      <c r="AU25" s="261" t="str">
        <f t="shared" si="32"/>
        <v xml:space="preserve">  </v>
      </c>
      <c r="AV25" s="261" t="str">
        <f t="shared" si="32"/>
        <v xml:space="preserve">  </v>
      </c>
      <c r="AW25" s="261" t="str">
        <f t="shared" si="32"/>
        <v xml:space="preserve">  </v>
      </c>
      <c r="AX25" s="261" t="str">
        <f t="shared" si="32"/>
        <v xml:space="preserve">  </v>
      </c>
      <c r="AY25" s="261" t="str">
        <f t="shared" ref="AY25:BC27" si="35">IF(OR(AY24="  ",AX25="  "),"  ",V24)</f>
        <v xml:space="preserve">  </v>
      </c>
      <c r="AZ25" s="261" t="str">
        <f t="shared" si="35"/>
        <v xml:space="preserve">  </v>
      </c>
      <c r="BA25" s="261" t="str">
        <f t="shared" si="35"/>
        <v xml:space="preserve">  </v>
      </c>
      <c r="BB25" s="261" t="str">
        <f t="shared" si="35"/>
        <v xml:space="preserve">  </v>
      </c>
      <c r="BC25" s="261" t="str">
        <f t="shared" si="35"/>
        <v xml:space="preserve">  </v>
      </c>
      <c r="BD25" s="129">
        <v>23</v>
      </c>
      <c r="BE25" s="252" t="str">
        <v xml:space="preserve">  </v>
      </c>
      <c r="BF25" s="255" t="str">
        <v xml:space="preserve">  </v>
      </c>
      <c r="BG25" s="255" t="str">
        <v xml:space="preserve">  </v>
      </c>
      <c r="BH25" s="255" t="str">
        <v xml:space="preserve">  </v>
      </c>
      <c r="BI25" s="255" t="str">
        <v xml:space="preserve">  </v>
      </c>
      <c r="BJ25" s="255" t="str">
        <v xml:space="preserve">  </v>
      </c>
      <c r="BK25" s="255" t="str">
        <v xml:space="preserve">  </v>
      </c>
      <c r="BL25" s="255" t="str">
        <v xml:space="preserve">  </v>
      </c>
      <c r="BM25" s="255" t="str">
        <v xml:space="preserve">  </v>
      </c>
      <c r="BN25" s="255" t="str">
        <v xml:space="preserve">  </v>
      </c>
      <c r="BO25" s="255" t="str">
        <v xml:space="preserve">  </v>
      </c>
      <c r="BP25" s="255" t="str">
        <v xml:space="preserve">  </v>
      </c>
      <c r="BQ25" s="255" t="str">
        <v xml:space="preserve">  </v>
      </c>
      <c r="BR25" s="255" t="str">
        <v xml:space="preserve">  </v>
      </c>
      <c r="BS25" s="255" t="str">
        <v xml:space="preserve">  </v>
      </c>
      <c r="BT25" s="255" t="str">
        <v xml:space="preserve">  </v>
      </c>
      <c r="BU25" s="255" t="str">
        <v xml:space="preserve">  </v>
      </c>
      <c r="BV25" s="255" t="str">
        <v xml:space="preserve">  </v>
      </c>
      <c r="BW25" s="255" t="str">
        <v xml:space="preserve">  </v>
      </c>
      <c r="BX25" s="255" t="str">
        <v xml:space="preserve">  </v>
      </c>
      <c r="BY25" s="255" t="str">
        <v xml:space="preserve">  </v>
      </c>
      <c r="BZ25" s="255" t="str">
        <v xml:space="preserve">  </v>
      </c>
      <c r="CA25" s="255" t="str">
        <v xml:space="preserve">  </v>
      </c>
      <c r="CB25" s="255" t="str">
        <v xml:space="preserve">  </v>
      </c>
      <c r="CC25" s="255" t="str">
        <v xml:space="preserve">  </v>
      </c>
      <c r="CD25" s="256" t="str">
        <v xml:space="preserve">  </v>
      </c>
      <c r="CG25" s="262">
        <f t="shared" si="5"/>
        <v>18</v>
      </c>
      <c r="CH25" s="262">
        <f t="shared" si="6"/>
        <v>18</v>
      </c>
      <c r="CI25" s="262">
        <f t="shared" si="6"/>
        <v>18</v>
      </c>
      <c r="CJ25" s="262"/>
      <c r="CK25" s="265">
        <f t="shared" si="34"/>
        <v>18</v>
      </c>
      <c r="CL25" s="266">
        <f t="shared" si="7"/>
        <v>18</v>
      </c>
      <c r="CM25" s="266">
        <f t="shared" si="8"/>
        <v>18.003153270419784</v>
      </c>
      <c r="CN25" s="266">
        <f t="shared" si="9"/>
        <v>18.010507647250243</v>
      </c>
      <c r="CO25" s="266">
        <f t="shared" si="10"/>
        <v>18.020205011389521</v>
      </c>
      <c r="CP25" s="266">
        <f t="shared" si="11"/>
        <v>18.031282134721771</v>
      </c>
      <c r="CQ25" s="266">
        <f t="shared" si="12"/>
        <v>18.055701269118124</v>
      </c>
      <c r="CR25" s="266">
        <f t="shared" si="13"/>
        <v>18.081994793361535</v>
      </c>
      <c r="CS25" s="266">
        <f t="shared" si="14"/>
        <v>18.111854864952814</v>
      </c>
      <c r="CT25" s="266">
        <f t="shared" si="15"/>
        <v>18.133928842607659</v>
      </c>
      <c r="CU25" s="266">
        <f t="shared" si="16"/>
        <v>18.14994142531728</v>
      </c>
      <c r="CV25" s="266">
        <f t="shared" si="17"/>
        <v>18.1977643996095</v>
      </c>
      <c r="CW25" s="266">
        <f t="shared" si="18"/>
        <v>18.255058900097623</v>
      </c>
      <c r="CX25" s="266" t="e">
        <f t="shared" si="19"/>
        <v>#VALUE!</v>
      </c>
      <c r="CY25" s="266" t="e">
        <f t="shared" si="20"/>
        <v>#VALUE!</v>
      </c>
      <c r="CZ25" s="266" t="e">
        <f t="shared" si="21"/>
        <v>#VALUE!</v>
      </c>
      <c r="DA25" s="266" t="e">
        <f t="shared" si="22"/>
        <v>#VALUE!</v>
      </c>
      <c r="DB25" s="266" t="e">
        <f t="shared" si="23"/>
        <v>#VALUE!</v>
      </c>
      <c r="DC25" s="266" t="e">
        <f t="shared" si="24"/>
        <v>#VALUE!</v>
      </c>
      <c r="DD25" s="266" t="e">
        <f t="shared" si="25"/>
        <v>#VALUE!</v>
      </c>
      <c r="DE25" s="266" t="e">
        <f t="shared" si="26"/>
        <v>#VALUE!</v>
      </c>
      <c r="DF25" s="266" t="e">
        <f t="shared" si="27"/>
        <v>#VALUE!</v>
      </c>
      <c r="DG25" s="266" t="e">
        <f t="shared" si="28"/>
        <v>#VALUE!</v>
      </c>
      <c r="DH25" s="266" t="e">
        <f t="shared" si="29"/>
        <v>#VALUE!</v>
      </c>
      <c r="DI25" s="266" t="e">
        <f t="shared" si="30"/>
        <v>#VALUE!</v>
      </c>
      <c r="DJ25" s="266" t="e">
        <f t="shared" si="31"/>
        <v>#VALUE!</v>
      </c>
    </row>
    <row r="26" spans="1:114" x14ac:dyDescent="0.25">
      <c r="A26" s="242">
        <v>20</v>
      </c>
      <c r="B26" s="243">
        <v>0</v>
      </c>
      <c r="C26" s="243">
        <v>0</v>
      </c>
      <c r="D26" s="243">
        <v>0</v>
      </c>
      <c r="E26" s="243">
        <v>0.76</v>
      </c>
      <c r="F26" s="243">
        <v>1.1499999999999999</v>
      </c>
      <c r="G26" s="243">
        <v>1.45</v>
      </c>
      <c r="H26" s="243">
        <v>1.04</v>
      </c>
      <c r="I26" s="243">
        <v>0</v>
      </c>
      <c r="J26" s="243">
        <v>0</v>
      </c>
      <c r="K26" s="243">
        <v>0.25</v>
      </c>
      <c r="L26" s="243">
        <v>0.85</v>
      </c>
      <c r="M26" s="243">
        <v>1.78</v>
      </c>
      <c r="N26" s="243">
        <v>0</v>
      </c>
      <c r="O26" s="243">
        <v>0</v>
      </c>
      <c r="P26" s="243">
        <v>0</v>
      </c>
      <c r="Q26" s="243">
        <v>0</v>
      </c>
      <c r="R26" s="243">
        <v>0</v>
      </c>
      <c r="S26" s="243">
        <v>0</v>
      </c>
      <c r="T26" s="243">
        <v>0</v>
      </c>
      <c r="U26" s="243">
        <v>0</v>
      </c>
      <c r="V26" s="243">
        <v>0</v>
      </c>
      <c r="W26" s="243">
        <v>0</v>
      </c>
      <c r="X26" s="243">
        <v>0</v>
      </c>
      <c r="Y26" s="243">
        <v>0</v>
      </c>
      <c r="Z26" s="244">
        <v>0</v>
      </c>
      <c r="AA26" s="129">
        <v>0</v>
      </c>
      <c r="AC26" s="246">
        <v>24</v>
      </c>
      <c r="AD26" s="260">
        <f t="shared" si="2"/>
        <v>19.5</v>
      </c>
      <c r="AE26" s="261">
        <f t="shared" si="33"/>
        <v>0</v>
      </c>
      <c r="AF26" s="261">
        <f t="shared" si="33"/>
        <v>0</v>
      </c>
      <c r="AG26" s="261">
        <f t="shared" si="33"/>
        <v>0.86</v>
      </c>
      <c r="AH26" s="261">
        <f t="shared" si="33"/>
        <v>1.29</v>
      </c>
      <c r="AI26" s="261">
        <f t="shared" si="33"/>
        <v>1.6</v>
      </c>
      <c r="AJ26" s="261">
        <f t="shared" si="33"/>
        <v>1.77</v>
      </c>
      <c r="AK26" s="261">
        <f t="shared" si="33"/>
        <v>1.31</v>
      </c>
      <c r="AL26" s="261">
        <f t="shared" si="33"/>
        <v>1</v>
      </c>
      <c r="AM26" s="261">
        <f t="shared" si="33"/>
        <v>1.44</v>
      </c>
      <c r="AN26" s="261">
        <f t="shared" si="33"/>
        <v>1.74</v>
      </c>
      <c r="AO26" s="261">
        <f t="shared" si="33"/>
        <v>2.79</v>
      </c>
      <c r="AP26" s="261">
        <f t="shared" si="33"/>
        <v>4.0999999999999996</v>
      </c>
      <c r="AQ26" s="261" t="str">
        <f t="shared" si="33"/>
        <v xml:space="preserve">  </v>
      </c>
      <c r="AR26" s="261" t="str">
        <f t="shared" si="33"/>
        <v xml:space="preserve">  </v>
      </c>
      <c r="AS26" s="261" t="str">
        <f t="shared" si="33"/>
        <v xml:space="preserve">  </v>
      </c>
      <c r="AT26" s="261" t="str">
        <f t="shared" si="33"/>
        <v xml:space="preserve">  </v>
      </c>
      <c r="AU26" s="261" t="str">
        <f t="shared" ref="AU26:AX27" si="36">IF(OR(AU25="  ",AT26="  "),"  ",R25)</f>
        <v xml:space="preserve">  </v>
      </c>
      <c r="AV26" s="261" t="str">
        <f t="shared" si="36"/>
        <v xml:space="preserve">  </v>
      </c>
      <c r="AW26" s="261" t="str">
        <f t="shared" si="36"/>
        <v xml:space="preserve">  </v>
      </c>
      <c r="AX26" s="261" t="str">
        <f t="shared" si="36"/>
        <v xml:space="preserve">  </v>
      </c>
      <c r="AY26" s="261" t="str">
        <f t="shared" si="35"/>
        <v xml:space="preserve">  </v>
      </c>
      <c r="AZ26" s="261" t="str">
        <f t="shared" si="35"/>
        <v xml:space="preserve">  </v>
      </c>
      <c r="BA26" s="261" t="str">
        <f t="shared" si="35"/>
        <v xml:space="preserve">  </v>
      </c>
      <c r="BB26" s="261" t="str">
        <f t="shared" si="35"/>
        <v xml:space="preserve">  </v>
      </c>
      <c r="BC26" s="261" t="str">
        <f t="shared" si="35"/>
        <v xml:space="preserve">  </v>
      </c>
      <c r="BD26" s="129">
        <v>24</v>
      </c>
      <c r="BE26" s="252" t="str">
        <v xml:space="preserve">  </v>
      </c>
      <c r="BF26" s="255" t="str">
        <v xml:space="preserve">  </v>
      </c>
      <c r="BG26" s="255" t="str">
        <v xml:space="preserve">  </v>
      </c>
      <c r="BH26" s="255" t="str">
        <v xml:space="preserve">  </v>
      </c>
      <c r="BI26" s="255" t="str">
        <v xml:space="preserve">  </v>
      </c>
      <c r="BJ26" s="255" t="str">
        <v xml:space="preserve">  </v>
      </c>
      <c r="BK26" s="255" t="str">
        <v xml:space="preserve">  </v>
      </c>
      <c r="BL26" s="255" t="str">
        <v xml:space="preserve">  </v>
      </c>
      <c r="BM26" s="255" t="str">
        <v xml:space="preserve">  </v>
      </c>
      <c r="BN26" s="255" t="str">
        <v xml:space="preserve">  </v>
      </c>
      <c r="BO26" s="255" t="str">
        <v xml:space="preserve">  </v>
      </c>
      <c r="BP26" s="255" t="str">
        <v xml:space="preserve">  </v>
      </c>
      <c r="BQ26" s="255" t="str">
        <v xml:space="preserve">  </v>
      </c>
      <c r="BR26" s="255" t="str">
        <v xml:space="preserve">  </v>
      </c>
      <c r="BS26" s="255" t="str">
        <v xml:space="preserve">  </v>
      </c>
      <c r="BT26" s="255" t="str">
        <v xml:space="preserve">  </v>
      </c>
      <c r="BU26" s="255" t="str">
        <v xml:space="preserve">  </v>
      </c>
      <c r="BV26" s="255" t="str">
        <v xml:space="preserve">  </v>
      </c>
      <c r="BW26" s="255" t="str">
        <v xml:space="preserve">  </v>
      </c>
      <c r="BX26" s="255" t="str">
        <v xml:space="preserve">  </v>
      </c>
      <c r="BY26" s="255" t="str">
        <v xml:space="preserve">  </v>
      </c>
      <c r="BZ26" s="255" t="str">
        <v xml:space="preserve">  </v>
      </c>
      <c r="CA26" s="255" t="str">
        <v xml:space="preserve">  </v>
      </c>
      <c r="CB26" s="255" t="str">
        <v xml:space="preserve">  </v>
      </c>
      <c r="CC26" s="255" t="str">
        <v xml:space="preserve">  </v>
      </c>
      <c r="CD26" s="256" t="str">
        <v xml:space="preserve">  </v>
      </c>
      <c r="CG26" s="262">
        <f t="shared" si="5"/>
        <v>18.5</v>
      </c>
      <c r="CH26" s="262">
        <f t="shared" si="6"/>
        <v>18.5</v>
      </c>
      <c r="CI26" s="262">
        <f t="shared" si="6"/>
        <v>18.5</v>
      </c>
      <c r="CJ26" s="262"/>
      <c r="CK26" s="265">
        <f t="shared" si="34"/>
        <v>18.5</v>
      </c>
      <c r="CL26" s="266">
        <f t="shared" si="7"/>
        <v>18.5</v>
      </c>
      <c r="CM26" s="266">
        <f t="shared" si="8"/>
        <v>18.501308601800631</v>
      </c>
      <c r="CN26" s="266">
        <f t="shared" si="9"/>
        <v>18.506730014101311</v>
      </c>
      <c r="CO26" s="266">
        <f t="shared" si="10"/>
        <v>18.514299164768413</v>
      </c>
      <c r="CP26" s="266">
        <f t="shared" si="11"/>
        <v>18.523209024840003</v>
      </c>
      <c r="CQ26" s="266">
        <f t="shared" si="12"/>
        <v>18.54283805184944</v>
      </c>
      <c r="CR26" s="266">
        <f t="shared" si="13"/>
        <v>18.562857576743681</v>
      </c>
      <c r="CS26" s="266">
        <f t="shared" si="14"/>
        <v>18.584204794446251</v>
      </c>
      <c r="CT26" s="266">
        <f t="shared" si="15"/>
        <v>18.600694652348412</v>
      </c>
      <c r="CU26" s="266">
        <f t="shared" si="16"/>
        <v>18.613179737498644</v>
      </c>
      <c r="CV26" s="266">
        <f t="shared" si="17"/>
        <v>18.651969194055756</v>
      </c>
      <c r="CW26" s="266">
        <f t="shared" si="18"/>
        <v>18.699605380193081</v>
      </c>
      <c r="CX26" s="266" t="e">
        <f t="shared" si="19"/>
        <v>#VALUE!</v>
      </c>
      <c r="CY26" s="266" t="e">
        <f t="shared" si="20"/>
        <v>#VALUE!</v>
      </c>
      <c r="CZ26" s="266" t="e">
        <f t="shared" si="21"/>
        <v>#VALUE!</v>
      </c>
      <c r="DA26" s="266" t="e">
        <f t="shared" si="22"/>
        <v>#VALUE!</v>
      </c>
      <c r="DB26" s="266" t="e">
        <f t="shared" si="23"/>
        <v>#VALUE!</v>
      </c>
      <c r="DC26" s="266" t="e">
        <f t="shared" si="24"/>
        <v>#VALUE!</v>
      </c>
      <c r="DD26" s="266" t="e">
        <f t="shared" si="25"/>
        <v>#VALUE!</v>
      </c>
      <c r="DE26" s="266" t="e">
        <f t="shared" si="26"/>
        <v>#VALUE!</v>
      </c>
      <c r="DF26" s="266" t="e">
        <f t="shared" si="27"/>
        <v>#VALUE!</v>
      </c>
      <c r="DG26" s="266" t="e">
        <f t="shared" si="28"/>
        <v>#VALUE!</v>
      </c>
      <c r="DH26" s="266" t="e">
        <f t="shared" si="29"/>
        <v>#VALUE!</v>
      </c>
      <c r="DI26" s="266" t="e">
        <f t="shared" si="30"/>
        <v>#VALUE!</v>
      </c>
      <c r="DJ26" s="266" t="e">
        <f t="shared" si="31"/>
        <v>#VALUE!</v>
      </c>
    </row>
    <row r="27" spans="1:114" ht="15.75" thickBot="1" x14ac:dyDescent="0.3">
      <c r="A27" s="129">
        <v>0</v>
      </c>
      <c r="B27" s="245">
        <v>0</v>
      </c>
      <c r="C27" s="245">
        <v>0</v>
      </c>
      <c r="D27" s="245">
        <v>0</v>
      </c>
      <c r="E27" s="245">
        <v>0</v>
      </c>
      <c r="F27" s="245">
        <v>0</v>
      </c>
      <c r="G27" s="245">
        <v>0</v>
      </c>
      <c r="H27" s="245">
        <v>0</v>
      </c>
      <c r="I27" s="245">
        <v>0</v>
      </c>
      <c r="J27" s="245">
        <v>0</v>
      </c>
      <c r="K27" s="245">
        <v>0</v>
      </c>
      <c r="L27" s="245">
        <v>0</v>
      </c>
      <c r="M27" s="245">
        <v>0</v>
      </c>
      <c r="N27" s="245">
        <v>0</v>
      </c>
      <c r="O27" s="245">
        <v>0</v>
      </c>
      <c r="P27" s="245">
        <v>0</v>
      </c>
      <c r="Q27" s="245">
        <v>0</v>
      </c>
      <c r="R27" s="245">
        <v>0</v>
      </c>
      <c r="S27" s="245">
        <v>0</v>
      </c>
      <c r="T27" s="245">
        <v>0</v>
      </c>
      <c r="U27" s="245">
        <v>0</v>
      </c>
      <c r="V27" s="245">
        <v>0</v>
      </c>
      <c r="W27" s="245">
        <v>0</v>
      </c>
      <c r="X27" s="245">
        <v>0</v>
      </c>
      <c r="Y27" s="245">
        <v>0</v>
      </c>
      <c r="Z27" s="245">
        <v>0</v>
      </c>
      <c r="AA27" s="129">
        <v>0</v>
      </c>
      <c r="AC27" s="246">
        <v>25</v>
      </c>
      <c r="AD27" s="260">
        <f t="shared" si="2"/>
        <v>20</v>
      </c>
      <c r="AE27" s="261">
        <f t="shared" si="33"/>
        <v>0</v>
      </c>
      <c r="AF27" s="261">
        <f t="shared" si="33"/>
        <v>0</v>
      </c>
      <c r="AG27" s="261">
        <f t="shared" si="33"/>
        <v>0</v>
      </c>
      <c r="AH27" s="261">
        <f t="shared" si="33"/>
        <v>0.76</v>
      </c>
      <c r="AI27" s="261">
        <f t="shared" si="33"/>
        <v>1.1499999999999999</v>
      </c>
      <c r="AJ27" s="261">
        <f t="shared" si="33"/>
        <v>1.45</v>
      </c>
      <c r="AK27" s="261">
        <f t="shared" si="33"/>
        <v>1.04</v>
      </c>
      <c r="AL27" s="261">
        <f t="shared" si="33"/>
        <v>0</v>
      </c>
      <c r="AM27" s="261">
        <f t="shared" si="33"/>
        <v>0</v>
      </c>
      <c r="AN27" s="261">
        <f t="shared" si="33"/>
        <v>0.25</v>
      </c>
      <c r="AO27" s="261">
        <f t="shared" si="33"/>
        <v>0.85</v>
      </c>
      <c r="AP27" s="261">
        <f t="shared" si="33"/>
        <v>1.78</v>
      </c>
      <c r="AQ27" s="261" t="str">
        <f t="shared" si="33"/>
        <v xml:space="preserve">  </v>
      </c>
      <c r="AR27" s="261" t="str">
        <f t="shared" si="33"/>
        <v xml:space="preserve">  </v>
      </c>
      <c r="AS27" s="261" t="str">
        <f t="shared" si="33"/>
        <v xml:space="preserve">  </v>
      </c>
      <c r="AT27" s="261" t="str">
        <f t="shared" si="33"/>
        <v xml:space="preserve">  </v>
      </c>
      <c r="AU27" s="261" t="str">
        <f t="shared" si="36"/>
        <v xml:space="preserve">  </v>
      </c>
      <c r="AV27" s="261" t="str">
        <f t="shared" si="36"/>
        <v xml:space="preserve">  </v>
      </c>
      <c r="AW27" s="261" t="str">
        <f t="shared" si="36"/>
        <v xml:space="preserve">  </v>
      </c>
      <c r="AX27" s="261" t="str">
        <f t="shared" si="36"/>
        <v xml:space="preserve">  </v>
      </c>
      <c r="AY27" s="261" t="str">
        <f t="shared" si="35"/>
        <v xml:space="preserve">  </v>
      </c>
      <c r="AZ27" s="261" t="str">
        <f t="shared" si="35"/>
        <v xml:space="preserve">  </v>
      </c>
      <c r="BA27" s="261" t="str">
        <f t="shared" si="35"/>
        <v xml:space="preserve">  </v>
      </c>
      <c r="BB27" s="261" t="str">
        <f t="shared" si="35"/>
        <v xml:space="preserve">  </v>
      </c>
      <c r="BC27" s="261" t="str">
        <f t="shared" si="35"/>
        <v xml:space="preserve">  </v>
      </c>
      <c r="BD27" s="129">
        <v>25</v>
      </c>
      <c r="BE27" s="257" t="str">
        <v xml:space="preserve">  </v>
      </c>
      <c r="BF27" s="258" t="str">
        <v xml:space="preserve">  </v>
      </c>
      <c r="BG27" s="258" t="str">
        <v xml:space="preserve">  </v>
      </c>
      <c r="BH27" s="258" t="str">
        <v xml:space="preserve">  </v>
      </c>
      <c r="BI27" s="258" t="str">
        <v xml:space="preserve">  </v>
      </c>
      <c r="BJ27" s="258" t="str">
        <v xml:space="preserve">  </v>
      </c>
      <c r="BK27" s="258" t="str">
        <v xml:space="preserve">  </v>
      </c>
      <c r="BL27" s="258" t="str">
        <v xml:space="preserve">  </v>
      </c>
      <c r="BM27" s="258" t="str">
        <v xml:space="preserve">  </v>
      </c>
      <c r="BN27" s="258" t="str">
        <v xml:space="preserve">  </v>
      </c>
      <c r="BO27" s="258" t="str">
        <v xml:space="preserve">  </v>
      </c>
      <c r="BP27" s="258" t="str">
        <v xml:space="preserve">  </v>
      </c>
      <c r="BQ27" s="258" t="str">
        <v xml:space="preserve">  </v>
      </c>
      <c r="BR27" s="258" t="str">
        <v xml:space="preserve">  </v>
      </c>
      <c r="BS27" s="258" t="str">
        <v xml:space="preserve">  </v>
      </c>
      <c r="BT27" s="258" t="str">
        <v xml:space="preserve">  </v>
      </c>
      <c r="BU27" s="258" t="str">
        <v xml:space="preserve">  </v>
      </c>
      <c r="BV27" s="258" t="str">
        <v xml:space="preserve">  </v>
      </c>
      <c r="BW27" s="258" t="str">
        <v xml:space="preserve">  </v>
      </c>
      <c r="BX27" s="258" t="str">
        <v xml:space="preserve">  </v>
      </c>
      <c r="BY27" s="258" t="str">
        <v xml:space="preserve">  </v>
      </c>
      <c r="BZ27" s="258" t="str">
        <v xml:space="preserve">  </v>
      </c>
      <c r="CA27" s="258" t="str">
        <v xml:space="preserve">  </v>
      </c>
      <c r="CB27" s="258" t="str">
        <v xml:space="preserve">  </v>
      </c>
      <c r="CC27" s="258" t="str">
        <v xml:space="preserve">  </v>
      </c>
      <c r="CD27" s="259" t="str">
        <v xml:space="preserve">  </v>
      </c>
      <c r="CG27" s="262">
        <f t="shared" si="5"/>
        <v>19</v>
      </c>
      <c r="CH27" s="262">
        <f t="shared" si="6"/>
        <v>19</v>
      </c>
      <c r="CI27" s="262">
        <f t="shared" si="6"/>
        <v>19</v>
      </c>
      <c r="CJ27" s="262"/>
      <c r="CK27" s="265">
        <f t="shared" si="34"/>
        <v>19</v>
      </c>
      <c r="CL27" s="266">
        <f t="shared" si="7"/>
        <v>19</v>
      </c>
      <c r="CM27" s="266">
        <f t="shared" si="8"/>
        <v>19.000333224861699</v>
      </c>
      <c r="CN27" s="266">
        <f t="shared" si="9"/>
        <v>19.004134070940449</v>
      </c>
      <c r="CO27" s="266">
        <f t="shared" si="10"/>
        <v>19.009965506020176</v>
      </c>
      <c r="CP27" s="266">
        <f t="shared" si="11"/>
        <v>19.017085584119751</v>
      </c>
      <c r="CQ27" s="266">
        <f t="shared" si="12"/>
        <v>19.033317279531403</v>
      </c>
      <c r="CR27" s="266">
        <f t="shared" si="13"/>
        <v>19.048741945981124</v>
      </c>
      <c r="CS27" s="266">
        <f t="shared" si="14"/>
        <v>19.062734786853238</v>
      </c>
      <c r="CT27" s="266">
        <f t="shared" si="15"/>
        <v>19.073735980041221</v>
      </c>
      <c r="CU27" s="266">
        <f t="shared" si="16"/>
        <v>19.082324764074194</v>
      </c>
      <c r="CV27" s="266">
        <f t="shared" si="17"/>
        <v>19.111729254799869</v>
      </c>
      <c r="CW27" s="266">
        <f t="shared" si="18"/>
        <v>19.146844126260984</v>
      </c>
      <c r="CX27" s="266" t="e">
        <f t="shared" si="19"/>
        <v>#VALUE!</v>
      </c>
      <c r="CY27" s="266" t="e">
        <f t="shared" si="20"/>
        <v>#VALUE!</v>
      </c>
      <c r="CZ27" s="266" t="e">
        <f t="shared" si="21"/>
        <v>#VALUE!</v>
      </c>
      <c r="DA27" s="266" t="e">
        <f t="shared" si="22"/>
        <v>#VALUE!</v>
      </c>
      <c r="DB27" s="266" t="e">
        <f t="shared" si="23"/>
        <v>#VALUE!</v>
      </c>
      <c r="DC27" s="266" t="e">
        <f t="shared" si="24"/>
        <v>#VALUE!</v>
      </c>
      <c r="DD27" s="266" t="e">
        <f t="shared" si="25"/>
        <v>#VALUE!</v>
      </c>
      <c r="DE27" s="266" t="e">
        <f t="shared" si="26"/>
        <v>#VALUE!</v>
      </c>
      <c r="DF27" s="266" t="e">
        <f t="shared" si="27"/>
        <v>#VALUE!</v>
      </c>
      <c r="DG27" s="266" t="e">
        <f t="shared" si="28"/>
        <v>#VALUE!</v>
      </c>
      <c r="DH27" s="266" t="e">
        <f t="shared" si="29"/>
        <v>#VALUE!</v>
      </c>
      <c r="DI27" s="266" t="e">
        <f t="shared" si="30"/>
        <v>#VALUE!</v>
      </c>
      <c r="DJ27" s="266" t="e">
        <f t="shared" si="31"/>
        <v>#VALUE!</v>
      </c>
    </row>
    <row r="28" spans="1:114" x14ac:dyDescent="0.25">
      <c r="A28" s="245" t="s">
        <v>214</v>
      </c>
      <c r="AC28" s="246"/>
      <c r="AD28" s="267"/>
      <c r="AE28" s="268">
        <v>1</v>
      </c>
      <c r="AF28" s="268">
        <v>2</v>
      </c>
      <c r="AG28" s="268">
        <v>3</v>
      </c>
      <c r="AH28" s="268">
        <v>4</v>
      </c>
      <c r="AI28" s="268">
        <v>5</v>
      </c>
      <c r="AJ28" s="268">
        <v>6</v>
      </c>
      <c r="AK28" s="268">
        <v>7</v>
      </c>
      <c r="AL28" s="268">
        <v>8</v>
      </c>
      <c r="AM28" s="268">
        <v>9</v>
      </c>
      <c r="AN28" s="268">
        <v>10</v>
      </c>
      <c r="AO28" s="268">
        <v>11</v>
      </c>
      <c r="AP28" s="268">
        <v>12</v>
      </c>
      <c r="AQ28" s="268">
        <v>13</v>
      </c>
      <c r="AR28" s="268">
        <v>14</v>
      </c>
      <c r="AS28" s="268">
        <v>15</v>
      </c>
      <c r="AT28" s="268">
        <v>16</v>
      </c>
      <c r="AU28" s="268">
        <v>17</v>
      </c>
      <c r="AV28" s="268">
        <v>18</v>
      </c>
      <c r="AW28" s="268">
        <v>19</v>
      </c>
      <c r="AX28" s="268">
        <v>20</v>
      </c>
      <c r="AY28" s="268">
        <v>21</v>
      </c>
      <c r="AZ28" s="268">
        <v>22</v>
      </c>
      <c r="BA28" s="268">
        <v>23</v>
      </c>
      <c r="BB28" s="268">
        <v>24</v>
      </c>
      <c r="BC28" s="268">
        <v>25</v>
      </c>
      <c r="CG28" s="262">
        <f t="shared" si="5"/>
        <v>19.5</v>
      </c>
      <c r="CH28" s="262">
        <f t="shared" si="6"/>
        <v>19.5</v>
      </c>
      <c r="CI28" s="262">
        <f t="shared" si="6"/>
        <v>19.5</v>
      </c>
      <c r="CJ28" s="262"/>
      <c r="CK28" s="265">
        <f t="shared" si="34"/>
        <v>19.5</v>
      </c>
      <c r="CL28" s="266">
        <f t="shared" si="7"/>
        <v>19.5</v>
      </c>
      <c r="CM28" s="266">
        <f t="shared" si="8"/>
        <v>19.5</v>
      </c>
      <c r="CN28" s="266">
        <f t="shared" si="9"/>
        <v>19.501492569693024</v>
      </c>
      <c r="CO28" s="266">
        <f t="shared" si="10"/>
        <v>19.505729471743138</v>
      </c>
      <c r="CP28" s="266">
        <f t="shared" si="11"/>
        <v>19.511411215967026</v>
      </c>
      <c r="CQ28" s="266">
        <f t="shared" si="12"/>
        <v>19.525000542358175</v>
      </c>
      <c r="CR28" s="266">
        <f t="shared" si="13"/>
        <v>19.537418375094912</v>
      </c>
      <c r="CS28" s="266">
        <f t="shared" si="14"/>
        <v>19.545853129406659</v>
      </c>
      <c r="CT28" s="266">
        <f t="shared" si="15"/>
        <v>19.551675886755614</v>
      </c>
      <c r="CU28" s="266">
        <f t="shared" si="16"/>
        <v>19.555771775680661</v>
      </c>
      <c r="CV28" s="266">
        <f t="shared" si="17"/>
        <v>19.573838811150885</v>
      </c>
      <c r="CW28" s="266">
        <f t="shared" si="18"/>
        <v>19.59760516324981</v>
      </c>
      <c r="CX28" s="266" t="e">
        <f t="shared" si="19"/>
        <v>#VALUE!</v>
      </c>
      <c r="CY28" s="266" t="e">
        <f t="shared" si="20"/>
        <v>#VALUE!</v>
      </c>
      <c r="CZ28" s="266" t="e">
        <f t="shared" si="21"/>
        <v>#VALUE!</v>
      </c>
      <c r="DA28" s="266" t="e">
        <f t="shared" si="22"/>
        <v>#VALUE!</v>
      </c>
      <c r="DB28" s="266" t="e">
        <f t="shared" si="23"/>
        <v>#VALUE!</v>
      </c>
      <c r="DC28" s="266" t="e">
        <f t="shared" si="24"/>
        <v>#VALUE!</v>
      </c>
      <c r="DD28" s="266" t="e">
        <f t="shared" si="25"/>
        <v>#VALUE!</v>
      </c>
      <c r="DE28" s="266" t="e">
        <f t="shared" si="26"/>
        <v>#VALUE!</v>
      </c>
      <c r="DF28" s="266" t="e">
        <f t="shared" si="27"/>
        <v>#VALUE!</v>
      </c>
      <c r="DG28" s="266" t="e">
        <f t="shared" si="28"/>
        <v>#VALUE!</v>
      </c>
      <c r="DH28" s="266" t="e">
        <f t="shared" si="29"/>
        <v>#VALUE!</v>
      </c>
      <c r="DI28" s="266" t="e">
        <f t="shared" si="30"/>
        <v>#VALUE!</v>
      </c>
      <c r="DJ28" s="266" t="e">
        <f t="shared" si="31"/>
        <v>#VALUE!</v>
      </c>
    </row>
    <row r="29" spans="1:114" x14ac:dyDescent="0.25">
      <c r="CG29" s="262">
        <f t="shared" si="5"/>
        <v>20</v>
      </c>
      <c r="CH29" s="262">
        <f t="shared" si="6"/>
        <v>20</v>
      </c>
      <c r="CI29" s="262">
        <f t="shared" si="6"/>
        <v>20</v>
      </c>
      <c r="CJ29" s="262"/>
      <c r="CK29" s="265">
        <f t="shared" si="34"/>
        <v>20</v>
      </c>
      <c r="CL29" s="266">
        <f t="shared" si="7"/>
        <v>20</v>
      </c>
      <c r="CM29" s="266">
        <f t="shared" si="8"/>
        <v>20</v>
      </c>
      <c r="CN29" s="266">
        <f t="shared" si="9"/>
        <v>20</v>
      </c>
      <c r="CO29" s="266">
        <f t="shared" si="10"/>
        <v>20.001154138192863</v>
      </c>
      <c r="CP29" s="266">
        <f t="shared" si="11"/>
        <v>20.004883392992731</v>
      </c>
      <c r="CQ29" s="266">
        <f t="shared" si="12"/>
        <v>20.015498427161297</v>
      </c>
      <c r="CR29" s="266">
        <f t="shared" si="13"/>
        <v>20.025683913656579</v>
      </c>
      <c r="CS29" s="266">
        <f t="shared" si="14"/>
        <v>20.028905521206205</v>
      </c>
      <c r="CT29" s="266">
        <f t="shared" si="15"/>
        <v>20.028905521206205</v>
      </c>
      <c r="CU29" s="266">
        <f t="shared" si="16"/>
        <v>20.029653975485409</v>
      </c>
      <c r="CV29" s="266">
        <f t="shared" si="17"/>
        <v>20.033949452218245</v>
      </c>
      <c r="CW29" s="266">
        <f t="shared" si="18"/>
        <v>20.043021368912029</v>
      </c>
      <c r="CX29" s="266" t="e">
        <f t="shared" si="19"/>
        <v>#VALUE!</v>
      </c>
      <c r="CY29" s="266" t="e">
        <f t="shared" si="20"/>
        <v>#VALUE!</v>
      </c>
      <c r="CZ29" s="266" t="e">
        <f t="shared" si="21"/>
        <v>#VALUE!</v>
      </c>
      <c r="DA29" s="266" t="e">
        <f t="shared" si="22"/>
        <v>#VALUE!</v>
      </c>
      <c r="DB29" s="266" t="e">
        <f t="shared" si="23"/>
        <v>#VALUE!</v>
      </c>
      <c r="DC29" s="266" t="e">
        <f t="shared" si="24"/>
        <v>#VALUE!</v>
      </c>
      <c r="DD29" s="266" t="e">
        <f t="shared" si="25"/>
        <v>#VALUE!</v>
      </c>
      <c r="DE29" s="266" t="e">
        <f t="shared" si="26"/>
        <v>#VALUE!</v>
      </c>
      <c r="DF29" s="266" t="e">
        <f t="shared" si="27"/>
        <v>#VALUE!</v>
      </c>
      <c r="DG29" s="266" t="e">
        <f t="shared" si="28"/>
        <v>#VALUE!</v>
      </c>
      <c r="DH29" s="266" t="e">
        <f t="shared" si="29"/>
        <v>#VALUE!</v>
      </c>
      <c r="DI29" s="266" t="e">
        <f t="shared" si="30"/>
        <v>#VALUE!</v>
      </c>
      <c r="DJ29" s="266" t="e">
        <f t="shared" si="31"/>
        <v>#VALUE!</v>
      </c>
    </row>
    <row r="30" spans="1:114" ht="18.75" x14ac:dyDescent="0.3">
      <c r="A30" s="269" t="s">
        <v>215</v>
      </c>
      <c r="B30" s="270"/>
      <c r="C30" s="271"/>
      <c r="E30" s="272" t="s">
        <v>216</v>
      </c>
      <c r="F30" s="270"/>
      <c r="G30" s="270"/>
      <c r="H30" s="271"/>
      <c r="L30" s="273" t="s">
        <v>217</v>
      </c>
      <c r="M30" s="270"/>
      <c r="N30" s="271"/>
      <c r="T30" s="131" t="s">
        <v>218</v>
      </c>
      <c r="CG30" s="262"/>
      <c r="CH30" s="262"/>
      <c r="CI30" s="262"/>
      <c r="CJ30" s="262"/>
      <c r="CK30" s="265">
        <f t="shared" ref="CK30:CK54" si="37">A70</f>
        <v>0</v>
      </c>
      <c r="CL30" s="266">
        <f t="shared" ref="CL30:CL38" si="38">$CK30+AC70/$N$32/STN_GAP</f>
        <v>0</v>
      </c>
      <c r="CM30" s="266">
        <f t="shared" ref="CM30:CM38" si="39">$CK30+AD70/$N$32/STN_GAP</f>
        <v>0</v>
      </c>
      <c r="CN30" s="266">
        <f t="shared" ref="CN30:CN38" si="40">$CK30+AE70/$N$32/STN_GAP</f>
        <v>0</v>
      </c>
      <c r="CO30" s="266">
        <f t="shared" ref="CO30:CO38" si="41">$CK30+AF70/$N$32/STN_GAP</f>
        <v>0</v>
      </c>
      <c r="CP30" s="266">
        <f t="shared" ref="CP30:CP38" si="42">$CK30+AG70/$N$32/STN_GAP</f>
        <v>0</v>
      </c>
      <c r="CQ30" s="266">
        <f t="shared" ref="CQ30:CQ38" si="43">$CK30+AH70/$N$32/STN_GAP</f>
        <v>0</v>
      </c>
      <c r="CR30" s="266">
        <f t="shared" ref="CR30:CR38" si="44">$CK30+AI70/$N$32/STN_GAP</f>
        <v>0</v>
      </c>
      <c r="CS30" s="266">
        <f t="shared" ref="CS30:CS38" si="45">$CK30+AJ70/$N$32/STN_GAP</f>
        <v>0</v>
      </c>
      <c r="CT30" s="266">
        <f t="shared" ref="CT30:CT38" si="46">$CK30+AK70/$N$32/STN_GAP</f>
        <v>1.7625755504935398E-3</v>
      </c>
      <c r="CU30" s="266">
        <f t="shared" ref="CU30:CU38" si="47">$CK30+AL70/$N$32/STN_GAP</f>
        <v>2.204446874209063E-2</v>
      </c>
      <c r="CV30" s="266">
        <f t="shared" ref="CV30:CV38" si="48">$CK30+AM70/$N$32/STN_GAP</f>
        <v>0.12366451430017722</v>
      </c>
      <c r="CW30" s="266">
        <f t="shared" ref="CW30:CW38" si="49">$CK30+AN70/$N$32/STN_GAP</f>
        <v>0.25637236122500634</v>
      </c>
      <c r="CX30" s="266" t="e">
        <f t="shared" ref="CX30:CX38" si="50">$CK30+AO70/$N$32/STN_GAP</f>
        <v>#VALUE!</v>
      </c>
      <c r="CY30" s="266" t="e">
        <f t="shared" ref="CY30:CY38" si="51">$CK30+AP70/$N$32/STN_GAP</f>
        <v>#VALUE!</v>
      </c>
      <c r="CZ30" s="266" t="e">
        <f t="shared" ref="CZ30:CZ38" si="52">$CK30+AQ70/$N$32/STN_GAP</f>
        <v>#VALUE!</v>
      </c>
      <c r="DA30" s="266" t="e">
        <f t="shared" ref="DA30:DA38" si="53">$CK30+AR70/$N$32/STN_GAP</f>
        <v>#VALUE!</v>
      </c>
      <c r="DB30" s="266" t="e">
        <f t="shared" ref="DB30:DB38" si="54">$CK30+AS70/$N$32/STN_GAP</f>
        <v>#VALUE!</v>
      </c>
      <c r="DC30" s="266" t="e">
        <f t="shared" ref="DC30:DC38" si="55">$CK30+AT70/$N$32/STN_GAP</f>
        <v>#VALUE!</v>
      </c>
      <c r="DD30" s="266" t="e">
        <f t="shared" ref="DD30:DD38" si="56">$CK30+AU70/$N$32/STN_GAP</f>
        <v>#VALUE!</v>
      </c>
      <c r="DE30" s="266" t="e">
        <f t="shared" ref="DE30:DE38" si="57">$CK30+AV70/$N$32/STN_GAP</f>
        <v>#VALUE!</v>
      </c>
      <c r="DF30" s="266" t="e">
        <f t="shared" ref="DF30:DF38" si="58">$CK30+AW70/$N$32/STN_GAP</f>
        <v>#VALUE!</v>
      </c>
      <c r="DG30" s="266" t="e">
        <f t="shared" ref="DG30:DG38" si="59">$CK30+AX70/$N$32/STN_GAP</f>
        <v>#VALUE!</v>
      </c>
      <c r="DH30" s="266" t="e">
        <f t="shared" ref="DH30:DH38" si="60">$CK30+AY70/$N$32/STN_GAP</f>
        <v>#VALUE!</v>
      </c>
      <c r="DI30" s="266" t="e">
        <f t="shared" ref="DI30:DI38" si="61">$CK30+AZ70/$N$32/STN_GAP</f>
        <v>#VALUE!</v>
      </c>
      <c r="DJ30" s="266" t="e">
        <f t="shared" ref="DJ30:DJ38" si="62">$CK30+BA70/$N$32/STN_GAP</f>
        <v>#VALUE!</v>
      </c>
    </row>
    <row r="31" spans="1:114" x14ac:dyDescent="0.25">
      <c r="A31" s="274" t="s">
        <v>219</v>
      </c>
      <c r="B31" s="275" t="str">
        <f>IF(COUNTA(Offset!R2:AQ27)&lt;=1,"Offset","")</f>
        <v/>
      </c>
      <c r="C31" s="276"/>
      <c r="E31" s="274" t="s">
        <v>220</v>
      </c>
      <c r="F31" s="277" t="str">
        <f>IF(ISNUMBER(Tools!V),"",Tools!E31)</f>
        <v/>
      </c>
      <c r="G31" s="277">
        <f>IF(ISNUMBER(Tools!V),1,0)</f>
        <v>1</v>
      </c>
      <c r="H31" s="276"/>
      <c r="L31" s="274">
        <f>MAX(Area!P3:AN27)/STN_GAP/(100-CAD!M4)*100</f>
        <v>60.92080932600831</v>
      </c>
      <c r="M31" s="277">
        <f>L31/(10^(INT(LOG(L31))-1))</f>
        <v>60.92080932600831</v>
      </c>
      <c r="N31" s="278">
        <f>(IF(M31=0,"zero area",IF(AND(M31&gt;8,M31&lt;=10),10,IF(AND(M31&gt;0,M31&lt;=10),ROUNDUP(M31,0),IF(M31&gt;80,100,IF(M31&gt;70,80,IF(M31&gt;60,70,IF(M31&gt;50,60,IF(M31&gt;40,50,IF(M31&gt;30,40,IF(M31&gt;25,30,IF(M31&gt;20,25,IF(M31&gt;15,20,IF(M31&gt;10,15," "))))))))))))))*10^(INT(LOG10(L31))-1)</f>
        <v>70</v>
      </c>
      <c r="T31" s="279" t="b">
        <f t="shared" ref="T31:Y31" si="63">IFERROR(IF(VLOOKUP(MAX($AD$3:$AD$27),OFFSET_A,AE28+2,FALSE)-VLOOKUP(MAX($AD$3:$AD$27),OFFSET_A,AE28+1,FALSE)&lt;0,TRUE,FALSE),FALSE)</f>
        <v>0</v>
      </c>
      <c r="U31" s="270" t="b">
        <f t="shared" si="63"/>
        <v>0</v>
      </c>
      <c r="V31" s="270" t="b">
        <f t="shared" si="63"/>
        <v>0</v>
      </c>
      <c r="W31" s="270" t="b">
        <f t="shared" si="63"/>
        <v>0</v>
      </c>
      <c r="X31" s="270" t="b">
        <f t="shared" si="63"/>
        <v>0</v>
      </c>
      <c r="Y31" s="271" t="b">
        <f t="shared" si="63"/>
        <v>1</v>
      </c>
      <c r="AR31" s="129" t="str">
        <f>VLOOKUP(MAX($AD$3:$AD$27),OFFSET_A,BC28+1,FALSE)</f>
        <v xml:space="preserve">  </v>
      </c>
      <c r="CG31" s="262" t="s">
        <v>135</v>
      </c>
      <c r="CH31" s="262">
        <v>0</v>
      </c>
      <c r="CI31" s="262">
        <f>MAX(Offset!$R$3:$R$27)</f>
        <v>20</v>
      </c>
      <c r="CJ31" s="262"/>
      <c r="CK31" s="265">
        <f t="shared" si="37"/>
        <v>0.5</v>
      </c>
      <c r="CL31" s="266">
        <f t="shared" si="38"/>
        <v>0.5</v>
      </c>
      <c r="CM31" s="266">
        <f t="shared" si="39"/>
        <v>0.5</v>
      </c>
      <c r="CN31" s="266">
        <f t="shared" si="40"/>
        <v>0.5</v>
      </c>
      <c r="CO31" s="266">
        <f t="shared" si="41"/>
        <v>0.5</v>
      </c>
      <c r="CP31" s="266">
        <f t="shared" si="42"/>
        <v>0.5</v>
      </c>
      <c r="CQ31" s="266">
        <f t="shared" si="43"/>
        <v>0.5</v>
      </c>
      <c r="CR31" s="266">
        <f t="shared" si="44"/>
        <v>0.5</v>
      </c>
      <c r="CS31" s="266">
        <f t="shared" si="45"/>
        <v>0.50032680334092638</v>
      </c>
      <c r="CT31" s="266">
        <f t="shared" si="46"/>
        <v>0.52619448240951661</v>
      </c>
      <c r="CU31" s="266">
        <f t="shared" si="47"/>
        <v>0.55839176917236144</v>
      </c>
      <c r="CV31" s="266">
        <f t="shared" si="48"/>
        <v>0.68628033409263489</v>
      </c>
      <c r="CW31" s="266">
        <f t="shared" si="49"/>
        <v>0.82967496097190585</v>
      </c>
      <c r="CX31" s="266" t="e">
        <f t="shared" si="50"/>
        <v>#VALUE!</v>
      </c>
      <c r="CY31" s="266" t="e">
        <f t="shared" si="51"/>
        <v>#VALUE!</v>
      </c>
      <c r="CZ31" s="266" t="e">
        <f t="shared" si="52"/>
        <v>#VALUE!</v>
      </c>
      <c r="DA31" s="266" t="e">
        <f t="shared" si="53"/>
        <v>#VALUE!</v>
      </c>
      <c r="DB31" s="266" t="e">
        <f t="shared" si="54"/>
        <v>#VALUE!</v>
      </c>
      <c r="DC31" s="266" t="e">
        <f t="shared" si="55"/>
        <v>#VALUE!</v>
      </c>
      <c r="DD31" s="266" t="e">
        <f t="shared" si="56"/>
        <v>#VALUE!</v>
      </c>
      <c r="DE31" s="266" t="e">
        <f t="shared" si="57"/>
        <v>#VALUE!</v>
      </c>
      <c r="DF31" s="266" t="e">
        <f t="shared" si="58"/>
        <v>#VALUE!</v>
      </c>
      <c r="DG31" s="266" t="e">
        <f t="shared" si="59"/>
        <v>#VALUE!</v>
      </c>
      <c r="DH31" s="266" t="e">
        <f t="shared" si="60"/>
        <v>#VALUE!</v>
      </c>
      <c r="DI31" s="266" t="e">
        <f t="shared" si="61"/>
        <v>#VALUE!</v>
      </c>
      <c r="DJ31" s="266" t="e">
        <f t="shared" si="62"/>
        <v>#VALUE!</v>
      </c>
    </row>
    <row r="32" spans="1:114" x14ac:dyDescent="0.25">
      <c r="A32" s="274" t="s">
        <v>221</v>
      </c>
      <c r="B32" s="280" t="str">
        <f>IF(ISNUMBER(VLOOKUP(B42,Main_Particulars,3,FALSE)),"",A32)</f>
        <v/>
      </c>
      <c r="C32" s="276"/>
      <c r="E32" s="274" t="s">
        <v>222</v>
      </c>
      <c r="F32" s="277" t="str">
        <f>IF(ISNUMBER(Tools!h),"",Tools!E32)</f>
        <v/>
      </c>
      <c r="G32" s="277">
        <f>IF(ISNUMBER(Tools!h),1,0)</f>
        <v>1</v>
      </c>
      <c r="H32" s="276"/>
      <c r="L32" s="281">
        <f>MAX(Moment!P3:AN27)/STN_GAP/(100-CAD!R4)*100</f>
        <v>439.8551118853008</v>
      </c>
      <c r="M32" s="282">
        <f>L32/(10^(INT(LOG(L32))-1))</f>
        <v>43.985511188530083</v>
      </c>
      <c r="N32" s="283">
        <f>(IF(M32=0,"zero area",IF(AND(M32&gt;8,M32&lt;=10),10,IF(AND(M32&gt;0,M32&lt;=10),ROUNDUP(M32,0),IF(M32&gt;80,100,IF(M32&gt;70,80,IF(M32&gt;60,70,IF(M32&gt;50,60,IF(M32&gt;40,50,IF(M32&gt;30,40,IF(M32&gt;25,30,IF(M32&gt;20,25,IF(M32&gt;15,20,IF(M32&gt;10,15," "))))))))))))))*10^(INT(LOG10(L32))-1)</f>
        <v>500</v>
      </c>
      <c r="T32" s="274" t="b">
        <f t="shared" ref="T32:Y32" si="64">IFERROR(IF(VLOOKUP(MAX($AD$3:$AD$27),OFFSET_A,AK28+2,FALSE)-VLOOKUP(MAX($AD$3:$AD$27),OFFSET_A,AK28+1,FALSE)&lt;0,TRUE,FALSE),FALSE)</f>
        <v>1</v>
      </c>
      <c r="U32" s="277" t="b">
        <f t="shared" si="64"/>
        <v>0</v>
      </c>
      <c r="V32" s="277" t="b">
        <f t="shared" si="64"/>
        <v>0</v>
      </c>
      <c r="W32" s="277" t="b">
        <f t="shared" si="64"/>
        <v>0</v>
      </c>
      <c r="X32" s="277" t="b">
        <f t="shared" si="64"/>
        <v>0</v>
      </c>
      <c r="Y32" s="276" t="b">
        <f t="shared" si="64"/>
        <v>0</v>
      </c>
      <c r="CG32" s="262"/>
      <c r="CH32" s="262">
        <f>DEPTH/WLS</f>
        <v>7.8833333333333329</v>
      </c>
      <c r="CI32" s="262">
        <f>CH32</f>
        <v>7.8833333333333329</v>
      </c>
      <c r="CJ32" s="262"/>
      <c r="CK32" s="265">
        <f t="shared" si="37"/>
        <v>1</v>
      </c>
      <c r="CL32" s="266">
        <f t="shared" si="38"/>
        <v>1</v>
      </c>
      <c r="CM32" s="266">
        <f t="shared" si="39"/>
        <v>1</v>
      </c>
      <c r="CN32" s="266">
        <f t="shared" si="40"/>
        <v>1</v>
      </c>
      <c r="CO32" s="266">
        <f t="shared" si="41"/>
        <v>1</v>
      </c>
      <c r="CP32" s="266">
        <f t="shared" si="42"/>
        <v>1</v>
      </c>
      <c r="CQ32" s="266">
        <f t="shared" si="43"/>
        <v>1</v>
      </c>
      <c r="CR32" s="266">
        <f t="shared" si="44"/>
        <v>1</v>
      </c>
      <c r="CS32" s="266">
        <f t="shared" si="45"/>
        <v>1.0191825056947608</v>
      </c>
      <c r="CT32" s="266">
        <f t="shared" si="46"/>
        <v>1.0669501797013414</v>
      </c>
      <c r="CU32" s="266">
        <f t="shared" si="47"/>
        <v>1.1081845102505694</v>
      </c>
      <c r="CV32" s="266">
        <f t="shared" si="48"/>
        <v>1.2462170387243736</v>
      </c>
      <c r="CW32" s="266">
        <f t="shared" si="49"/>
        <v>1.3965568628701595</v>
      </c>
      <c r="CX32" s="266" t="e">
        <f t="shared" si="50"/>
        <v>#VALUE!</v>
      </c>
      <c r="CY32" s="266" t="e">
        <f t="shared" si="51"/>
        <v>#VALUE!</v>
      </c>
      <c r="CZ32" s="266" t="e">
        <f t="shared" si="52"/>
        <v>#VALUE!</v>
      </c>
      <c r="DA32" s="266" t="e">
        <f t="shared" si="53"/>
        <v>#VALUE!</v>
      </c>
      <c r="DB32" s="266" t="e">
        <f t="shared" si="54"/>
        <v>#VALUE!</v>
      </c>
      <c r="DC32" s="266" t="e">
        <f t="shared" si="55"/>
        <v>#VALUE!</v>
      </c>
      <c r="DD32" s="266" t="e">
        <f t="shared" si="56"/>
        <v>#VALUE!</v>
      </c>
      <c r="DE32" s="266" t="e">
        <f t="shared" si="57"/>
        <v>#VALUE!</v>
      </c>
      <c r="DF32" s="266" t="e">
        <f t="shared" si="58"/>
        <v>#VALUE!</v>
      </c>
      <c r="DG32" s="266" t="e">
        <f t="shared" si="59"/>
        <v>#VALUE!</v>
      </c>
      <c r="DH32" s="266" t="e">
        <f t="shared" si="60"/>
        <v>#VALUE!</v>
      </c>
      <c r="DI32" s="266" t="e">
        <f t="shared" si="61"/>
        <v>#VALUE!</v>
      </c>
      <c r="DJ32" s="266" t="e">
        <f t="shared" si="62"/>
        <v>#VALUE!</v>
      </c>
    </row>
    <row r="33" spans="1:114" x14ac:dyDescent="0.25">
      <c r="A33" s="274" t="s">
        <v>223</v>
      </c>
      <c r="B33" s="280" t="str">
        <f>IF(ISNUMBER(VLOOKUP(B43,Main_Particulars,3,FALSE)),"",A33)</f>
        <v/>
      </c>
      <c r="C33" s="276"/>
      <c r="E33" s="274"/>
      <c r="F33" s="277"/>
      <c r="G33" s="277"/>
      <c r="H33" s="276"/>
      <c r="T33" s="274" t="b">
        <f t="shared" ref="T33:Y33" si="65">IFERROR(IF(VLOOKUP(MAX($AD$3:$AD$27),OFFSET_A,AQ28+2,FALSE)-VLOOKUP(MAX($AD$3:$AD$27),OFFSET_A,AQ28+1,FALSE)&lt;0,TRUE,FALSE),FALSE)</f>
        <v>0</v>
      </c>
      <c r="U33" s="277" t="b">
        <f t="shared" si="65"/>
        <v>0</v>
      </c>
      <c r="V33" s="277" t="b">
        <f t="shared" si="65"/>
        <v>0</v>
      </c>
      <c r="W33" s="277" t="b">
        <f t="shared" si="65"/>
        <v>0</v>
      </c>
      <c r="X33" s="277" t="b">
        <f t="shared" si="65"/>
        <v>0</v>
      </c>
      <c r="Y33" s="276" t="b">
        <f t="shared" si="65"/>
        <v>0</v>
      </c>
      <c r="AR33" s="277"/>
      <c r="AS33" s="277"/>
      <c r="AT33" s="277"/>
      <c r="AU33" s="277"/>
      <c r="AV33" s="277"/>
      <c r="AW33" s="277"/>
      <c r="AX33" s="277"/>
      <c r="AY33" s="277"/>
      <c r="AZ33" s="277"/>
      <c r="BA33" s="277"/>
      <c r="BB33" s="277"/>
      <c r="BC33" s="277"/>
      <c r="BD33" s="277"/>
      <c r="BE33" s="277"/>
      <c r="BF33" s="277"/>
      <c r="BG33" s="277"/>
      <c r="BH33" s="277"/>
      <c r="BI33" s="277"/>
      <c r="BJ33" s="277"/>
      <c r="BK33" s="277"/>
      <c r="BL33" s="277"/>
      <c r="BM33" s="277"/>
      <c r="BN33" s="277"/>
      <c r="BO33" s="277"/>
      <c r="BP33" s="277"/>
      <c r="BQ33" s="277"/>
      <c r="BR33" s="277"/>
      <c r="BS33" s="277"/>
      <c r="BT33" s="277"/>
      <c r="BU33" s="277"/>
      <c r="BV33" s="277"/>
      <c r="BW33" s="277"/>
      <c r="BX33" s="277"/>
      <c r="BY33" s="277"/>
      <c r="BZ33" s="277"/>
      <c r="CA33" s="277"/>
      <c r="CB33" s="277"/>
      <c r="CC33" s="277"/>
      <c r="CD33" s="277"/>
      <c r="CG33" s="262"/>
      <c r="CH33" s="262"/>
      <c r="CI33" s="262"/>
      <c r="CJ33" s="262"/>
      <c r="CK33" s="265">
        <f t="shared" si="37"/>
        <v>1.5</v>
      </c>
      <c r="CL33" s="266">
        <f t="shared" si="38"/>
        <v>1.5</v>
      </c>
      <c r="CM33" s="266">
        <f t="shared" si="39"/>
        <v>1.5</v>
      </c>
      <c r="CN33" s="266">
        <f t="shared" si="40"/>
        <v>1.5</v>
      </c>
      <c r="CO33" s="266">
        <f t="shared" si="41"/>
        <v>1.5002232346241458</v>
      </c>
      <c r="CP33" s="266">
        <f t="shared" si="42"/>
        <v>1.5011826879271071</v>
      </c>
      <c r="CQ33" s="266">
        <f t="shared" si="43"/>
        <v>1.5056519362186789</v>
      </c>
      <c r="CR33" s="266">
        <f t="shared" si="44"/>
        <v>1.5178460136674259</v>
      </c>
      <c r="CS33" s="266">
        <f t="shared" si="45"/>
        <v>1.5612510250569476</v>
      </c>
      <c r="CT33" s="266">
        <f t="shared" si="46"/>
        <v>1.6209804403948367</v>
      </c>
      <c r="CU33" s="266">
        <f t="shared" si="47"/>
        <v>1.6787586332574032</v>
      </c>
      <c r="CV33" s="266">
        <f t="shared" si="48"/>
        <v>1.8130771753986332</v>
      </c>
      <c r="CW33" s="266">
        <f t="shared" si="49"/>
        <v>1.9675262259681092</v>
      </c>
      <c r="CX33" s="266" t="e">
        <f t="shared" si="50"/>
        <v>#VALUE!</v>
      </c>
      <c r="CY33" s="266" t="e">
        <f t="shared" si="51"/>
        <v>#VALUE!</v>
      </c>
      <c r="CZ33" s="266" t="e">
        <f t="shared" si="52"/>
        <v>#VALUE!</v>
      </c>
      <c r="DA33" s="266" t="e">
        <f t="shared" si="53"/>
        <v>#VALUE!</v>
      </c>
      <c r="DB33" s="266" t="e">
        <f t="shared" si="54"/>
        <v>#VALUE!</v>
      </c>
      <c r="DC33" s="266" t="e">
        <f t="shared" si="55"/>
        <v>#VALUE!</v>
      </c>
      <c r="DD33" s="266" t="e">
        <f t="shared" si="56"/>
        <v>#VALUE!</v>
      </c>
      <c r="DE33" s="266" t="e">
        <f t="shared" si="57"/>
        <v>#VALUE!</v>
      </c>
      <c r="DF33" s="266" t="e">
        <f t="shared" si="58"/>
        <v>#VALUE!</v>
      </c>
      <c r="DG33" s="266" t="e">
        <f t="shared" si="59"/>
        <v>#VALUE!</v>
      </c>
      <c r="DH33" s="266" t="e">
        <f t="shared" si="60"/>
        <v>#VALUE!</v>
      </c>
      <c r="DI33" s="266" t="e">
        <f t="shared" si="61"/>
        <v>#VALUE!</v>
      </c>
      <c r="DJ33" s="266" t="e">
        <f t="shared" si="62"/>
        <v>#VALUE!</v>
      </c>
    </row>
    <row r="34" spans="1:114" x14ac:dyDescent="0.25">
      <c r="A34" s="274" t="s">
        <v>224</v>
      </c>
      <c r="B34" s="280" t="str">
        <f>IF(ISNUMBER(VLOOKUP(B44,Main_Particulars,3,FALSE)),"",A34)</f>
        <v/>
      </c>
      <c r="C34" s="276"/>
      <c r="E34" s="281"/>
      <c r="F34" s="284" t="s">
        <v>225</v>
      </c>
      <c r="G34" s="285" t="str">
        <f>IF(G31+G32=2,"",IF(G31+G32=1,CONCATENATE("Enter ",F31,F32),IF(G31+G32=0,CONCATENATE("Enter ",E31," and ",E32),"")))</f>
        <v/>
      </c>
      <c r="H34" s="286" t="str">
        <f>IF(ISNUMBER(AMID),"","Midship area not available")</f>
        <v/>
      </c>
      <c r="L34" s="273" t="s">
        <v>226</v>
      </c>
      <c r="M34" s="270"/>
      <c r="N34" s="270"/>
      <c r="O34" s="270"/>
      <c r="P34" s="270"/>
      <c r="Q34" s="270"/>
      <c r="R34" s="271"/>
      <c r="T34" s="274" t="b">
        <f t="shared" ref="T34:Y34" si="66">IFERROR(IF(VLOOKUP(MAX($AD$3:$AD$27),OFFSET_A,AW28+2,FALSE)-VLOOKUP(MAX($AD$3:$AD$27),OFFSET_A,AW28+1,FALSE)&lt;0,TRUE,FALSE),FALSE)</f>
        <v>0</v>
      </c>
      <c r="U34" s="277" t="b">
        <f t="shared" si="66"/>
        <v>0</v>
      </c>
      <c r="V34" s="277" t="b">
        <f t="shared" si="66"/>
        <v>0</v>
      </c>
      <c r="W34" s="277" t="b">
        <f t="shared" si="66"/>
        <v>0</v>
      </c>
      <c r="X34" s="277" t="b">
        <f t="shared" si="66"/>
        <v>0</v>
      </c>
      <c r="Y34" s="276" t="b">
        <f t="shared" si="66"/>
        <v>0</v>
      </c>
      <c r="AR34" s="279"/>
      <c r="AS34" s="270"/>
      <c r="AT34" s="270"/>
      <c r="AU34" s="270"/>
      <c r="AV34" s="270"/>
      <c r="AW34" s="270"/>
      <c r="AX34" s="270"/>
      <c r="AY34" s="270"/>
      <c r="AZ34" s="264"/>
      <c r="BA34" s="287" t="s">
        <v>227</v>
      </c>
      <c r="BB34" s="264"/>
      <c r="BC34" s="264"/>
      <c r="BD34" s="264"/>
      <c r="BE34" s="264"/>
      <c r="BF34" s="264"/>
      <c r="BG34" s="270"/>
      <c r="BH34" s="270"/>
      <c r="BI34" s="270"/>
      <c r="BJ34" s="270"/>
      <c r="BK34" s="270"/>
      <c r="BL34" s="270"/>
      <c r="BM34" s="270"/>
      <c r="BN34" s="270"/>
      <c r="BO34" s="270"/>
      <c r="BP34" s="270"/>
      <c r="BQ34" s="270"/>
      <c r="BR34" s="270"/>
      <c r="BS34" s="270"/>
      <c r="BT34" s="270"/>
      <c r="BU34" s="270"/>
      <c r="BV34" s="270"/>
      <c r="BW34" s="270"/>
      <c r="BX34" s="270"/>
      <c r="BY34" s="270"/>
      <c r="BZ34" s="270"/>
      <c r="CA34" s="270"/>
      <c r="CB34" s="270"/>
      <c r="CC34" s="270"/>
      <c r="CD34" s="288"/>
      <c r="CG34" s="262" t="s">
        <v>134</v>
      </c>
      <c r="CH34" s="262">
        <v>0</v>
      </c>
      <c r="CI34" s="262">
        <f>MAX(Offset!$R$3:$R$27)</f>
        <v>20</v>
      </c>
      <c r="CJ34" s="262"/>
      <c r="CK34" s="265">
        <f t="shared" si="37"/>
        <v>2</v>
      </c>
      <c r="CL34" s="266">
        <f t="shared" si="38"/>
        <v>2</v>
      </c>
      <c r="CM34" s="266">
        <f t="shared" si="39"/>
        <v>2.0000316719817768</v>
      </c>
      <c r="CN34" s="266">
        <f t="shared" si="40"/>
        <v>2.0006003735763098</v>
      </c>
      <c r="CO34" s="266">
        <f t="shared" si="41"/>
        <v>2.0021998724373575</v>
      </c>
      <c r="CP34" s="266">
        <f t="shared" si="42"/>
        <v>2.0050089384965832</v>
      </c>
      <c r="CQ34" s="266">
        <f t="shared" si="43"/>
        <v>2.0155186423690203</v>
      </c>
      <c r="CR34" s="266">
        <f t="shared" si="44"/>
        <v>2.0429278451025059</v>
      </c>
      <c r="CS34" s="266">
        <f t="shared" si="45"/>
        <v>2.1110375489749429</v>
      </c>
      <c r="CT34" s="266">
        <f t="shared" si="46"/>
        <v>2.1774629602632247</v>
      </c>
      <c r="CU34" s="266">
        <f t="shared" si="47"/>
        <v>2.2318925831435079</v>
      </c>
      <c r="CV34" s="266">
        <f t="shared" si="48"/>
        <v>2.3771652938496581</v>
      </c>
      <c r="CW34" s="266">
        <f t="shared" si="49"/>
        <v>2.5337323644646923</v>
      </c>
      <c r="CX34" s="266" t="e">
        <f t="shared" si="50"/>
        <v>#VALUE!</v>
      </c>
      <c r="CY34" s="266" t="e">
        <f t="shared" si="51"/>
        <v>#VALUE!</v>
      </c>
      <c r="CZ34" s="266" t="e">
        <f t="shared" si="52"/>
        <v>#VALUE!</v>
      </c>
      <c r="DA34" s="266" t="e">
        <f t="shared" si="53"/>
        <v>#VALUE!</v>
      </c>
      <c r="DB34" s="266" t="e">
        <f t="shared" si="54"/>
        <v>#VALUE!</v>
      </c>
      <c r="DC34" s="266" t="e">
        <f t="shared" si="55"/>
        <v>#VALUE!</v>
      </c>
      <c r="DD34" s="266" t="e">
        <f t="shared" si="56"/>
        <v>#VALUE!</v>
      </c>
      <c r="DE34" s="266" t="e">
        <f t="shared" si="57"/>
        <v>#VALUE!</v>
      </c>
      <c r="DF34" s="266" t="e">
        <f t="shared" si="58"/>
        <v>#VALUE!</v>
      </c>
      <c r="DG34" s="266" t="e">
        <f t="shared" si="59"/>
        <v>#VALUE!</v>
      </c>
      <c r="DH34" s="266" t="e">
        <f t="shared" si="60"/>
        <v>#VALUE!</v>
      </c>
      <c r="DI34" s="266" t="e">
        <f t="shared" si="61"/>
        <v>#VALUE!</v>
      </c>
      <c r="DJ34" s="266" t="e">
        <f t="shared" si="62"/>
        <v>#VALUE!</v>
      </c>
    </row>
    <row r="35" spans="1:114" x14ac:dyDescent="0.25">
      <c r="A35" s="274" t="s">
        <v>228</v>
      </c>
      <c r="B35" s="280" t="str">
        <f>IF(ISNUMBER(VLOOKUP(B45,Main_Particulars,3,FALSE)),"",A35)</f>
        <v/>
      </c>
      <c r="C35" s="276"/>
      <c r="L35" s="80" t="str">
        <f>CONCATENATE(Tools!AT39,Tools!AT40,Tools!AT41,Tools!AT42,Tools!AT43,Tools!AT44,Tools!AT45,Tools!AT46,Tools!AT47,Tools!AT48,Tools!AT49,Tools!AT50,Tools!AT51,Tools!AT52,Tools!AT53,Tools!AT54,Tools!AT55,Tools!AT56,Tools!AT57,Tools!AT58,Tools!AT59,Tools!AT60,Tools!AT61,Tools!AT62,Tools!AT63)</f>
        <v xml:space="preserve">Line 0,0 0,14.19  Line 3.2925,0 3.2925,14.19  Line 6.585,0 6.585,14.19  Line 9.8775,0 9.8775,14.19  Line 13.17,0 13.17,14.19  Line 19.755,0 19.755,14.19  Line 26.34,0 26.34,14.19  Line 32.925,0 32.925,14.19  Line 39.51,0 39.51,14.19  Line 46.095,0 46.095,14.19  Line 52.68,0 52.68,14.19  Line 59.265,0 59.265,14.19  Line 65.85,0 65.85,14.19  Line 72.435,0 72.435,14.19  Line 79.02,0 79.02,14.19  Line 85.605,0 85.605,14.19  Line 92.19,0 92.19,14.19  Line 98.775,0 98.775,14.19  Line 105.36,0 105.36,14.19  Line 111.945,0 111.945,14.19  Line 118.53,0 118.53,14.19  Line 121.8225,0 121.8225,14.19  Line 125.115,0 125.115,14.19  Line 128.4075,0 128.4075,14.19  Line 131.7,0 131.7,14.19  </v>
      </c>
      <c r="M35" s="81" t="str">
        <f>CONCATENATE(Tools!AX39,Tools!AX40,Tools!AX41,Tools!AX42,Tools!AX43,Tools!AX44,Tools!AX45,Tools!AX46,Tools!AX47,Tools!AX48,Tools!AX49,Tools!AX50,Tools!AX51,Tools!AX52,Tools!AX53,Tools!AX54,Tools!AX55,Tools!AX56,Tools!AX57,Tools!AX58,Tools!AX59,Tools!AX60,Tools!AX61,Tools!AX62,Tools!AX63)</f>
        <v xml:space="preserve">Line 0,0 131.7,0  Line 0,0.9 131.7,0.9  Line 0,1.8 131.7,1.8  Line 0,2.7 131.7,2.7  Line 0,3.6 131.7,3.6  Line 0,5.4 131.7,5.4  Line 0,7.2 131.7,7.2  Line 0,9 131.7,9  Line 0,10.1 131.7,10.1  Line 0,10.8 131.7,10.8  Line 0,12.6 131.7,12.6  Line 0,14.19 131.7,14.19  </v>
      </c>
      <c r="N35" s="81" t="str">
        <f>CONCATENATE(Tools!BB39,Tools!BB40,Tools!BB41,Tools!BB42,Tools!BB43,Tools!BB44,Tools!BB45,Tools!BB46,Tools!BB47,Tools!BB48,Tools!BB49,Tools!BB50,Tools!BB51,Tools!BB52,Tools!BB53,Tools!BB54,Tools!BB55,Tools!BB56,Tools!BB57,Tools!BB58,Tools!BB59,Tools!BB60,Tools!BB61,Tools!BB62,Tools!BB63)</f>
        <v xml:space="preserve">Line 0,-14.615 131.7,-14.615  Line 0,-10.532 131.7,-10.532  Line 0,-6.448 131.7,-6.448  </v>
      </c>
      <c r="O35" s="81" t="str">
        <f>CONCATENATE(Tools!BF39,Tools!BF40,Tools!BF41,Tools!BF42,Tools!BF43,Tools!BF44,Tools!BF45,Tools!BF46,Tools!BF47,Tools!BF48,Tools!BF49,Tools!BF50,Tools!BF51,Tools!BF52,Tools!BF53,Tools!BF54,Tools!BF55,Tools!BF56,Tools!BF57,Tools!BF58,Tools!BF59,Tools!BF60,Tools!BF61,Tools!BF62,Tools!BF63)</f>
        <v xml:space="preserve">Line 0,-18.698 0,-6.448  Line 3.2925,-18.698 3.2925,-6.448  Line 6.585,-18.698 6.585,-6.448  Line 9.8775,-18.698 9.8775,-6.448  Line 13.17,-18.698 13.17,-6.448  Line 19.755,-18.698 19.755,-6.448  Line 26.34,-18.698 26.34,-6.448  Line 32.925,-18.698 32.925,-6.448  Line 39.51,-18.698 39.51,-6.448  Line 46.095,-18.698 46.095,-6.448  Line 52.68,-18.698 52.68,-6.448  Line 59.265,-18.698 59.265,-6.448  Line 65.85,-18.698 65.85,-6.448  Line 72.435,-18.698 72.435,-6.448  Line 79.02,-18.698 79.02,-6.448  Line 85.605,-18.698 85.605,-6.448  Line 92.19,-18.698 92.19,-6.448  Line 98.775,-18.698 98.775,-6.448  Line 105.36,-18.698 105.36,-6.448  Line 111.945,-18.698 111.945,-6.448  Line 118.53,-18.698 118.53,-6.448  Line 121.8225,-18.698 121.8225,-6.448  Line 125.115,-18.698 125.115,-6.448  Line 128.4075,-18.698 128.4075,-6.448  Line 131.7,-18.698 131.7,-6.448  </v>
      </c>
      <c r="P35" s="81" t="str">
        <f>CONCATENATE(Tools!BJ39,Tools!BJ40,Tools!BJ41,Tools!BJ42,Tools!BJ43,Tools!BJ44,Tools!BJ45,Tools!BJ46,Tools!BJ47,Tools!BJ48,Tools!BJ49,Tools!BJ50,Tools!BJ51,Tools!BJ52,Tools!BJ53,Tools!BJ54,Tools!BJ55,Tools!BJ56,Tools!BJ57,Tools!BJ58,Tools!BJ59,Tools!BJ60,Tools!BJ61,Tools!BJ62,Tools!BJ63)</f>
        <v xml:space="preserve">Line 143.185,0 167.685,0  Line 143.185,0.9 167.685,0.9  Line 143.185,1.8 167.685,1.8  Line 143.185,2.7 167.685,2.7  Line 143.185,3.6 167.685,3.6  Line 143.185,5.4 167.685,5.4  Line 143.185,7.2 167.685,7.2  Line 143.185,9 167.685,9  Line 143.185,10.1 167.685,10.1  Line 143.185,10.8 167.685,10.8  Line 143.185,12.6 167.685,12.6  Line 143.185,14.19 167.685,14.19  </v>
      </c>
      <c r="Q35" s="81" t="str">
        <f>CONCATENATE(Tools!BN39,Tools!BN40,Tools!BN41,Tools!BN42,Tools!BN43,Tools!BN44,Tools!BN45,Tools!BN46,Tools!BN47,Tools!BN48,Tools!BN49,Tools!BN50,Tools!BN51,Tools!BN52,Tools!BN53,Tools!BN54,Tools!BN55,Tools!BN56,Tools!BN57,Tools!BN58,Tools!BN59,Tools!BN60,Tools!BN61,Tools!BN62,Tools!BN63)</f>
        <v xml:space="preserve">Line 151.352,0 151.352,14.19  Line 147.268,0 147.268,14.19  Line 143.185,0 143.185,14.19  </v>
      </c>
      <c r="R35" s="289" t="str">
        <f>CONCATENATE(Tools!BR39,Tools!BR40,Tools!BR41,Tools!BR42,Tools!BR43,Tools!BR44,Tools!BR45,Tools!BR46,Tools!BR47,Tools!BR48,Tools!BR49,Tools!BR50,Tools!BR51,Tools!BR52,Tools!BR53,Tools!BR54,Tools!BR55,Tools!BR56,Tools!BR57,Tools!BR58,Tools!BR59,Tools!BR60,Tools!BR61,Tools!BR62,Tools!BR63)</f>
        <v xml:space="preserve">Line 159.518,0 159.518,14.19  Line 163.602,0 163.602,14.19  Line 167.685,0 167.685,14.19  </v>
      </c>
      <c r="T35" s="281">
        <f>IF(OR(T31:Y34),E50,"Bulbous bow absent")</f>
        <v>13.323999999999998</v>
      </c>
      <c r="U35" s="282"/>
      <c r="V35" s="282" t="str">
        <f>IF(OR(T31:Y34),"Bulbous bow present","Bulbous bow absent")</f>
        <v>Bulbous bow present</v>
      </c>
      <c r="W35" s="282"/>
      <c r="X35" s="282"/>
      <c r="Y35" s="290"/>
      <c r="AM35"/>
      <c r="AO35" s="277"/>
      <c r="AR35" s="274"/>
      <c r="AS35" s="277"/>
      <c r="AT35" s="277"/>
      <c r="AU35" s="277"/>
      <c r="AV35" s="277"/>
      <c r="AW35" s="291"/>
      <c r="AX35" s="277"/>
      <c r="AY35" s="277"/>
      <c r="AZ35" s="266" t="s">
        <v>229</v>
      </c>
      <c r="BA35" s="266">
        <f>-(BREADTH/2+BREADTH/6+DEPTH/6)</f>
        <v>-18.698333333333331</v>
      </c>
      <c r="BB35" s="266"/>
      <c r="BC35" s="266"/>
      <c r="BD35" s="292" t="s">
        <v>227</v>
      </c>
      <c r="BE35" s="266"/>
      <c r="BF35" s="266"/>
      <c r="BG35" s="277"/>
      <c r="BH35" s="292" t="s">
        <v>230</v>
      </c>
      <c r="BI35" s="266"/>
      <c r="BJ35" s="266"/>
      <c r="BK35" s="266"/>
      <c r="BL35" s="266"/>
      <c r="BM35" s="266"/>
      <c r="BN35" s="266"/>
      <c r="BO35" s="266"/>
      <c r="BP35" s="266" t="s">
        <v>231</v>
      </c>
      <c r="BQ35" s="266"/>
      <c r="BR35" s="266"/>
      <c r="BS35" s="277"/>
      <c r="BT35" s="277"/>
      <c r="BU35" s="277"/>
      <c r="BV35" s="277"/>
      <c r="BW35" s="277"/>
      <c r="BX35" s="277"/>
      <c r="BY35" s="277"/>
      <c r="BZ35" s="277"/>
      <c r="CA35" s="277"/>
      <c r="CB35" s="277"/>
      <c r="CC35" s="277"/>
      <c r="CD35" s="276"/>
      <c r="CG35" s="262"/>
      <c r="CH35" s="262">
        <f>DRAFT/WLS</f>
        <v>5.6111111111111107</v>
      </c>
      <c r="CI35" s="262">
        <f>CH35</f>
        <v>5.6111111111111107</v>
      </c>
      <c r="CJ35" s="262"/>
      <c r="CK35" s="265">
        <f t="shared" si="37"/>
        <v>3</v>
      </c>
      <c r="CL35" s="266">
        <f t="shared" si="38"/>
        <v>3</v>
      </c>
      <c r="CM35" s="266">
        <f t="shared" si="39"/>
        <v>3.0003136674259681</v>
      </c>
      <c r="CN35" s="266">
        <f t="shared" si="40"/>
        <v>3.0018500227790432</v>
      </c>
      <c r="CO35" s="266">
        <f t="shared" si="41"/>
        <v>3.0049338041002276</v>
      </c>
      <c r="CP35" s="266">
        <f t="shared" si="42"/>
        <v>3.0099520728929385</v>
      </c>
      <c r="CQ35" s="266">
        <f t="shared" si="43"/>
        <v>3.0308468337129839</v>
      </c>
      <c r="CR35" s="266">
        <f t="shared" si="44"/>
        <v>3.0843466059225513</v>
      </c>
      <c r="CS35" s="266">
        <f t="shared" si="45"/>
        <v>3.1807183599088837</v>
      </c>
      <c r="CT35" s="266">
        <f t="shared" si="46"/>
        <v>3.2539072538597824</v>
      </c>
      <c r="CU35" s="266">
        <f t="shared" si="47"/>
        <v>3.3041056947608203</v>
      </c>
      <c r="CV35" s="266">
        <f t="shared" si="48"/>
        <v>3.461462596810934</v>
      </c>
      <c r="CW35" s="266">
        <f t="shared" si="49"/>
        <v>3.6195591097949888</v>
      </c>
      <c r="CX35" s="266" t="e">
        <f t="shared" si="50"/>
        <v>#VALUE!</v>
      </c>
      <c r="CY35" s="266" t="e">
        <f t="shared" si="51"/>
        <v>#VALUE!</v>
      </c>
      <c r="CZ35" s="266" t="e">
        <f t="shared" si="52"/>
        <v>#VALUE!</v>
      </c>
      <c r="DA35" s="266" t="e">
        <f t="shared" si="53"/>
        <v>#VALUE!</v>
      </c>
      <c r="DB35" s="266" t="e">
        <f t="shared" si="54"/>
        <v>#VALUE!</v>
      </c>
      <c r="DC35" s="266" t="e">
        <f t="shared" si="55"/>
        <v>#VALUE!</v>
      </c>
      <c r="DD35" s="266" t="e">
        <f t="shared" si="56"/>
        <v>#VALUE!</v>
      </c>
      <c r="DE35" s="266" t="e">
        <f t="shared" si="57"/>
        <v>#VALUE!</v>
      </c>
      <c r="DF35" s="266" t="e">
        <f t="shared" si="58"/>
        <v>#VALUE!</v>
      </c>
      <c r="DG35" s="266" t="e">
        <f t="shared" si="59"/>
        <v>#VALUE!</v>
      </c>
      <c r="DH35" s="266" t="e">
        <f t="shared" si="60"/>
        <v>#VALUE!</v>
      </c>
      <c r="DI35" s="266" t="e">
        <f t="shared" si="61"/>
        <v>#VALUE!</v>
      </c>
      <c r="DJ35" s="266" t="e">
        <f t="shared" si="62"/>
        <v>#VALUE!</v>
      </c>
    </row>
    <row r="36" spans="1:114" x14ac:dyDescent="0.25">
      <c r="A36" s="274" t="s">
        <v>232</v>
      </c>
      <c r="B36" s="293" t="str">
        <f>IF(ISNUMBER(VLOOKUP(B46,Main_Particulars,3,FALSE)),"",A36)</f>
        <v/>
      </c>
      <c r="C36" s="276"/>
      <c r="L36" s="281" t="str">
        <f>BB37</f>
        <v xml:space="preserve">Line 0,-18.698 131.7,-18.698  </v>
      </c>
      <c r="M36" s="282" t="str">
        <f>BB38</f>
        <v xml:space="preserve">Line 0,-34.575 131.7,-34.575  </v>
      </c>
      <c r="N36" s="282" t="str">
        <f>BF36</f>
        <v xml:space="preserve">Line 0,-18.698 0,-34.575  </v>
      </c>
      <c r="O36" s="282" t="str">
        <f>BF37</f>
        <v xml:space="preserve">Line 131.7,-18.698 131.7,-34.575  </v>
      </c>
      <c r="P36" s="282" t="str">
        <f>BO37</f>
        <v xml:space="preserve">Line 155.435,0 155.435,14.19 </v>
      </c>
      <c r="Q36" s="282"/>
      <c r="R36" s="290"/>
      <c r="AM36"/>
      <c r="AR36" s="274"/>
      <c r="AS36" s="277"/>
      <c r="AT36" s="277"/>
      <c r="AU36" s="277"/>
      <c r="AV36" s="277"/>
      <c r="AW36" s="277"/>
      <c r="AX36" s="277"/>
      <c r="AY36" s="277"/>
      <c r="AZ36" s="292" t="s">
        <v>233</v>
      </c>
      <c r="BA36" s="266"/>
      <c r="BB36" s="266"/>
      <c r="BC36" s="266" t="s">
        <v>234</v>
      </c>
      <c r="BD36" s="266" t="str">
        <f>IFERROR(CONCATENATE("0,",ROUND(Y_Shift_HB,3)," "),"")</f>
        <v xml:space="preserve">0,-18.698 </v>
      </c>
      <c r="BE36" s="266" t="str">
        <f>IFERROR(CONCATENATE("0,",(ROUND(Y_Shift_HB-SQRT((BREADTH/2)^2+DRAFT^2),3))," "),"")</f>
        <v xml:space="preserve">0,-34.575 </v>
      </c>
      <c r="BF36" s="294" t="str">
        <f>IF(CONCATENATE(BD36,BE36)="","",CONCATENATE("Line ",BD36,BE36," "))</f>
        <v xml:space="preserve">Line 0,-18.698 0,-34.575  </v>
      </c>
      <c r="BG36" s="277"/>
      <c r="BH36" s="266" t="s">
        <v>235</v>
      </c>
      <c r="BI36" s="266">
        <f>LBP*21/20+BREADTH*7/10</f>
        <v>155.435</v>
      </c>
      <c r="BJ36" s="266"/>
      <c r="BK36" s="266"/>
      <c r="BL36" s="266"/>
      <c r="BM36" s="292" t="s">
        <v>236</v>
      </c>
      <c r="BN36" s="266"/>
      <c r="BO36" s="266"/>
      <c r="BP36" s="266"/>
      <c r="BQ36" s="266"/>
      <c r="BR36" s="266"/>
      <c r="BS36" s="277"/>
      <c r="BT36" s="277"/>
      <c r="BU36" s="277"/>
      <c r="BV36" s="277"/>
      <c r="BW36" s="277"/>
      <c r="BX36" s="277"/>
      <c r="BY36" s="277"/>
      <c r="BZ36" s="277"/>
      <c r="CA36" s="277"/>
      <c r="CB36" s="277"/>
      <c r="CC36" s="277"/>
      <c r="CD36" s="276"/>
      <c r="CG36" s="262"/>
      <c r="CH36" s="262"/>
      <c r="CI36" s="262"/>
      <c r="CJ36" s="262"/>
      <c r="CK36" s="265">
        <f t="shared" si="37"/>
        <v>4</v>
      </c>
      <c r="CL36" s="266">
        <f t="shared" si="38"/>
        <v>4</v>
      </c>
      <c r="CM36" s="266">
        <f t="shared" si="39"/>
        <v>4.0006277448747154</v>
      </c>
      <c r="CN36" s="266">
        <f t="shared" si="40"/>
        <v>4.0034179498861047</v>
      </c>
      <c r="CO36" s="266">
        <f t="shared" si="41"/>
        <v>4.0088626423690208</v>
      </c>
      <c r="CP36" s="266">
        <f t="shared" si="42"/>
        <v>4.018008200455581</v>
      </c>
      <c r="CQ36" s="266">
        <f t="shared" si="43"/>
        <v>4.0546412756264241</v>
      </c>
      <c r="CR36" s="266">
        <f t="shared" si="44"/>
        <v>4.1273563553530748</v>
      </c>
      <c r="CS36" s="266">
        <f t="shared" si="45"/>
        <v>4.2290616856492029</v>
      </c>
      <c r="CT36" s="266">
        <f t="shared" si="46"/>
        <v>4.3058093343457351</v>
      </c>
      <c r="CU36" s="266">
        <f t="shared" si="47"/>
        <v>4.3609578132118454</v>
      </c>
      <c r="CV36" s="266">
        <f t="shared" si="48"/>
        <v>4.5164712528473805</v>
      </c>
      <c r="CW36" s="266">
        <f t="shared" si="49"/>
        <v>4.6749533257403186</v>
      </c>
      <c r="CX36" s="266" t="e">
        <f t="shared" si="50"/>
        <v>#VALUE!</v>
      </c>
      <c r="CY36" s="266" t="e">
        <f t="shared" si="51"/>
        <v>#VALUE!</v>
      </c>
      <c r="CZ36" s="266" t="e">
        <f t="shared" si="52"/>
        <v>#VALUE!</v>
      </c>
      <c r="DA36" s="266" t="e">
        <f t="shared" si="53"/>
        <v>#VALUE!</v>
      </c>
      <c r="DB36" s="266" t="e">
        <f t="shared" si="54"/>
        <v>#VALUE!</v>
      </c>
      <c r="DC36" s="266" t="e">
        <f t="shared" si="55"/>
        <v>#VALUE!</v>
      </c>
      <c r="DD36" s="266" t="e">
        <f t="shared" si="56"/>
        <v>#VALUE!</v>
      </c>
      <c r="DE36" s="266" t="e">
        <f t="shared" si="57"/>
        <v>#VALUE!</v>
      </c>
      <c r="DF36" s="266" t="e">
        <f t="shared" si="58"/>
        <v>#VALUE!</v>
      </c>
      <c r="DG36" s="266" t="e">
        <f t="shared" si="59"/>
        <v>#VALUE!</v>
      </c>
      <c r="DH36" s="266" t="e">
        <f t="shared" si="60"/>
        <v>#VALUE!</v>
      </c>
      <c r="DI36" s="266" t="e">
        <f t="shared" si="61"/>
        <v>#VALUE!</v>
      </c>
      <c r="DJ36" s="266" t="e">
        <f t="shared" si="62"/>
        <v>#VALUE!</v>
      </c>
    </row>
    <row r="37" spans="1:114" x14ac:dyDescent="0.25">
      <c r="A37" s="274"/>
      <c r="B37" s="277"/>
      <c r="C37" s="295" t="str">
        <f>IF(CONCATENATE(B31,B32,B33,B34,B35,B36)=""," ",CONCATENATE("(Not entered:)"))</f>
        <v xml:space="preserve"> </v>
      </c>
      <c r="AM37"/>
      <c r="AR37" s="274"/>
      <c r="AS37" s="291"/>
      <c r="AT37" s="277"/>
      <c r="AU37" s="291" t="s">
        <v>237</v>
      </c>
      <c r="AV37" s="277"/>
      <c r="AW37" s="277"/>
      <c r="AX37" s="277"/>
      <c r="AY37" s="277" t="s">
        <v>238</v>
      </c>
      <c r="AZ37" s="266" t="str">
        <f>IFERROR(CONCATENATE("0,",(ROUND(Y_Shift_HB,3))," "),"")</f>
        <v xml:space="preserve">0,-18.698 </v>
      </c>
      <c r="BA37" s="266" t="str">
        <f>IFERROR(CONCATENATE(LBP,",",(ROUND(Y_Shift_HB,3))," "),"")</f>
        <v xml:space="preserve">131.7,-18.698 </v>
      </c>
      <c r="BB37" s="294" t="str">
        <f t="shared" ref="BB37:BB63" si="67">IF(CONCATENATE(AZ37,BA37)="","",CONCATENATE("Line ",AZ37,BA37," "))</f>
        <v xml:space="preserve">Line 0,-18.698 131.7,-18.698  </v>
      </c>
      <c r="BC37" s="266" t="s">
        <v>234</v>
      </c>
      <c r="BD37" s="266" t="str">
        <f>IFERROR(CONCATENATE(LBP,",",ROUND(Y_Shift_HB,3)," "),"")</f>
        <v xml:space="preserve">131.7,-18.698 </v>
      </c>
      <c r="BE37" s="266" t="str">
        <f>IFERROR(CONCATENATE(LBP,",",(ROUND(Y_Shift_HB-SQRT((BREADTH/2)^2+DRAFT^2),3))," "),"")</f>
        <v xml:space="preserve">131.7,-34.575 </v>
      </c>
      <c r="BF37" s="294" t="str">
        <f>IF(CONCATENATE(BD37,BE37)="","",CONCATENATE("Line ",BD37,BE37," "))</f>
        <v xml:space="preserve">Line 131.7,-18.698 131.7,-34.575  </v>
      </c>
      <c r="BG37" s="277"/>
      <c r="BH37" s="266"/>
      <c r="BI37" s="266"/>
      <c r="BJ37" s="266"/>
      <c r="BK37" s="266"/>
      <c r="BL37" s="266" t="s">
        <v>239</v>
      </c>
      <c r="BM37" s="266" t="str">
        <f>IFERROR(CONCATENATE(ROUND(X_SHIFT_BP,3),",",0," "),"")</f>
        <v xml:space="preserve">155.435,0 </v>
      </c>
      <c r="BN37" s="266" t="str">
        <f>IFERROR(CONCATENATE(ROUND(X_SHIFT_BP,3),",",DEPTH," "),"")</f>
        <v xml:space="preserve">155.435,14.19 </v>
      </c>
      <c r="BO37" s="294" t="str">
        <f>IF(CONCATENATE(BM37,BN37)="","",CONCATENATE("Line ",BM37,BN37,""))</f>
        <v xml:space="preserve">Line 155.435,0 155.435,14.19 </v>
      </c>
      <c r="BP37" s="266"/>
      <c r="BQ37" s="266"/>
      <c r="BR37" s="266"/>
      <c r="BS37" s="277"/>
      <c r="BT37" s="296" t="s">
        <v>141</v>
      </c>
      <c r="BU37" s="297"/>
      <c r="BV37" s="297"/>
      <c r="BW37" s="297"/>
      <c r="BX37" s="297"/>
      <c r="BY37" s="297"/>
      <c r="BZ37" s="297"/>
      <c r="CA37" s="277"/>
      <c r="CB37" s="298" t="s">
        <v>160</v>
      </c>
      <c r="CC37" s="277"/>
      <c r="CD37" s="276"/>
      <c r="CG37" s="262" t="s">
        <v>240</v>
      </c>
      <c r="CH37" s="262">
        <v>0</v>
      </c>
      <c r="CI37" s="262">
        <f>MAX(Offset!$R$3:$R$27)</f>
        <v>20</v>
      </c>
      <c r="CJ37" s="262"/>
      <c r="CK37" s="265">
        <f t="shared" si="37"/>
        <v>5</v>
      </c>
      <c r="CL37" s="266">
        <f t="shared" si="38"/>
        <v>5</v>
      </c>
      <c r="CM37" s="266">
        <f t="shared" si="39"/>
        <v>5.0009608883826875</v>
      </c>
      <c r="CN37" s="266">
        <f t="shared" si="40"/>
        <v>5.0051531662870161</v>
      </c>
      <c r="CO37" s="266">
        <f t="shared" si="41"/>
        <v>5.0133665375854211</v>
      </c>
      <c r="CP37" s="266">
        <f t="shared" si="42"/>
        <v>5.0275797722095668</v>
      </c>
      <c r="CQ37" s="266">
        <f t="shared" si="43"/>
        <v>5.0784849202733486</v>
      </c>
      <c r="CR37" s="266">
        <f t="shared" si="44"/>
        <v>5.1585640091116174</v>
      </c>
      <c r="CS37" s="266">
        <f t="shared" si="45"/>
        <v>5.2659473348519361</v>
      </c>
      <c r="CT37" s="266">
        <f t="shared" si="46"/>
        <v>5.3440227790432804</v>
      </c>
      <c r="CU37" s="266">
        <f t="shared" si="47"/>
        <v>5.398476537585422</v>
      </c>
      <c r="CV37" s="266">
        <f t="shared" si="48"/>
        <v>5.5551610022779041</v>
      </c>
      <c r="CW37" s="266">
        <f t="shared" si="49"/>
        <v>5.7136430751708431</v>
      </c>
      <c r="CX37" s="266" t="e">
        <f t="shared" si="50"/>
        <v>#VALUE!</v>
      </c>
      <c r="CY37" s="266" t="e">
        <f t="shared" si="51"/>
        <v>#VALUE!</v>
      </c>
      <c r="CZ37" s="266" t="e">
        <f t="shared" si="52"/>
        <v>#VALUE!</v>
      </c>
      <c r="DA37" s="266" t="e">
        <f t="shared" si="53"/>
        <v>#VALUE!</v>
      </c>
      <c r="DB37" s="266" t="e">
        <f t="shared" si="54"/>
        <v>#VALUE!</v>
      </c>
      <c r="DC37" s="266" t="e">
        <f t="shared" si="55"/>
        <v>#VALUE!</v>
      </c>
      <c r="DD37" s="266" t="e">
        <f t="shared" si="56"/>
        <v>#VALUE!</v>
      </c>
      <c r="DE37" s="266" t="e">
        <f t="shared" si="57"/>
        <v>#VALUE!</v>
      </c>
      <c r="DF37" s="266" t="e">
        <f t="shared" si="58"/>
        <v>#VALUE!</v>
      </c>
      <c r="DG37" s="266" t="e">
        <f t="shared" si="59"/>
        <v>#VALUE!</v>
      </c>
      <c r="DH37" s="266" t="e">
        <f t="shared" si="60"/>
        <v>#VALUE!</v>
      </c>
      <c r="DI37" s="266" t="e">
        <f t="shared" si="61"/>
        <v>#VALUE!</v>
      </c>
      <c r="DJ37" s="266" t="e">
        <f t="shared" si="62"/>
        <v>#VALUE!</v>
      </c>
    </row>
    <row r="38" spans="1:114" x14ac:dyDescent="0.25">
      <c r="A38" s="281"/>
      <c r="B38" s="284" t="s">
        <v>225</v>
      </c>
      <c r="C38" s="286" t="str">
        <f>CONCATENATE(B31,B32,B33,B34,B35,B36)</f>
        <v/>
      </c>
      <c r="N38" s="186" t="s">
        <v>241</v>
      </c>
      <c r="O38" s="186" t="s">
        <v>242</v>
      </c>
      <c r="P38" s="299">
        <f>IF(ISNUMBER(CAD!C2),CAD!C2,0)</f>
        <v>2</v>
      </c>
      <c r="AP38" s="131" t="s">
        <v>243</v>
      </c>
      <c r="AR38" s="300" t="s">
        <v>244</v>
      </c>
      <c r="AS38" s="266"/>
      <c r="AT38" s="266"/>
      <c r="AU38" s="266"/>
      <c r="AV38" s="292" t="s">
        <v>233</v>
      </c>
      <c r="AW38" s="266"/>
      <c r="AX38" s="266"/>
      <c r="AY38" s="277" t="s">
        <v>234</v>
      </c>
      <c r="AZ38" s="266" t="str">
        <f>IFERROR(CONCATENATE("0,",(ROUND(Y_Shift_HB-SQRT((BREADTH/2)^2+DRAFT^2),3))," "),"")</f>
        <v xml:space="preserve">0,-34.575 </v>
      </c>
      <c r="BA38" s="266" t="str">
        <f>IFERROR(CONCATENATE(LBP,",",((ROUND(Y_Shift_HB-SQRT((BREADTH/2)^2+DRAFT^2),3)))," "),"")</f>
        <v xml:space="preserve">131.7,-34.575 </v>
      </c>
      <c r="BB38" s="294" t="str">
        <f t="shared" si="67"/>
        <v xml:space="preserve">Line 0,-34.575 131.7,-34.575  </v>
      </c>
      <c r="BC38" s="266"/>
      <c r="BD38" s="292" t="s">
        <v>244</v>
      </c>
      <c r="BE38" s="266"/>
      <c r="BF38" s="266"/>
      <c r="BG38" s="277"/>
      <c r="BH38" s="292" t="s">
        <v>233</v>
      </c>
      <c r="BI38" s="266"/>
      <c r="BJ38" s="266"/>
      <c r="BK38" s="266"/>
      <c r="BL38" s="266" t="s">
        <v>245</v>
      </c>
      <c r="BM38" s="266"/>
      <c r="BN38" s="266"/>
      <c r="BO38" s="266"/>
      <c r="BP38" s="266" t="s">
        <v>246</v>
      </c>
      <c r="BQ38" s="266"/>
      <c r="BR38" s="266"/>
      <c r="BS38" s="277"/>
      <c r="BT38" s="301" t="s">
        <v>244</v>
      </c>
      <c r="BU38" s="297"/>
      <c r="BV38" s="297"/>
      <c r="BW38" s="297"/>
      <c r="BX38" s="301" t="s">
        <v>247</v>
      </c>
      <c r="BY38" s="297"/>
      <c r="BZ38" s="297"/>
      <c r="CA38" s="277"/>
      <c r="CB38" s="302" t="str">
        <f>CONCATENATE(CC39,CC40,CC41,CC42,CC43,CC44,CC45,CC46,CC47,CC48,CC49,CC50,CC51,CC52,CC53,CC54,CC55,CC56,CC57,CC58,CC59)</f>
        <v xml:space="preserve">Line 0,0 20,0  Line 0,0.9 20,0.9  Line 0,1.8 20,1.8  Line 0,2.7 20,2.7  Line 0,3.6 20,3.6  Line 0,5.4 20,5.4  Line 0,7.2 20,7.2  Line 0,9 20,9  Line 0,10.1 20,10.1  Line 0,10.8 20,10.8  Line 0,12.6 20,12.6  Line 0,14.19 20,14.19  </v>
      </c>
      <c r="CC38" s="303" t="str">
        <f>CONCATENATE(CD39,CD40,CD41,CD42,CD43,CD44,CD45,CD46,CD47,CD48,CD49,CD50,CD51,CD52,CD53,CD54,CD55,CD56,CD57,CD58,CD59)</f>
        <v xml:space="preserve">Line 0,0 0,14.19  Line 1,0 1,14.19  Line 2,0 2,14.19  Line 3,0 3,14.19  Line 4,0 4,14.19  Line 5,0 5,14.19  Line 6,0 6,14.19  Line 7,0 7,14.19  Line 8,0 8,14.19  Line 9,0 9,14.19  Line 10,0 10,14.19  Line 11,0 11,14.19  Line 12,0 12,14.19  Line 13,0 13,14.19  Line 14,0 14,14.19  Line 15,0 15,14.19  Line 16,0 16,14.19  Line 17,0 17,14.19  Line 18,0 18,14.19  Line 19,0 19,14.19  Line 20,0 20,14.19  </v>
      </c>
      <c r="CD38" s="276"/>
      <c r="CG38" s="262"/>
      <c r="CH38" s="262">
        <f>0.005*DEPTH/WLS</f>
        <v>3.9416666666666662E-2</v>
      </c>
      <c r="CI38" s="262">
        <f>CH38</f>
        <v>3.9416666666666662E-2</v>
      </c>
      <c r="CJ38" s="262"/>
      <c r="CK38" s="265">
        <f t="shared" si="37"/>
        <v>6</v>
      </c>
      <c r="CL38" s="266">
        <f t="shared" si="38"/>
        <v>6</v>
      </c>
      <c r="CM38" s="266">
        <f t="shared" si="39"/>
        <v>6.0013153530751708</v>
      </c>
      <c r="CN38" s="266">
        <f t="shared" si="40"/>
        <v>6.0070589521640088</v>
      </c>
      <c r="CO38" s="266">
        <f t="shared" si="41"/>
        <v>6.0181705694760819</v>
      </c>
      <c r="CP38" s="266">
        <f t="shared" si="42"/>
        <v>6.0362853758542139</v>
      </c>
      <c r="CQ38" s="266">
        <f t="shared" si="43"/>
        <v>6.0933999088838267</v>
      </c>
      <c r="CR38" s="266">
        <f t="shared" si="44"/>
        <v>6.1769920728929382</v>
      </c>
      <c r="CS38" s="266">
        <f t="shared" si="45"/>
        <v>6.2857235535307519</v>
      </c>
      <c r="CT38" s="266">
        <f t="shared" si="46"/>
        <v>6.3638928777524679</v>
      </c>
      <c r="CU38" s="266">
        <f t="shared" si="47"/>
        <v>6.4180854669703873</v>
      </c>
      <c r="CV38" s="266">
        <f t="shared" si="48"/>
        <v>6.5750356264236904</v>
      </c>
      <c r="CW38" s="266">
        <f t="shared" si="49"/>
        <v>6.7335176993166286</v>
      </c>
      <c r="CX38" s="266" t="e">
        <f t="shared" si="50"/>
        <v>#VALUE!</v>
      </c>
      <c r="CY38" s="266" t="e">
        <f t="shared" si="51"/>
        <v>#VALUE!</v>
      </c>
      <c r="CZ38" s="266" t="e">
        <f t="shared" si="52"/>
        <v>#VALUE!</v>
      </c>
      <c r="DA38" s="266" t="e">
        <f t="shared" si="53"/>
        <v>#VALUE!</v>
      </c>
      <c r="DB38" s="266" t="e">
        <f t="shared" si="54"/>
        <v>#VALUE!</v>
      </c>
      <c r="DC38" s="266" t="e">
        <f t="shared" si="55"/>
        <v>#VALUE!</v>
      </c>
      <c r="DD38" s="266" t="e">
        <f t="shared" si="56"/>
        <v>#VALUE!</v>
      </c>
      <c r="DE38" s="266" t="e">
        <f t="shared" si="57"/>
        <v>#VALUE!</v>
      </c>
      <c r="DF38" s="266" t="e">
        <f t="shared" si="58"/>
        <v>#VALUE!</v>
      </c>
      <c r="DG38" s="266" t="e">
        <f t="shared" si="59"/>
        <v>#VALUE!</v>
      </c>
      <c r="DH38" s="266" t="e">
        <f t="shared" si="60"/>
        <v>#VALUE!</v>
      </c>
      <c r="DI38" s="266" t="e">
        <f t="shared" si="61"/>
        <v>#VALUE!</v>
      </c>
      <c r="DJ38" s="266" t="e">
        <f t="shared" si="62"/>
        <v>#VALUE!</v>
      </c>
    </row>
    <row r="39" spans="1:114" x14ac:dyDescent="0.25">
      <c r="AP39" s="304">
        <f t="array" ref="AP39:AP63">TRANSPOSE(AE2:BC2)</f>
        <v>0</v>
      </c>
      <c r="AR39" s="307" t="str">
        <f>IFERROR(CONCATENATE(STN_GAP*Tools!AD3,",0 "),"")</f>
        <v xml:space="preserve">0,0 </v>
      </c>
      <c r="AS39" s="266" t="str">
        <f>IFERROR(CONCATENATE(STN_GAP*Tools!AD3,",",DEPTH," "),"")</f>
        <v xml:space="preserve">0,14.19 </v>
      </c>
      <c r="AT39" s="294" t="str">
        <f t="shared" ref="AT39:AT63" si="68">IF(CONCATENATE(AR39,AS39)="","",CONCATENATE("Line ",AR39,AS39," "))</f>
        <v xml:space="preserve">Line 0,0 0,14.19  </v>
      </c>
      <c r="AU39" s="266"/>
      <c r="AV39" s="308" t="str">
        <f>IFERROR(CONCATENATE("0,",WLS*Tools!AP39," "),"")</f>
        <v xml:space="preserve">0,0 </v>
      </c>
      <c r="AW39" s="266" t="str">
        <f>IFERROR(CONCATENATE(LBP,",",WLS*Tools!AP39," "),"")</f>
        <v xml:space="preserve">131.7,0 </v>
      </c>
      <c r="AX39" s="294" t="str">
        <f t="shared" ref="AX39:AX63" si="69">IF(CONCATENATE(AV39,AW39)="","",CONCATENATE("Line ",AV39,AW39," "))</f>
        <v xml:space="preserve">Line 0,0 131.7,0  </v>
      </c>
      <c r="AY39" s="277"/>
      <c r="AZ39" s="266" t="str">
        <f t="shared" ref="AZ39:AZ63" si="70">IFERROR(CONCATENATE("0,",(ROUND(Y_Shift_HB+BREADTH/2/(No_of_BTKs+1)*IF(AC3&lt;=(No_of_BTKs+1),AC3," "),3))," "),"")</f>
        <v xml:space="preserve">0,-14.615 </v>
      </c>
      <c r="BA39" s="266" t="str">
        <f t="shared" ref="BA39:BA63" si="71">IFERROR(CONCATENATE(LBP,",",(ROUND(Y_Shift_HB+BREADTH/2/(No_of_BTKs+1)*IF(AC3&lt;=(No_of_BTKs+1),AC3," "),3))," "),"")</f>
        <v xml:space="preserve">131.7,-14.615 </v>
      </c>
      <c r="BB39" s="294" t="str">
        <f t="shared" si="67"/>
        <v xml:space="preserve">Line 0,-14.615 131.7,-14.615  </v>
      </c>
      <c r="BC39" s="266"/>
      <c r="BD39" s="266" t="str">
        <f>IFERROR(CONCATENATE(STN_GAP*Tools!AD3,",",ROUND(Y_Shift_HB,3)," "),"")</f>
        <v xml:space="preserve">0,-18.698 </v>
      </c>
      <c r="BE39" s="266" t="str">
        <f>IFERROR(CONCATENATE(STN_GAP*Tools!AD3,",",ROUND(Y_Shift_HB+BREADTH/2,3)," "),"")</f>
        <v xml:space="preserve">0,-6.448 </v>
      </c>
      <c r="BF39" s="294" t="str">
        <f t="shared" ref="BF39:BF63" si="72">IF(CONCATENATE(BD39,BE39)="","",CONCATENATE("Line ",BD39,BE39," "))</f>
        <v xml:space="preserve">Line 0,-18.698 0,-6.448  </v>
      </c>
      <c r="BG39" s="277"/>
      <c r="BH39" s="266" t="str">
        <f>IFERROR(CONCATENATE(ROUND(X_SHIFT_BP-BREADTH/2,3),",",ROUND(WLS*Tools!AP39,3)," "),"")</f>
        <v xml:space="preserve">143.185,0 </v>
      </c>
      <c r="BI39" s="266" t="str">
        <f>IFERROR(CONCATENATE(ROUND(X_SHIFT_BP+BREADTH/2,3),",",ROUND(WLS*Tools!AP39,3)," "),"")</f>
        <v xml:space="preserve">167.685,0 </v>
      </c>
      <c r="BJ39" s="294" t="str">
        <f t="shared" ref="BJ39:BJ63" si="73">IF(CONCATENATE(BH39,BI39)="","",CONCATENATE("Line ",BH39,BI39," "))</f>
        <v xml:space="preserve">Line 143.185,0 167.685,0  </v>
      </c>
      <c r="BK39" s="266"/>
      <c r="BL39" s="266" t="str">
        <f t="shared" ref="BL39:BL63" si="74">IFERROR(CONCATENATE(ROUND(X_SHIFT_BP-BREADTH/2/(No_of_BTKs+1)*IF(AC3&lt;=No_of_BTKs+1,AC3," "),3),",",0," "),"")</f>
        <v xml:space="preserve">151.352,0 </v>
      </c>
      <c r="BM39" s="266" t="str">
        <f t="shared" ref="BM39:BM63" si="75">IFERROR(CONCATENATE(ROUND(X_SHIFT_BP-BREADTH/2/(No_of_BTKs+1)*IF(AC3&lt;=No_of_BTKs+1,AC3," "),3),",",DEPTH," "),"")</f>
        <v xml:space="preserve">151.352,14.19 </v>
      </c>
      <c r="BN39" s="294" t="str">
        <f t="shared" ref="BN39:BN63" si="76">IF(CONCATENATE(BL39,BM39)="","",CONCATENATE("Line ",BL39,BM39," "))</f>
        <v xml:space="preserve">Line 151.352,0 151.352,14.19  </v>
      </c>
      <c r="BO39" s="266"/>
      <c r="BP39" s="266" t="str">
        <f t="shared" ref="BP39:BP63" si="77">IFERROR(CONCATENATE(ROUND(X_SHIFT_BP+BREADTH/2/(No_of_BTKs+1)*IF(AC3&lt;=No_of_BTKs+1,AC3," "),3),",",0," "),"")</f>
        <v xml:space="preserve">159.518,0 </v>
      </c>
      <c r="BQ39" s="266" t="str">
        <f t="shared" ref="BQ39:BQ63" si="78">IFERROR(CONCATENATE(ROUND(X_SHIFT_BP+BREADTH/2/(No_of_BTKs+1)*IF(AC3&lt;=No_of_BTKs+1,AC3," "),3),",",DEPTH," "),"")</f>
        <v xml:space="preserve">159.518,14.19 </v>
      </c>
      <c r="BR39" s="294" t="str">
        <f t="shared" ref="BR39:BR63" si="79">IF(CONCATENATE(BP39,BQ39)="","",CONCATENATE("Line ",BP39,BQ39," "))</f>
        <v xml:space="preserve">Line 159.518,0 159.518,14.19  </v>
      </c>
      <c r="BS39" s="277"/>
      <c r="BT39" s="309" t="str">
        <f>IFERROR(CONCATENATE(ROUND(BA_Station_Scale_in_x*STN_GAP*Tools!AD3,3),",0 "),"")</f>
        <v xml:space="preserve">0,0 </v>
      </c>
      <c r="BU39" s="297" t="str">
        <f>IFERROR(CONCATENATE(ROUND(BA_Station_Scale_in_x*STN_GAP*Tools!AD3,3),",",ROUND(DEPTH*BA_Y_scale_of_WL,3)," "),"")</f>
        <v xml:space="preserve">0,28.38 </v>
      </c>
      <c r="BV39" s="310" t="str">
        <f t="shared" ref="BV39:BV63" si="80">IF(CONCATENATE(BT39,BU39)="","",CONCATENATE("Line ",BT39,BU39," "))</f>
        <v xml:space="preserve">Line 0,0 0,28.38  </v>
      </c>
      <c r="BW39" s="297"/>
      <c r="BX39" s="309" t="str">
        <f>IFERROR(CONCATENATE("0,",ROUND(BA_Y_scale_of_WL*WLS*Tools!AP39,3)," "),"")</f>
        <v xml:space="preserve">0,0 </v>
      </c>
      <c r="BY39" s="297" t="str">
        <f>IFERROR(CONCATENATE(LBP,",",ROUND(BA_Y_scale_of_WL*WLS*Tools!AP39,3)," "),"")</f>
        <v xml:space="preserve">131.7,0 </v>
      </c>
      <c r="BZ39" s="310" t="str">
        <f t="shared" ref="BZ39:BZ63" si="81">IF(CONCATENATE(BX39,BY39)="","",CONCATENATE("Line ",BX39,BY39," "))</f>
        <v xml:space="preserve">Line 0,0 131.7,0  </v>
      </c>
      <c r="CA39" s="277"/>
      <c r="CB39" s="311">
        <v>0</v>
      </c>
      <c r="CC39" s="312" t="str">
        <f t="shared" ref="CC39:CC63" si="82">IFERROR(CONCATENATE("Line 0,",AP39*WLS," ",20,",",AP39*WLS,"  "),"")</f>
        <v xml:space="preserve">Line 0,0 20,0  </v>
      </c>
      <c r="CD39" s="313" t="str">
        <f t="shared" ref="CD39:CD59" si="83">IFERROR(CONCATENATE("Line ",CB39,",0 ",CB39,",",DEPTH,"  "),"")</f>
        <v xml:space="preserve">Line 0,0 0,14.19  </v>
      </c>
      <c r="CG39" s="262"/>
      <c r="CH39" s="262"/>
      <c r="CI39" s="262"/>
      <c r="CJ39" s="262"/>
      <c r="CK39" s="265">
        <f t="shared" si="37"/>
        <v>7</v>
      </c>
      <c r="CL39" s="266">
        <f t="shared" ref="CL39:CL54" si="84">$CK39+AC79/$N$32/STN_GAP</f>
        <v>7</v>
      </c>
      <c r="CM39" s="266">
        <f t="shared" ref="CM39:CM54" si="85">$CK39+AD79/$N$32/STN_GAP</f>
        <v>7.0017768337129844</v>
      </c>
      <c r="CN39" s="266">
        <f t="shared" ref="CN39:CN54" si="86">$CK39+AE79/$N$32/STN_GAP</f>
        <v>7.008994259681093</v>
      </c>
      <c r="CO39" s="266">
        <f t="shared" ref="CO39:CO54" si="87">$CK39+AF79/$N$32/STN_GAP</f>
        <v>7.022181207289294</v>
      </c>
      <c r="CP39" s="266">
        <f t="shared" ref="CP39:CP54" si="88">$CK39+AG79/$N$32/STN_GAP</f>
        <v>7.0422815489749429</v>
      </c>
      <c r="CQ39" s="266">
        <f t="shared" ref="CQ39:CQ54" si="89">$CK39+AH79/$N$32/STN_GAP</f>
        <v>7.1020792710706147</v>
      </c>
      <c r="CR39" s="266">
        <f t="shared" ref="CR39:CR54" si="90">$CK39+AI79/$N$32/STN_GAP</f>
        <v>7.1864258769931659</v>
      </c>
      <c r="CS39" s="266">
        <f t="shared" ref="CS39:CS54" si="91">$CK39+AJ79/$N$32/STN_GAP</f>
        <v>7.2949539863325743</v>
      </c>
      <c r="CT39" s="266">
        <f t="shared" ref="CT39:CT54" si="92">$CK39+AK79/$N$32/STN_GAP</f>
        <v>7.3731233105542904</v>
      </c>
      <c r="CU39" s="266">
        <f t="shared" ref="CU39:CU54" si="93">$CK39+AL79/$N$32/STN_GAP</f>
        <v>7.427519271070615</v>
      </c>
      <c r="CV39" s="266">
        <f t="shared" ref="CV39:CV54" si="94">$CK39+AM79/$N$32/STN_GAP</f>
        <v>7.5842660592255129</v>
      </c>
      <c r="CW39" s="266">
        <f t="shared" ref="CW39:CW54" si="95">$CK39+AN79/$N$32/STN_GAP</f>
        <v>7.742748132118451</v>
      </c>
      <c r="CX39" s="266" t="e">
        <f t="shared" ref="CX39:CX54" si="96">$CK39+AO79/$N$32/STN_GAP</f>
        <v>#VALUE!</v>
      </c>
      <c r="CY39" s="266" t="e">
        <f t="shared" ref="CY39:CY54" si="97">$CK39+AP79/$N$32/STN_GAP</f>
        <v>#VALUE!</v>
      </c>
      <c r="CZ39" s="266" t="e">
        <f t="shared" ref="CZ39:CZ54" si="98">$CK39+AQ79/$N$32/STN_GAP</f>
        <v>#VALUE!</v>
      </c>
      <c r="DA39" s="266" t="e">
        <f t="shared" ref="DA39:DA54" si="99">$CK39+AR79/$N$32/STN_GAP</f>
        <v>#VALUE!</v>
      </c>
      <c r="DB39" s="266" t="e">
        <f t="shared" ref="DB39:DB54" si="100">$CK39+AS79/$N$32/STN_GAP</f>
        <v>#VALUE!</v>
      </c>
      <c r="DC39" s="266" t="e">
        <f t="shared" ref="DC39:DC54" si="101">$CK39+AT79/$N$32/STN_GAP</f>
        <v>#VALUE!</v>
      </c>
      <c r="DD39" s="266" t="e">
        <f t="shared" ref="DD39:DD54" si="102">$CK39+AU79/$N$32/STN_GAP</f>
        <v>#VALUE!</v>
      </c>
      <c r="DE39" s="266" t="e">
        <f t="shared" ref="DE39:DE54" si="103">$CK39+AV79/$N$32/STN_GAP</f>
        <v>#VALUE!</v>
      </c>
      <c r="DF39" s="266" t="e">
        <f t="shared" ref="DF39:DF54" si="104">$CK39+AW79/$N$32/STN_GAP</f>
        <v>#VALUE!</v>
      </c>
      <c r="DG39" s="266" t="e">
        <f t="shared" ref="DG39:DG54" si="105">$CK39+AX79/$N$32/STN_GAP</f>
        <v>#VALUE!</v>
      </c>
      <c r="DH39" s="266" t="e">
        <f t="shared" ref="DH39:DH54" si="106">$CK39+AY79/$N$32/STN_GAP</f>
        <v>#VALUE!</v>
      </c>
      <c r="DI39" s="266" t="e">
        <f t="shared" ref="DI39:DI54" si="107">$CK39+AZ79/$N$32/STN_GAP</f>
        <v>#VALUE!</v>
      </c>
      <c r="DJ39" s="266" t="e">
        <f t="shared" ref="DJ39:DJ54" si="108">$CK39+BA79/$N$32/STN_GAP</f>
        <v>#VALUE!</v>
      </c>
    </row>
    <row r="40" spans="1:114" x14ac:dyDescent="0.25">
      <c r="AP40" s="305">
        <v>0.5</v>
      </c>
      <c r="AR40" s="307" t="str">
        <f>IFERROR(CONCATENATE(STN_GAP*Tools!AD4,",0 "),"")</f>
        <v xml:space="preserve">3.2925,0 </v>
      </c>
      <c r="AS40" s="266" t="str">
        <f>IFERROR(CONCATENATE(STN_GAP*Tools!AD4,",",DEPTH," "),"")</f>
        <v xml:space="preserve">3.2925,14.19 </v>
      </c>
      <c r="AT40" s="294" t="str">
        <f t="shared" si="68"/>
        <v xml:space="preserve">Line 3.2925,0 3.2925,14.19  </v>
      </c>
      <c r="AU40" s="266"/>
      <c r="AV40" s="308" t="str">
        <f>IFERROR(CONCATENATE("0,",WLS*Tools!AP40," "),"")</f>
        <v xml:space="preserve">0,0.9 </v>
      </c>
      <c r="AW40" s="266" t="str">
        <f>IFERROR(CONCATENATE(LBP,",",WLS*Tools!AP40," "),"")</f>
        <v xml:space="preserve">131.7,0.9 </v>
      </c>
      <c r="AX40" s="294" t="str">
        <f t="shared" si="69"/>
        <v xml:space="preserve">Line 0,0.9 131.7,0.9  </v>
      </c>
      <c r="AY40" s="277"/>
      <c r="AZ40" s="266" t="str">
        <f t="shared" si="70"/>
        <v xml:space="preserve">0,-10.532 </v>
      </c>
      <c r="BA40" s="266" t="str">
        <f t="shared" si="71"/>
        <v xml:space="preserve">131.7,-10.532 </v>
      </c>
      <c r="BB40" s="294" t="str">
        <f t="shared" si="67"/>
        <v xml:space="preserve">Line 0,-10.532 131.7,-10.532  </v>
      </c>
      <c r="BC40" s="266"/>
      <c r="BD40" s="266" t="str">
        <f>IFERROR(CONCATENATE(STN_GAP*Tools!AD4,",",ROUND(Y_Shift_HB,3)," "),"")</f>
        <v xml:space="preserve">3.2925,-18.698 </v>
      </c>
      <c r="BE40" s="266" t="str">
        <f>IFERROR(CONCATENATE(STN_GAP*Tools!AD4,",",ROUND(Y_Shift_HB+BREADTH/2,3)," "),"")</f>
        <v xml:space="preserve">3.2925,-6.448 </v>
      </c>
      <c r="BF40" s="294" t="str">
        <f t="shared" si="72"/>
        <v xml:space="preserve">Line 3.2925,-18.698 3.2925,-6.448  </v>
      </c>
      <c r="BG40" s="277"/>
      <c r="BH40" s="266" t="str">
        <f>IFERROR(CONCATENATE(ROUND(X_SHIFT_BP-BREADTH/2,3),",",ROUND(WLS*Tools!AP40,3)," "),"")</f>
        <v xml:space="preserve">143.185,0.9 </v>
      </c>
      <c r="BI40" s="266" t="str">
        <f>IFERROR(CONCATENATE(ROUND(X_SHIFT_BP+BREADTH/2,3),",",ROUND(WLS*Tools!AP40,3)," "),"")</f>
        <v xml:space="preserve">167.685,0.9 </v>
      </c>
      <c r="BJ40" s="294" t="str">
        <f t="shared" si="73"/>
        <v xml:space="preserve">Line 143.185,0.9 167.685,0.9  </v>
      </c>
      <c r="BK40" s="266"/>
      <c r="BL40" s="266" t="str">
        <f t="shared" si="74"/>
        <v xml:space="preserve">147.268,0 </v>
      </c>
      <c r="BM40" s="266" t="str">
        <f t="shared" si="75"/>
        <v xml:space="preserve">147.268,14.19 </v>
      </c>
      <c r="BN40" s="294" t="str">
        <f t="shared" si="76"/>
        <v xml:space="preserve">Line 147.268,0 147.268,14.19  </v>
      </c>
      <c r="BO40" s="266"/>
      <c r="BP40" s="266" t="str">
        <f t="shared" si="77"/>
        <v xml:space="preserve">163.602,0 </v>
      </c>
      <c r="BQ40" s="266" t="str">
        <f t="shared" si="78"/>
        <v xml:space="preserve">163.602,14.19 </v>
      </c>
      <c r="BR40" s="294" t="str">
        <f t="shared" si="79"/>
        <v xml:space="preserve">Line 163.602,0 163.602,14.19  </v>
      </c>
      <c r="BS40" s="277"/>
      <c r="BT40" s="309" t="str">
        <f>IFERROR(CONCATENATE(ROUND(BA_Station_Scale_in_x*STN_GAP*Tools!AD4,3),",0 "),"")</f>
        <v xml:space="preserve">3.293,0 </v>
      </c>
      <c r="BU40" s="297" t="str">
        <f>IFERROR(CONCATENATE(ROUND(BA_Station_Scale_in_x*STN_GAP*Tools!AD4,3),",",ROUND(DEPTH*BA_Y_scale_of_WL,3)," "),"")</f>
        <v xml:space="preserve">3.293,28.38 </v>
      </c>
      <c r="BV40" s="310" t="str">
        <f t="shared" si="80"/>
        <v xml:space="preserve">Line 3.293,0 3.293,28.38  </v>
      </c>
      <c r="BW40" s="297"/>
      <c r="BX40" s="309" t="str">
        <f>IFERROR(CONCATENATE("0,",ROUND(BA_Y_scale_of_WL*WLS*Tools!AP40,3)," "),"")</f>
        <v xml:space="preserve">0,1.8 </v>
      </c>
      <c r="BY40" s="297" t="str">
        <f>IFERROR(CONCATENATE(LBP,",",ROUND(BA_Y_scale_of_WL*WLS*Tools!AP40,3)," "),"")</f>
        <v xml:space="preserve">131.7,1.8 </v>
      </c>
      <c r="BZ40" s="310" t="str">
        <f t="shared" si="81"/>
        <v xml:space="preserve">Line 0,1.8 131.7,1.8  </v>
      </c>
      <c r="CA40" s="277"/>
      <c r="CB40" s="312">
        <v>1</v>
      </c>
      <c r="CC40" s="312" t="str">
        <f t="shared" si="82"/>
        <v xml:space="preserve">Line 0,0.9 20,0.9  </v>
      </c>
      <c r="CD40" s="313" t="str">
        <f t="shared" si="83"/>
        <v xml:space="preserve">Line 1,0 1,14.19  </v>
      </c>
      <c r="CG40" s="262"/>
      <c r="CH40" s="262"/>
      <c r="CI40" s="262"/>
      <c r="CJ40" s="262"/>
      <c r="CK40" s="265">
        <f t="shared" si="37"/>
        <v>8</v>
      </c>
      <c r="CL40" s="266">
        <f t="shared" si="84"/>
        <v>8</v>
      </c>
      <c r="CM40" s="266">
        <f t="shared" si="85"/>
        <v>8.0022130979498858</v>
      </c>
      <c r="CN40" s="266">
        <f t="shared" si="86"/>
        <v>8.0103883371298412</v>
      </c>
      <c r="CO40" s="266">
        <f t="shared" si="87"/>
        <v>8.0246265831435082</v>
      </c>
      <c r="CP40" s="266">
        <f t="shared" si="88"/>
        <v>8.0455223690205013</v>
      </c>
      <c r="CQ40" s="266">
        <f t="shared" si="89"/>
        <v>8.1058678815489742</v>
      </c>
      <c r="CR40" s="266">
        <f t="shared" si="90"/>
        <v>8.190086560364465</v>
      </c>
      <c r="CS40" s="266">
        <f t="shared" si="91"/>
        <v>8.2987425968109338</v>
      </c>
      <c r="CT40" s="266">
        <f t="shared" si="92"/>
        <v>8.3769119210326508</v>
      </c>
      <c r="CU40" s="266">
        <f t="shared" si="93"/>
        <v>8.4311799544419141</v>
      </c>
      <c r="CV40" s="266">
        <f t="shared" si="94"/>
        <v>8.5880546697038724</v>
      </c>
      <c r="CW40" s="266">
        <f t="shared" si="95"/>
        <v>8.7465367425968115</v>
      </c>
      <c r="CX40" s="266" t="e">
        <f t="shared" si="96"/>
        <v>#VALUE!</v>
      </c>
      <c r="CY40" s="266" t="e">
        <f t="shared" si="97"/>
        <v>#VALUE!</v>
      </c>
      <c r="CZ40" s="266" t="e">
        <f t="shared" si="98"/>
        <v>#VALUE!</v>
      </c>
      <c r="DA40" s="266" t="e">
        <f t="shared" si="99"/>
        <v>#VALUE!</v>
      </c>
      <c r="DB40" s="266" t="e">
        <f t="shared" si="100"/>
        <v>#VALUE!</v>
      </c>
      <c r="DC40" s="266" t="e">
        <f t="shared" si="101"/>
        <v>#VALUE!</v>
      </c>
      <c r="DD40" s="266" t="e">
        <f t="shared" si="102"/>
        <v>#VALUE!</v>
      </c>
      <c r="DE40" s="266" t="e">
        <f t="shared" si="103"/>
        <v>#VALUE!</v>
      </c>
      <c r="DF40" s="266" t="e">
        <f t="shared" si="104"/>
        <v>#VALUE!</v>
      </c>
      <c r="DG40" s="266" t="e">
        <f t="shared" si="105"/>
        <v>#VALUE!</v>
      </c>
      <c r="DH40" s="266" t="e">
        <f t="shared" si="106"/>
        <v>#VALUE!</v>
      </c>
      <c r="DI40" s="266" t="e">
        <f t="shared" si="107"/>
        <v>#VALUE!</v>
      </c>
      <c r="DJ40" s="266" t="e">
        <f t="shared" si="108"/>
        <v>#VALUE!</v>
      </c>
    </row>
    <row r="41" spans="1:114" x14ac:dyDescent="0.25">
      <c r="B41" s="129" t="s">
        <v>248</v>
      </c>
      <c r="AP41" s="305">
        <v>1</v>
      </c>
      <c r="AR41" s="307" t="str">
        <f>IFERROR(CONCATENATE(STN_GAP*Tools!AD5,",0 "),"")</f>
        <v xml:space="preserve">6.585,0 </v>
      </c>
      <c r="AS41" s="266" t="str">
        <f>IFERROR(CONCATENATE(STN_GAP*Tools!AD5,",",DEPTH," "),"")</f>
        <v xml:space="preserve">6.585,14.19 </v>
      </c>
      <c r="AT41" s="294" t="str">
        <f t="shared" si="68"/>
        <v xml:space="preserve">Line 6.585,0 6.585,14.19  </v>
      </c>
      <c r="AU41" s="266"/>
      <c r="AV41" s="308" t="str">
        <f>IFERROR(CONCATENATE("0,",WLS*Tools!AP41," "),"")</f>
        <v xml:space="preserve">0,1.8 </v>
      </c>
      <c r="AW41" s="266" t="str">
        <f>IFERROR(CONCATENATE(LBP,",",WLS*Tools!AP41," "),"")</f>
        <v xml:space="preserve">131.7,1.8 </v>
      </c>
      <c r="AX41" s="294" t="str">
        <f t="shared" si="69"/>
        <v xml:space="preserve">Line 0,1.8 131.7,1.8  </v>
      </c>
      <c r="AY41" s="277"/>
      <c r="AZ41" s="266" t="str">
        <f t="shared" si="70"/>
        <v xml:space="preserve">0,-6.448 </v>
      </c>
      <c r="BA41" s="266" t="str">
        <f t="shared" si="71"/>
        <v xml:space="preserve">131.7,-6.448 </v>
      </c>
      <c r="BB41" s="294" t="str">
        <f t="shared" si="67"/>
        <v xml:space="preserve">Line 0,-6.448 131.7,-6.448  </v>
      </c>
      <c r="BC41" s="266"/>
      <c r="BD41" s="266" t="str">
        <f>IFERROR(CONCATENATE(STN_GAP*Tools!AD5,",",ROUND(Y_Shift_HB,3)," "),"")</f>
        <v xml:space="preserve">6.585,-18.698 </v>
      </c>
      <c r="BE41" s="266" t="str">
        <f>IFERROR(CONCATENATE(STN_GAP*Tools!AD5,",",ROUND(Y_Shift_HB+BREADTH/2,3)," "),"")</f>
        <v xml:space="preserve">6.585,-6.448 </v>
      </c>
      <c r="BF41" s="294" t="str">
        <f t="shared" si="72"/>
        <v xml:space="preserve">Line 6.585,-18.698 6.585,-6.448  </v>
      </c>
      <c r="BG41" s="277"/>
      <c r="BH41" s="266" t="str">
        <f>IFERROR(CONCATENATE(ROUND(X_SHIFT_BP-BREADTH/2,3),",",ROUND(WLS*Tools!AP41,3)," "),"")</f>
        <v xml:space="preserve">143.185,1.8 </v>
      </c>
      <c r="BI41" s="266" t="str">
        <f>IFERROR(CONCATENATE(ROUND(X_SHIFT_BP+BREADTH/2,3),",",ROUND(WLS*Tools!AP41,3)," "),"")</f>
        <v xml:space="preserve">167.685,1.8 </v>
      </c>
      <c r="BJ41" s="294" t="str">
        <f t="shared" si="73"/>
        <v xml:space="preserve">Line 143.185,1.8 167.685,1.8  </v>
      </c>
      <c r="BK41" s="266"/>
      <c r="BL41" s="266" t="str">
        <f t="shared" si="74"/>
        <v xml:space="preserve">143.185,0 </v>
      </c>
      <c r="BM41" s="266" t="str">
        <f t="shared" si="75"/>
        <v xml:space="preserve">143.185,14.19 </v>
      </c>
      <c r="BN41" s="294" t="str">
        <f t="shared" si="76"/>
        <v xml:space="preserve">Line 143.185,0 143.185,14.19  </v>
      </c>
      <c r="BO41" s="266"/>
      <c r="BP41" s="266" t="str">
        <f t="shared" si="77"/>
        <v xml:space="preserve">167.685,0 </v>
      </c>
      <c r="BQ41" s="266" t="str">
        <f t="shared" si="78"/>
        <v xml:space="preserve">167.685,14.19 </v>
      </c>
      <c r="BR41" s="294" t="str">
        <f t="shared" si="79"/>
        <v xml:space="preserve">Line 167.685,0 167.685,14.19  </v>
      </c>
      <c r="BS41" s="277"/>
      <c r="BT41" s="309" t="str">
        <f>IFERROR(CONCATENATE(ROUND(BA_Station_Scale_in_x*STN_GAP*Tools!AD5,3),",0 "),"")</f>
        <v xml:space="preserve">6.585,0 </v>
      </c>
      <c r="BU41" s="297" t="str">
        <f>IFERROR(CONCATENATE(ROUND(BA_Station_Scale_in_x*STN_GAP*Tools!AD5,3),",",ROUND(DEPTH*BA_Y_scale_of_WL,3)," "),"")</f>
        <v xml:space="preserve">6.585,28.38 </v>
      </c>
      <c r="BV41" s="310" t="str">
        <f t="shared" si="80"/>
        <v xml:space="preserve">Line 6.585,0 6.585,28.38  </v>
      </c>
      <c r="BW41" s="297"/>
      <c r="BX41" s="309" t="str">
        <f>IFERROR(CONCATENATE("0,",ROUND(BA_Y_scale_of_WL*WLS*Tools!AP41,3)," "),"")</f>
        <v xml:space="preserve">0,3.6 </v>
      </c>
      <c r="BY41" s="297" t="str">
        <f>IFERROR(CONCATENATE(LBP,",",ROUND(BA_Y_scale_of_WL*WLS*Tools!AP41,3)," "),"")</f>
        <v xml:space="preserve">131.7,3.6 </v>
      </c>
      <c r="BZ41" s="310" t="str">
        <f t="shared" si="81"/>
        <v xml:space="preserve">Line 0,3.6 131.7,3.6  </v>
      </c>
      <c r="CA41" s="277"/>
      <c r="CB41" s="311">
        <v>2</v>
      </c>
      <c r="CC41" s="312" t="str">
        <f t="shared" si="82"/>
        <v xml:space="preserve">Line 0,1.8 20,1.8  </v>
      </c>
      <c r="CD41" s="313" t="str">
        <f t="shared" si="83"/>
        <v xml:space="preserve">Line 2,0 2,14.19  </v>
      </c>
      <c r="CG41" s="262"/>
      <c r="CH41" s="262"/>
      <c r="CI41" s="262"/>
      <c r="CJ41" s="262"/>
      <c r="CK41" s="265">
        <f t="shared" si="37"/>
        <v>9</v>
      </c>
      <c r="CL41" s="266">
        <f t="shared" si="84"/>
        <v>9</v>
      </c>
      <c r="CM41" s="266">
        <f t="shared" si="85"/>
        <v>9.0024125740318901</v>
      </c>
      <c r="CN41" s="266">
        <f t="shared" si="86"/>
        <v>9.0109164464692491</v>
      </c>
      <c r="CO41" s="266">
        <f t="shared" si="87"/>
        <v>9.0255214578587708</v>
      </c>
      <c r="CP41" s="266">
        <f t="shared" si="88"/>
        <v>9.0466507517084285</v>
      </c>
      <c r="CQ41" s="266">
        <f t="shared" si="89"/>
        <v>9.1070061047835988</v>
      </c>
      <c r="CR41" s="266">
        <f t="shared" si="90"/>
        <v>9.1913067881548969</v>
      </c>
      <c r="CS41" s="266">
        <f t="shared" si="91"/>
        <v>9.2998808200455585</v>
      </c>
      <c r="CT41" s="266">
        <f t="shared" si="92"/>
        <v>9.3780501442672737</v>
      </c>
      <c r="CU41" s="266">
        <f t="shared" si="93"/>
        <v>9.432400182232346</v>
      </c>
      <c r="CV41" s="266">
        <f t="shared" si="94"/>
        <v>9.5891928929384971</v>
      </c>
      <c r="CW41" s="266">
        <f t="shared" si="95"/>
        <v>9.7476749658314361</v>
      </c>
      <c r="CX41" s="266" t="e">
        <f t="shared" si="96"/>
        <v>#VALUE!</v>
      </c>
      <c r="CY41" s="266" t="e">
        <f t="shared" si="97"/>
        <v>#VALUE!</v>
      </c>
      <c r="CZ41" s="266" t="e">
        <f t="shared" si="98"/>
        <v>#VALUE!</v>
      </c>
      <c r="DA41" s="266" t="e">
        <f t="shared" si="99"/>
        <v>#VALUE!</v>
      </c>
      <c r="DB41" s="266" t="e">
        <f t="shared" si="100"/>
        <v>#VALUE!</v>
      </c>
      <c r="DC41" s="266" t="e">
        <f t="shared" si="101"/>
        <v>#VALUE!</v>
      </c>
      <c r="DD41" s="266" t="e">
        <f t="shared" si="102"/>
        <v>#VALUE!</v>
      </c>
      <c r="DE41" s="266" t="e">
        <f t="shared" si="103"/>
        <v>#VALUE!</v>
      </c>
      <c r="DF41" s="266" t="e">
        <f t="shared" si="104"/>
        <v>#VALUE!</v>
      </c>
      <c r="DG41" s="266" t="e">
        <f t="shared" si="105"/>
        <v>#VALUE!</v>
      </c>
      <c r="DH41" s="266" t="e">
        <f t="shared" si="106"/>
        <v>#VALUE!</v>
      </c>
      <c r="DI41" s="266" t="e">
        <f t="shared" si="107"/>
        <v>#VALUE!</v>
      </c>
      <c r="DJ41" s="266" t="e">
        <f t="shared" si="108"/>
        <v>#VALUE!</v>
      </c>
    </row>
    <row r="42" spans="1:114" x14ac:dyDescent="0.25">
      <c r="B42" s="129" t="str">
        <f>Main!C3</f>
        <v>LBP</v>
      </c>
      <c r="D42" s="129">
        <f>VLOOKUP(B42,Main_Particulars,3,FALSE)</f>
        <v>131.69999999999999</v>
      </c>
      <c r="E42" s="314"/>
      <c r="F42" s="314"/>
      <c r="AP42" s="305">
        <v>1.5</v>
      </c>
      <c r="AR42" s="307" t="str">
        <f>IFERROR(CONCATENATE(STN_GAP*Tools!AD6,",0 "),"")</f>
        <v xml:space="preserve">9.8775,0 </v>
      </c>
      <c r="AS42" s="266" t="str">
        <f>IFERROR(CONCATENATE(STN_GAP*Tools!AD6,",",DEPTH," "),"")</f>
        <v xml:space="preserve">9.8775,14.19 </v>
      </c>
      <c r="AT42" s="294" t="str">
        <f t="shared" si="68"/>
        <v xml:space="preserve">Line 9.8775,0 9.8775,14.19  </v>
      </c>
      <c r="AU42" s="266"/>
      <c r="AV42" s="308" t="str">
        <f>IFERROR(CONCATENATE("0,",WLS*Tools!AP42," "),"")</f>
        <v xml:space="preserve">0,2.7 </v>
      </c>
      <c r="AW42" s="266" t="str">
        <f>IFERROR(CONCATENATE(LBP,",",WLS*Tools!AP42," "),"")</f>
        <v xml:space="preserve">131.7,2.7 </v>
      </c>
      <c r="AX42" s="294" t="str">
        <f t="shared" si="69"/>
        <v xml:space="preserve">Line 0,2.7 131.7,2.7  </v>
      </c>
      <c r="AY42" s="277"/>
      <c r="AZ42" s="266" t="str">
        <f t="shared" si="70"/>
        <v/>
      </c>
      <c r="BA42" s="266" t="str">
        <f t="shared" si="71"/>
        <v/>
      </c>
      <c r="BB42" s="294" t="str">
        <f t="shared" si="67"/>
        <v/>
      </c>
      <c r="BC42" s="266"/>
      <c r="BD42" s="266" t="str">
        <f>IFERROR(CONCATENATE(STN_GAP*Tools!AD6,",",ROUND(Y_Shift_HB,3)," "),"")</f>
        <v xml:space="preserve">9.8775,-18.698 </v>
      </c>
      <c r="BE42" s="266" t="str">
        <f>IFERROR(CONCATENATE(STN_GAP*Tools!AD6,",",ROUND(Y_Shift_HB+BREADTH/2,3)," "),"")</f>
        <v xml:space="preserve">9.8775,-6.448 </v>
      </c>
      <c r="BF42" s="294" t="str">
        <f t="shared" si="72"/>
        <v xml:space="preserve">Line 9.8775,-18.698 9.8775,-6.448  </v>
      </c>
      <c r="BG42" s="277"/>
      <c r="BH42" s="266" t="str">
        <f>IFERROR(CONCATENATE(ROUND(X_SHIFT_BP-BREADTH/2,3),",",ROUND(WLS*Tools!AP42,3)," "),"")</f>
        <v xml:space="preserve">143.185,2.7 </v>
      </c>
      <c r="BI42" s="266" t="str">
        <f>IFERROR(CONCATENATE(ROUND(X_SHIFT_BP+BREADTH/2,3),",",ROUND(WLS*Tools!AP42,3)," "),"")</f>
        <v xml:space="preserve">167.685,2.7 </v>
      </c>
      <c r="BJ42" s="294" t="str">
        <f t="shared" si="73"/>
        <v xml:space="preserve">Line 143.185,2.7 167.685,2.7  </v>
      </c>
      <c r="BK42" s="266"/>
      <c r="BL42" s="266" t="str">
        <f t="shared" si="74"/>
        <v/>
      </c>
      <c r="BM42" s="266" t="str">
        <f t="shared" si="75"/>
        <v/>
      </c>
      <c r="BN42" s="294" t="str">
        <f t="shared" si="76"/>
        <v/>
      </c>
      <c r="BO42" s="266"/>
      <c r="BP42" s="266" t="str">
        <f t="shared" si="77"/>
        <v/>
      </c>
      <c r="BQ42" s="266" t="str">
        <f t="shared" si="78"/>
        <v/>
      </c>
      <c r="BR42" s="294" t="str">
        <f t="shared" si="79"/>
        <v/>
      </c>
      <c r="BS42" s="277"/>
      <c r="BT42" s="309" t="str">
        <f>IFERROR(CONCATENATE(ROUND(BA_Station_Scale_in_x*STN_GAP*Tools!AD6,3),",0 "),"")</f>
        <v xml:space="preserve">9.878,0 </v>
      </c>
      <c r="BU42" s="297" t="str">
        <f>IFERROR(CONCATENATE(ROUND(BA_Station_Scale_in_x*STN_GAP*Tools!AD6,3),",",ROUND(DEPTH*BA_Y_scale_of_WL,3)," "),"")</f>
        <v xml:space="preserve">9.878,28.38 </v>
      </c>
      <c r="BV42" s="310" t="str">
        <f t="shared" si="80"/>
        <v xml:space="preserve">Line 9.878,0 9.878,28.38  </v>
      </c>
      <c r="BW42" s="297"/>
      <c r="BX42" s="309" t="str">
        <f>IFERROR(CONCATENATE("0,",ROUND(BA_Y_scale_of_WL*WLS*Tools!AP42,3)," "),"")</f>
        <v xml:space="preserve">0,5.4 </v>
      </c>
      <c r="BY42" s="297" t="str">
        <f>IFERROR(CONCATENATE(LBP,",",ROUND(BA_Y_scale_of_WL*WLS*Tools!AP42,3)," "),"")</f>
        <v xml:space="preserve">131.7,5.4 </v>
      </c>
      <c r="BZ42" s="310" t="str">
        <f t="shared" si="81"/>
        <v xml:space="preserve">Line 0,5.4 131.7,5.4  </v>
      </c>
      <c r="CA42" s="277"/>
      <c r="CB42" s="312">
        <v>3</v>
      </c>
      <c r="CC42" s="312" t="str">
        <f t="shared" si="82"/>
        <v xml:space="preserve">Line 0,2.7 20,2.7  </v>
      </c>
      <c r="CD42" s="313" t="str">
        <f t="shared" si="83"/>
        <v xml:space="preserve">Line 3,0 3,14.19  </v>
      </c>
      <c r="CG42" s="262"/>
      <c r="CH42" s="262"/>
      <c r="CI42" s="262"/>
      <c r="CJ42" s="262"/>
      <c r="CK42" s="265">
        <f t="shared" si="37"/>
        <v>10</v>
      </c>
      <c r="CL42" s="266">
        <f t="shared" si="84"/>
        <v>10</v>
      </c>
      <c r="CM42" s="266">
        <f t="shared" si="85"/>
        <v>10.002488633257403</v>
      </c>
      <c r="CN42" s="266">
        <f t="shared" si="86"/>
        <v>10.010968929384966</v>
      </c>
      <c r="CO42" s="266">
        <f t="shared" si="87"/>
        <v>10.025669681093394</v>
      </c>
      <c r="CP42" s="266">
        <f t="shared" si="88"/>
        <v>10.046755717539863</v>
      </c>
      <c r="CQ42" s="266">
        <f t="shared" si="89"/>
        <v>10.107084829157175</v>
      </c>
      <c r="CR42" s="266">
        <f t="shared" si="90"/>
        <v>10.191411753986333</v>
      </c>
      <c r="CS42" s="266">
        <f t="shared" si="91"/>
        <v>10.299959544419135</v>
      </c>
      <c r="CT42" s="266">
        <f t="shared" si="92"/>
        <v>10.37812886864085</v>
      </c>
      <c r="CU42" s="266">
        <f t="shared" si="93"/>
        <v>10.432505148063781</v>
      </c>
      <c r="CV42" s="266">
        <f t="shared" si="94"/>
        <v>10.589271617312074</v>
      </c>
      <c r="CW42" s="266">
        <f t="shared" si="95"/>
        <v>10.747753690205011</v>
      </c>
      <c r="CX42" s="266" t="e">
        <f t="shared" si="96"/>
        <v>#VALUE!</v>
      </c>
      <c r="CY42" s="266" t="e">
        <f t="shared" si="97"/>
        <v>#VALUE!</v>
      </c>
      <c r="CZ42" s="266" t="e">
        <f t="shared" si="98"/>
        <v>#VALUE!</v>
      </c>
      <c r="DA42" s="266" t="e">
        <f t="shared" si="99"/>
        <v>#VALUE!</v>
      </c>
      <c r="DB42" s="266" t="e">
        <f t="shared" si="100"/>
        <v>#VALUE!</v>
      </c>
      <c r="DC42" s="266" t="e">
        <f t="shared" si="101"/>
        <v>#VALUE!</v>
      </c>
      <c r="DD42" s="266" t="e">
        <f t="shared" si="102"/>
        <v>#VALUE!</v>
      </c>
      <c r="DE42" s="266" t="e">
        <f t="shared" si="103"/>
        <v>#VALUE!</v>
      </c>
      <c r="DF42" s="266" t="e">
        <f t="shared" si="104"/>
        <v>#VALUE!</v>
      </c>
      <c r="DG42" s="266" t="e">
        <f t="shared" si="105"/>
        <v>#VALUE!</v>
      </c>
      <c r="DH42" s="266" t="e">
        <f t="shared" si="106"/>
        <v>#VALUE!</v>
      </c>
      <c r="DI42" s="266" t="e">
        <f t="shared" si="107"/>
        <v>#VALUE!</v>
      </c>
      <c r="DJ42" s="266" t="e">
        <f t="shared" si="108"/>
        <v>#VALUE!</v>
      </c>
    </row>
    <row r="43" spans="1:114" ht="18.75" x14ac:dyDescent="0.3">
      <c r="B43" s="129" t="str">
        <f>Main!C4</f>
        <v>B</v>
      </c>
      <c r="D43" s="129">
        <f>VLOOKUP(B43,Main_Particulars,3,FALSE)</f>
        <v>24.5</v>
      </c>
      <c r="F43" s="314"/>
      <c r="L43" s="272" t="s">
        <v>249</v>
      </c>
      <c r="M43" s="270"/>
      <c r="N43" s="270"/>
      <c r="O43" s="270"/>
      <c r="P43" s="270"/>
      <c r="Q43" s="271"/>
      <c r="AP43" s="305">
        <v>2</v>
      </c>
      <c r="AR43" s="307" t="str">
        <f>IFERROR(CONCATENATE(STN_GAP*Tools!AD7,",0 "),"")</f>
        <v xml:space="preserve">13.17,0 </v>
      </c>
      <c r="AS43" s="266" t="str">
        <f>IFERROR(CONCATENATE(STN_GAP*Tools!AD7,",",DEPTH," "),"")</f>
        <v xml:space="preserve">13.17,14.19 </v>
      </c>
      <c r="AT43" s="294" t="str">
        <f t="shared" si="68"/>
        <v xml:space="preserve">Line 13.17,0 13.17,14.19  </v>
      </c>
      <c r="AU43" s="266"/>
      <c r="AV43" s="308" t="str">
        <f>IFERROR(CONCATENATE("0,",WLS*Tools!AP43," "),"")</f>
        <v xml:space="preserve">0,3.6 </v>
      </c>
      <c r="AW43" s="266" t="str">
        <f>IFERROR(CONCATENATE(LBP,",",WLS*Tools!AP43," "),"")</f>
        <v xml:space="preserve">131.7,3.6 </v>
      </c>
      <c r="AX43" s="294" t="str">
        <f t="shared" si="69"/>
        <v xml:space="preserve">Line 0,3.6 131.7,3.6  </v>
      </c>
      <c r="AY43" s="277"/>
      <c r="AZ43" s="266" t="str">
        <f t="shared" si="70"/>
        <v/>
      </c>
      <c r="BA43" s="266" t="str">
        <f t="shared" si="71"/>
        <v/>
      </c>
      <c r="BB43" s="294" t="str">
        <f t="shared" si="67"/>
        <v/>
      </c>
      <c r="BC43" s="266"/>
      <c r="BD43" s="266" t="str">
        <f>IFERROR(CONCATENATE(STN_GAP*Tools!AD7,",",ROUND(Y_Shift_HB,3)," "),"")</f>
        <v xml:space="preserve">13.17,-18.698 </v>
      </c>
      <c r="BE43" s="266" t="str">
        <f>IFERROR(CONCATENATE(STN_GAP*Tools!AD7,",",ROUND(Y_Shift_HB+BREADTH/2,3)," "),"")</f>
        <v xml:space="preserve">13.17,-6.448 </v>
      </c>
      <c r="BF43" s="294" t="str">
        <f t="shared" si="72"/>
        <v xml:space="preserve">Line 13.17,-18.698 13.17,-6.448  </v>
      </c>
      <c r="BG43" s="277"/>
      <c r="BH43" s="266" t="str">
        <f>IFERROR(CONCATENATE(ROUND(X_SHIFT_BP-BREADTH/2,3),",",ROUND(WLS*Tools!AP43,3)," "),"")</f>
        <v xml:space="preserve">143.185,3.6 </v>
      </c>
      <c r="BI43" s="266" t="str">
        <f>IFERROR(CONCATENATE(ROUND(X_SHIFT_BP+BREADTH/2,3),",",ROUND(WLS*Tools!AP43,3)," "),"")</f>
        <v xml:space="preserve">167.685,3.6 </v>
      </c>
      <c r="BJ43" s="294" t="str">
        <f t="shared" si="73"/>
        <v xml:space="preserve">Line 143.185,3.6 167.685,3.6  </v>
      </c>
      <c r="BK43" s="266"/>
      <c r="BL43" s="266" t="str">
        <f t="shared" si="74"/>
        <v/>
      </c>
      <c r="BM43" s="266" t="str">
        <f t="shared" si="75"/>
        <v/>
      </c>
      <c r="BN43" s="294" t="str">
        <f t="shared" si="76"/>
        <v/>
      </c>
      <c r="BO43" s="266"/>
      <c r="BP43" s="266" t="str">
        <f t="shared" si="77"/>
        <v/>
      </c>
      <c r="BQ43" s="266" t="str">
        <f t="shared" si="78"/>
        <v/>
      </c>
      <c r="BR43" s="294" t="str">
        <f t="shared" si="79"/>
        <v/>
      </c>
      <c r="BS43" s="277"/>
      <c r="BT43" s="309" t="str">
        <f>IFERROR(CONCATENATE(ROUND(BA_Station_Scale_in_x*STN_GAP*Tools!AD7,3),",0 "),"")</f>
        <v xml:space="preserve">13.17,0 </v>
      </c>
      <c r="BU43" s="297" t="str">
        <f>IFERROR(CONCATENATE(ROUND(BA_Station_Scale_in_x*STN_GAP*Tools!AD7,3),",",ROUND(DEPTH*BA_Y_scale_of_WL,3)," "),"")</f>
        <v xml:space="preserve">13.17,28.38 </v>
      </c>
      <c r="BV43" s="310" t="str">
        <f t="shared" si="80"/>
        <v xml:space="preserve">Line 13.17,0 13.17,28.38  </v>
      </c>
      <c r="BW43" s="297"/>
      <c r="BX43" s="309" t="str">
        <f>IFERROR(CONCATENATE("0,",ROUND(BA_Y_scale_of_WL*WLS*Tools!AP43,3)," "),"")</f>
        <v xml:space="preserve">0,7.2 </v>
      </c>
      <c r="BY43" s="297" t="str">
        <f>IFERROR(CONCATENATE(LBP,",",ROUND(BA_Y_scale_of_WL*WLS*Tools!AP43,3)," "),"")</f>
        <v xml:space="preserve">131.7,7.2 </v>
      </c>
      <c r="BZ43" s="310" t="str">
        <f t="shared" si="81"/>
        <v xml:space="preserve">Line 0,7.2 131.7,7.2  </v>
      </c>
      <c r="CA43" s="277"/>
      <c r="CB43" s="311">
        <v>4</v>
      </c>
      <c r="CC43" s="312" t="str">
        <f t="shared" si="82"/>
        <v xml:space="preserve">Line 0,3.6 20,3.6  </v>
      </c>
      <c r="CD43" s="313" t="str">
        <f t="shared" si="83"/>
        <v xml:space="preserve">Line 4,0 4,14.19  </v>
      </c>
      <c r="CG43" s="262"/>
      <c r="CH43" s="262"/>
      <c r="CI43" s="262"/>
      <c r="CJ43" s="262"/>
      <c r="CK43" s="265">
        <f t="shared" si="37"/>
        <v>11</v>
      </c>
      <c r="CL43" s="266">
        <f t="shared" si="84"/>
        <v>11</v>
      </c>
      <c r="CM43" s="266">
        <f t="shared" si="85"/>
        <v>11.002474077448747</v>
      </c>
      <c r="CN43" s="266">
        <f t="shared" si="86"/>
        <v>11.010798359908884</v>
      </c>
      <c r="CO43" s="266">
        <f t="shared" si="87"/>
        <v>11.025391070615035</v>
      </c>
      <c r="CP43" s="266">
        <f t="shared" si="88"/>
        <v>11.046316173120729</v>
      </c>
      <c r="CQ43" s="266">
        <f t="shared" si="89"/>
        <v>11.106612482915718</v>
      </c>
      <c r="CR43" s="266">
        <f t="shared" si="90"/>
        <v>11.190919726651481</v>
      </c>
      <c r="CS43" s="266">
        <f t="shared" si="91"/>
        <v>11.299487198177676</v>
      </c>
      <c r="CT43" s="266">
        <f t="shared" si="92"/>
        <v>11.377656522399393</v>
      </c>
      <c r="CU43" s="266">
        <f t="shared" si="93"/>
        <v>11.432013120728929</v>
      </c>
      <c r="CV43" s="266">
        <f t="shared" si="94"/>
        <v>11.588799271070615</v>
      </c>
      <c r="CW43" s="266">
        <f t="shared" si="95"/>
        <v>11.747281343963554</v>
      </c>
      <c r="CX43" s="266" t="e">
        <f t="shared" si="96"/>
        <v>#VALUE!</v>
      </c>
      <c r="CY43" s="266" t="e">
        <f t="shared" si="97"/>
        <v>#VALUE!</v>
      </c>
      <c r="CZ43" s="266" t="e">
        <f t="shared" si="98"/>
        <v>#VALUE!</v>
      </c>
      <c r="DA43" s="266" t="e">
        <f t="shared" si="99"/>
        <v>#VALUE!</v>
      </c>
      <c r="DB43" s="266" t="e">
        <f t="shared" si="100"/>
        <v>#VALUE!</v>
      </c>
      <c r="DC43" s="266" t="e">
        <f t="shared" si="101"/>
        <v>#VALUE!</v>
      </c>
      <c r="DD43" s="266" t="e">
        <f t="shared" si="102"/>
        <v>#VALUE!</v>
      </c>
      <c r="DE43" s="266" t="e">
        <f t="shared" si="103"/>
        <v>#VALUE!</v>
      </c>
      <c r="DF43" s="266" t="e">
        <f t="shared" si="104"/>
        <v>#VALUE!</v>
      </c>
      <c r="DG43" s="266" t="e">
        <f t="shared" si="105"/>
        <v>#VALUE!</v>
      </c>
      <c r="DH43" s="266" t="e">
        <f t="shared" si="106"/>
        <v>#VALUE!</v>
      </c>
      <c r="DI43" s="266" t="e">
        <f t="shared" si="107"/>
        <v>#VALUE!</v>
      </c>
      <c r="DJ43" s="266" t="e">
        <f t="shared" si="108"/>
        <v>#VALUE!</v>
      </c>
    </row>
    <row r="44" spans="1:114" x14ac:dyDescent="0.25">
      <c r="B44" s="129" t="str">
        <f>Main!C5</f>
        <v>D</v>
      </c>
      <c r="D44" s="129">
        <f>VLOOKUP(B44,Main_Particulars,3,FALSE)</f>
        <v>14.19</v>
      </c>
      <c r="F44" s="314" t="s">
        <v>306</v>
      </c>
      <c r="L44" s="274"/>
      <c r="M44" s="277"/>
      <c r="N44" s="277"/>
      <c r="O44" s="277"/>
      <c r="P44" s="277"/>
      <c r="Q44" s="276"/>
      <c r="AP44" s="305">
        <v>3</v>
      </c>
      <c r="AR44" s="307" t="str">
        <f>IFERROR(CONCATENATE(STN_GAP*Tools!AD8,",0 "),"")</f>
        <v xml:space="preserve">19.755,0 </v>
      </c>
      <c r="AS44" s="266" t="str">
        <f>IFERROR(CONCATENATE(STN_GAP*Tools!AD8,",",DEPTH," "),"")</f>
        <v xml:space="preserve">19.755,14.19 </v>
      </c>
      <c r="AT44" s="294" t="str">
        <f t="shared" si="68"/>
        <v xml:space="preserve">Line 19.755,0 19.755,14.19  </v>
      </c>
      <c r="AU44" s="266"/>
      <c r="AV44" s="308" t="str">
        <f>IFERROR(CONCATENATE("0,",WLS*Tools!AP44," "),"")</f>
        <v xml:space="preserve">0,5.4 </v>
      </c>
      <c r="AW44" s="266" t="str">
        <f>IFERROR(CONCATENATE(LBP,",",WLS*Tools!AP44," "),"")</f>
        <v xml:space="preserve">131.7,5.4 </v>
      </c>
      <c r="AX44" s="294" t="str">
        <f t="shared" si="69"/>
        <v xml:space="preserve">Line 0,5.4 131.7,5.4  </v>
      </c>
      <c r="AY44" s="277"/>
      <c r="AZ44" s="266" t="str">
        <f t="shared" si="70"/>
        <v/>
      </c>
      <c r="BA44" s="266" t="str">
        <f t="shared" si="71"/>
        <v/>
      </c>
      <c r="BB44" s="294" t="str">
        <f t="shared" si="67"/>
        <v/>
      </c>
      <c r="BC44" s="266"/>
      <c r="BD44" s="266" t="str">
        <f>IFERROR(CONCATENATE(STN_GAP*Tools!AD8,",",ROUND(Y_Shift_HB,3)," "),"")</f>
        <v xml:space="preserve">19.755,-18.698 </v>
      </c>
      <c r="BE44" s="266" t="str">
        <f>IFERROR(CONCATENATE(STN_GAP*Tools!AD8,",",ROUND(Y_Shift_HB+BREADTH/2,3)," "),"")</f>
        <v xml:space="preserve">19.755,-6.448 </v>
      </c>
      <c r="BF44" s="294" t="str">
        <f t="shared" si="72"/>
        <v xml:space="preserve">Line 19.755,-18.698 19.755,-6.448  </v>
      </c>
      <c r="BG44" s="277"/>
      <c r="BH44" s="266" t="str">
        <f>IFERROR(CONCATENATE(ROUND(X_SHIFT_BP-BREADTH/2,3),",",ROUND(WLS*Tools!AP44,3)," "),"")</f>
        <v xml:space="preserve">143.185,5.4 </v>
      </c>
      <c r="BI44" s="266" t="str">
        <f>IFERROR(CONCATENATE(ROUND(X_SHIFT_BP+BREADTH/2,3),",",ROUND(WLS*Tools!AP44,3)," "),"")</f>
        <v xml:space="preserve">167.685,5.4 </v>
      </c>
      <c r="BJ44" s="294" t="str">
        <f t="shared" si="73"/>
        <v xml:space="preserve">Line 143.185,5.4 167.685,5.4  </v>
      </c>
      <c r="BK44" s="266"/>
      <c r="BL44" s="266" t="str">
        <f t="shared" si="74"/>
        <v/>
      </c>
      <c r="BM44" s="266" t="str">
        <f t="shared" si="75"/>
        <v/>
      </c>
      <c r="BN44" s="294" t="str">
        <f t="shared" si="76"/>
        <v/>
      </c>
      <c r="BO44" s="266"/>
      <c r="BP44" s="266" t="str">
        <f t="shared" si="77"/>
        <v/>
      </c>
      <c r="BQ44" s="266" t="str">
        <f t="shared" si="78"/>
        <v/>
      </c>
      <c r="BR44" s="294" t="str">
        <f t="shared" si="79"/>
        <v/>
      </c>
      <c r="BS44" s="277"/>
      <c r="BT44" s="309" t="str">
        <f>IFERROR(CONCATENATE(ROUND(BA_Station_Scale_in_x*STN_GAP*Tools!AD8,3),",0 "),"")</f>
        <v xml:space="preserve">19.755,0 </v>
      </c>
      <c r="BU44" s="297" t="str">
        <f>IFERROR(CONCATENATE(ROUND(BA_Station_Scale_in_x*STN_GAP*Tools!AD8,3),",",ROUND(DEPTH*BA_Y_scale_of_WL,3)," "),"")</f>
        <v xml:space="preserve">19.755,28.38 </v>
      </c>
      <c r="BV44" s="310" t="str">
        <f t="shared" si="80"/>
        <v xml:space="preserve">Line 19.755,0 19.755,28.38  </v>
      </c>
      <c r="BW44" s="297"/>
      <c r="BX44" s="309" t="str">
        <f>IFERROR(CONCATENATE("0,",ROUND(BA_Y_scale_of_WL*WLS*Tools!AP44,3)," "),"")</f>
        <v xml:space="preserve">0,10.8 </v>
      </c>
      <c r="BY44" s="297" t="str">
        <f>IFERROR(CONCATENATE(LBP,",",ROUND(BA_Y_scale_of_WL*WLS*Tools!AP44,3)," "),"")</f>
        <v xml:space="preserve">131.7,10.8 </v>
      </c>
      <c r="BZ44" s="310" t="str">
        <f t="shared" si="81"/>
        <v xml:space="preserve">Line 0,10.8 131.7,10.8  </v>
      </c>
      <c r="CA44" s="277"/>
      <c r="CB44" s="312">
        <v>5</v>
      </c>
      <c r="CC44" s="312" t="str">
        <f t="shared" si="82"/>
        <v xml:space="preserve">Line 0,5.4 20,5.4  </v>
      </c>
      <c r="CD44" s="313" t="str">
        <f t="shared" si="83"/>
        <v xml:space="preserve">Line 5,0 5,14.19  </v>
      </c>
      <c r="CG44" s="262"/>
      <c r="CH44" s="262"/>
      <c r="CI44" s="262"/>
      <c r="CJ44" s="262"/>
      <c r="CK44" s="265">
        <f t="shared" si="37"/>
        <v>12</v>
      </c>
      <c r="CL44" s="266">
        <f t="shared" si="84"/>
        <v>12</v>
      </c>
      <c r="CM44" s="266">
        <f t="shared" si="85"/>
        <v>12.002309453302962</v>
      </c>
      <c r="CN44" s="266">
        <f t="shared" si="86"/>
        <v>12.010214487471526</v>
      </c>
      <c r="CO44" s="266">
        <f t="shared" si="87"/>
        <v>12.024239111617312</v>
      </c>
      <c r="CP44" s="266">
        <f t="shared" si="88"/>
        <v>12.044564555808655</v>
      </c>
      <c r="CQ44" s="266">
        <f t="shared" si="89"/>
        <v>12.104067061503416</v>
      </c>
      <c r="CR44" s="266">
        <f t="shared" si="90"/>
        <v>12.188393986332574</v>
      </c>
      <c r="CS44" s="266">
        <f t="shared" si="91"/>
        <v>12.296843371298406</v>
      </c>
      <c r="CT44" s="266">
        <f t="shared" si="92"/>
        <v>12.375012695520121</v>
      </c>
      <c r="CU44" s="266">
        <f t="shared" si="93"/>
        <v>12.429487380410023</v>
      </c>
      <c r="CV44" s="266">
        <f t="shared" si="94"/>
        <v>12.586155444191345</v>
      </c>
      <c r="CW44" s="266">
        <f t="shared" si="95"/>
        <v>12.744637517084282</v>
      </c>
      <c r="CX44" s="266" t="e">
        <f t="shared" si="96"/>
        <v>#VALUE!</v>
      </c>
      <c r="CY44" s="266" t="e">
        <f t="shared" si="97"/>
        <v>#VALUE!</v>
      </c>
      <c r="CZ44" s="266" t="e">
        <f t="shared" si="98"/>
        <v>#VALUE!</v>
      </c>
      <c r="DA44" s="266" t="e">
        <f t="shared" si="99"/>
        <v>#VALUE!</v>
      </c>
      <c r="DB44" s="266" t="e">
        <f t="shared" si="100"/>
        <v>#VALUE!</v>
      </c>
      <c r="DC44" s="266" t="e">
        <f t="shared" si="101"/>
        <v>#VALUE!</v>
      </c>
      <c r="DD44" s="266" t="e">
        <f t="shared" si="102"/>
        <v>#VALUE!</v>
      </c>
      <c r="DE44" s="266" t="e">
        <f t="shared" si="103"/>
        <v>#VALUE!</v>
      </c>
      <c r="DF44" s="266" t="e">
        <f t="shared" si="104"/>
        <v>#VALUE!</v>
      </c>
      <c r="DG44" s="266" t="e">
        <f t="shared" si="105"/>
        <v>#VALUE!</v>
      </c>
      <c r="DH44" s="266" t="e">
        <f t="shared" si="106"/>
        <v>#VALUE!</v>
      </c>
      <c r="DI44" s="266" t="e">
        <f t="shared" si="107"/>
        <v>#VALUE!</v>
      </c>
      <c r="DJ44" s="266" t="e">
        <f t="shared" si="108"/>
        <v>#VALUE!</v>
      </c>
    </row>
    <row r="45" spans="1:114" x14ac:dyDescent="0.25">
      <c r="B45" s="129" t="str">
        <f>Main!C6</f>
        <v>T</v>
      </c>
      <c r="D45" s="129">
        <f>VLOOKUP(B45,Main_Particulars,3,FALSE)</f>
        <v>10.1</v>
      </c>
      <c r="F45" s="129">
        <f>MAX(B1:Z1)*WLS</f>
        <v>12.6</v>
      </c>
      <c r="L45" s="315">
        <v>3</v>
      </c>
      <c r="M45" s="316"/>
      <c r="N45" s="316"/>
      <c r="O45" s="277"/>
      <c r="P45" s="277"/>
      <c r="Q45" s="276"/>
      <c r="AP45" s="305">
        <v>4</v>
      </c>
      <c r="AR45" s="307" t="str">
        <f>IFERROR(CONCATENATE(STN_GAP*Tools!AD9,",0 "),"")</f>
        <v xml:space="preserve">26.34,0 </v>
      </c>
      <c r="AS45" s="266" t="str">
        <f>IFERROR(CONCATENATE(STN_GAP*Tools!AD9,",",DEPTH," "),"")</f>
        <v xml:space="preserve">26.34,14.19 </v>
      </c>
      <c r="AT45" s="294" t="str">
        <f t="shared" si="68"/>
        <v xml:space="preserve">Line 26.34,0 26.34,14.19  </v>
      </c>
      <c r="AU45" s="266"/>
      <c r="AV45" s="308" t="str">
        <f>IFERROR(CONCATENATE("0,",WLS*Tools!AP45," "),"")</f>
        <v xml:space="preserve">0,7.2 </v>
      </c>
      <c r="AW45" s="266" t="str">
        <f>IFERROR(CONCATENATE(LBP,",",WLS*Tools!AP45," "),"")</f>
        <v xml:space="preserve">131.7,7.2 </v>
      </c>
      <c r="AX45" s="294" t="str">
        <f t="shared" si="69"/>
        <v xml:space="preserve">Line 0,7.2 131.7,7.2  </v>
      </c>
      <c r="AY45" s="277"/>
      <c r="AZ45" s="266" t="str">
        <f t="shared" si="70"/>
        <v/>
      </c>
      <c r="BA45" s="266" t="str">
        <f t="shared" si="71"/>
        <v/>
      </c>
      <c r="BB45" s="294" t="str">
        <f t="shared" si="67"/>
        <v/>
      </c>
      <c r="BC45" s="266"/>
      <c r="BD45" s="266" t="str">
        <f>IFERROR(CONCATENATE(STN_GAP*Tools!AD9,",",ROUND(Y_Shift_HB,3)," "),"")</f>
        <v xml:space="preserve">26.34,-18.698 </v>
      </c>
      <c r="BE45" s="266" t="str">
        <f>IFERROR(CONCATENATE(STN_GAP*Tools!AD9,",",ROUND(Y_Shift_HB+BREADTH/2,3)," "),"")</f>
        <v xml:space="preserve">26.34,-6.448 </v>
      </c>
      <c r="BF45" s="294" t="str">
        <f t="shared" si="72"/>
        <v xml:space="preserve">Line 26.34,-18.698 26.34,-6.448  </v>
      </c>
      <c r="BG45" s="277"/>
      <c r="BH45" s="266" t="str">
        <f>IFERROR(CONCATENATE(ROUND(X_SHIFT_BP-BREADTH/2,3),",",ROUND(WLS*Tools!AP45,3)," "),"")</f>
        <v xml:space="preserve">143.185,7.2 </v>
      </c>
      <c r="BI45" s="266" t="str">
        <f>IFERROR(CONCATENATE(ROUND(X_SHIFT_BP+BREADTH/2,3),",",ROUND(WLS*Tools!AP45,3)," "),"")</f>
        <v xml:space="preserve">167.685,7.2 </v>
      </c>
      <c r="BJ45" s="294" t="str">
        <f t="shared" si="73"/>
        <v xml:space="preserve">Line 143.185,7.2 167.685,7.2  </v>
      </c>
      <c r="BK45" s="266"/>
      <c r="BL45" s="266" t="str">
        <f t="shared" si="74"/>
        <v/>
      </c>
      <c r="BM45" s="266" t="str">
        <f t="shared" si="75"/>
        <v/>
      </c>
      <c r="BN45" s="294" t="str">
        <f t="shared" si="76"/>
        <v/>
      </c>
      <c r="BO45" s="266"/>
      <c r="BP45" s="266" t="str">
        <f t="shared" si="77"/>
        <v/>
      </c>
      <c r="BQ45" s="266" t="str">
        <f t="shared" si="78"/>
        <v/>
      </c>
      <c r="BR45" s="294" t="str">
        <f t="shared" si="79"/>
        <v/>
      </c>
      <c r="BS45" s="277"/>
      <c r="BT45" s="309" t="str">
        <f>IFERROR(CONCATENATE(ROUND(BA_Station_Scale_in_x*STN_GAP*Tools!AD9,3),",0 "),"")</f>
        <v xml:space="preserve">26.34,0 </v>
      </c>
      <c r="BU45" s="297" t="str">
        <f>IFERROR(CONCATENATE(ROUND(BA_Station_Scale_in_x*STN_GAP*Tools!AD9,3),",",ROUND(DEPTH*BA_Y_scale_of_WL,3)," "),"")</f>
        <v xml:space="preserve">26.34,28.38 </v>
      </c>
      <c r="BV45" s="310" t="str">
        <f t="shared" si="80"/>
        <v xml:space="preserve">Line 26.34,0 26.34,28.38  </v>
      </c>
      <c r="BW45" s="297"/>
      <c r="BX45" s="309" t="str">
        <f>IFERROR(CONCATENATE("0,",ROUND(BA_Y_scale_of_WL*WLS*Tools!AP45,3)," "),"")</f>
        <v xml:space="preserve">0,14.4 </v>
      </c>
      <c r="BY45" s="297" t="str">
        <f>IFERROR(CONCATENATE(LBP,",",ROUND(BA_Y_scale_of_WL*WLS*Tools!AP45,3)," "),"")</f>
        <v xml:space="preserve">131.7,14.4 </v>
      </c>
      <c r="BZ45" s="310" t="str">
        <f t="shared" si="81"/>
        <v xml:space="preserve">Line 0,14.4 131.7,14.4  </v>
      </c>
      <c r="CA45" s="277"/>
      <c r="CB45" s="311">
        <v>6</v>
      </c>
      <c r="CC45" s="312" t="str">
        <f t="shared" si="82"/>
        <v xml:space="preserve">Line 0,7.2 20,7.2  </v>
      </c>
      <c r="CD45" s="313" t="str">
        <f t="shared" si="83"/>
        <v xml:space="preserve">Line 6,0 6,14.19  </v>
      </c>
      <c r="CG45" s="262"/>
      <c r="CH45" s="262"/>
      <c r="CI45" s="262"/>
      <c r="CJ45" s="262"/>
      <c r="CK45" s="265">
        <f t="shared" si="37"/>
        <v>13</v>
      </c>
      <c r="CL45" s="266">
        <f t="shared" si="84"/>
        <v>13</v>
      </c>
      <c r="CM45" s="266">
        <f t="shared" si="85"/>
        <v>13.00201874715262</v>
      </c>
      <c r="CN45" s="266">
        <f t="shared" si="86"/>
        <v>13.009089384965831</v>
      </c>
      <c r="CO45" s="266">
        <f t="shared" si="87"/>
        <v>13.021883530751708</v>
      </c>
      <c r="CP45" s="266">
        <f t="shared" si="88"/>
        <v>13.040680820045559</v>
      </c>
      <c r="CQ45" s="266">
        <f t="shared" si="89"/>
        <v>13.096834259681094</v>
      </c>
      <c r="CR45" s="266">
        <f t="shared" si="90"/>
        <v>13.178291025056948</v>
      </c>
      <c r="CS45" s="266">
        <f t="shared" si="91"/>
        <v>13.285339772209568</v>
      </c>
      <c r="CT45" s="266">
        <f t="shared" si="92"/>
        <v>13.363192487977727</v>
      </c>
      <c r="CU45" s="266">
        <f t="shared" si="93"/>
        <v>13.417652482915718</v>
      </c>
      <c r="CV45" s="266">
        <f t="shared" si="94"/>
        <v>13.574015489749431</v>
      </c>
      <c r="CW45" s="266">
        <f t="shared" si="95"/>
        <v>13.732370748974944</v>
      </c>
      <c r="CX45" s="266" t="e">
        <f t="shared" si="96"/>
        <v>#VALUE!</v>
      </c>
      <c r="CY45" s="266" t="e">
        <f t="shared" si="97"/>
        <v>#VALUE!</v>
      </c>
      <c r="CZ45" s="266" t="e">
        <f t="shared" si="98"/>
        <v>#VALUE!</v>
      </c>
      <c r="DA45" s="266" t="e">
        <f t="shared" si="99"/>
        <v>#VALUE!</v>
      </c>
      <c r="DB45" s="266" t="e">
        <f t="shared" si="100"/>
        <v>#VALUE!</v>
      </c>
      <c r="DC45" s="266" t="e">
        <f t="shared" si="101"/>
        <v>#VALUE!</v>
      </c>
      <c r="DD45" s="266" t="e">
        <f t="shared" si="102"/>
        <v>#VALUE!</v>
      </c>
      <c r="DE45" s="266" t="e">
        <f t="shared" si="103"/>
        <v>#VALUE!</v>
      </c>
      <c r="DF45" s="266" t="e">
        <f t="shared" si="104"/>
        <v>#VALUE!</v>
      </c>
      <c r="DG45" s="266" t="e">
        <f t="shared" si="105"/>
        <v>#VALUE!</v>
      </c>
      <c r="DH45" s="266" t="e">
        <f t="shared" si="106"/>
        <v>#VALUE!</v>
      </c>
      <c r="DI45" s="266" t="e">
        <f t="shared" si="107"/>
        <v>#VALUE!</v>
      </c>
      <c r="DJ45" s="266" t="e">
        <f t="shared" si="108"/>
        <v>#VALUE!</v>
      </c>
    </row>
    <row r="46" spans="1:114" x14ac:dyDescent="0.25">
      <c r="B46" s="129" t="str">
        <f>Main!C7</f>
        <v>WL SPACING</v>
      </c>
      <c r="D46" s="129">
        <f>VLOOKUP(B46,Main_Particulars,3,FALSE)</f>
        <v>1.8</v>
      </c>
      <c r="F46" s="314"/>
      <c r="L46" s="274"/>
      <c r="M46" s="277"/>
      <c r="N46" s="277"/>
      <c r="O46" s="277"/>
      <c r="P46" s="277"/>
      <c r="Q46" s="276"/>
      <c r="AP46" s="305">
        <v>5</v>
      </c>
      <c r="AR46" s="307" t="str">
        <f>IFERROR(CONCATENATE(STN_GAP*Tools!AD10,",0 "),"")</f>
        <v xml:space="preserve">32.925,0 </v>
      </c>
      <c r="AS46" s="266" t="str">
        <f>IFERROR(CONCATENATE(STN_GAP*Tools!AD10,",",DEPTH," "),"")</f>
        <v xml:space="preserve">32.925,14.19 </v>
      </c>
      <c r="AT46" s="294" t="str">
        <f t="shared" si="68"/>
        <v xml:space="preserve">Line 32.925,0 32.925,14.19  </v>
      </c>
      <c r="AU46" s="266"/>
      <c r="AV46" s="308" t="str">
        <f>IFERROR(CONCATENATE("0,",WLS*Tools!AP46," "),"")</f>
        <v xml:space="preserve">0,9 </v>
      </c>
      <c r="AW46" s="266" t="str">
        <f>IFERROR(CONCATENATE(LBP,",",WLS*Tools!AP46," "),"")</f>
        <v xml:space="preserve">131.7,9 </v>
      </c>
      <c r="AX46" s="294" t="str">
        <f t="shared" si="69"/>
        <v xml:space="preserve">Line 0,9 131.7,9  </v>
      </c>
      <c r="AY46" s="277"/>
      <c r="AZ46" s="266" t="str">
        <f t="shared" si="70"/>
        <v/>
      </c>
      <c r="BA46" s="266" t="str">
        <f t="shared" si="71"/>
        <v/>
      </c>
      <c r="BB46" s="294" t="str">
        <f t="shared" si="67"/>
        <v/>
      </c>
      <c r="BC46" s="266"/>
      <c r="BD46" s="266" t="str">
        <f>IFERROR(CONCATENATE(STN_GAP*Tools!AD10,",",ROUND(Y_Shift_HB,3)," "),"")</f>
        <v xml:space="preserve">32.925,-18.698 </v>
      </c>
      <c r="BE46" s="266" t="str">
        <f>IFERROR(CONCATENATE(STN_GAP*Tools!AD10,",",ROUND(Y_Shift_HB+BREADTH/2,3)," "),"")</f>
        <v xml:space="preserve">32.925,-6.448 </v>
      </c>
      <c r="BF46" s="294" t="str">
        <f t="shared" si="72"/>
        <v xml:space="preserve">Line 32.925,-18.698 32.925,-6.448  </v>
      </c>
      <c r="BG46" s="277"/>
      <c r="BH46" s="266" t="str">
        <f>IFERROR(CONCATENATE(ROUND(X_SHIFT_BP-BREADTH/2,3),",",ROUND(WLS*Tools!AP46,3)," "),"")</f>
        <v xml:space="preserve">143.185,9 </v>
      </c>
      <c r="BI46" s="266" t="str">
        <f>IFERROR(CONCATENATE(ROUND(X_SHIFT_BP+BREADTH/2,3),",",ROUND(WLS*Tools!AP46,3)," "),"")</f>
        <v xml:space="preserve">167.685,9 </v>
      </c>
      <c r="BJ46" s="294" t="str">
        <f t="shared" si="73"/>
        <v xml:space="preserve">Line 143.185,9 167.685,9  </v>
      </c>
      <c r="BK46" s="266"/>
      <c r="BL46" s="266" t="str">
        <f t="shared" si="74"/>
        <v/>
      </c>
      <c r="BM46" s="266" t="str">
        <f t="shared" si="75"/>
        <v/>
      </c>
      <c r="BN46" s="294" t="str">
        <f t="shared" si="76"/>
        <v/>
      </c>
      <c r="BO46" s="266"/>
      <c r="BP46" s="266" t="str">
        <f t="shared" si="77"/>
        <v/>
      </c>
      <c r="BQ46" s="266" t="str">
        <f t="shared" si="78"/>
        <v/>
      </c>
      <c r="BR46" s="294" t="str">
        <f t="shared" si="79"/>
        <v/>
      </c>
      <c r="BS46" s="277"/>
      <c r="BT46" s="309" t="str">
        <f>IFERROR(CONCATENATE(ROUND(BA_Station_Scale_in_x*STN_GAP*Tools!AD10,3),",0 "),"")</f>
        <v xml:space="preserve">32.925,0 </v>
      </c>
      <c r="BU46" s="297" t="str">
        <f>IFERROR(CONCATENATE(ROUND(BA_Station_Scale_in_x*STN_GAP*Tools!AD10,3),",",ROUND(DEPTH*BA_Y_scale_of_WL,3)," "),"")</f>
        <v xml:space="preserve">32.925,28.38 </v>
      </c>
      <c r="BV46" s="310" t="str">
        <f t="shared" si="80"/>
        <v xml:space="preserve">Line 32.925,0 32.925,28.38  </v>
      </c>
      <c r="BW46" s="297"/>
      <c r="BX46" s="309" t="str">
        <f>IFERROR(CONCATENATE("0,",ROUND(BA_Y_scale_of_WL*WLS*Tools!AP46,3)," "),"")</f>
        <v xml:space="preserve">0,18 </v>
      </c>
      <c r="BY46" s="297" t="str">
        <f>IFERROR(CONCATENATE(LBP,",",ROUND(BA_Y_scale_of_WL*WLS*Tools!AP46,3)," "),"")</f>
        <v xml:space="preserve">131.7,18 </v>
      </c>
      <c r="BZ46" s="310" t="str">
        <f t="shared" si="81"/>
        <v xml:space="preserve">Line 0,18 131.7,18  </v>
      </c>
      <c r="CA46" s="277"/>
      <c r="CB46" s="312">
        <v>7</v>
      </c>
      <c r="CC46" s="312" t="str">
        <f t="shared" si="82"/>
        <v xml:space="preserve">Line 0,9 20,9  </v>
      </c>
      <c r="CD46" s="313" t="str">
        <f t="shared" si="83"/>
        <v xml:space="preserve">Line 7,0 7,14.19  </v>
      </c>
      <c r="CG46" s="262"/>
      <c r="CH46" s="262"/>
      <c r="CI46" s="262"/>
      <c r="CJ46" s="262"/>
      <c r="CK46" s="265">
        <f t="shared" si="37"/>
        <v>14</v>
      </c>
      <c r="CL46" s="266">
        <f t="shared" si="84"/>
        <v>14</v>
      </c>
      <c r="CM46" s="266">
        <f t="shared" si="85"/>
        <v>14.001656492027335</v>
      </c>
      <c r="CN46" s="266">
        <f t="shared" si="86"/>
        <v>14.007455854214124</v>
      </c>
      <c r="CO46" s="266">
        <f t="shared" si="87"/>
        <v>14.018096765375855</v>
      </c>
      <c r="CP46" s="266">
        <f t="shared" si="88"/>
        <v>14.034730569476082</v>
      </c>
      <c r="CQ46" s="266">
        <f t="shared" si="89"/>
        <v>14.08463854214123</v>
      </c>
      <c r="CR46" s="266">
        <f t="shared" si="90"/>
        <v>14.159206924829157</v>
      </c>
      <c r="CS46" s="266">
        <f t="shared" si="91"/>
        <v>14.258986788154898</v>
      </c>
      <c r="CT46" s="266">
        <f t="shared" si="92"/>
        <v>14.332797873955961</v>
      </c>
      <c r="CU46" s="266">
        <f t="shared" si="93"/>
        <v>14.385001548974943</v>
      </c>
      <c r="CV46" s="266">
        <f t="shared" si="94"/>
        <v>14.53763826879271</v>
      </c>
      <c r="CW46" s="266">
        <f t="shared" si="95"/>
        <v>14.694847086104783</v>
      </c>
      <c r="CX46" s="266" t="e">
        <f t="shared" si="96"/>
        <v>#VALUE!</v>
      </c>
      <c r="CY46" s="266" t="e">
        <f t="shared" si="97"/>
        <v>#VALUE!</v>
      </c>
      <c r="CZ46" s="266" t="e">
        <f t="shared" si="98"/>
        <v>#VALUE!</v>
      </c>
      <c r="DA46" s="266" t="e">
        <f t="shared" si="99"/>
        <v>#VALUE!</v>
      </c>
      <c r="DB46" s="266" t="e">
        <f t="shared" si="100"/>
        <v>#VALUE!</v>
      </c>
      <c r="DC46" s="266" t="e">
        <f t="shared" si="101"/>
        <v>#VALUE!</v>
      </c>
      <c r="DD46" s="266" t="e">
        <f t="shared" si="102"/>
        <v>#VALUE!</v>
      </c>
      <c r="DE46" s="266" t="e">
        <f t="shared" si="103"/>
        <v>#VALUE!</v>
      </c>
      <c r="DF46" s="266" t="e">
        <f t="shared" si="104"/>
        <v>#VALUE!</v>
      </c>
      <c r="DG46" s="266" t="e">
        <f t="shared" si="105"/>
        <v>#VALUE!</v>
      </c>
      <c r="DH46" s="266" t="e">
        <f t="shared" si="106"/>
        <v>#VALUE!</v>
      </c>
      <c r="DI46" s="266" t="e">
        <f t="shared" si="107"/>
        <v>#VALUE!</v>
      </c>
      <c r="DJ46" s="266" t="e">
        <f t="shared" si="108"/>
        <v>#VALUE!</v>
      </c>
    </row>
    <row r="47" spans="1:114" x14ac:dyDescent="0.25">
      <c r="B47" s="317" t="s">
        <v>250</v>
      </c>
      <c r="C47" s="317"/>
      <c r="D47" s="129">
        <f>MAX(Tools!A2:A26)</f>
        <v>20</v>
      </c>
      <c r="L47" s="318">
        <v>2</v>
      </c>
      <c r="M47" s="319"/>
      <c r="N47" s="319"/>
      <c r="O47" s="277"/>
      <c r="P47" s="277"/>
      <c r="Q47" s="501">
        <v>2</v>
      </c>
      <c r="AP47" s="305">
        <v>5.6111111111111107</v>
      </c>
      <c r="AR47" s="307" t="str">
        <f>IFERROR(CONCATENATE(STN_GAP*Tools!AD11,",0 "),"")</f>
        <v xml:space="preserve">39.51,0 </v>
      </c>
      <c r="AS47" s="266" t="str">
        <f>IFERROR(CONCATENATE(STN_GAP*Tools!AD11,",",DEPTH," "),"")</f>
        <v xml:space="preserve">39.51,14.19 </v>
      </c>
      <c r="AT47" s="294" t="str">
        <f t="shared" si="68"/>
        <v xml:space="preserve">Line 39.51,0 39.51,14.19  </v>
      </c>
      <c r="AU47" s="266"/>
      <c r="AV47" s="308" t="str">
        <f>IFERROR(CONCATENATE("0,",WLS*Tools!AP47," "),"")</f>
        <v xml:space="preserve">0,10.1 </v>
      </c>
      <c r="AW47" s="266" t="str">
        <f>IFERROR(CONCATENATE(LBP,",",WLS*Tools!AP47," "),"")</f>
        <v xml:space="preserve">131.7,10.1 </v>
      </c>
      <c r="AX47" s="294" t="str">
        <f t="shared" si="69"/>
        <v xml:space="preserve">Line 0,10.1 131.7,10.1  </v>
      </c>
      <c r="AY47" s="277"/>
      <c r="AZ47" s="266" t="str">
        <f t="shared" si="70"/>
        <v/>
      </c>
      <c r="BA47" s="266" t="str">
        <f t="shared" si="71"/>
        <v/>
      </c>
      <c r="BB47" s="294" t="str">
        <f t="shared" si="67"/>
        <v/>
      </c>
      <c r="BC47" s="266"/>
      <c r="BD47" s="266" t="str">
        <f>IFERROR(CONCATENATE(STN_GAP*Tools!AD11,",",ROUND(Y_Shift_HB,3)," "),"")</f>
        <v xml:space="preserve">39.51,-18.698 </v>
      </c>
      <c r="BE47" s="266" t="str">
        <f>IFERROR(CONCATENATE(STN_GAP*Tools!AD11,",",ROUND(Y_Shift_HB+BREADTH/2,3)," "),"")</f>
        <v xml:space="preserve">39.51,-6.448 </v>
      </c>
      <c r="BF47" s="294" t="str">
        <f t="shared" si="72"/>
        <v xml:space="preserve">Line 39.51,-18.698 39.51,-6.448  </v>
      </c>
      <c r="BG47" s="277"/>
      <c r="BH47" s="266" t="str">
        <f>IFERROR(CONCATENATE(ROUND(X_SHIFT_BP-BREADTH/2,3),",",ROUND(WLS*Tools!AP47,3)," "),"")</f>
        <v xml:space="preserve">143.185,10.1 </v>
      </c>
      <c r="BI47" s="266" t="str">
        <f>IFERROR(CONCATENATE(ROUND(X_SHIFT_BP+BREADTH/2,3),",",ROUND(WLS*Tools!AP47,3)," "),"")</f>
        <v xml:space="preserve">167.685,10.1 </v>
      </c>
      <c r="BJ47" s="294" t="str">
        <f t="shared" si="73"/>
        <v xml:space="preserve">Line 143.185,10.1 167.685,10.1  </v>
      </c>
      <c r="BK47" s="266"/>
      <c r="BL47" s="266" t="str">
        <f t="shared" si="74"/>
        <v/>
      </c>
      <c r="BM47" s="266" t="str">
        <f t="shared" si="75"/>
        <v/>
      </c>
      <c r="BN47" s="294" t="str">
        <f t="shared" si="76"/>
        <v/>
      </c>
      <c r="BO47" s="266"/>
      <c r="BP47" s="266" t="str">
        <f t="shared" si="77"/>
        <v/>
      </c>
      <c r="BQ47" s="266" t="str">
        <f t="shared" si="78"/>
        <v/>
      </c>
      <c r="BR47" s="294" t="str">
        <f t="shared" si="79"/>
        <v/>
      </c>
      <c r="BS47" s="277"/>
      <c r="BT47" s="309" t="str">
        <f>IFERROR(CONCATENATE(ROUND(BA_Station_Scale_in_x*STN_GAP*Tools!AD11,3),",0 "),"")</f>
        <v xml:space="preserve">39.51,0 </v>
      </c>
      <c r="BU47" s="297" t="str">
        <f>IFERROR(CONCATENATE(ROUND(BA_Station_Scale_in_x*STN_GAP*Tools!AD11,3),",",ROUND(DEPTH*BA_Y_scale_of_WL,3)," "),"")</f>
        <v xml:space="preserve">39.51,28.38 </v>
      </c>
      <c r="BV47" s="310" t="str">
        <f t="shared" si="80"/>
        <v xml:space="preserve">Line 39.51,0 39.51,28.38  </v>
      </c>
      <c r="BW47" s="297"/>
      <c r="BX47" s="309" t="str">
        <f>IFERROR(CONCATENATE("0,",ROUND(BA_Y_scale_of_WL*WLS*Tools!AP47,3)," "),"")</f>
        <v xml:space="preserve">0,20.2 </v>
      </c>
      <c r="BY47" s="297" t="str">
        <f>IFERROR(CONCATENATE(LBP,",",ROUND(BA_Y_scale_of_WL*WLS*Tools!AP47,3)," "),"")</f>
        <v xml:space="preserve">131.7,20.2 </v>
      </c>
      <c r="BZ47" s="310" t="str">
        <f t="shared" si="81"/>
        <v xml:space="preserve">Line 0,20.2 131.7,20.2  </v>
      </c>
      <c r="CA47" s="277"/>
      <c r="CB47" s="311">
        <v>8</v>
      </c>
      <c r="CC47" s="312" t="str">
        <f t="shared" si="82"/>
        <v xml:space="preserve">Line 0,10.1 20,10.1  </v>
      </c>
      <c r="CD47" s="313" t="str">
        <f t="shared" si="83"/>
        <v xml:space="preserve">Line 8,0 8,14.19  </v>
      </c>
      <c r="CG47" s="262"/>
      <c r="CH47" s="262"/>
      <c r="CI47" s="262"/>
      <c r="CJ47" s="262"/>
      <c r="CK47" s="265">
        <f t="shared" si="37"/>
        <v>15</v>
      </c>
      <c r="CL47" s="266">
        <f t="shared" si="84"/>
        <v>15</v>
      </c>
      <c r="CM47" s="266">
        <f t="shared" si="85"/>
        <v>15.001252619589977</v>
      </c>
      <c r="CN47" s="266">
        <f t="shared" si="86"/>
        <v>15.005937129840547</v>
      </c>
      <c r="CO47" s="266">
        <f t="shared" si="87"/>
        <v>15.01481125284738</v>
      </c>
      <c r="CP47" s="266">
        <f t="shared" si="88"/>
        <v>15.028307972665148</v>
      </c>
      <c r="CQ47" s="266">
        <f t="shared" si="89"/>
        <v>15.070340227790433</v>
      </c>
      <c r="CR47" s="266">
        <f t="shared" si="90"/>
        <v>15.134349703872438</v>
      </c>
      <c r="CS47" s="266">
        <f t="shared" si="91"/>
        <v>15.222717813211846</v>
      </c>
      <c r="CT47" s="266">
        <f t="shared" si="92"/>
        <v>15.289294234371045</v>
      </c>
      <c r="CU47" s="266">
        <f t="shared" si="93"/>
        <v>15.336776309794988</v>
      </c>
      <c r="CV47" s="266">
        <f t="shared" si="94"/>
        <v>15.478263690205011</v>
      </c>
      <c r="CW47" s="266">
        <f t="shared" si="95"/>
        <v>15.629999044191344</v>
      </c>
      <c r="CX47" s="266" t="e">
        <f t="shared" si="96"/>
        <v>#VALUE!</v>
      </c>
      <c r="CY47" s="266" t="e">
        <f t="shared" si="97"/>
        <v>#VALUE!</v>
      </c>
      <c r="CZ47" s="266" t="e">
        <f t="shared" si="98"/>
        <v>#VALUE!</v>
      </c>
      <c r="DA47" s="266" t="e">
        <f t="shared" si="99"/>
        <v>#VALUE!</v>
      </c>
      <c r="DB47" s="266" t="e">
        <f t="shared" si="100"/>
        <v>#VALUE!</v>
      </c>
      <c r="DC47" s="266" t="e">
        <f t="shared" si="101"/>
        <v>#VALUE!</v>
      </c>
      <c r="DD47" s="266" t="e">
        <f t="shared" si="102"/>
        <v>#VALUE!</v>
      </c>
      <c r="DE47" s="266" t="e">
        <f t="shared" si="103"/>
        <v>#VALUE!</v>
      </c>
      <c r="DF47" s="266" t="e">
        <f t="shared" si="104"/>
        <v>#VALUE!</v>
      </c>
      <c r="DG47" s="266" t="e">
        <f t="shared" si="105"/>
        <v>#VALUE!</v>
      </c>
      <c r="DH47" s="266" t="e">
        <f t="shared" si="106"/>
        <v>#VALUE!</v>
      </c>
      <c r="DI47" s="266" t="e">
        <f t="shared" si="107"/>
        <v>#VALUE!</v>
      </c>
      <c r="DJ47" s="266" t="e">
        <f t="shared" si="108"/>
        <v>#VALUE!</v>
      </c>
    </row>
    <row r="48" spans="1:114" ht="15.75" thickBot="1" x14ac:dyDescent="0.3">
      <c r="B48" s="129" t="str">
        <f>Main!K2</f>
        <v>STN SPACING</v>
      </c>
      <c r="D48" s="129">
        <f>D42/D47</f>
        <v>6.5849999999999991</v>
      </c>
      <c r="L48" s="274"/>
      <c r="M48" s="277"/>
      <c r="N48" s="277"/>
      <c r="O48" s="277"/>
      <c r="P48" s="277"/>
      <c r="Q48" s="501">
        <v>3</v>
      </c>
      <c r="AP48" s="305">
        <v>6</v>
      </c>
      <c r="AR48" s="307" t="str">
        <f>IFERROR(CONCATENATE(STN_GAP*Tools!AD12,",0 "),"")</f>
        <v xml:space="preserve">46.095,0 </v>
      </c>
      <c r="AS48" s="266" t="str">
        <f>IFERROR(CONCATENATE(STN_GAP*Tools!AD12,",",DEPTH," "),"")</f>
        <v xml:space="preserve">46.095,14.19 </v>
      </c>
      <c r="AT48" s="294" t="str">
        <f t="shared" si="68"/>
        <v xml:space="preserve">Line 46.095,0 46.095,14.19  </v>
      </c>
      <c r="AU48" s="266"/>
      <c r="AV48" s="308" t="str">
        <f>IFERROR(CONCATENATE("0,",WLS*Tools!AP48," "),"")</f>
        <v xml:space="preserve">0,10.8 </v>
      </c>
      <c r="AW48" s="266" t="str">
        <f>IFERROR(CONCATENATE(LBP,",",WLS*Tools!AP48," "),"")</f>
        <v xml:space="preserve">131.7,10.8 </v>
      </c>
      <c r="AX48" s="294" t="str">
        <f t="shared" si="69"/>
        <v xml:space="preserve">Line 0,10.8 131.7,10.8  </v>
      </c>
      <c r="AY48" s="277"/>
      <c r="AZ48" s="266" t="str">
        <f t="shared" si="70"/>
        <v/>
      </c>
      <c r="BA48" s="266" t="str">
        <f t="shared" si="71"/>
        <v/>
      </c>
      <c r="BB48" s="294" t="str">
        <f t="shared" si="67"/>
        <v/>
      </c>
      <c r="BC48" s="266"/>
      <c r="BD48" s="266" t="str">
        <f>IFERROR(CONCATENATE(STN_GAP*Tools!AD12,",",ROUND(Y_Shift_HB,3)," "),"")</f>
        <v xml:space="preserve">46.095,-18.698 </v>
      </c>
      <c r="BE48" s="266" t="str">
        <f>IFERROR(CONCATENATE(STN_GAP*Tools!AD12,",",ROUND(Y_Shift_HB+BREADTH/2,3)," "),"")</f>
        <v xml:space="preserve">46.095,-6.448 </v>
      </c>
      <c r="BF48" s="294" t="str">
        <f t="shared" si="72"/>
        <v xml:space="preserve">Line 46.095,-18.698 46.095,-6.448  </v>
      </c>
      <c r="BG48" s="277"/>
      <c r="BH48" s="266" t="str">
        <f>IFERROR(CONCATENATE(ROUND(X_SHIFT_BP-BREADTH/2,3),",",ROUND(WLS*Tools!AP48,3)," "),"")</f>
        <v xml:space="preserve">143.185,10.8 </v>
      </c>
      <c r="BI48" s="266" t="str">
        <f>IFERROR(CONCATENATE(ROUND(X_SHIFT_BP+BREADTH/2,3),",",ROUND(WLS*Tools!AP48,3)," "),"")</f>
        <v xml:space="preserve">167.685,10.8 </v>
      </c>
      <c r="BJ48" s="294" t="str">
        <f t="shared" si="73"/>
        <v xml:space="preserve">Line 143.185,10.8 167.685,10.8  </v>
      </c>
      <c r="BK48" s="266"/>
      <c r="BL48" s="266" t="str">
        <f t="shared" si="74"/>
        <v/>
      </c>
      <c r="BM48" s="266" t="str">
        <f t="shared" si="75"/>
        <v/>
      </c>
      <c r="BN48" s="294" t="str">
        <f t="shared" si="76"/>
        <v/>
      </c>
      <c r="BO48" s="266"/>
      <c r="BP48" s="266" t="str">
        <f t="shared" si="77"/>
        <v/>
      </c>
      <c r="BQ48" s="266" t="str">
        <f t="shared" si="78"/>
        <v/>
      </c>
      <c r="BR48" s="294" t="str">
        <f t="shared" si="79"/>
        <v/>
      </c>
      <c r="BS48" s="277"/>
      <c r="BT48" s="309" t="str">
        <f>IFERROR(CONCATENATE(ROUND(BA_Station_Scale_in_x*STN_GAP*Tools!AD12,3),",0 "),"")</f>
        <v xml:space="preserve">46.095,0 </v>
      </c>
      <c r="BU48" s="297" t="str">
        <f>IFERROR(CONCATENATE(ROUND(BA_Station_Scale_in_x*STN_GAP*Tools!AD12,3),",",ROUND(DEPTH*BA_Y_scale_of_WL,3)," "),"")</f>
        <v xml:space="preserve">46.095,28.38 </v>
      </c>
      <c r="BV48" s="310" t="str">
        <f t="shared" si="80"/>
        <v xml:space="preserve">Line 46.095,0 46.095,28.38  </v>
      </c>
      <c r="BW48" s="297"/>
      <c r="BX48" s="309" t="str">
        <f>IFERROR(CONCATENATE("0,",ROUND(BA_Y_scale_of_WL*WLS*Tools!AP48,3)," "),"")</f>
        <v xml:space="preserve">0,21.6 </v>
      </c>
      <c r="BY48" s="297" t="str">
        <f>IFERROR(CONCATENATE(LBP,",",ROUND(BA_Y_scale_of_WL*WLS*Tools!AP48,3)," "),"")</f>
        <v xml:space="preserve">131.7,21.6 </v>
      </c>
      <c r="BZ48" s="310" t="str">
        <f t="shared" si="81"/>
        <v xml:space="preserve">Line 0,21.6 131.7,21.6  </v>
      </c>
      <c r="CA48" s="277"/>
      <c r="CB48" s="312">
        <v>9</v>
      </c>
      <c r="CC48" s="312" t="str">
        <f t="shared" si="82"/>
        <v xml:space="preserve">Line 0,10.8 20,10.8  </v>
      </c>
      <c r="CD48" s="313" t="str">
        <f t="shared" si="83"/>
        <v xml:space="preserve">Line 9,0 9,14.19  </v>
      </c>
      <c r="CG48" s="262"/>
      <c r="CH48" s="262"/>
      <c r="CI48" s="262"/>
      <c r="CJ48" s="262"/>
      <c r="CK48" s="265">
        <f t="shared" si="37"/>
        <v>16</v>
      </c>
      <c r="CL48" s="266">
        <f t="shared" si="84"/>
        <v>16</v>
      </c>
      <c r="CM48" s="266">
        <f t="shared" si="85"/>
        <v>16.000862277904329</v>
      </c>
      <c r="CN48" s="266">
        <f t="shared" si="86"/>
        <v>16.004329840546696</v>
      </c>
      <c r="CO48" s="266">
        <f t="shared" si="87"/>
        <v>16.011042323462416</v>
      </c>
      <c r="CP48" s="266">
        <f t="shared" si="88"/>
        <v>16.021386788154899</v>
      </c>
      <c r="CQ48" s="266">
        <f t="shared" si="89"/>
        <v>16.054188610478359</v>
      </c>
      <c r="CR48" s="266">
        <f t="shared" si="90"/>
        <v>16.105320091116173</v>
      </c>
      <c r="CS48" s="266">
        <f t="shared" si="91"/>
        <v>16.178291025056946</v>
      </c>
      <c r="CT48" s="266">
        <f t="shared" si="92"/>
        <v>16.234953915464441</v>
      </c>
      <c r="CU48" s="266">
        <f t="shared" si="93"/>
        <v>16.276165102505693</v>
      </c>
      <c r="CV48" s="266">
        <f t="shared" si="94"/>
        <v>16.401914168564922</v>
      </c>
      <c r="CW48" s="266">
        <f t="shared" si="95"/>
        <v>16.5440995261959</v>
      </c>
      <c r="CX48" s="266" t="e">
        <f t="shared" si="96"/>
        <v>#VALUE!</v>
      </c>
      <c r="CY48" s="266" t="e">
        <f t="shared" si="97"/>
        <v>#VALUE!</v>
      </c>
      <c r="CZ48" s="266" t="e">
        <f t="shared" si="98"/>
        <v>#VALUE!</v>
      </c>
      <c r="DA48" s="266" t="e">
        <f t="shared" si="99"/>
        <v>#VALUE!</v>
      </c>
      <c r="DB48" s="266" t="e">
        <f t="shared" si="100"/>
        <v>#VALUE!</v>
      </c>
      <c r="DC48" s="266" t="e">
        <f t="shared" si="101"/>
        <v>#VALUE!</v>
      </c>
      <c r="DD48" s="266" t="e">
        <f t="shared" si="102"/>
        <v>#VALUE!</v>
      </c>
      <c r="DE48" s="266" t="e">
        <f t="shared" si="103"/>
        <v>#VALUE!</v>
      </c>
      <c r="DF48" s="266" t="e">
        <f t="shared" si="104"/>
        <v>#VALUE!</v>
      </c>
      <c r="DG48" s="266" t="e">
        <f t="shared" si="105"/>
        <v>#VALUE!</v>
      </c>
      <c r="DH48" s="266" t="e">
        <f t="shared" si="106"/>
        <v>#VALUE!</v>
      </c>
      <c r="DI48" s="266" t="e">
        <f t="shared" si="107"/>
        <v>#VALUE!</v>
      </c>
      <c r="DJ48" s="266" t="e">
        <f t="shared" si="108"/>
        <v>#VALUE!</v>
      </c>
    </row>
    <row r="49" spans="1:114" ht="18.75" thickBot="1" x14ac:dyDescent="0.4">
      <c r="B49" t="s">
        <v>124</v>
      </c>
      <c r="D49" s="129">
        <f>IF(Area!Q3="  ","  ",Tools!E49)</f>
        <v>240.78399999999999</v>
      </c>
      <c r="E49" s="129">
        <f>VLOOKUP(Long_Div/2,AREA_TABLE,HLOOKUP(DRAFT/WLS,OFFSET_A,27,FALSE)+1,TRUE)</f>
        <v>240.78399999999999</v>
      </c>
      <c r="L49" s="533" t="str">
        <f>CHOOSE(L50,L51,L52,L53)</f>
        <v>Use 141 rule only</v>
      </c>
      <c r="M49" s="534"/>
      <c r="N49" s="535"/>
      <c r="O49" s="277"/>
      <c r="P49" s="277"/>
      <c r="Q49" s="501">
        <v>4</v>
      </c>
      <c r="AP49" s="305">
        <v>7</v>
      </c>
      <c r="AR49" s="307" t="str">
        <f>IFERROR(CONCATENATE(STN_GAP*Tools!AD13,",0 "),"")</f>
        <v xml:space="preserve">52.68,0 </v>
      </c>
      <c r="AS49" s="266" t="str">
        <f>IFERROR(CONCATENATE(STN_GAP*Tools!AD13,",",DEPTH," "),"")</f>
        <v xml:space="preserve">52.68,14.19 </v>
      </c>
      <c r="AT49" s="294" t="str">
        <f t="shared" si="68"/>
        <v xml:space="preserve">Line 52.68,0 52.68,14.19  </v>
      </c>
      <c r="AU49" s="266"/>
      <c r="AV49" s="308" t="str">
        <f>IFERROR(CONCATENATE("0,",WLS*Tools!AP49," "),"")</f>
        <v xml:space="preserve">0,12.6 </v>
      </c>
      <c r="AW49" s="266" t="str">
        <f>IFERROR(CONCATENATE(LBP,",",WLS*Tools!AP49," "),"")</f>
        <v xml:space="preserve">131.7,12.6 </v>
      </c>
      <c r="AX49" s="294" t="str">
        <f t="shared" si="69"/>
        <v xml:space="preserve">Line 0,12.6 131.7,12.6  </v>
      </c>
      <c r="AY49" s="277"/>
      <c r="AZ49" s="266" t="str">
        <f t="shared" si="70"/>
        <v/>
      </c>
      <c r="BA49" s="266" t="str">
        <f t="shared" si="71"/>
        <v/>
      </c>
      <c r="BB49" s="294" t="str">
        <f t="shared" si="67"/>
        <v/>
      </c>
      <c r="BC49" s="266"/>
      <c r="BD49" s="266" t="str">
        <f>IFERROR(CONCATENATE(STN_GAP*Tools!AD13,",",ROUND(Y_Shift_HB,3)," "),"")</f>
        <v xml:space="preserve">52.68,-18.698 </v>
      </c>
      <c r="BE49" s="266" t="str">
        <f>IFERROR(CONCATENATE(STN_GAP*Tools!AD13,",",ROUND(Y_Shift_HB+BREADTH/2,3)," "),"")</f>
        <v xml:space="preserve">52.68,-6.448 </v>
      </c>
      <c r="BF49" s="294" t="str">
        <f t="shared" si="72"/>
        <v xml:space="preserve">Line 52.68,-18.698 52.68,-6.448  </v>
      </c>
      <c r="BG49" s="277"/>
      <c r="BH49" s="266" t="str">
        <f>IFERROR(CONCATENATE(ROUND(X_SHIFT_BP-BREADTH/2,3),",",ROUND(WLS*Tools!AP49,3)," "),"")</f>
        <v xml:space="preserve">143.185,12.6 </v>
      </c>
      <c r="BI49" s="266" t="str">
        <f>IFERROR(CONCATENATE(ROUND(X_SHIFT_BP+BREADTH/2,3),",",ROUND(WLS*Tools!AP49,3)," "),"")</f>
        <v xml:space="preserve">167.685,12.6 </v>
      </c>
      <c r="BJ49" s="294" t="str">
        <f t="shared" si="73"/>
        <v xml:space="preserve">Line 143.185,12.6 167.685,12.6  </v>
      </c>
      <c r="BK49" s="266"/>
      <c r="BL49" s="266" t="str">
        <f t="shared" si="74"/>
        <v/>
      </c>
      <c r="BM49" s="266" t="str">
        <f t="shared" si="75"/>
        <v/>
      </c>
      <c r="BN49" s="294" t="str">
        <f t="shared" si="76"/>
        <v/>
      </c>
      <c r="BO49" s="266"/>
      <c r="BP49" s="266" t="str">
        <f t="shared" si="77"/>
        <v/>
      </c>
      <c r="BQ49" s="266" t="str">
        <f t="shared" si="78"/>
        <v/>
      </c>
      <c r="BR49" s="294" t="str">
        <f t="shared" si="79"/>
        <v/>
      </c>
      <c r="BS49" s="277"/>
      <c r="BT49" s="309" t="str">
        <f>IFERROR(CONCATENATE(ROUND(BA_Station_Scale_in_x*STN_GAP*Tools!AD13,3),",0 "),"")</f>
        <v xml:space="preserve">52.68,0 </v>
      </c>
      <c r="BU49" s="297" t="str">
        <f>IFERROR(CONCATENATE(ROUND(BA_Station_Scale_in_x*STN_GAP*Tools!AD13,3),",",ROUND(DEPTH*BA_Y_scale_of_WL,3)," "),"")</f>
        <v xml:space="preserve">52.68,28.38 </v>
      </c>
      <c r="BV49" s="310" t="str">
        <f t="shared" si="80"/>
        <v xml:space="preserve">Line 52.68,0 52.68,28.38  </v>
      </c>
      <c r="BW49" s="297"/>
      <c r="BX49" s="309" t="str">
        <f>IFERROR(CONCATENATE("0,",ROUND(BA_Y_scale_of_WL*WLS*Tools!AP49,3)," "),"")</f>
        <v xml:space="preserve">0,25.2 </v>
      </c>
      <c r="BY49" s="297" t="str">
        <f>IFERROR(CONCATENATE(LBP,",",ROUND(BA_Y_scale_of_WL*WLS*Tools!AP49,3)," "),"")</f>
        <v xml:space="preserve">131.7,25.2 </v>
      </c>
      <c r="BZ49" s="310" t="str">
        <f t="shared" si="81"/>
        <v xml:space="preserve">Line 0,25.2 131.7,25.2  </v>
      </c>
      <c r="CA49" s="277"/>
      <c r="CB49" s="311">
        <v>10</v>
      </c>
      <c r="CC49" s="312" t="str">
        <f t="shared" si="82"/>
        <v xml:space="preserve">Line 0,12.6 20,12.6  </v>
      </c>
      <c r="CD49" s="313" t="str">
        <f t="shared" si="83"/>
        <v xml:space="preserve">Line 10,0 10,14.19  </v>
      </c>
      <c r="CG49" s="262"/>
      <c r="CH49" s="262"/>
      <c r="CI49" s="262"/>
      <c r="CJ49" s="262"/>
      <c r="CK49" s="265">
        <f t="shared" si="37"/>
        <v>17</v>
      </c>
      <c r="CL49" s="266">
        <f t="shared" si="84"/>
        <v>17</v>
      </c>
      <c r="CM49" s="266">
        <f t="shared" si="85"/>
        <v>17.000506993166287</v>
      </c>
      <c r="CN49" s="266">
        <f t="shared" si="86"/>
        <v>17.002880000000001</v>
      </c>
      <c r="CO49" s="266">
        <f t="shared" si="87"/>
        <v>17.007554464692483</v>
      </c>
      <c r="CP49" s="266">
        <f t="shared" si="88"/>
        <v>17.014931389521639</v>
      </c>
      <c r="CQ49" s="266">
        <f t="shared" si="89"/>
        <v>17.038338769931663</v>
      </c>
      <c r="CR49" s="266">
        <f t="shared" si="90"/>
        <v>17.075273621867883</v>
      </c>
      <c r="CS49" s="266">
        <f t="shared" si="91"/>
        <v>17.129580318906605</v>
      </c>
      <c r="CT49" s="266">
        <f t="shared" si="92"/>
        <v>17.173680880789675</v>
      </c>
      <c r="CU49" s="266">
        <f t="shared" si="93"/>
        <v>17.20674332574032</v>
      </c>
      <c r="CV49" s="266">
        <f t="shared" si="94"/>
        <v>17.311577949886104</v>
      </c>
      <c r="CW49" s="266">
        <f t="shared" si="95"/>
        <v>17.439099233712984</v>
      </c>
      <c r="CX49" s="266" t="e">
        <f t="shared" si="96"/>
        <v>#VALUE!</v>
      </c>
      <c r="CY49" s="266" t="e">
        <f t="shared" si="97"/>
        <v>#VALUE!</v>
      </c>
      <c r="CZ49" s="266" t="e">
        <f t="shared" si="98"/>
        <v>#VALUE!</v>
      </c>
      <c r="DA49" s="266" t="e">
        <f t="shared" si="99"/>
        <v>#VALUE!</v>
      </c>
      <c r="DB49" s="266" t="e">
        <f t="shared" si="100"/>
        <v>#VALUE!</v>
      </c>
      <c r="DC49" s="266" t="e">
        <f t="shared" si="101"/>
        <v>#VALUE!</v>
      </c>
      <c r="DD49" s="266" t="e">
        <f t="shared" si="102"/>
        <v>#VALUE!</v>
      </c>
      <c r="DE49" s="266" t="e">
        <f t="shared" si="103"/>
        <v>#VALUE!</v>
      </c>
      <c r="DF49" s="266" t="e">
        <f t="shared" si="104"/>
        <v>#VALUE!</v>
      </c>
      <c r="DG49" s="266" t="e">
        <f t="shared" si="105"/>
        <v>#VALUE!</v>
      </c>
      <c r="DH49" s="266" t="e">
        <f t="shared" si="106"/>
        <v>#VALUE!</v>
      </c>
      <c r="DI49" s="266" t="e">
        <f t="shared" si="107"/>
        <v>#VALUE!</v>
      </c>
      <c r="DJ49" s="266" t="e">
        <f t="shared" si="108"/>
        <v>#VALUE!</v>
      </c>
    </row>
    <row r="50" spans="1:114" ht="18" x14ac:dyDescent="0.35">
      <c r="B50" t="s">
        <v>125</v>
      </c>
      <c r="D50" s="129">
        <f>T35</f>
        <v>13.323999999999998</v>
      </c>
      <c r="E50" s="129">
        <f>HLOOKUP(DRAFT/WLS,AREA_TABLE,COUNT(AD3:AD27)+1,TRUE)</f>
        <v>13.323999999999998</v>
      </c>
      <c r="L50" s="411">
        <f>L55</f>
        <v>1</v>
      </c>
      <c r="M50" s="277"/>
      <c r="N50" s="277"/>
      <c r="O50" s="277"/>
      <c r="P50" s="277"/>
      <c r="Q50" s="501">
        <v>5</v>
      </c>
      <c r="AP50" s="305">
        <v>7.8833333333333329</v>
      </c>
      <c r="AR50" s="307" t="str">
        <f>IFERROR(CONCATENATE(STN_GAP*Tools!AD14,",0 "),"")</f>
        <v xml:space="preserve">59.265,0 </v>
      </c>
      <c r="AS50" s="266" t="str">
        <f>IFERROR(CONCATENATE(STN_GAP*Tools!AD14,",",DEPTH," "),"")</f>
        <v xml:space="preserve">59.265,14.19 </v>
      </c>
      <c r="AT50" s="294" t="str">
        <f t="shared" si="68"/>
        <v xml:space="preserve">Line 59.265,0 59.265,14.19  </v>
      </c>
      <c r="AU50" s="266"/>
      <c r="AV50" s="308" t="str">
        <f>IFERROR(CONCATENATE("0,",WLS*Tools!AP50," "),"")</f>
        <v xml:space="preserve">0,14.19 </v>
      </c>
      <c r="AW50" s="266" t="str">
        <f>IFERROR(CONCATENATE(LBP,",",WLS*Tools!AP50," "),"")</f>
        <v xml:space="preserve">131.7,14.19 </v>
      </c>
      <c r="AX50" s="294" t="str">
        <f t="shared" si="69"/>
        <v xml:space="preserve">Line 0,14.19 131.7,14.19  </v>
      </c>
      <c r="AY50" s="277"/>
      <c r="AZ50" s="266" t="str">
        <f t="shared" si="70"/>
        <v/>
      </c>
      <c r="BA50" s="266" t="str">
        <f t="shared" si="71"/>
        <v/>
      </c>
      <c r="BB50" s="294" t="str">
        <f t="shared" si="67"/>
        <v/>
      </c>
      <c r="BC50" s="266"/>
      <c r="BD50" s="266" t="str">
        <f>IFERROR(CONCATENATE(STN_GAP*Tools!AD14,",",ROUND(Y_Shift_HB,3)," "),"")</f>
        <v xml:space="preserve">59.265,-18.698 </v>
      </c>
      <c r="BE50" s="266" t="str">
        <f>IFERROR(CONCATENATE(STN_GAP*Tools!AD14,",",ROUND(Y_Shift_HB+BREADTH/2,3)," "),"")</f>
        <v xml:space="preserve">59.265,-6.448 </v>
      </c>
      <c r="BF50" s="294" t="str">
        <f t="shared" si="72"/>
        <v xml:space="preserve">Line 59.265,-18.698 59.265,-6.448  </v>
      </c>
      <c r="BG50" s="277"/>
      <c r="BH50" s="266" t="str">
        <f>IFERROR(CONCATENATE(ROUND(X_SHIFT_BP-BREADTH/2,3),",",ROUND(WLS*Tools!AP50,3)," "),"")</f>
        <v xml:space="preserve">143.185,14.19 </v>
      </c>
      <c r="BI50" s="266" t="str">
        <f>IFERROR(CONCATENATE(ROUND(X_SHIFT_BP+BREADTH/2,3),",",ROUND(WLS*Tools!AP50,3)," "),"")</f>
        <v xml:space="preserve">167.685,14.19 </v>
      </c>
      <c r="BJ50" s="294" t="str">
        <f t="shared" si="73"/>
        <v xml:space="preserve">Line 143.185,14.19 167.685,14.19  </v>
      </c>
      <c r="BK50" s="266"/>
      <c r="BL50" s="266" t="str">
        <f t="shared" si="74"/>
        <v/>
      </c>
      <c r="BM50" s="266" t="str">
        <f t="shared" si="75"/>
        <v/>
      </c>
      <c r="BN50" s="294" t="str">
        <f t="shared" si="76"/>
        <v/>
      </c>
      <c r="BO50" s="266"/>
      <c r="BP50" s="266" t="str">
        <f t="shared" si="77"/>
        <v/>
      </c>
      <c r="BQ50" s="266" t="str">
        <f t="shared" si="78"/>
        <v/>
      </c>
      <c r="BR50" s="294" t="str">
        <f t="shared" si="79"/>
        <v/>
      </c>
      <c r="BS50" s="277"/>
      <c r="BT50" s="309" t="str">
        <f>IFERROR(CONCATENATE(ROUND(BA_Station_Scale_in_x*STN_GAP*Tools!AD14,3),",0 "),"")</f>
        <v xml:space="preserve">59.265,0 </v>
      </c>
      <c r="BU50" s="297" t="str">
        <f>IFERROR(CONCATENATE(ROUND(BA_Station_Scale_in_x*STN_GAP*Tools!AD14,3),",",ROUND(DEPTH*BA_Y_scale_of_WL,3)," "),"")</f>
        <v xml:space="preserve">59.265,28.38 </v>
      </c>
      <c r="BV50" s="310" t="str">
        <f t="shared" si="80"/>
        <v xml:space="preserve">Line 59.265,0 59.265,28.38  </v>
      </c>
      <c r="BW50" s="297"/>
      <c r="BX50" s="309" t="str">
        <f>IFERROR(CONCATENATE("0,",ROUND(BA_Y_scale_of_WL*WLS*Tools!AP50,3)," "),"")</f>
        <v xml:space="preserve">0,28.38 </v>
      </c>
      <c r="BY50" s="297" t="str">
        <f>IFERROR(CONCATENATE(LBP,",",ROUND(BA_Y_scale_of_WL*WLS*Tools!AP50,3)," "),"")</f>
        <v xml:space="preserve">131.7,28.38 </v>
      </c>
      <c r="BZ50" s="310" t="str">
        <f t="shared" si="81"/>
        <v xml:space="preserve">Line 0,28.38 131.7,28.38  </v>
      </c>
      <c r="CA50" s="277"/>
      <c r="CB50" s="312">
        <v>11</v>
      </c>
      <c r="CC50" s="312" t="str">
        <f t="shared" si="82"/>
        <v xml:space="preserve">Line 0,14.19 20,14.19  </v>
      </c>
      <c r="CD50" s="313" t="str">
        <f t="shared" si="83"/>
        <v xml:space="preserve">Line 11,0 11,14.19  </v>
      </c>
      <c r="CG50" s="262"/>
      <c r="CH50" s="262"/>
      <c r="CI50" s="262"/>
      <c r="CJ50" s="262"/>
      <c r="CK50" s="265">
        <f t="shared" si="37"/>
        <v>18</v>
      </c>
      <c r="CL50" s="266">
        <f t="shared" si="84"/>
        <v>18</v>
      </c>
      <c r="CM50" s="266">
        <f t="shared" si="85"/>
        <v>18.000259749430523</v>
      </c>
      <c r="CN50" s="266">
        <f t="shared" si="86"/>
        <v>18.00168006833713</v>
      </c>
      <c r="CO50" s="266">
        <f t="shared" si="87"/>
        <v>18.00475359908884</v>
      </c>
      <c r="CP50" s="266">
        <f t="shared" si="88"/>
        <v>18.009654191343962</v>
      </c>
      <c r="CQ50" s="266">
        <f t="shared" si="89"/>
        <v>18.025126810933941</v>
      </c>
      <c r="CR50" s="266">
        <f t="shared" si="90"/>
        <v>18.048347220956721</v>
      </c>
      <c r="CS50" s="266">
        <f t="shared" si="91"/>
        <v>18.08240535307517</v>
      </c>
      <c r="CT50" s="266">
        <f t="shared" si="92"/>
        <v>18.111960523917997</v>
      </c>
      <c r="CU50" s="266">
        <f t="shared" si="93"/>
        <v>18.135245808656038</v>
      </c>
      <c r="CV50" s="266">
        <f t="shared" si="94"/>
        <v>18.213980022779044</v>
      </c>
      <c r="CW50" s="266">
        <f t="shared" si="95"/>
        <v>18.321799359453301</v>
      </c>
      <c r="CX50" s="266" t="e">
        <f t="shared" si="96"/>
        <v>#VALUE!</v>
      </c>
      <c r="CY50" s="266" t="e">
        <f t="shared" si="97"/>
        <v>#VALUE!</v>
      </c>
      <c r="CZ50" s="266" t="e">
        <f t="shared" si="98"/>
        <v>#VALUE!</v>
      </c>
      <c r="DA50" s="266" t="e">
        <f t="shared" si="99"/>
        <v>#VALUE!</v>
      </c>
      <c r="DB50" s="266" t="e">
        <f t="shared" si="100"/>
        <v>#VALUE!</v>
      </c>
      <c r="DC50" s="266" t="e">
        <f t="shared" si="101"/>
        <v>#VALUE!</v>
      </c>
      <c r="DD50" s="266" t="e">
        <f t="shared" si="102"/>
        <v>#VALUE!</v>
      </c>
      <c r="DE50" s="266" t="e">
        <f t="shared" si="103"/>
        <v>#VALUE!</v>
      </c>
      <c r="DF50" s="266" t="e">
        <f t="shared" si="104"/>
        <v>#VALUE!</v>
      </c>
      <c r="DG50" s="266" t="e">
        <f t="shared" si="105"/>
        <v>#VALUE!</v>
      </c>
      <c r="DH50" s="266" t="e">
        <f t="shared" si="106"/>
        <v>#VALUE!</v>
      </c>
      <c r="DI50" s="266" t="e">
        <f t="shared" si="107"/>
        <v>#VALUE!</v>
      </c>
      <c r="DJ50" s="266" t="e">
        <f t="shared" si="108"/>
        <v>#VALUE!</v>
      </c>
    </row>
    <row r="51" spans="1:114" x14ac:dyDescent="0.25">
      <c r="B51" s="108" t="s">
        <v>50</v>
      </c>
      <c r="D51" s="320">
        <f t="shared" ref="D51:D57" si="109">VLOOKUP(B51,Hydros_Table,LOOKUP(DRAFT/WLS,B$69:Z$69,B$68:Z$68)+1,FALSE)</f>
        <v>20682.076797749993</v>
      </c>
      <c r="L51" s="274" t="s">
        <v>139</v>
      </c>
      <c r="M51" s="277"/>
      <c r="N51" s="277"/>
      <c r="O51" s="277"/>
      <c r="P51" s="277"/>
      <c r="Q51" s="501">
        <v>6</v>
      </c>
      <c r="AP51" s="305" t="str">
        <v xml:space="preserve">  </v>
      </c>
      <c r="AR51" s="307" t="str">
        <f>IFERROR(CONCATENATE(STN_GAP*Tools!AD15,",0 "),"")</f>
        <v xml:space="preserve">65.85,0 </v>
      </c>
      <c r="AS51" s="266" t="str">
        <f>IFERROR(CONCATENATE(STN_GAP*Tools!AD15,",",DEPTH," "),"")</f>
        <v xml:space="preserve">65.85,14.19 </v>
      </c>
      <c r="AT51" s="294" t="str">
        <f t="shared" si="68"/>
        <v xml:space="preserve">Line 65.85,0 65.85,14.19  </v>
      </c>
      <c r="AU51" s="266"/>
      <c r="AV51" s="308" t="str">
        <f>IFERROR(CONCATENATE("0,",WLS*Tools!AP51," "),"")</f>
        <v/>
      </c>
      <c r="AW51" s="266" t="str">
        <f>IFERROR(CONCATENATE(LBP,",",WLS*Tools!AP51," "),"")</f>
        <v/>
      </c>
      <c r="AX51" s="294" t="str">
        <f t="shared" si="69"/>
        <v/>
      </c>
      <c r="AY51" s="277"/>
      <c r="AZ51" s="266" t="str">
        <f t="shared" si="70"/>
        <v/>
      </c>
      <c r="BA51" s="266" t="str">
        <f t="shared" si="71"/>
        <v/>
      </c>
      <c r="BB51" s="294" t="str">
        <f t="shared" si="67"/>
        <v/>
      </c>
      <c r="BC51" s="266"/>
      <c r="BD51" s="266" t="str">
        <f>IFERROR(CONCATENATE(STN_GAP*Tools!AD15,",",ROUND(Y_Shift_HB,3)," "),"")</f>
        <v xml:space="preserve">65.85,-18.698 </v>
      </c>
      <c r="BE51" s="266" t="str">
        <f>IFERROR(CONCATENATE(STN_GAP*Tools!AD15,",",ROUND(Y_Shift_HB+BREADTH/2,3)," "),"")</f>
        <v xml:space="preserve">65.85,-6.448 </v>
      </c>
      <c r="BF51" s="294" t="str">
        <f t="shared" si="72"/>
        <v xml:space="preserve">Line 65.85,-18.698 65.85,-6.448  </v>
      </c>
      <c r="BG51" s="277"/>
      <c r="BH51" s="266" t="str">
        <f>IFERROR(CONCATENATE(ROUND(X_SHIFT_BP-BREADTH/2,3),",",ROUND(WLS*Tools!AP51,3)," "),"")</f>
        <v/>
      </c>
      <c r="BI51" s="266" t="str">
        <f>IFERROR(CONCATENATE(ROUND(X_SHIFT_BP+BREADTH/2,3),",",ROUND(WLS*Tools!AP51,3)," "),"")</f>
        <v/>
      </c>
      <c r="BJ51" s="294" t="str">
        <f t="shared" si="73"/>
        <v/>
      </c>
      <c r="BK51" s="266"/>
      <c r="BL51" s="266" t="str">
        <f t="shared" si="74"/>
        <v/>
      </c>
      <c r="BM51" s="266" t="str">
        <f t="shared" si="75"/>
        <v/>
      </c>
      <c r="BN51" s="294" t="str">
        <f t="shared" si="76"/>
        <v/>
      </c>
      <c r="BO51" s="266"/>
      <c r="BP51" s="266" t="str">
        <f t="shared" si="77"/>
        <v/>
      </c>
      <c r="BQ51" s="266" t="str">
        <f t="shared" si="78"/>
        <v/>
      </c>
      <c r="BR51" s="294" t="str">
        <f t="shared" si="79"/>
        <v/>
      </c>
      <c r="BS51" s="277"/>
      <c r="BT51" s="309" t="str">
        <f>IFERROR(CONCATENATE(ROUND(BA_Station_Scale_in_x*STN_GAP*Tools!AD15,3),",0 "),"")</f>
        <v xml:space="preserve">65.85,0 </v>
      </c>
      <c r="BU51" s="297" t="str">
        <f>IFERROR(CONCATENATE(ROUND(BA_Station_Scale_in_x*STN_GAP*Tools!AD15,3),",",ROUND(DEPTH*BA_Y_scale_of_WL,3)," "),"")</f>
        <v xml:space="preserve">65.85,28.38 </v>
      </c>
      <c r="BV51" s="310" t="str">
        <f t="shared" si="80"/>
        <v xml:space="preserve">Line 65.85,0 65.85,28.38  </v>
      </c>
      <c r="BW51" s="297"/>
      <c r="BX51" s="309" t="str">
        <f>IFERROR(CONCATENATE("0,",ROUND(BA_Y_scale_of_WL*WLS*Tools!AP51,3)," "),"")</f>
        <v/>
      </c>
      <c r="BY51" s="297" t="str">
        <f>IFERROR(CONCATENATE(LBP,",",ROUND(BA_Y_scale_of_WL*WLS*Tools!AP51,3)," "),"")</f>
        <v/>
      </c>
      <c r="BZ51" s="310" t="str">
        <f t="shared" si="81"/>
        <v/>
      </c>
      <c r="CA51" s="277"/>
      <c r="CB51" s="311">
        <v>12</v>
      </c>
      <c r="CC51" s="312" t="str">
        <f t="shared" si="82"/>
        <v/>
      </c>
      <c r="CD51" s="313" t="str">
        <f t="shared" si="83"/>
        <v xml:space="preserve">Line 12,0 12,14.19  </v>
      </c>
      <c r="CG51" s="262"/>
      <c r="CH51" s="262"/>
      <c r="CI51" s="262"/>
      <c r="CJ51" s="262"/>
      <c r="CK51" s="265">
        <f t="shared" si="37"/>
        <v>18.5</v>
      </c>
      <c r="CL51" s="266">
        <f t="shared" si="84"/>
        <v>18.5</v>
      </c>
      <c r="CM51" s="266">
        <f t="shared" si="85"/>
        <v>18.500129464338141</v>
      </c>
      <c r="CN51" s="266">
        <f t="shared" si="86"/>
        <v>18.501181172766387</v>
      </c>
      <c r="CO51" s="266">
        <f t="shared" si="87"/>
        <v>18.503583496228803</v>
      </c>
      <c r="CP51" s="266">
        <f t="shared" si="88"/>
        <v>18.507525045203746</v>
      </c>
      <c r="CQ51" s="266">
        <f t="shared" si="89"/>
        <v>18.519950375499874</v>
      </c>
      <c r="CR51" s="266">
        <f t="shared" si="90"/>
        <v>18.537597755909896</v>
      </c>
      <c r="CS51" s="266">
        <f t="shared" si="91"/>
        <v>18.562008872083016</v>
      </c>
      <c r="CT51" s="266">
        <f t="shared" si="92"/>
        <v>18.584096849810173</v>
      </c>
      <c r="CU51" s="266">
        <f t="shared" si="93"/>
        <v>18.602151742242469</v>
      </c>
      <c r="CV51" s="266">
        <f t="shared" si="94"/>
        <v>18.666167778688941</v>
      </c>
      <c r="CW51" s="266">
        <f t="shared" si="95"/>
        <v>18.755805773221969</v>
      </c>
      <c r="CX51" s="266" t="e">
        <f t="shared" si="96"/>
        <v>#VALUE!</v>
      </c>
      <c r="CY51" s="266" t="e">
        <f t="shared" si="97"/>
        <v>#VALUE!</v>
      </c>
      <c r="CZ51" s="266" t="e">
        <f t="shared" si="98"/>
        <v>#VALUE!</v>
      </c>
      <c r="DA51" s="266" t="e">
        <f t="shared" si="99"/>
        <v>#VALUE!</v>
      </c>
      <c r="DB51" s="266" t="e">
        <f t="shared" si="100"/>
        <v>#VALUE!</v>
      </c>
      <c r="DC51" s="266" t="e">
        <f t="shared" si="101"/>
        <v>#VALUE!</v>
      </c>
      <c r="DD51" s="266" t="e">
        <f t="shared" si="102"/>
        <v>#VALUE!</v>
      </c>
      <c r="DE51" s="266" t="e">
        <f t="shared" si="103"/>
        <v>#VALUE!</v>
      </c>
      <c r="DF51" s="266" t="e">
        <f t="shared" si="104"/>
        <v>#VALUE!</v>
      </c>
      <c r="DG51" s="266" t="e">
        <f t="shared" si="105"/>
        <v>#VALUE!</v>
      </c>
      <c r="DH51" s="266" t="e">
        <f t="shared" si="106"/>
        <v>#VALUE!</v>
      </c>
      <c r="DI51" s="266" t="e">
        <f t="shared" si="107"/>
        <v>#VALUE!</v>
      </c>
      <c r="DJ51" s="266" t="e">
        <f t="shared" si="108"/>
        <v>#VALUE!</v>
      </c>
    </row>
    <row r="52" spans="1:114" x14ac:dyDescent="0.25">
      <c r="B52" s="108" t="s">
        <v>52</v>
      </c>
      <c r="D52" s="320">
        <f t="shared" si="109"/>
        <v>21326.323489999904</v>
      </c>
      <c r="L52" s="274" t="s">
        <v>186</v>
      </c>
      <c r="M52" s="277"/>
      <c r="N52" s="277"/>
      <c r="O52" s="277"/>
      <c r="P52" s="277"/>
      <c r="Q52" s="501">
        <v>7</v>
      </c>
      <c r="AP52" s="305" t="str">
        <v xml:space="preserve">  </v>
      </c>
      <c r="AR52" s="307" t="str">
        <f>IFERROR(CONCATENATE(STN_GAP*Tools!AD16,",0 "),"")</f>
        <v xml:space="preserve">72.435,0 </v>
      </c>
      <c r="AS52" s="266" t="str">
        <f>IFERROR(CONCATENATE(STN_GAP*Tools!AD16,",",DEPTH," "),"")</f>
        <v xml:space="preserve">72.435,14.19 </v>
      </c>
      <c r="AT52" s="294" t="str">
        <f t="shared" si="68"/>
        <v xml:space="preserve">Line 72.435,0 72.435,14.19  </v>
      </c>
      <c r="AU52" s="266"/>
      <c r="AV52" s="308" t="str">
        <f>IFERROR(CONCATENATE("0,",WLS*Tools!AP52," "),"")</f>
        <v/>
      </c>
      <c r="AW52" s="266" t="str">
        <f>IFERROR(CONCATENATE(LBP,",",WLS*Tools!AP52," "),"")</f>
        <v/>
      </c>
      <c r="AX52" s="294" t="str">
        <f t="shared" si="69"/>
        <v/>
      </c>
      <c r="AY52" s="277"/>
      <c r="AZ52" s="266" t="str">
        <f t="shared" si="70"/>
        <v/>
      </c>
      <c r="BA52" s="266" t="str">
        <f t="shared" si="71"/>
        <v/>
      </c>
      <c r="BB52" s="294" t="str">
        <f t="shared" si="67"/>
        <v/>
      </c>
      <c r="BC52" s="266"/>
      <c r="BD52" s="266" t="str">
        <f>IFERROR(CONCATENATE(STN_GAP*Tools!AD16,",",ROUND(Y_Shift_HB,3)," "),"")</f>
        <v xml:space="preserve">72.435,-18.698 </v>
      </c>
      <c r="BE52" s="266" t="str">
        <f>IFERROR(CONCATENATE(STN_GAP*Tools!AD16,",",ROUND(Y_Shift_HB+BREADTH/2,3)," "),"")</f>
        <v xml:space="preserve">72.435,-6.448 </v>
      </c>
      <c r="BF52" s="294" t="str">
        <f t="shared" si="72"/>
        <v xml:space="preserve">Line 72.435,-18.698 72.435,-6.448  </v>
      </c>
      <c r="BG52" s="277"/>
      <c r="BH52" s="266" t="str">
        <f>IFERROR(CONCATENATE(ROUND(X_SHIFT_BP-BREADTH/2,3),",",ROUND(WLS*Tools!AP52,3)," "),"")</f>
        <v/>
      </c>
      <c r="BI52" s="266" t="str">
        <f>IFERROR(CONCATENATE(ROUND(X_SHIFT_BP+BREADTH/2,3),",",ROUND(WLS*Tools!AP52,3)," "),"")</f>
        <v/>
      </c>
      <c r="BJ52" s="294" t="str">
        <f t="shared" si="73"/>
        <v/>
      </c>
      <c r="BK52" s="266"/>
      <c r="BL52" s="266" t="str">
        <f t="shared" si="74"/>
        <v/>
      </c>
      <c r="BM52" s="266" t="str">
        <f t="shared" si="75"/>
        <v/>
      </c>
      <c r="BN52" s="294" t="str">
        <f t="shared" si="76"/>
        <v/>
      </c>
      <c r="BO52" s="266"/>
      <c r="BP52" s="266" t="str">
        <f t="shared" si="77"/>
        <v/>
      </c>
      <c r="BQ52" s="266" t="str">
        <f t="shared" si="78"/>
        <v/>
      </c>
      <c r="BR52" s="294" t="str">
        <f t="shared" si="79"/>
        <v/>
      </c>
      <c r="BS52" s="277"/>
      <c r="BT52" s="309" t="str">
        <f>IFERROR(CONCATENATE(ROUND(BA_Station_Scale_in_x*STN_GAP*Tools!AD16,3),",0 "),"")</f>
        <v xml:space="preserve">72.435,0 </v>
      </c>
      <c r="BU52" s="297" t="str">
        <f>IFERROR(CONCATENATE(ROUND(BA_Station_Scale_in_x*STN_GAP*Tools!AD16,3),",",ROUND(DEPTH*BA_Y_scale_of_WL,3)," "),"")</f>
        <v xml:space="preserve">72.435,28.38 </v>
      </c>
      <c r="BV52" s="310" t="str">
        <f t="shared" si="80"/>
        <v xml:space="preserve">Line 72.435,0 72.435,28.38  </v>
      </c>
      <c r="BW52" s="297"/>
      <c r="BX52" s="309" t="str">
        <f>IFERROR(CONCATENATE("0,",ROUND(BA_Y_scale_of_WL*WLS*Tools!AP52,3)," "),"")</f>
        <v/>
      </c>
      <c r="BY52" s="297" t="str">
        <f>IFERROR(CONCATENATE(LBP,",",ROUND(BA_Y_scale_of_WL*WLS*Tools!AP52,3)," "),"")</f>
        <v/>
      </c>
      <c r="BZ52" s="310" t="str">
        <f t="shared" si="81"/>
        <v/>
      </c>
      <c r="CA52" s="277"/>
      <c r="CB52" s="312">
        <v>13</v>
      </c>
      <c r="CC52" s="312" t="str">
        <f t="shared" si="82"/>
        <v/>
      </c>
      <c r="CD52" s="313" t="str">
        <f t="shared" si="83"/>
        <v xml:space="preserve">Line 13,0 13,14.19  </v>
      </c>
      <c r="CG52" s="262"/>
      <c r="CH52" s="262"/>
      <c r="CI52" s="262"/>
      <c r="CJ52" s="262"/>
      <c r="CK52" s="265">
        <f t="shared" si="37"/>
        <v>19</v>
      </c>
      <c r="CL52" s="266">
        <f t="shared" si="84"/>
        <v>19</v>
      </c>
      <c r="CM52" s="266">
        <f t="shared" si="85"/>
        <v>19.000038254214122</v>
      </c>
      <c r="CN52" s="266">
        <f t="shared" si="86"/>
        <v>19.000782445558087</v>
      </c>
      <c r="CO52" s="266">
        <f t="shared" si="87"/>
        <v>19.002636158542142</v>
      </c>
      <c r="CP52" s="266">
        <f t="shared" si="88"/>
        <v>19.005791283826881</v>
      </c>
      <c r="CQ52" s="266">
        <f t="shared" si="89"/>
        <v>19.016035292938497</v>
      </c>
      <c r="CR52" s="266">
        <f t="shared" si="90"/>
        <v>19.029618527562643</v>
      </c>
      <c r="CS52" s="266">
        <f t="shared" si="91"/>
        <v>19.045622536674259</v>
      </c>
      <c r="CT52" s="266">
        <f t="shared" si="92"/>
        <v>19.060368494659581</v>
      </c>
      <c r="CU52" s="266">
        <f t="shared" si="93"/>
        <v>19.072785725740317</v>
      </c>
      <c r="CV52" s="266">
        <f t="shared" si="94"/>
        <v>19.121289780410024</v>
      </c>
      <c r="CW52" s="266">
        <f t="shared" si="95"/>
        <v>19.187312182232347</v>
      </c>
      <c r="CX52" s="266" t="e">
        <f t="shared" si="96"/>
        <v>#VALUE!</v>
      </c>
      <c r="CY52" s="266" t="e">
        <f t="shared" si="97"/>
        <v>#VALUE!</v>
      </c>
      <c r="CZ52" s="266" t="e">
        <f t="shared" si="98"/>
        <v>#VALUE!</v>
      </c>
      <c r="DA52" s="266" t="e">
        <f t="shared" si="99"/>
        <v>#VALUE!</v>
      </c>
      <c r="DB52" s="266" t="e">
        <f t="shared" si="100"/>
        <v>#VALUE!</v>
      </c>
      <c r="DC52" s="266" t="e">
        <f t="shared" si="101"/>
        <v>#VALUE!</v>
      </c>
      <c r="DD52" s="266" t="e">
        <f t="shared" si="102"/>
        <v>#VALUE!</v>
      </c>
      <c r="DE52" s="266" t="e">
        <f t="shared" si="103"/>
        <v>#VALUE!</v>
      </c>
      <c r="DF52" s="266" t="e">
        <f t="shared" si="104"/>
        <v>#VALUE!</v>
      </c>
      <c r="DG52" s="266" t="e">
        <f t="shared" si="105"/>
        <v>#VALUE!</v>
      </c>
      <c r="DH52" s="266" t="e">
        <f t="shared" si="106"/>
        <v>#VALUE!</v>
      </c>
      <c r="DI52" s="266" t="e">
        <f t="shared" si="107"/>
        <v>#VALUE!</v>
      </c>
      <c r="DJ52" s="266" t="e">
        <f t="shared" si="108"/>
        <v>#VALUE!</v>
      </c>
    </row>
    <row r="53" spans="1:114" ht="15.75" thickBot="1" x14ac:dyDescent="0.3">
      <c r="B53" s="108" t="s">
        <v>65</v>
      </c>
      <c r="D53" s="320">
        <f t="shared" si="109"/>
        <v>5.6134552346428039</v>
      </c>
      <c r="L53" s="274" t="s">
        <v>159</v>
      </c>
      <c r="M53" s="277"/>
      <c r="N53" s="277"/>
      <c r="O53" s="277"/>
      <c r="P53" s="277"/>
      <c r="Q53" s="501">
        <v>8</v>
      </c>
      <c r="AP53" s="305" t="str">
        <v xml:space="preserve">  </v>
      </c>
      <c r="AR53" s="307" t="str">
        <f>IFERROR(CONCATENATE(STN_GAP*Tools!AD17,",0 "),"")</f>
        <v xml:space="preserve">79.02,0 </v>
      </c>
      <c r="AS53" s="266" t="str">
        <f>IFERROR(CONCATENATE(STN_GAP*Tools!AD17,",",DEPTH," "),"")</f>
        <v xml:space="preserve">79.02,14.19 </v>
      </c>
      <c r="AT53" s="294" t="str">
        <f t="shared" si="68"/>
        <v xml:space="preserve">Line 79.02,0 79.02,14.19  </v>
      </c>
      <c r="AU53" s="266"/>
      <c r="AV53" s="308" t="str">
        <f>IFERROR(CONCATENATE("0,",WLS*Tools!AP53," "),"")</f>
        <v/>
      </c>
      <c r="AW53" s="266" t="str">
        <f>IFERROR(CONCATENATE(LBP,",",WLS*Tools!AP53," "),"")</f>
        <v/>
      </c>
      <c r="AX53" s="294" t="str">
        <f t="shared" si="69"/>
        <v/>
      </c>
      <c r="AY53" s="277"/>
      <c r="AZ53" s="266" t="str">
        <f t="shared" si="70"/>
        <v/>
      </c>
      <c r="BA53" s="266" t="str">
        <f t="shared" si="71"/>
        <v/>
      </c>
      <c r="BB53" s="294" t="str">
        <f t="shared" si="67"/>
        <v/>
      </c>
      <c r="BC53" s="266"/>
      <c r="BD53" s="266" t="str">
        <f>IFERROR(CONCATENATE(STN_GAP*Tools!AD17,",",ROUND(Y_Shift_HB,3)," "),"")</f>
        <v xml:space="preserve">79.02,-18.698 </v>
      </c>
      <c r="BE53" s="266" t="str">
        <f>IFERROR(CONCATENATE(STN_GAP*Tools!AD17,",",ROUND(Y_Shift_HB+BREADTH/2,3)," "),"")</f>
        <v xml:space="preserve">79.02,-6.448 </v>
      </c>
      <c r="BF53" s="294" t="str">
        <f t="shared" si="72"/>
        <v xml:space="preserve">Line 79.02,-18.698 79.02,-6.448  </v>
      </c>
      <c r="BG53" s="277"/>
      <c r="BH53" s="266" t="str">
        <f>IFERROR(CONCATENATE(ROUND(X_SHIFT_BP-BREADTH/2,3),",",ROUND(WLS*Tools!AP53,3)," "),"")</f>
        <v/>
      </c>
      <c r="BI53" s="266" t="str">
        <f>IFERROR(CONCATENATE(ROUND(X_SHIFT_BP+BREADTH/2,3),",",ROUND(WLS*Tools!AP53,3)," "),"")</f>
        <v/>
      </c>
      <c r="BJ53" s="294" t="str">
        <f t="shared" si="73"/>
        <v/>
      </c>
      <c r="BK53" s="266"/>
      <c r="BL53" s="266" t="str">
        <f t="shared" si="74"/>
        <v/>
      </c>
      <c r="BM53" s="266" t="str">
        <f t="shared" si="75"/>
        <v/>
      </c>
      <c r="BN53" s="294" t="str">
        <f t="shared" si="76"/>
        <v/>
      </c>
      <c r="BO53" s="266"/>
      <c r="BP53" s="266" t="str">
        <f t="shared" si="77"/>
        <v/>
      </c>
      <c r="BQ53" s="266" t="str">
        <f t="shared" si="78"/>
        <v/>
      </c>
      <c r="BR53" s="294" t="str">
        <f t="shared" si="79"/>
        <v/>
      </c>
      <c r="BS53" s="277"/>
      <c r="BT53" s="309" t="str">
        <f>IFERROR(CONCATENATE(ROUND(BA_Station_Scale_in_x*STN_GAP*Tools!AD17,3),",0 "),"")</f>
        <v xml:space="preserve">79.02,0 </v>
      </c>
      <c r="BU53" s="297" t="str">
        <f>IFERROR(CONCATENATE(ROUND(BA_Station_Scale_in_x*STN_GAP*Tools!AD17,3),",",ROUND(DEPTH*BA_Y_scale_of_WL,3)," "),"")</f>
        <v xml:space="preserve">79.02,28.38 </v>
      </c>
      <c r="BV53" s="310" t="str">
        <f t="shared" si="80"/>
        <v xml:space="preserve">Line 79.02,0 79.02,28.38  </v>
      </c>
      <c r="BW53" s="297"/>
      <c r="BX53" s="309" t="str">
        <f>IFERROR(CONCATENATE("0,",ROUND(BA_Y_scale_of_WL*WLS*Tools!AP53,3)," "),"")</f>
        <v/>
      </c>
      <c r="BY53" s="297" t="str">
        <f>IFERROR(CONCATENATE(LBP,",",ROUND(BA_Y_scale_of_WL*WLS*Tools!AP53,3)," "),"")</f>
        <v/>
      </c>
      <c r="BZ53" s="310" t="str">
        <f t="shared" si="81"/>
        <v/>
      </c>
      <c r="CA53" s="277"/>
      <c r="CB53" s="311">
        <v>14</v>
      </c>
      <c r="CC53" s="312" t="str">
        <f t="shared" si="82"/>
        <v/>
      </c>
      <c r="CD53" s="313" t="str">
        <f t="shared" si="83"/>
        <v xml:space="preserve">Line 14,0 14,14.19  </v>
      </c>
      <c r="CG53" s="262"/>
      <c r="CH53" s="262"/>
      <c r="CI53" s="262"/>
      <c r="CJ53" s="262"/>
      <c r="CK53" s="265">
        <f t="shared" si="37"/>
        <v>19.5</v>
      </c>
      <c r="CL53" s="266">
        <f t="shared" si="84"/>
        <v>19.5</v>
      </c>
      <c r="CM53" s="266">
        <f t="shared" si="85"/>
        <v>19.5</v>
      </c>
      <c r="CN53" s="266">
        <f t="shared" si="86"/>
        <v>19.500320404960771</v>
      </c>
      <c r="CO53" s="266">
        <f t="shared" si="87"/>
        <v>19.501672660086054</v>
      </c>
      <c r="CP53" s="266">
        <f t="shared" si="88"/>
        <v>19.504191019994938</v>
      </c>
      <c r="CQ53" s="266">
        <f t="shared" si="89"/>
        <v>19.512765416350291</v>
      </c>
      <c r="CR53" s="266">
        <f t="shared" si="90"/>
        <v>19.523662181726145</v>
      </c>
      <c r="CS53" s="266">
        <f t="shared" si="91"/>
        <v>19.533279676031384</v>
      </c>
      <c r="CT53" s="266">
        <f t="shared" si="92"/>
        <v>19.54109165274614</v>
      </c>
      <c r="CU53" s="266">
        <f t="shared" si="93"/>
        <v>19.547069562136169</v>
      </c>
      <c r="CV53" s="266">
        <f t="shared" si="94"/>
        <v>19.576768332067832</v>
      </c>
      <c r="CW53" s="266">
        <f t="shared" si="95"/>
        <v>19.621505016350291</v>
      </c>
      <c r="CX53" s="266" t="e">
        <f t="shared" si="96"/>
        <v>#VALUE!</v>
      </c>
      <c r="CY53" s="266" t="e">
        <f t="shared" si="97"/>
        <v>#VALUE!</v>
      </c>
      <c r="CZ53" s="266" t="e">
        <f t="shared" si="98"/>
        <v>#VALUE!</v>
      </c>
      <c r="DA53" s="266" t="e">
        <f t="shared" si="99"/>
        <v>#VALUE!</v>
      </c>
      <c r="DB53" s="266" t="e">
        <f t="shared" si="100"/>
        <v>#VALUE!</v>
      </c>
      <c r="DC53" s="266" t="e">
        <f t="shared" si="101"/>
        <v>#VALUE!</v>
      </c>
      <c r="DD53" s="266" t="e">
        <f t="shared" si="102"/>
        <v>#VALUE!</v>
      </c>
      <c r="DE53" s="266" t="e">
        <f t="shared" si="103"/>
        <v>#VALUE!</v>
      </c>
      <c r="DF53" s="266" t="e">
        <f t="shared" si="104"/>
        <v>#VALUE!</v>
      </c>
      <c r="DG53" s="266" t="e">
        <f t="shared" si="105"/>
        <v>#VALUE!</v>
      </c>
      <c r="DH53" s="266" t="e">
        <f t="shared" si="106"/>
        <v>#VALUE!</v>
      </c>
      <c r="DI53" s="266" t="e">
        <f t="shared" si="107"/>
        <v>#VALUE!</v>
      </c>
      <c r="DJ53" s="266" t="e">
        <f t="shared" si="108"/>
        <v>#VALUE!</v>
      </c>
    </row>
    <row r="54" spans="1:114" ht="15.75" thickBot="1" x14ac:dyDescent="0.3">
      <c r="B54" s="108" t="s">
        <v>71</v>
      </c>
      <c r="D54" s="320">
        <f t="shared" si="109"/>
        <v>27.350425447499997</v>
      </c>
      <c r="L54" s="533" t="str">
        <f>CHOOSE(L55,L56,L57,L58)</f>
        <v>Use 141 rule only</v>
      </c>
      <c r="M54" s="534"/>
      <c r="N54" s="535"/>
      <c r="O54" s="277"/>
      <c r="P54" s="277"/>
      <c r="Q54" s="501">
        <v>9</v>
      </c>
      <c r="AP54" s="305" t="str">
        <v xml:space="preserve">  </v>
      </c>
      <c r="AR54" s="307" t="str">
        <f>IFERROR(CONCATENATE(STN_GAP*Tools!AD18,",0 "),"")</f>
        <v xml:space="preserve">85.605,0 </v>
      </c>
      <c r="AS54" s="266" t="str">
        <f>IFERROR(CONCATENATE(STN_GAP*Tools!AD18,",",DEPTH," "),"")</f>
        <v xml:space="preserve">85.605,14.19 </v>
      </c>
      <c r="AT54" s="294" t="str">
        <f t="shared" si="68"/>
        <v xml:space="preserve">Line 85.605,0 85.605,14.19  </v>
      </c>
      <c r="AU54" s="266"/>
      <c r="AV54" s="308" t="str">
        <f>IFERROR(CONCATENATE("0,",WLS*Tools!AP54," "),"")</f>
        <v/>
      </c>
      <c r="AW54" s="266" t="str">
        <f>IFERROR(CONCATENATE(LBP,",",WLS*Tools!AP54," "),"")</f>
        <v/>
      </c>
      <c r="AX54" s="294" t="str">
        <f t="shared" si="69"/>
        <v/>
      </c>
      <c r="AY54" s="277"/>
      <c r="AZ54" s="266" t="str">
        <f t="shared" si="70"/>
        <v/>
      </c>
      <c r="BA54" s="266" t="str">
        <f t="shared" si="71"/>
        <v/>
      </c>
      <c r="BB54" s="294" t="str">
        <f t="shared" si="67"/>
        <v/>
      </c>
      <c r="BC54" s="266"/>
      <c r="BD54" s="266" t="str">
        <f>IFERROR(CONCATENATE(STN_GAP*Tools!AD18,",",ROUND(Y_Shift_HB,3)," "),"")</f>
        <v xml:space="preserve">85.605,-18.698 </v>
      </c>
      <c r="BE54" s="266" t="str">
        <f>IFERROR(CONCATENATE(STN_GAP*Tools!AD18,",",ROUND(Y_Shift_HB+BREADTH/2,3)," "),"")</f>
        <v xml:space="preserve">85.605,-6.448 </v>
      </c>
      <c r="BF54" s="294" t="str">
        <f t="shared" si="72"/>
        <v xml:space="preserve">Line 85.605,-18.698 85.605,-6.448  </v>
      </c>
      <c r="BG54" s="277"/>
      <c r="BH54" s="266" t="str">
        <f>IFERROR(CONCATENATE(ROUND(X_SHIFT_BP-BREADTH/2,3),",",ROUND(WLS*Tools!AP54,3)," "),"")</f>
        <v/>
      </c>
      <c r="BI54" s="266" t="str">
        <f>IFERROR(CONCATENATE(ROUND(X_SHIFT_BP+BREADTH/2,3),",",ROUND(WLS*Tools!AP54,3)," "),"")</f>
        <v/>
      </c>
      <c r="BJ54" s="294" t="str">
        <f t="shared" si="73"/>
        <v/>
      </c>
      <c r="BK54" s="266"/>
      <c r="BL54" s="266" t="str">
        <f t="shared" si="74"/>
        <v/>
      </c>
      <c r="BM54" s="266" t="str">
        <f t="shared" si="75"/>
        <v/>
      </c>
      <c r="BN54" s="294" t="str">
        <f t="shared" si="76"/>
        <v/>
      </c>
      <c r="BO54" s="266"/>
      <c r="BP54" s="266" t="str">
        <f t="shared" si="77"/>
        <v/>
      </c>
      <c r="BQ54" s="266" t="str">
        <f t="shared" si="78"/>
        <v/>
      </c>
      <c r="BR54" s="294" t="str">
        <f t="shared" si="79"/>
        <v/>
      </c>
      <c r="BS54" s="277"/>
      <c r="BT54" s="309" t="str">
        <f>IFERROR(CONCATENATE(ROUND(BA_Station_Scale_in_x*STN_GAP*Tools!AD18,3),",0 "),"")</f>
        <v xml:space="preserve">85.605,0 </v>
      </c>
      <c r="BU54" s="297" t="str">
        <f>IFERROR(CONCATENATE(ROUND(BA_Station_Scale_in_x*STN_GAP*Tools!AD18,3),",",ROUND(DEPTH*BA_Y_scale_of_WL,3)," "),"")</f>
        <v xml:space="preserve">85.605,28.38 </v>
      </c>
      <c r="BV54" s="310" t="str">
        <f t="shared" si="80"/>
        <v xml:space="preserve">Line 85.605,0 85.605,28.38  </v>
      </c>
      <c r="BW54" s="297"/>
      <c r="BX54" s="309" t="str">
        <f>IFERROR(CONCATENATE("0,",ROUND(BA_Y_scale_of_WL*WLS*Tools!AP54,3)," "),"")</f>
        <v/>
      </c>
      <c r="BY54" s="297" t="str">
        <f>IFERROR(CONCATENATE(LBP,",",ROUND(BA_Y_scale_of_WL*WLS*Tools!AP54,3)," "),"")</f>
        <v/>
      </c>
      <c r="BZ54" s="310" t="str">
        <f t="shared" si="81"/>
        <v/>
      </c>
      <c r="CA54" s="277"/>
      <c r="CB54" s="312">
        <v>15</v>
      </c>
      <c r="CC54" s="312" t="str">
        <f t="shared" si="82"/>
        <v/>
      </c>
      <c r="CD54" s="313" t="str">
        <f t="shared" si="83"/>
        <v xml:space="preserve">Line 15,0 15,14.19  </v>
      </c>
      <c r="CG54" s="321"/>
      <c r="CH54" s="262"/>
      <c r="CI54" s="262"/>
      <c r="CJ54" s="262"/>
      <c r="CK54" s="322">
        <f t="shared" si="37"/>
        <v>20</v>
      </c>
      <c r="CL54" s="266">
        <f t="shared" si="84"/>
        <v>20</v>
      </c>
      <c r="CM54" s="266">
        <f t="shared" si="85"/>
        <v>20</v>
      </c>
      <c r="CN54" s="266">
        <f t="shared" si="86"/>
        <v>20</v>
      </c>
      <c r="CO54" s="266">
        <f t="shared" si="87"/>
        <v>20.000398562389268</v>
      </c>
      <c r="CP54" s="266">
        <f t="shared" si="88"/>
        <v>20.002059154644392</v>
      </c>
      <c r="CQ54" s="266">
        <f t="shared" si="89"/>
        <v>20.008795828904073</v>
      </c>
      <c r="CR54" s="266">
        <f t="shared" si="90"/>
        <v>20.017712184257149</v>
      </c>
      <c r="CS54" s="266">
        <f t="shared" si="91"/>
        <v>20.021194917742342</v>
      </c>
      <c r="CT54" s="266">
        <f t="shared" si="92"/>
        <v>20.021194917742342</v>
      </c>
      <c r="CU54" s="266">
        <f t="shared" si="93"/>
        <v>20.022273277651227</v>
      </c>
      <c r="CV54" s="266">
        <f t="shared" si="94"/>
        <v>20.029407674006581</v>
      </c>
      <c r="CW54" s="266">
        <f t="shared" si="95"/>
        <v>20.046539253961022</v>
      </c>
      <c r="CX54" s="266" t="e">
        <f t="shared" si="96"/>
        <v>#VALUE!</v>
      </c>
      <c r="CY54" s="266" t="e">
        <f t="shared" si="97"/>
        <v>#VALUE!</v>
      </c>
      <c r="CZ54" s="266" t="e">
        <f t="shared" si="98"/>
        <v>#VALUE!</v>
      </c>
      <c r="DA54" s="266" t="e">
        <f t="shared" si="99"/>
        <v>#VALUE!</v>
      </c>
      <c r="DB54" s="266" t="e">
        <f t="shared" si="100"/>
        <v>#VALUE!</v>
      </c>
      <c r="DC54" s="266" t="e">
        <f t="shared" si="101"/>
        <v>#VALUE!</v>
      </c>
      <c r="DD54" s="266" t="e">
        <f t="shared" si="102"/>
        <v>#VALUE!</v>
      </c>
      <c r="DE54" s="266" t="e">
        <f t="shared" si="103"/>
        <v>#VALUE!</v>
      </c>
      <c r="DF54" s="266" t="e">
        <f t="shared" si="104"/>
        <v>#VALUE!</v>
      </c>
      <c r="DG54" s="266" t="e">
        <f t="shared" si="105"/>
        <v>#VALUE!</v>
      </c>
      <c r="DH54" s="266" t="e">
        <f t="shared" si="106"/>
        <v>#VALUE!</v>
      </c>
      <c r="DI54" s="266" t="e">
        <f t="shared" si="107"/>
        <v>#VALUE!</v>
      </c>
      <c r="DJ54" s="266" t="e">
        <f t="shared" si="108"/>
        <v>#VALUE!</v>
      </c>
    </row>
    <row r="55" spans="1:114" x14ac:dyDescent="0.25">
      <c r="B55" s="108" t="s">
        <v>73</v>
      </c>
      <c r="D55" s="320">
        <f t="shared" si="109"/>
        <v>-1.003949401012229</v>
      </c>
      <c r="L55" s="411">
        <v>1</v>
      </c>
      <c r="M55" s="277"/>
      <c r="N55" s="277"/>
      <c r="O55" s="277"/>
      <c r="P55" s="277"/>
      <c r="Q55" s="501">
        <v>10</v>
      </c>
      <c r="AP55" s="305" t="str">
        <v xml:space="preserve">  </v>
      </c>
      <c r="AR55" s="307" t="str">
        <f>IFERROR(CONCATENATE(STN_GAP*Tools!AD19,",0 "),"")</f>
        <v xml:space="preserve">92.19,0 </v>
      </c>
      <c r="AS55" s="266" t="str">
        <f>IFERROR(CONCATENATE(STN_GAP*Tools!AD19,",",DEPTH," "),"")</f>
        <v xml:space="preserve">92.19,14.19 </v>
      </c>
      <c r="AT55" s="294" t="str">
        <f t="shared" si="68"/>
        <v xml:space="preserve">Line 92.19,0 92.19,14.19  </v>
      </c>
      <c r="AU55" s="266"/>
      <c r="AV55" s="308" t="str">
        <f>IFERROR(CONCATENATE("0,",WLS*Tools!AP55," "),"")</f>
        <v/>
      </c>
      <c r="AW55" s="266" t="str">
        <f>IFERROR(CONCATENATE(LBP,",",WLS*Tools!AP55," "),"")</f>
        <v/>
      </c>
      <c r="AX55" s="294" t="str">
        <f t="shared" si="69"/>
        <v/>
      </c>
      <c r="AY55" s="277"/>
      <c r="AZ55" s="266" t="str">
        <f t="shared" si="70"/>
        <v/>
      </c>
      <c r="BA55" s="266" t="str">
        <f t="shared" si="71"/>
        <v/>
      </c>
      <c r="BB55" s="294" t="str">
        <f t="shared" si="67"/>
        <v/>
      </c>
      <c r="BC55" s="266"/>
      <c r="BD55" s="266" t="str">
        <f>IFERROR(CONCATENATE(STN_GAP*Tools!AD19,",",ROUND(Y_Shift_HB,3)," "),"")</f>
        <v xml:space="preserve">92.19,-18.698 </v>
      </c>
      <c r="BE55" s="266" t="str">
        <f>IFERROR(CONCATENATE(STN_GAP*Tools!AD19,",",ROUND(Y_Shift_HB+BREADTH/2,3)," "),"")</f>
        <v xml:space="preserve">92.19,-6.448 </v>
      </c>
      <c r="BF55" s="294" t="str">
        <f t="shared" si="72"/>
        <v xml:space="preserve">Line 92.19,-18.698 92.19,-6.448  </v>
      </c>
      <c r="BG55" s="277"/>
      <c r="BH55" s="266" t="str">
        <f>IFERROR(CONCATENATE(ROUND(X_SHIFT_BP-BREADTH/2,3),",",ROUND(WLS*Tools!AP55,3)," "),"")</f>
        <v/>
      </c>
      <c r="BI55" s="266" t="str">
        <f>IFERROR(CONCATENATE(ROUND(X_SHIFT_BP+BREADTH/2,3),",",ROUND(WLS*Tools!AP55,3)," "),"")</f>
        <v/>
      </c>
      <c r="BJ55" s="294" t="str">
        <f t="shared" si="73"/>
        <v/>
      </c>
      <c r="BK55" s="266"/>
      <c r="BL55" s="266" t="str">
        <f t="shared" si="74"/>
        <v/>
      </c>
      <c r="BM55" s="266" t="str">
        <f t="shared" si="75"/>
        <v/>
      </c>
      <c r="BN55" s="294" t="str">
        <f t="shared" si="76"/>
        <v/>
      </c>
      <c r="BO55" s="266"/>
      <c r="BP55" s="266" t="str">
        <f t="shared" si="77"/>
        <v/>
      </c>
      <c r="BQ55" s="266" t="str">
        <f t="shared" si="78"/>
        <v/>
      </c>
      <c r="BR55" s="294" t="str">
        <f t="shared" si="79"/>
        <v/>
      </c>
      <c r="BS55" s="277"/>
      <c r="BT55" s="309" t="str">
        <f>IFERROR(CONCATENATE(ROUND(BA_Station_Scale_in_x*STN_GAP*Tools!AD19,3),",0 "),"")</f>
        <v xml:space="preserve">92.19,0 </v>
      </c>
      <c r="BU55" s="297" t="str">
        <f>IFERROR(CONCATENATE(ROUND(BA_Station_Scale_in_x*STN_GAP*Tools!AD19,3),",",ROUND(DEPTH*BA_Y_scale_of_WL,3)," "),"")</f>
        <v xml:space="preserve">92.19,28.38 </v>
      </c>
      <c r="BV55" s="310" t="str">
        <f t="shared" si="80"/>
        <v xml:space="preserve">Line 92.19,0 92.19,28.38  </v>
      </c>
      <c r="BW55" s="297"/>
      <c r="BX55" s="309" t="str">
        <f>IFERROR(CONCATENATE("0,",ROUND(BA_Y_scale_of_WL*WLS*Tools!AP55,3)," "),"")</f>
        <v/>
      </c>
      <c r="BY55" s="297" t="str">
        <f>IFERROR(CONCATENATE(LBP,",",ROUND(BA_Y_scale_of_WL*WLS*Tools!AP55,3)," "),"")</f>
        <v/>
      </c>
      <c r="BZ55" s="310" t="str">
        <f t="shared" si="81"/>
        <v/>
      </c>
      <c r="CA55" s="277"/>
      <c r="CB55" s="311">
        <v>16</v>
      </c>
      <c r="CC55" s="312" t="str">
        <f t="shared" si="82"/>
        <v/>
      </c>
      <c r="CD55" s="313" t="str">
        <f t="shared" si="83"/>
        <v xml:space="preserve">Line 16,0 16,14.19  </v>
      </c>
    </row>
    <row r="56" spans="1:114" x14ac:dyDescent="0.25">
      <c r="A56" s="277"/>
      <c r="B56" s="108" t="s">
        <v>127</v>
      </c>
      <c r="D56" s="320">
        <f t="shared" si="109"/>
        <v>224.42636161621462</v>
      </c>
      <c r="L56" s="274" t="s">
        <v>139</v>
      </c>
      <c r="M56" s="277"/>
      <c r="N56" s="277"/>
      <c r="O56" s="277"/>
      <c r="P56" s="277"/>
      <c r="Q56" s="501">
        <v>11</v>
      </c>
      <c r="AP56" s="305" t="str">
        <v xml:space="preserve">  </v>
      </c>
      <c r="AR56" s="307" t="str">
        <f>IFERROR(CONCATENATE(STN_GAP*Tools!AD20,",0 "),"")</f>
        <v xml:space="preserve">98.775,0 </v>
      </c>
      <c r="AS56" s="266" t="str">
        <f>IFERROR(CONCATENATE(STN_GAP*Tools!AD20,",",DEPTH," "),"")</f>
        <v xml:space="preserve">98.775,14.19 </v>
      </c>
      <c r="AT56" s="294" t="str">
        <f t="shared" si="68"/>
        <v xml:space="preserve">Line 98.775,0 98.775,14.19  </v>
      </c>
      <c r="AU56" s="266"/>
      <c r="AV56" s="308" t="str">
        <f>IFERROR(CONCATENATE("0,",WLS*Tools!AP56," "),"")</f>
        <v/>
      </c>
      <c r="AW56" s="266" t="str">
        <f>IFERROR(CONCATENATE(LBP,",",WLS*Tools!AP56," "),"")</f>
        <v/>
      </c>
      <c r="AX56" s="294" t="str">
        <f t="shared" si="69"/>
        <v/>
      </c>
      <c r="AY56" s="277"/>
      <c r="AZ56" s="266" t="str">
        <f t="shared" si="70"/>
        <v/>
      </c>
      <c r="BA56" s="266" t="str">
        <f t="shared" si="71"/>
        <v/>
      </c>
      <c r="BB56" s="294" t="str">
        <f t="shared" si="67"/>
        <v/>
      </c>
      <c r="BC56" s="266"/>
      <c r="BD56" s="266" t="str">
        <f>IFERROR(CONCATENATE(STN_GAP*Tools!AD20,",",ROUND(Y_Shift_HB,3)," "),"")</f>
        <v xml:space="preserve">98.775,-18.698 </v>
      </c>
      <c r="BE56" s="266" t="str">
        <f>IFERROR(CONCATENATE(STN_GAP*Tools!AD20,",",ROUND(Y_Shift_HB+BREADTH/2,3)," "),"")</f>
        <v xml:space="preserve">98.775,-6.448 </v>
      </c>
      <c r="BF56" s="294" t="str">
        <f t="shared" si="72"/>
        <v xml:space="preserve">Line 98.775,-18.698 98.775,-6.448  </v>
      </c>
      <c r="BG56" s="277"/>
      <c r="BH56" s="266" t="str">
        <f>IFERROR(CONCATENATE(ROUND(X_SHIFT_BP-BREADTH/2,3),",",ROUND(WLS*Tools!AP56,3)," "),"")</f>
        <v/>
      </c>
      <c r="BI56" s="266" t="str">
        <f>IFERROR(CONCATENATE(ROUND(X_SHIFT_BP+BREADTH/2,3),",",ROUND(WLS*Tools!AP56,3)," "),"")</f>
        <v/>
      </c>
      <c r="BJ56" s="294" t="str">
        <f t="shared" si="73"/>
        <v/>
      </c>
      <c r="BK56" s="266"/>
      <c r="BL56" s="266" t="str">
        <f t="shared" si="74"/>
        <v/>
      </c>
      <c r="BM56" s="266" t="str">
        <f t="shared" si="75"/>
        <v/>
      </c>
      <c r="BN56" s="294" t="str">
        <f t="shared" si="76"/>
        <v/>
      </c>
      <c r="BO56" s="266"/>
      <c r="BP56" s="266" t="str">
        <f t="shared" si="77"/>
        <v/>
      </c>
      <c r="BQ56" s="266" t="str">
        <f t="shared" si="78"/>
        <v/>
      </c>
      <c r="BR56" s="294" t="str">
        <f t="shared" si="79"/>
        <v/>
      </c>
      <c r="BS56" s="277"/>
      <c r="BT56" s="309" t="str">
        <f>IFERROR(CONCATENATE(ROUND(BA_Station_Scale_in_x*STN_GAP*Tools!AD20,3),",0 "),"")</f>
        <v xml:space="preserve">98.775,0 </v>
      </c>
      <c r="BU56" s="297" t="str">
        <f>IFERROR(CONCATENATE(ROUND(BA_Station_Scale_in_x*STN_GAP*Tools!AD20,3),",",ROUND(DEPTH*BA_Y_scale_of_WL,3)," "),"")</f>
        <v xml:space="preserve">98.775,28.38 </v>
      </c>
      <c r="BV56" s="310" t="str">
        <f t="shared" si="80"/>
        <v xml:space="preserve">Line 98.775,0 98.775,28.38  </v>
      </c>
      <c r="BW56" s="297"/>
      <c r="BX56" s="309" t="str">
        <f>IFERROR(CONCATENATE("0,",ROUND(BA_Y_scale_of_WL*WLS*Tools!AP56,3)," "),"")</f>
        <v/>
      </c>
      <c r="BY56" s="297" t="str">
        <f>IFERROR(CONCATENATE(LBP,",",ROUND(BA_Y_scale_of_WL*WLS*Tools!AP56,3)," "),"")</f>
        <v/>
      </c>
      <c r="BZ56" s="310" t="str">
        <f t="shared" si="81"/>
        <v/>
      </c>
      <c r="CA56" s="277"/>
      <c r="CB56" s="312">
        <v>17</v>
      </c>
      <c r="CC56" s="312" t="str">
        <f t="shared" si="82"/>
        <v/>
      </c>
      <c r="CD56" s="313" t="str">
        <f t="shared" si="83"/>
        <v xml:space="preserve">Line 17,0 17,14.19  </v>
      </c>
    </row>
    <row r="57" spans="1:114" ht="18" x14ac:dyDescent="0.35">
      <c r="A57" s="323"/>
      <c r="B57" s="108" t="s">
        <v>128</v>
      </c>
      <c r="D57" s="320">
        <f t="shared" si="109"/>
        <v>0.63463046069913098</v>
      </c>
      <c r="L57" s="274" t="s">
        <v>186</v>
      </c>
      <c r="M57" s="277"/>
      <c r="N57" s="277"/>
      <c r="O57" s="277"/>
      <c r="P57" s="277"/>
      <c r="Q57" s="276"/>
      <c r="AP57" s="305" t="str">
        <v xml:space="preserve">  </v>
      </c>
      <c r="AR57" s="307" t="str">
        <f>IFERROR(CONCATENATE(STN_GAP*Tools!AD21,",0 "),"")</f>
        <v xml:space="preserve">105.36,0 </v>
      </c>
      <c r="AS57" s="266" t="str">
        <f>IFERROR(CONCATENATE(STN_GAP*Tools!AD21,",",DEPTH," "),"")</f>
        <v xml:space="preserve">105.36,14.19 </v>
      </c>
      <c r="AT57" s="294" t="str">
        <f t="shared" si="68"/>
        <v xml:space="preserve">Line 105.36,0 105.36,14.19  </v>
      </c>
      <c r="AU57" s="266"/>
      <c r="AV57" s="308" t="str">
        <f>IFERROR(CONCATENATE("0,",WLS*Tools!AP57," "),"")</f>
        <v/>
      </c>
      <c r="AW57" s="266" t="str">
        <f>IFERROR(CONCATENATE(LBP,",",WLS*Tools!AP57," "),"")</f>
        <v/>
      </c>
      <c r="AX57" s="294" t="str">
        <f t="shared" si="69"/>
        <v/>
      </c>
      <c r="AY57" s="277"/>
      <c r="AZ57" s="266" t="str">
        <f t="shared" si="70"/>
        <v/>
      </c>
      <c r="BA57" s="266" t="str">
        <f t="shared" si="71"/>
        <v/>
      </c>
      <c r="BB57" s="294" t="str">
        <f t="shared" si="67"/>
        <v/>
      </c>
      <c r="BC57" s="266"/>
      <c r="BD57" s="266" t="str">
        <f>IFERROR(CONCATENATE(STN_GAP*Tools!AD21,",",ROUND(Y_Shift_HB,3)," "),"")</f>
        <v xml:space="preserve">105.36,-18.698 </v>
      </c>
      <c r="BE57" s="266" t="str">
        <f>IFERROR(CONCATENATE(STN_GAP*Tools!AD21,",",ROUND(Y_Shift_HB+BREADTH/2,3)," "),"")</f>
        <v xml:space="preserve">105.36,-6.448 </v>
      </c>
      <c r="BF57" s="294" t="str">
        <f t="shared" si="72"/>
        <v xml:space="preserve">Line 105.36,-18.698 105.36,-6.448  </v>
      </c>
      <c r="BG57" s="277"/>
      <c r="BH57" s="266" t="str">
        <f>IFERROR(CONCATENATE(ROUND(X_SHIFT_BP-BREADTH/2,3),",",ROUND(WLS*Tools!AP57,3)," "),"")</f>
        <v/>
      </c>
      <c r="BI57" s="266" t="str">
        <f>IFERROR(CONCATENATE(ROUND(X_SHIFT_BP+BREADTH/2,3),",",ROUND(WLS*Tools!AP57,3)," "),"")</f>
        <v/>
      </c>
      <c r="BJ57" s="294" t="str">
        <f t="shared" si="73"/>
        <v/>
      </c>
      <c r="BK57" s="266"/>
      <c r="BL57" s="266" t="str">
        <f t="shared" si="74"/>
        <v/>
      </c>
      <c r="BM57" s="266" t="str">
        <f t="shared" si="75"/>
        <v/>
      </c>
      <c r="BN57" s="294" t="str">
        <f t="shared" si="76"/>
        <v/>
      </c>
      <c r="BO57" s="266"/>
      <c r="BP57" s="266" t="str">
        <f t="shared" si="77"/>
        <v/>
      </c>
      <c r="BQ57" s="266" t="str">
        <f t="shared" si="78"/>
        <v/>
      </c>
      <c r="BR57" s="294" t="str">
        <f t="shared" si="79"/>
        <v/>
      </c>
      <c r="BS57" s="277"/>
      <c r="BT57" s="309" t="str">
        <f>IFERROR(CONCATENATE(ROUND(BA_Station_Scale_in_x*STN_GAP*Tools!AD21,3),",0 "),"")</f>
        <v xml:space="preserve">105.36,0 </v>
      </c>
      <c r="BU57" s="297" t="str">
        <f>IFERROR(CONCATENATE(ROUND(BA_Station_Scale_in_x*STN_GAP*Tools!AD21,3),",",ROUND(DEPTH*BA_Y_scale_of_WL,3)," "),"")</f>
        <v xml:space="preserve">105.36,28.38 </v>
      </c>
      <c r="BV57" s="310" t="str">
        <f t="shared" si="80"/>
        <v xml:space="preserve">Line 105.36,0 105.36,28.38  </v>
      </c>
      <c r="BW57" s="297"/>
      <c r="BX57" s="309" t="str">
        <f>IFERROR(CONCATENATE("0,",ROUND(BA_Y_scale_of_WL*WLS*Tools!AP57,3)," "),"")</f>
        <v/>
      </c>
      <c r="BY57" s="297" t="str">
        <f>IFERROR(CONCATENATE(LBP,",",ROUND(BA_Y_scale_of_WL*WLS*Tools!AP57,3)," "),"")</f>
        <v/>
      </c>
      <c r="BZ57" s="310" t="str">
        <f t="shared" si="81"/>
        <v/>
      </c>
      <c r="CA57" s="277"/>
      <c r="CB57" s="311">
        <v>18</v>
      </c>
      <c r="CC57" s="312" t="str">
        <f t="shared" si="82"/>
        <v/>
      </c>
      <c r="CD57" s="313" t="str">
        <f t="shared" si="83"/>
        <v xml:space="preserve">Line 18,0 18,14.19  </v>
      </c>
    </row>
    <row r="58" spans="1:114" ht="18" x14ac:dyDescent="0.35">
      <c r="A58" s="323"/>
      <c r="B58" s="108" t="s">
        <v>129</v>
      </c>
      <c r="D58" s="320">
        <f t="shared" ref="D58" si="110">VLOOKUP(B58,Hydros_Table,LOOKUP(DRAFT/WLS,B$69:Z$69,B$68:Z$68)+1,FALSE)</f>
        <v>0.97306122448979593</v>
      </c>
      <c r="L58" s="274" t="s">
        <v>159</v>
      </c>
      <c r="M58" s="277"/>
      <c r="N58" s="277"/>
      <c r="O58" s="277"/>
      <c r="P58" s="277"/>
      <c r="Q58" s="278">
        <f>IF(ISNUMBER(CAD!C22),CAD!C22,3)</f>
        <v>3</v>
      </c>
      <c r="AP58" s="305" t="str">
        <v xml:space="preserve">  </v>
      </c>
      <c r="AR58" s="307" t="str">
        <f>IFERROR(CONCATENATE(STN_GAP*Tools!AD22,",0 "),"")</f>
        <v xml:space="preserve">111.945,0 </v>
      </c>
      <c r="AS58" s="266" t="str">
        <f>IFERROR(CONCATENATE(STN_GAP*Tools!AD22,",",DEPTH," "),"")</f>
        <v xml:space="preserve">111.945,14.19 </v>
      </c>
      <c r="AT58" s="294" t="str">
        <f t="shared" si="68"/>
        <v xml:space="preserve">Line 111.945,0 111.945,14.19  </v>
      </c>
      <c r="AU58" s="266"/>
      <c r="AV58" s="308" t="str">
        <f>IFERROR(CONCATENATE("0,",WLS*Tools!AP58," "),"")</f>
        <v/>
      </c>
      <c r="AW58" s="266" t="str">
        <f>IFERROR(CONCATENATE(LBP,",",WLS*Tools!AP58," "),"")</f>
        <v/>
      </c>
      <c r="AX58" s="294" t="str">
        <f t="shared" si="69"/>
        <v/>
      </c>
      <c r="AY58" s="277"/>
      <c r="AZ58" s="266" t="str">
        <f t="shared" si="70"/>
        <v/>
      </c>
      <c r="BA58" s="266" t="str">
        <f t="shared" si="71"/>
        <v/>
      </c>
      <c r="BB58" s="294" t="str">
        <f t="shared" si="67"/>
        <v/>
      </c>
      <c r="BC58" s="266"/>
      <c r="BD58" s="266" t="str">
        <f>IFERROR(CONCATENATE(STN_GAP*Tools!AD22,",",ROUND(Y_Shift_HB,3)," "),"")</f>
        <v xml:space="preserve">111.945,-18.698 </v>
      </c>
      <c r="BE58" s="266" t="str">
        <f>IFERROR(CONCATENATE(STN_GAP*Tools!AD22,",",ROUND(Y_Shift_HB+BREADTH/2,3)," "),"")</f>
        <v xml:space="preserve">111.945,-6.448 </v>
      </c>
      <c r="BF58" s="294" t="str">
        <f t="shared" si="72"/>
        <v xml:space="preserve">Line 111.945,-18.698 111.945,-6.448  </v>
      </c>
      <c r="BG58" s="277"/>
      <c r="BH58" s="266" t="str">
        <f>IFERROR(CONCATENATE(ROUND(X_SHIFT_BP-BREADTH/2,3),",",ROUND(WLS*Tools!AP58,3)," "),"")</f>
        <v/>
      </c>
      <c r="BI58" s="266" t="str">
        <f>IFERROR(CONCATENATE(ROUND(X_SHIFT_BP+BREADTH/2,3),",",ROUND(WLS*Tools!AP58,3)," "),"")</f>
        <v/>
      </c>
      <c r="BJ58" s="294" t="str">
        <f t="shared" si="73"/>
        <v/>
      </c>
      <c r="BK58" s="266"/>
      <c r="BL58" s="266" t="str">
        <f t="shared" si="74"/>
        <v/>
      </c>
      <c r="BM58" s="266" t="str">
        <f t="shared" si="75"/>
        <v/>
      </c>
      <c r="BN58" s="294" t="str">
        <f t="shared" si="76"/>
        <v/>
      </c>
      <c r="BO58" s="266"/>
      <c r="BP58" s="266" t="str">
        <f t="shared" si="77"/>
        <v/>
      </c>
      <c r="BQ58" s="266" t="str">
        <f t="shared" si="78"/>
        <v/>
      </c>
      <c r="BR58" s="294" t="str">
        <f t="shared" si="79"/>
        <v/>
      </c>
      <c r="BS58" s="277"/>
      <c r="BT58" s="309" t="str">
        <f>IFERROR(CONCATENATE(ROUND(BA_Station_Scale_in_x*STN_GAP*Tools!AD22,3),",0 "),"")</f>
        <v xml:space="preserve">111.945,0 </v>
      </c>
      <c r="BU58" s="297" t="str">
        <f>IFERROR(CONCATENATE(ROUND(BA_Station_Scale_in_x*STN_GAP*Tools!AD22,3),",",ROUND(DEPTH*BA_Y_scale_of_WL,3)," "),"")</f>
        <v xml:space="preserve">111.945,28.38 </v>
      </c>
      <c r="BV58" s="310" t="str">
        <f t="shared" si="80"/>
        <v xml:space="preserve">Line 111.945,0 111.945,28.38  </v>
      </c>
      <c r="BW58" s="297"/>
      <c r="BX58" s="309" t="str">
        <f>IFERROR(CONCATENATE("0,",ROUND(BA_Y_scale_of_WL*WLS*Tools!AP58,3)," "),"")</f>
        <v/>
      </c>
      <c r="BY58" s="297" t="str">
        <f>IFERROR(CONCATENATE(LBP,",",ROUND(BA_Y_scale_of_WL*WLS*Tools!AP58,3)," "),"")</f>
        <v/>
      </c>
      <c r="BZ58" s="310" t="str">
        <f t="shared" si="81"/>
        <v/>
      </c>
      <c r="CA58" s="277"/>
      <c r="CB58" s="312">
        <v>19</v>
      </c>
      <c r="CC58" s="312" t="str">
        <f t="shared" si="82"/>
        <v/>
      </c>
      <c r="CD58" s="313" t="str">
        <f t="shared" si="83"/>
        <v xml:space="preserve">Line 19,0 19,14.19  </v>
      </c>
    </row>
    <row r="59" spans="1:114" ht="18" x14ac:dyDescent="0.35">
      <c r="A59" s="323"/>
      <c r="B59" s="108" t="s">
        <v>130</v>
      </c>
      <c r="D59" s="320">
        <f>VLOOKUP(B59,Hydros_Table,LOOKUP(DRAFT/WLS,B$69:Z$69,B$68:Z$68)+1,FALSE)</f>
        <v>0.65219992815137207</v>
      </c>
      <c r="L59" s="274"/>
      <c r="M59" s="277"/>
      <c r="N59" s="277"/>
      <c r="O59" s="277"/>
      <c r="P59" s="277"/>
      <c r="Q59" s="276"/>
      <c r="AP59" s="305" t="str">
        <v xml:space="preserve">  </v>
      </c>
      <c r="AR59" s="307" t="str">
        <f>IFERROR(CONCATENATE(STN_GAP*Tools!AD23,",0 "),"")</f>
        <v xml:space="preserve">118.53,0 </v>
      </c>
      <c r="AS59" s="266" t="str">
        <f>IFERROR(CONCATENATE(STN_GAP*Tools!AD23,",",DEPTH," "),"")</f>
        <v xml:space="preserve">118.53,14.19 </v>
      </c>
      <c r="AT59" s="294" t="str">
        <f t="shared" si="68"/>
        <v xml:space="preserve">Line 118.53,0 118.53,14.19  </v>
      </c>
      <c r="AU59" s="266"/>
      <c r="AV59" s="308" t="str">
        <f>IFERROR(CONCATENATE("0,",WLS*Tools!AP59," "),"")</f>
        <v/>
      </c>
      <c r="AW59" s="266" t="str">
        <f>IFERROR(CONCATENATE(LBP,",",WLS*Tools!AP59," "),"")</f>
        <v/>
      </c>
      <c r="AX59" s="294" t="str">
        <f t="shared" si="69"/>
        <v/>
      </c>
      <c r="AY59" s="277"/>
      <c r="AZ59" s="266" t="str">
        <f t="shared" si="70"/>
        <v/>
      </c>
      <c r="BA59" s="266" t="str">
        <f t="shared" si="71"/>
        <v/>
      </c>
      <c r="BB59" s="294" t="str">
        <f t="shared" si="67"/>
        <v/>
      </c>
      <c r="BC59" s="266"/>
      <c r="BD59" s="266" t="str">
        <f>IFERROR(CONCATENATE(STN_GAP*Tools!AD23,",",ROUND(Y_Shift_HB,3)," "),"")</f>
        <v xml:space="preserve">118.53,-18.698 </v>
      </c>
      <c r="BE59" s="266" t="str">
        <f>IFERROR(CONCATENATE(STN_GAP*Tools!AD23,",",ROUND(Y_Shift_HB+BREADTH/2,3)," "),"")</f>
        <v xml:space="preserve">118.53,-6.448 </v>
      </c>
      <c r="BF59" s="294" t="str">
        <f t="shared" si="72"/>
        <v xml:space="preserve">Line 118.53,-18.698 118.53,-6.448  </v>
      </c>
      <c r="BG59" s="277"/>
      <c r="BH59" s="266" t="str">
        <f>IFERROR(CONCATENATE(ROUND(X_SHIFT_BP-BREADTH/2,3),",",ROUND(WLS*Tools!AP59,3)," "),"")</f>
        <v/>
      </c>
      <c r="BI59" s="266" t="str">
        <f>IFERROR(CONCATENATE(ROUND(X_SHIFT_BP+BREADTH/2,3),",",ROUND(WLS*Tools!AP59,3)," "),"")</f>
        <v/>
      </c>
      <c r="BJ59" s="294" t="str">
        <f t="shared" si="73"/>
        <v/>
      </c>
      <c r="BK59" s="266"/>
      <c r="BL59" s="266" t="str">
        <f t="shared" si="74"/>
        <v/>
      </c>
      <c r="BM59" s="266" t="str">
        <f t="shared" si="75"/>
        <v/>
      </c>
      <c r="BN59" s="294" t="str">
        <f t="shared" si="76"/>
        <v/>
      </c>
      <c r="BO59" s="266"/>
      <c r="BP59" s="266" t="str">
        <f t="shared" si="77"/>
        <v/>
      </c>
      <c r="BQ59" s="266" t="str">
        <f t="shared" si="78"/>
        <v/>
      </c>
      <c r="BR59" s="294" t="str">
        <f t="shared" si="79"/>
        <v/>
      </c>
      <c r="BS59" s="277"/>
      <c r="BT59" s="309" t="str">
        <f>IFERROR(CONCATENATE(ROUND(BA_Station_Scale_in_x*STN_GAP*Tools!AD23,3),",0 "),"")</f>
        <v xml:space="preserve">118.53,0 </v>
      </c>
      <c r="BU59" s="297" t="str">
        <f>IFERROR(CONCATENATE(ROUND(BA_Station_Scale_in_x*STN_GAP*Tools!AD23,3),",",ROUND(DEPTH*BA_Y_scale_of_WL,3)," "),"")</f>
        <v xml:space="preserve">118.53,28.38 </v>
      </c>
      <c r="BV59" s="310" t="str">
        <f t="shared" si="80"/>
        <v xml:space="preserve">Line 118.53,0 118.53,28.38  </v>
      </c>
      <c r="BW59" s="297"/>
      <c r="BX59" s="309" t="str">
        <f>IFERROR(CONCATENATE("0,",ROUND(BA_Y_scale_of_WL*WLS*Tools!AP59,3)," "),"")</f>
        <v/>
      </c>
      <c r="BY59" s="297" t="str">
        <f>IFERROR(CONCATENATE(LBP,",",ROUND(BA_Y_scale_of_WL*WLS*Tools!AP59,3)," "),"")</f>
        <v/>
      </c>
      <c r="BZ59" s="310" t="str">
        <f t="shared" si="81"/>
        <v/>
      </c>
      <c r="CA59" s="277"/>
      <c r="CB59" s="312">
        <v>20</v>
      </c>
      <c r="CC59" s="312" t="str">
        <f t="shared" si="82"/>
        <v/>
      </c>
      <c r="CD59" s="313" t="str">
        <f t="shared" si="83"/>
        <v xml:space="preserve">Line 20,0 20,14.19  </v>
      </c>
    </row>
    <row r="60" spans="1:114" x14ac:dyDescent="0.25">
      <c r="A60" s="277"/>
      <c r="B60" s="129" t="s">
        <v>123</v>
      </c>
      <c r="D60" s="93">
        <f>1.025*LBP*(CB*BREADTH+1.7*DRAFT)</f>
        <v>4416.7448604152214</v>
      </c>
      <c r="L60" s="274"/>
      <c r="M60" s="277"/>
      <c r="N60" s="277"/>
      <c r="O60" s="277"/>
      <c r="P60" s="277"/>
      <c r="Q60" s="276"/>
      <c r="AP60" s="305" t="str">
        <v xml:space="preserve">  </v>
      </c>
      <c r="AR60" s="307" t="str">
        <f>IFERROR(CONCATENATE(STN_GAP*Tools!AD24,",0 "),"")</f>
        <v xml:space="preserve">121.8225,0 </v>
      </c>
      <c r="AS60" s="266" t="str">
        <f>IFERROR(CONCATENATE(STN_GAP*Tools!AD24,",",DEPTH," "),"")</f>
        <v xml:space="preserve">121.8225,14.19 </v>
      </c>
      <c r="AT60" s="294" t="str">
        <f t="shared" si="68"/>
        <v xml:space="preserve">Line 121.8225,0 121.8225,14.19  </v>
      </c>
      <c r="AU60" s="266"/>
      <c r="AV60" s="308" t="str">
        <f>IFERROR(CONCATENATE("0,",WLS*Tools!AP60," "),"")</f>
        <v/>
      </c>
      <c r="AW60" s="266" t="str">
        <f>IFERROR(CONCATENATE(LBP,",",WLS*Tools!AP60," "),"")</f>
        <v/>
      </c>
      <c r="AX60" s="294" t="str">
        <f t="shared" si="69"/>
        <v/>
      </c>
      <c r="AY60" s="277"/>
      <c r="AZ60" s="266" t="str">
        <f t="shared" si="70"/>
        <v/>
      </c>
      <c r="BA60" s="266" t="str">
        <f t="shared" si="71"/>
        <v/>
      </c>
      <c r="BB60" s="294" t="str">
        <f t="shared" si="67"/>
        <v/>
      </c>
      <c r="BC60" s="266"/>
      <c r="BD60" s="266" t="str">
        <f>IFERROR(CONCATENATE(STN_GAP*Tools!AD24,",",ROUND(Y_Shift_HB,3)," "),"")</f>
        <v xml:space="preserve">121.8225,-18.698 </v>
      </c>
      <c r="BE60" s="266" t="str">
        <f>IFERROR(CONCATENATE(STN_GAP*Tools!AD24,",",ROUND(Y_Shift_HB+BREADTH/2,3)," "),"")</f>
        <v xml:space="preserve">121.8225,-6.448 </v>
      </c>
      <c r="BF60" s="294" t="str">
        <f t="shared" si="72"/>
        <v xml:space="preserve">Line 121.8225,-18.698 121.8225,-6.448  </v>
      </c>
      <c r="BG60" s="277"/>
      <c r="BH60" s="266" t="str">
        <f>IFERROR(CONCATENATE(ROUND(X_SHIFT_BP-BREADTH/2,3),",",ROUND(WLS*Tools!AP60,3)," "),"")</f>
        <v/>
      </c>
      <c r="BI60" s="266" t="str">
        <f>IFERROR(CONCATENATE(ROUND(X_SHIFT_BP+BREADTH/2,3),",",ROUND(WLS*Tools!AP60,3)," "),"")</f>
        <v/>
      </c>
      <c r="BJ60" s="294" t="str">
        <f t="shared" si="73"/>
        <v/>
      </c>
      <c r="BK60" s="266"/>
      <c r="BL60" s="266" t="str">
        <f t="shared" si="74"/>
        <v/>
      </c>
      <c r="BM60" s="266" t="str">
        <f t="shared" si="75"/>
        <v/>
      </c>
      <c r="BN60" s="294" t="str">
        <f t="shared" si="76"/>
        <v/>
      </c>
      <c r="BO60" s="266"/>
      <c r="BP60" s="266" t="str">
        <f t="shared" si="77"/>
        <v/>
      </c>
      <c r="BQ60" s="266" t="str">
        <f t="shared" si="78"/>
        <v/>
      </c>
      <c r="BR60" s="294" t="str">
        <f t="shared" si="79"/>
        <v/>
      </c>
      <c r="BS60" s="277"/>
      <c r="BT60" s="309" t="str">
        <f>IFERROR(CONCATENATE(ROUND(BA_Station_Scale_in_x*STN_GAP*Tools!AD24,3),",0 "),"")</f>
        <v xml:space="preserve">121.823,0 </v>
      </c>
      <c r="BU60" s="297" t="str">
        <f>IFERROR(CONCATENATE(ROUND(BA_Station_Scale_in_x*STN_GAP*Tools!AD24,3),",",ROUND(DEPTH*BA_Y_scale_of_WL,3)," "),"")</f>
        <v xml:space="preserve">121.823,28.38 </v>
      </c>
      <c r="BV60" s="310" t="str">
        <f t="shared" si="80"/>
        <v xml:space="preserve">Line 121.823,0 121.823,28.38  </v>
      </c>
      <c r="BW60" s="297"/>
      <c r="BX60" s="309" t="str">
        <f>IFERROR(CONCATENATE("0,",ROUND(BA_Y_scale_of_WL*WLS*Tools!AP60,3)," "),"")</f>
        <v/>
      </c>
      <c r="BY60" s="297" t="str">
        <f>IFERROR(CONCATENATE(LBP,",",ROUND(BA_Y_scale_of_WL*WLS*Tools!AP60,3)," "),"")</f>
        <v/>
      </c>
      <c r="BZ60" s="310" t="str">
        <f t="shared" si="81"/>
        <v/>
      </c>
      <c r="CA60" s="277"/>
      <c r="CB60" s="312"/>
      <c r="CC60" s="312" t="str">
        <f t="shared" si="82"/>
        <v/>
      </c>
      <c r="CD60" s="324"/>
    </row>
    <row r="61" spans="1:114" x14ac:dyDescent="0.25">
      <c r="L61" s="274"/>
      <c r="M61" s="277"/>
      <c r="N61" s="277"/>
      <c r="O61" s="277"/>
      <c r="P61" s="277"/>
      <c r="Q61" s="276"/>
      <c r="AP61" s="305" t="str">
        <v xml:space="preserve">  </v>
      </c>
      <c r="AR61" s="307" t="str">
        <f>IFERROR(CONCATENATE(STN_GAP*Tools!AD25,",0 "),"")</f>
        <v xml:space="preserve">125.115,0 </v>
      </c>
      <c r="AS61" s="266" t="str">
        <f>IFERROR(CONCATENATE(STN_GAP*Tools!AD25,",",DEPTH," "),"")</f>
        <v xml:space="preserve">125.115,14.19 </v>
      </c>
      <c r="AT61" s="294" t="str">
        <f t="shared" si="68"/>
        <v xml:space="preserve">Line 125.115,0 125.115,14.19  </v>
      </c>
      <c r="AU61" s="266"/>
      <c r="AV61" s="308" t="str">
        <f>IFERROR(CONCATENATE("0,",WLS*Tools!AP61," "),"")</f>
        <v/>
      </c>
      <c r="AW61" s="266" t="str">
        <f>IFERROR(CONCATENATE(LBP,",",WLS*Tools!AP61," "),"")</f>
        <v/>
      </c>
      <c r="AX61" s="294" t="str">
        <f t="shared" si="69"/>
        <v/>
      </c>
      <c r="AY61" s="277"/>
      <c r="AZ61" s="266" t="str">
        <f t="shared" si="70"/>
        <v/>
      </c>
      <c r="BA61" s="266" t="str">
        <f t="shared" si="71"/>
        <v/>
      </c>
      <c r="BB61" s="294" t="str">
        <f t="shared" si="67"/>
        <v/>
      </c>
      <c r="BC61" s="266"/>
      <c r="BD61" s="266" t="str">
        <f>IFERROR(CONCATENATE(STN_GAP*Tools!AD25,",",ROUND(Y_Shift_HB,3)," "),"")</f>
        <v xml:space="preserve">125.115,-18.698 </v>
      </c>
      <c r="BE61" s="266" t="str">
        <f>IFERROR(CONCATENATE(STN_GAP*Tools!AD25,",",ROUND(Y_Shift_HB+BREADTH/2,3)," "),"")</f>
        <v xml:space="preserve">125.115,-6.448 </v>
      </c>
      <c r="BF61" s="294" t="str">
        <f t="shared" si="72"/>
        <v xml:space="preserve">Line 125.115,-18.698 125.115,-6.448  </v>
      </c>
      <c r="BG61" s="277"/>
      <c r="BH61" s="266" t="str">
        <f>IFERROR(CONCATENATE(ROUND(X_SHIFT_BP-BREADTH/2,3),",",ROUND(WLS*Tools!AP61,3)," "),"")</f>
        <v/>
      </c>
      <c r="BI61" s="266" t="str">
        <f>IFERROR(CONCATENATE(ROUND(X_SHIFT_BP+BREADTH/2,3),",",ROUND(WLS*Tools!AP61,3)," "),"")</f>
        <v/>
      </c>
      <c r="BJ61" s="294" t="str">
        <f t="shared" si="73"/>
        <v/>
      </c>
      <c r="BK61" s="266"/>
      <c r="BL61" s="266" t="str">
        <f t="shared" si="74"/>
        <v/>
      </c>
      <c r="BM61" s="266" t="str">
        <f t="shared" si="75"/>
        <v/>
      </c>
      <c r="BN61" s="294" t="str">
        <f t="shared" si="76"/>
        <v/>
      </c>
      <c r="BO61" s="266"/>
      <c r="BP61" s="266" t="str">
        <f t="shared" si="77"/>
        <v/>
      </c>
      <c r="BQ61" s="266" t="str">
        <f t="shared" si="78"/>
        <v/>
      </c>
      <c r="BR61" s="294" t="str">
        <f t="shared" si="79"/>
        <v/>
      </c>
      <c r="BS61" s="277"/>
      <c r="BT61" s="309" t="str">
        <f>IFERROR(CONCATENATE(ROUND(BA_Station_Scale_in_x*STN_GAP*Tools!AD25,3),",0 "),"")</f>
        <v xml:space="preserve">125.115,0 </v>
      </c>
      <c r="BU61" s="297" t="str">
        <f>IFERROR(CONCATENATE(ROUND(BA_Station_Scale_in_x*STN_GAP*Tools!AD25,3),",",ROUND(DEPTH*BA_Y_scale_of_WL,3)," "),"")</f>
        <v xml:space="preserve">125.115,28.38 </v>
      </c>
      <c r="BV61" s="310" t="str">
        <f t="shared" si="80"/>
        <v xml:space="preserve">Line 125.115,0 125.115,28.38  </v>
      </c>
      <c r="BW61" s="297"/>
      <c r="BX61" s="309" t="str">
        <f>IFERROR(CONCATENATE("0,",ROUND(BA_Y_scale_of_WL*WLS*Tools!AP61,3)," "),"")</f>
        <v/>
      </c>
      <c r="BY61" s="297" t="str">
        <f>IFERROR(CONCATENATE(LBP,",",ROUND(BA_Y_scale_of_WL*WLS*Tools!AP61,3)," "),"")</f>
        <v/>
      </c>
      <c r="BZ61" s="310" t="str">
        <f t="shared" si="81"/>
        <v/>
      </c>
      <c r="CA61" s="277"/>
      <c r="CB61" s="312"/>
      <c r="CC61" s="312" t="str">
        <f t="shared" si="82"/>
        <v/>
      </c>
      <c r="CD61" s="324"/>
      <c r="CM61" s="262"/>
      <c r="CN61" s="262"/>
      <c r="CO61" s="262"/>
      <c r="CP61" s="262"/>
      <c r="CQ61" s="262">
        <f>-BREADTH/2</f>
        <v>-12.25</v>
      </c>
      <c r="CR61" s="262">
        <f>BREADTH/2</f>
        <v>12.25</v>
      </c>
      <c r="CS61" s="262"/>
      <c r="CT61" s="262"/>
      <c r="CU61" s="262"/>
      <c r="CV61" s="262"/>
      <c r="CW61" s="262">
        <v>0</v>
      </c>
      <c r="CX61" s="262">
        <f>DEPTH</f>
        <v>14.19</v>
      </c>
      <c r="CY61" s="262">
        <f>CW61</f>
        <v>0</v>
      </c>
      <c r="CZ61" s="262">
        <f>CX61</f>
        <v>14.19</v>
      </c>
      <c r="DA61" s="262"/>
      <c r="DB61" s="262"/>
      <c r="DC61" s="262"/>
      <c r="DD61" s="262">
        <v>0</v>
      </c>
      <c r="DE61" s="262">
        <f>BREADTH/2</f>
        <v>12.25</v>
      </c>
    </row>
    <row r="62" spans="1:114" x14ac:dyDescent="0.25">
      <c r="B62" s="186" t="s">
        <v>251</v>
      </c>
      <c r="C62" s="129">
        <f>COUNTA(Offset!S2:AQ2)</f>
        <v>12</v>
      </c>
      <c r="L62" s="274" t="s">
        <v>343</v>
      </c>
      <c r="M62" s="277"/>
      <c r="N62" s="277"/>
      <c r="O62" s="277"/>
      <c r="P62" s="277"/>
      <c r="Q62" s="276"/>
      <c r="AP62" s="305" t="str">
        <v xml:space="preserve">  </v>
      </c>
      <c r="AR62" s="307" t="str">
        <f>IFERROR(CONCATENATE(STN_GAP*Tools!AD26,",0 "),"")</f>
        <v xml:space="preserve">128.4075,0 </v>
      </c>
      <c r="AS62" s="266" t="str">
        <f>IFERROR(CONCATENATE(STN_GAP*Tools!AD26,",",DEPTH," "),"")</f>
        <v xml:space="preserve">128.4075,14.19 </v>
      </c>
      <c r="AT62" s="294" t="str">
        <f t="shared" si="68"/>
        <v xml:space="preserve">Line 128.4075,0 128.4075,14.19  </v>
      </c>
      <c r="AU62" s="266"/>
      <c r="AV62" s="308" t="str">
        <f>IFERROR(CONCATENATE("0,",WLS*Tools!AP62," "),"")</f>
        <v/>
      </c>
      <c r="AW62" s="266" t="str">
        <f>IFERROR(CONCATENATE(LBP,",",WLS*Tools!AP62," "),"")</f>
        <v/>
      </c>
      <c r="AX62" s="294" t="str">
        <f t="shared" si="69"/>
        <v/>
      </c>
      <c r="AY62" s="277"/>
      <c r="AZ62" s="266" t="str">
        <f t="shared" si="70"/>
        <v/>
      </c>
      <c r="BA62" s="266" t="str">
        <f t="shared" si="71"/>
        <v/>
      </c>
      <c r="BB62" s="294" t="str">
        <f t="shared" si="67"/>
        <v/>
      </c>
      <c r="BC62" s="266"/>
      <c r="BD62" s="266" t="str">
        <f>IFERROR(CONCATENATE(STN_GAP*Tools!AD26,",",ROUND(Y_Shift_HB,3)," "),"")</f>
        <v xml:space="preserve">128.4075,-18.698 </v>
      </c>
      <c r="BE62" s="266" t="str">
        <f>IFERROR(CONCATENATE(STN_GAP*Tools!AD26,",",ROUND(Y_Shift_HB+BREADTH/2,3)," "),"")</f>
        <v xml:space="preserve">128.4075,-6.448 </v>
      </c>
      <c r="BF62" s="294" t="str">
        <f t="shared" si="72"/>
        <v xml:space="preserve">Line 128.4075,-18.698 128.4075,-6.448  </v>
      </c>
      <c r="BG62" s="277"/>
      <c r="BH62" s="266" t="str">
        <f>IFERROR(CONCATENATE(ROUND(X_SHIFT_BP-BREADTH/2,3),",",ROUND(WLS*Tools!AP62,3)," "),"")</f>
        <v/>
      </c>
      <c r="BI62" s="266" t="str">
        <f>IFERROR(CONCATENATE(ROUND(X_SHIFT_BP+BREADTH/2,3),",",ROUND(WLS*Tools!AP62,3)," "),"")</f>
        <v/>
      </c>
      <c r="BJ62" s="294" t="str">
        <f t="shared" si="73"/>
        <v/>
      </c>
      <c r="BK62" s="266"/>
      <c r="BL62" s="266" t="str">
        <f t="shared" si="74"/>
        <v/>
      </c>
      <c r="BM62" s="266" t="str">
        <f t="shared" si="75"/>
        <v/>
      </c>
      <c r="BN62" s="294" t="str">
        <f t="shared" si="76"/>
        <v/>
      </c>
      <c r="BO62" s="266"/>
      <c r="BP62" s="266" t="str">
        <f t="shared" si="77"/>
        <v/>
      </c>
      <c r="BQ62" s="266" t="str">
        <f t="shared" si="78"/>
        <v/>
      </c>
      <c r="BR62" s="294" t="str">
        <f t="shared" si="79"/>
        <v/>
      </c>
      <c r="BS62" s="277"/>
      <c r="BT62" s="309" t="str">
        <f>IFERROR(CONCATENATE(ROUND(BA_Station_Scale_in_x*STN_GAP*Tools!AD26,3),",0 "),"")</f>
        <v xml:space="preserve">128.408,0 </v>
      </c>
      <c r="BU62" s="297" t="str">
        <f>IFERROR(CONCATENATE(ROUND(BA_Station_Scale_in_x*STN_GAP*Tools!AD26,3),",",ROUND(DEPTH*BA_Y_scale_of_WL,3)," "),"")</f>
        <v xml:space="preserve">128.408,28.38 </v>
      </c>
      <c r="BV62" s="310" t="str">
        <f t="shared" si="80"/>
        <v xml:space="preserve">Line 128.408,0 128.408,28.38  </v>
      </c>
      <c r="BW62" s="297"/>
      <c r="BX62" s="309" t="str">
        <f>IFERROR(CONCATENATE("0,",ROUND(BA_Y_scale_of_WL*WLS*Tools!AP62,3)," "),"")</f>
        <v/>
      </c>
      <c r="BY62" s="297" t="str">
        <f>IFERROR(CONCATENATE(LBP,",",ROUND(BA_Y_scale_of_WL*WLS*Tools!AP62,3)," "),"")</f>
        <v/>
      </c>
      <c r="BZ62" s="310" t="str">
        <f t="shared" si="81"/>
        <v/>
      </c>
      <c r="CA62" s="277"/>
      <c r="CB62" s="312"/>
      <c r="CC62" s="312" t="str">
        <f t="shared" si="82"/>
        <v/>
      </c>
      <c r="CD62" s="324"/>
      <c r="CM62" s="262">
        <v>1</v>
      </c>
      <c r="CN62" s="262">
        <f t="shared" ref="CN62:CN86" si="111">VLOOKUP($A$1,$A$1:$Z$1,CM62+1,FALSE)</f>
        <v>0</v>
      </c>
      <c r="CO62" s="262">
        <f t="shared" ref="CO62:CO86" si="112">BE3</f>
        <v>0</v>
      </c>
      <c r="CP62" s="262" t="str">
        <f t="shared" ref="CP62:CP86" si="113">IF(CO62="  "," ",CONCATENATE(IF(ISNUMBER(CN62),"WL ",""),CN62))</f>
        <v>WL 0</v>
      </c>
      <c r="CQ62" s="262">
        <f t="shared" ref="CQ62:CQ69" si="114">CO62*WLS</f>
        <v>0</v>
      </c>
      <c r="CR62" s="262">
        <f t="shared" ref="CR62:CR86" si="115">CQ62</f>
        <v>0</v>
      </c>
      <c r="CS62" s="262"/>
      <c r="CT62" s="325">
        <v>1</v>
      </c>
      <c r="CU62" s="262">
        <f t="shared" ref="CU62:CU69" si="116">IF(CT62&lt;=(No_of_BTKs+1),CT62," ")</f>
        <v>1</v>
      </c>
      <c r="CV62" s="262" t="str">
        <f t="shared" ref="CV62:CV69" si="117">IF(CU62&lt;=No_of_BTKs,CONCATENATE("BTK ",CU62),IF(CU62=No_of_BTKs+1,"SIDE"," "))</f>
        <v>BTK 1</v>
      </c>
      <c r="CW62" s="262">
        <f t="shared" ref="CW62:CW69" si="118">-BREADTH/2/(No_of_BTKs+1)*CU62</f>
        <v>-4.083333333333333</v>
      </c>
      <c r="CX62" s="262">
        <f t="shared" ref="CX62:CX71" si="119">CW62</f>
        <v>-4.083333333333333</v>
      </c>
      <c r="CY62" s="262">
        <f t="shared" ref="CY62:CY69" si="120">BREADTH/2/(No_of_BTKs+1)*CU62</f>
        <v>4.083333333333333</v>
      </c>
      <c r="CZ62" s="262">
        <f t="shared" ref="CZ62:CZ71" si="121">CY62</f>
        <v>4.083333333333333</v>
      </c>
      <c r="DA62" s="262"/>
      <c r="DB62" s="325">
        <f t="shared" ref="DB62:DB86" si="122">AD3</f>
        <v>0</v>
      </c>
      <c r="DC62" s="262" t="str">
        <f t="shared" ref="DC62:DC86" si="123">IF(DB62="  "," ",CONCATENATE("STN ",DB62))</f>
        <v>STN 0</v>
      </c>
      <c r="DD62" s="262">
        <f t="shared" ref="DD62:DD85" si="124">IF(ISNUMBER(DB62),DB62,0)</f>
        <v>0</v>
      </c>
      <c r="DE62" s="262">
        <f t="shared" ref="DE62:DE86" si="125">DD62</f>
        <v>0</v>
      </c>
    </row>
    <row r="63" spans="1:114" x14ac:dyDescent="0.25">
      <c r="B63" s="186" t="s">
        <v>252</v>
      </c>
      <c r="C63" s="129">
        <f>COUNTA(Offset!S3:S27)</f>
        <v>25</v>
      </c>
      <c r="L63" s="274" t="s">
        <v>342</v>
      </c>
      <c r="M63" s="277"/>
      <c r="N63" s="277"/>
      <c r="O63" s="277"/>
      <c r="P63" s="277"/>
      <c r="Q63" s="276"/>
      <c r="AP63" s="306" t="str">
        <v xml:space="preserve">  </v>
      </c>
      <c r="AR63" s="326" t="str">
        <f>IFERROR(CONCATENATE(STN_GAP*Tools!AD27,",0 "),"")</f>
        <v xml:space="preserve">131.7,0 </v>
      </c>
      <c r="AS63" s="327" t="str">
        <f>IFERROR(CONCATENATE(STN_GAP*Tools!AD27,",",DEPTH," "),"")</f>
        <v xml:space="preserve">131.7,14.19 </v>
      </c>
      <c r="AT63" s="328" t="str">
        <f t="shared" si="68"/>
        <v xml:space="preserve">Line 131.7,0 131.7,14.19  </v>
      </c>
      <c r="AU63" s="327"/>
      <c r="AV63" s="329" t="str">
        <f>IFERROR(CONCATENATE("0,",WLS*Tools!AP63," "),"")</f>
        <v/>
      </c>
      <c r="AW63" s="327" t="str">
        <f>IFERROR(CONCATENATE(LBP,",",WLS*Tools!AP63," "),"")</f>
        <v/>
      </c>
      <c r="AX63" s="328" t="str">
        <f t="shared" si="69"/>
        <v/>
      </c>
      <c r="AY63" s="282"/>
      <c r="AZ63" s="327" t="str">
        <f t="shared" si="70"/>
        <v/>
      </c>
      <c r="BA63" s="327" t="str">
        <f t="shared" si="71"/>
        <v/>
      </c>
      <c r="BB63" s="328" t="str">
        <f t="shared" si="67"/>
        <v/>
      </c>
      <c r="BC63" s="327"/>
      <c r="BD63" s="327" t="str">
        <f>IFERROR(CONCATENATE(STN_GAP*Tools!AD27,",",ROUND(Y_Shift_HB,3)," "),"")</f>
        <v xml:space="preserve">131.7,-18.698 </v>
      </c>
      <c r="BE63" s="327" t="str">
        <f>IFERROR(CONCATENATE(STN_GAP*Tools!AD27,",",ROUND(Y_Shift_HB+BREADTH/2,3)," "),"")</f>
        <v xml:space="preserve">131.7,-6.448 </v>
      </c>
      <c r="BF63" s="328" t="str">
        <f t="shared" si="72"/>
        <v xml:space="preserve">Line 131.7,-18.698 131.7,-6.448  </v>
      </c>
      <c r="BG63" s="282"/>
      <c r="BH63" s="327" t="str">
        <f>IFERROR(CONCATENATE(ROUND(X_SHIFT_BP-BREADTH/2,3),",",ROUND(WLS*Tools!AP63,3)," "),"")</f>
        <v/>
      </c>
      <c r="BI63" s="327" t="str">
        <f>IFERROR(CONCATENATE(ROUND(X_SHIFT_BP+BREADTH/2,3),",",ROUND(WLS*Tools!AP63,3)," "),"")</f>
        <v/>
      </c>
      <c r="BJ63" s="328" t="str">
        <f t="shared" si="73"/>
        <v/>
      </c>
      <c r="BK63" s="327"/>
      <c r="BL63" s="327" t="str">
        <f t="shared" si="74"/>
        <v/>
      </c>
      <c r="BM63" s="327" t="str">
        <f t="shared" si="75"/>
        <v/>
      </c>
      <c r="BN63" s="328" t="str">
        <f t="shared" si="76"/>
        <v/>
      </c>
      <c r="BO63" s="327"/>
      <c r="BP63" s="327" t="str">
        <f t="shared" si="77"/>
        <v/>
      </c>
      <c r="BQ63" s="327" t="str">
        <f t="shared" si="78"/>
        <v/>
      </c>
      <c r="BR63" s="328" t="str">
        <f t="shared" si="79"/>
        <v/>
      </c>
      <c r="BS63" s="282"/>
      <c r="BT63" s="330" t="str">
        <f>IFERROR(CONCATENATE(ROUND(BA_Station_Scale_in_x*STN_GAP*Tools!AD27,3),",0 "),"")</f>
        <v xml:space="preserve">131.7,0 </v>
      </c>
      <c r="BU63" s="331" t="str">
        <f>IFERROR(CONCATENATE(ROUND(BA_Station_Scale_in_x*STN_GAP*Tools!AD27,3),",",ROUND(DEPTH*BA_Y_scale_of_WL,3)," "),"")</f>
        <v xml:space="preserve">131.7,28.38 </v>
      </c>
      <c r="BV63" s="332" t="str">
        <f t="shared" si="80"/>
        <v xml:space="preserve">Line 131.7,0 131.7,28.38  </v>
      </c>
      <c r="BW63" s="331"/>
      <c r="BX63" s="330" t="str">
        <f>IFERROR(CONCATENATE("0,",ROUND(BA_Y_scale_of_WL*WLS*Tools!AP63,3)," "),"")</f>
        <v/>
      </c>
      <c r="BY63" s="331" t="str">
        <f>IFERROR(CONCATENATE(LBP,",",ROUND(BA_Y_scale_of_WL*WLS*Tools!AP63,3)," "),"")</f>
        <v/>
      </c>
      <c r="BZ63" s="332" t="str">
        <f t="shared" si="81"/>
        <v/>
      </c>
      <c r="CA63" s="282"/>
      <c r="CB63" s="333"/>
      <c r="CC63" s="333" t="str">
        <f t="shared" si="82"/>
        <v/>
      </c>
      <c r="CD63" s="334"/>
      <c r="CM63" s="262">
        <v>2</v>
      </c>
      <c r="CN63" s="262">
        <f t="shared" si="111"/>
        <v>0.5</v>
      </c>
      <c r="CO63" s="262">
        <f t="shared" si="112"/>
        <v>0.5</v>
      </c>
      <c r="CP63" s="262" t="str">
        <f t="shared" si="113"/>
        <v>WL 0.5</v>
      </c>
      <c r="CQ63" s="262">
        <f t="shared" si="114"/>
        <v>0.9</v>
      </c>
      <c r="CR63" s="262">
        <f t="shared" si="115"/>
        <v>0.9</v>
      </c>
      <c r="CS63" s="262"/>
      <c r="CT63" s="325">
        <v>2</v>
      </c>
      <c r="CU63" s="262">
        <f t="shared" si="116"/>
        <v>2</v>
      </c>
      <c r="CV63" s="262" t="str">
        <f t="shared" si="117"/>
        <v>BTK 2</v>
      </c>
      <c r="CW63" s="262">
        <f t="shared" si="118"/>
        <v>-8.1666666666666661</v>
      </c>
      <c r="CX63" s="262">
        <f t="shared" si="119"/>
        <v>-8.1666666666666661</v>
      </c>
      <c r="CY63" s="262">
        <f t="shared" si="120"/>
        <v>8.1666666666666661</v>
      </c>
      <c r="CZ63" s="262">
        <f t="shared" si="121"/>
        <v>8.1666666666666661</v>
      </c>
      <c r="DA63" s="262"/>
      <c r="DB63" s="325">
        <f t="shared" si="122"/>
        <v>0.5</v>
      </c>
      <c r="DC63" s="262" t="str">
        <f t="shared" si="123"/>
        <v>STN 0.5</v>
      </c>
      <c r="DD63" s="262">
        <f t="shared" si="124"/>
        <v>0.5</v>
      </c>
      <c r="DE63" s="262">
        <f t="shared" si="125"/>
        <v>0.5</v>
      </c>
    </row>
    <row r="64" spans="1:114" x14ac:dyDescent="0.25">
      <c r="C64" s="277"/>
      <c r="L64" s="274"/>
      <c r="M64" s="277"/>
      <c r="N64" s="277"/>
      <c r="O64" s="277"/>
      <c r="P64" s="277"/>
      <c r="Q64" s="276"/>
      <c r="CM64" s="262">
        <v>3</v>
      </c>
      <c r="CN64" s="262">
        <f t="shared" si="111"/>
        <v>1</v>
      </c>
      <c r="CO64" s="262">
        <f t="shared" si="112"/>
        <v>1</v>
      </c>
      <c r="CP64" s="262" t="str">
        <f t="shared" si="113"/>
        <v>WL 1</v>
      </c>
      <c r="CQ64" s="262">
        <f t="shared" si="114"/>
        <v>1.8</v>
      </c>
      <c r="CR64" s="262">
        <f t="shared" si="115"/>
        <v>1.8</v>
      </c>
      <c r="CS64" s="262"/>
      <c r="CT64" s="325">
        <v>3</v>
      </c>
      <c r="CU64" s="262">
        <f t="shared" si="116"/>
        <v>3</v>
      </c>
      <c r="CV64" s="262" t="str">
        <f t="shared" si="117"/>
        <v>SIDE</v>
      </c>
      <c r="CW64" s="262">
        <f t="shared" si="118"/>
        <v>-12.25</v>
      </c>
      <c r="CX64" s="262">
        <f t="shared" si="119"/>
        <v>-12.25</v>
      </c>
      <c r="CY64" s="262">
        <f t="shared" si="120"/>
        <v>12.25</v>
      </c>
      <c r="CZ64" s="262">
        <f t="shared" si="121"/>
        <v>12.25</v>
      </c>
      <c r="DA64" s="262"/>
      <c r="DB64" s="325">
        <f t="shared" si="122"/>
        <v>1</v>
      </c>
      <c r="DC64" s="262" t="str">
        <f t="shared" si="123"/>
        <v>STN 1</v>
      </c>
      <c r="DD64" s="262">
        <f t="shared" si="124"/>
        <v>1</v>
      </c>
      <c r="DE64" s="262">
        <f t="shared" si="125"/>
        <v>1</v>
      </c>
    </row>
    <row r="65" spans="1:142" x14ac:dyDescent="0.25">
      <c r="L65" s="281"/>
      <c r="M65" s="282"/>
      <c r="N65" s="282"/>
      <c r="O65" s="282"/>
      <c r="P65" s="282"/>
      <c r="Q65" s="290"/>
      <c r="CD65" s="129" t="s">
        <v>324</v>
      </c>
      <c r="CM65" s="262">
        <v>4</v>
      </c>
      <c r="CN65" s="262">
        <f t="shared" si="111"/>
        <v>1.5</v>
      </c>
      <c r="CO65" s="262">
        <f t="shared" si="112"/>
        <v>1.5</v>
      </c>
      <c r="CP65" s="262" t="str">
        <f t="shared" si="113"/>
        <v>WL 1.5</v>
      </c>
      <c r="CQ65" s="262">
        <f t="shared" si="114"/>
        <v>2.7</v>
      </c>
      <c r="CR65" s="262">
        <f t="shared" si="115"/>
        <v>2.7</v>
      </c>
      <c r="CS65" s="262"/>
      <c r="CT65" s="325">
        <v>4</v>
      </c>
      <c r="CU65" s="262" t="str">
        <f t="shared" si="116"/>
        <v xml:space="preserve"> </v>
      </c>
      <c r="CV65" s="262" t="str">
        <f t="shared" si="117"/>
        <v xml:space="preserve"> </v>
      </c>
      <c r="CW65" s="262" t="e">
        <f t="shared" si="118"/>
        <v>#VALUE!</v>
      </c>
      <c r="CX65" s="262" t="e">
        <f t="shared" si="119"/>
        <v>#VALUE!</v>
      </c>
      <c r="CY65" s="262" t="e">
        <f t="shared" si="120"/>
        <v>#VALUE!</v>
      </c>
      <c r="CZ65" s="262" t="e">
        <f t="shared" si="121"/>
        <v>#VALUE!</v>
      </c>
      <c r="DA65" s="262"/>
      <c r="DB65" s="325">
        <f t="shared" si="122"/>
        <v>1.5</v>
      </c>
      <c r="DC65" s="262" t="str">
        <f t="shared" si="123"/>
        <v>STN 1.5</v>
      </c>
      <c r="DD65" s="262">
        <f t="shared" si="124"/>
        <v>1.5</v>
      </c>
      <c r="DE65" s="262">
        <f t="shared" si="125"/>
        <v>1.5</v>
      </c>
    </row>
    <row r="66" spans="1:142" ht="15.75" x14ac:dyDescent="0.25">
      <c r="CD66" s="147" t="s">
        <v>144</v>
      </c>
      <c r="CE66" s="146"/>
      <c r="CF66" s="146"/>
      <c r="CM66" s="262">
        <v>5</v>
      </c>
      <c r="CN66" s="262">
        <f t="shared" si="111"/>
        <v>2</v>
      </c>
      <c r="CO66" s="262">
        <f t="shared" si="112"/>
        <v>2</v>
      </c>
      <c r="CP66" s="262" t="str">
        <f t="shared" si="113"/>
        <v>WL 2</v>
      </c>
      <c r="CQ66" s="262">
        <f t="shared" si="114"/>
        <v>3.6</v>
      </c>
      <c r="CR66" s="262">
        <f t="shared" si="115"/>
        <v>3.6</v>
      </c>
      <c r="CS66" s="262"/>
      <c r="CT66" s="325">
        <v>5</v>
      </c>
      <c r="CU66" s="262" t="str">
        <f t="shared" si="116"/>
        <v xml:space="preserve"> </v>
      </c>
      <c r="CV66" s="262" t="str">
        <f t="shared" si="117"/>
        <v xml:space="preserve"> </v>
      </c>
      <c r="CW66" s="262" t="e">
        <f t="shared" si="118"/>
        <v>#VALUE!</v>
      </c>
      <c r="CX66" s="262" t="e">
        <f t="shared" si="119"/>
        <v>#VALUE!</v>
      </c>
      <c r="CY66" s="262" t="e">
        <f t="shared" si="120"/>
        <v>#VALUE!</v>
      </c>
      <c r="CZ66" s="262" t="e">
        <f t="shared" si="121"/>
        <v>#VALUE!</v>
      </c>
      <c r="DA66" s="262"/>
      <c r="DB66" s="325">
        <f t="shared" si="122"/>
        <v>2</v>
      </c>
      <c r="DC66" s="262" t="str">
        <f t="shared" si="123"/>
        <v>STN 2</v>
      </c>
      <c r="DD66" s="262">
        <f t="shared" si="124"/>
        <v>2</v>
      </c>
      <c r="DE66" s="262">
        <f t="shared" si="125"/>
        <v>2</v>
      </c>
    </row>
    <row r="67" spans="1:142" ht="15.75" x14ac:dyDescent="0.25">
      <c r="CD67" s="150"/>
      <c r="CE67" s="151" t="s">
        <v>151</v>
      </c>
      <c r="CF67" s="152">
        <v>1</v>
      </c>
      <c r="CM67" s="262">
        <v>6</v>
      </c>
      <c r="CN67" s="262">
        <f t="shared" si="111"/>
        <v>3</v>
      </c>
      <c r="CO67" s="262">
        <f t="shared" si="112"/>
        <v>3</v>
      </c>
      <c r="CP67" s="262" t="str">
        <f t="shared" si="113"/>
        <v>WL 3</v>
      </c>
      <c r="CQ67" s="262">
        <f t="shared" si="114"/>
        <v>5.4</v>
      </c>
      <c r="CR67" s="262">
        <f t="shared" si="115"/>
        <v>5.4</v>
      </c>
      <c r="CS67" s="262"/>
      <c r="CT67" s="325">
        <v>6</v>
      </c>
      <c r="CU67" s="262" t="str">
        <f t="shared" si="116"/>
        <v xml:space="preserve"> </v>
      </c>
      <c r="CV67" s="262" t="str">
        <f t="shared" si="117"/>
        <v xml:space="preserve"> </v>
      </c>
      <c r="CW67" s="262" t="e">
        <f t="shared" si="118"/>
        <v>#VALUE!</v>
      </c>
      <c r="CX67" s="262" t="e">
        <f t="shared" si="119"/>
        <v>#VALUE!</v>
      </c>
      <c r="CY67" s="262" t="e">
        <f t="shared" si="120"/>
        <v>#VALUE!</v>
      </c>
      <c r="CZ67" s="262" t="e">
        <f t="shared" si="121"/>
        <v>#VALUE!</v>
      </c>
      <c r="DA67" s="262"/>
      <c r="DB67" s="325">
        <f t="shared" si="122"/>
        <v>3</v>
      </c>
      <c r="DC67" s="262" t="str">
        <f t="shared" si="123"/>
        <v>STN 3</v>
      </c>
      <c r="DD67" s="262">
        <f t="shared" si="124"/>
        <v>3</v>
      </c>
      <c r="DE67" s="262">
        <f t="shared" si="125"/>
        <v>3</v>
      </c>
    </row>
    <row r="68" spans="1:142" x14ac:dyDescent="0.25">
      <c r="A68" s="335" t="s">
        <v>18</v>
      </c>
      <c r="B68" s="336">
        <v>1</v>
      </c>
      <c r="C68" s="336">
        <v>2</v>
      </c>
      <c r="D68" s="336">
        <v>3</v>
      </c>
      <c r="E68" s="336">
        <v>4</v>
      </c>
      <c r="F68" s="336">
        <v>5</v>
      </c>
      <c r="G68" s="336">
        <v>6</v>
      </c>
      <c r="H68" s="336">
        <v>7</v>
      </c>
      <c r="I68" s="336">
        <v>8</v>
      </c>
      <c r="J68" s="336">
        <v>9</v>
      </c>
      <c r="K68" s="336">
        <v>10</v>
      </c>
      <c r="L68" s="336">
        <v>11</v>
      </c>
      <c r="M68" s="336">
        <v>12</v>
      </c>
      <c r="N68" s="336">
        <v>13</v>
      </c>
      <c r="O68" s="336">
        <v>14</v>
      </c>
      <c r="P68" s="336">
        <v>15</v>
      </c>
      <c r="Q68" s="336">
        <v>16</v>
      </c>
      <c r="R68" s="336">
        <v>17</v>
      </c>
      <c r="S68" s="336">
        <v>18</v>
      </c>
      <c r="T68" s="336">
        <v>19</v>
      </c>
      <c r="U68" s="336">
        <v>20</v>
      </c>
      <c r="V68" s="336">
        <v>21</v>
      </c>
      <c r="W68" s="336">
        <v>22</v>
      </c>
      <c r="X68" s="336">
        <v>23</v>
      </c>
      <c r="Y68" s="336">
        <v>24</v>
      </c>
      <c r="Z68" s="336">
        <v>25</v>
      </c>
      <c r="AB68" s="337" t="s">
        <v>20</v>
      </c>
      <c r="AC68" s="338"/>
      <c r="AD68" s="338"/>
      <c r="AE68" s="338"/>
      <c r="AF68" s="338"/>
      <c r="AG68" s="338"/>
      <c r="AH68" s="338"/>
      <c r="AI68" s="338"/>
      <c r="AJ68" s="338"/>
      <c r="AK68" s="338"/>
      <c r="AL68" s="338"/>
      <c r="AM68" s="338"/>
      <c r="AN68" s="338"/>
      <c r="AO68" s="338"/>
      <c r="AP68" s="338"/>
      <c r="AQ68" s="338"/>
      <c r="AR68" s="338"/>
      <c r="AS68" s="338"/>
      <c r="AT68" s="338"/>
      <c r="AU68" s="338"/>
      <c r="AV68" s="338"/>
      <c r="AW68" s="338"/>
      <c r="AX68" s="338"/>
      <c r="AY68" s="338"/>
      <c r="AZ68" s="338"/>
      <c r="BA68" s="338"/>
      <c r="BC68" s="339" t="s">
        <v>137</v>
      </c>
      <c r="BD68" s="340"/>
      <c r="BE68" s="340"/>
      <c r="BF68" s="340"/>
      <c r="BG68" s="340"/>
      <c r="BH68" s="340"/>
      <c r="BI68" s="340"/>
      <c r="BJ68" s="340"/>
      <c r="BK68" s="340"/>
      <c r="BL68" s="340"/>
      <c r="BM68" s="340"/>
      <c r="BN68" s="340"/>
      <c r="BO68" s="340"/>
      <c r="BP68" s="340"/>
      <c r="BQ68" s="340"/>
      <c r="BR68" s="340"/>
      <c r="BS68" s="340"/>
      <c r="BT68" s="340"/>
      <c r="BU68" s="340"/>
      <c r="BV68" s="340"/>
      <c r="BW68" s="340"/>
      <c r="BX68" s="340"/>
      <c r="BY68" s="340"/>
      <c r="BZ68" s="340"/>
      <c r="CA68" s="340"/>
      <c r="CB68" s="340"/>
      <c r="CD68" s="143"/>
      <c r="CE68" s="146"/>
      <c r="CF68" s="146"/>
      <c r="CM68" s="262">
        <v>7</v>
      </c>
      <c r="CN68" s="262">
        <f t="shared" si="111"/>
        <v>4</v>
      </c>
      <c r="CO68" s="262">
        <f t="shared" si="112"/>
        <v>4</v>
      </c>
      <c r="CP68" s="262" t="str">
        <f t="shared" si="113"/>
        <v>WL 4</v>
      </c>
      <c r="CQ68" s="262">
        <f t="shared" si="114"/>
        <v>7.2</v>
      </c>
      <c r="CR68" s="262">
        <f t="shared" si="115"/>
        <v>7.2</v>
      </c>
      <c r="CS68" s="262"/>
      <c r="CT68" s="325">
        <v>7</v>
      </c>
      <c r="CU68" s="262" t="str">
        <f t="shared" si="116"/>
        <v xml:space="preserve"> </v>
      </c>
      <c r="CV68" s="262" t="str">
        <f t="shared" si="117"/>
        <v xml:space="preserve"> </v>
      </c>
      <c r="CW68" s="262" t="e">
        <f t="shared" si="118"/>
        <v>#VALUE!</v>
      </c>
      <c r="CX68" s="262" t="e">
        <f t="shared" si="119"/>
        <v>#VALUE!</v>
      </c>
      <c r="CY68" s="262" t="e">
        <f t="shared" si="120"/>
        <v>#VALUE!</v>
      </c>
      <c r="CZ68" s="262" t="e">
        <f t="shared" si="121"/>
        <v>#VALUE!</v>
      </c>
      <c r="DA68" s="262"/>
      <c r="DB68" s="325">
        <f t="shared" si="122"/>
        <v>4</v>
      </c>
      <c r="DC68" s="262" t="str">
        <f t="shared" si="123"/>
        <v>STN 4</v>
      </c>
      <c r="DD68" s="262">
        <f t="shared" si="124"/>
        <v>4</v>
      </c>
      <c r="DE68" s="262">
        <f t="shared" si="125"/>
        <v>4</v>
      </c>
    </row>
    <row r="69" spans="1:142" ht="15.75" x14ac:dyDescent="0.25">
      <c r="A69" s="341" t="str">
        <f>Stn_WL</f>
        <v>STN/WL</v>
      </c>
      <c r="B69" s="341">
        <f t="shared" ref="B69:Z69" si="126">AE2</f>
        <v>0</v>
      </c>
      <c r="C69" s="341">
        <f t="shared" si="126"/>
        <v>0.5</v>
      </c>
      <c r="D69" s="341">
        <f t="shared" si="126"/>
        <v>1</v>
      </c>
      <c r="E69" s="341">
        <f t="shared" si="126"/>
        <v>1.5</v>
      </c>
      <c r="F69" s="341">
        <f t="shared" si="126"/>
        <v>2</v>
      </c>
      <c r="G69" s="341">
        <f t="shared" si="126"/>
        <v>3</v>
      </c>
      <c r="H69" s="341">
        <f t="shared" si="126"/>
        <v>4</v>
      </c>
      <c r="I69" s="341">
        <f t="shared" si="126"/>
        <v>5</v>
      </c>
      <c r="J69" s="341">
        <f t="shared" si="126"/>
        <v>5.6111111111111107</v>
      </c>
      <c r="K69" s="341">
        <f t="shared" si="126"/>
        <v>6</v>
      </c>
      <c r="L69" s="341">
        <f t="shared" si="126"/>
        <v>7</v>
      </c>
      <c r="M69" s="341">
        <f t="shared" si="126"/>
        <v>7.8833333333333329</v>
      </c>
      <c r="N69" s="341" t="str">
        <f t="shared" si="126"/>
        <v xml:space="preserve">  </v>
      </c>
      <c r="O69" s="341" t="str">
        <f t="shared" si="126"/>
        <v xml:space="preserve">  </v>
      </c>
      <c r="P69" s="341" t="str">
        <f t="shared" si="126"/>
        <v xml:space="preserve">  </v>
      </c>
      <c r="Q69" s="341" t="str">
        <f t="shared" si="126"/>
        <v xml:space="preserve">  </v>
      </c>
      <c r="R69" s="341" t="str">
        <f t="shared" si="126"/>
        <v xml:space="preserve">  </v>
      </c>
      <c r="S69" s="341" t="str">
        <f t="shared" si="126"/>
        <v xml:space="preserve">  </v>
      </c>
      <c r="T69" s="341" t="str">
        <f t="shared" si="126"/>
        <v xml:space="preserve">  </v>
      </c>
      <c r="U69" s="341" t="str">
        <f t="shared" si="126"/>
        <v xml:space="preserve">  </v>
      </c>
      <c r="V69" s="341" t="str">
        <f t="shared" si="126"/>
        <v xml:space="preserve">  </v>
      </c>
      <c r="W69" s="341" t="str">
        <f t="shared" si="126"/>
        <v xml:space="preserve">  </v>
      </c>
      <c r="X69" s="341" t="str">
        <f t="shared" si="126"/>
        <v xml:space="preserve">  </v>
      </c>
      <c r="Y69" s="341" t="str">
        <f t="shared" si="126"/>
        <v xml:space="preserve">  </v>
      </c>
      <c r="Z69" s="341" t="str">
        <f t="shared" si="126"/>
        <v xml:space="preserve">  </v>
      </c>
      <c r="AB69" s="337" t="str">
        <f t="shared" ref="AB69:BA84" si="127">A69</f>
        <v>STN/WL</v>
      </c>
      <c r="AC69" s="337">
        <f t="shared" si="127"/>
        <v>0</v>
      </c>
      <c r="AD69" s="337">
        <f t="shared" si="127"/>
        <v>0.5</v>
      </c>
      <c r="AE69" s="337">
        <f t="shared" si="127"/>
        <v>1</v>
      </c>
      <c r="AF69" s="337">
        <f t="shared" si="127"/>
        <v>1.5</v>
      </c>
      <c r="AG69" s="337">
        <f t="shared" si="127"/>
        <v>2</v>
      </c>
      <c r="AH69" s="337">
        <f t="shared" si="127"/>
        <v>3</v>
      </c>
      <c r="AI69" s="337">
        <f t="shared" si="127"/>
        <v>4</v>
      </c>
      <c r="AJ69" s="337">
        <f t="shared" si="127"/>
        <v>5</v>
      </c>
      <c r="AK69" s="337">
        <f t="shared" si="127"/>
        <v>5.6111111111111107</v>
      </c>
      <c r="AL69" s="337">
        <f t="shared" si="127"/>
        <v>6</v>
      </c>
      <c r="AM69" s="337">
        <f t="shared" si="127"/>
        <v>7</v>
      </c>
      <c r="AN69" s="337">
        <f t="shared" si="127"/>
        <v>7.8833333333333329</v>
      </c>
      <c r="AO69" s="337" t="str">
        <f t="shared" si="127"/>
        <v xml:space="preserve">  </v>
      </c>
      <c r="AP69" s="337" t="str">
        <f t="shared" si="127"/>
        <v xml:space="preserve">  </v>
      </c>
      <c r="AQ69" s="337" t="str">
        <f t="shared" si="127"/>
        <v xml:space="preserve">  </v>
      </c>
      <c r="AR69" s="337" t="str">
        <f t="shared" si="127"/>
        <v xml:space="preserve">  </v>
      </c>
      <c r="AS69" s="337" t="str">
        <f t="shared" si="127"/>
        <v xml:space="preserve">  </v>
      </c>
      <c r="AT69" s="337" t="str">
        <f t="shared" si="127"/>
        <v xml:space="preserve">  </v>
      </c>
      <c r="AU69" s="337" t="str">
        <f t="shared" si="127"/>
        <v xml:space="preserve">  </v>
      </c>
      <c r="AV69" s="337" t="str">
        <f t="shared" si="127"/>
        <v xml:space="preserve">  </v>
      </c>
      <c r="AW69" s="337" t="str">
        <f t="shared" si="127"/>
        <v xml:space="preserve">  </v>
      </c>
      <c r="AX69" s="337" t="str">
        <f t="shared" si="127"/>
        <v xml:space="preserve">  </v>
      </c>
      <c r="AY69" s="337" t="str">
        <f t="shared" si="127"/>
        <v xml:space="preserve">  </v>
      </c>
      <c r="AZ69" s="337" t="str">
        <f t="shared" si="127"/>
        <v xml:space="preserve">  </v>
      </c>
      <c r="BA69" s="337" t="str">
        <f t="shared" si="127"/>
        <v xml:space="preserve">  </v>
      </c>
      <c r="BC69" s="342" t="s">
        <v>253</v>
      </c>
      <c r="BD69" s="343">
        <f t="shared" ref="BD69:CB69" si="128">IFERROR(AE2*1,"")</f>
        <v>0</v>
      </c>
      <c r="BE69" s="343">
        <f t="shared" si="128"/>
        <v>0.5</v>
      </c>
      <c r="BF69" s="343">
        <f t="shared" si="128"/>
        <v>1</v>
      </c>
      <c r="BG69" s="343">
        <f t="shared" si="128"/>
        <v>1.5</v>
      </c>
      <c r="BH69" s="343">
        <f t="shared" si="128"/>
        <v>2</v>
      </c>
      <c r="BI69" s="343">
        <f t="shared" si="128"/>
        <v>3</v>
      </c>
      <c r="BJ69" s="343">
        <f t="shared" si="128"/>
        <v>4</v>
      </c>
      <c r="BK69" s="343">
        <f t="shared" si="128"/>
        <v>5</v>
      </c>
      <c r="BL69" s="343">
        <f t="shared" si="128"/>
        <v>5.6111111111111107</v>
      </c>
      <c r="BM69" s="343">
        <f t="shared" si="128"/>
        <v>6</v>
      </c>
      <c r="BN69" s="343">
        <f t="shared" si="128"/>
        <v>7</v>
      </c>
      <c r="BO69" s="343">
        <f t="shared" si="128"/>
        <v>7.8833333333333329</v>
      </c>
      <c r="BP69" s="343" t="str">
        <f t="shared" si="128"/>
        <v/>
      </c>
      <c r="BQ69" s="343" t="str">
        <f t="shared" si="128"/>
        <v/>
      </c>
      <c r="BR69" s="343" t="str">
        <f t="shared" si="128"/>
        <v/>
      </c>
      <c r="BS69" s="343" t="str">
        <f t="shared" si="128"/>
        <v/>
      </c>
      <c r="BT69" s="343" t="str">
        <f t="shared" si="128"/>
        <v/>
      </c>
      <c r="BU69" s="343" t="str">
        <f t="shared" si="128"/>
        <v/>
      </c>
      <c r="BV69" s="343" t="str">
        <f t="shared" si="128"/>
        <v/>
      </c>
      <c r="BW69" s="343" t="str">
        <f t="shared" si="128"/>
        <v/>
      </c>
      <c r="BX69" s="343" t="str">
        <f t="shared" si="128"/>
        <v/>
      </c>
      <c r="BY69" s="343" t="str">
        <f t="shared" si="128"/>
        <v/>
      </c>
      <c r="BZ69" s="343" t="str">
        <f t="shared" si="128"/>
        <v/>
      </c>
      <c r="CA69" s="343" t="str">
        <f t="shared" si="128"/>
        <v/>
      </c>
      <c r="CB69" s="343" t="str">
        <f t="shared" si="128"/>
        <v/>
      </c>
      <c r="CD69" s="127"/>
      <c r="CE69" s="151" t="str">
        <f>CONCATENATE("Height=",DEPTH,"x")</f>
        <v>Height=14.19x</v>
      </c>
      <c r="CF69" s="152">
        <v>1</v>
      </c>
      <c r="CM69" s="262">
        <v>8</v>
      </c>
      <c r="CN69" s="262">
        <f t="shared" si="111"/>
        <v>5</v>
      </c>
      <c r="CO69" s="262">
        <f t="shared" si="112"/>
        <v>5</v>
      </c>
      <c r="CP69" s="262" t="str">
        <f t="shared" si="113"/>
        <v>WL 5</v>
      </c>
      <c r="CQ69" s="262">
        <f t="shared" si="114"/>
        <v>9</v>
      </c>
      <c r="CR69" s="262">
        <f t="shared" si="115"/>
        <v>9</v>
      </c>
      <c r="CS69" s="262"/>
      <c r="CT69" s="325">
        <v>8</v>
      </c>
      <c r="CU69" s="262" t="str">
        <f t="shared" si="116"/>
        <v xml:space="preserve"> </v>
      </c>
      <c r="CV69" s="262" t="str">
        <f t="shared" si="117"/>
        <v xml:space="preserve"> </v>
      </c>
      <c r="CW69" s="262" t="e">
        <f t="shared" si="118"/>
        <v>#VALUE!</v>
      </c>
      <c r="CX69" s="262" t="e">
        <f t="shared" si="119"/>
        <v>#VALUE!</v>
      </c>
      <c r="CY69" s="262" t="e">
        <f t="shared" si="120"/>
        <v>#VALUE!</v>
      </c>
      <c r="CZ69" s="262" t="e">
        <f t="shared" si="121"/>
        <v>#VALUE!</v>
      </c>
      <c r="DA69" s="262"/>
      <c r="DB69" s="325">
        <f t="shared" si="122"/>
        <v>5</v>
      </c>
      <c r="DC69" s="262" t="str">
        <f t="shared" si="123"/>
        <v>STN 5</v>
      </c>
      <c r="DD69" s="262">
        <f t="shared" si="124"/>
        <v>5</v>
      </c>
      <c r="DE69" s="262">
        <f t="shared" si="125"/>
        <v>5</v>
      </c>
    </row>
    <row r="70" spans="1:142" x14ac:dyDescent="0.25">
      <c r="A70" s="341">
        <f t="shared" ref="A70:A94" si="129">AD3</f>
        <v>0</v>
      </c>
      <c r="B70" s="336">
        <f t="array" ref="B70:Z70">TRANSPOSE('Stn(1)'!D4:D28)</f>
        <v>0</v>
      </c>
      <c r="C70" s="336">
        <v>0</v>
      </c>
      <c r="D70" s="336">
        <v>0</v>
      </c>
      <c r="E70" s="336">
        <v>0</v>
      </c>
      <c r="F70" s="336">
        <v>0</v>
      </c>
      <c r="G70" s="336">
        <v>0</v>
      </c>
      <c r="H70" s="336">
        <v>0</v>
      </c>
      <c r="I70" s="336">
        <v>0</v>
      </c>
      <c r="J70" s="336">
        <v>0.57839999999999792</v>
      </c>
      <c r="K70" s="336">
        <v>6.9428000000000045</v>
      </c>
      <c r="L70" s="336">
        <v>35.382800000000003</v>
      </c>
      <c r="M70" s="336">
        <v>67.961899999999986</v>
      </c>
      <c r="N70" s="336" t="str">
        <v xml:space="preserve"> </v>
      </c>
      <c r="O70" s="336" t="str">
        <v xml:space="preserve"> </v>
      </c>
      <c r="P70" s="336" t="str">
        <v xml:space="preserve"> </v>
      </c>
      <c r="Q70" s="336" t="str">
        <v xml:space="preserve"> </v>
      </c>
      <c r="R70" s="336" t="str">
        <v xml:space="preserve"> </v>
      </c>
      <c r="S70" s="336" t="str">
        <v xml:space="preserve"> </v>
      </c>
      <c r="T70" s="336" t="str">
        <v xml:space="preserve"> </v>
      </c>
      <c r="U70" s="336" t="str">
        <v xml:space="preserve"> </v>
      </c>
      <c r="V70" s="336" t="str">
        <v xml:space="preserve"> </v>
      </c>
      <c r="W70" s="336" t="str">
        <v xml:space="preserve"> </v>
      </c>
      <c r="X70" s="336" t="str">
        <v xml:space="preserve"> </v>
      </c>
      <c r="Y70" s="336" t="str">
        <v xml:space="preserve"> </v>
      </c>
      <c r="Z70" s="336" t="str">
        <v xml:space="preserve"> </v>
      </c>
      <c r="AB70" s="337">
        <f t="shared" si="127"/>
        <v>0</v>
      </c>
      <c r="AC70" s="338">
        <f t="array" ref="AC70:BA70">TRANSPOSE('Stn(1)'!E4:E28)</f>
        <v>0</v>
      </c>
      <c r="AD70" s="338">
        <v>0</v>
      </c>
      <c r="AE70" s="338">
        <v>0</v>
      </c>
      <c r="AF70" s="338">
        <v>0</v>
      </c>
      <c r="AG70" s="338">
        <v>0</v>
      </c>
      <c r="AH70" s="338">
        <v>0</v>
      </c>
      <c r="AI70" s="338">
        <v>0</v>
      </c>
      <c r="AJ70" s="338">
        <v>0</v>
      </c>
      <c r="AK70" s="338">
        <v>5.8032799999999796</v>
      </c>
      <c r="AL70" s="338">
        <v>72.581413333333387</v>
      </c>
      <c r="AM70" s="338">
        <v>407.16541333333345</v>
      </c>
      <c r="AN70" s="338">
        <v>844.10599933333333</v>
      </c>
      <c r="AO70" s="338" t="str">
        <v xml:space="preserve"> </v>
      </c>
      <c r="AP70" s="338" t="str">
        <v xml:space="preserve"> </v>
      </c>
      <c r="AQ70" s="338" t="str">
        <v xml:space="preserve"> </v>
      </c>
      <c r="AR70" s="338" t="str">
        <v xml:space="preserve"> </v>
      </c>
      <c r="AS70" s="338" t="str">
        <v xml:space="preserve"> </v>
      </c>
      <c r="AT70" s="338" t="str">
        <v xml:space="preserve"> </v>
      </c>
      <c r="AU70" s="338" t="str">
        <v xml:space="preserve"> </v>
      </c>
      <c r="AV70" s="338" t="str">
        <v xml:space="preserve"> </v>
      </c>
      <c r="AW70" s="338" t="str">
        <v xml:space="preserve"> </v>
      </c>
      <c r="AX70" s="338" t="str">
        <v xml:space="preserve"> </v>
      </c>
      <c r="AY70" s="338" t="str">
        <v xml:space="preserve"> </v>
      </c>
      <c r="AZ70" s="338" t="str">
        <v xml:space="preserve"> </v>
      </c>
      <c r="BA70" s="338" t="str">
        <v xml:space="preserve"> </v>
      </c>
      <c r="BC70" s="344" t="s">
        <v>34</v>
      </c>
      <c r="BD70" s="345">
        <f>IFERROR('WL (1)'!$S11,"-")</f>
        <v>859.8253999999996</v>
      </c>
      <c r="BE70" s="345">
        <f>IFERROR('WL (2)'!$S11,"-")</f>
        <v>1423.3916499999996</v>
      </c>
      <c r="BF70" s="345">
        <f>IFERROR('WL (3)'!$S11,"-")</f>
        <v>1670.0218499999996</v>
      </c>
      <c r="BG70" s="345">
        <f>IFERROR('WL (4)'!$S11,"-")</f>
        <v>1833.2859499999995</v>
      </c>
      <c r="BH70" s="345">
        <f>IFERROR('WL (5)'!$S11,"-")</f>
        <v>1954.7791999999986</v>
      </c>
      <c r="BI70" s="345">
        <f>IFERROR('WL (6)'!$S11,"-")</f>
        <v>2152.5486999999994</v>
      </c>
      <c r="BJ70" s="345">
        <f>IFERROR('WL (7)'!$S11,"-")</f>
        <v>2323.3416499999994</v>
      </c>
      <c r="BK70" s="345">
        <f>IFERROR('WL (8)'!$S11,"-")</f>
        <v>2528.8594999999996</v>
      </c>
      <c r="BL70" s="345">
        <f>IFERROR('WL (9)'!$S11,"-")</f>
        <v>2668.33419</v>
      </c>
      <c r="BM70" s="345">
        <f>IFERROR('WL (10)'!$S11,"-")</f>
        <v>2735.7601999999997</v>
      </c>
      <c r="BN70" s="345">
        <f>IFERROR('WL (11)'!$S11,"-")</f>
        <v>2861.9068499999985</v>
      </c>
      <c r="BO70" s="345">
        <f>IFERROR('WL (12)'!$S11,"-")</f>
        <v>3008.5986999999996</v>
      </c>
      <c r="BP70" s="345" t="str">
        <f>IFERROR('WL (13)'!$S11,"-")</f>
        <v xml:space="preserve">  </v>
      </c>
      <c r="BQ70" s="345" t="str">
        <f>IFERROR('WL (14)'!$S11,"-")</f>
        <v xml:space="preserve">  </v>
      </c>
      <c r="BR70" s="345" t="str">
        <f>IFERROR('WL (15)'!$S11,"-")</f>
        <v xml:space="preserve">  </v>
      </c>
      <c r="BS70" s="345" t="str">
        <f>IFERROR('WL (16)'!$S11,"-")</f>
        <v xml:space="preserve">  </v>
      </c>
      <c r="BT70" s="345" t="str">
        <f>IFERROR('WL (17)'!$S11,"-")</f>
        <v xml:space="preserve">  </v>
      </c>
      <c r="BU70" s="345" t="str">
        <f>IFERROR('WL (18)'!$S11,"-")</f>
        <v xml:space="preserve">  </v>
      </c>
      <c r="BV70" s="345" t="str">
        <f>IFERROR('WL (19)'!$S11,"-")</f>
        <v xml:space="preserve">  </v>
      </c>
      <c r="BW70" s="345" t="str">
        <f>IFERROR('WL (20)'!$S11,"-")</f>
        <v xml:space="preserve">  </v>
      </c>
      <c r="BX70" s="345" t="str">
        <f>IFERROR('WL (21)'!$S11,"-")</f>
        <v xml:space="preserve">  </v>
      </c>
      <c r="BY70" s="345" t="str">
        <f>IFERROR('WL (22)'!$S11,"-")</f>
        <v xml:space="preserve">  </v>
      </c>
      <c r="BZ70" s="345" t="str">
        <f>IFERROR('WL (23)'!$S11,"-")</f>
        <v xml:space="preserve">  </v>
      </c>
      <c r="CA70" s="345" t="str">
        <f>IFERROR('WL (24)'!$S11,"-")</f>
        <v xml:space="preserve">  </v>
      </c>
      <c r="CB70" s="345" t="str">
        <f>IFERROR('WL (25)'!$S11,"-")</f>
        <v xml:space="preserve">  </v>
      </c>
      <c r="CD70" s="143"/>
      <c r="CE70" s="143"/>
      <c r="CF70" s="143"/>
      <c r="CM70" s="262">
        <v>9</v>
      </c>
      <c r="CN70" s="262" t="str">
        <f t="shared" si="111"/>
        <v>LWL</v>
      </c>
      <c r="CO70" s="262">
        <f t="shared" si="112"/>
        <v>5.6111111111111107</v>
      </c>
      <c r="CP70" s="262" t="str">
        <f t="shared" si="113"/>
        <v>LWL</v>
      </c>
      <c r="CQ70" s="262">
        <f t="shared" ref="CQ70" si="130">CO70*WLS</f>
        <v>10.1</v>
      </c>
      <c r="CR70" s="262">
        <f t="shared" si="115"/>
        <v>10.1</v>
      </c>
      <c r="CS70" s="262"/>
      <c r="CT70" s="325">
        <v>9</v>
      </c>
      <c r="CU70" s="262" t="str">
        <f t="shared" ref="CU70" si="131">IF(CT70&lt;=(No_of_BTKs+1),CT70," ")</f>
        <v xml:space="preserve"> </v>
      </c>
      <c r="CV70" s="262" t="str">
        <f t="shared" ref="CV70" si="132">IF(CU70&lt;=No_of_BTKs,CONCATENATE("BTK ",CU70),IF(CU70=No_of_BTKs+1,"SIDE"," "))</f>
        <v xml:space="preserve"> </v>
      </c>
      <c r="CW70" s="262" t="e">
        <f t="shared" ref="CW70" si="133">-BREADTH/2/(No_of_BTKs+1)*CU70</f>
        <v>#VALUE!</v>
      </c>
      <c r="CX70" s="262" t="e">
        <f t="shared" si="119"/>
        <v>#VALUE!</v>
      </c>
      <c r="CY70" s="262" t="e">
        <f t="shared" ref="CY70" si="134">BREADTH/2/(No_of_BTKs+1)*CU70</f>
        <v>#VALUE!</v>
      </c>
      <c r="CZ70" s="262" t="e">
        <f t="shared" si="121"/>
        <v>#VALUE!</v>
      </c>
      <c r="DA70" s="262"/>
      <c r="DB70" s="325">
        <f t="shared" si="122"/>
        <v>6</v>
      </c>
      <c r="DC70" s="262" t="str">
        <f t="shared" si="123"/>
        <v>STN 6</v>
      </c>
      <c r="DD70" s="262">
        <f t="shared" si="124"/>
        <v>6</v>
      </c>
      <c r="DE70" s="262">
        <f t="shared" si="125"/>
        <v>6</v>
      </c>
    </row>
    <row r="71" spans="1:142" ht="21" x14ac:dyDescent="0.35">
      <c r="A71" s="341">
        <f t="shared" si="129"/>
        <v>0.5</v>
      </c>
      <c r="B71" s="336">
        <f t="array" ref="B71:Z71">TRANSPOSE('Stn(2)'!D4:D28)</f>
        <v>0</v>
      </c>
      <c r="C71" s="336">
        <v>0</v>
      </c>
      <c r="D71" s="336">
        <v>0</v>
      </c>
      <c r="E71" s="336">
        <v>0</v>
      </c>
      <c r="F71" s="336">
        <v>0</v>
      </c>
      <c r="G71" s="336">
        <v>0</v>
      </c>
      <c r="H71" s="336">
        <v>0</v>
      </c>
      <c r="I71" s="336">
        <v>0.11999999999999957</v>
      </c>
      <c r="J71" s="336">
        <v>8.9199999999999946</v>
      </c>
      <c r="K71" s="336">
        <v>19.035</v>
      </c>
      <c r="L71" s="336">
        <v>54.924000000000007</v>
      </c>
      <c r="M71" s="336">
        <v>90.142499999999984</v>
      </c>
      <c r="N71" s="336" t="str">
        <v xml:space="preserve"> </v>
      </c>
      <c r="O71" s="336" t="str">
        <v xml:space="preserve"> </v>
      </c>
      <c r="P71" s="336" t="str">
        <v xml:space="preserve"> </v>
      </c>
      <c r="Q71" s="336" t="str">
        <v xml:space="preserve"> </v>
      </c>
      <c r="R71" s="336" t="str">
        <v xml:space="preserve"> </v>
      </c>
      <c r="S71" s="336" t="str">
        <v xml:space="preserve"> </v>
      </c>
      <c r="T71" s="336" t="str">
        <v xml:space="preserve"> </v>
      </c>
      <c r="U71" s="336" t="str">
        <v xml:space="preserve"> </v>
      </c>
      <c r="V71" s="336" t="str">
        <v xml:space="preserve"> </v>
      </c>
      <c r="W71" s="336" t="str">
        <v xml:space="preserve"> </v>
      </c>
      <c r="X71" s="336" t="str">
        <v xml:space="preserve"> </v>
      </c>
      <c r="Y71" s="336" t="str">
        <v xml:space="preserve"> </v>
      </c>
      <c r="Z71" s="336" t="str">
        <v xml:space="preserve"> </v>
      </c>
      <c r="AB71" s="337">
        <f t="shared" si="127"/>
        <v>0.5</v>
      </c>
      <c r="AC71" s="338">
        <f t="array" ref="AC71:BA71">TRANSPOSE('Stn(2)'!E4:E28)</f>
        <v>0</v>
      </c>
      <c r="AD71" s="338">
        <v>0</v>
      </c>
      <c r="AE71" s="338">
        <v>0</v>
      </c>
      <c r="AF71" s="338">
        <v>0</v>
      </c>
      <c r="AG71" s="338">
        <v>0</v>
      </c>
      <c r="AH71" s="338">
        <v>0</v>
      </c>
      <c r="AI71" s="338">
        <v>0</v>
      </c>
      <c r="AJ71" s="338">
        <v>1.0759999999999961</v>
      </c>
      <c r="AK71" s="338">
        <v>86.245333333333278</v>
      </c>
      <c r="AL71" s="338">
        <v>192.25489999999999</v>
      </c>
      <c r="AM71" s="338">
        <v>613.3280000000002</v>
      </c>
      <c r="AN71" s="338">
        <v>1085.4548089999998</v>
      </c>
      <c r="AO71" s="338" t="str">
        <v xml:space="preserve"> </v>
      </c>
      <c r="AP71" s="338" t="str">
        <v xml:space="preserve"> </v>
      </c>
      <c r="AQ71" s="338" t="str">
        <v xml:space="preserve"> </v>
      </c>
      <c r="AR71" s="338" t="str">
        <v xml:space="preserve"> </v>
      </c>
      <c r="AS71" s="338" t="str">
        <v xml:space="preserve"> </v>
      </c>
      <c r="AT71" s="338" t="str">
        <v xml:space="preserve"> </v>
      </c>
      <c r="AU71" s="338" t="str">
        <v xml:space="preserve"> </v>
      </c>
      <c r="AV71" s="338" t="str">
        <v xml:space="preserve"> </v>
      </c>
      <c r="AW71" s="338" t="str">
        <v xml:space="preserve"> </v>
      </c>
      <c r="AX71" s="338" t="str">
        <v xml:space="preserve"> </v>
      </c>
      <c r="AY71" s="338" t="str">
        <v xml:space="preserve"> </v>
      </c>
      <c r="AZ71" s="338" t="str">
        <v xml:space="preserve"> </v>
      </c>
      <c r="BA71" s="338" t="str">
        <v xml:space="preserve"> </v>
      </c>
      <c r="BC71" s="346" t="s">
        <v>36</v>
      </c>
      <c r="BD71" s="345">
        <f>IFERROR('WL (1)'!$S12,"-")</f>
        <v>4119.989537999998</v>
      </c>
      <c r="BE71" s="345">
        <f>IFERROR('WL (2)'!$S12,"-")</f>
        <v>2844.5619599999982</v>
      </c>
      <c r="BF71" s="345">
        <f>IFERROR('WL (3)'!$S12,"-")</f>
        <v>3638.6688404999991</v>
      </c>
      <c r="BG71" s="345">
        <f>IFERROR('WL (4)'!$S12,"-")</f>
        <v>3678.562087499995</v>
      </c>
      <c r="BH71" s="345">
        <f>IFERROR('WL (5)'!$S12,"-")</f>
        <v>2938.5134474999973</v>
      </c>
      <c r="BI71" s="345">
        <f>IFERROR('WL (6)'!$S12,"-")</f>
        <v>-558.79453949999754</v>
      </c>
      <c r="BJ71" s="345">
        <f>IFERROR('WL (7)'!$S12,"-")</f>
        <v>-5397.7297679999956</v>
      </c>
      <c r="BK71" s="345">
        <f>IFERROR('WL (8)'!$S12,"-")</f>
        <v>-12033.595600499997</v>
      </c>
      <c r="BL71" s="345">
        <f>IFERROR('WL (9)'!$S12,"-")</f>
        <v>-15922.609019999991</v>
      </c>
      <c r="BM71" s="345">
        <f>IFERROR('WL (10)'!$S12,"-")</f>
        <v>-16910.400505499994</v>
      </c>
      <c r="BN71" s="345">
        <f>IFERROR('WL (11)'!$S12,"-")</f>
        <v>-16268.350493999995</v>
      </c>
      <c r="BO71" s="345">
        <f>IFERROR('WL (12)'!$S12,"-")</f>
        <v>-11078.470324500002</v>
      </c>
      <c r="BP71" s="345" t="str">
        <f>IFERROR('WL (13)'!$S12,"-")</f>
        <v xml:space="preserve">  </v>
      </c>
      <c r="BQ71" s="345" t="str">
        <f>IFERROR('WL (14)'!$S12,"-")</f>
        <v xml:space="preserve">  </v>
      </c>
      <c r="BR71" s="345" t="str">
        <f>IFERROR('WL (15)'!$S12,"-")</f>
        <v xml:space="preserve">  </v>
      </c>
      <c r="BS71" s="345" t="str">
        <f>IFERROR('WL (16)'!$S12,"-")</f>
        <v xml:space="preserve">  </v>
      </c>
      <c r="BT71" s="345" t="str">
        <f>IFERROR('WL (17)'!$S12,"-")</f>
        <v xml:space="preserve">  </v>
      </c>
      <c r="BU71" s="345" t="str">
        <f>IFERROR('WL (18)'!$S12,"-")</f>
        <v xml:space="preserve">  </v>
      </c>
      <c r="BV71" s="345" t="str">
        <f>IFERROR('WL (19)'!$S12,"-")</f>
        <v xml:space="preserve">  </v>
      </c>
      <c r="BW71" s="345" t="str">
        <f>IFERROR('WL (20)'!$S12,"-")</f>
        <v xml:space="preserve">  </v>
      </c>
      <c r="BX71" s="345" t="str">
        <f>IFERROR('WL (21)'!$S12,"-")</f>
        <v xml:space="preserve">  </v>
      </c>
      <c r="BY71" s="345" t="str">
        <f>IFERROR('WL (22)'!$S12,"-")</f>
        <v xml:space="preserve">  </v>
      </c>
      <c r="BZ71" s="345" t="str">
        <f>IFERROR('WL (23)'!$S12,"-")</f>
        <v xml:space="preserve">  </v>
      </c>
      <c r="CA71" s="345" t="str">
        <f>IFERROR('WL (24)'!$S12,"-")</f>
        <v xml:space="preserve">  </v>
      </c>
      <c r="CB71" s="345" t="str">
        <f>IFERROR('WL (25)'!$S12,"-")</f>
        <v xml:space="preserve">  </v>
      </c>
      <c r="CD71" s="418" t="s">
        <v>144</v>
      </c>
      <c r="CE71" s="143"/>
      <c r="CF71" s="143"/>
      <c r="CG71" s="177" t="s">
        <v>160</v>
      </c>
      <c r="CH71" s="143"/>
      <c r="CI71" s="143"/>
      <c r="CJ71" s="143"/>
      <c r="CM71" s="262">
        <v>10</v>
      </c>
      <c r="CN71" s="262">
        <f t="shared" si="111"/>
        <v>6</v>
      </c>
      <c r="CO71" s="262">
        <f t="shared" si="112"/>
        <v>6</v>
      </c>
      <c r="CP71" s="262" t="str">
        <f t="shared" si="113"/>
        <v>WL 6</v>
      </c>
      <c r="CQ71" s="262">
        <f t="shared" ref="CQ71" si="135">CO71*WLS</f>
        <v>10.8</v>
      </c>
      <c r="CR71" s="262">
        <f t="shared" si="115"/>
        <v>10.8</v>
      </c>
      <c r="CS71" s="262"/>
      <c r="CT71" s="325">
        <v>10</v>
      </c>
      <c r="CU71" s="262" t="str">
        <f t="shared" ref="CU71" si="136">IF(CT71&lt;=(No_of_BTKs+1),CT71," ")</f>
        <v xml:space="preserve"> </v>
      </c>
      <c r="CV71" s="262" t="str">
        <f t="shared" ref="CV71" si="137">IF(CU71&lt;=No_of_BTKs,CONCATENATE("BTK ",CU71),IF(CU71=No_of_BTKs+1,"SIDE"," "))</f>
        <v xml:space="preserve"> </v>
      </c>
      <c r="CW71" s="262" t="e">
        <f t="shared" ref="CW71" si="138">-BREADTH/2/(No_of_BTKs+1)*CU71</f>
        <v>#VALUE!</v>
      </c>
      <c r="CX71" s="262" t="e">
        <f t="shared" si="119"/>
        <v>#VALUE!</v>
      </c>
      <c r="CY71" s="262" t="e">
        <f t="shared" ref="CY71" si="139">BREADTH/2/(No_of_BTKs+1)*CU71</f>
        <v>#VALUE!</v>
      </c>
      <c r="CZ71" s="262" t="e">
        <f t="shared" si="121"/>
        <v>#VALUE!</v>
      </c>
      <c r="DA71" s="262"/>
      <c r="DB71" s="325">
        <f t="shared" si="122"/>
        <v>7</v>
      </c>
      <c r="DC71" s="262" t="str">
        <f t="shared" si="123"/>
        <v>STN 7</v>
      </c>
      <c r="DD71" s="262">
        <f t="shared" si="124"/>
        <v>7</v>
      </c>
      <c r="DE71" s="262">
        <f t="shared" si="125"/>
        <v>7</v>
      </c>
    </row>
    <row r="72" spans="1:142" x14ac:dyDescent="0.25">
      <c r="A72" s="341">
        <f t="shared" si="129"/>
        <v>1</v>
      </c>
      <c r="B72" s="336">
        <f t="array" ref="B72:Z72">TRANSPOSE('Stn(3)'!D4:D28)</f>
        <v>0</v>
      </c>
      <c r="C72" s="336">
        <v>0</v>
      </c>
      <c r="D72" s="336">
        <v>0</v>
      </c>
      <c r="E72" s="336">
        <v>0</v>
      </c>
      <c r="F72" s="336">
        <v>0</v>
      </c>
      <c r="G72" s="336">
        <v>0</v>
      </c>
      <c r="H72" s="336">
        <v>0</v>
      </c>
      <c r="I72" s="336">
        <v>7.3440000000000039</v>
      </c>
      <c r="J72" s="336">
        <v>23.755999999999997</v>
      </c>
      <c r="K72" s="336">
        <v>36.741</v>
      </c>
      <c r="L72" s="336">
        <v>75.516000000000005</v>
      </c>
      <c r="M72" s="336">
        <v>112.45169999999999</v>
      </c>
      <c r="N72" s="336" t="str">
        <v xml:space="preserve"> </v>
      </c>
      <c r="O72" s="336" t="str">
        <v xml:space="preserve"> </v>
      </c>
      <c r="P72" s="336" t="str">
        <v xml:space="preserve"> </v>
      </c>
      <c r="Q72" s="336" t="str">
        <v xml:space="preserve"> </v>
      </c>
      <c r="R72" s="336" t="str">
        <v xml:space="preserve"> </v>
      </c>
      <c r="S72" s="336" t="str">
        <v xml:space="preserve"> </v>
      </c>
      <c r="T72" s="336" t="str">
        <v xml:space="preserve"> </v>
      </c>
      <c r="U72" s="336" t="str">
        <v xml:space="preserve"> </v>
      </c>
      <c r="V72" s="336" t="str">
        <v xml:space="preserve"> </v>
      </c>
      <c r="W72" s="336" t="str">
        <v xml:space="preserve"> </v>
      </c>
      <c r="X72" s="336" t="str">
        <v xml:space="preserve"> </v>
      </c>
      <c r="Y72" s="336" t="str">
        <v xml:space="preserve"> </v>
      </c>
      <c r="Z72" s="336" t="str">
        <v xml:space="preserve"> </v>
      </c>
      <c r="AB72" s="337">
        <f t="shared" si="127"/>
        <v>1</v>
      </c>
      <c r="AC72" s="338">
        <f t="array" ref="AC72:BA72">TRANSPOSE('Stn(3)'!E4:E28)</f>
        <v>0</v>
      </c>
      <c r="AD72" s="338">
        <v>0</v>
      </c>
      <c r="AE72" s="338">
        <v>0</v>
      </c>
      <c r="AF72" s="338">
        <v>0</v>
      </c>
      <c r="AG72" s="338">
        <v>0</v>
      </c>
      <c r="AH72" s="338">
        <v>0</v>
      </c>
      <c r="AI72" s="338">
        <v>0</v>
      </c>
      <c r="AJ72" s="338">
        <v>63.158400000000036</v>
      </c>
      <c r="AK72" s="338">
        <v>220.43346666666662</v>
      </c>
      <c r="AL72" s="338">
        <v>356.19749999999999</v>
      </c>
      <c r="AM72" s="338">
        <v>810.66960000000006</v>
      </c>
      <c r="AN72" s="338">
        <v>1305.6634709999998</v>
      </c>
      <c r="AO72" s="338" t="str">
        <v xml:space="preserve"> </v>
      </c>
      <c r="AP72" s="338" t="str">
        <v xml:space="preserve"> </v>
      </c>
      <c r="AQ72" s="338" t="str">
        <v xml:space="preserve"> </v>
      </c>
      <c r="AR72" s="338" t="str">
        <v xml:space="preserve"> </v>
      </c>
      <c r="AS72" s="338" t="str">
        <v xml:space="preserve"> </v>
      </c>
      <c r="AT72" s="338" t="str">
        <v xml:space="preserve"> </v>
      </c>
      <c r="AU72" s="338" t="str">
        <v xml:space="preserve"> </v>
      </c>
      <c r="AV72" s="338" t="str">
        <v xml:space="preserve"> </v>
      </c>
      <c r="AW72" s="338" t="str">
        <v xml:space="preserve"> </v>
      </c>
      <c r="AX72" s="338" t="str">
        <v xml:space="preserve"> </v>
      </c>
      <c r="AY72" s="338" t="str">
        <v xml:space="preserve"> </v>
      </c>
      <c r="AZ72" s="338" t="str">
        <v xml:space="preserve"> </v>
      </c>
      <c r="BA72" s="338" t="str">
        <v xml:space="preserve"> </v>
      </c>
      <c r="BC72" s="347" t="s">
        <v>39</v>
      </c>
      <c r="BD72" s="345">
        <f>IFERROR('WL (1)'!$S13,"-")</f>
        <v>4.7916583273766973</v>
      </c>
      <c r="BE72" s="345">
        <f>IFERROR('WL (2)'!$S13,"-")</f>
        <v>1.9984394035190518</v>
      </c>
      <c r="BF72" s="345">
        <f>IFERROR('WL (3)'!$S13,"-")</f>
        <v>2.1788151098142818</v>
      </c>
      <c r="BG72" s="345">
        <f>IFERROR('WL (4)'!$S13,"-")</f>
        <v>2.0065402713090097</v>
      </c>
      <c r="BH72" s="345">
        <f>IFERROR('WL (5)'!$S13,"-")</f>
        <v>1.503245710564139</v>
      </c>
      <c r="BI72" s="345">
        <f>IFERROR('WL (6)'!$S13,"-")</f>
        <v>-0.25959670018150932</v>
      </c>
      <c r="BJ72" s="345">
        <f>IFERROR('WL (7)'!$S13,"-")</f>
        <v>-2.3232613111377729</v>
      </c>
      <c r="BK72" s="345">
        <f>IFERROR('WL (8)'!$S13,"-")</f>
        <v>-4.7585069872406907</v>
      </c>
      <c r="BL72" s="345">
        <f>IFERROR('WL (9)'!$S13,"-")</f>
        <v>-5.9672469361868012</v>
      </c>
      <c r="BM72" s="345">
        <f>IFERROR('WL (10)'!$S13,"-")</f>
        <v>-6.1812437016592305</v>
      </c>
      <c r="BN72" s="345">
        <f>IFERROR('WL (11)'!$S13,"-")</f>
        <v>-5.6844444444444457</v>
      </c>
      <c r="BO72" s="345">
        <f>IFERROR('WL (12)'!$S13,"-")</f>
        <v>-3.6822691987801508</v>
      </c>
      <c r="BP72" s="345" t="str">
        <f>IFERROR('WL (13)'!$S13,"-")</f>
        <v xml:space="preserve">  </v>
      </c>
      <c r="BQ72" s="345" t="str">
        <f>IFERROR('WL (14)'!$S13,"-")</f>
        <v xml:space="preserve">  </v>
      </c>
      <c r="BR72" s="345" t="str">
        <f>IFERROR('WL (15)'!$S13,"-")</f>
        <v xml:space="preserve">  </v>
      </c>
      <c r="BS72" s="345" t="str">
        <f>IFERROR('WL (16)'!$S13,"-")</f>
        <v xml:space="preserve">  </v>
      </c>
      <c r="BT72" s="345" t="str">
        <f>IFERROR('WL (17)'!$S13,"-")</f>
        <v xml:space="preserve">  </v>
      </c>
      <c r="BU72" s="345" t="str">
        <f>IFERROR('WL (18)'!$S13,"-")</f>
        <v xml:space="preserve">  </v>
      </c>
      <c r="BV72" s="345" t="str">
        <f>IFERROR('WL (19)'!$S13,"-")</f>
        <v xml:space="preserve">  </v>
      </c>
      <c r="BW72" s="345" t="str">
        <f>IFERROR('WL (20)'!$S13,"-")</f>
        <v xml:space="preserve">  </v>
      </c>
      <c r="BX72" s="345" t="str">
        <f>IFERROR('WL (21)'!$S13,"-")</f>
        <v xml:space="preserve">  </v>
      </c>
      <c r="BY72" s="345" t="str">
        <f>IFERROR('WL (22)'!$S13,"-")</f>
        <v xml:space="preserve">  </v>
      </c>
      <c r="BZ72" s="345" t="str">
        <f>IFERROR('WL (23)'!$S13,"-")</f>
        <v xml:space="preserve">  </v>
      </c>
      <c r="CA72" s="345" t="str">
        <f>IFERROR('WL (24)'!$S13,"-")</f>
        <v xml:space="preserve">  </v>
      </c>
      <c r="CB72" s="345" t="str">
        <f>IFERROR('WL (25)'!$S13,"-")</f>
        <v xml:space="preserve">  </v>
      </c>
      <c r="CD72" s="168" t="str">
        <f>IFERROR(CONCATENATE("Zoom Window -1,",-DEPTH/10," ",20,",",DEPTH*1.1," "),"")</f>
        <v xml:space="preserve">Zoom Window -1,-1.419 20,15.609 </v>
      </c>
      <c r="CE72" s="160" t="str">
        <f>CONCATENATE(Tools!F198,Tools!G198,Tools!H198,Tools!I198,Tools!J198,Tools!K198,Tools!L198,Tools!M198,Tools!N198,Tools!O198,Tools!P198,Tools!Q198,Tools!R198,Tools!S198,Tools!T198,Tools!U198,Tools!V198,Tools!W198,Tools!X198,Tools!Y198,Tools!Z198,Tools!AA198,Tools!AB198,Tools!AC198,Tools!AD198,Tools!AE198," ")</f>
        <v xml:space="preserve">Spline 3.433,0.9 2.081,1.8 1.546,2.7 1.232,3.6 0.885,5.4 0.708,7.2 0.601,9 0.552,10.1 0.525,10.8 0.464,12.6 0.436,14.19  </v>
      </c>
      <c r="CF72" s="143"/>
      <c r="CG72" s="149"/>
      <c r="CH72" s="158" t="s">
        <v>161</v>
      </c>
      <c r="CI72" s="152">
        <v>1</v>
      </c>
      <c r="CJ72" s="178"/>
      <c r="CM72" s="262">
        <v>11</v>
      </c>
      <c r="CN72" s="262">
        <f t="shared" si="111"/>
        <v>7</v>
      </c>
      <c r="CO72" s="262">
        <f t="shared" si="112"/>
        <v>7</v>
      </c>
      <c r="CP72" s="262" t="str">
        <f t="shared" si="113"/>
        <v>WL 7</v>
      </c>
      <c r="CQ72" s="262">
        <f t="shared" ref="CQ72" si="140">CO72*WLS</f>
        <v>12.6</v>
      </c>
      <c r="CR72" s="262">
        <f t="shared" si="115"/>
        <v>12.6</v>
      </c>
      <c r="CS72" s="262"/>
      <c r="CT72" s="262"/>
      <c r="CU72" s="262"/>
      <c r="CV72" s="262" t="s">
        <v>254</v>
      </c>
      <c r="CW72" s="262">
        <v>0</v>
      </c>
      <c r="CX72" s="262">
        <v>0</v>
      </c>
      <c r="CY72" s="262"/>
      <c r="CZ72" s="262"/>
      <c r="DA72" s="262"/>
      <c r="DB72" s="325">
        <f t="shared" si="122"/>
        <v>8</v>
      </c>
      <c r="DC72" s="262" t="str">
        <f t="shared" si="123"/>
        <v>STN 8</v>
      </c>
      <c r="DD72" s="262">
        <f t="shared" si="124"/>
        <v>8</v>
      </c>
      <c r="DE72" s="262">
        <f t="shared" si="125"/>
        <v>8</v>
      </c>
    </row>
    <row r="73" spans="1:142" x14ac:dyDescent="0.25">
      <c r="A73" s="341">
        <f t="shared" si="129"/>
        <v>1.5</v>
      </c>
      <c r="B73" s="336">
        <f t="array" ref="B73:Z73">TRANSPOSE('Stn(4)'!D4:D28)</f>
        <v>0</v>
      </c>
      <c r="C73" s="336">
        <v>0</v>
      </c>
      <c r="D73" s="336">
        <v>0</v>
      </c>
      <c r="E73" s="336">
        <v>0.30000000000000004</v>
      </c>
      <c r="F73" s="336">
        <v>1.29</v>
      </c>
      <c r="G73" s="336">
        <v>4.5</v>
      </c>
      <c r="H73" s="336">
        <v>10.77</v>
      </c>
      <c r="I73" s="336">
        <v>27.720000000000002</v>
      </c>
      <c r="J73" s="336">
        <v>48.278999999999996</v>
      </c>
      <c r="K73" s="336">
        <v>67.626000000000005</v>
      </c>
      <c r="L73" s="336">
        <v>103.848</v>
      </c>
      <c r="M73" s="336">
        <v>141.80129999999997</v>
      </c>
      <c r="N73" s="336" t="str">
        <v xml:space="preserve"> </v>
      </c>
      <c r="O73" s="336" t="str">
        <v xml:space="preserve"> </v>
      </c>
      <c r="P73" s="336" t="str">
        <v xml:space="preserve"> </v>
      </c>
      <c r="Q73" s="336" t="str">
        <v xml:space="preserve"> </v>
      </c>
      <c r="R73" s="336" t="str">
        <v xml:space="preserve"> </v>
      </c>
      <c r="S73" s="336" t="str">
        <v xml:space="preserve"> </v>
      </c>
      <c r="T73" s="336" t="str">
        <v xml:space="preserve"> </v>
      </c>
      <c r="U73" s="336" t="str">
        <v xml:space="preserve"> </v>
      </c>
      <c r="V73" s="336" t="str">
        <v xml:space="preserve"> </v>
      </c>
      <c r="W73" s="336" t="str">
        <v xml:space="preserve"> </v>
      </c>
      <c r="X73" s="336" t="str">
        <v xml:space="preserve"> </v>
      </c>
      <c r="Y73" s="336" t="str">
        <v xml:space="preserve"> </v>
      </c>
      <c r="Z73" s="336" t="str">
        <v xml:space="preserve"> </v>
      </c>
      <c r="AB73" s="337">
        <f t="shared" si="127"/>
        <v>1.5</v>
      </c>
      <c r="AC73" s="338">
        <f t="array" ref="AC73:BA73">TRANSPOSE('Stn(4)'!E4:E28)</f>
        <v>0</v>
      </c>
      <c r="AD73" s="338">
        <v>0</v>
      </c>
      <c r="AE73" s="338">
        <v>0</v>
      </c>
      <c r="AF73" s="338">
        <v>0.7350000000000001</v>
      </c>
      <c r="AG73" s="338">
        <v>3.8940000000000001</v>
      </c>
      <c r="AH73" s="338">
        <v>18.609000000000002</v>
      </c>
      <c r="AI73" s="338">
        <v>58.757999999999996</v>
      </c>
      <c r="AJ73" s="338">
        <v>201.66900000000001</v>
      </c>
      <c r="AK73" s="338">
        <v>398.32809999999995</v>
      </c>
      <c r="AL73" s="338">
        <v>588.56280000000004</v>
      </c>
      <c r="AM73" s="338">
        <v>1030.8065999999999</v>
      </c>
      <c r="AN73" s="338">
        <v>1539.3300989999996</v>
      </c>
      <c r="AO73" s="338" t="str">
        <v xml:space="preserve"> </v>
      </c>
      <c r="AP73" s="338" t="str">
        <v xml:space="preserve"> </v>
      </c>
      <c r="AQ73" s="338" t="str">
        <v xml:space="preserve"> </v>
      </c>
      <c r="AR73" s="338" t="str">
        <v xml:space="preserve"> </v>
      </c>
      <c r="AS73" s="338" t="str">
        <v xml:space="preserve"> </v>
      </c>
      <c r="AT73" s="338" t="str">
        <v xml:space="preserve"> </v>
      </c>
      <c r="AU73" s="338" t="str">
        <v xml:space="preserve"> </v>
      </c>
      <c r="AV73" s="338" t="str">
        <v xml:space="preserve"> </v>
      </c>
      <c r="AW73" s="338" t="str">
        <v xml:space="preserve"> </v>
      </c>
      <c r="AX73" s="338" t="str">
        <v xml:space="preserve"> </v>
      </c>
      <c r="AY73" s="338" t="str">
        <v xml:space="preserve"> </v>
      </c>
      <c r="AZ73" s="338" t="str">
        <v xml:space="preserve"> </v>
      </c>
      <c r="BA73" s="338" t="str">
        <v xml:space="preserve"> </v>
      </c>
      <c r="BC73" s="347" t="s">
        <v>42</v>
      </c>
      <c r="BD73" s="345">
        <f>IFERROR('WL (1)'!$S14,"-")</f>
        <v>333054.14949539979</v>
      </c>
      <c r="BE73" s="345">
        <f>IFERROR('WL (2)'!$S14,"-")</f>
        <v>782502.11995985964</v>
      </c>
      <c r="BF73" s="345">
        <f>IFERROR('WL (3)'!$S14,"-")</f>
        <v>1035450.8072643819</v>
      </c>
      <c r="BG73" s="345">
        <f>IFERROR('WL (4)'!$S14,"-")</f>
        <v>1225088.5581777706</v>
      </c>
      <c r="BH73" s="345">
        <f>IFERROR('WL (5)'!$S14,"-")</f>
        <v>1376876.996937427</v>
      </c>
      <c r="BI73" s="345">
        <f>IFERROR('WL (6)'!$S14,"-")</f>
        <v>1680432.9348382868</v>
      </c>
      <c r="BJ73" s="345">
        <f>IFERROR('WL (7)'!$S14,"-")</f>
        <v>1992753.054862356</v>
      </c>
      <c r="BK73" s="345">
        <f>IFERROR('WL (8)'!$S14,"-")</f>
        <v>2523074.5907945647</v>
      </c>
      <c r="BL73" s="345">
        <f>IFERROR('WL (9)'!$S14,"-")</f>
        <v>2961420.7562758448</v>
      </c>
      <c r="BM73" s="345">
        <f>IFERROR('WL (10)'!$S14,"-")</f>
        <v>3168963.7845677994</v>
      </c>
      <c r="BN73" s="345">
        <f>IFERROR('WL (11)'!$S14,"-")</f>
        <v>3537504.8765351535</v>
      </c>
      <c r="BO73" s="345">
        <f>IFERROR('WL (12)'!$S14,"-")</f>
        <v>3917625.5775067406</v>
      </c>
      <c r="BP73" s="345" t="str">
        <f>IFERROR('WL (13)'!$S14,"-")</f>
        <v xml:space="preserve">  </v>
      </c>
      <c r="BQ73" s="345" t="str">
        <f>IFERROR('WL (14)'!$S14,"-")</f>
        <v xml:space="preserve">  </v>
      </c>
      <c r="BR73" s="345" t="str">
        <f>IFERROR('WL (15)'!$S14,"-")</f>
        <v xml:space="preserve">  </v>
      </c>
      <c r="BS73" s="345" t="str">
        <f>IFERROR('WL (16)'!$S14,"-")</f>
        <v xml:space="preserve">  </v>
      </c>
      <c r="BT73" s="345" t="str">
        <f>IFERROR('WL (17)'!$S14,"-")</f>
        <v xml:space="preserve">  </v>
      </c>
      <c r="BU73" s="345" t="str">
        <f>IFERROR('WL (18)'!$S14,"-")</f>
        <v xml:space="preserve">  </v>
      </c>
      <c r="BV73" s="345" t="str">
        <f>IFERROR('WL (19)'!$S14,"-")</f>
        <v xml:space="preserve">  </v>
      </c>
      <c r="BW73" s="345" t="str">
        <f>IFERROR('WL (20)'!$S14,"-")</f>
        <v xml:space="preserve">  </v>
      </c>
      <c r="BX73" s="345" t="str">
        <f>IFERROR('WL (21)'!$S14,"-")</f>
        <v xml:space="preserve">  </v>
      </c>
      <c r="BY73" s="345" t="str">
        <f>IFERROR('WL (22)'!$S14,"-")</f>
        <v xml:space="preserve">  </v>
      </c>
      <c r="BZ73" s="345" t="str">
        <f>IFERROR('WL (23)'!$S14,"-")</f>
        <v xml:space="preserve">  </v>
      </c>
      <c r="CA73" s="345" t="str">
        <f>IFERROR('WL (24)'!$S14,"-")</f>
        <v xml:space="preserve">  </v>
      </c>
      <c r="CB73" s="345" t="str">
        <f>IFERROR('WL (25)'!$S14,"-")</f>
        <v xml:space="preserve">  </v>
      </c>
      <c r="CD73" s="171" t="str">
        <f>CONCATENATE(Tools!F187,Tools!G187,Tools!H187,Tools!I187,Tools!J187,Tools!K187,Tools!L187,Tools!M187,Tools!N187,Tools!O187,Tools!P187,Tools!Q187,Tools!R187,Tools!S187,Tools!T187,Tools!U187,Tools!V187,Tools!W187,Tools!X187,Tools!Y187,Tools!Z187,Tools!AA187,Tools!AB187,Tools!AC187,Tools!AD187,Tools!AE187," ")</f>
        <v xml:space="preserve">Spline 10.86,0 11.423,0.9 11.67,1.8 11.833,2.7 11.955,3.6 12.153,5.4 12.323,7.2 12.529,9 12.668,10.1 12.736,10.8 12.862,12.6 13.009,14.19  </v>
      </c>
      <c r="CE73" s="163" t="str">
        <f>CONCATENATE(Tools!F199,Tools!G199,Tools!H199,Tools!I199,Tools!J199,Tools!K199,Tools!L199,Tools!M199,Tools!N199,Tools!O199,Tools!P199,Tools!Q199,Tools!R199,Tools!S199,Tools!T199,Tools!U199,Tools!V199,Tools!W199,Tools!X199,Tools!Y199,Tools!Z199,Tools!AA199,Tools!AB199,Tools!AC199,Tools!AD199,Tools!AE199," ")</f>
        <v xml:space="preserve">Spline 0.486,0.9 0.989,1.8 1.486,2.7 1.98,3.6 2.974,5.4 3.971,7.2 4.982,9 5.613,10.1 6.019,10.8 7.058,12.6 7.975,14.19  </v>
      </c>
      <c r="CF73" s="143"/>
      <c r="CG73" s="143"/>
      <c r="CH73" s="158" t="s">
        <v>152</v>
      </c>
      <c r="CI73" s="152">
        <v>1</v>
      </c>
      <c r="CJ73" s="178" t="s">
        <v>153</v>
      </c>
      <c r="CM73" s="262">
        <v>12</v>
      </c>
      <c r="CN73" s="262" t="str">
        <f t="shared" si="111"/>
        <v>MDK</v>
      </c>
      <c r="CO73" s="262">
        <f t="shared" si="112"/>
        <v>7.8833333333333329</v>
      </c>
      <c r="CP73" s="262" t="str">
        <f t="shared" si="113"/>
        <v>MDK</v>
      </c>
      <c r="CQ73" s="262">
        <f t="shared" ref="CQ73" si="141">CO73*WLS</f>
        <v>14.19</v>
      </c>
      <c r="CR73" s="262">
        <f t="shared" si="115"/>
        <v>14.19</v>
      </c>
      <c r="CS73" s="262"/>
      <c r="CT73" s="262"/>
      <c r="CU73" s="262"/>
      <c r="CV73" s="262"/>
      <c r="CW73" s="262"/>
      <c r="CX73" s="262"/>
      <c r="CY73" s="262"/>
      <c r="CZ73" s="262"/>
      <c r="DA73" s="262"/>
      <c r="DB73" s="325">
        <f t="shared" si="122"/>
        <v>9</v>
      </c>
      <c r="DC73" s="262" t="str">
        <f t="shared" si="123"/>
        <v>STN 9</v>
      </c>
      <c r="DD73" s="262">
        <f t="shared" si="124"/>
        <v>9</v>
      </c>
      <c r="DE73" s="262">
        <f t="shared" si="125"/>
        <v>9</v>
      </c>
    </row>
    <row r="74" spans="1:142" x14ac:dyDescent="0.25">
      <c r="A74" s="341">
        <f t="shared" si="129"/>
        <v>2</v>
      </c>
      <c r="B74" s="336">
        <f t="array" ref="B74:Z74">TRANSPOSE('Stn(5)'!D4:D28)</f>
        <v>0</v>
      </c>
      <c r="C74" s="336">
        <v>0.13200000000000001</v>
      </c>
      <c r="D74" s="336">
        <v>1.4550000000000001</v>
      </c>
      <c r="E74" s="336">
        <v>3.7680000000000002</v>
      </c>
      <c r="F74" s="336">
        <v>6.6989999999999998</v>
      </c>
      <c r="G74" s="336">
        <v>14.102999999999998</v>
      </c>
      <c r="H74" s="336">
        <v>28.298999999999999</v>
      </c>
      <c r="I74" s="336">
        <v>55.623000000000005</v>
      </c>
      <c r="J74" s="336">
        <v>78.502999999999986</v>
      </c>
      <c r="K74" s="336">
        <v>96.026999999999987</v>
      </c>
      <c r="L74" s="336">
        <v>136.33499999999998</v>
      </c>
      <c r="M74" s="336">
        <v>174.81299999999996</v>
      </c>
      <c r="N74" s="336" t="str">
        <v xml:space="preserve"> </v>
      </c>
      <c r="O74" s="336" t="str">
        <v xml:space="preserve"> </v>
      </c>
      <c r="P74" s="336" t="str">
        <v xml:space="preserve"> </v>
      </c>
      <c r="Q74" s="336" t="str">
        <v xml:space="preserve"> </v>
      </c>
      <c r="R74" s="336" t="str">
        <v xml:space="preserve"> </v>
      </c>
      <c r="S74" s="336" t="str">
        <v xml:space="preserve"> </v>
      </c>
      <c r="T74" s="336" t="str">
        <v xml:space="preserve"> </v>
      </c>
      <c r="U74" s="336" t="str">
        <v xml:space="preserve"> </v>
      </c>
      <c r="V74" s="336" t="str">
        <v xml:space="preserve"> </v>
      </c>
      <c r="W74" s="336" t="str">
        <v xml:space="preserve"> </v>
      </c>
      <c r="X74" s="336" t="str">
        <v xml:space="preserve"> </v>
      </c>
      <c r="Y74" s="336" t="str">
        <v xml:space="preserve"> </v>
      </c>
      <c r="Z74" s="336" t="str">
        <v xml:space="preserve"> </v>
      </c>
      <c r="AB74" s="337">
        <f t="shared" si="127"/>
        <v>2</v>
      </c>
      <c r="AC74" s="338">
        <f t="array" ref="AC74:BA74">TRANSPOSE('Stn(5)'!E4:E28)</f>
        <v>0</v>
      </c>
      <c r="AD74" s="338">
        <v>0.10428000000000001</v>
      </c>
      <c r="AE74" s="338">
        <v>1.9767300000000001</v>
      </c>
      <c r="AF74" s="338">
        <v>7.2430800000000009</v>
      </c>
      <c r="AG74" s="338">
        <v>16.49193</v>
      </c>
      <c r="AH74" s="338">
        <v>51.095130000000012</v>
      </c>
      <c r="AI74" s="338">
        <v>141.33993000000001</v>
      </c>
      <c r="AJ74" s="338">
        <v>365.59113000000002</v>
      </c>
      <c r="AK74" s="338">
        <v>584.29679666666652</v>
      </c>
      <c r="AL74" s="338">
        <v>763.50632999999993</v>
      </c>
      <c r="AM74" s="338">
        <v>1241.81673</v>
      </c>
      <c r="AN74" s="338">
        <v>1757.3138099999996</v>
      </c>
      <c r="AO74" s="338" t="str">
        <v xml:space="preserve"> </v>
      </c>
      <c r="AP74" s="338" t="str">
        <v xml:space="preserve"> </v>
      </c>
      <c r="AQ74" s="338" t="str">
        <v xml:space="preserve"> </v>
      </c>
      <c r="AR74" s="338" t="str">
        <v xml:space="preserve"> </v>
      </c>
      <c r="AS74" s="338" t="str">
        <v xml:space="preserve"> </v>
      </c>
      <c r="AT74" s="338" t="str">
        <v xml:space="preserve"> </v>
      </c>
      <c r="AU74" s="338" t="str">
        <v xml:space="preserve"> </v>
      </c>
      <c r="AV74" s="338" t="str">
        <v xml:space="preserve"> </v>
      </c>
      <c r="AW74" s="338" t="str">
        <v xml:space="preserve"> </v>
      </c>
      <c r="AX74" s="338" t="str">
        <v xml:space="preserve"> </v>
      </c>
      <c r="AY74" s="338" t="str">
        <v xml:space="preserve"> </v>
      </c>
      <c r="AZ74" s="338" t="str">
        <v xml:space="preserve"> </v>
      </c>
      <c r="BA74" s="338" t="str">
        <v xml:space="preserve"> </v>
      </c>
      <c r="BC74" s="348" t="s">
        <v>44</v>
      </c>
      <c r="BD74" s="345">
        <f>IFERROR('WL (1)'!$S15,"-")</f>
        <v>12489.446398926664</v>
      </c>
      <c r="BE74" s="345">
        <f>IFERROR('WL (2)'!$S15,"-")</f>
        <v>35996.366480268327</v>
      </c>
      <c r="BF74" s="345">
        <f>IFERROR('WL (3)'!$S15,"-")</f>
        <v>51280.579929635009</v>
      </c>
      <c r="BG74" s="345">
        <f>IFERROR('WL (4)'!$S15,"-")</f>
        <v>62290.377416821662</v>
      </c>
      <c r="BH74" s="345">
        <f>IFERROR('WL (5)'!$S15,"-")</f>
        <v>70826.924393716676</v>
      </c>
      <c r="BI74" s="345">
        <f>IFERROR('WL (6)'!$S15,"-")</f>
        <v>83572.881411993309</v>
      </c>
      <c r="BJ74" s="345">
        <f>IFERROR('WL (7)'!$S15,"-")</f>
        <v>95489.11782915167</v>
      </c>
      <c r="BK74" s="345">
        <f>IFERROR('WL (8)'!$S15,"-")</f>
        <v>107149.78891980668</v>
      </c>
      <c r="BL74" s="345">
        <f>IFERROR('WL (9)'!$S15,"-")</f>
        <v>114190.61602195569</v>
      </c>
      <c r="BM74" s="345">
        <f>IFERROR('WL (10)'!$S15,"-")</f>
        <v>118613.43669851663</v>
      </c>
      <c r="BN74" s="345">
        <f>IFERROR('WL (11)'!$S15,"-")</f>
        <v>128165.72978681501</v>
      </c>
      <c r="BO74" s="345">
        <f>IFERROR('WL (12)'!$S15,"-")</f>
        <v>140814.88155053332</v>
      </c>
      <c r="BP74" s="345" t="str">
        <f>IFERROR('WL (13)'!$S15,"-")</f>
        <v xml:space="preserve">  </v>
      </c>
      <c r="BQ74" s="345" t="str">
        <f>IFERROR('WL (14)'!$S15,"-")</f>
        <v xml:space="preserve">  </v>
      </c>
      <c r="BR74" s="345" t="str">
        <f>IFERROR('WL (15)'!$S15,"-")</f>
        <v xml:space="preserve">  </v>
      </c>
      <c r="BS74" s="345" t="str">
        <f>IFERROR('WL (16)'!$S15,"-")</f>
        <v xml:space="preserve">  </v>
      </c>
      <c r="BT74" s="345" t="str">
        <f>IFERROR('WL (17)'!$S15,"-")</f>
        <v xml:space="preserve">  </v>
      </c>
      <c r="BU74" s="345" t="str">
        <f>IFERROR('WL (18)'!$S15,"-")</f>
        <v xml:space="preserve">  </v>
      </c>
      <c r="BV74" s="345" t="str">
        <f>IFERROR('WL (19)'!$S15,"-")</f>
        <v xml:space="preserve">  </v>
      </c>
      <c r="BW74" s="345" t="str">
        <f>IFERROR('WL (20)'!$S15,"-")</f>
        <v xml:space="preserve">  </v>
      </c>
      <c r="BX74" s="345" t="str">
        <f>IFERROR('WL (21)'!$S15,"-")</f>
        <v xml:space="preserve">  </v>
      </c>
      <c r="BY74" s="345" t="str">
        <f>IFERROR('WL (22)'!$S15,"-")</f>
        <v xml:space="preserve">  </v>
      </c>
      <c r="BZ74" s="345" t="str">
        <f>IFERROR('WL (23)'!$S15,"-")</f>
        <v xml:space="preserve">  </v>
      </c>
      <c r="CA74" s="345" t="str">
        <f>IFERROR('WL (24)'!$S15,"-")</f>
        <v xml:space="preserve">  </v>
      </c>
      <c r="CB74" s="345" t="str">
        <f>IFERROR('WL (25)'!$S15,"-")</f>
        <v xml:space="preserve">  </v>
      </c>
      <c r="CD74" s="171" t="str">
        <f>CONCATENATE(Tools!F188,Tools!G188,Tools!H188,Tools!I188,Tools!J188,Tools!K188,Tools!L188,Tools!M188,Tools!N188,Tools!O188,Tools!P188,Tools!Q188,Tools!R188,Tools!S188,Tools!T188,Tools!U188,Tools!V188,Tools!W188,Tools!X188,Tools!Y188,Tools!Z188,Tools!AA188,Tools!AB188,Tools!AC188,Tools!AD188,Tools!AE188," ")</f>
        <v xml:space="preserve">Spline 10.412,0 10.284,0.9 10.364,1.8 10.368,2.7 10.294,3.6 9.944,5.4 9.46,7.2 8.797,9 8.408,10.1 8.309,10.8 8.373,12.6 8.892,14.19  </v>
      </c>
      <c r="CE74" s="163" t="str">
        <f>CONCATENATE(Tools!F200,Tools!G200,Tools!H200,Tools!I200,Tools!J200,Tools!K200,Tools!L200,Tools!M200,Tools!N200,Tools!O200,Tools!P200,Tools!Q200,Tools!R200,Tools!S200,Tools!T200,Tools!U200,Tools!V200,Tools!W200,Tools!X200,Tools!Y200,Tools!Z200,Tools!AA200,Tools!AB200,Tools!AC200,Tools!AD200,Tools!AE200," ")</f>
        <v xml:space="preserve">Spline 3.482,0.9 2.18,1.8 1.695,2.7 1.43,3.6 1.182,5.4 1.105,7.2 1.099,9 1.113,10.1 1.127,10.8 1.17,12.6 1.234,14.19  </v>
      </c>
      <c r="CF74" s="143"/>
      <c r="CG74" s="143"/>
      <c r="CH74" s="143"/>
      <c r="CI74" s="143"/>
      <c r="CJ74" s="143"/>
      <c r="CM74" s="262">
        <v>13</v>
      </c>
      <c r="CN74" s="262">
        <f t="shared" si="111"/>
        <v>0</v>
      </c>
      <c r="CO74" s="262" t="str">
        <f t="shared" si="112"/>
        <v xml:space="preserve">  </v>
      </c>
      <c r="CP74" s="262" t="str">
        <f t="shared" si="113"/>
        <v xml:space="preserve"> </v>
      </c>
      <c r="CQ74" s="262" t="e">
        <f t="shared" ref="CQ74" si="142">CO74*WLS</f>
        <v>#VALUE!</v>
      </c>
      <c r="CR74" s="262" t="e">
        <f t="shared" si="115"/>
        <v>#VALUE!</v>
      </c>
      <c r="CS74" s="262"/>
      <c r="CT74" s="262"/>
      <c r="CU74" s="262"/>
      <c r="CV74" s="262"/>
      <c r="CW74" s="262" t="s">
        <v>255</v>
      </c>
      <c r="CX74" s="262"/>
      <c r="CY74" s="262"/>
      <c r="CZ74" s="262"/>
      <c r="DA74" s="262"/>
      <c r="DB74" s="325">
        <f t="shared" si="122"/>
        <v>10</v>
      </c>
      <c r="DC74" s="262" t="str">
        <f t="shared" si="123"/>
        <v>STN 10</v>
      </c>
      <c r="DD74" s="262">
        <f t="shared" si="124"/>
        <v>10</v>
      </c>
      <c r="DE74" s="262">
        <f t="shared" si="125"/>
        <v>10</v>
      </c>
    </row>
    <row r="75" spans="1:142" x14ac:dyDescent="0.25">
      <c r="A75" s="341">
        <f t="shared" si="129"/>
        <v>3</v>
      </c>
      <c r="B75" s="336">
        <f t="array" ref="B75:Z75">TRANSPOSE('Stn(6)'!D4:D28)</f>
        <v>0</v>
      </c>
      <c r="C75" s="336">
        <v>1.8839999999999997</v>
      </c>
      <c r="D75" s="336">
        <v>5.5679999999999996</v>
      </c>
      <c r="E75" s="336">
        <v>10.026</v>
      </c>
      <c r="F75" s="336">
        <v>15.288</v>
      </c>
      <c r="G75" s="336">
        <v>30.047999999999995</v>
      </c>
      <c r="H75" s="336">
        <v>58.007999999999996</v>
      </c>
      <c r="I75" s="336">
        <v>96.924000000000007</v>
      </c>
      <c r="J75" s="336">
        <v>122.14699999999999</v>
      </c>
      <c r="K75" s="336">
        <v>137.86799999999999</v>
      </c>
      <c r="L75" s="336">
        <v>182.316</v>
      </c>
      <c r="M75" s="336">
        <v>221.17559999999997</v>
      </c>
      <c r="N75" s="336" t="str">
        <v xml:space="preserve"> </v>
      </c>
      <c r="O75" s="336" t="str">
        <v xml:space="preserve"> </v>
      </c>
      <c r="P75" s="336" t="str">
        <v xml:space="preserve"> </v>
      </c>
      <c r="Q75" s="336" t="str">
        <v xml:space="preserve"> </v>
      </c>
      <c r="R75" s="336" t="str">
        <v xml:space="preserve"> </v>
      </c>
      <c r="S75" s="336" t="str">
        <v xml:space="preserve"> </v>
      </c>
      <c r="T75" s="336" t="str">
        <v xml:space="preserve"> </v>
      </c>
      <c r="U75" s="336" t="str">
        <v xml:space="preserve"> </v>
      </c>
      <c r="V75" s="336" t="str">
        <v xml:space="preserve"> </v>
      </c>
      <c r="W75" s="336" t="str">
        <v xml:space="preserve"> </v>
      </c>
      <c r="X75" s="336" t="str">
        <v xml:space="preserve"> </v>
      </c>
      <c r="Y75" s="336" t="str">
        <v xml:space="preserve"> </v>
      </c>
      <c r="Z75" s="336" t="str">
        <v xml:space="preserve"> </v>
      </c>
      <c r="AB75" s="337">
        <f t="shared" si="127"/>
        <v>3</v>
      </c>
      <c r="AC75" s="338">
        <f t="array" ref="AC75:BA75">TRANSPOSE('Stn(6)'!E4:E28)</f>
        <v>0</v>
      </c>
      <c r="AD75" s="338">
        <v>1.0327499999999998</v>
      </c>
      <c r="AE75" s="338">
        <v>6.0911999999999997</v>
      </c>
      <c r="AF75" s="338">
        <v>16.24455</v>
      </c>
      <c r="AG75" s="338">
        <v>32.767200000000003</v>
      </c>
      <c r="AH75" s="338">
        <v>101.56320000000001</v>
      </c>
      <c r="AI75" s="338">
        <v>277.71120000000002</v>
      </c>
      <c r="AJ75" s="338">
        <v>595.01520000000005</v>
      </c>
      <c r="AK75" s="338">
        <v>835.98963333333324</v>
      </c>
      <c r="AL75" s="338">
        <v>1001.268</v>
      </c>
      <c r="AM75" s="338">
        <v>1519.3656000000001</v>
      </c>
      <c r="AN75" s="338">
        <v>2039.8983689999998</v>
      </c>
      <c r="AO75" s="338" t="str">
        <v xml:space="preserve"> </v>
      </c>
      <c r="AP75" s="338" t="str">
        <v xml:space="preserve"> </v>
      </c>
      <c r="AQ75" s="338" t="str">
        <v xml:space="preserve"> </v>
      </c>
      <c r="AR75" s="338" t="str">
        <v xml:space="preserve"> </v>
      </c>
      <c r="AS75" s="338" t="str">
        <v xml:space="preserve"> </v>
      </c>
      <c r="AT75" s="338" t="str">
        <v xml:space="preserve"> </v>
      </c>
      <c r="AU75" s="338" t="str">
        <v xml:space="preserve"> </v>
      </c>
      <c r="AV75" s="338" t="str">
        <v xml:space="preserve"> </v>
      </c>
      <c r="AW75" s="338" t="str">
        <v xml:space="preserve"> </v>
      </c>
      <c r="AX75" s="338" t="str">
        <v xml:space="preserve"> </v>
      </c>
      <c r="AY75" s="338" t="str">
        <v xml:space="preserve"> </v>
      </c>
      <c r="AZ75" s="338" t="str">
        <v xml:space="preserve"> </v>
      </c>
      <c r="BA75" s="338" t="str">
        <v xml:space="preserve"> </v>
      </c>
      <c r="BC75" s="347" t="s">
        <v>47</v>
      </c>
      <c r="BD75" s="345">
        <f>IFERROR('WL (1)'!$S16,"-")</f>
        <v>313312.5673169372</v>
      </c>
      <c r="BE75" s="345">
        <f>IFERROR('WL (2)'!$S16,"-")</f>
        <v>776817.43525324424</v>
      </c>
      <c r="BF75" s="345">
        <f>IFERROR('WL (3)'!$S16,"-")</f>
        <v>1027522.8206150901</v>
      </c>
      <c r="BG75" s="345">
        <f>IFERROR('WL (4)'!$S16,"-")</f>
        <v>1217707.3752086912</v>
      </c>
      <c r="BH75" s="345">
        <f>IFERROR('WL (5)'!$S16,"-")</f>
        <v>1372459.6892020376</v>
      </c>
      <c r="BI75" s="345">
        <f>IFERROR('WL (6)'!$S16,"-")</f>
        <v>1680287.8736197532</v>
      </c>
      <c r="BJ75" s="345">
        <f>IFERROR('WL (7)'!$S16,"-")</f>
        <v>1980212.718124385</v>
      </c>
      <c r="BK75" s="345">
        <f>IFERROR('WL (8)'!$S16,"-")</f>
        <v>2465812.6420479566</v>
      </c>
      <c r="BL75" s="345">
        <f>IFERROR('WL (9)'!$S16,"-")</f>
        <v>2866406.6163851493</v>
      </c>
      <c r="BM75" s="345">
        <f>IFERROR('WL (10)'!$S16,"-")</f>
        <v>3064436.4779506424</v>
      </c>
      <c r="BN75" s="345">
        <f>IFERROR('WL (11)'!$S16,"-")</f>
        <v>3445028.3419492603</v>
      </c>
      <c r="BO75" s="345">
        <f>IFERROR('WL (12)'!$S16,"-")</f>
        <v>3876831.6674612341</v>
      </c>
      <c r="BP75" s="345" t="str">
        <f>IFERROR('WL (13)'!$S16,"-")</f>
        <v xml:space="preserve">  </v>
      </c>
      <c r="BQ75" s="345" t="str">
        <f>IFERROR('WL (14)'!$S16,"-")</f>
        <v xml:space="preserve">  </v>
      </c>
      <c r="BR75" s="345" t="str">
        <f>IFERROR('WL (15)'!$S16,"-")</f>
        <v xml:space="preserve">  </v>
      </c>
      <c r="BS75" s="345" t="str">
        <f>IFERROR('WL (16)'!$S16,"-")</f>
        <v xml:space="preserve">  </v>
      </c>
      <c r="BT75" s="345" t="str">
        <f>IFERROR('WL (17)'!$S16,"-")</f>
        <v xml:space="preserve">  </v>
      </c>
      <c r="BU75" s="345" t="str">
        <f>IFERROR('WL (18)'!$S16,"-")</f>
        <v xml:space="preserve">  </v>
      </c>
      <c r="BV75" s="345" t="str">
        <f>IFERROR('WL (19)'!$S16,"-")</f>
        <v xml:space="preserve">  </v>
      </c>
      <c r="BW75" s="345" t="str">
        <f>IFERROR('WL (20)'!$S16,"-")</f>
        <v xml:space="preserve">  </v>
      </c>
      <c r="BX75" s="345" t="str">
        <f>IFERROR('WL (21)'!$S16,"-")</f>
        <v xml:space="preserve">  </v>
      </c>
      <c r="BY75" s="345" t="str">
        <f>IFERROR('WL (22)'!$S16,"-")</f>
        <v xml:space="preserve">  </v>
      </c>
      <c r="BZ75" s="345" t="str">
        <f>IFERROR('WL (23)'!$S16,"-")</f>
        <v xml:space="preserve">  </v>
      </c>
      <c r="CA75" s="345" t="str">
        <f>IFERROR('WL (24)'!$S16,"-")</f>
        <v xml:space="preserve">  </v>
      </c>
      <c r="CB75" s="345" t="str">
        <f>IFERROR('WL (25)'!$S16,"-")</f>
        <v xml:space="preserve">  </v>
      </c>
      <c r="CD75" s="171" t="str">
        <f>CONCATENATE(Tools!F189,Tools!G189,Tools!H189,Tools!I189,Tools!J189,Tools!K189,Tools!L189,Tools!M189,Tools!N189,Tools!O189,Tools!P189,Tools!Q189,Tools!R189,Tools!S189,Tools!T189,Tools!U189,Tools!V189,Tools!W189,Tools!X189,Tools!Y189,Tools!Z189,Tools!AA189,Tools!AB189,Tools!AC189,Tools!AD189,Tools!AE189," ")</f>
        <v xml:space="preserve">Spline 14.792,0 11.998,0.9 12.179,1.8 12.007,2.7 11.503,3.6 9.74,5.4 7.677,7.2 5.241,9 4.033,10.1 3.819,10.8 4.316,12.6 6.318,14.19  </v>
      </c>
      <c r="CE75" s="163" t="str">
        <f>CONCATENATE(Tools!F201,Tools!G201,Tools!H201,Tools!I201,Tools!J201,Tools!K201,Tools!L201,Tools!M201,Tools!N201,Tools!O201,Tools!P201,Tools!Q201,Tools!R201,Tools!S201,Tools!T201,Tools!U201,Tools!V201,Tools!W201,Tools!X201,Tools!Y201,Tools!Z201,Tools!AA201,Tools!AB201,Tools!AC201,Tools!AD201,Tools!AE201," ")</f>
        <v xml:space="preserve">Spline 7.414,0.9 4.179,1.8 3.037,2.7 2.406,3.6 1.808,5.4 1.508,7.2 1.433,9 1.442,10.1 1.417,10.8 1.318,12.6 1.28,14.19  </v>
      </c>
      <c r="CF75" s="143"/>
      <c r="CG75" s="179" t="str">
        <f>IFERROR(CONCATENATE("Zoom Window -1,",-DEPTH/10," ",20,",",DEPTH*1.1," "),"")</f>
        <v xml:space="preserve">Zoom Window -1,-1.419 20,15.609 </v>
      </c>
      <c r="CH75" s="180"/>
      <c r="CI75" s="160" t="str">
        <f>Tools!CB38</f>
        <v xml:space="preserve">Line 0,0 20,0  Line 0,0.9 20,0.9  Line 0,1.8 20,1.8  Line 0,2.7 20,2.7  Line 0,3.6 20,3.6  Line 0,5.4 20,5.4  Line 0,7.2 20,7.2  Line 0,9 20,9  Line 0,10.1 20,10.1  Line 0,10.8 20,10.8  Line 0,12.6 20,12.6  Line 0,14.19 20,14.19  </v>
      </c>
      <c r="CJ75" s="143"/>
      <c r="CM75" s="262">
        <v>14</v>
      </c>
      <c r="CN75" s="262">
        <f t="shared" si="111"/>
        <v>0</v>
      </c>
      <c r="CO75" s="262" t="str">
        <f t="shared" si="112"/>
        <v xml:space="preserve">  </v>
      </c>
      <c r="CP75" s="262" t="str">
        <f t="shared" si="113"/>
        <v xml:space="preserve"> </v>
      </c>
      <c r="CQ75" s="262" t="e">
        <f t="shared" ref="CQ75" si="143">CO75*WLS</f>
        <v>#VALUE!</v>
      </c>
      <c r="CR75" s="262" t="e">
        <f t="shared" si="115"/>
        <v>#VALUE!</v>
      </c>
      <c r="CS75" s="262"/>
      <c r="CT75" s="262"/>
      <c r="CU75" s="262"/>
      <c r="CV75" s="262"/>
      <c r="CW75" s="262">
        <v>0</v>
      </c>
      <c r="CX75" s="262">
        <f>MAX(Offset!R3:R27)</f>
        <v>20</v>
      </c>
      <c r="CY75" s="262"/>
      <c r="CZ75" s="262"/>
      <c r="DA75" s="262"/>
      <c r="DB75" s="325">
        <f t="shared" si="122"/>
        <v>11</v>
      </c>
      <c r="DC75" s="262" t="str">
        <f t="shared" si="123"/>
        <v>STN 11</v>
      </c>
      <c r="DD75" s="262">
        <f t="shared" si="124"/>
        <v>11</v>
      </c>
      <c r="DE75" s="262">
        <f t="shared" si="125"/>
        <v>11</v>
      </c>
    </row>
    <row r="76" spans="1:142" x14ac:dyDescent="0.25">
      <c r="A76" s="341">
        <f t="shared" si="129"/>
        <v>4</v>
      </c>
      <c r="B76" s="336">
        <f t="array" ref="B76:Z76">TRANSPOSE('Stn(7)'!D4:D28)</f>
        <v>0</v>
      </c>
      <c r="C76" s="336">
        <v>3.9420000000000002</v>
      </c>
      <c r="D76" s="336">
        <v>10.655999999999999</v>
      </c>
      <c r="E76" s="336">
        <v>18.516000000000002</v>
      </c>
      <c r="F76" s="336">
        <v>28.103999999999999</v>
      </c>
      <c r="G76" s="336">
        <v>54.432000000000002</v>
      </c>
      <c r="H76" s="336">
        <v>92.627999999999986</v>
      </c>
      <c r="I76" s="336">
        <v>133.38</v>
      </c>
      <c r="J76" s="336">
        <v>159.83499999999998</v>
      </c>
      <c r="K76" s="336">
        <v>177.83999999999997</v>
      </c>
      <c r="L76" s="336">
        <v>220.93199999999999</v>
      </c>
      <c r="M76" s="336">
        <v>259.88699999999994</v>
      </c>
      <c r="N76" s="336" t="str">
        <v xml:space="preserve"> </v>
      </c>
      <c r="O76" s="336" t="str">
        <v xml:space="preserve"> </v>
      </c>
      <c r="P76" s="336" t="str">
        <v xml:space="preserve"> </v>
      </c>
      <c r="Q76" s="336" t="str">
        <v xml:space="preserve"> </v>
      </c>
      <c r="R76" s="336" t="str">
        <v xml:space="preserve"> </v>
      </c>
      <c r="S76" s="336" t="str">
        <v xml:space="preserve"> </v>
      </c>
      <c r="T76" s="336" t="str">
        <v xml:space="preserve"> </v>
      </c>
      <c r="U76" s="336" t="str">
        <v xml:space="preserve"> </v>
      </c>
      <c r="V76" s="336" t="str">
        <v xml:space="preserve"> </v>
      </c>
      <c r="W76" s="336" t="str">
        <v xml:space="preserve"> </v>
      </c>
      <c r="X76" s="336" t="str">
        <v xml:space="preserve"> </v>
      </c>
      <c r="Y76" s="336" t="str">
        <v xml:space="preserve"> </v>
      </c>
      <c r="Z76" s="336" t="str">
        <v xml:space="preserve"> </v>
      </c>
      <c r="AB76" s="337">
        <f t="shared" si="127"/>
        <v>4</v>
      </c>
      <c r="AC76" s="338">
        <f t="array" ref="AC76:BA76">TRANSPOSE('Stn(7)'!E4:E28)</f>
        <v>0</v>
      </c>
      <c r="AD76" s="338">
        <v>2.0668500000000005</v>
      </c>
      <c r="AE76" s="338">
        <v>11.2536</v>
      </c>
      <c r="AF76" s="338">
        <v>29.180250000000001</v>
      </c>
      <c r="AG76" s="338">
        <v>59.292000000000002</v>
      </c>
      <c r="AH76" s="338">
        <v>179.90640000000002</v>
      </c>
      <c r="AI76" s="338">
        <v>419.32079999999996</v>
      </c>
      <c r="AJ76" s="338">
        <v>754.18560000000002</v>
      </c>
      <c r="AK76" s="338">
        <v>1006.8772333333333</v>
      </c>
      <c r="AL76" s="338">
        <v>1188.4535999999998</v>
      </c>
      <c r="AM76" s="338">
        <v>1700.4816000000001</v>
      </c>
      <c r="AN76" s="338">
        <v>2222.2838249999995</v>
      </c>
      <c r="AO76" s="338" t="str">
        <v xml:space="preserve"> </v>
      </c>
      <c r="AP76" s="338" t="str">
        <v xml:space="preserve"> </v>
      </c>
      <c r="AQ76" s="338" t="str">
        <v xml:space="preserve"> </v>
      </c>
      <c r="AR76" s="338" t="str">
        <v xml:space="preserve"> </v>
      </c>
      <c r="AS76" s="338" t="str">
        <v xml:space="preserve"> </v>
      </c>
      <c r="AT76" s="338" t="str">
        <v xml:space="preserve"> </v>
      </c>
      <c r="AU76" s="338" t="str">
        <v xml:space="preserve"> </v>
      </c>
      <c r="AV76" s="338" t="str">
        <v xml:space="preserve"> </v>
      </c>
      <c r="AW76" s="338" t="str">
        <v xml:space="preserve"> </v>
      </c>
      <c r="AX76" s="338" t="str">
        <v xml:space="preserve"> </v>
      </c>
      <c r="AY76" s="338" t="str">
        <v xml:space="preserve"> </v>
      </c>
      <c r="AZ76" s="338" t="str">
        <v xml:space="preserve"> </v>
      </c>
      <c r="BA76" s="338" t="str">
        <v xml:space="preserve"> </v>
      </c>
      <c r="BC76" s="347" t="s">
        <v>50</v>
      </c>
      <c r="BD76" s="345">
        <f>IFERROR('WL (1)'!$S17,"-")</f>
        <v>0</v>
      </c>
      <c r="BE76" s="345">
        <f>IFERROR('WL (2)'!$S17,"-")</f>
        <v>1048.5103437499997</v>
      </c>
      <c r="BF76" s="345">
        <f>IFERROR('WL (3)'!$S17,"-")</f>
        <v>2464.4444812500001</v>
      </c>
      <c r="BG76" s="345">
        <f>IFERROR('WL (4)'!$S17,"-")</f>
        <v>4029.0218237499989</v>
      </c>
      <c r="BH76" s="345">
        <f>IFERROR('WL (5)'!$S17,"-")</f>
        <v>5751.1441937499985</v>
      </c>
      <c r="BI76" s="345">
        <f>IFERROR('WL (6)'!$S17,"-")</f>
        <v>9448.0125812500009</v>
      </c>
      <c r="BJ76" s="345">
        <f>IFERROR('WL (7)'!$S17,"-")</f>
        <v>13484.133583750001</v>
      </c>
      <c r="BK76" s="345">
        <f>IFERROR('WL (8)'!$S17,"-")</f>
        <v>17826.476841249998</v>
      </c>
      <c r="BL76" s="345">
        <f>IFERROR('WL (9)'!$S17,"-")</f>
        <v>20682.076797749993</v>
      </c>
      <c r="BM76" s="345">
        <f>IFERROR('WL (10)'!$S17,"-")</f>
        <v>22592.578896749998</v>
      </c>
      <c r="BN76" s="345">
        <f>IFERROR('WL (11)'!$S17,"-")</f>
        <v>27620.40419175</v>
      </c>
      <c r="BO76" s="345">
        <f>IFERROR('WL (12)'!$S17,"-")</f>
        <v>32287.456103999986</v>
      </c>
      <c r="BP76" s="345" t="str">
        <f>IFERROR('WL (13)'!$S17,"-")</f>
        <v xml:space="preserve">  </v>
      </c>
      <c r="BQ76" s="345" t="str">
        <f>IFERROR('WL (14)'!$S17,"-")</f>
        <v xml:space="preserve">  </v>
      </c>
      <c r="BR76" s="345" t="str">
        <f>IFERROR('WL (15)'!$S17,"-")</f>
        <v xml:space="preserve">  </v>
      </c>
      <c r="BS76" s="345" t="str">
        <f>IFERROR('WL (16)'!$S17,"-")</f>
        <v xml:space="preserve">  </v>
      </c>
      <c r="BT76" s="345" t="str">
        <f>IFERROR('WL (17)'!$S17,"-")</f>
        <v xml:space="preserve">  </v>
      </c>
      <c r="BU76" s="345" t="str">
        <f>IFERROR('WL (18)'!$S17,"-")</f>
        <v xml:space="preserve">  </v>
      </c>
      <c r="BV76" s="345" t="str">
        <f>IFERROR('WL (19)'!$S17,"-")</f>
        <v xml:space="preserve">  </v>
      </c>
      <c r="BW76" s="345" t="str">
        <f>IFERROR('WL (20)'!$S17,"-")</f>
        <v xml:space="preserve">  </v>
      </c>
      <c r="BX76" s="345" t="str">
        <f>IFERROR('WL (21)'!$S17,"-")</f>
        <v xml:space="preserve">  </v>
      </c>
      <c r="BY76" s="345" t="str">
        <f>IFERROR('WL (22)'!$S17,"-")</f>
        <v xml:space="preserve">  </v>
      </c>
      <c r="BZ76" s="345" t="str">
        <f>IFERROR('WL (23)'!$S17,"-")</f>
        <v xml:space="preserve">  </v>
      </c>
      <c r="CA76" s="345" t="str">
        <f>IFERROR('WL (24)'!$S17,"-")</f>
        <v xml:space="preserve">  </v>
      </c>
      <c r="CB76" s="345" t="str">
        <f>IFERROR('WL (25)'!$S17,"-")</f>
        <v xml:space="preserve">  </v>
      </c>
      <c r="CD76" s="171" t="str">
        <f>CONCATENATE(Tools!F190,Tools!G190,Tools!H190,Tools!I190,Tools!J190,Tools!K190,Tools!L190,Tools!M190,Tools!N190,Tools!O190,Tools!P190,Tools!Q190,Tools!R190,Tools!S190,Tools!T190,Tools!U190,Tools!V190,Tools!W190,Tools!X190,Tools!Y190,Tools!Z190,Tools!AA190,Tools!AB190,Tools!AC190,Tools!AD190,Tools!AE190," ")</f>
        <v xml:space="preserve">Spline 10.333,0 10.783,0.9 11.035,1.8 11.225,2.7 11.377,3.6 11.68,5.4 11.993,7.2 12.523,9 12.961,10.1 13.169,10.8 13.538,12.6 13.918,14.19  </v>
      </c>
      <c r="CE76" s="163" t="str">
        <f>CONCATENATE(Tools!F202,Tools!G202,Tools!H202,Tools!I202,Tools!J202,Tools!K202,Tools!L202,Tools!M202,Tools!N202,Tools!O202,Tools!P202,Tools!Q202,Tools!R202,Tools!S202,Tools!T202,Tools!U202,Tools!V202,Tools!W202,Tools!X202,Tools!Y202,Tools!Z202,Tools!AA202,Tools!AB202,Tools!AC202,Tools!AD202,Tools!AE202," ")</f>
        <v xml:space="preserve">Spline 10.881,0 11.459,0.9 11.712,1.8 11.879,2.7 12.004,3.6 12.206,5.4 12.381,7.2 12.592,9 12.735,10.1 12.804,10.8 12.933,12.6 13.084,14.19  </v>
      </c>
      <c r="CF76" s="143"/>
      <c r="CG76" s="181" t="str">
        <f>IF(CG75="","",Tools!CC38)</f>
        <v xml:space="preserve">Line 0,0 0,14.19  Line 1,0 1,14.19  Line 2,0 2,14.19  Line 3,0 3,14.19  Line 4,0 4,14.19  Line 5,0 5,14.19  Line 6,0 6,14.19  Line 7,0 7,14.19  Line 8,0 8,14.19  Line 9,0 9,14.19  Line 10,0 10,14.19  Line 11,0 11,14.19  Line 12,0 12,14.19  Line 13,0 13,14.19  Line 14,0 14,14.19  Line 15,0 15,14.19  Line 16,0 16,14.19  Line 17,0 17,14.19  Line 18,0 18,14.19  Line 19,0 19,14.19  Line 20,0 20,14.19  </v>
      </c>
      <c r="CH76" s="182" t="s">
        <v>159</v>
      </c>
      <c r="CI76" s="183" t="s">
        <v>159</v>
      </c>
      <c r="CJ76" s="143"/>
      <c r="CM76" s="262">
        <v>15</v>
      </c>
      <c r="CN76" s="262">
        <f t="shared" si="111"/>
        <v>0</v>
      </c>
      <c r="CO76" s="262" t="str">
        <f t="shared" si="112"/>
        <v xml:space="preserve">  </v>
      </c>
      <c r="CP76" s="262" t="str">
        <f t="shared" si="113"/>
        <v xml:space="preserve"> </v>
      </c>
      <c r="CQ76" s="262" t="e">
        <f t="shared" ref="CQ76" si="144">CO76*WLS</f>
        <v>#VALUE!</v>
      </c>
      <c r="CR76" s="262" t="e">
        <f t="shared" si="115"/>
        <v>#VALUE!</v>
      </c>
      <c r="CS76" s="262"/>
      <c r="CT76" s="325">
        <v>1</v>
      </c>
      <c r="CU76" s="262">
        <f t="shared" ref="CU76" si="145">IF(CT76&lt;=(No_of_BTKs+1),CT76," ")</f>
        <v>1</v>
      </c>
      <c r="CV76" s="262" t="str">
        <f t="shared" ref="CV76" si="146">IF(CU76&lt;=No_of_BTKs,CONCATENATE("BTK ",CU76),IF(CU76=No_of_BTKs+1,"SIDE"," "))</f>
        <v>BTK 1</v>
      </c>
      <c r="CW76" s="262">
        <f>IFERROR(BREADTH/2/(No_of_BTKs+1)*CU76," ")</f>
        <v>4.083333333333333</v>
      </c>
      <c r="CX76" s="262">
        <f>CW76</f>
        <v>4.083333333333333</v>
      </c>
      <c r="CY76" s="262"/>
      <c r="CZ76" s="262"/>
      <c r="DA76" s="262"/>
      <c r="DB76" s="325">
        <f t="shared" si="122"/>
        <v>12</v>
      </c>
      <c r="DC76" s="262" t="str">
        <f t="shared" si="123"/>
        <v>STN 12</v>
      </c>
      <c r="DD76" s="262">
        <f t="shared" si="124"/>
        <v>12</v>
      </c>
      <c r="DE76" s="262">
        <f t="shared" si="125"/>
        <v>12</v>
      </c>
    </row>
    <row r="77" spans="1:142" x14ac:dyDescent="0.25">
      <c r="A77" s="341">
        <f t="shared" si="129"/>
        <v>5</v>
      </c>
      <c r="B77" s="336">
        <f t="array" ref="B77:Z77">TRANSPOSE('Stn(8)'!D4:D28)</f>
        <v>0</v>
      </c>
      <c r="C77" s="336">
        <v>6.0734999999999992</v>
      </c>
      <c r="D77" s="336">
        <v>16.169999999999998</v>
      </c>
      <c r="E77" s="336">
        <v>27.997499999999999</v>
      </c>
      <c r="F77" s="336">
        <v>42.93</v>
      </c>
      <c r="G77" s="336">
        <v>80.201999999999984</v>
      </c>
      <c r="H77" s="336">
        <v>121.626</v>
      </c>
      <c r="I77" s="336">
        <v>165.60599999999999</v>
      </c>
      <c r="J77" s="336">
        <v>192.52299999999997</v>
      </c>
      <c r="K77" s="336">
        <v>209.322</v>
      </c>
      <c r="L77" s="336">
        <v>253.76999999999998</v>
      </c>
      <c r="M77" s="336">
        <v>292.72499999999997</v>
      </c>
      <c r="N77" s="336" t="str">
        <v xml:space="preserve"> </v>
      </c>
      <c r="O77" s="336" t="str">
        <v xml:space="preserve"> </v>
      </c>
      <c r="P77" s="336" t="str">
        <v xml:space="preserve"> </v>
      </c>
      <c r="Q77" s="336" t="str">
        <v xml:space="preserve"> </v>
      </c>
      <c r="R77" s="336" t="str">
        <v xml:space="preserve"> </v>
      </c>
      <c r="S77" s="336" t="str">
        <v xml:space="preserve"> </v>
      </c>
      <c r="T77" s="336" t="str">
        <v xml:space="preserve"> </v>
      </c>
      <c r="U77" s="336" t="str">
        <v xml:space="preserve"> </v>
      </c>
      <c r="V77" s="336" t="str">
        <v xml:space="preserve"> </v>
      </c>
      <c r="W77" s="336" t="str">
        <v xml:space="preserve"> </v>
      </c>
      <c r="X77" s="336" t="str">
        <v xml:space="preserve"> </v>
      </c>
      <c r="Y77" s="336" t="str">
        <v xml:space="preserve"> </v>
      </c>
      <c r="Z77" s="336" t="str">
        <v xml:space="preserve"> </v>
      </c>
      <c r="AB77" s="337">
        <f t="shared" si="127"/>
        <v>5</v>
      </c>
      <c r="AC77" s="338">
        <f t="array" ref="AC77:BA77">TRANSPOSE('Stn(8)'!E4:E28)</f>
        <v>0</v>
      </c>
      <c r="AD77" s="338">
        <v>3.1637249999999995</v>
      </c>
      <c r="AE77" s="338">
        <v>16.966799999999999</v>
      </c>
      <c r="AF77" s="338">
        <v>44.009325000000004</v>
      </c>
      <c r="AG77" s="338">
        <v>90.806399999999996</v>
      </c>
      <c r="AH77" s="338">
        <v>258.41160000000002</v>
      </c>
      <c r="AI77" s="338">
        <v>522.07200000000012</v>
      </c>
      <c r="AJ77" s="338">
        <v>875.63160000000005</v>
      </c>
      <c r="AK77" s="338">
        <v>1132.6949999999999</v>
      </c>
      <c r="AL77" s="338">
        <v>1311.9840000000002</v>
      </c>
      <c r="AM77" s="338">
        <v>1827.8676</v>
      </c>
      <c r="AN77" s="338">
        <v>2349.6698249999999</v>
      </c>
      <c r="AO77" s="338" t="str">
        <v xml:space="preserve"> </v>
      </c>
      <c r="AP77" s="338" t="str">
        <v xml:space="preserve"> </v>
      </c>
      <c r="AQ77" s="338" t="str">
        <v xml:space="preserve"> </v>
      </c>
      <c r="AR77" s="338" t="str">
        <v xml:space="preserve"> </v>
      </c>
      <c r="AS77" s="338" t="str">
        <v xml:space="preserve"> </v>
      </c>
      <c r="AT77" s="338" t="str">
        <v xml:space="preserve"> </v>
      </c>
      <c r="AU77" s="338" t="str">
        <v xml:space="preserve"> </v>
      </c>
      <c r="AV77" s="338" t="str">
        <v xml:space="preserve"> </v>
      </c>
      <c r="AW77" s="338" t="str">
        <v xml:space="preserve"> </v>
      </c>
      <c r="AX77" s="338" t="str">
        <v xml:space="preserve"> </v>
      </c>
      <c r="AY77" s="338" t="str">
        <v xml:space="preserve"> </v>
      </c>
      <c r="AZ77" s="338" t="str">
        <v xml:space="preserve"> </v>
      </c>
      <c r="BA77" s="338" t="str">
        <v xml:space="preserve"> </v>
      </c>
      <c r="BC77" s="347" t="s">
        <v>52</v>
      </c>
      <c r="BD77" s="345">
        <f>IFERROR('WL (1)'!$S18,"-")</f>
        <v>0</v>
      </c>
      <c r="BE77" s="345">
        <f>IFERROR('WL (2)'!$S18,"-")</f>
        <v>1081.1714409578121</v>
      </c>
      <c r="BF77" s="345">
        <f>IFERROR('WL (3)'!$S18,"-")</f>
        <v>2541.2119268409374</v>
      </c>
      <c r="BG77" s="345">
        <f>IFERROR('WL (4)'!$S18,"-")</f>
        <v>4154.5258535598114</v>
      </c>
      <c r="BH77" s="345">
        <f>IFERROR('WL (5)'!$S18,"-")</f>
        <v>5930.2923353853103</v>
      </c>
      <c r="BI77" s="345">
        <f>IFERROR('WL (6)'!$S18,"-")</f>
        <v>9742.3181731559362</v>
      </c>
      <c r="BJ77" s="345">
        <f>IFERROR('WL (7)'!$S18,"-")</f>
        <v>13904.164344883811</v>
      </c>
      <c r="BK77" s="345">
        <f>IFERROR('WL (8)'!$S18,"-")</f>
        <v>18381.771594854934</v>
      </c>
      <c r="BL77" s="345">
        <f>IFERROR('WL (9)'!$S18,"-")</f>
        <v>21326.323489999904</v>
      </c>
      <c r="BM77" s="345">
        <f>IFERROR('WL (10)'!$S18,"-")</f>
        <v>23296.337729383758</v>
      </c>
      <c r="BN77" s="345">
        <f>IFERROR('WL (11)'!$S18,"-")</f>
        <v>28480.77978232301</v>
      </c>
      <c r="BO77" s="345">
        <f>IFERROR('WL (12)'!$S18,"-")</f>
        <v>33293.210361639583</v>
      </c>
      <c r="BP77" s="345" t="str">
        <f>IFERROR('WL (13)'!$S18,"-")</f>
        <v xml:space="preserve">  </v>
      </c>
      <c r="BQ77" s="345" t="str">
        <f>IFERROR('WL (14)'!$S18,"-")</f>
        <v xml:space="preserve">  </v>
      </c>
      <c r="BR77" s="345" t="str">
        <f>IFERROR('WL (15)'!$S18,"-")</f>
        <v xml:space="preserve">  </v>
      </c>
      <c r="BS77" s="345" t="str">
        <f>IFERROR('WL (16)'!$S18,"-")</f>
        <v xml:space="preserve">  </v>
      </c>
      <c r="BT77" s="345" t="str">
        <f>IFERROR('WL (17)'!$S18,"-")</f>
        <v xml:space="preserve">  </v>
      </c>
      <c r="BU77" s="345" t="str">
        <f>IFERROR('WL (18)'!$S18,"-")</f>
        <v xml:space="preserve">  </v>
      </c>
      <c r="BV77" s="345" t="str">
        <f>IFERROR('WL (19)'!$S18,"-")</f>
        <v xml:space="preserve">  </v>
      </c>
      <c r="BW77" s="345" t="str">
        <f>IFERROR('WL (20)'!$S18,"-")</f>
        <v xml:space="preserve">  </v>
      </c>
      <c r="BX77" s="345" t="str">
        <f>IFERROR('WL (21)'!$S18,"-")</f>
        <v xml:space="preserve">  </v>
      </c>
      <c r="BY77" s="345" t="str">
        <f>IFERROR('WL (22)'!$S18,"-")</f>
        <v xml:space="preserve">  </v>
      </c>
      <c r="BZ77" s="345" t="str">
        <f>IFERROR('WL (23)'!$S18,"-")</f>
        <v xml:space="preserve">  </v>
      </c>
      <c r="CA77" s="345" t="str">
        <f>IFERROR('WL (24)'!$S18,"-")</f>
        <v xml:space="preserve">  </v>
      </c>
      <c r="CB77" s="345" t="str">
        <f>IFERROR('WL (25)'!$S18,"-")</f>
        <v xml:space="preserve">  </v>
      </c>
      <c r="CD77" s="171" t="str">
        <f>CONCATENATE(Tools!F191,Tools!G191,Tools!H191,Tools!I191,Tools!J191,Tools!K191,Tools!L191,Tools!M191,Tools!N191,Tools!O191,Tools!P191,Tools!Q191,Tools!R191,Tools!S191,Tools!T191,Tools!U191,Tools!V191,Tools!W191,Tools!X191,Tools!Y191,Tools!Z191,Tools!AA191,Tools!AB191,Tools!AC191,Tools!AD191,Tools!AE191," ")</f>
        <v xml:space="preserve">Spline 10.125,0 10.36,0.9 10.513,1.8 10.623,2.7 10.708,3.6 10.836,5.4 10.955,7.2 11.071,9 11.142,10.1 11.186,10.8 11.282,12.6 11.408,14.19  </v>
      </c>
      <c r="CE77" s="163" t="str">
        <f>CONCATENATE(Tools!F203,Tools!G203,Tools!H203,Tools!I203,Tools!J203,Tools!K203,Tools!L203,Tools!M203,Tools!N203,Tools!O203,Tools!P203,Tools!Q203,Tools!R203,Tools!S203,Tools!T203,Tools!U203,Tools!V203,Tools!W203,Tools!X203,Tools!Y203,Tools!Z203,Tools!AA203,Tools!AB203,Tools!AC203,Tools!AD203,Tools!AE203," ")</f>
        <v xml:space="preserve">Spline 12.763,0.9 12.291,1.8 12.273,2.7 12.093,3.6 11.547,5.4 10.684,7.2 9.687,9 8.996,10.1 8.527,10.8 7.73,12.6 7.384,14.19  </v>
      </c>
      <c r="CF77" s="143"/>
      <c r="CG77" s="143"/>
      <c r="CH77" s="143"/>
      <c r="CI77" s="143"/>
      <c r="CJ77" s="143"/>
      <c r="CM77" s="262">
        <v>16</v>
      </c>
      <c r="CN77" s="262">
        <f t="shared" si="111"/>
        <v>0</v>
      </c>
      <c r="CO77" s="262" t="str">
        <f t="shared" si="112"/>
        <v xml:space="preserve">  </v>
      </c>
      <c r="CP77" s="262" t="str">
        <f t="shared" si="113"/>
        <v xml:space="preserve"> </v>
      </c>
      <c r="CQ77" s="262" t="e">
        <f t="shared" ref="CQ77" si="147">CO77*WLS</f>
        <v>#VALUE!</v>
      </c>
      <c r="CR77" s="262" t="e">
        <f t="shared" si="115"/>
        <v>#VALUE!</v>
      </c>
      <c r="CS77" s="262"/>
      <c r="CT77" s="325">
        <v>2</v>
      </c>
      <c r="CU77" s="262">
        <f t="shared" ref="CU77" si="148">IF(CT77&lt;=(No_of_BTKs+1),CT77," ")</f>
        <v>2</v>
      </c>
      <c r="CV77" s="262" t="str">
        <f t="shared" ref="CV77" si="149">IF(CU77&lt;=No_of_BTKs,CONCATENATE("BTK ",CU77),IF(CU77=No_of_BTKs+1,"SIDE"," "))</f>
        <v>BTK 2</v>
      </c>
      <c r="CW77" s="262">
        <f>IFERROR(BREADTH/2/(No_of_BTKs+1)*CU77," ")</f>
        <v>8.1666666666666661</v>
      </c>
      <c r="CX77" s="262">
        <f>CW77</f>
        <v>8.1666666666666661</v>
      </c>
      <c r="CY77" s="262"/>
      <c r="CZ77" s="262"/>
      <c r="DA77" s="262"/>
      <c r="DB77" s="325">
        <f t="shared" si="122"/>
        <v>13</v>
      </c>
      <c r="DC77" s="262" t="str">
        <f t="shared" si="123"/>
        <v>STN 13</v>
      </c>
      <c r="DD77" s="262">
        <f t="shared" si="124"/>
        <v>13</v>
      </c>
      <c r="DE77" s="262">
        <f t="shared" si="125"/>
        <v>13</v>
      </c>
    </row>
    <row r="78" spans="1:142" x14ac:dyDescent="0.25">
      <c r="A78" s="341">
        <f t="shared" si="129"/>
        <v>6</v>
      </c>
      <c r="B78" s="336">
        <f t="array" ref="B78:Z78">TRANSPOSE('Stn(9)'!D4:D28)</f>
        <v>0</v>
      </c>
      <c r="C78" s="336">
        <v>8.3069999999999986</v>
      </c>
      <c r="D78" s="336">
        <v>22.139999999999997</v>
      </c>
      <c r="E78" s="336">
        <v>38.168999999999997</v>
      </c>
      <c r="F78" s="336">
        <v>57.263999999999996</v>
      </c>
      <c r="G78" s="336">
        <v>98.927999999999997</v>
      </c>
      <c r="H78" s="336">
        <v>142.524</v>
      </c>
      <c r="I78" s="336">
        <v>186.79199999999997</v>
      </c>
      <c r="J78" s="336">
        <v>213.74199999999996</v>
      </c>
      <c r="K78" s="336">
        <v>230.72399999999999</v>
      </c>
      <c r="L78" s="336">
        <v>274.99199999999996</v>
      </c>
      <c r="M78" s="336">
        <v>313.94699999999995</v>
      </c>
      <c r="N78" s="336" t="str">
        <v xml:space="preserve"> </v>
      </c>
      <c r="O78" s="336" t="str">
        <v xml:space="preserve"> </v>
      </c>
      <c r="P78" s="336" t="str">
        <v xml:space="preserve"> </v>
      </c>
      <c r="Q78" s="336" t="str">
        <v xml:space="preserve"> </v>
      </c>
      <c r="R78" s="336" t="str">
        <v xml:space="preserve"> </v>
      </c>
      <c r="S78" s="336" t="str">
        <v xml:space="preserve"> </v>
      </c>
      <c r="T78" s="336" t="str">
        <v xml:space="preserve"> </v>
      </c>
      <c r="U78" s="336" t="str">
        <v xml:space="preserve"> </v>
      </c>
      <c r="V78" s="336" t="str">
        <v xml:space="preserve"> </v>
      </c>
      <c r="W78" s="336" t="str">
        <v xml:space="preserve"> </v>
      </c>
      <c r="X78" s="336" t="str">
        <v xml:space="preserve"> </v>
      </c>
      <c r="Y78" s="336" t="str">
        <v xml:space="preserve"> </v>
      </c>
      <c r="Z78" s="336" t="str">
        <v xml:space="preserve"> </v>
      </c>
      <c r="AB78" s="337">
        <f t="shared" si="127"/>
        <v>6</v>
      </c>
      <c r="AC78" s="338">
        <f t="array" ref="AC78:BA78">TRANSPOSE('Stn(9)'!E4:E28)</f>
        <v>0</v>
      </c>
      <c r="AD78" s="338">
        <v>4.3308</v>
      </c>
      <c r="AE78" s="338">
        <v>23.241600000000002</v>
      </c>
      <c r="AF78" s="338">
        <v>59.826600000000013</v>
      </c>
      <c r="AG78" s="338">
        <v>119.46960000000001</v>
      </c>
      <c r="AH78" s="338">
        <v>307.51920000000007</v>
      </c>
      <c r="AI78" s="338">
        <v>582.74640000000011</v>
      </c>
      <c r="AJ78" s="338">
        <v>940.74480000000005</v>
      </c>
      <c r="AK78" s="338">
        <v>1198.1172999999999</v>
      </c>
      <c r="AL78" s="338">
        <v>1376.5464000000002</v>
      </c>
      <c r="AM78" s="338">
        <v>1893.3048000000001</v>
      </c>
      <c r="AN78" s="338">
        <v>2415.1070249999998</v>
      </c>
      <c r="AO78" s="338" t="str">
        <v xml:space="preserve"> </v>
      </c>
      <c r="AP78" s="338" t="str">
        <v xml:space="preserve"> </v>
      </c>
      <c r="AQ78" s="338" t="str">
        <v xml:space="preserve"> </v>
      </c>
      <c r="AR78" s="338" t="str">
        <v xml:space="preserve"> </v>
      </c>
      <c r="AS78" s="338" t="str">
        <v xml:space="preserve"> </v>
      </c>
      <c r="AT78" s="338" t="str">
        <v xml:space="preserve"> </v>
      </c>
      <c r="AU78" s="338" t="str">
        <v xml:space="preserve"> </v>
      </c>
      <c r="AV78" s="338" t="str">
        <v xml:space="preserve"> </v>
      </c>
      <c r="AW78" s="338" t="str">
        <v xml:space="preserve"> </v>
      </c>
      <c r="AX78" s="338" t="str">
        <v xml:space="preserve"> </v>
      </c>
      <c r="AY78" s="338" t="str">
        <v xml:space="preserve"> </v>
      </c>
      <c r="AZ78" s="338" t="str">
        <v xml:space="preserve"> </v>
      </c>
      <c r="BA78" s="338" t="str">
        <v xml:space="preserve"> </v>
      </c>
      <c r="BC78" s="347" t="s">
        <v>55</v>
      </c>
      <c r="BD78" s="345">
        <f>IFERROR('WL (1)'!$S19,"-")</f>
        <v>0</v>
      </c>
      <c r="BE78" s="345">
        <f>IFERROR('WL (2)'!$S19,"-")</f>
        <v>509.83875685583325</v>
      </c>
      <c r="BF78" s="345">
        <f>IFERROR('WL (3)'!$S19,"-")</f>
        <v>2438.0414273141664</v>
      </c>
      <c r="BG78" s="345">
        <f>IFERROR('WL (4)'!$S19,"-")</f>
        <v>5985.5270228558311</v>
      </c>
      <c r="BH78" s="345">
        <f>IFERROR('WL (5)'!$S19,"-")</f>
        <v>11389.248976230832</v>
      </c>
      <c r="BI78" s="345">
        <f>IFERROR('WL (6)'!$S19,"-")</f>
        <v>28099.332793980837</v>
      </c>
      <c r="BJ78" s="345">
        <f>IFERROR('WL (7)'!$S19,"-")</f>
        <v>53545.439128230842</v>
      </c>
      <c r="BK78" s="345">
        <f>IFERROR('WL (8)'!$S19,"-")</f>
        <v>88813.202247980837</v>
      </c>
      <c r="BL78" s="345">
        <f>IFERROR('WL (9)'!$S19,"-")</f>
        <v>116097.91226361418</v>
      </c>
      <c r="BM78" s="345">
        <f>IFERROR('WL (10)'!$S19,"-")</f>
        <v>135984.60710536418</v>
      </c>
      <c r="BN78" s="345">
        <f>IFERROR('WL (11)'!$S19,"-")</f>
        <v>194952.12643786415</v>
      </c>
      <c r="BO78" s="345">
        <f>IFERROR('WL (12)'!$S19,"-")</f>
        <v>257498.19110795169</v>
      </c>
      <c r="BP78" s="345" t="str">
        <f>IFERROR('WL (13)'!$S19,"-")</f>
        <v xml:space="preserve">  </v>
      </c>
      <c r="BQ78" s="345" t="str">
        <f>IFERROR('WL (14)'!$S19,"-")</f>
        <v xml:space="preserve">  </v>
      </c>
      <c r="BR78" s="345" t="str">
        <f>IFERROR('WL (15)'!$S19,"-")</f>
        <v xml:space="preserve">  </v>
      </c>
      <c r="BS78" s="345" t="str">
        <f>IFERROR('WL (16)'!$S19,"-")</f>
        <v xml:space="preserve">  </v>
      </c>
      <c r="BT78" s="345" t="str">
        <f>IFERROR('WL (17)'!$S19,"-")</f>
        <v xml:space="preserve">  </v>
      </c>
      <c r="BU78" s="345" t="str">
        <f>IFERROR('WL (18)'!$S19,"-")</f>
        <v xml:space="preserve">  </v>
      </c>
      <c r="BV78" s="345" t="str">
        <f>IFERROR('WL (19)'!$S19,"-")</f>
        <v xml:space="preserve">  </v>
      </c>
      <c r="BW78" s="345" t="str">
        <f>IFERROR('WL (20)'!$S19,"-")</f>
        <v xml:space="preserve">  </v>
      </c>
      <c r="BX78" s="345" t="str">
        <f>IFERROR('WL (21)'!$S19,"-")</f>
        <v xml:space="preserve">  </v>
      </c>
      <c r="BY78" s="345" t="str">
        <f>IFERROR('WL (22)'!$S19,"-")</f>
        <v xml:space="preserve">  </v>
      </c>
      <c r="BZ78" s="345" t="str">
        <f>IFERROR('WL (23)'!$S19,"-")</f>
        <v xml:space="preserve">  </v>
      </c>
      <c r="CA78" s="345" t="str">
        <f>IFERROR('WL (24)'!$S19,"-")</f>
        <v xml:space="preserve">  </v>
      </c>
      <c r="CB78" s="345" t="str">
        <f>IFERROR('WL (25)'!$S19,"-")</f>
        <v xml:space="preserve">  </v>
      </c>
      <c r="CD78" s="171" t="str">
        <f>CONCATENATE(Tools!F192,Tools!G192,Tools!H192,Tools!I192,Tools!J192,Tools!K192,Tools!L192,Tools!M192,Tools!N192,Tools!O192,Tools!P192,Tools!Q192,Tools!R192,Tools!S192,Tools!T192,Tools!U192,Tools!V192,Tools!W192,Tools!X192,Tools!Y192,Tools!Z192,Tools!AA192,Tools!AB192,Tools!AC192,Tools!AD192,Tools!AE192," ")</f>
        <v xml:space="preserve">Spline 10.313,0 10.777,0.9 11.028,1.8 11.218,2.7 11.372,3.6 11.68,5.4 11.98,7.2 12.466,9 12.866,10.1 13.064,10.8 13.445,12.6 13.877,14.19  </v>
      </c>
      <c r="CE78" s="163" t="str">
        <f>CONCATENATE(Tools!F204,Tools!G204,Tools!H204,Tools!I204,Tools!J204,Tools!K204,Tools!L204,Tools!M204,Tools!N204,Tools!O204,Tools!P204,Tools!Q204,Tools!R204,Tools!S204,Tools!T204,Tools!U204,Tools!V204,Tools!W204,Tools!X204,Tools!Y204,Tools!Z204,Tools!AA204,Tools!AB204,Tools!AC204,Tools!AD204,Tools!AE204," ")</f>
        <v xml:space="preserve">Spline 10.608,0.9 10.805,1.8 10.953,2.7 11.075,3.6 11.316,5.4 11.55,7.2 11.931,9 12.244,10.1 12.399,10.8 12.697,12.6 13.035,14.19  </v>
      </c>
      <c r="CF78" s="143"/>
      <c r="CM78" s="262">
        <v>17</v>
      </c>
      <c r="CN78" s="262">
        <f t="shared" si="111"/>
        <v>0</v>
      </c>
      <c r="CO78" s="262" t="str">
        <f t="shared" si="112"/>
        <v xml:space="preserve">  </v>
      </c>
      <c r="CP78" s="262" t="str">
        <f t="shared" si="113"/>
        <v xml:space="preserve"> </v>
      </c>
      <c r="CQ78" s="262" t="e">
        <f t="shared" ref="CQ78" si="150">CO78*WLS</f>
        <v>#VALUE!</v>
      </c>
      <c r="CR78" s="262" t="e">
        <f t="shared" si="115"/>
        <v>#VALUE!</v>
      </c>
      <c r="CS78" s="262"/>
      <c r="CT78" s="325">
        <v>3</v>
      </c>
      <c r="CU78" s="262">
        <f t="shared" ref="CU78" si="151">IF(CT78&lt;=(No_of_BTKs+1),CT78," ")</f>
        <v>3</v>
      </c>
      <c r="CV78" s="262" t="str">
        <f t="shared" ref="CV78" si="152">IF(CU78&lt;=No_of_BTKs,CONCATENATE("BTK ",CU78),IF(CU78=No_of_BTKs+1,"SIDE"," "))</f>
        <v>SIDE</v>
      </c>
      <c r="CW78" s="262">
        <f>IFERROR(BREADTH/2/(No_of_BTKs+1)*CU78," ")</f>
        <v>12.25</v>
      </c>
      <c r="CX78" s="262">
        <f>CW78</f>
        <v>12.25</v>
      </c>
      <c r="CY78" s="262"/>
      <c r="CZ78" s="262"/>
      <c r="DA78" s="262"/>
      <c r="DB78" s="325">
        <f t="shared" si="122"/>
        <v>14</v>
      </c>
      <c r="DC78" s="262" t="str">
        <f t="shared" si="123"/>
        <v>STN 14</v>
      </c>
      <c r="DD78" s="262">
        <f t="shared" si="124"/>
        <v>14</v>
      </c>
      <c r="DE78" s="262">
        <f t="shared" si="125"/>
        <v>14</v>
      </c>
    </row>
    <row r="79" spans="1:142" x14ac:dyDescent="0.25">
      <c r="A79" s="341">
        <f t="shared" si="129"/>
        <v>7</v>
      </c>
      <c r="B79" s="336">
        <f t="array" ref="B79:Z79">TRANSPOSE('Stn(10)'!D4:D28)</f>
        <v>0</v>
      </c>
      <c r="C79" s="336">
        <v>11.539499999999999</v>
      </c>
      <c r="D79" s="336">
        <v>28.973999999999997</v>
      </c>
      <c r="E79" s="336">
        <v>48.061499999999995</v>
      </c>
      <c r="F79" s="336">
        <v>69.245999999999995</v>
      </c>
      <c r="G79" s="336">
        <v>112.91399999999999</v>
      </c>
      <c r="H79" s="336">
        <v>156.97800000000001</v>
      </c>
      <c r="I79" s="336">
        <v>201.11399999999998</v>
      </c>
      <c r="J79" s="336">
        <v>228.06399999999996</v>
      </c>
      <c r="K79" s="336">
        <v>245.178</v>
      </c>
      <c r="L79" s="336">
        <v>289.31399999999996</v>
      </c>
      <c r="M79" s="336">
        <v>328.26899999999995</v>
      </c>
      <c r="N79" s="336" t="str">
        <v xml:space="preserve"> </v>
      </c>
      <c r="O79" s="336" t="str">
        <v xml:space="preserve"> </v>
      </c>
      <c r="P79" s="336" t="str">
        <v xml:space="preserve"> </v>
      </c>
      <c r="Q79" s="336" t="str">
        <v xml:space="preserve"> </v>
      </c>
      <c r="R79" s="336" t="str">
        <v xml:space="preserve"> </v>
      </c>
      <c r="S79" s="336" t="str">
        <v xml:space="preserve"> </v>
      </c>
      <c r="T79" s="336" t="str">
        <v xml:space="preserve"> </v>
      </c>
      <c r="U79" s="336" t="str">
        <v xml:space="preserve"> </v>
      </c>
      <c r="V79" s="336" t="str">
        <v xml:space="preserve"> </v>
      </c>
      <c r="W79" s="336" t="str">
        <v xml:space="preserve"> </v>
      </c>
      <c r="X79" s="336" t="str">
        <v xml:space="preserve"> </v>
      </c>
      <c r="Y79" s="336" t="str">
        <v xml:space="preserve"> </v>
      </c>
      <c r="Z79" s="336" t="str">
        <v xml:space="preserve"> </v>
      </c>
      <c r="AB79" s="337">
        <f t="shared" si="127"/>
        <v>7</v>
      </c>
      <c r="AC79" s="338">
        <f t="array" ref="AC79:BA79">TRANSPOSE('Stn(10)'!E4:E28)</f>
        <v>0</v>
      </c>
      <c r="AD79" s="338">
        <v>5.8502249999999991</v>
      </c>
      <c r="AE79" s="338">
        <v>29.613600000000005</v>
      </c>
      <c r="AF79" s="338">
        <v>73.031624999999991</v>
      </c>
      <c r="AG79" s="338">
        <v>139.21200000000002</v>
      </c>
      <c r="AH79" s="338">
        <v>336.096</v>
      </c>
      <c r="AI79" s="338">
        <v>613.80720000000008</v>
      </c>
      <c r="AJ79" s="338">
        <v>971.13600000000008</v>
      </c>
      <c r="AK79" s="338">
        <v>1228.5084999999999</v>
      </c>
      <c r="AL79" s="338">
        <v>1407.6072000000001</v>
      </c>
      <c r="AM79" s="338">
        <v>1923.6960000000001</v>
      </c>
      <c r="AN79" s="338">
        <v>2445.4982249999998</v>
      </c>
      <c r="AO79" s="338" t="str">
        <v xml:space="preserve"> </v>
      </c>
      <c r="AP79" s="338" t="str">
        <v xml:space="preserve"> </v>
      </c>
      <c r="AQ79" s="338" t="str">
        <v xml:space="preserve"> </v>
      </c>
      <c r="AR79" s="338" t="str">
        <v xml:space="preserve"> </v>
      </c>
      <c r="AS79" s="338" t="str">
        <v xml:space="preserve"> </v>
      </c>
      <c r="AT79" s="338" t="str">
        <v xml:space="preserve"> </v>
      </c>
      <c r="AU79" s="338" t="str">
        <v xml:space="preserve"> </v>
      </c>
      <c r="AV79" s="338" t="str">
        <v xml:space="preserve"> </v>
      </c>
      <c r="AW79" s="338" t="str">
        <v xml:space="preserve"> </v>
      </c>
      <c r="AX79" s="338" t="str">
        <v xml:space="preserve"> </v>
      </c>
      <c r="AY79" s="338" t="str">
        <v xml:space="preserve"> </v>
      </c>
      <c r="AZ79" s="338" t="str">
        <v xml:space="preserve"> </v>
      </c>
      <c r="BA79" s="338" t="str">
        <v xml:space="preserve"> </v>
      </c>
      <c r="BC79" s="347" t="s">
        <v>57</v>
      </c>
      <c r="BD79" s="345">
        <f>IFERROR('WL (1)'!$S20,"-")</f>
        <v>0</v>
      </c>
      <c r="BE79" s="345">
        <f>IFERROR('WL (2)'!$S20,"-")</f>
        <v>2896.63710141</v>
      </c>
      <c r="BF79" s="345">
        <f>IFERROR('WL (3)'!$S20,"-")</f>
        <v>5645.7298960350017</v>
      </c>
      <c r="BG79" s="345">
        <f>IFERROR('WL (4)'!$S20,"-")</f>
        <v>9156.6247135349931</v>
      </c>
      <c r="BH79" s="345">
        <f>IFERROR('WL (5)'!$S20,"-")</f>
        <v>12036.26671356</v>
      </c>
      <c r="BI79" s="345">
        <f>IFERROR('WL (6)'!$S20,"-")</f>
        <v>14611.419169635001</v>
      </c>
      <c r="BJ79" s="345">
        <f>IFERROR('WL (7)'!$S20,"-")</f>
        <v>9219.630026460005</v>
      </c>
      <c r="BK79" s="345">
        <f>IFERROR('WL (8)'!$S20,"-")</f>
        <v>-5575.9514035650054</v>
      </c>
      <c r="BL79" s="345">
        <f>IFERROR('WL (9)'!$S20,"-")</f>
        <v>-20763.758612790021</v>
      </c>
      <c r="BM79" s="345">
        <f>IFERROR('WL (10)'!$S20,"-")</f>
        <v>-33269.250853889986</v>
      </c>
      <c r="BN79" s="345">
        <f>IFERROR('WL (11)'!$S20,"-")</f>
        <v>-62708.299028639973</v>
      </c>
      <c r="BO79" s="345">
        <f>IFERROR('WL (12)'!$S20,"-")</f>
        <v>-84449.021579347405</v>
      </c>
      <c r="BP79" s="345" t="str">
        <f>IFERROR('WL (13)'!$S20,"-")</f>
        <v xml:space="preserve">  </v>
      </c>
      <c r="BQ79" s="345" t="str">
        <f>IFERROR('WL (14)'!$S20,"-")</f>
        <v xml:space="preserve">  </v>
      </c>
      <c r="BR79" s="345" t="str">
        <f>IFERROR('WL (15)'!$S20,"-")</f>
        <v xml:space="preserve">  </v>
      </c>
      <c r="BS79" s="345" t="str">
        <f>IFERROR('WL (16)'!$S20,"-")</f>
        <v xml:space="preserve">  </v>
      </c>
      <c r="BT79" s="345" t="str">
        <f>IFERROR('WL (17)'!$S20,"-")</f>
        <v xml:space="preserve">  </v>
      </c>
      <c r="BU79" s="345" t="str">
        <f>IFERROR('WL (18)'!$S20,"-")</f>
        <v xml:space="preserve">  </v>
      </c>
      <c r="BV79" s="345" t="str">
        <f>IFERROR('WL (19)'!$S20,"-")</f>
        <v xml:space="preserve">  </v>
      </c>
      <c r="BW79" s="345" t="str">
        <f>IFERROR('WL (20)'!$S20,"-")</f>
        <v xml:space="preserve">  </v>
      </c>
      <c r="BX79" s="345" t="str">
        <f>IFERROR('WL (21)'!$S20,"-")</f>
        <v xml:space="preserve">  </v>
      </c>
      <c r="BY79" s="345" t="str">
        <f>IFERROR('WL (22)'!$S20,"-")</f>
        <v xml:space="preserve">  </v>
      </c>
      <c r="BZ79" s="345" t="str">
        <f>IFERROR('WL (23)'!$S20,"-")</f>
        <v xml:space="preserve">  </v>
      </c>
      <c r="CA79" s="345" t="str">
        <f>IFERROR('WL (24)'!$S20,"-")</f>
        <v xml:space="preserve">  </v>
      </c>
      <c r="CB79" s="345" t="str">
        <f>IFERROR('WL (25)'!$S20,"-")</f>
        <v xml:space="preserve">  </v>
      </c>
      <c r="CD79" s="171" t="str">
        <f>CONCATENATE(Tools!F193,Tools!G193,Tools!H193,Tools!I193,Tools!J193,Tools!K193,Tools!L193,Tools!M193,Tools!N193,Tools!O193,Tools!P193,Tools!Q193,Tools!R193,Tools!S193,Tools!T193,Tools!U193,Tools!V193,Tools!W193,Tools!X193,Tools!Y193,Tools!Z193,Tools!AA193,Tools!AB193,Tools!AC193,Tools!AD193,Tools!AE193," ")</f>
        <v xml:space="preserve">Spline 0,0 0.105,0.9 0.246,1.8 0.403,2.7 0.575,3.6 0.945,5.4 1.348,7.2 1.783,9 2.068,10.1 2.259,10.8 2.762,12.6 3.229,14.19  </v>
      </c>
      <c r="CE79" s="163" t="str">
        <f>CONCATENATE(Tools!F205,Tools!G205,Tools!H205,Tools!I205,Tools!J205,Tools!K205,Tools!L205,Tools!M205,Tools!N205,Tools!O205,Tools!P205,Tools!Q205,Tools!R205,Tools!S205,Tools!T205,Tools!U205,Tools!V205,Tools!W205,Tools!X205,Tools!Y205,Tools!Z205,Tools!AA205,Tools!AB205,Tools!AC205,Tools!AD205,Tools!AE205," ")</f>
        <v xml:space="preserve">Spline 0,0 0.09,0.9 0.18,1.8 0.27,2.7 0.36,3.6 0.54,5.4 0.72,7.2 0.9,9 1.01,10.1 1.08,10.8 1.26,12.6 1.419,14.19  </v>
      </c>
      <c r="CF79" s="143"/>
      <c r="CM79" s="262">
        <v>18</v>
      </c>
      <c r="CN79" s="262">
        <f t="shared" si="111"/>
        <v>0</v>
      </c>
      <c r="CO79" s="262" t="str">
        <f t="shared" si="112"/>
        <v xml:space="preserve">  </v>
      </c>
      <c r="CP79" s="262" t="str">
        <f t="shared" si="113"/>
        <v xml:space="preserve"> </v>
      </c>
      <c r="CQ79" s="262" t="e">
        <f t="shared" ref="CQ79" si="153">CO79*WLS</f>
        <v>#VALUE!</v>
      </c>
      <c r="CR79" s="262" t="e">
        <f t="shared" si="115"/>
        <v>#VALUE!</v>
      </c>
      <c r="CS79" s="262"/>
      <c r="CT79" s="325">
        <v>4</v>
      </c>
      <c r="CU79" s="262" t="str">
        <f t="shared" ref="CU79" si="154">IF(CT79&lt;=(No_of_BTKs+1),CT79," ")</f>
        <v xml:space="preserve"> </v>
      </c>
      <c r="CV79" s="262" t="str">
        <f t="shared" ref="CV79" si="155">IF(CU79&lt;=No_of_BTKs,CONCATENATE("BTK ",CU79),IF(CU79=No_of_BTKs+1,"SIDE"," "))</f>
        <v xml:space="preserve"> </v>
      </c>
      <c r="CW79" s="262" t="str">
        <f>IFERROR(BREADTH/2/(No_of_BTKs+1)*CU79," ")</f>
        <v xml:space="preserve"> </v>
      </c>
      <c r="CX79" s="262" t="str">
        <f>CW79</f>
        <v xml:space="preserve"> </v>
      </c>
      <c r="CY79" s="262"/>
      <c r="CZ79" s="262"/>
      <c r="DA79" s="262"/>
      <c r="DB79" s="325">
        <f t="shared" si="122"/>
        <v>15</v>
      </c>
      <c r="DC79" s="262" t="str">
        <f t="shared" si="123"/>
        <v>STN 15</v>
      </c>
      <c r="DD79" s="262">
        <f t="shared" si="124"/>
        <v>15</v>
      </c>
      <c r="DE79" s="262">
        <f t="shared" si="125"/>
        <v>15</v>
      </c>
    </row>
    <row r="80" spans="1:142" x14ac:dyDescent="0.25">
      <c r="A80" s="341">
        <f t="shared" si="129"/>
        <v>8</v>
      </c>
      <c r="B80" s="336">
        <f t="array" ref="B80:Z80">TRANSPOSE('Stn(11)'!D4:D28)</f>
        <v>0</v>
      </c>
      <c r="C80" s="336">
        <v>14.9145</v>
      </c>
      <c r="D80" s="336">
        <v>34.734000000000002</v>
      </c>
      <c r="E80" s="336">
        <v>55.390500000000003</v>
      </c>
      <c r="F80" s="336">
        <v>77.412000000000006</v>
      </c>
      <c r="G80" s="336">
        <v>121.518</v>
      </c>
      <c r="H80" s="336">
        <v>165.52800000000002</v>
      </c>
      <c r="I80" s="336">
        <v>209.71800000000002</v>
      </c>
      <c r="J80" s="336">
        <v>236.66800000000001</v>
      </c>
      <c r="K80" s="336">
        <v>253.72800000000001</v>
      </c>
      <c r="L80" s="336">
        <v>297.91800000000001</v>
      </c>
      <c r="M80" s="336">
        <v>336.87299999999999</v>
      </c>
      <c r="N80" s="336" t="str">
        <v xml:space="preserve"> </v>
      </c>
      <c r="O80" s="336" t="str">
        <v xml:space="preserve"> </v>
      </c>
      <c r="P80" s="336" t="str">
        <v xml:space="preserve"> </v>
      </c>
      <c r="Q80" s="336" t="str">
        <v xml:space="preserve"> </v>
      </c>
      <c r="R80" s="336" t="str">
        <v xml:space="preserve"> </v>
      </c>
      <c r="S80" s="336" t="str">
        <v xml:space="preserve"> </v>
      </c>
      <c r="T80" s="336" t="str">
        <v xml:space="preserve"> </v>
      </c>
      <c r="U80" s="336" t="str">
        <v xml:space="preserve"> </v>
      </c>
      <c r="V80" s="336" t="str">
        <v xml:space="preserve"> </v>
      </c>
      <c r="W80" s="336" t="str">
        <v xml:space="preserve"> </v>
      </c>
      <c r="X80" s="336" t="str">
        <v xml:space="preserve"> </v>
      </c>
      <c r="Y80" s="336" t="str">
        <v xml:space="preserve"> </v>
      </c>
      <c r="Z80" s="336" t="str">
        <v xml:space="preserve"> </v>
      </c>
      <c r="AB80" s="337">
        <f t="shared" si="127"/>
        <v>8</v>
      </c>
      <c r="AC80" s="338">
        <f t="array" ref="AC80:BA80">TRANSPOSE('Stn(11)'!E4:E28)</f>
        <v>0</v>
      </c>
      <c r="AD80" s="338">
        <v>7.2866250000000008</v>
      </c>
      <c r="AE80" s="338">
        <v>34.203600000000002</v>
      </c>
      <c r="AF80" s="338">
        <v>81.083025000000006</v>
      </c>
      <c r="AG80" s="338">
        <v>149.88240000000002</v>
      </c>
      <c r="AH80" s="338">
        <v>348.57</v>
      </c>
      <c r="AI80" s="338">
        <v>625.86000000000013</v>
      </c>
      <c r="AJ80" s="338">
        <v>983.61000000000013</v>
      </c>
      <c r="AK80" s="338">
        <v>1240.9825000000001</v>
      </c>
      <c r="AL80" s="338">
        <v>1419.6600000000003</v>
      </c>
      <c r="AM80" s="338">
        <v>1936.17</v>
      </c>
      <c r="AN80" s="338">
        <v>2457.9722249999995</v>
      </c>
      <c r="AO80" s="338" t="str">
        <v xml:space="preserve"> </v>
      </c>
      <c r="AP80" s="338" t="str">
        <v xml:space="preserve"> </v>
      </c>
      <c r="AQ80" s="338" t="str">
        <v xml:space="preserve"> </v>
      </c>
      <c r="AR80" s="338" t="str">
        <v xml:space="preserve"> </v>
      </c>
      <c r="AS80" s="338" t="str">
        <v xml:space="preserve"> </v>
      </c>
      <c r="AT80" s="338" t="str">
        <v xml:space="preserve"> </v>
      </c>
      <c r="AU80" s="338" t="str">
        <v xml:space="preserve"> </v>
      </c>
      <c r="AV80" s="338" t="str">
        <v xml:space="preserve"> </v>
      </c>
      <c r="AW80" s="338" t="str">
        <v xml:space="preserve"> </v>
      </c>
      <c r="AX80" s="338" t="str">
        <v xml:space="preserve"> </v>
      </c>
      <c r="AY80" s="338" t="str">
        <v xml:space="preserve"> </v>
      </c>
      <c r="AZ80" s="338" t="str">
        <v xml:space="preserve"> </v>
      </c>
      <c r="BA80" s="338" t="str">
        <v xml:space="preserve"> </v>
      </c>
      <c r="BC80" s="347" t="s">
        <v>60</v>
      </c>
      <c r="BD80" s="345" t="str">
        <f>IFERROR('WL (1)'!$S21,"-")</f>
        <v>-</v>
      </c>
      <c r="BE80" s="345">
        <f>IFERROR('WL (2)'!$S21,"-")</f>
        <v>740.87722632754856</v>
      </c>
      <c r="BF80" s="345">
        <f>IFERROR('WL (3)'!$S21,"-")</f>
        <v>416.93892008227203</v>
      </c>
      <c r="BG80" s="345">
        <f>IFERROR('WL (4)'!$S21,"-")</f>
        <v>302.23399834437083</v>
      </c>
      <c r="BH80" s="345">
        <f>IFERROR('WL (5)'!$S21,"-")</f>
        <v>238.64115434517277</v>
      </c>
      <c r="BI80" s="345">
        <f>IFERROR('WL (6)'!$S21,"-")</f>
        <v>177.84564310957404</v>
      </c>
      <c r="BJ80" s="345">
        <f>IFERROR('WL (7)'!$S21,"-")</f>
        <v>146.85502081578153</v>
      </c>
      <c r="BK80" s="345">
        <f>IFERROR('WL (8)'!$S21,"-")</f>
        <v>138.32304969774685</v>
      </c>
      <c r="BL80" s="345">
        <f>IFERROR('WL (9)'!$S21,"-")</f>
        <v>138.59375170181102</v>
      </c>
      <c r="BM80" s="345">
        <f>IFERROR('WL (10)'!$S21,"-")</f>
        <v>135.6390738726808</v>
      </c>
      <c r="BN80" s="345">
        <f>IFERROR('WL (11)'!$S21,"-")</f>
        <v>124.72765851045234</v>
      </c>
      <c r="BO80" s="345">
        <f>IFERROR('WL (12)'!$S21,"-")</f>
        <v>120.07237903703867</v>
      </c>
      <c r="BP80" s="345" t="str">
        <f>IFERROR('WL (13)'!$S21,"-")</f>
        <v xml:space="preserve">  </v>
      </c>
      <c r="BQ80" s="345" t="str">
        <f>IFERROR('WL (14)'!$S21,"-")</f>
        <v xml:space="preserve">  </v>
      </c>
      <c r="BR80" s="345" t="str">
        <f>IFERROR('WL (15)'!$S21,"-")</f>
        <v xml:space="preserve">  </v>
      </c>
      <c r="BS80" s="345" t="str">
        <f>IFERROR('WL (16)'!$S21,"-")</f>
        <v xml:space="preserve">  </v>
      </c>
      <c r="BT80" s="345" t="str">
        <f>IFERROR('WL (17)'!$S21,"-")</f>
        <v xml:space="preserve">  </v>
      </c>
      <c r="BU80" s="345" t="str">
        <f>IFERROR('WL (18)'!$S21,"-")</f>
        <v xml:space="preserve">  </v>
      </c>
      <c r="BV80" s="345" t="str">
        <f>IFERROR('WL (19)'!$S21,"-")</f>
        <v xml:space="preserve">  </v>
      </c>
      <c r="BW80" s="345" t="str">
        <f>IFERROR('WL (20)'!$S21,"-")</f>
        <v xml:space="preserve">  </v>
      </c>
      <c r="BX80" s="345" t="str">
        <f>IFERROR('WL (21)'!$S21,"-")</f>
        <v xml:space="preserve">  </v>
      </c>
      <c r="BY80" s="345" t="str">
        <f>IFERROR('WL (22)'!$S21,"-")</f>
        <v xml:space="preserve">  </v>
      </c>
      <c r="BZ80" s="345" t="str">
        <f>IFERROR('WL (23)'!$S21,"-")</f>
        <v xml:space="preserve">  </v>
      </c>
      <c r="CA80" s="345" t="str">
        <f>IFERROR('WL (24)'!$S21,"-")</f>
        <v xml:space="preserve">  </v>
      </c>
      <c r="CB80" s="345" t="str">
        <f>IFERROR('WL (25)'!$S21,"-")</f>
        <v xml:space="preserve">  </v>
      </c>
      <c r="CD80" s="171" t="str">
        <f>CONCATENATE(Tools!F194,Tools!G194,Tools!H194,Tools!I194,Tools!J194,Tools!K194,Tools!L194,Tools!M194,Tools!N194,Tools!O194,Tools!P194,Tools!Q194,Tools!R194,Tools!S194,Tools!T194,Tools!U194,Tools!V194,Tools!W194,Tools!X194,Tools!Y194,Tools!Z194,Tools!AA194,Tools!AB194,Tools!AC194,Tools!AD194,Tools!AE194," ")</f>
        <v xml:space="preserve">Spline 0,0 0.108,0.9 0.254,1.8 0.415,2.7 0.593,3.6 0.974,5.4 1.39,7.2 1.838,9 2.133,10.1 2.33,10.8 2.848,12.6 3.329,14.19  </v>
      </c>
      <c r="CE80" s="163" t="str">
        <f>CONCATENATE(Tools!F206,Tools!G206,Tools!H206,Tools!I206,Tools!J206,Tools!K206,Tools!L206,Tools!M206,Tools!N206,Tools!O206,Tools!P206,Tools!Q206,Tools!R206,Tools!S206,Tools!T206,Tools!U206,Tools!V206,Tools!W206,Tools!X206,Tools!Y206,Tools!Z206,Tools!AA206,Tools!AB206,Tools!AC206,Tools!AD206,Tools!AE206," ")</f>
        <v xml:space="preserve">Spline 3.796,0 4.985,0.9 5.391,1.8 5.733,2.7 6.058,3.6 6.671,5.4 7.2,7.2 7.837,9 8.27,10.1 8.479,10.8 8.87,12.6 9.324,14.19  </v>
      </c>
      <c r="CF80" s="143"/>
      <c r="CM80" s="262">
        <v>19</v>
      </c>
      <c r="CN80" s="262">
        <f t="shared" si="111"/>
        <v>0</v>
      </c>
      <c r="CO80" s="262" t="str">
        <f t="shared" si="112"/>
        <v xml:space="preserve">  </v>
      </c>
      <c r="CP80" s="262" t="str">
        <f t="shared" si="113"/>
        <v xml:space="preserve"> </v>
      </c>
      <c r="CQ80" s="262" t="e">
        <f t="shared" ref="CQ80" si="156">CO80*WLS</f>
        <v>#VALUE!</v>
      </c>
      <c r="CR80" s="262" t="e">
        <f t="shared" si="115"/>
        <v>#VALUE!</v>
      </c>
      <c r="CS80" s="262"/>
      <c r="CT80" s="325">
        <v>5</v>
      </c>
      <c r="CU80" s="262" t="str">
        <f t="shared" ref="CU80" si="157">IF(CT80&lt;=(No_of_BTKs+1),CT80," ")</f>
        <v xml:space="preserve"> </v>
      </c>
      <c r="CV80" s="262" t="str">
        <f t="shared" ref="CV80" si="158">IF(CU80&lt;=No_of_BTKs,CONCATENATE("BTK ",CU80),IF(CU80=No_of_BTKs+1,"SIDE"," "))</f>
        <v xml:space="preserve"> </v>
      </c>
      <c r="CW80" s="262" t="str">
        <f t="shared" ref="CW80:CW85" si="159">CV80</f>
        <v xml:space="preserve"> </v>
      </c>
      <c r="CX80" s="262"/>
      <c r="CY80" s="262"/>
      <c r="CZ80" s="262"/>
      <c r="DA80" s="262"/>
      <c r="DB80" s="325">
        <f t="shared" si="122"/>
        <v>16</v>
      </c>
      <c r="DC80" s="262" t="str">
        <f t="shared" si="123"/>
        <v>STN 16</v>
      </c>
      <c r="DD80" s="262">
        <f t="shared" si="124"/>
        <v>16</v>
      </c>
      <c r="DE80" s="262">
        <f t="shared" si="125"/>
        <v>16</v>
      </c>
      <c r="DN80" s="129" t="str">
        <f>CONCATENATE(DN28,DN29,DN30,DN31,DN32,DN33,DN34,DN35,DN36,DN37,DN38,DN39,DN40,DN41,DN42,DN43,DN44,DN45,DN46,DN47,DN48,DN49,DN50,DN51,DN52,DN53,DN54,DN55,DN56,DN57,DN58,DN59,DN60,DN61,DN62,DN63,DN64,DN65,DN66,DN67,DN68,DN69,DN70,DN71,DN72,DN73,DN74,DN75,DN76,DN77)</f>
        <v/>
      </c>
      <c r="DO80" s="129" t="str">
        <f t="shared" ref="DO80:EL80" si="160">CONCATENATE(DO28,DO29,DO30,DO31,DO32,DO33,DO34,DO35,DO36,DO37,DO38,DO39,DO40,DO41,DO42,DO43,DO44,DO45,DO46,DO47,DO48,DO49,DO50,DO51,DO52,DO53,DO54,DO55,DO56,DO57,DO58,DO59,DO60,DO61,DO62,DO63,DO64,DO65,DO66,DO67,DO68,DO69,DO70,DO71,DO72,DO73,DO74,DO75,DO76,DO77)</f>
        <v/>
      </c>
      <c r="DP80" s="129" t="str">
        <f t="shared" si="160"/>
        <v/>
      </c>
      <c r="DQ80" s="129" t="str">
        <f t="shared" si="160"/>
        <v/>
      </c>
      <c r="DR80" s="129" t="str">
        <f t="shared" si="160"/>
        <v/>
      </c>
      <c r="DS80" s="129" t="str">
        <f t="shared" si="160"/>
        <v/>
      </c>
      <c r="DT80" s="129" t="str">
        <f t="shared" si="160"/>
        <v/>
      </c>
      <c r="DU80" s="129" t="str">
        <f t="shared" si="160"/>
        <v/>
      </c>
      <c r="DV80" s="129" t="str">
        <f t="shared" si="160"/>
        <v/>
      </c>
      <c r="DW80" s="129" t="str">
        <f t="shared" si="160"/>
        <v/>
      </c>
      <c r="DX80" s="129" t="str">
        <f t="shared" si="160"/>
        <v/>
      </c>
      <c r="DY80" s="129" t="str">
        <f t="shared" si="160"/>
        <v/>
      </c>
      <c r="DZ80" s="129" t="str">
        <f t="shared" si="160"/>
        <v/>
      </c>
      <c r="EA80" s="129" t="str">
        <f t="shared" si="160"/>
        <v/>
      </c>
      <c r="EB80" s="129" t="str">
        <f t="shared" si="160"/>
        <v/>
      </c>
      <c r="EC80" s="129" t="str">
        <f t="shared" si="160"/>
        <v/>
      </c>
      <c r="ED80" s="129" t="str">
        <f t="shared" si="160"/>
        <v/>
      </c>
      <c r="EE80" s="129" t="str">
        <f t="shared" si="160"/>
        <v/>
      </c>
      <c r="EF80" s="129" t="str">
        <f t="shared" si="160"/>
        <v/>
      </c>
      <c r="EG80" s="129" t="str">
        <f t="shared" si="160"/>
        <v/>
      </c>
      <c r="EH80" s="129" t="str">
        <f t="shared" si="160"/>
        <v/>
      </c>
      <c r="EI80" s="129" t="str">
        <f t="shared" si="160"/>
        <v/>
      </c>
      <c r="EJ80" s="129" t="str">
        <f t="shared" si="160"/>
        <v/>
      </c>
      <c r="EK80" s="129" t="str">
        <f t="shared" si="160"/>
        <v/>
      </c>
      <c r="EL80" s="129" t="str">
        <f t="shared" si="160"/>
        <v/>
      </c>
    </row>
    <row r="81" spans="1:142" x14ac:dyDescent="0.25">
      <c r="A81" s="341">
        <f t="shared" si="129"/>
        <v>9</v>
      </c>
      <c r="B81" s="336">
        <f t="array" ref="B81:Z81">TRANSPOSE('Stn(12)'!D4:D28)</f>
        <v>0</v>
      </c>
      <c r="C81" s="336">
        <v>16.577999999999999</v>
      </c>
      <c r="D81" s="336">
        <v>37.223999999999997</v>
      </c>
      <c r="E81" s="336">
        <v>58.445999999999998</v>
      </c>
      <c r="F81" s="336">
        <v>80.693999999999988</v>
      </c>
      <c r="G81" s="336">
        <v>124.78799999999998</v>
      </c>
      <c r="H81" s="336">
        <v>168.89400000000001</v>
      </c>
      <c r="I81" s="336">
        <v>212.988</v>
      </c>
      <c r="J81" s="336">
        <v>239.93799999999999</v>
      </c>
      <c r="K81" s="336">
        <v>257.09399999999999</v>
      </c>
      <c r="L81" s="336">
        <v>301.18799999999999</v>
      </c>
      <c r="M81" s="336">
        <v>340.14299999999997</v>
      </c>
      <c r="N81" s="336" t="str">
        <v xml:space="preserve"> </v>
      </c>
      <c r="O81" s="336" t="str">
        <v xml:space="preserve"> </v>
      </c>
      <c r="P81" s="336" t="str">
        <v xml:space="preserve"> </v>
      </c>
      <c r="Q81" s="336" t="str">
        <v xml:space="preserve"> </v>
      </c>
      <c r="R81" s="336" t="str">
        <v xml:space="preserve"> </v>
      </c>
      <c r="S81" s="336" t="str">
        <v xml:space="preserve"> </v>
      </c>
      <c r="T81" s="336" t="str">
        <v xml:space="preserve"> </v>
      </c>
      <c r="U81" s="336" t="str">
        <v xml:space="preserve"> </v>
      </c>
      <c r="V81" s="336" t="str">
        <v xml:space="preserve"> </v>
      </c>
      <c r="W81" s="336" t="str">
        <v xml:space="preserve"> </v>
      </c>
      <c r="X81" s="336" t="str">
        <v xml:space="preserve"> </v>
      </c>
      <c r="Y81" s="336" t="str">
        <v xml:space="preserve"> </v>
      </c>
      <c r="Z81" s="336" t="str">
        <v xml:space="preserve"> </v>
      </c>
      <c r="AB81" s="337">
        <f t="shared" si="127"/>
        <v>9</v>
      </c>
      <c r="AC81" s="338">
        <f t="array" ref="AC81:BA81">TRANSPOSE('Stn(12)'!E4:E28)</f>
        <v>0</v>
      </c>
      <c r="AD81" s="338">
        <v>7.9434000000000013</v>
      </c>
      <c r="AE81" s="338">
        <v>35.942400000000006</v>
      </c>
      <c r="AF81" s="338">
        <v>84.02940000000001</v>
      </c>
      <c r="AG81" s="338">
        <v>153.5976</v>
      </c>
      <c r="AH81" s="338">
        <v>352.31760000000003</v>
      </c>
      <c r="AI81" s="338">
        <v>629.87760000000003</v>
      </c>
      <c r="AJ81" s="338">
        <v>987.35760000000005</v>
      </c>
      <c r="AK81" s="338">
        <v>1244.7300999999998</v>
      </c>
      <c r="AL81" s="338">
        <v>1423.6776</v>
      </c>
      <c r="AM81" s="338">
        <v>1939.9176000000002</v>
      </c>
      <c r="AN81" s="338">
        <v>2461.7198250000001</v>
      </c>
      <c r="AO81" s="338" t="str">
        <v xml:space="preserve"> </v>
      </c>
      <c r="AP81" s="338" t="str">
        <v xml:space="preserve"> </v>
      </c>
      <c r="AQ81" s="338" t="str">
        <v xml:space="preserve"> </v>
      </c>
      <c r="AR81" s="338" t="str">
        <v xml:space="preserve"> </v>
      </c>
      <c r="AS81" s="338" t="str">
        <v xml:space="preserve"> </v>
      </c>
      <c r="AT81" s="338" t="str">
        <v xml:space="preserve"> </v>
      </c>
      <c r="AU81" s="338" t="str">
        <v xml:space="preserve"> </v>
      </c>
      <c r="AV81" s="338" t="str">
        <v xml:space="preserve"> </v>
      </c>
      <c r="AW81" s="338" t="str">
        <v xml:space="preserve"> </v>
      </c>
      <c r="AX81" s="338" t="str">
        <v xml:space="preserve"> </v>
      </c>
      <c r="AY81" s="338" t="str">
        <v xml:space="preserve"> </v>
      </c>
      <c r="AZ81" s="338" t="str">
        <v xml:space="preserve"> </v>
      </c>
      <c r="BA81" s="338" t="str">
        <v xml:space="preserve"> </v>
      </c>
      <c r="BC81" s="347" t="s">
        <v>63</v>
      </c>
      <c r="BD81" s="345" t="str">
        <f>IFERROR('WL (1)'!$S22,"-")</f>
        <v>-</v>
      </c>
      <c r="BE81" s="345">
        <f>IFERROR('WL (2)'!$S22,"-")</f>
        <v>34.330959818219092</v>
      </c>
      <c r="BF81" s="345">
        <f>IFERROR('WL (3)'!$S22,"-")</f>
        <v>20.808170084490925</v>
      </c>
      <c r="BG81" s="345">
        <f>IFERROR('WL (4)'!$S22,"-")</f>
        <v>15.460421944015458</v>
      </c>
      <c r="BH81" s="345">
        <f>IFERROR('WL (5)'!$S22,"-")</f>
        <v>12.31527536219439</v>
      </c>
      <c r="BI81" s="345">
        <f>IFERROR('WL (6)'!$S22,"-")</f>
        <v>8.8455514525718755</v>
      </c>
      <c r="BJ81" s="345">
        <f>IFERROR('WL (7)'!$S22,"-")</f>
        <v>7.0815909109820385</v>
      </c>
      <c r="BK81" s="345">
        <f>IFERROR('WL (8)'!$S22,"-")</f>
        <v>6.010710353706286</v>
      </c>
      <c r="BL81" s="345">
        <f>IFERROR('WL (9)'!$S22,"-")</f>
        <v>5.5212354706263591</v>
      </c>
      <c r="BM81" s="345">
        <f>IFERROR('WL (10)'!$S22,"-")</f>
        <v>5.2501061184997999</v>
      </c>
      <c r="BN81" s="345">
        <f>IFERROR('WL (11)'!$S22,"-")</f>
        <v>4.640255403108732</v>
      </c>
      <c r="BO81" s="345">
        <f>IFERROR('WL (12)'!$S22,"-")</f>
        <v>4.361287587878075</v>
      </c>
      <c r="BP81" s="345" t="str">
        <f>IFERROR('WL (13)'!$S22,"-")</f>
        <v xml:space="preserve">  </v>
      </c>
      <c r="BQ81" s="345" t="str">
        <f>IFERROR('WL (14)'!$S22,"-")</f>
        <v xml:space="preserve">  </v>
      </c>
      <c r="BR81" s="345" t="str">
        <f>IFERROR('WL (15)'!$S22,"-")</f>
        <v xml:space="preserve">  </v>
      </c>
      <c r="BS81" s="345" t="str">
        <f>IFERROR('WL (16)'!$S22,"-")</f>
        <v xml:space="preserve">  </v>
      </c>
      <c r="BT81" s="345" t="str">
        <f>IFERROR('WL (17)'!$S22,"-")</f>
        <v xml:space="preserve">  </v>
      </c>
      <c r="BU81" s="345" t="str">
        <f>IFERROR('WL (18)'!$S22,"-")</f>
        <v xml:space="preserve">  </v>
      </c>
      <c r="BV81" s="345" t="str">
        <f>IFERROR('WL (19)'!$S22,"-")</f>
        <v xml:space="preserve">  </v>
      </c>
      <c r="BW81" s="345" t="str">
        <f>IFERROR('WL (20)'!$S22,"-")</f>
        <v xml:space="preserve">  </v>
      </c>
      <c r="BX81" s="345" t="str">
        <f>IFERROR('WL (21)'!$S22,"-")</f>
        <v xml:space="preserve">  </v>
      </c>
      <c r="BY81" s="345" t="str">
        <f>IFERROR('WL (22)'!$S22,"-")</f>
        <v xml:space="preserve">  </v>
      </c>
      <c r="BZ81" s="345" t="str">
        <f>IFERROR('WL (23)'!$S22,"-")</f>
        <v xml:space="preserve">  </v>
      </c>
      <c r="CA81" s="345" t="str">
        <f>IFERROR('WL (24)'!$S22,"-")</f>
        <v xml:space="preserve">  </v>
      </c>
      <c r="CB81" s="345" t="str">
        <f>IFERROR('WL (25)'!$S22,"-")</f>
        <v xml:space="preserve">  </v>
      </c>
      <c r="CD81" s="171" t="str">
        <f>CONCATENATE(Tools!F195,Tools!G195,Tools!H195,Tools!I195,Tools!J195,Tools!K195,Tools!L195,Tools!M195,Tools!N195,Tools!O195,Tools!P195,Tools!Q195,Tools!R195,Tools!S195,Tools!T195,Tools!U195,Tools!V195,Tools!W195,Tools!X195,Tools!Y195,Tools!Z195,Tools!AA195,Tools!AB195,Tools!AC195,Tools!AD195,Tools!AE195," ")</f>
        <v xml:space="preserve">Spline 0,0 0.005,0.9 0.024,1.8 0.06,2.7 0.114,3.6 0.281,5.4 0.535,7.2 0.888,9 1.161,10.1 1.36,10.8 1.95,12.6 2.575,14.19  </v>
      </c>
      <c r="CE81" s="163" t="str">
        <f>CONCATENATE(Tools!F207,Tools!G207,Tools!H207,Tools!I207,Tools!J207,Tools!K207,Tools!L207,Tools!M207,Tools!N207,Tools!O207,Tools!P207,Tools!Q207,Tools!R207,Tools!S207,Tools!T207,Tools!U207,Tools!V207,Tools!W207,Tools!X207,Tools!Y207,Tools!Z207,Tools!AA207,Tools!AB207,Tools!AC207,Tools!AD207,Tools!AE207," ")</f>
        <v xml:space="preserve">Spline 4.08,0.9 4.42,1.8 4.667,2.7 4.951,3.6 5.422,5.4 5.804,7.2 6.139,9 6.346,10.1 6.483,10.8 6.794,12.6 7.052,14.19  </v>
      </c>
      <c r="CF81" s="143"/>
      <c r="CM81" s="262">
        <v>20</v>
      </c>
      <c r="CN81" s="262">
        <f t="shared" si="111"/>
        <v>0</v>
      </c>
      <c r="CO81" s="262" t="str">
        <f t="shared" si="112"/>
        <v xml:space="preserve">  </v>
      </c>
      <c r="CP81" s="262" t="str">
        <f t="shared" si="113"/>
        <v xml:space="preserve"> </v>
      </c>
      <c r="CQ81" s="262" t="e">
        <f t="shared" ref="CQ81" si="161">CO81*WLS</f>
        <v>#VALUE!</v>
      </c>
      <c r="CR81" s="262" t="e">
        <f t="shared" si="115"/>
        <v>#VALUE!</v>
      </c>
      <c r="CS81" s="262"/>
      <c r="CT81" s="325">
        <v>6</v>
      </c>
      <c r="CU81" s="262" t="str">
        <f t="shared" ref="CU81" si="162">IF(CT81&lt;=(No_of_BTKs+1),CT81," ")</f>
        <v xml:space="preserve"> </v>
      </c>
      <c r="CV81" s="262" t="str">
        <f t="shared" ref="CV81" si="163">IF(CU81&lt;=No_of_BTKs,CONCATENATE("BTK ",CU81),IF(CU81=No_of_BTKs+1,"SIDE"," "))</f>
        <v xml:space="preserve"> </v>
      </c>
      <c r="CW81" s="262" t="str">
        <f t="shared" si="159"/>
        <v xml:space="preserve"> </v>
      </c>
      <c r="CX81" s="262"/>
      <c r="CY81" s="262"/>
      <c r="CZ81" s="262"/>
      <c r="DA81" s="262"/>
      <c r="DB81" s="325">
        <f t="shared" si="122"/>
        <v>17</v>
      </c>
      <c r="DC81" s="262" t="str">
        <f t="shared" si="123"/>
        <v>STN 17</v>
      </c>
      <c r="DD81" s="262">
        <f t="shared" si="124"/>
        <v>17</v>
      </c>
      <c r="DE81" s="262">
        <f t="shared" si="125"/>
        <v>17</v>
      </c>
      <c r="DN81" s="129" t="str">
        <f>CONCATENATE(DN53,DN54,DN55,DN56,DN57,DN58,DN59,DN60,DN61,DN62,DN63,DN64,DN65,DN66,DN67,DN68,DN69,DN70,DN71,DN72,DN73,DN74,DN75,DN76,DN77)</f>
        <v/>
      </c>
      <c r="DO81" s="129" t="str">
        <f t="shared" ref="DO81:EL81" si="164">CONCATENATE(DO53,DO54,DO55,DO56,DO57,DO58,DO59,DO60,DO61,DO62,DO63,DO64,DO65,DO66,DO67,DO68,DO69,DO70,DO71,DO72,DO73,DO74,DO75,DO76,DO77)</f>
        <v/>
      </c>
      <c r="DP81" s="129" t="str">
        <f t="shared" si="164"/>
        <v/>
      </c>
      <c r="DQ81" s="129" t="str">
        <f t="shared" si="164"/>
        <v/>
      </c>
      <c r="DR81" s="129" t="str">
        <f t="shared" si="164"/>
        <v/>
      </c>
      <c r="DS81" s="129" t="str">
        <f t="shared" si="164"/>
        <v/>
      </c>
      <c r="DT81" s="129" t="str">
        <f t="shared" si="164"/>
        <v/>
      </c>
      <c r="DU81" s="129" t="str">
        <f t="shared" si="164"/>
        <v/>
      </c>
      <c r="DV81" s="129" t="str">
        <f t="shared" si="164"/>
        <v/>
      </c>
      <c r="DW81" s="129" t="str">
        <f t="shared" si="164"/>
        <v/>
      </c>
      <c r="DX81" s="129" t="str">
        <f t="shared" si="164"/>
        <v/>
      </c>
      <c r="DY81" s="129" t="str">
        <f t="shared" si="164"/>
        <v/>
      </c>
      <c r="DZ81" s="129" t="str">
        <f t="shared" si="164"/>
        <v/>
      </c>
      <c r="EA81" s="129" t="str">
        <f t="shared" si="164"/>
        <v/>
      </c>
      <c r="EB81" s="129" t="str">
        <f t="shared" si="164"/>
        <v/>
      </c>
      <c r="EC81" s="129" t="str">
        <f t="shared" si="164"/>
        <v/>
      </c>
      <c r="ED81" s="129" t="str">
        <f t="shared" si="164"/>
        <v/>
      </c>
      <c r="EE81" s="129" t="str">
        <f t="shared" si="164"/>
        <v/>
      </c>
      <c r="EF81" s="129" t="str">
        <f t="shared" si="164"/>
        <v/>
      </c>
      <c r="EG81" s="129" t="str">
        <f t="shared" si="164"/>
        <v/>
      </c>
      <c r="EH81" s="129" t="str">
        <f t="shared" si="164"/>
        <v/>
      </c>
      <c r="EI81" s="129" t="str">
        <f t="shared" si="164"/>
        <v/>
      </c>
      <c r="EJ81" s="129" t="str">
        <f t="shared" si="164"/>
        <v/>
      </c>
      <c r="EK81" s="129" t="str">
        <f t="shared" si="164"/>
        <v/>
      </c>
      <c r="EL81" s="129" t="str">
        <f t="shared" si="164"/>
        <v/>
      </c>
    </row>
    <row r="82" spans="1:142" x14ac:dyDescent="0.25">
      <c r="A82" s="341">
        <f t="shared" si="129"/>
        <v>10</v>
      </c>
      <c r="B82" s="336">
        <f t="array" ref="B82:Z82">TRANSPOSE('Stn(13)'!D4:D28)</f>
        <v>0</v>
      </c>
      <c r="C82" s="336">
        <v>17.4315</v>
      </c>
      <c r="D82" s="336">
        <v>38.021999999999998</v>
      </c>
      <c r="E82" s="336">
        <v>59.443499999999993</v>
      </c>
      <c r="F82" s="336">
        <v>81.563999999999993</v>
      </c>
      <c r="G82" s="336">
        <v>125.63399999999999</v>
      </c>
      <c r="H82" s="336">
        <v>169.76400000000001</v>
      </c>
      <c r="I82" s="336">
        <v>213.834</v>
      </c>
      <c r="J82" s="336">
        <v>240.78399999999999</v>
      </c>
      <c r="K82" s="336">
        <v>257.964</v>
      </c>
      <c r="L82" s="336">
        <v>302.03399999999999</v>
      </c>
      <c r="M82" s="336">
        <v>340.98899999999998</v>
      </c>
      <c r="N82" s="336" t="str">
        <v xml:space="preserve"> </v>
      </c>
      <c r="O82" s="336" t="str">
        <v xml:space="preserve"> </v>
      </c>
      <c r="P82" s="336" t="str">
        <v xml:space="preserve"> </v>
      </c>
      <c r="Q82" s="336" t="str">
        <v xml:space="preserve"> </v>
      </c>
      <c r="R82" s="336" t="str">
        <v xml:space="preserve"> </v>
      </c>
      <c r="S82" s="336" t="str">
        <v xml:space="preserve"> </v>
      </c>
      <c r="T82" s="336" t="str">
        <v xml:space="preserve"> </v>
      </c>
      <c r="U82" s="336" t="str">
        <v xml:space="preserve"> </v>
      </c>
      <c r="V82" s="336" t="str">
        <v xml:space="preserve"> </v>
      </c>
      <c r="W82" s="336" t="str">
        <v xml:space="preserve"> </v>
      </c>
      <c r="X82" s="336" t="str">
        <v xml:space="preserve"> </v>
      </c>
      <c r="Y82" s="336" t="str">
        <v xml:space="preserve"> </v>
      </c>
      <c r="Z82" s="336" t="str">
        <v xml:space="preserve"> </v>
      </c>
      <c r="AB82" s="337">
        <f t="shared" si="127"/>
        <v>10</v>
      </c>
      <c r="AC82" s="338">
        <f t="array" ref="AC82:BA82">TRANSPOSE('Stn(13)'!E4:E28)</f>
        <v>0</v>
      </c>
      <c r="AD82" s="338">
        <v>8.1938250000000004</v>
      </c>
      <c r="AE82" s="338">
        <v>36.115200000000002</v>
      </c>
      <c r="AF82" s="338">
        <v>84.517425000000017</v>
      </c>
      <c r="AG82" s="338">
        <v>153.94320000000002</v>
      </c>
      <c r="AH82" s="338">
        <v>352.57679999999999</v>
      </c>
      <c r="AI82" s="338">
        <v>630.22320000000002</v>
      </c>
      <c r="AJ82" s="338">
        <v>987.61680000000001</v>
      </c>
      <c r="AK82" s="338">
        <v>1244.9892999999997</v>
      </c>
      <c r="AL82" s="338">
        <v>1424.0232000000001</v>
      </c>
      <c r="AM82" s="338">
        <v>1940.1768000000002</v>
      </c>
      <c r="AN82" s="338">
        <v>2461.9790249999996</v>
      </c>
      <c r="AO82" s="338" t="str">
        <v xml:space="preserve"> </v>
      </c>
      <c r="AP82" s="338" t="str">
        <v xml:space="preserve"> </v>
      </c>
      <c r="AQ82" s="338" t="str">
        <v xml:space="preserve"> </v>
      </c>
      <c r="AR82" s="338" t="str">
        <v xml:space="preserve"> </v>
      </c>
      <c r="AS82" s="338" t="str">
        <v xml:space="preserve"> </v>
      </c>
      <c r="AT82" s="338" t="str">
        <v xml:space="preserve"> </v>
      </c>
      <c r="AU82" s="338" t="str">
        <v xml:space="preserve"> </v>
      </c>
      <c r="AV82" s="338" t="str">
        <v xml:space="preserve"> </v>
      </c>
      <c r="AW82" s="338" t="str">
        <v xml:space="preserve"> </v>
      </c>
      <c r="AX82" s="338" t="str">
        <v xml:space="preserve"> </v>
      </c>
      <c r="AY82" s="338" t="str">
        <v xml:space="preserve"> </v>
      </c>
      <c r="AZ82" s="338" t="str">
        <v xml:space="preserve"> </v>
      </c>
      <c r="BA82" s="338" t="str">
        <v xml:space="preserve"> </v>
      </c>
      <c r="BC82" s="347" t="s">
        <v>65</v>
      </c>
      <c r="BD82" s="345" t="str">
        <f>IFERROR('WL (1)'!$S23,"-")</f>
        <v>-</v>
      </c>
      <c r="BE82" s="345">
        <f>IFERROR('WL (2)'!$S23,"-")</f>
        <v>0.48625057434568908</v>
      </c>
      <c r="BF82" s="345">
        <f>IFERROR('WL (3)'!$S23,"-")</f>
        <v>0.9892864074899177</v>
      </c>
      <c r="BG82" s="345">
        <f>IFERROR('WL (4)'!$S23,"-")</f>
        <v>1.4856030284007797</v>
      </c>
      <c r="BH82" s="345">
        <f>IFERROR('WL (5)'!$S23,"-")</f>
        <v>1.9803448831291677</v>
      </c>
      <c r="BI82" s="345">
        <f>IFERROR('WL (6)'!$S23,"-")</f>
        <v>2.9740998492894906</v>
      </c>
      <c r="BJ82" s="345">
        <f>IFERROR('WL (7)'!$S23,"-")</f>
        <v>3.9709958964482168</v>
      </c>
      <c r="BK82" s="345">
        <f>IFERROR('WL (8)'!$S23,"-")</f>
        <v>4.982095062243002</v>
      </c>
      <c r="BL82" s="345">
        <f>IFERROR('WL (9)'!$S23,"-")</f>
        <v>5.6134552346428039</v>
      </c>
      <c r="BM82" s="345">
        <f>IFERROR('WL (10)'!$S23,"-")</f>
        <v>6.0189944550741803</v>
      </c>
      <c r="BN82" s="345">
        <f>IFERROR('WL (11)'!$S23,"-")</f>
        <v>7.058264791653369</v>
      </c>
      <c r="BO82" s="345">
        <f>IFERROR('WL (12)'!$S23,"-")</f>
        <v>7.9751774273740654</v>
      </c>
      <c r="BP82" s="345" t="str">
        <f>IFERROR('WL (13)'!$S23,"-")</f>
        <v xml:space="preserve">  </v>
      </c>
      <c r="BQ82" s="345" t="str">
        <f>IFERROR('WL (14)'!$S23,"-")</f>
        <v xml:space="preserve">  </v>
      </c>
      <c r="BR82" s="345" t="str">
        <f>IFERROR('WL (15)'!$S23,"-")</f>
        <v xml:space="preserve">  </v>
      </c>
      <c r="BS82" s="345" t="str">
        <f>IFERROR('WL (16)'!$S23,"-")</f>
        <v xml:space="preserve">  </v>
      </c>
      <c r="BT82" s="345" t="str">
        <f>IFERROR('WL (17)'!$S23,"-")</f>
        <v xml:space="preserve">  </v>
      </c>
      <c r="BU82" s="345" t="str">
        <f>IFERROR('WL (18)'!$S23,"-")</f>
        <v xml:space="preserve">  </v>
      </c>
      <c r="BV82" s="345" t="str">
        <f>IFERROR('WL (19)'!$S23,"-")</f>
        <v xml:space="preserve">  </v>
      </c>
      <c r="BW82" s="345" t="str">
        <f>IFERROR('WL (20)'!$S23,"-")</f>
        <v xml:space="preserve">  </v>
      </c>
      <c r="BX82" s="345" t="str">
        <f>IFERROR('WL (21)'!$S23,"-")</f>
        <v xml:space="preserve">  </v>
      </c>
      <c r="BY82" s="345" t="str">
        <f>IFERROR('WL (22)'!$S23,"-")</f>
        <v xml:space="preserve">  </v>
      </c>
      <c r="BZ82" s="345" t="str">
        <f>IFERROR('WL (23)'!$S23,"-")</f>
        <v xml:space="preserve">  </v>
      </c>
      <c r="CA82" s="345" t="str">
        <f>IFERROR('WL (24)'!$S23,"-")</f>
        <v xml:space="preserve">  </v>
      </c>
      <c r="CB82" s="345" t="str">
        <f>IFERROR('WL (25)'!$S23,"-")</f>
        <v xml:space="preserve">  </v>
      </c>
      <c r="CD82" s="171" t="str">
        <f>CONCATENATE(Tools!F196,Tools!G196,Tools!H196,Tools!I196,Tools!J196,Tools!K196,Tools!L196,Tools!M196,Tools!N196,Tools!O196,Tools!P196,Tools!Q196,Tools!R196,Tools!S196,Tools!T196,Tools!U196,Tools!V196,Tools!W196,Tools!X196,Tools!Y196,Tools!Z196,Tools!AA196,Tools!AB196,Tools!AC196,Tools!AD196,Tools!AE196," ")</f>
        <v xml:space="preserve">Spline 10,0 10.29,0.9 10.565,1.8 10.916,2.7 11.204,3.6 11.461,5.4 10.922,7.2 9.442,9 7.924,10.1 6.673,10.8 3.729,12.6 1.555,14.19  </v>
      </c>
      <c r="CE82" s="163" t="str">
        <f>CONCATENATE(Tools!F208,Tools!G208,Tools!H208,Tools!I208,Tools!J208,Tools!K208,Tools!L208,Tools!M208,Tools!N208,Tools!O208,Tools!P208,Tools!Q208,Tools!R208,Tools!S208,Tools!T208,Tools!U208,Tools!V208,Tools!W208,Tools!X208,Tools!Y208,Tools!Z208,Tools!AA208,Tools!AB208,Tools!AC208,Tools!AD208,Tools!AE208," ")</f>
        <v xml:space="preserve">Spline 8.934,0.9 8.981,1.8 9.068,2.7 9.248,3.6 9.496,5.4 9.624,7.2 9.698,9 9.731,10.1 9.749,10.8 9.784,12.6 9.808,14.19  </v>
      </c>
      <c r="CF82" s="143"/>
      <c r="CM82" s="262">
        <v>21</v>
      </c>
      <c r="CN82" s="262">
        <f t="shared" si="111"/>
        <v>0</v>
      </c>
      <c r="CO82" s="262" t="str">
        <f t="shared" si="112"/>
        <v xml:space="preserve">  </v>
      </c>
      <c r="CP82" s="262" t="str">
        <f t="shared" si="113"/>
        <v xml:space="preserve"> </v>
      </c>
      <c r="CQ82" s="262" t="e">
        <f t="shared" ref="CQ82" si="165">CO82*WLS</f>
        <v>#VALUE!</v>
      </c>
      <c r="CR82" s="262" t="e">
        <f t="shared" si="115"/>
        <v>#VALUE!</v>
      </c>
      <c r="CS82" s="262"/>
      <c r="CT82" s="325">
        <v>7</v>
      </c>
      <c r="CU82" s="262" t="str">
        <f t="shared" ref="CU82" si="166">IF(CT82&lt;=(No_of_BTKs+1),CT82," ")</f>
        <v xml:space="preserve"> </v>
      </c>
      <c r="CV82" s="262" t="str">
        <f t="shared" ref="CV82" si="167">IF(CU82&lt;=No_of_BTKs,CONCATENATE("BTK ",CU82),IF(CU82=No_of_BTKs+1,"SIDE"," "))</f>
        <v xml:space="preserve"> </v>
      </c>
      <c r="CW82" s="262" t="str">
        <f t="shared" si="159"/>
        <v xml:space="preserve"> </v>
      </c>
      <c r="CX82" s="262"/>
      <c r="CY82" s="262"/>
      <c r="CZ82" s="262"/>
      <c r="DA82" s="262"/>
      <c r="DB82" s="325">
        <f t="shared" si="122"/>
        <v>18</v>
      </c>
      <c r="DC82" s="262" t="str">
        <f t="shared" si="123"/>
        <v>STN 18</v>
      </c>
      <c r="DD82" s="262">
        <f t="shared" si="124"/>
        <v>18</v>
      </c>
      <c r="DE82" s="262">
        <f t="shared" si="125"/>
        <v>18</v>
      </c>
    </row>
    <row r="83" spans="1:142" x14ac:dyDescent="0.25">
      <c r="A83" s="341">
        <f t="shared" si="129"/>
        <v>11</v>
      </c>
      <c r="B83" s="336">
        <f t="array" ref="B83:Z83">TRANSPOSE('Stn(14)'!D4:D28)</f>
        <v>0</v>
      </c>
      <c r="C83" s="336">
        <v>17.486999999999998</v>
      </c>
      <c r="D83" s="336">
        <v>37.692</v>
      </c>
      <c r="E83" s="336">
        <v>58.98899999999999</v>
      </c>
      <c r="F83" s="336">
        <v>80.885999999999996</v>
      </c>
      <c r="G83" s="336">
        <v>124.94400000000002</v>
      </c>
      <c r="H83" s="336">
        <v>169.03800000000001</v>
      </c>
      <c r="I83" s="336">
        <v>213.14400000000001</v>
      </c>
      <c r="J83" s="336">
        <v>240.09399999999999</v>
      </c>
      <c r="K83" s="336">
        <v>257.238</v>
      </c>
      <c r="L83" s="336">
        <v>301.34399999999999</v>
      </c>
      <c r="M83" s="336">
        <v>340.29899999999998</v>
      </c>
      <c r="N83" s="336" t="str">
        <v xml:space="preserve"> </v>
      </c>
      <c r="O83" s="336" t="str">
        <v xml:space="preserve"> </v>
      </c>
      <c r="P83" s="336" t="str">
        <v xml:space="preserve"> </v>
      </c>
      <c r="Q83" s="336" t="str">
        <v xml:space="preserve"> </v>
      </c>
      <c r="R83" s="336" t="str">
        <v xml:space="preserve"> </v>
      </c>
      <c r="S83" s="336" t="str">
        <v xml:space="preserve"> </v>
      </c>
      <c r="T83" s="336" t="str">
        <v xml:space="preserve"> </v>
      </c>
      <c r="U83" s="336" t="str">
        <v xml:space="preserve"> </v>
      </c>
      <c r="V83" s="336" t="str">
        <v xml:space="preserve"> </v>
      </c>
      <c r="W83" s="336" t="str">
        <v xml:space="preserve"> </v>
      </c>
      <c r="X83" s="336" t="str">
        <v xml:space="preserve"> </v>
      </c>
      <c r="Y83" s="336" t="str">
        <v xml:space="preserve"> </v>
      </c>
      <c r="Z83" s="336" t="str">
        <v xml:space="preserve"> </v>
      </c>
      <c r="AB83" s="337">
        <f t="shared" si="127"/>
        <v>11</v>
      </c>
      <c r="AC83" s="338">
        <f t="array" ref="AC83:BA83">TRANSPOSE('Stn(14)'!E4:E28)</f>
        <v>0</v>
      </c>
      <c r="AD83" s="338">
        <v>8.145900000000001</v>
      </c>
      <c r="AE83" s="338">
        <v>35.553600000000003</v>
      </c>
      <c r="AF83" s="338">
        <v>83.600099999999998</v>
      </c>
      <c r="AG83" s="338">
        <v>152.49600000000001</v>
      </c>
      <c r="AH83" s="338">
        <v>351.02160000000003</v>
      </c>
      <c r="AI83" s="338">
        <v>628.60320000000013</v>
      </c>
      <c r="AJ83" s="338">
        <v>986.06160000000011</v>
      </c>
      <c r="AK83" s="338">
        <v>1243.4340999999999</v>
      </c>
      <c r="AL83" s="338">
        <v>1422.4032000000002</v>
      </c>
      <c r="AM83" s="338">
        <v>1938.6216000000002</v>
      </c>
      <c r="AN83" s="338">
        <v>2460.4238249999999</v>
      </c>
      <c r="AO83" s="338" t="str">
        <v xml:space="preserve"> </v>
      </c>
      <c r="AP83" s="338" t="str">
        <v xml:space="preserve"> </v>
      </c>
      <c r="AQ83" s="338" t="str">
        <v xml:space="preserve"> </v>
      </c>
      <c r="AR83" s="338" t="str">
        <v xml:space="preserve"> </v>
      </c>
      <c r="AS83" s="338" t="str">
        <v xml:space="preserve"> </v>
      </c>
      <c r="AT83" s="338" t="str">
        <v xml:space="preserve"> </v>
      </c>
      <c r="AU83" s="338" t="str">
        <v xml:space="preserve"> </v>
      </c>
      <c r="AV83" s="338" t="str">
        <v xml:space="preserve"> </v>
      </c>
      <c r="AW83" s="338" t="str">
        <v xml:space="preserve"> </v>
      </c>
      <c r="AX83" s="338" t="str">
        <v xml:space="preserve"> </v>
      </c>
      <c r="AY83" s="338" t="str">
        <v xml:space="preserve"> </v>
      </c>
      <c r="AZ83" s="338" t="str">
        <v xml:space="preserve"> </v>
      </c>
      <c r="BA83" s="338" t="str">
        <v xml:space="preserve"> </v>
      </c>
      <c r="BC83" s="347" t="s">
        <v>67</v>
      </c>
      <c r="BD83" s="345" t="str">
        <f>IFERROR('WL (1)'!$S24,"-")</f>
        <v>-</v>
      </c>
      <c r="BE83" s="345">
        <f>IFERROR('WL (2)'!$S24,"-")</f>
        <v>34.817210392564782</v>
      </c>
      <c r="BF83" s="345">
        <f>IFERROR('WL (3)'!$S24,"-")</f>
        <v>21.797456491980842</v>
      </c>
      <c r="BG83" s="345">
        <f>IFERROR('WL (4)'!$S24,"-")</f>
        <v>16.94602497241624</v>
      </c>
      <c r="BH83" s="345">
        <f>IFERROR('WL (5)'!$S24,"-")</f>
        <v>14.295620245323558</v>
      </c>
      <c r="BI83" s="345">
        <f>IFERROR('WL (6)'!$S24,"-")</f>
        <v>11.819651301861366</v>
      </c>
      <c r="BJ83" s="345">
        <f>IFERROR('WL (7)'!$S24,"-")</f>
        <v>11.052586807430256</v>
      </c>
      <c r="BK83" s="345">
        <f>IFERROR('WL (8)'!$S24,"-")</f>
        <v>10.992805415949288</v>
      </c>
      <c r="BL83" s="345">
        <f>IFERROR('WL (9)'!$S24,"-")</f>
        <v>11.134690705269163</v>
      </c>
      <c r="BM83" s="345">
        <f>IFERROR('WL (10)'!$S24,"-")</f>
        <v>11.269100573573979</v>
      </c>
      <c r="BN83" s="345">
        <f>IFERROR('WL (11)'!$S24,"-")</f>
        <v>11.6985201947621</v>
      </c>
      <c r="BO83" s="345">
        <f>IFERROR('WL (12)'!$S24,"-")</f>
        <v>12.336465015252141</v>
      </c>
      <c r="BP83" s="345" t="str">
        <f>IFERROR('WL (13)'!$S24,"-")</f>
        <v xml:space="preserve">  </v>
      </c>
      <c r="BQ83" s="345" t="str">
        <f>IFERROR('WL (14)'!$S24,"-")</f>
        <v xml:space="preserve">  </v>
      </c>
      <c r="BR83" s="345" t="str">
        <f>IFERROR('WL (15)'!$S24,"-")</f>
        <v xml:space="preserve">  </v>
      </c>
      <c r="BS83" s="345" t="str">
        <f>IFERROR('WL (16)'!$S24,"-")</f>
        <v xml:space="preserve">  </v>
      </c>
      <c r="BT83" s="345" t="str">
        <f>IFERROR('WL (17)'!$S24,"-")</f>
        <v xml:space="preserve">  </v>
      </c>
      <c r="BU83" s="345" t="str">
        <f>IFERROR('WL (18)'!$S24,"-")</f>
        <v xml:space="preserve">  </v>
      </c>
      <c r="BV83" s="345" t="str">
        <f>IFERROR('WL (19)'!$S24,"-")</f>
        <v xml:space="preserve">  </v>
      </c>
      <c r="BW83" s="345" t="str">
        <f>IFERROR('WL (20)'!$S24,"-")</f>
        <v xml:space="preserve">  </v>
      </c>
      <c r="BX83" s="345" t="str">
        <f>IFERROR('WL (21)'!$S24,"-")</f>
        <v xml:space="preserve">  </v>
      </c>
      <c r="BY83" s="345" t="str">
        <f>IFERROR('WL (22)'!$S24,"-")</f>
        <v xml:space="preserve">  </v>
      </c>
      <c r="BZ83" s="345" t="str">
        <f>IFERROR('WL (23)'!$S24,"-")</f>
        <v xml:space="preserve">  </v>
      </c>
      <c r="CA83" s="345" t="str">
        <f>IFERROR('WL (24)'!$S24,"-")</f>
        <v xml:space="preserve">  </v>
      </c>
      <c r="CB83" s="345" t="str">
        <f>IFERROR('WL (25)'!$S24,"-")</f>
        <v xml:space="preserve">  </v>
      </c>
      <c r="CD83" s="176" t="str">
        <f>CONCATENATE(Tools!F197,Tools!G197,Tools!H197,Tools!I197,Tools!J197,Tools!K197,Tools!L197,Tools!M197,Tools!N197,Tools!O197,Tools!P197,Tools!Q197,Tools!R197,Tools!S197,Tools!T197,Tools!U197,Tools!V197,Tools!W197,Tools!X197,Tools!Y197,Tools!Z197,Tools!AA197,Tools!AB197,Tools!AC197,Tools!AD197,Tools!AE197," ")</f>
        <v xml:space="preserve">Spline 7.409,0.9 4.169,1.8 3.022,2.7 2.386,3.6 1.778,5.4 1.469,7.2 1.383,9 1.386,10.1 1.356,10.8 1.247,12.6 1.201,14.19  </v>
      </c>
      <c r="CE83" s="174" t="str">
        <f>CONCATENATE(Tools!F209,Tools!G209,Tools!H209,Tools!I209,Tools!J209,Tools!K209,Tools!L209,Tools!M209,Tools!N209,Tools!O209,Tools!P209,Tools!Q209,Tools!R209,Tools!S209,Tools!T209,Tools!U209,Tools!V209,Tools!W209,Tools!X209,Tools!Y209,Tools!Z209,Tools!AA209,Tools!AB209,Tools!AC209,Tools!AD209,Tools!AE209," ")</f>
        <v xml:space="preserve">Spline 14.567,0.9 14.922,1.8 15.146,2.7 15.354,3.6 15.71,5.4 16.031,7.2 16.33,9 16.522,10.1 16.65,10.8 16.944,12.6 17.19,14.19  </v>
      </c>
      <c r="CF83" s="143"/>
      <c r="CM83" s="262">
        <v>22</v>
      </c>
      <c r="CN83" s="262">
        <f t="shared" si="111"/>
        <v>0</v>
      </c>
      <c r="CO83" s="262" t="str">
        <f t="shared" si="112"/>
        <v xml:space="preserve">  </v>
      </c>
      <c r="CP83" s="262" t="str">
        <f t="shared" si="113"/>
        <v xml:space="preserve"> </v>
      </c>
      <c r="CQ83" s="262" t="e">
        <f t="shared" ref="CQ83" si="168">CO83*WLS</f>
        <v>#VALUE!</v>
      </c>
      <c r="CR83" s="262" t="e">
        <f t="shared" si="115"/>
        <v>#VALUE!</v>
      </c>
      <c r="CS83" s="262"/>
      <c r="CT83" s="325">
        <v>8</v>
      </c>
      <c r="CU83" s="262" t="str">
        <f t="shared" ref="CU83" si="169">IF(CT83&lt;=(No_of_BTKs+1),CT83," ")</f>
        <v xml:space="preserve"> </v>
      </c>
      <c r="CV83" s="262" t="str">
        <f t="shared" ref="CV83" si="170">IF(CU83&lt;=No_of_BTKs,CONCATENATE("BTK ",CU83),IF(CU83=No_of_BTKs+1,"SIDE"," "))</f>
        <v xml:space="preserve"> </v>
      </c>
      <c r="CW83" s="262" t="str">
        <f t="shared" si="159"/>
        <v xml:space="preserve"> </v>
      </c>
      <c r="CX83" s="262"/>
      <c r="CY83" s="262"/>
      <c r="CZ83" s="262"/>
      <c r="DA83" s="262"/>
      <c r="DB83" s="325">
        <f t="shared" si="122"/>
        <v>18.5</v>
      </c>
      <c r="DC83" s="262" t="str">
        <f t="shared" si="123"/>
        <v>STN 18.5</v>
      </c>
      <c r="DD83" s="262">
        <f t="shared" si="124"/>
        <v>18.5</v>
      </c>
      <c r="DE83" s="262">
        <f t="shared" si="125"/>
        <v>18.5</v>
      </c>
    </row>
    <row r="84" spans="1:142" x14ac:dyDescent="0.25">
      <c r="A84" s="341">
        <f t="shared" si="129"/>
        <v>12</v>
      </c>
      <c r="B84" s="336">
        <f t="array" ref="B84:Z84">TRANSPOSE('Stn(15)'!D4:D28)</f>
        <v>0</v>
      </c>
      <c r="C84" s="336">
        <v>16.246500000000001</v>
      </c>
      <c r="D84" s="336">
        <v>35.417999999999999</v>
      </c>
      <c r="E84" s="336">
        <v>55.876499999999993</v>
      </c>
      <c r="F84" s="336">
        <v>77.141999999999996</v>
      </c>
      <c r="G84" s="336">
        <v>120.59399999999999</v>
      </c>
      <c r="H84" s="336">
        <v>164.70599999999999</v>
      </c>
      <c r="I84" s="336">
        <v>208.73399999999998</v>
      </c>
      <c r="J84" s="336">
        <v>235.68399999999997</v>
      </c>
      <c r="K84" s="336">
        <v>252.90600000000001</v>
      </c>
      <c r="L84" s="336">
        <v>296.93399999999997</v>
      </c>
      <c r="M84" s="336">
        <v>335.88899999999995</v>
      </c>
      <c r="N84" s="336" t="str">
        <v xml:space="preserve"> </v>
      </c>
      <c r="O84" s="336" t="str">
        <v xml:space="preserve"> </v>
      </c>
      <c r="P84" s="336" t="str">
        <v xml:space="preserve"> </v>
      </c>
      <c r="Q84" s="336" t="str">
        <v xml:space="preserve"> </v>
      </c>
      <c r="R84" s="336" t="str">
        <v xml:space="preserve"> </v>
      </c>
      <c r="S84" s="336" t="str">
        <v xml:space="preserve"> </v>
      </c>
      <c r="T84" s="336" t="str">
        <v xml:space="preserve"> </v>
      </c>
      <c r="U84" s="336" t="str">
        <v xml:space="preserve"> </v>
      </c>
      <c r="V84" s="336" t="str">
        <v xml:space="preserve"> </v>
      </c>
      <c r="W84" s="336" t="str">
        <v xml:space="preserve"> </v>
      </c>
      <c r="X84" s="336" t="str">
        <v xml:space="preserve"> </v>
      </c>
      <c r="Y84" s="336" t="str">
        <v xml:space="preserve"> </v>
      </c>
      <c r="Z84" s="336" t="str">
        <v xml:space="preserve"> </v>
      </c>
      <c r="AB84" s="337">
        <f t="shared" si="127"/>
        <v>12</v>
      </c>
      <c r="AC84" s="338">
        <f t="array" ref="AC84:BA84">TRANSPOSE('Stn(15)'!E4:E28)</f>
        <v>0</v>
      </c>
      <c r="AD84" s="338">
        <v>7.6038749999999995</v>
      </c>
      <c r="AE84" s="338">
        <v>33.6312</v>
      </c>
      <c r="AF84" s="338">
        <v>79.80727499999999</v>
      </c>
      <c r="AG84" s="338">
        <v>146.72880000000001</v>
      </c>
      <c r="AH84" s="338">
        <v>342.64080000000001</v>
      </c>
      <c r="AI84" s="338">
        <v>620.28719999999998</v>
      </c>
      <c r="AJ84" s="338">
        <v>977.35680000000013</v>
      </c>
      <c r="AK84" s="338">
        <v>1234.7293</v>
      </c>
      <c r="AL84" s="338">
        <v>1414.0871999999999</v>
      </c>
      <c r="AM84" s="338">
        <v>1929.9168000000002</v>
      </c>
      <c r="AN84" s="338">
        <v>2451.7190249999999</v>
      </c>
      <c r="AO84" s="338" t="str">
        <v xml:space="preserve"> </v>
      </c>
      <c r="AP84" s="338" t="str">
        <v xml:space="preserve"> </v>
      </c>
      <c r="AQ84" s="338" t="str">
        <v xml:space="preserve"> </v>
      </c>
      <c r="AR84" s="338" t="str">
        <v xml:space="preserve"> </v>
      </c>
      <c r="AS84" s="338" t="str">
        <v xml:space="preserve"> </v>
      </c>
      <c r="AT84" s="338" t="str">
        <v xml:space="preserve"> </v>
      </c>
      <c r="AU84" s="338" t="str">
        <v xml:space="preserve"> </v>
      </c>
      <c r="AV84" s="338" t="str">
        <v xml:space="preserve"> </v>
      </c>
      <c r="AW84" s="338" t="str">
        <v xml:space="preserve"> </v>
      </c>
      <c r="AX84" s="338" t="str">
        <v xml:space="preserve"> </v>
      </c>
      <c r="AY84" s="338" t="str">
        <v xml:space="preserve"> </v>
      </c>
      <c r="AZ84" s="338" t="str">
        <v xml:space="preserve"> </v>
      </c>
      <c r="BA84" s="338" t="str">
        <v xml:space="preserve"> </v>
      </c>
      <c r="BC84" s="347" t="s">
        <v>69</v>
      </c>
      <c r="BD84" s="345" t="str">
        <f>IFERROR('WL (1)'!$S25,"-")</f>
        <v>-</v>
      </c>
      <c r="BE84" s="345">
        <f>IFERROR('WL (2)'!$S25,"-")</f>
        <v>741.36347690189427</v>
      </c>
      <c r="BF84" s="345">
        <f>IFERROR('WL (3)'!$S25,"-")</f>
        <v>417.92820648976198</v>
      </c>
      <c r="BG84" s="345">
        <f>IFERROR('WL (4)'!$S25,"-")</f>
        <v>303.71960137277159</v>
      </c>
      <c r="BH84" s="345">
        <f>IFERROR('WL (5)'!$S25,"-")</f>
        <v>240.62149922830193</v>
      </c>
      <c r="BI84" s="345">
        <f>IFERROR('WL (6)'!$S25,"-")</f>
        <v>180.81974295886354</v>
      </c>
      <c r="BJ84" s="345">
        <f>IFERROR('WL (7)'!$S25,"-")</f>
        <v>150.82601671222974</v>
      </c>
      <c r="BK84" s="345">
        <f>IFERROR('WL (8)'!$S25,"-")</f>
        <v>143.30514475998984</v>
      </c>
      <c r="BL84" s="345">
        <f>IFERROR('WL (9)'!$S25,"-")</f>
        <v>144.20720693645382</v>
      </c>
      <c r="BM84" s="345">
        <f>IFERROR('WL (10)'!$S25,"-")</f>
        <v>141.65806832775499</v>
      </c>
      <c r="BN84" s="345">
        <f>IFERROR('WL (11)'!$S25,"-")</f>
        <v>131.78592330210572</v>
      </c>
      <c r="BO84" s="345">
        <f>IFERROR('WL (12)'!$S25,"-")</f>
        <v>128.04755646441274</v>
      </c>
      <c r="BP84" s="345" t="str">
        <f>IFERROR('WL (13)'!$S25,"-")</f>
        <v xml:space="preserve">  </v>
      </c>
      <c r="BQ84" s="345" t="str">
        <f>IFERROR('WL (14)'!$S25,"-")</f>
        <v xml:space="preserve">  </v>
      </c>
      <c r="BR84" s="345" t="str">
        <f>IFERROR('WL (15)'!$S25,"-")</f>
        <v xml:space="preserve">  </v>
      </c>
      <c r="BS84" s="345" t="str">
        <f>IFERROR('WL (16)'!$S25,"-")</f>
        <v xml:space="preserve">  </v>
      </c>
      <c r="BT84" s="345" t="str">
        <f>IFERROR('WL (17)'!$S25,"-")</f>
        <v xml:space="preserve">  </v>
      </c>
      <c r="BU84" s="345" t="str">
        <f>IFERROR('WL (18)'!$S25,"-")</f>
        <v xml:space="preserve">  </v>
      </c>
      <c r="BV84" s="345" t="str">
        <f>IFERROR('WL (19)'!$S25,"-")</f>
        <v xml:space="preserve">  </v>
      </c>
      <c r="BW84" s="345" t="str">
        <f>IFERROR('WL (20)'!$S25,"-")</f>
        <v xml:space="preserve">  </v>
      </c>
      <c r="BX84" s="345" t="str">
        <f>IFERROR('WL (21)'!$S25,"-")</f>
        <v xml:space="preserve">  </v>
      </c>
      <c r="BY84" s="345" t="str">
        <f>IFERROR('WL (22)'!$S25,"-")</f>
        <v xml:space="preserve">  </v>
      </c>
      <c r="BZ84" s="345" t="str">
        <f>IFERROR('WL (23)'!$S25,"-")</f>
        <v xml:space="preserve">  </v>
      </c>
      <c r="CA84" s="345" t="str">
        <f>IFERROR('WL (24)'!$S25,"-")</f>
        <v xml:space="preserve">  </v>
      </c>
      <c r="CB84" s="345" t="str">
        <f>IFERROR('WL (25)'!$S25,"-")</f>
        <v xml:space="preserve">  </v>
      </c>
      <c r="CM84" s="262">
        <v>23</v>
      </c>
      <c r="CN84" s="262">
        <f t="shared" si="111"/>
        <v>0</v>
      </c>
      <c r="CO84" s="262" t="str">
        <f t="shared" si="112"/>
        <v xml:space="preserve">  </v>
      </c>
      <c r="CP84" s="262" t="str">
        <f t="shared" si="113"/>
        <v xml:space="preserve"> </v>
      </c>
      <c r="CQ84" s="262" t="e">
        <f t="shared" ref="CQ84" si="171">CO84*WLS</f>
        <v>#VALUE!</v>
      </c>
      <c r="CR84" s="262" t="e">
        <f t="shared" si="115"/>
        <v>#VALUE!</v>
      </c>
      <c r="CS84" s="262"/>
      <c r="CT84" s="325">
        <v>9</v>
      </c>
      <c r="CU84" s="262" t="str">
        <f t="shared" ref="CU84" si="172">IF(CT84&lt;=(No_of_BTKs+1),CT84," ")</f>
        <v xml:space="preserve"> </v>
      </c>
      <c r="CV84" s="262" t="str">
        <f t="shared" ref="CV84" si="173">IF(CU84&lt;=No_of_BTKs,CONCATENATE("BTK ",CU84),IF(CU84=No_of_BTKs+1,"SIDE"," "))</f>
        <v xml:space="preserve"> </v>
      </c>
      <c r="CW84" s="262" t="str">
        <f t="shared" si="159"/>
        <v xml:space="preserve"> </v>
      </c>
      <c r="CX84" s="262"/>
      <c r="CY84" s="262"/>
      <c r="CZ84" s="262"/>
      <c r="DA84" s="262"/>
      <c r="DB84" s="325">
        <f t="shared" si="122"/>
        <v>19</v>
      </c>
      <c r="DC84" s="262" t="str">
        <f t="shared" si="123"/>
        <v>STN 19</v>
      </c>
      <c r="DD84" s="262">
        <f t="shared" si="124"/>
        <v>19</v>
      </c>
      <c r="DE84" s="262">
        <f t="shared" si="125"/>
        <v>19</v>
      </c>
    </row>
    <row r="85" spans="1:142" x14ac:dyDescent="0.25">
      <c r="A85" s="341">
        <f t="shared" si="129"/>
        <v>13</v>
      </c>
      <c r="B85" s="336">
        <f t="array" ref="B85:Z85">TRANSPOSE('Stn(16)'!D4:D28)</f>
        <v>0</v>
      </c>
      <c r="C85" s="336">
        <v>14.128499999999999</v>
      </c>
      <c r="D85" s="336">
        <v>31.254000000000001</v>
      </c>
      <c r="E85" s="336">
        <v>49.912499999999994</v>
      </c>
      <c r="F85" s="336">
        <v>69.564000000000007</v>
      </c>
      <c r="G85" s="336">
        <v>110.538</v>
      </c>
      <c r="H85" s="336">
        <v>153.12</v>
      </c>
      <c r="I85" s="336">
        <v>196.578</v>
      </c>
      <c r="J85" s="336">
        <v>223.41799999999998</v>
      </c>
      <c r="K85" s="336">
        <v>240.62400000000002</v>
      </c>
      <c r="L85" s="336">
        <v>284.57400000000001</v>
      </c>
      <c r="M85" s="336">
        <v>323.49720000000002</v>
      </c>
      <c r="N85" s="336" t="str">
        <v xml:space="preserve"> </v>
      </c>
      <c r="O85" s="336" t="str">
        <v xml:space="preserve"> </v>
      </c>
      <c r="P85" s="336" t="str">
        <v xml:space="preserve"> </v>
      </c>
      <c r="Q85" s="336" t="str">
        <v xml:space="preserve"> </v>
      </c>
      <c r="R85" s="336" t="str">
        <v xml:space="preserve"> </v>
      </c>
      <c r="S85" s="336" t="str">
        <v xml:space="preserve"> </v>
      </c>
      <c r="T85" s="336" t="str">
        <v xml:space="preserve"> </v>
      </c>
      <c r="U85" s="336" t="str">
        <v xml:space="preserve"> </v>
      </c>
      <c r="V85" s="336" t="str">
        <v xml:space="preserve"> </v>
      </c>
      <c r="W85" s="336" t="str">
        <v xml:space="preserve"> </v>
      </c>
      <c r="X85" s="336" t="str">
        <v xml:space="preserve"> </v>
      </c>
      <c r="Y85" s="336" t="str">
        <v xml:space="preserve"> </v>
      </c>
      <c r="Z85" s="336" t="str">
        <v xml:space="preserve"> </v>
      </c>
      <c r="AB85" s="337">
        <f t="shared" ref="AB85:AB94" si="174">A85</f>
        <v>13</v>
      </c>
      <c r="AC85" s="338">
        <f t="array" ref="AC85:BA85">TRANSPOSE('Stn(16)'!E4:E28)</f>
        <v>0</v>
      </c>
      <c r="AD85" s="338">
        <v>6.646725</v>
      </c>
      <c r="AE85" s="338">
        <v>29.926800000000004</v>
      </c>
      <c r="AF85" s="338">
        <v>72.051525000000012</v>
      </c>
      <c r="AG85" s="338">
        <v>133.94160000000002</v>
      </c>
      <c r="AH85" s="338">
        <v>318.82680000000005</v>
      </c>
      <c r="AI85" s="338">
        <v>587.02320000000009</v>
      </c>
      <c r="AJ85" s="338">
        <v>939.48120000000006</v>
      </c>
      <c r="AK85" s="338">
        <v>1195.8112666666666</v>
      </c>
      <c r="AL85" s="338">
        <v>1375.1208000000001</v>
      </c>
      <c r="AM85" s="338">
        <v>1889.9459999999999</v>
      </c>
      <c r="AN85" s="338">
        <v>2411.3306909999997</v>
      </c>
      <c r="AO85" s="338" t="str">
        <v xml:space="preserve"> </v>
      </c>
      <c r="AP85" s="338" t="str">
        <v xml:space="preserve"> </v>
      </c>
      <c r="AQ85" s="338" t="str">
        <v xml:space="preserve"> </v>
      </c>
      <c r="AR85" s="338" t="str">
        <v xml:space="preserve"> </v>
      </c>
      <c r="AS85" s="338" t="str">
        <v xml:space="preserve"> </v>
      </c>
      <c r="AT85" s="338" t="str">
        <v xml:space="preserve"> </v>
      </c>
      <c r="AU85" s="338" t="str">
        <v xml:space="preserve"> </v>
      </c>
      <c r="AV85" s="338" t="str">
        <v xml:space="preserve"> </v>
      </c>
      <c r="AW85" s="338" t="str">
        <v xml:space="preserve"> </v>
      </c>
      <c r="AX85" s="338" t="str">
        <v xml:space="preserve"> </v>
      </c>
      <c r="AY85" s="338" t="str">
        <v xml:space="preserve"> </v>
      </c>
      <c r="AZ85" s="338" t="str">
        <v xml:space="preserve"> </v>
      </c>
      <c r="BA85" s="338" t="str">
        <v xml:space="preserve"> </v>
      </c>
      <c r="BC85" s="347" t="s">
        <v>71</v>
      </c>
      <c r="BD85" s="345">
        <f>IFERROR('WL (1)'!$S26,"-")</f>
        <v>8.813210349999995</v>
      </c>
      <c r="BE85" s="345">
        <f>IFERROR('WL (2)'!$S26,"-")</f>
        <v>14.589764412499994</v>
      </c>
      <c r="BF85" s="345">
        <f>IFERROR('WL (3)'!$S26,"-")</f>
        <v>17.117723962499994</v>
      </c>
      <c r="BG85" s="345">
        <f>IFERROR('WL (4)'!$S26,"-")</f>
        <v>18.791180987499992</v>
      </c>
      <c r="BH85" s="345">
        <f>IFERROR('WL (5)'!$S26,"-")</f>
        <v>20.036486799999984</v>
      </c>
      <c r="BI85" s="345">
        <f>IFERROR('WL (6)'!$S26,"-")</f>
        <v>22.06362417499999</v>
      </c>
      <c r="BJ85" s="345">
        <f>IFERROR('WL (7)'!$S26,"-")</f>
        <v>23.814251912499991</v>
      </c>
      <c r="BK85" s="345">
        <f>IFERROR('WL (8)'!$S26,"-")</f>
        <v>25.920809874999996</v>
      </c>
      <c r="BL85" s="345">
        <f>IFERROR('WL (9)'!$S26,"-")</f>
        <v>27.350425447499997</v>
      </c>
      <c r="BM85" s="345">
        <f>IFERROR('WL (10)'!$S26,"-")</f>
        <v>28.041542049999993</v>
      </c>
      <c r="BN85" s="345">
        <f>IFERROR('WL (11)'!$S26,"-")</f>
        <v>29.334545212499982</v>
      </c>
      <c r="BO85" s="345">
        <f>IFERROR('WL (12)'!$S26,"-")</f>
        <v>30.838136674999991</v>
      </c>
      <c r="BP85" s="345" t="str">
        <f>IFERROR('WL (13)'!$S26,"-")</f>
        <v xml:space="preserve">  </v>
      </c>
      <c r="BQ85" s="345" t="str">
        <f>IFERROR('WL (14)'!$S26,"-")</f>
        <v xml:space="preserve">  </v>
      </c>
      <c r="BR85" s="345" t="str">
        <f>IFERROR('WL (15)'!$S26,"-")</f>
        <v xml:space="preserve">  </v>
      </c>
      <c r="BS85" s="345" t="str">
        <f>IFERROR('WL (16)'!$S26,"-")</f>
        <v xml:space="preserve">  </v>
      </c>
      <c r="BT85" s="345" t="str">
        <f>IFERROR('WL (17)'!$S26,"-")</f>
        <v xml:space="preserve">  </v>
      </c>
      <c r="BU85" s="345" t="str">
        <f>IFERROR('WL (18)'!$S26,"-")</f>
        <v xml:space="preserve">  </v>
      </c>
      <c r="BV85" s="345" t="str">
        <f>IFERROR('WL (19)'!$S26,"-")</f>
        <v xml:space="preserve">  </v>
      </c>
      <c r="BW85" s="345" t="str">
        <f>IFERROR('WL (20)'!$S26,"-")</f>
        <v xml:space="preserve">  </v>
      </c>
      <c r="BX85" s="345" t="str">
        <f>IFERROR('WL (21)'!$S26,"-")</f>
        <v xml:space="preserve">  </v>
      </c>
      <c r="BY85" s="345" t="str">
        <f>IFERROR('WL (22)'!$S26,"-")</f>
        <v xml:space="preserve">  </v>
      </c>
      <c r="BZ85" s="345" t="str">
        <f>IFERROR('WL (23)'!$S26,"-")</f>
        <v xml:space="preserve">  </v>
      </c>
      <c r="CA85" s="345" t="str">
        <f>IFERROR('WL (24)'!$S26,"-")</f>
        <v xml:space="preserve">  </v>
      </c>
      <c r="CB85" s="345" t="str">
        <f>IFERROR('WL (25)'!$S26,"-")</f>
        <v xml:space="preserve">  </v>
      </c>
      <c r="CM85" s="262">
        <v>24</v>
      </c>
      <c r="CN85" s="262">
        <f t="shared" si="111"/>
        <v>0</v>
      </c>
      <c r="CO85" s="262" t="str">
        <f t="shared" si="112"/>
        <v xml:space="preserve">  </v>
      </c>
      <c r="CP85" s="262" t="str">
        <f t="shared" si="113"/>
        <v xml:space="preserve"> </v>
      </c>
      <c r="CQ85" s="262" t="e">
        <f t="shared" ref="CQ85" si="175">CO85*WLS</f>
        <v>#VALUE!</v>
      </c>
      <c r="CR85" s="262" t="e">
        <f t="shared" si="115"/>
        <v>#VALUE!</v>
      </c>
      <c r="CS85" s="262"/>
      <c r="CT85" s="325">
        <v>10</v>
      </c>
      <c r="CU85" s="262" t="str">
        <f t="shared" ref="CU85" si="176">IF(CT85&lt;=(No_of_BTKs+1),CT85," ")</f>
        <v xml:space="preserve"> </v>
      </c>
      <c r="CV85" s="262" t="str">
        <f t="shared" ref="CV85" si="177">IF(CU85&lt;=No_of_BTKs,CONCATENATE("BTK ",CU85),IF(CU85=No_of_BTKs+1,"SIDE"," "))</f>
        <v xml:space="preserve"> </v>
      </c>
      <c r="CW85" s="262" t="str">
        <f t="shared" si="159"/>
        <v xml:space="preserve"> </v>
      </c>
      <c r="CX85" s="262"/>
      <c r="CY85" s="262"/>
      <c r="CZ85" s="262"/>
      <c r="DA85" s="262"/>
      <c r="DB85" s="325">
        <f t="shared" si="122"/>
        <v>19.5</v>
      </c>
      <c r="DC85" s="262" t="str">
        <f t="shared" si="123"/>
        <v>STN 19.5</v>
      </c>
      <c r="DD85" s="262">
        <f t="shared" si="124"/>
        <v>19.5</v>
      </c>
      <c r="DE85" s="262">
        <f t="shared" si="125"/>
        <v>19.5</v>
      </c>
    </row>
    <row r="86" spans="1:142" x14ac:dyDescent="0.25">
      <c r="A86" s="341">
        <f t="shared" si="129"/>
        <v>14</v>
      </c>
      <c r="B86" s="336">
        <f t="array" ref="B86:Z86">TRANSPOSE('Stn(17)'!D4:D28)</f>
        <v>0</v>
      </c>
      <c r="C86" s="336">
        <v>11.537999999999998</v>
      </c>
      <c r="D86" s="336">
        <v>25.595999999999997</v>
      </c>
      <c r="E86" s="336">
        <v>41.021999999999998</v>
      </c>
      <c r="F86" s="336">
        <v>58.535999999999994</v>
      </c>
      <c r="G86" s="336">
        <v>94.775999999999982</v>
      </c>
      <c r="H86" s="336">
        <v>133.90799999999999</v>
      </c>
      <c r="I86" s="336">
        <v>174.21599999999998</v>
      </c>
      <c r="J86" s="336">
        <v>199.65899999999996</v>
      </c>
      <c r="K86" s="336">
        <v>216.33599999999998</v>
      </c>
      <c r="L86" s="336">
        <v>259.04399999999998</v>
      </c>
      <c r="M86" s="336">
        <v>297.68099999999998</v>
      </c>
      <c r="N86" s="336" t="str">
        <v xml:space="preserve"> </v>
      </c>
      <c r="O86" s="336" t="str">
        <v xml:space="preserve"> </v>
      </c>
      <c r="P86" s="336" t="str">
        <v xml:space="preserve"> </v>
      </c>
      <c r="Q86" s="336" t="str">
        <v xml:space="preserve"> </v>
      </c>
      <c r="R86" s="336" t="str">
        <v xml:space="preserve"> </v>
      </c>
      <c r="S86" s="336" t="str">
        <v xml:space="preserve"> </v>
      </c>
      <c r="T86" s="336" t="str">
        <v xml:space="preserve"> </v>
      </c>
      <c r="U86" s="336" t="str">
        <v xml:space="preserve"> </v>
      </c>
      <c r="V86" s="336" t="str">
        <v xml:space="preserve"> </v>
      </c>
      <c r="W86" s="336" t="str">
        <v xml:space="preserve"> </v>
      </c>
      <c r="X86" s="336" t="str">
        <v xml:space="preserve"> </v>
      </c>
      <c r="Y86" s="336" t="str">
        <v xml:space="preserve"> </v>
      </c>
      <c r="Z86" s="336" t="str">
        <v xml:space="preserve"> </v>
      </c>
      <c r="AB86" s="337">
        <f t="shared" si="174"/>
        <v>14</v>
      </c>
      <c r="AC86" s="338">
        <f t="array" ref="AC86:BA86">TRANSPOSE('Stn(17)'!E4:E28)</f>
        <v>0</v>
      </c>
      <c r="AD86" s="338">
        <v>5.4539999999999997</v>
      </c>
      <c r="AE86" s="338">
        <v>24.548400000000001</v>
      </c>
      <c r="AF86" s="338">
        <v>59.583600000000011</v>
      </c>
      <c r="AG86" s="338">
        <v>114.35040000000001</v>
      </c>
      <c r="AH86" s="338">
        <v>278.67240000000004</v>
      </c>
      <c r="AI86" s="338">
        <v>524.18880000000001</v>
      </c>
      <c r="AJ86" s="338">
        <v>852.71400000000006</v>
      </c>
      <c r="AK86" s="338">
        <v>1095.7369999999999</v>
      </c>
      <c r="AL86" s="338">
        <v>1267.6176</v>
      </c>
      <c r="AM86" s="338">
        <v>1770.174</v>
      </c>
      <c r="AN86" s="338">
        <v>2287.7840309999997</v>
      </c>
      <c r="AO86" s="338" t="str">
        <v xml:space="preserve"> </v>
      </c>
      <c r="AP86" s="338" t="str">
        <v xml:space="preserve"> </v>
      </c>
      <c r="AQ86" s="338" t="str">
        <v xml:space="preserve"> </v>
      </c>
      <c r="AR86" s="338" t="str">
        <v xml:space="preserve"> </v>
      </c>
      <c r="AS86" s="338" t="str">
        <v xml:space="preserve"> </v>
      </c>
      <c r="AT86" s="338" t="str">
        <v xml:space="preserve"> </v>
      </c>
      <c r="AU86" s="338" t="str">
        <v xml:space="preserve"> </v>
      </c>
      <c r="AV86" s="338" t="str">
        <v xml:space="preserve"> </v>
      </c>
      <c r="AW86" s="338" t="str">
        <v xml:space="preserve"> </v>
      </c>
      <c r="AX86" s="338" t="str">
        <v xml:space="preserve"> </v>
      </c>
      <c r="AY86" s="338" t="str">
        <v xml:space="preserve"> </v>
      </c>
      <c r="AZ86" s="338" t="str">
        <v xml:space="preserve"> </v>
      </c>
      <c r="BA86" s="338" t="str">
        <v xml:space="preserve"> </v>
      </c>
      <c r="BC86" s="347" t="s">
        <v>73</v>
      </c>
      <c r="BD86" s="345" t="str">
        <f>IFERROR('WL (1)'!$S27,"-")</f>
        <v>-</v>
      </c>
      <c r="BE86" s="345">
        <f>IFERROR('WL (2)'!$S27,"-")</f>
        <v>2.7626213882165156</v>
      </c>
      <c r="BF86" s="345">
        <f>IFERROR('WL (3)'!$S27,"-")</f>
        <v>2.2908732328883343</v>
      </c>
      <c r="BG86" s="345">
        <f>IFERROR('WL (4)'!$S27,"-")</f>
        <v>2.2726669435144671</v>
      </c>
      <c r="BH86" s="345">
        <f>IFERROR('WL (5)'!$S27,"-")</f>
        <v>2.0928473201281057</v>
      </c>
      <c r="BI86" s="345">
        <f>IFERROR('WL (6)'!$S27,"-")</f>
        <v>1.5465071668757098</v>
      </c>
      <c r="BJ86" s="345">
        <f>IFERROR('WL (7)'!$S27,"-")</f>
        <v>0.68373914936372071</v>
      </c>
      <c r="BK86" s="345">
        <f>IFERROR('WL (8)'!$S27,"-")</f>
        <v>-0.31279043263682932</v>
      </c>
      <c r="BL86" s="345">
        <f>IFERROR('WL (9)'!$S27,"-")</f>
        <v>-1.003949401012229</v>
      </c>
      <c r="BM86" s="345">
        <f>IFERROR('WL (10)'!$S27,"-")</f>
        <v>-1.4725742911392845</v>
      </c>
      <c r="BN86" s="345">
        <f>IFERROR('WL (11)'!$S27,"-")</f>
        <v>-2.2703613818718282</v>
      </c>
      <c r="BO86" s="345">
        <f>IFERROR('WL (12)'!$S27,"-")</f>
        <v>-2.615536551016334</v>
      </c>
      <c r="BP86" s="345" t="str">
        <f>IFERROR('WL (13)'!$S27,"-")</f>
        <v xml:space="preserve">  </v>
      </c>
      <c r="BQ86" s="345" t="str">
        <f>IFERROR('WL (14)'!$S27,"-")</f>
        <v xml:space="preserve">  </v>
      </c>
      <c r="BR86" s="345" t="str">
        <f>IFERROR('WL (15)'!$S27,"-")</f>
        <v xml:space="preserve">  </v>
      </c>
      <c r="BS86" s="345" t="str">
        <f>IFERROR('WL (16)'!$S27,"-")</f>
        <v xml:space="preserve">  </v>
      </c>
      <c r="BT86" s="345" t="str">
        <f>IFERROR('WL (17)'!$S27,"-")</f>
        <v xml:space="preserve">  </v>
      </c>
      <c r="BU86" s="345" t="str">
        <f>IFERROR('WL (18)'!$S27,"-")</f>
        <v xml:space="preserve">  </v>
      </c>
      <c r="BV86" s="345" t="str">
        <f>IFERROR('WL (19)'!$S27,"-")</f>
        <v xml:space="preserve">  </v>
      </c>
      <c r="BW86" s="345" t="str">
        <f>IFERROR('WL (20)'!$S27,"-")</f>
        <v xml:space="preserve">  </v>
      </c>
      <c r="BX86" s="345" t="str">
        <f>IFERROR('WL (21)'!$S27,"-")</f>
        <v xml:space="preserve">  </v>
      </c>
      <c r="BY86" s="345" t="str">
        <f>IFERROR('WL (22)'!$S27,"-")</f>
        <v xml:space="preserve">  </v>
      </c>
      <c r="BZ86" s="345" t="str">
        <f>IFERROR('WL (23)'!$S27,"-")</f>
        <v xml:space="preserve">  </v>
      </c>
      <c r="CA86" s="345" t="str">
        <f>IFERROR('WL (24)'!$S27,"-")</f>
        <v xml:space="preserve">  </v>
      </c>
      <c r="CB86" s="345" t="str">
        <f>IFERROR('WL (25)'!$S27,"-")</f>
        <v xml:space="preserve">  </v>
      </c>
      <c r="CM86" s="262">
        <v>25</v>
      </c>
      <c r="CN86" s="262">
        <f t="shared" si="111"/>
        <v>0</v>
      </c>
      <c r="CO86" s="262" t="str">
        <f t="shared" si="112"/>
        <v xml:space="preserve">  </v>
      </c>
      <c r="CP86" s="262" t="str">
        <f t="shared" si="113"/>
        <v xml:space="preserve"> </v>
      </c>
      <c r="CQ86" s="262" t="e">
        <f t="shared" ref="CQ86" si="178">CO86*WLS</f>
        <v>#VALUE!</v>
      </c>
      <c r="CR86" s="262" t="e">
        <f t="shared" si="115"/>
        <v>#VALUE!</v>
      </c>
      <c r="CS86" s="262"/>
      <c r="CT86" s="262"/>
      <c r="CU86" s="262"/>
      <c r="CV86" s="262"/>
      <c r="CW86" s="262"/>
      <c r="CX86" s="262"/>
      <c r="CY86" s="262"/>
      <c r="CZ86" s="262"/>
      <c r="DA86" s="262"/>
      <c r="DB86" s="325">
        <f t="shared" si="122"/>
        <v>20</v>
      </c>
      <c r="DC86" s="262" t="str">
        <f t="shared" si="123"/>
        <v>STN 20</v>
      </c>
      <c r="DD86" s="262">
        <f>IF(ISNUMBER(DB86),DB86,0)</f>
        <v>20</v>
      </c>
      <c r="DE86" s="262">
        <f t="shared" si="125"/>
        <v>20</v>
      </c>
    </row>
    <row r="87" spans="1:142" x14ac:dyDescent="0.25">
      <c r="A87" s="341">
        <f t="shared" si="129"/>
        <v>15</v>
      </c>
      <c r="B87" s="336">
        <f t="array" ref="B87:Z87">TRANSPOSE('Stn(18)'!D4:D28)</f>
        <v>0</v>
      </c>
      <c r="C87" s="336">
        <v>8.6100000000000012</v>
      </c>
      <c r="D87" s="336">
        <v>19.920000000000002</v>
      </c>
      <c r="E87" s="336">
        <v>32.844000000000001</v>
      </c>
      <c r="F87" s="336">
        <v>46.944000000000003</v>
      </c>
      <c r="G87" s="336">
        <v>77.555999999999997</v>
      </c>
      <c r="H87" s="336">
        <v>110.976</v>
      </c>
      <c r="I87" s="336">
        <v>146.83199999999999</v>
      </c>
      <c r="J87" s="336">
        <v>169.77799999999999</v>
      </c>
      <c r="K87" s="336">
        <v>184.75200000000001</v>
      </c>
      <c r="L87" s="336">
        <v>224.53199999999998</v>
      </c>
      <c r="M87" s="336">
        <v>261.80159999999995</v>
      </c>
      <c r="N87" s="336" t="str">
        <v xml:space="preserve"> </v>
      </c>
      <c r="O87" s="336" t="str">
        <v xml:space="preserve"> </v>
      </c>
      <c r="P87" s="336" t="str">
        <v xml:space="preserve"> </v>
      </c>
      <c r="Q87" s="336" t="str">
        <v xml:space="preserve"> </v>
      </c>
      <c r="R87" s="336" t="str">
        <v xml:space="preserve"> </v>
      </c>
      <c r="S87" s="336" t="str">
        <v xml:space="preserve"> </v>
      </c>
      <c r="T87" s="336" t="str">
        <v xml:space="preserve"> </v>
      </c>
      <c r="U87" s="336" t="str">
        <v xml:space="preserve"> </v>
      </c>
      <c r="V87" s="336" t="str">
        <v xml:space="preserve"> </v>
      </c>
      <c r="W87" s="336" t="str">
        <v xml:space="preserve"> </v>
      </c>
      <c r="X87" s="336" t="str">
        <v xml:space="preserve"> </v>
      </c>
      <c r="Y87" s="336" t="str">
        <v xml:space="preserve"> </v>
      </c>
      <c r="Z87" s="336" t="str">
        <v xml:space="preserve"> </v>
      </c>
      <c r="AB87" s="337">
        <f t="shared" si="174"/>
        <v>15</v>
      </c>
      <c r="AC87" s="338">
        <f t="array" ref="AC87:BA87">TRANSPOSE('Stn(18)'!E4:E28)</f>
        <v>0</v>
      </c>
      <c r="AD87" s="338">
        <v>4.1242500000000009</v>
      </c>
      <c r="AE87" s="338">
        <v>19.548000000000002</v>
      </c>
      <c r="AF87" s="338">
        <v>48.766050000000007</v>
      </c>
      <c r="AG87" s="338">
        <v>93.204000000000008</v>
      </c>
      <c r="AH87" s="338">
        <v>231.59520000000001</v>
      </c>
      <c r="AI87" s="338">
        <v>442.34640000000002</v>
      </c>
      <c r="AJ87" s="338">
        <v>733.29840000000002</v>
      </c>
      <c r="AK87" s="338">
        <v>952.50126666666654</v>
      </c>
      <c r="AL87" s="338">
        <v>1108.836</v>
      </c>
      <c r="AM87" s="338">
        <v>1574.6832000000004</v>
      </c>
      <c r="AN87" s="338">
        <v>2074.2718530000002</v>
      </c>
      <c r="AO87" s="338" t="str">
        <v xml:space="preserve"> </v>
      </c>
      <c r="AP87" s="338" t="str">
        <v xml:space="preserve"> </v>
      </c>
      <c r="AQ87" s="338" t="str">
        <v xml:space="preserve"> </v>
      </c>
      <c r="AR87" s="338" t="str">
        <v xml:space="preserve"> </v>
      </c>
      <c r="AS87" s="338" t="str">
        <v xml:space="preserve"> </v>
      </c>
      <c r="AT87" s="338" t="str">
        <v xml:space="preserve"> </v>
      </c>
      <c r="AU87" s="338" t="str">
        <v xml:space="preserve"> </v>
      </c>
      <c r="AV87" s="338" t="str">
        <v xml:space="preserve"> </v>
      </c>
      <c r="AW87" s="338" t="str">
        <v xml:space="preserve"> </v>
      </c>
      <c r="AX87" s="338" t="str">
        <v xml:space="preserve"> </v>
      </c>
      <c r="AY87" s="338" t="str">
        <v xml:space="preserve"> </v>
      </c>
      <c r="AZ87" s="338" t="str">
        <v xml:space="preserve"> </v>
      </c>
      <c r="BA87" s="338" t="str">
        <v xml:space="preserve"> </v>
      </c>
      <c r="BC87" s="347" t="s">
        <v>75</v>
      </c>
      <c r="BD87" s="345" t="str">
        <f>IFERROR('WL (1)'!$S28,"-")</f>
        <v>-</v>
      </c>
      <c r="BE87" s="345">
        <f>IFERROR('WL (2)'!$S28,"-")</f>
        <v>60.821207164873414</v>
      </c>
      <c r="BF87" s="345">
        <f>IFERROR('WL (3)'!$S28,"-")</f>
        <v>80.450277636845129</v>
      </c>
      <c r="BG87" s="345">
        <f>IFERROR('WL (4)'!$S28,"-")</f>
        <v>95.340847376343362</v>
      </c>
      <c r="BH87" s="345">
        <f>IFERROR('WL (5)'!$S28,"-")</f>
        <v>107.45723678972521</v>
      </c>
      <c r="BI87" s="345">
        <f>IFERROR('WL (6)'!$S28,"-")</f>
        <v>131.55875784988672</v>
      </c>
      <c r="BJ87" s="345">
        <f>IFERROR('WL (7)'!$S28,"-")</f>
        <v>155.04148400105996</v>
      </c>
      <c r="BK87" s="345">
        <f>IFERROR('WL (8)'!$S28,"-")</f>
        <v>193.06170887226656</v>
      </c>
      <c r="BL87" s="345">
        <f>IFERROR('WL (9)'!$S28,"-")</f>
        <v>224.42636161621462</v>
      </c>
      <c r="BM87" s="345">
        <f>IFERROR('WL (10)'!$S28,"-")</f>
        <v>239.9311825541993</v>
      </c>
      <c r="BN87" s="345">
        <f>IFERROR('WL (11)'!$S28,"-")</f>
        <v>269.72976270318759</v>
      </c>
      <c r="BO87" s="345">
        <f>IFERROR('WL (12)'!$S28,"-")</f>
        <v>303.53796309055826</v>
      </c>
      <c r="BP87" s="345" t="str">
        <f>IFERROR('WL (13)'!$S28,"-")</f>
        <v xml:space="preserve">  </v>
      </c>
      <c r="BQ87" s="345" t="str">
        <f>IFERROR('WL (14)'!$S28,"-")</f>
        <v xml:space="preserve">  </v>
      </c>
      <c r="BR87" s="345" t="str">
        <f>IFERROR('WL (15)'!$S28,"-")</f>
        <v xml:space="preserve">  </v>
      </c>
      <c r="BS87" s="345" t="str">
        <f>IFERROR('WL (16)'!$S28,"-")</f>
        <v xml:space="preserve">  </v>
      </c>
      <c r="BT87" s="345" t="str">
        <f>IFERROR('WL (17)'!$S28,"-")</f>
        <v xml:space="preserve">  </v>
      </c>
      <c r="BU87" s="345" t="str">
        <f>IFERROR('WL (18)'!$S28,"-")</f>
        <v xml:space="preserve">  </v>
      </c>
      <c r="BV87" s="345" t="str">
        <f>IFERROR('WL (19)'!$S28,"-")</f>
        <v xml:space="preserve">  </v>
      </c>
      <c r="BW87" s="345" t="str">
        <f>IFERROR('WL (20)'!$S28,"-")</f>
        <v xml:space="preserve">  </v>
      </c>
      <c r="BX87" s="345" t="str">
        <f>IFERROR('WL (21)'!$S28,"-")</f>
        <v xml:space="preserve">  </v>
      </c>
      <c r="BY87" s="345" t="str">
        <f>IFERROR('WL (22)'!$S28,"-")</f>
        <v xml:space="preserve">  </v>
      </c>
      <c r="BZ87" s="345" t="str">
        <f>IFERROR('WL (23)'!$S28,"-")</f>
        <v xml:space="preserve">  </v>
      </c>
      <c r="CA87" s="345" t="str">
        <f>IFERROR('WL (24)'!$S28,"-")</f>
        <v xml:space="preserve">  </v>
      </c>
      <c r="CB87" s="345" t="str">
        <f>IFERROR('WL (25)'!$S28,"-")</f>
        <v xml:space="preserve">  </v>
      </c>
    </row>
    <row r="88" spans="1:142" x14ac:dyDescent="0.25">
      <c r="A88" s="341">
        <f t="shared" si="129"/>
        <v>16</v>
      </c>
      <c r="B88" s="336">
        <f t="array" ref="B88:Z88">TRANSPOSE('Stn(19)'!D4:D28)</f>
        <v>0</v>
      </c>
      <c r="C88" s="336">
        <v>5.76</v>
      </c>
      <c r="D88" s="336">
        <v>14.111999999999997</v>
      </c>
      <c r="E88" s="336">
        <v>23.873999999999995</v>
      </c>
      <c r="F88" s="336">
        <v>34.686</v>
      </c>
      <c r="G88" s="336">
        <v>58.56</v>
      </c>
      <c r="H88" s="336">
        <v>85.23</v>
      </c>
      <c r="I88" s="336">
        <v>114.828</v>
      </c>
      <c r="J88" s="336">
        <v>134.35300000000001</v>
      </c>
      <c r="K88" s="336">
        <v>147.34200000000001</v>
      </c>
      <c r="L88" s="336">
        <v>182.68799999999999</v>
      </c>
      <c r="M88" s="336">
        <v>217.58849999999995</v>
      </c>
      <c r="N88" s="336" t="str">
        <v xml:space="preserve"> </v>
      </c>
      <c r="O88" s="336" t="str">
        <v xml:space="preserve"> </v>
      </c>
      <c r="P88" s="336" t="str">
        <v xml:space="preserve"> </v>
      </c>
      <c r="Q88" s="336" t="str">
        <v xml:space="preserve"> </v>
      </c>
      <c r="R88" s="336" t="str">
        <v xml:space="preserve"> </v>
      </c>
      <c r="S88" s="336" t="str">
        <v xml:space="preserve"> </v>
      </c>
      <c r="T88" s="336" t="str">
        <v xml:space="preserve"> </v>
      </c>
      <c r="U88" s="336" t="str">
        <v xml:space="preserve"> </v>
      </c>
      <c r="V88" s="336" t="str">
        <v xml:space="preserve"> </v>
      </c>
      <c r="W88" s="336" t="str">
        <v xml:space="preserve"> </v>
      </c>
      <c r="X88" s="336" t="str">
        <v xml:space="preserve"> </v>
      </c>
      <c r="Y88" s="336" t="str">
        <v xml:space="preserve"> </v>
      </c>
      <c r="Z88" s="336" t="str">
        <v xml:space="preserve"> </v>
      </c>
      <c r="AB88" s="337">
        <f t="shared" si="174"/>
        <v>16</v>
      </c>
      <c r="AC88" s="338">
        <f t="array" ref="AC88:BA88">TRANSPOSE('Stn(19)'!E4:E28)</f>
        <v>0</v>
      </c>
      <c r="AD88" s="338">
        <v>2.8390499999999999</v>
      </c>
      <c r="AE88" s="338">
        <v>14.256</v>
      </c>
      <c r="AF88" s="338">
        <v>36.356850000000001</v>
      </c>
      <c r="AG88" s="338">
        <v>70.415999999999997</v>
      </c>
      <c r="AH88" s="338">
        <v>178.41600000000003</v>
      </c>
      <c r="AI88" s="338">
        <v>346.76639999999998</v>
      </c>
      <c r="AJ88" s="338">
        <v>587.02319999999997</v>
      </c>
      <c r="AK88" s="338">
        <v>773.58576666666659</v>
      </c>
      <c r="AL88" s="338">
        <v>909.2736000000001</v>
      </c>
      <c r="AM88" s="338">
        <v>1323.3024</v>
      </c>
      <c r="AN88" s="338">
        <v>1791.4476899999997</v>
      </c>
      <c r="AO88" s="338" t="str">
        <v xml:space="preserve"> </v>
      </c>
      <c r="AP88" s="338" t="str">
        <v xml:space="preserve"> </v>
      </c>
      <c r="AQ88" s="338" t="str">
        <v xml:space="preserve"> </v>
      </c>
      <c r="AR88" s="338" t="str">
        <v xml:space="preserve"> </v>
      </c>
      <c r="AS88" s="338" t="str">
        <v xml:space="preserve"> </v>
      </c>
      <c r="AT88" s="338" t="str">
        <v xml:space="preserve"> </v>
      </c>
      <c r="AU88" s="338" t="str">
        <v xml:space="preserve"> </v>
      </c>
      <c r="AV88" s="338" t="str">
        <v xml:space="preserve"> </v>
      </c>
      <c r="AW88" s="338" t="str">
        <v xml:space="preserve"> </v>
      </c>
      <c r="AX88" s="338" t="str">
        <v xml:space="preserve"> </v>
      </c>
      <c r="AY88" s="338" t="str">
        <v xml:space="preserve"> </v>
      </c>
      <c r="AZ88" s="338" t="str">
        <v xml:space="preserve"> </v>
      </c>
      <c r="BA88" s="338" t="str">
        <v xml:space="preserve"> </v>
      </c>
      <c r="BC88" s="347" t="s">
        <v>78</v>
      </c>
      <c r="BD88" s="345">
        <f>IFERROR('WL (1)'!$S29,"-")</f>
        <v>0</v>
      </c>
      <c r="BE88" s="345">
        <f>IFERROR('WL (2)'!$S29,"-")</f>
        <v>0.9</v>
      </c>
      <c r="BF88" s="345">
        <f>IFERROR('WL (3)'!$S29,"-")</f>
        <v>1.8</v>
      </c>
      <c r="BG88" s="345">
        <f>IFERROR('WL (4)'!$S29,"-")</f>
        <v>2.7</v>
      </c>
      <c r="BH88" s="345">
        <f>IFERROR('WL (5)'!$S29,"-")</f>
        <v>3.6</v>
      </c>
      <c r="BI88" s="345">
        <f>IFERROR('WL (6)'!$S29,"-")</f>
        <v>5.4</v>
      </c>
      <c r="BJ88" s="345">
        <f>IFERROR('WL (7)'!$S29,"-")</f>
        <v>7.2</v>
      </c>
      <c r="BK88" s="345">
        <f>IFERROR('WL (8)'!$S29,"-")</f>
        <v>9</v>
      </c>
      <c r="BL88" s="345">
        <f>IFERROR('WL (9)'!$S29,"-")</f>
        <v>10.1</v>
      </c>
      <c r="BM88" s="345">
        <f>IFERROR('WL (10)'!$S29,"-")</f>
        <v>10.8</v>
      </c>
      <c r="BN88" s="345">
        <f>IFERROR('WL (11)'!$S29,"-")</f>
        <v>12.6</v>
      </c>
      <c r="BO88" s="345">
        <f>IFERROR('WL (12)'!$S29,"-")</f>
        <v>14.19</v>
      </c>
      <c r="BP88" s="345" t="str">
        <f>IFERROR('WL (13)'!$S29,"-")</f>
        <v xml:space="preserve">  </v>
      </c>
      <c r="BQ88" s="345" t="str">
        <f>IFERROR('WL (14)'!$S29,"-")</f>
        <v xml:space="preserve">  </v>
      </c>
      <c r="BR88" s="345" t="str">
        <f>IFERROR('WL (15)'!$S29,"-")</f>
        <v xml:space="preserve">  </v>
      </c>
      <c r="BS88" s="345" t="str">
        <f>IFERROR('WL (16)'!$S29,"-")</f>
        <v xml:space="preserve">  </v>
      </c>
      <c r="BT88" s="345" t="str">
        <f>IFERROR('WL (17)'!$S29,"-")</f>
        <v xml:space="preserve">  </v>
      </c>
      <c r="BU88" s="345" t="str">
        <f>IFERROR('WL (18)'!$S29,"-")</f>
        <v xml:space="preserve">  </v>
      </c>
      <c r="BV88" s="345" t="str">
        <f>IFERROR('WL (19)'!$S29,"-")</f>
        <v xml:space="preserve">  </v>
      </c>
      <c r="BW88" s="345" t="str">
        <f>IFERROR('WL (20)'!$S29,"-")</f>
        <v xml:space="preserve">  </v>
      </c>
      <c r="BX88" s="345" t="str">
        <f>IFERROR('WL (21)'!$S29,"-")</f>
        <v xml:space="preserve">  </v>
      </c>
      <c r="BY88" s="345" t="str">
        <f>IFERROR('WL (22)'!$S29,"-")</f>
        <v xml:space="preserve">  </v>
      </c>
      <c r="BZ88" s="345" t="str">
        <f>IFERROR('WL (23)'!$S29,"-")</f>
        <v xml:space="preserve">  </v>
      </c>
      <c r="CA88" s="345" t="str">
        <f>IFERROR('WL (24)'!$S29,"-")</f>
        <v xml:space="preserve">  </v>
      </c>
      <c r="CB88" s="345" t="str">
        <f>IFERROR('WL (25)'!$S29,"-")</f>
        <v xml:space="preserve">  </v>
      </c>
    </row>
    <row r="89" spans="1:142" x14ac:dyDescent="0.25">
      <c r="A89" s="341">
        <f t="shared" si="129"/>
        <v>17</v>
      </c>
      <c r="B89" s="336">
        <f t="array" ref="B89:Z89">TRANSPOSE('Stn(20)'!D4:D28)</f>
        <v>0</v>
      </c>
      <c r="C89" s="336">
        <v>3.1154999999999999</v>
      </c>
      <c r="D89" s="336">
        <v>8.8140000000000001</v>
      </c>
      <c r="E89" s="336">
        <v>15.577500000000001</v>
      </c>
      <c r="F89" s="336">
        <v>23.327999999999996</v>
      </c>
      <c r="G89" s="336">
        <v>40.337999999999994</v>
      </c>
      <c r="H89" s="336">
        <v>59.616</v>
      </c>
      <c r="I89" s="336">
        <v>81.593999999999994</v>
      </c>
      <c r="J89" s="336">
        <v>96.784999999999982</v>
      </c>
      <c r="K89" s="336">
        <v>107.244</v>
      </c>
      <c r="L89" s="336">
        <v>136.64999999999998</v>
      </c>
      <c r="M89" s="336">
        <v>167.92529999999996</v>
      </c>
      <c r="N89" s="336" t="str">
        <v xml:space="preserve"> </v>
      </c>
      <c r="O89" s="336" t="str">
        <v xml:space="preserve"> </v>
      </c>
      <c r="P89" s="336" t="str">
        <v xml:space="preserve"> </v>
      </c>
      <c r="Q89" s="336" t="str">
        <v xml:space="preserve"> </v>
      </c>
      <c r="R89" s="336" t="str">
        <v xml:space="preserve"> </v>
      </c>
      <c r="S89" s="336" t="str">
        <v xml:space="preserve"> </v>
      </c>
      <c r="T89" s="336" t="str">
        <v xml:space="preserve"> </v>
      </c>
      <c r="U89" s="336" t="str">
        <v xml:space="preserve"> </v>
      </c>
      <c r="V89" s="336" t="str">
        <v xml:space="preserve"> </v>
      </c>
      <c r="W89" s="336" t="str">
        <v xml:space="preserve"> </v>
      </c>
      <c r="X89" s="336" t="str">
        <v xml:space="preserve"> </v>
      </c>
      <c r="Y89" s="336" t="str">
        <v xml:space="preserve"> </v>
      </c>
      <c r="Z89" s="336" t="str">
        <v xml:space="preserve"> </v>
      </c>
      <c r="AB89" s="337">
        <f t="shared" si="174"/>
        <v>17</v>
      </c>
      <c r="AC89" s="338">
        <f t="array" ref="AC89:BA89">TRANSPOSE('Stn(20)'!E4:E28)</f>
        <v>0</v>
      </c>
      <c r="AD89" s="338">
        <v>1.6692749999999998</v>
      </c>
      <c r="AE89" s="338">
        <v>9.4824000000000002</v>
      </c>
      <c r="AF89" s="338">
        <v>24.873075</v>
      </c>
      <c r="AG89" s="338">
        <v>49.161599999999993</v>
      </c>
      <c r="AH89" s="338">
        <v>126.2304</v>
      </c>
      <c r="AI89" s="338">
        <v>247.83840000000001</v>
      </c>
      <c r="AJ89" s="338">
        <v>426.64320000000009</v>
      </c>
      <c r="AK89" s="338">
        <v>571.84429999999998</v>
      </c>
      <c r="AL89" s="338">
        <v>680.70240000000001</v>
      </c>
      <c r="AM89" s="338">
        <v>1025.8704000000002</v>
      </c>
      <c r="AN89" s="338">
        <v>1445.7342269999999</v>
      </c>
      <c r="AO89" s="338" t="str">
        <v xml:space="preserve"> </v>
      </c>
      <c r="AP89" s="338" t="str">
        <v xml:space="preserve"> </v>
      </c>
      <c r="AQ89" s="338" t="str">
        <v xml:space="preserve"> </v>
      </c>
      <c r="AR89" s="338" t="str">
        <v xml:space="preserve"> </v>
      </c>
      <c r="AS89" s="338" t="str">
        <v xml:space="preserve"> </v>
      </c>
      <c r="AT89" s="338" t="str">
        <v xml:space="preserve"> </v>
      </c>
      <c r="AU89" s="338" t="str">
        <v xml:space="preserve"> </v>
      </c>
      <c r="AV89" s="338" t="str">
        <v xml:space="preserve"> </v>
      </c>
      <c r="AW89" s="338" t="str">
        <v xml:space="preserve"> </v>
      </c>
      <c r="AX89" s="338" t="str">
        <v xml:space="preserve"> </v>
      </c>
      <c r="AY89" s="338" t="str">
        <v xml:space="preserve"> </v>
      </c>
      <c r="AZ89" s="338" t="str">
        <v xml:space="preserve"> </v>
      </c>
      <c r="BA89" s="338" t="str">
        <v xml:space="preserve"> </v>
      </c>
      <c r="BC89" s="347" t="s">
        <v>80</v>
      </c>
      <c r="BD89" s="345">
        <f>IFERROR('WL (1)'!$S30,"-")</f>
        <v>0.37957364341085259</v>
      </c>
      <c r="BE89" s="345">
        <f>IFERROR('WL (2)'!$S30,"-")</f>
        <v>0.4985162976629765</v>
      </c>
      <c r="BF89" s="345">
        <f>IFERROR('WL (3)'!$S30,"-")</f>
        <v>0.53913690476190468</v>
      </c>
      <c r="BG89" s="345">
        <f>IFERROR('WL (4)'!$S30,"-")</f>
        <v>0.57331823174080165</v>
      </c>
      <c r="BH89" s="345">
        <f>IFERROR('WL (5)'!$S30,"-")</f>
        <v>0.60582312925170034</v>
      </c>
      <c r="BI89" s="345">
        <f>IFERROR('WL (6)'!$S30,"-")</f>
        <v>0.66711564625850328</v>
      </c>
      <c r="BJ89" s="345">
        <f>IFERROR('WL (7)'!$S30,"-")</f>
        <v>0.72004761904761894</v>
      </c>
      <c r="BK89" s="345">
        <f>IFERROR('WL (8)'!$S30,"-")</f>
        <v>0.78374149659863945</v>
      </c>
      <c r="BL89" s="345">
        <f>IFERROR('WL (9)'!$S30,"-")</f>
        <v>0.8269673469387756</v>
      </c>
      <c r="BM89" s="345">
        <f>IFERROR('WL (10)'!$S30,"-")</f>
        <v>0.8478639455782313</v>
      </c>
      <c r="BN89" s="345">
        <f>IFERROR('WL (11)'!$S30,"-")</f>
        <v>0.88695918367346904</v>
      </c>
      <c r="BO89" s="345">
        <f>IFERROR('WL (12)'!$S30,"-")</f>
        <v>0.93242176870748295</v>
      </c>
      <c r="BP89" s="345" t="str">
        <f>IFERROR('WL (13)'!$S30,"-")</f>
        <v xml:space="preserve">  </v>
      </c>
      <c r="BQ89" s="345" t="str">
        <f>IFERROR('WL (14)'!$S30,"-")</f>
        <v xml:space="preserve">  </v>
      </c>
      <c r="BR89" s="345" t="str">
        <f>IFERROR('WL (15)'!$S30,"-")</f>
        <v xml:space="preserve">  </v>
      </c>
      <c r="BS89" s="345" t="str">
        <f>IFERROR('WL (16)'!$S30,"-")</f>
        <v xml:space="preserve">  </v>
      </c>
      <c r="BT89" s="345" t="str">
        <f>IFERROR('WL (17)'!$S30,"-")</f>
        <v xml:space="preserve">  </v>
      </c>
      <c r="BU89" s="345" t="str">
        <f>IFERROR('WL (18)'!$S30,"-")</f>
        <v xml:space="preserve">  </v>
      </c>
      <c r="BV89" s="345" t="str">
        <f>IFERROR('WL (19)'!$S30,"-")</f>
        <v xml:space="preserve">  </v>
      </c>
      <c r="BW89" s="345" t="str">
        <f>IFERROR('WL (20)'!$S30,"-")</f>
        <v xml:space="preserve">  </v>
      </c>
      <c r="BX89" s="345" t="str">
        <f>IFERROR('WL (21)'!$S30,"-")</f>
        <v xml:space="preserve">  </v>
      </c>
      <c r="BY89" s="345" t="str">
        <f>IFERROR('WL (22)'!$S30,"-")</f>
        <v xml:space="preserve">  </v>
      </c>
      <c r="BZ89" s="345" t="str">
        <f>IFERROR('WL (23)'!$S30,"-")</f>
        <v xml:space="preserve">  </v>
      </c>
      <c r="CA89" s="345" t="str">
        <f>IFERROR('WL (24)'!$S30,"-")</f>
        <v xml:space="preserve">  </v>
      </c>
      <c r="CB89" s="345" t="str">
        <f>IFERROR('WL (25)'!$S30,"-")</f>
        <v xml:space="preserve">  </v>
      </c>
    </row>
    <row r="90" spans="1:142" x14ac:dyDescent="0.25">
      <c r="A90" s="341">
        <f t="shared" si="129"/>
        <v>18</v>
      </c>
      <c r="B90" s="336">
        <f t="array" ref="B90:Z90">TRANSPOSE('Stn(21)'!D4:D28)</f>
        <v>0</v>
      </c>
      <c r="C90" s="336">
        <v>1.4534999999999998</v>
      </c>
      <c r="D90" s="336">
        <v>4.8434999999999997</v>
      </c>
      <c r="E90" s="336">
        <v>9.3134999999999994</v>
      </c>
      <c r="F90" s="336">
        <v>14.419499999999999</v>
      </c>
      <c r="G90" s="336">
        <v>25.675499999999996</v>
      </c>
      <c r="H90" s="336">
        <v>37.795500000000004</v>
      </c>
      <c r="I90" s="336">
        <v>51.5595</v>
      </c>
      <c r="J90" s="336">
        <v>61.734499999999997</v>
      </c>
      <c r="K90" s="336">
        <v>69.115499999999997</v>
      </c>
      <c r="L90" s="336">
        <v>91.159500000000008</v>
      </c>
      <c r="M90" s="336">
        <v>117.5694</v>
      </c>
      <c r="N90" s="336" t="str">
        <v xml:space="preserve"> </v>
      </c>
      <c r="O90" s="336" t="str">
        <v xml:space="preserve"> </v>
      </c>
      <c r="P90" s="336" t="str">
        <v xml:space="preserve"> </v>
      </c>
      <c r="Q90" s="336" t="str">
        <v xml:space="preserve"> </v>
      </c>
      <c r="R90" s="336" t="str">
        <v xml:space="preserve"> </v>
      </c>
      <c r="S90" s="336" t="str">
        <v xml:space="preserve"> </v>
      </c>
      <c r="T90" s="336" t="str">
        <v xml:space="preserve"> </v>
      </c>
      <c r="U90" s="336" t="str">
        <v xml:space="preserve"> </v>
      </c>
      <c r="V90" s="336" t="str">
        <v xml:space="preserve"> </v>
      </c>
      <c r="W90" s="336" t="str">
        <v xml:space="preserve"> </v>
      </c>
      <c r="X90" s="336" t="str">
        <v xml:space="preserve"> </v>
      </c>
      <c r="Y90" s="336" t="str">
        <v xml:space="preserve"> </v>
      </c>
      <c r="Z90" s="336" t="str">
        <v xml:space="preserve"> </v>
      </c>
      <c r="AB90" s="337">
        <f t="shared" si="174"/>
        <v>18</v>
      </c>
      <c r="AC90" s="338">
        <f t="array" ref="AC90:BA90">TRANSPOSE('Stn(21)'!E4:E28)</f>
        <v>0</v>
      </c>
      <c r="AD90" s="338">
        <v>0.85522500000000001</v>
      </c>
      <c r="AE90" s="338">
        <v>5.5316249999999991</v>
      </c>
      <c r="AF90" s="338">
        <v>15.651225</v>
      </c>
      <c r="AG90" s="338">
        <v>31.786425000000001</v>
      </c>
      <c r="AH90" s="338">
        <v>82.730025000000012</v>
      </c>
      <c r="AI90" s="338">
        <v>159.18322499999999</v>
      </c>
      <c r="AJ90" s="338">
        <v>271.31962500000003</v>
      </c>
      <c r="AK90" s="338">
        <v>368.63002499999999</v>
      </c>
      <c r="AL90" s="338">
        <v>445.29682500000001</v>
      </c>
      <c r="AM90" s="338">
        <v>704.529225</v>
      </c>
      <c r="AN90" s="338">
        <v>1059.5243909999999</v>
      </c>
      <c r="AO90" s="338" t="str">
        <v xml:space="preserve"> </v>
      </c>
      <c r="AP90" s="338" t="str">
        <v xml:space="preserve"> </v>
      </c>
      <c r="AQ90" s="338" t="str">
        <v xml:space="preserve"> </v>
      </c>
      <c r="AR90" s="338" t="str">
        <v xml:space="preserve"> </v>
      </c>
      <c r="AS90" s="338" t="str">
        <v xml:space="preserve"> </v>
      </c>
      <c r="AT90" s="338" t="str">
        <v xml:space="preserve"> </v>
      </c>
      <c r="AU90" s="338" t="str">
        <v xml:space="preserve"> </v>
      </c>
      <c r="AV90" s="338" t="str">
        <v xml:space="preserve"> </v>
      </c>
      <c r="AW90" s="338" t="str">
        <v xml:space="preserve"> </v>
      </c>
      <c r="AX90" s="338" t="str">
        <v xml:space="preserve"> </v>
      </c>
      <c r="AY90" s="338" t="str">
        <v xml:space="preserve"> </v>
      </c>
      <c r="AZ90" s="338" t="str">
        <v xml:space="preserve"> </v>
      </c>
      <c r="BA90" s="338" t="str">
        <v xml:space="preserve"> </v>
      </c>
      <c r="BC90" s="347" t="s">
        <v>82</v>
      </c>
      <c r="BD90" s="345" t="str">
        <f>IFERROR('WL (1)'!$S31,"-")</f>
        <v>-</v>
      </c>
      <c r="BE90" s="345">
        <f>IFERROR('WL (2)'!$S31,"-")</f>
        <v>0.40802348127647936</v>
      </c>
      <c r="BF90" s="345">
        <f>IFERROR('WL (3)'!$S31,"-")</f>
        <v>0.4420011928382464</v>
      </c>
      <c r="BG90" s="345">
        <f>IFERROR('WL (4)'!$S31,"-")</f>
        <v>0.46666088280757401</v>
      </c>
      <c r="BH90" s="345">
        <f>IFERROR('WL (5)'!$S31,"-")</f>
        <v>0.49510794595616014</v>
      </c>
      <c r="BI90" s="345">
        <f>IFERROR('WL (6)'!$S31,"-")</f>
        <v>0.5422441106072059</v>
      </c>
      <c r="BJ90" s="345">
        <f>IFERROR('WL (7)'!$S31,"-")</f>
        <v>0.58041508408919129</v>
      </c>
      <c r="BK90" s="345">
        <f>IFERROR('WL (8)'!$S31,"-")</f>
        <v>0.61386256613756607</v>
      </c>
      <c r="BL90" s="345">
        <f>IFERROR('WL (9)'!$S31,"-")</f>
        <v>0.63463046069913098</v>
      </c>
      <c r="BM90" s="345">
        <f>IFERROR('WL (10)'!$S31,"-")</f>
        <v>0.64832115457294026</v>
      </c>
      <c r="BN90" s="345">
        <f>IFERROR('WL (11)'!$S31,"-")</f>
        <v>0.67937197116942027</v>
      </c>
      <c r="BO90" s="345">
        <f>IFERROR('WL (12)'!$S31,"-")</f>
        <v>0.70517933008298439</v>
      </c>
      <c r="BP90" s="345" t="str">
        <f>IFERROR('WL (13)'!$S31,"-")</f>
        <v xml:space="preserve">  </v>
      </c>
      <c r="BQ90" s="345" t="str">
        <f>IFERROR('WL (14)'!$S31,"-")</f>
        <v xml:space="preserve">  </v>
      </c>
      <c r="BR90" s="345" t="str">
        <f>IFERROR('WL (15)'!$S31,"-")</f>
        <v xml:space="preserve">  </v>
      </c>
      <c r="BS90" s="345" t="str">
        <f>IFERROR('WL (16)'!$S31,"-")</f>
        <v xml:space="preserve">  </v>
      </c>
      <c r="BT90" s="345" t="str">
        <f>IFERROR('WL (17)'!$S31,"-")</f>
        <v xml:space="preserve">  </v>
      </c>
      <c r="BU90" s="345" t="str">
        <f>IFERROR('WL (18)'!$S31,"-")</f>
        <v xml:space="preserve">  </v>
      </c>
      <c r="BV90" s="345" t="str">
        <f>IFERROR('WL (19)'!$S31,"-")</f>
        <v xml:space="preserve">  </v>
      </c>
      <c r="BW90" s="345" t="str">
        <f>IFERROR('WL (20)'!$S31,"-")</f>
        <v xml:space="preserve">  </v>
      </c>
      <c r="BX90" s="345" t="str">
        <f>IFERROR('WL (21)'!$S31,"-")</f>
        <v xml:space="preserve">  </v>
      </c>
      <c r="BY90" s="345" t="str">
        <f>IFERROR('WL (22)'!$S31,"-")</f>
        <v xml:space="preserve">  </v>
      </c>
      <c r="BZ90" s="345" t="str">
        <f>IFERROR('WL (23)'!$S31,"-")</f>
        <v xml:space="preserve">  </v>
      </c>
      <c r="CA90" s="345" t="str">
        <f>IFERROR('WL (24)'!$S31,"-")</f>
        <v xml:space="preserve">  </v>
      </c>
      <c r="CB90" s="345" t="str">
        <f>IFERROR('WL (25)'!$S31,"-")</f>
        <v xml:space="preserve">  </v>
      </c>
    </row>
    <row r="91" spans="1:142" x14ac:dyDescent="0.25">
      <c r="A91" s="341">
        <f t="shared" si="129"/>
        <v>18.5</v>
      </c>
      <c r="B91" s="336">
        <f t="array" ref="B91:Z91">TRANSPOSE('Stn(22)'!D4:D28)</f>
        <v>0</v>
      </c>
      <c r="C91" s="336">
        <v>0.60319999999999996</v>
      </c>
      <c r="D91" s="336">
        <v>3.1021999999999998</v>
      </c>
      <c r="E91" s="336">
        <v>6.5912000000000006</v>
      </c>
      <c r="F91" s="336">
        <v>10.6982</v>
      </c>
      <c r="G91" s="336">
        <v>19.746199999999998</v>
      </c>
      <c r="H91" s="336">
        <v>28.9742</v>
      </c>
      <c r="I91" s="336">
        <v>38.8142</v>
      </c>
      <c r="J91" s="336">
        <v>46.415199999999999</v>
      </c>
      <c r="K91" s="336">
        <v>52.170200000000001</v>
      </c>
      <c r="L91" s="336">
        <v>70.050200000000004</v>
      </c>
      <c r="M91" s="336">
        <v>92.008099999999985</v>
      </c>
      <c r="N91" s="336" t="str">
        <v xml:space="preserve"> </v>
      </c>
      <c r="O91" s="336" t="str">
        <v xml:space="preserve"> </v>
      </c>
      <c r="P91" s="336" t="str">
        <v xml:space="preserve"> </v>
      </c>
      <c r="Q91" s="336" t="str">
        <v xml:space="preserve"> </v>
      </c>
      <c r="R91" s="336" t="str">
        <v xml:space="preserve"> </v>
      </c>
      <c r="S91" s="336" t="str">
        <v xml:space="preserve"> </v>
      </c>
      <c r="T91" s="336" t="str">
        <v xml:space="preserve"> </v>
      </c>
      <c r="U91" s="336" t="str">
        <v xml:space="preserve"> </v>
      </c>
      <c r="V91" s="336" t="str">
        <v xml:space="preserve"> </v>
      </c>
      <c r="W91" s="336" t="str">
        <v xml:space="preserve"> </v>
      </c>
      <c r="X91" s="336" t="str">
        <v xml:space="preserve"> </v>
      </c>
      <c r="Y91" s="336" t="str">
        <v xml:space="preserve"> </v>
      </c>
      <c r="Z91" s="336" t="str">
        <v xml:space="preserve"> </v>
      </c>
      <c r="AB91" s="337">
        <f t="shared" si="174"/>
        <v>18.5</v>
      </c>
      <c r="AC91" s="338">
        <f t="array" ref="AC91:BA91">TRANSPOSE('Stn(22)'!E4:E28)</f>
        <v>0</v>
      </c>
      <c r="AD91" s="338">
        <v>0.42626133333333333</v>
      </c>
      <c r="AE91" s="338">
        <v>3.8890113333333338</v>
      </c>
      <c r="AF91" s="338">
        <v>11.798661333333335</v>
      </c>
      <c r="AG91" s="338">
        <v>24.776211333333332</v>
      </c>
      <c r="AH91" s="338">
        <v>65.686611333333332</v>
      </c>
      <c r="AI91" s="338">
        <v>123.79061133333332</v>
      </c>
      <c r="AJ91" s="338">
        <v>204.16421133333333</v>
      </c>
      <c r="AK91" s="338">
        <v>276.88887799999998</v>
      </c>
      <c r="AL91" s="338">
        <v>336.33461133333333</v>
      </c>
      <c r="AM91" s="338">
        <v>547.10741133333329</v>
      </c>
      <c r="AN91" s="338">
        <v>842.24050833333308</v>
      </c>
      <c r="AO91" s="338" t="str">
        <v xml:space="preserve"> </v>
      </c>
      <c r="AP91" s="338" t="str">
        <v xml:space="preserve"> </v>
      </c>
      <c r="AQ91" s="338" t="str">
        <v xml:space="preserve"> </v>
      </c>
      <c r="AR91" s="338" t="str">
        <v xml:space="preserve"> </v>
      </c>
      <c r="AS91" s="338" t="str">
        <v xml:space="preserve"> </v>
      </c>
      <c r="AT91" s="338" t="str">
        <v xml:space="preserve"> </v>
      </c>
      <c r="AU91" s="338" t="str">
        <v xml:space="preserve"> </v>
      </c>
      <c r="AV91" s="338" t="str">
        <v xml:space="preserve"> </v>
      </c>
      <c r="AW91" s="338" t="str">
        <v xml:space="preserve"> </v>
      </c>
      <c r="AX91" s="338" t="str">
        <v xml:space="preserve"> </v>
      </c>
      <c r="AY91" s="338" t="str">
        <v xml:space="preserve"> </v>
      </c>
      <c r="AZ91" s="338" t="str">
        <v xml:space="preserve"> </v>
      </c>
      <c r="BA91" s="338" t="str">
        <v xml:space="preserve"> </v>
      </c>
      <c r="BC91" s="347" t="s">
        <v>85</v>
      </c>
      <c r="BD91" s="345" t="str">
        <f>IFERROR('WL (1)'!$S32,"-")</f>
        <v>-</v>
      </c>
      <c r="BE91" s="345">
        <f>IFERROR('WL (2)'!$S32,"-")</f>
        <v>0.89337330873308729</v>
      </c>
      <c r="BF91" s="345">
        <f>IFERROR('WL (3)'!$S32,"-")</f>
        <v>0.89810090702947842</v>
      </c>
      <c r="BG91" s="345">
        <f>IFERROR('WL (4)'!$S32,"-")</f>
        <v>0.90675910671792026</v>
      </c>
      <c r="BH91" s="345">
        <f>IFERROR('WL (5)'!$S32,"-")</f>
        <v>0.92476190476190467</v>
      </c>
      <c r="BI91" s="345">
        <f>IFERROR('WL (6)'!$S32,"-")</f>
        <v>0.94961451247165518</v>
      </c>
      <c r="BJ91" s="345">
        <f>IFERROR('WL (7)'!$S32,"-")</f>
        <v>0.96238095238095245</v>
      </c>
      <c r="BK91" s="345">
        <f>IFERROR('WL (8)'!$S32,"-")</f>
        <v>0.96976870748299326</v>
      </c>
      <c r="BL91" s="345">
        <f>IFERROR('WL (9)'!$S32,"-")</f>
        <v>0.97306122448979593</v>
      </c>
      <c r="BM91" s="345">
        <f>IFERROR('WL (10)'!$S32,"-")</f>
        <v>0.97492063492063485</v>
      </c>
      <c r="BN91" s="345">
        <f>IFERROR('WL (11)'!$S32,"-")</f>
        <v>0.9784062196307094</v>
      </c>
      <c r="BO91" s="345">
        <f>IFERROR('WL (12)'!$S32,"-")</f>
        <v>0.98082581869957286</v>
      </c>
      <c r="BP91" s="345" t="str">
        <f>IFERROR('WL (13)'!$S32,"-")</f>
        <v xml:space="preserve">  </v>
      </c>
      <c r="BQ91" s="345" t="str">
        <f>IFERROR('WL (14)'!$S32,"-")</f>
        <v xml:space="preserve">  </v>
      </c>
      <c r="BR91" s="345" t="str">
        <f>IFERROR('WL (15)'!$S32,"-")</f>
        <v xml:space="preserve">  </v>
      </c>
      <c r="BS91" s="345" t="str">
        <f>IFERROR('WL (16)'!$S32,"-")</f>
        <v xml:space="preserve">  </v>
      </c>
      <c r="BT91" s="345" t="str">
        <f>IFERROR('WL (17)'!$S32,"-")</f>
        <v xml:space="preserve">  </v>
      </c>
      <c r="BU91" s="345" t="str">
        <f>IFERROR('WL (18)'!$S32,"-")</f>
        <v xml:space="preserve">  </v>
      </c>
      <c r="BV91" s="345" t="str">
        <f>IFERROR('WL (19)'!$S32,"-")</f>
        <v xml:space="preserve">  </v>
      </c>
      <c r="BW91" s="345" t="str">
        <f>IFERROR('WL (20)'!$S32,"-")</f>
        <v xml:space="preserve">  </v>
      </c>
      <c r="BX91" s="345" t="str">
        <f>IFERROR('WL (21)'!$S32,"-")</f>
        <v xml:space="preserve">  </v>
      </c>
      <c r="BY91" s="345" t="str">
        <f>IFERROR('WL (22)'!$S32,"-")</f>
        <v xml:space="preserve">  </v>
      </c>
      <c r="BZ91" s="345" t="str">
        <f>IFERROR('WL (23)'!$S32,"-")</f>
        <v xml:space="preserve">  </v>
      </c>
      <c r="CA91" s="345" t="str">
        <f>IFERROR('WL (24)'!$S32,"-")</f>
        <v xml:space="preserve">  </v>
      </c>
      <c r="CB91" s="345" t="str">
        <f>IFERROR('WL (25)'!$S32,"-")</f>
        <v xml:space="preserve">  </v>
      </c>
    </row>
    <row r="92" spans="1:142" x14ac:dyDescent="0.25">
      <c r="A92" s="341">
        <f t="shared" si="129"/>
        <v>19</v>
      </c>
      <c r="B92" s="336">
        <f t="array" ref="B92:Z92">TRANSPOSE('Stn(23)'!D4:D28)</f>
        <v>0</v>
      </c>
      <c r="C92" s="336">
        <v>0.15359999999999999</v>
      </c>
      <c r="D92" s="336">
        <v>1.9056</v>
      </c>
      <c r="E92" s="336">
        <v>4.5935999999999995</v>
      </c>
      <c r="F92" s="336">
        <v>7.8755999999999995</v>
      </c>
      <c r="G92" s="336">
        <v>15.357599999999998</v>
      </c>
      <c r="H92" s="336">
        <v>22.467599999999997</v>
      </c>
      <c r="I92" s="336">
        <v>28.9176</v>
      </c>
      <c r="J92" s="336">
        <v>33.988599999999998</v>
      </c>
      <c r="K92" s="336">
        <v>37.947599999999994</v>
      </c>
      <c r="L92" s="336">
        <v>51.501599999999996</v>
      </c>
      <c r="M92" s="336">
        <v>67.687799999999982</v>
      </c>
      <c r="N92" s="336" t="str">
        <v xml:space="preserve"> </v>
      </c>
      <c r="O92" s="336" t="str">
        <v xml:space="preserve"> </v>
      </c>
      <c r="P92" s="336" t="str">
        <v xml:space="preserve"> </v>
      </c>
      <c r="Q92" s="336" t="str">
        <v xml:space="preserve"> </v>
      </c>
      <c r="R92" s="336" t="str">
        <v xml:space="preserve"> </v>
      </c>
      <c r="S92" s="336" t="str">
        <v xml:space="preserve"> </v>
      </c>
      <c r="T92" s="336" t="str">
        <v xml:space="preserve"> </v>
      </c>
      <c r="U92" s="336" t="str">
        <v xml:space="preserve"> </v>
      </c>
      <c r="V92" s="336" t="str">
        <v xml:space="preserve"> </v>
      </c>
      <c r="W92" s="336" t="str">
        <v xml:space="preserve"> </v>
      </c>
      <c r="X92" s="336" t="str">
        <v xml:space="preserve"> </v>
      </c>
      <c r="Y92" s="336" t="str">
        <v xml:space="preserve"> </v>
      </c>
      <c r="Z92" s="336" t="str">
        <v xml:space="preserve"> </v>
      </c>
      <c r="AB92" s="337">
        <f t="shared" si="174"/>
        <v>19</v>
      </c>
      <c r="AC92" s="338">
        <f t="array" ref="AC92:BA92">TRANSPOSE('Stn(23)'!E4:E28)</f>
        <v>0</v>
      </c>
      <c r="AD92" s="338">
        <v>0.12595200000000001</v>
      </c>
      <c r="AE92" s="338">
        <v>2.5762019999999999</v>
      </c>
      <c r="AF92" s="338">
        <v>8.679552000000001</v>
      </c>
      <c r="AG92" s="338">
        <v>19.067802</v>
      </c>
      <c r="AH92" s="338">
        <v>52.796202000000008</v>
      </c>
      <c r="AI92" s="338">
        <v>97.519002000000015</v>
      </c>
      <c r="AJ92" s="338">
        <v>150.21220200000002</v>
      </c>
      <c r="AK92" s="338">
        <v>198.76326866666665</v>
      </c>
      <c r="AL92" s="338">
        <v>239.64700200000004</v>
      </c>
      <c r="AM92" s="338">
        <v>399.34660200000008</v>
      </c>
      <c r="AN92" s="338">
        <v>616.72536000000002</v>
      </c>
      <c r="AO92" s="338" t="str">
        <v xml:space="preserve"> </v>
      </c>
      <c r="AP92" s="338" t="str">
        <v xml:space="preserve"> </v>
      </c>
      <c r="AQ92" s="338" t="str">
        <v xml:space="preserve"> </v>
      </c>
      <c r="AR92" s="338" t="str">
        <v xml:space="preserve"> </v>
      </c>
      <c r="AS92" s="338" t="str">
        <v xml:space="preserve"> </v>
      </c>
      <c r="AT92" s="338" t="str">
        <v xml:space="preserve"> </v>
      </c>
      <c r="AU92" s="338" t="str">
        <v xml:space="preserve"> </v>
      </c>
      <c r="AV92" s="338" t="str">
        <v xml:space="preserve"> </v>
      </c>
      <c r="AW92" s="338" t="str">
        <v xml:space="preserve"> </v>
      </c>
      <c r="AX92" s="338" t="str">
        <v xml:space="preserve"> </v>
      </c>
      <c r="AY92" s="338" t="str">
        <v xml:space="preserve"> </v>
      </c>
      <c r="AZ92" s="338" t="str">
        <v xml:space="preserve"> </v>
      </c>
      <c r="BA92" s="338" t="str">
        <v xml:space="preserve"> </v>
      </c>
      <c r="BC92" s="347" t="s">
        <v>88</v>
      </c>
      <c r="BD92" s="345" t="str">
        <f>IFERROR('WL (1)'!$S33,"-")</f>
        <v>-</v>
      </c>
      <c r="BE92" s="345">
        <f>IFERROR('WL (2)'!$S33,"-")</f>
        <v>0.45672226524777937</v>
      </c>
      <c r="BF92" s="345">
        <f>IFERROR('WL (3)'!$S33,"-")</f>
        <v>0.49215092577981168</v>
      </c>
      <c r="BG92" s="345">
        <f>IFERROR('WL (4)'!$S33,"-")</f>
        <v>0.51464703177527116</v>
      </c>
      <c r="BH92" s="345">
        <f>IFERROR('WL (5)'!$S33,"-")</f>
        <v>0.5353896428980105</v>
      </c>
      <c r="BI92" s="345">
        <f>IFERROR('WL (6)'!$S33,"-")</f>
        <v>0.57101497869472717</v>
      </c>
      <c r="BJ92" s="345">
        <f>IFERROR('WL (7)'!$S33,"-")</f>
        <v>0.60310325412533483</v>
      </c>
      <c r="BK92" s="345">
        <f>IFERROR('WL (8)'!$S33,"-")</f>
        <v>0.63299894232597864</v>
      </c>
      <c r="BL92" s="345">
        <f>IFERROR('WL (9)'!$S33,"-")</f>
        <v>0.65219992815137207</v>
      </c>
      <c r="BM92" s="345">
        <f>IFERROR('WL (10)'!$S33,"-")</f>
        <v>0.66499890488595315</v>
      </c>
      <c r="BN92" s="345">
        <f>IFERROR('WL (11)'!$S33,"-")</f>
        <v>0.69436595714389782</v>
      </c>
      <c r="BO92" s="345">
        <f>IFERROR('WL (12)'!$S33,"-")</f>
        <v>0.71896489329567792</v>
      </c>
      <c r="BP92" s="345" t="str">
        <f>IFERROR('WL (13)'!$S33,"-")</f>
        <v xml:space="preserve">  </v>
      </c>
      <c r="BQ92" s="345" t="str">
        <f>IFERROR('WL (14)'!$S33,"-")</f>
        <v xml:space="preserve">  </v>
      </c>
      <c r="BR92" s="345" t="str">
        <f>IFERROR('WL (15)'!$S33,"-")</f>
        <v xml:space="preserve">  </v>
      </c>
      <c r="BS92" s="345" t="str">
        <f>IFERROR('WL (16)'!$S33,"-")</f>
        <v xml:space="preserve">  </v>
      </c>
      <c r="BT92" s="345" t="str">
        <f>IFERROR('WL (17)'!$S33,"-")</f>
        <v xml:space="preserve">  </v>
      </c>
      <c r="BU92" s="345" t="str">
        <f>IFERROR('WL (18)'!$S33,"-")</f>
        <v xml:space="preserve">  </v>
      </c>
      <c r="BV92" s="345" t="str">
        <f>IFERROR('WL (19)'!$S33,"-")</f>
        <v xml:space="preserve">  </v>
      </c>
      <c r="BW92" s="345" t="str">
        <f>IFERROR('WL (20)'!$S33,"-")</f>
        <v xml:space="preserve">  </v>
      </c>
      <c r="BX92" s="345" t="str">
        <f>IFERROR('WL (21)'!$S33,"-")</f>
        <v xml:space="preserve">  </v>
      </c>
      <c r="BY92" s="345" t="str">
        <f>IFERROR('WL (22)'!$S33,"-")</f>
        <v xml:space="preserve">  </v>
      </c>
      <c r="BZ92" s="345" t="str">
        <f>IFERROR('WL (23)'!$S33,"-")</f>
        <v xml:space="preserve">  </v>
      </c>
      <c r="CA92" s="345" t="str">
        <f>IFERROR('WL (24)'!$S33,"-")</f>
        <v xml:space="preserve">  </v>
      </c>
      <c r="CB92" s="345" t="str">
        <f>IFERROR('WL (25)'!$S33,"-")</f>
        <v xml:space="preserve">  </v>
      </c>
    </row>
    <row r="93" spans="1:142" x14ac:dyDescent="0.25">
      <c r="A93" s="341">
        <f t="shared" si="129"/>
        <v>19.5</v>
      </c>
      <c r="B93" s="336">
        <f t="array" ref="B93:Z93">TRANSPOSE('Stn(24)'!D4:D28)</f>
        <v>0</v>
      </c>
      <c r="C93" s="336">
        <v>0</v>
      </c>
      <c r="D93" s="336">
        <v>0.68799999999999994</v>
      </c>
      <c r="E93" s="336">
        <v>2.641</v>
      </c>
      <c r="F93" s="336">
        <v>5.26</v>
      </c>
      <c r="G93" s="336">
        <v>11.524000000000001</v>
      </c>
      <c r="H93" s="336">
        <v>17.247999999999998</v>
      </c>
      <c r="I93" s="336">
        <v>21.136000000000003</v>
      </c>
      <c r="J93" s="336">
        <v>23.82</v>
      </c>
      <c r="K93" s="336">
        <v>25.707999999999998</v>
      </c>
      <c r="L93" s="336">
        <v>34.036000000000001</v>
      </c>
      <c r="M93" s="336">
        <v>44.991099999999996</v>
      </c>
      <c r="N93" s="336" t="str">
        <v xml:space="preserve"> </v>
      </c>
      <c r="O93" s="336" t="str">
        <v xml:space="preserve"> </v>
      </c>
      <c r="P93" s="336" t="str">
        <v xml:space="preserve"> </v>
      </c>
      <c r="Q93" s="336" t="str">
        <v xml:space="preserve"> </v>
      </c>
      <c r="R93" s="336" t="str">
        <v xml:space="preserve"> </v>
      </c>
      <c r="S93" s="336" t="str">
        <v xml:space="preserve"> </v>
      </c>
      <c r="T93" s="336" t="str">
        <v xml:space="preserve"> </v>
      </c>
      <c r="U93" s="336" t="str">
        <v xml:space="preserve"> </v>
      </c>
      <c r="V93" s="336" t="str">
        <v xml:space="preserve"> </v>
      </c>
      <c r="W93" s="336" t="str">
        <v xml:space="preserve"> </v>
      </c>
      <c r="X93" s="336" t="str">
        <v xml:space="preserve"> </v>
      </c>
      <c r="Y93" s="336" t="str">
        <v xml:space="preserve"> </v>
      </c>
      <c r="Z93" s="336" t="str">
        <v xml:space="preserve"> </v>
      </c>
      <c r="AB93" s="337">
        <f t="shared" si="174"/>
        <v>19.5</v>
      </c>
      <c r="AC93" s="338">
        <f t="array" ref="AC93:BA93">TRANSPOSE('Stn(24)'!E4:E28)</f>
        <v>0</v>
      </c>
      <c r="AD93" s="338">
        <v>0</v>
      </c>
      <c r="AE93" s="338">
        <v>1.0549333333333333</v>
      </c>
      <c r="AF93" s="338">
        <v>5.5072333333333336</v>
      </c>
      <c r="AG93" s="338">
        <v>13.798933333333334</v>
      </c>
      <c r="AH93" s="338">
        <v>42.030133333333332</v>
      </c>
      <c r="AI93" s="338">
        <v>77.90773333333334</v>
      </c>
      <c r="AJ93" s="338">
        <v>109.57333333333335</v>
      </c>
      <c r="AK93" s="338">
        <v>135.29426666666666</v>
      </c>
      <c r="AL93" s="338">
        <v>154.97653333333335</v>
      </c>
      <c r="AM93" s="338">
        <v>252.75973333333334</v>
      </c>
      <c r="AN93" s="338">
        <v>400.05526633333329</v>
      </c>
      <c r="AO93" s="338" t="str">
        <v xml:space="preserve"> </v>
      </c>
      <c r="AP93" s="338" t="str">
        <v xml:space="preserve"> </v>
      </c>
      <c r="AQ93" s="338" t="str">
        <v xml:space="preserve"> </v>
      </c>
      <c r="AR93" s="338" t="str">
        <v xml:space="preserve"> </v>
      </c>
      <c r="AS93" s="338" t="str">
        <v xml:space="preserve"> </v>
      </c>
      <c r="AT93" s="338" t="str">
        <v xml:space="preserve"> </v>
      </c>
      <c r="AU93" s="338" t="str">
        <v xml:space="preserve"> </v>
      </c>
      <c r="AV93" s="338" t="str">
        <v xml:space="preserve"> </v>
      </c>
      <c r="AW93" s="338" t="str">
        <v xml:space="preserve"> </v>
      </c>
      <c r="AX93" s="338" t="str">
        <v xml:space="preserve"> </v>
      </c>
      <c r="AY93" s="338" t="str">
        <v xml:space="preserve"> </v>
      </c>
      <c r="AZ93" s="338" t="str">
        <v xml:space="preserve"> </v>
      </c>
      <c r="BA93" s="338" t="str">
        <v xml:space="preserve"> </v>
      </c>
    </row>
    <row r="94" spans="1:142" x14ac:dyDescent="0.25">
      <c r="A94" s="341">
        <f t="shared" si="129"/>
        <v>20</v>
      </c>
      <c r="B94" s="336">
        <f t="array" ref="B94:Z94">TRANSPOSE('Stn(25)'!D4:D28)</f>
        <v>0</v>
      </c>
      <c r="C94" s="336">
        <v>0</v>
      </c>
      <c r="D94" s="336">
        <v>0</v>
      </c>
      <c r="E94" s="336">
        <v>0.53199999999999992</v>
      </c>
      <c r="F94" s="336">
        <v>2.2509999999999999</v>
      </c>
      <c r="G94" s="336">
        <v>7.1440000000000001</v>
      </c>
      <c r="H94" s="336">
        <v>11.838999999999999</v>
      </c>
      <c r="I94" s="336">
        <v>13.323999999999998</v>
      </c>
      <c r="J94" s="336">
        <v>13.323999999999998</v>
      </c>
      <c r="K94" s="336">
        <v>13.668999999999999</v>
      </c>
      <c r="L94" s="336">
        <v>15.648999999999999</v>
      </c>
      <c r="M94" s="336">
        <v>19.830699999999997</v>
      </c>
      <c r="N94" s="336" t="str">
        <v xml:space="preserve"> </v>
      </c>
      <c r="O94" s="336" t="str">
        <v xml:space="preserve"> </v>
      </c>
      <c r="P94" s="336" t="str">
        <v xml:space="preserve"> </v>
      </c>
      <c r="Q94" s="336" t="str">
        <v xml:space="preserve"> </v>
      </c>
      <c r="R94" s="336" t="str">
        <v xml:space="preserve"> </v>
      </c>
      <c r="S94" s="336" t="str">
        <v xml:space="preserve"> </v>
      </c>
      <c r="T94" s="336" t="str">
        <v xml:space="preserve"> </v>
      </c>
      <c r="U94" s="336" t="str">
        <v xml:space="preserve"> </v>
      </c>
      <c r="V94" s="336" t="str">
        <v xml:space="preserve"> </v>
      </c>
      <c r="W94" s="336" t="str">
        <v xml:space="preserve"> </v>
      </c>
      <c r="X94" s="336" t="str">
        <v xml:space="preserve"> </v>
      </c>
      <c r="Y94" s="336" t="str">
        <v xml:space="preserve"> </v>
      </c>
      <c r="Z94" s="336" t="str">
        <v xml:space="preserve"> </v>
      </c>
      <c r="AB94" s="337">
        <f t="shared" si="174"/>
        <v>20</v>
      </c>
      <c r="AC94" s="338">
        <f t="array" ref="AC94:BA94">TRANSPOSE('Stn(25)'!E4:E28)</f>
        <v>0</v>
      </c>
      <c r="AD94" s="338">
        <v>0</v>
      </c>
      <c r="AE94" s="338">
        <v>0</v>
      </c>
      <c r="AF94" s="338">
        <v>1.3122666666666665</v>
      </c>
      <c r="AG94" s="338">
        <v>6.7797666666666672</v>
      </c>
      <c r="AH94" s="338">
        <v>28.960266666666669</v>
      </c>
      <c r="AI94" s="338">
        <v>58.317366666666672</v>
      </c>
      <c r="AJ94" s="338">
        <v>69.784266666666667</v>
      </c>
      <c r="AK94" s="338">
        <v>69.784266666666667</v>
      </c>
      <c r="AL94" s="338">
        <v>73.334766666666667</v>
      </c>
      <c r="AM94" s="338">
        <v>96.824766666666676</v>
      </c>
      <c r="AN94" s="338">
        <v>153.23049366666663</v>
      </c>
      <c r="AO94" s="338" t="str">
        <v xml:space="preserve"> </v>
      </c>
      <c r="AP94" s="338" t="str">
        <v xml:space="preserve"> </v>
      </c>
      <c r="AQ94" s="338" t="str">
        <v xml:space="preserve"> </v>
      </c>
      <c r="AR94" s="338" t="str">
        <v xml:space="preserve"> </v>
      </c>
      <c r="AS94" s="338" t="str">
        <v xml:space="preserve"> </v>
      </c>
      <c r="AT94" s="338" t="str">
        <v xml:space="preserve"> </v>
      </c>
      <c r="AU94" s="338" t="str">
        <v xml:space="preserve"> </v>
      </c>
      <c r="AV94" s="338" t="str">
        <v xml:space="preserve"> </v>
      </c>
      <c r="AW94" s="338" t="str">
        <v xml:space="preserve"> </v>
      </c>
      <c r="AX94" s="338" t="str">
        <v xml:space="preserve"> </v>
      </c>
      <c r="AY94" s="338" t="str">
        <v xml:space="preserve"> </v>
      </c>
      <c r="AZ94" s="338" t="str">
        <v xml:space="preserve"> </v>
      </c>
      <c r="BA94" s="338" t="str">
        <v xml:space="preserve"> </v>
      </c>
    </row>
    <row r="96" spans="1:142" ht="23.25" x14ac:dyDescent="0.35">
      <c r="A96" s="131" t="s">
        <v>264</v>
      </c>
      <c r="B96" s="426" t="str">
        <f>IF(ISNUMBER(CP154),CONCATENATE(X_SHIFT_BP,",",(CP154*WLS)," ",IF(BF3&gt;0,CONCATENATE("T ",Tools!X_SHIFT_BP,",0 "),"")),"")</f>
        <v xml:space="preserve">155.435,9.9 </v>
      </c>
      <c r="C96" s="426" t="str">
        <f>IF(ISNUMBER(CQ154),CONCATENATE(X_SHIFT_BP,",",(CQ154*WLS)," ",IF(BG3&gt;0,CONCATENATE("T ",Tools!X_SHIFT_BP,",0 "),"")),"")</f>
        <v xml:space="preserve">155.435,8.9 </v>
      </c>
      <c r="D96" s="426" t="str">
        <f>IF(ISNUMBER(CR154),CONCATENATE(X_SHIFT_BP,",",(CR154*WLS)," ",IF(BH3&gt;0,CONCATENATE("T ",Tools!X_SHIFT_BP,",0 "),"")),"")</f>
        <v xml:space="preserve">155.435,7.8 </v>
      </c>
      <c r="E96" s="426" t="str">
        <f>IF(ISNUMBER(CS154),CONCATENATE(X_SHIFT_BP,",",(CS154*WLS)," ",IF(BI3&gt;0,CONCATENATE("T ",Tools!X_SHIFT_BP,",0 "),"")),"")</f>
        <v xml:space="preserve">155.435,1.95 </v>
      </c>
      <c r="F96" s="426" t="str">
        <f>IF(ISNUMBER(CT154),CONCATENATE(X_SHIFT_BP,",",(CT154*WLS)," ",IF(BJ3&gt;0,CONCATENATE("T ",Tools!X_SHIFT_BP,",0 "),"")),"")</f>
        <v xml:space="preserve">155.435,0.57 </v>
      </c>
      <c r="G96" s="426" t="str">
        <f>IF(ISNUMBER(CU154),CONCATENATE(X_SHIFT_BP,",",(CU154*WLS)," ",IF(BK3&gt;0,CONCATENATE("T ",Tools!X_SHIFT_BP,",0 "),"")),"")</f>
        <v/>
      </c>
      <c r="H96" s="426" t="str">
        <f>IF(ISNUMBER(CV154),CONCATENATE(X_SHIFT_BP,",",(CV154*WLS)," ",IF(BL3&gt;0,CONCATENATE("T ",Tools!X_SHIFT_BP,",0 "),"")),"")</f>
        <v/>
      </c>
      <c r="I96" s="426" t="str">
        <f>IF(ISNUMBER(CW154),CONCATENATE(X_SHIFT_BP,",",(CW154*WLS)," ",IF(BM3&gt;0,CONCATENATE("T ",Tools!X_SHIFT_BP,",0 "),"")),"")</f>
        <v/>
      </c>
      <c r="J96" s="426" t="str">
        <f>IF(ISNUMBER(CX154),CONCATENATE(X_SHIFT_BP,",",(CX154*WLS)," ",IF(BN3&gt;0,CONCATENATE("T ",Tools!X_SHIFT_BP,",0 "),"")),"")</f>
        <v/>
      </c>
      <c r="K96" s="426" t="str">
        <f>IF(ISNUMBER(CY154),CONCATENATE(X_SHIFT_BP,",",(CY154*WLS)," ",IF(BO3&gt;0,CONCATENATE("T ",Tools!X_SHIFT_BP,",0 "),"")),"")</f>
        <v/>
      </c>
      <c r="L96" s="426" t="str">
        <f>IF(ISNUMBER(CZ154),CONCATENATE(X_SHIFT_BP,",",(CZ154*WLS)," ",IF(BP3&gt;0,CONCATENATE("T ",Tools!X_SHIFT_BP,",0 "),"")),"")</f>
        <v/>
      </c>
      <c r="M96" s="426" t="str">
        <f>IF(ISNUMBER(DA154),CONCATENATE(X_SHIFT_BP,",",(DA154*WLS)," ",IF(BQ3&gt;0,CONCATENATE("T ",Tools!X_SHIFT_BP,",0 "),"")),"")</f>
        <v/>
      </c>
      <c r="N96" s="426" t="str">
        <f>IF(ISNUMBER(DB154),CONCATENATE(X_SHIFT_BP,",",(DB154*WLS)," ",IF(BR3&gt;0,CONCATENATE("T ",Tools!X_SHIFT_BP,",0 "),"")),"")</f>
        <v/>
      </c>
      <c r="O96" s="426" t="str">
        <f>IF(ISNUMBER(DC154),CONCATENATE(X_SHIFT_BP,",",(DC154*WLS)," ",IF(BS3&gt;0,CONCATENATE("T ",Tools!X_SHIFT_BP,",0 "),"")),"")</f>
        <v/>
      </c>
      <c r="P96" s="426" t="str">
        <f>IF(ISNUMBER(DD154),CONCATENATE(X_SHIFT_BP,",",(DD154*WLS)," ",IF(BT3&gt;0,CONCATENATE("T ",Tools!X_SHIFT_BP,",0 "),"")),"")</f>
        <v/>
      </c>
      <c r="Q96" s="426" t="str">
        <f>IF(ISNUMBER(DE154),CONCATENATE(X_SHIFT_BP,",",(DE154*WLS)," ",IF(BU3&gt;0,CONCATENATE("T ",Tools!X_SHIFT_BP,",0 "),"")),"")</f>
        <v/>
      </c>
      <c r="R96" s="426" t="str">
        <f>IF(ISNUMBER(DF154),CONCATENATE(X_SHIFT_BP,",",(DF154*WLS)," ",IF(BV3&gt;0,CONCATENATE("T ",Tools!X_SHIFT_BP,",0 "),"")),"")</f>
        <v/>
      </c>
      <c r="S96" s="426" t="str">
        <f>IF(ISNUMBER(DG154),CONCATENATE(X_SHIFT_BP,",",(DG154*WLS)," ",IF(BW3&gt;0,CONCATENATE("T ",Tools!X_SHIFT_BP,",0 "),"")),"")</f>
        <v/>
      </c>
      <c r="T96" s="426" t="str">
        <f>IF(ISNUMBER(DH154),CONCATENATE(X_SHIFT_BP,",",(DH154*WLS)," ",IF(BX3&gt;0,CONCATENATE("T ",Tools!X_SHIFT_BP,",0 "),"")),"")</f>
        <v/>
      </c>
      <c r="U96" s="426" t="str">
        <f>IF(ISNUMBER(DI154),CONCATENATE(X_SHIFT_BP,",",(DI154*WLS)," ",IF(BY3&gt;0,CONCATENATE("T ",Tools!X_SHIFT_BP,",0 "),"")),"")</f>
        <v/>
      </c>
      <c r="V96" s="426" t="str">
        <f>IF(ISNUMBER(DJ154),CONCATENATE(X_SHIFT_BP,",",(DJ154*WLS)," ",IF(BZ3&gt;0,CONCATENATE("T ",Tools!X_SHIFT_BP,",0 "),"")),"")</f>
        <v/>
      </c>
      <c r="W96" s="426" t="str">
        <f>IF(ISNUMBER(DK154),CONCATENATE(X_SHIFT_BP,",",(DK154*WLS)," ",IF(CA3&gt;0,CONCATENATE("T ",Tools!X_SHIFT_BP,",0 "),"")),"")</f>
        <v xml:space="preserve">155.435,0.32 </v>
      </c>
      <c r="X96" s="426" t="str">
        <f>IF(ISNUMBER(DL154),CONCATENATE(X_SHIFT_BP,",",(DL154*WLS)," ",IF(CB3&gt;0,CONCATENATE("T ",Tools!X_SHIFT_BP,",0 "),"")),"")</f>
        <v xml:space="preserve">155.435,0.66 </v>
      </c>
      <c r="Y96" s="426" t="str">
        <f>IF(ISNUMBER(DM154),CONCATENATE(X_SHIFT_BP,",",(DM154*WLS)," ",IF(CC3&gt;0,CONCATENATE("T ",Tools!X_SHIFT_BP,",0 "),"")),"")</f>
        <v xml:space="preserve">155.435,1 </v>
      </c>
      <c r="Z96" s="426" t="str">
        <f>IF(ISNUMBER(DN154),CONCATENATE(X_SHIFT_BP,",",(DN154*WLS)," ",IF(CD3&gt;0,CONCATENATE("T ",Tools!X_SHIFT_BP,",0 "),"")),"")</f>
        <v xml:space="preserve">155.435,2 </v>
      </c>
      <c r="AB96" t="s">
        <v>159</v>
      </c>
      <c r="AC96" t="s">
        <v>159</v>
      </c>
      <c r="AD96" t="s">
        <v>159</v>
      </c>
      <c r="AE96" s="373" t="s">
        <v>265</v>
      </c>
      <c r="AF96"/>
      <c r="AG96"/>
      <c r="AH96"/>
      <c r="AI96"/>
      <c r="AJ96"/>
      <c r="AK96"/>
      <c r="AL96"/>
      <c r="AM96"/>
      <c r="AN96"/>
      <c r="AO96"/>
      <c r="AP96"/>
      <c r="AQ96"/>
      <c r="AR96"/>
      <c r="AS96"/>
      <c r="AT96"/>
      <c r="AU96"/>
      <c r="AV96"/>
      <c r="AW96"/>
      <c r="AX96"/>
      <c r="AY96"/>
      <c r="AZ96"/>
      <c r="BA96"/>
      <c r="BX96" s="129">
        <f ca="1">COUNTIF(BP_1,NA())</f>
        <v>8</v>
      </c>
    </row>
    <row r="97" spans="1:167" ht="23.25" x14ac:dyDescent="0.35">
      <c r="A97" s="374" t="str">
        <f>AD2</f>
        <v>STN/WL</v>
      </c>
      <c r="B97" s="374">
        <f t="shared" ref="B97:Z97" si="179">BF2</f>
        <v>0</v>
      </c>
      <c r="C97" s="374">
        <f t="shared" si="179"/>
        <v>0.5</v>
      </c>
      <c r="D97" s="374">
        <f t="shared" si="179"/>
        <v>1</v>
      </c>
      <c r="E97" s="374">
        <f t="shared" si="179"/>
        <v>1.5</v>
      </c>
      <c r="F97" s="374">
        <f t="shared" si="179"/>
        <v>2</v>
      </c>
      <c r="G97" s="374">
        <f t="shared" si="179"/>
        <v>3</v>
      </c>
      <c r="H97" s="374">
        <f t="shared" si="179"/>
        <v>4</v>
      </c>
      <c r="I97" s="374">
        <f t="shared" si="179"/>
        <v>5</v>
      </c>
      <c r="J97" s="374">
        <f t="shared" si="179"/>
        <v>6</v>
      </c>
      <c r="K97" s="374">
        <f t="shared" si="179"/>
        <v>7</v>
      </c>
      <c r="L97" s="374">
        <f t="shared" si="179"/>
        <v>8</v>
      </c>
      <c r="M97" s="374">
        <f t="shared" si="179"/>
        <v>9</v>
      </c>
      <c r="N97" s="374">
        <f t="shared" si="179"/>
        <v>10</v>
      </c>
      <c r="O97" s="374">
        <f t="shared" si="179"/>
        <v>11</v>
      </c>
      <c r="P97" s="374">
        <f t="shared" si="179"/>
        <v>12</v>
      </c>
      <c r="Q97" s="374">
        <f t="shared" si="179"/>
        <v>13</v>
      </c>
      <c r="R97" s="374">
        <f t="shared" si="179"/>
        <v>14</v>
      </c>
      <c r="S97" s="374">
        <f t="shared" si="179"/>
        <v>15</v>
      </c>
      <c r="T97" s="374">
        <f t="shared" si="179"/>
        <v>16</v>
      </c>
      <c r="U97" s="374">
        <f t="shared" si="179"/>
        <v>17</v>
      </c>
      <c r="V97" s="374">
        <f t="shared" si="179"/>
        <v>18</v>
      </c>
      <c r="W97" s="374">
        <f t="shared" si="179"/>
        <v>18.5</v>
      </c>
      <c r="X97" s="374">
        <f t="shared" si="179"/>
        <v>19</v>
      </c>
      <c r="Y97" s="374">
        <f t="shared" si="179"/>
        <v>19.5</v>
      </c>
      <c r="Z97" s="374">
        <f t="shared" si="179"/>
        <v>20</v>
      </c>
      <c r="AB97"/>
      <c r="AC97"/>
      <c r="AD97"/>
      <c r="AE97" s="375"/>
      <c r="AF97"/>
      <c r="AG97"/>
      <c r="AH97"/>
      <c r="AI97"/>
      <c r="AJ97"/>
      <c r="AK97"/>
      <c r="AL97"/>
      <c r="AM97"/>
      <c r="AN97"/>
      <c r="AO97"/>
      <c r="AP97"/>
      <c r="AQ97"/>
      <c r="AR97"/>
      <c r="AS97"/>
      <c r="AT97"/>
      <c r="AU97"/>
      <c r="AV97"/>
      <c r="AW97"/>
      <c r="AX97"/>
      <c r="AY97"/>
      <c r="AZ97"/>
      <c r="BA97"/>
      <c r="BC97" s="376"/>
      <c r="BD97" s="376" t="str">
        <f>Tools!AD2</f>
        <v>STN/WL</v>
      </c>
      <c r="BE97" s="376">
        <f>IFERROR(Tools!AE2*WLS,NA())</f>
        <v>0</v>
      </c>
      <c r="BF97" s="376">
        <f>IFERROR(Tools!AF2*WLS,NA())</f>
        <v>0.9</v>
      </c>
      <c r="BG97" s="376">
        <f>IFERROR(Tools!AG2*WLS,NA())</f>
        <v>1.8</v>
      </c>
      <c r="BH97" s="376">
        <f>IFERROR(Tools!AH2*WLS,NA())</f>
        <v>2.7</v>
      </c>
      <c r="BI97" s="376">
        <f>IFERROR(Tools!AI2*WLS,NA())</f>
        <v>3.6</v>
      </c>
      <c r="BJ97" s="376">
        <f>IFERROR(Tools!AJ2*WLS,NA())</f>
        <v>5.4</v>
      </c>
      <c r="BK97" s="376">
        <f>IFERROR(Tools!AK2*WLS,NA())</f>
        <v>7.2</v>
      </c>
      <c r="BL97" s="376">
        <f>IFERROR(Tools!AL2*WLS,NA())</f>
        <v>9</v>
      </c>
      <c r="BM97" s="376">
        <f>IFERROR(Tools!AM2*WLS,NA())</f>
        <v>10.1</v>
      </c>
      <c r="BN97" s="376">
        <f>IFERROR(Tools!AN2*WLS,NA())</f>
        <v>10.8</v>
      </c>
      <c r="BO97" s="376">
        <f>IFERROR(Tools!AO2*WLS,NA())</f>
        <v>12.6</v>
      </c>
      <c r="BP97" s="376">
        <f>IFERROR(Tools!AP2*WLS,NA())</f>
        <v>14.19</v>
      </c>
      <c r="BQ97" s="376" t="e">
        <f>IFERROR(Tools!AQ2*WLS,NA())</f>
        <v>#N/A</v>
      </c>
      <c r="BR97" s="376" t="e">
        <f>IFERROR(Tools!AR2*WLS,NA())</f>
        <v>#N/A</v>
      </c>
      <c r="BS97" s="376" t="e">
        <f>IFERROR(Tools!AS2*WLS,NA())</f>
        <v>#N/A</v>
      </c>
      <c r="BT97" s="376" t="e">
        <f>IFERROR(Tools!AT2*WLS,NA())</f>
        <v>#N/A</v>
      </c>
      <c r="BU97" s="376" t="e">
        <f>IFERROR(Tools!AU2*WLS,NA())</f>
        <v>#N/A</v>
      </c>
      <c r="BV97" s="376" t="e">
        <f>IFERROR(Tools!AV2*WLS,NA())</f>
        <v>#N/A</v>
      </c>
      <c r="BW97" s="376" t="e">
        <f>IFERROR(Tools!AW2*WLS,NA())</f>
        <v>#N/A</v>
      </c>
      <c r="BX97" s="376" t="e">
        <f>IFERROR(Tools!AX2*WLS,NA())</f>
        <v>#N/A</v>
      </c>
      <c r="BY97" s="376" t="e">
        <f>IFERROR(Tools!AY2*WLS,NA())</f>
        <v>#N/A</v>
      </c>
      <c r="BZ97" s="376" t="e">
        <f>IFERROR(Tools!AZ2*WLS,NA())</f>
        <v>#N/A</v>
      </c>
      <c r="CA97" s="376" t="e">
        <f>IFERROR(Tools!BA2*WLS,NA())</f>
        <v>#N/A</v>
      </c>
      <c r="CB97" s="376" t="e">
        <f>IFERROR(Tools!BB2*WLS,NA())</f>
        <v>#N/A</v>
      </c>
      <c r="CC97" s="376" t="e">
        <f>IFERROR(Tools!BC2*WLS,NA())</f>
        <v>#N/A</v>
      </c>
      <c r="CE97" s="425"/>
      <c r="CF97" s="425"/>
      <c r="CG97" s="425"/>
      <c r="CH97" s="425"/>
      <c r="CI97" s="425"/>
      <c r="CJ97" s="425"/>
      <c r="CK97" s="425"/>
      <c r="CL97" s="425"/>
      <c r="CM97" s="425"/>
      <c r="CN97" s="425"/>
      <c r="CO97" s="425"/>
      <c r="CP97" s="425"/>
      <c r="CQ97" s="425"/>
      <c r="CR97" s="425"/>
      <c r="CS97" s="425"/>
      <c r="CT97" s="425"/>
      <c r="CU97" s="425"/>
      <c r="CV97" s="425"/>
      <c r="CW97" s="425"/>
      <c r="CX97" s="425"/>
      <c r="CY97" s="425"/>
      <c r="CZ97" s="425"/>
      <c r="DA97" s="425"/>
      <c r="DB97" s="425"/>
      <c r="DC97" s="425"/>
      <c r="DD97" s="425"/>
      <c r="DE97" s="425"/>
      <c r="DF97" s="425"/>
      <c r="DG97" s="425"/>
      <c r="DH97" s="425"/>
      <c r="DI97" s="425"/>
      <c r="DJ97" s="425" t="s">
        <v>100</v>
      </c>
      <c r="DK97" s="425">
        <f t="shared" ref="DK97:DK122" si="180">BE97</f>
        <v>0</v>
      </c>
      <c r="DL97" s="425">
        <f t="shared" ref="DL97:DL122" si="181">BF97</f>
        <v>0.9</v>
      </c>
      <c r="DM97" s="425">
        <f t="shared" ref="DM97:DM122" si="182">BG97</f>
        <v>1.8</v>
      </c>
      <c r="DN97" s="425">
        <f t="shared" ref="DN97:DN122" si="183">BH97</f>
        <v>2.7</v>
      </c>
      <c r="DO97" s="425">
        <f t="shared" ref="DO97:DO122" si="184">BI97</f>
        <v>3.6</v>
      </c>
      <c r="DP97" s="425">
        <f t="shared" ref="DP97:DP122" si="185">BJ97</f>
        <v>5.4</v>
      </c>
      <c r="DQ97" s="425">
        <f t="shared" ref="DQ97:DQ122" si="186">BK97</f>
        <v>7.2</v>
      </c>
      <c r="DR97" s="425">
        <f t="shared" ref="DR97:DR122" si="187">BL97</f>
        <v>9</v>
      </c>
      <c r="DS97" s="425">
        <f t="shared" ref="DS97:DS122" si="188">BM97</f>
        <v>10.1</v>
      </c>
      <c r="DT97" s="425">
        <f t="shared" ref="DT97:DT122" si="189">BN97</f>
        <v>10.8</v>
      </c>
      <c r="DU97" s="425">
        <f t="shared" ref="DU97:DU122" si="190">BO97</f>
        <v>12.6</v>
      </c>
      <c r="DV97" s="425">
        <f t="shared" ref="DV97:DV122" si="191">BP97</f>
        <v>14.19</v>
      </c>
      <c r="DW97" s="425" t="e">
        <f t="shared" ref="DW97:DW122" si="192">BQ97</f>
        <v>#N/A</v>
      </c>
      <c r="DX97" s="425" t="e">
        <f t="shared" ref="DX97:DX122" si="193">BR97</f>
        <v>#N/A</v>
      </c>
      <c r="DY97" s="425" t="e">
        <f t="shared" ref="DY97:DY122" si="194">BS97</f>
        <v>#N/A</v>
      </c>
      <c r="DZ97" s="425" t="e">
        <f t="shared" ref="DZ97:DZ122" si="195">BT97</f>
        <v>#N/A</v>
      </c>
      <c r="EA97" s="425" t="e">
        <f t="shared" ref="EA97:EA122" si="196">BU97</f>
        <v>#N/A</v>
      </c>
      <c r="EB97" s="425" t="e">
        <f t="shared" ref="EB97:EB122" si="197">BV97</f>
        <v>#N/A</v>
      </c>
      <c r="EC97" s="425" t="e">
        <f t="shared" ref="EC97:EC122" si="198">BW97</f>
        <v>#N/A</v>
      </c>
      <c r="ED97" s="425" t="e">
        <f t="shared" ref="ED97:ED122" si="199">BX97</f>
        <v>#N/A</v>
      </c>
      <c r="EE97" s="425" t="e">
        <f t="shared" ref="EE97:EE122" si="200">BY97</f>
        <v>#N/A</v>
      </c>
      <c r="EF97" s="425" t="e">
        <f t="shared" ref="EF97:EF122" si="201">BZ97</f>
        <v>#N/A</v>
      </c>
      <c r="EG97" s="425" t="e">
        <f t="shared" ref="EG97:EG122" si="202">CA97</f>
        <v>#N/A</v>
      </c>
      <c r="EH97" s="425" t="e">
        <f t="shared" ref="EH97:EH122" si="203">CB97</f>
        <v>#N/A</v>
      </c>
      <c r="EI97" s="425" t="e">
        <f t="shared" ref="EI97:EI122" si="204">CC97</f>
        <v>#N/A</v>
      </c>
      <c r="EJ97" s="425"/>
      <c r="EK97" s="425"/>
      <c r="EL97" s="456" t="str">
        <f>DJ97</f>
        <v>Rise</v>
      </c>
      <c r="EM97" s="456">
        <f t="shared" ref="EM97:FK97" si="205">DK97</f>
        <v>0</v>
      </c>
      <c r="EN97" s="456">
        <f t="shared" si="205"/>
        <v>0.9</v>
      </c>
      <c r="EO97" s="456">
        <f t="shared" si="205"/>
        <v>1.8</v>
      </c>
      <c r="EP97" s="456">
        <f t="shared" si="205"/>
        <v>2.7</v>
      </c>
      <c r="EQ97" s="456">
        <f t="shared" si="205"/>
        <v>3.6</v>
      </c>
      <c r="ER97" s="456">
        <f t="shared" si="205"/>
        <v>5.4</v>
      </c>
      <c r="ES97" s="456">
        <f t="shared" si="205"/>
        <v>7.2</v>
      </c>
      <c r="ET97" s="456">
        <f t="shared" si="205"/>
        <v>9</v>
      </c>
      <c r="EU97" s="456">
        <f t="shared" si="205"/>
        <v>10.1</v>
      </c>
      <c r="EV97" s="456">
        <f t="shared" si="205"/>
        <v>10.8</v>
      </c>
      <c r="EW97" s="456">
        <f t="shared" si="205"/>
        <v>12.6</v>
      </c>
      <c r="EX97" s="456">
        <f t="shared" si="205"/>
        <v>14.19</v>
      </c>
      <c r="EY97" s="456" t="e">
        <f t="shared" si="205"/>
        <v>#N/A</v>
      </c>
      <c r="EZ97" s="456" t="e">
        <f t="shared" si="205"/>
        <v>#N/A</v>
      </c>
      <c r="FA97" s="456" t="e">
        <f t="shared" si="205"/>
        <v>#N/A</v>
      </c>
      <c r="FB97" s="456" t="e">
        <f t="shared" si="205"/>
        <v>#N/A</v>
      </c>
      <c r="FC97" s="456" t="e">
        <f t="shared" si="205"/>
        <v>#N/A</v>
      </c>
      <c r="FD97" s="456" t="e">
        <f t="shared" si="205"/>
        <v>#N/A</v>
      </c>
      <c r="FE97" s="456" t="e">
        <f t="shared" si="205"/>
        <v>#N/A</v>
      </c>
      <c r="FF97" s="456" t="e">
        <f t="shared" si="205"/>
        <v>#N/A</v>
      </c>
      <c r="FG97" s="456" t="e">
        <f t="shared" si="205"/>
        <v>#N/A</v>
      </c>
      <c r="FH97" s="456" t="e">
        <f t="shared" si="205"/>
        <v>#N/A</v>
      </c>
      <c r="FI97" s="456" t="e">
        <f t="shared" si="205"/>
        <v>#N/A</v>
      </c>
      <c r="FJ97" s="456" t="e">
        <f t="shared" si="205"/>
        <v>#N/A</v>
      </c>
      <c r="FK97" s="456" t="e">
        <f t="shared" si="205"/>
        <v>#N/A</v>
      </c>
    </row>
    <row r="98" spans="1:167" x14ac:dyDescent="0.25">
      <c r="A98" s="374">
        <f t="shared" ref="A98:A122" si="206">BE3</f>
        <v>0</v>
      </c>
      <c r="B98" s="377" t="str">
        <f>IFERROR(IF(ISERROR(CP127),"",CONCATENATE(ROUND(X_SHIFT_BP+IF(Tools!B$97&lt;=Tools!$D$47/2,-BF3,BF3),3),",",ROUND(WLS*$AP39,3)," ")),"")</f>
        <v/>
      </c>
      <c r="C98" s="377" t="str">
        <f>IFERROR(IF(ISERROR(CQ127),"",CONCATENATE(ROUND(X_SHIFT_BP+IF(Tools!C$97&lt;=Tools!$D$47/2,-BG3,BG3),3),",",ROUND(WLS*$AP39,3)," ")),"")</f>
        <v/>
      </c>
      <c r="D98" s="377" t="str">
        <f>IFERROR(IF(ISERROR(CR127),"",CONCATENATE(ROUND(X_SHIFT_BP+IF(Tools!D$97&lt;=Tools!$D$47/2,-BH3,BH3),3),",",ROUND(WLS*$AP39,3)," ")),"")</f>
        <v/>
      </c>
      <c r="E98" s="377" t="str">
        <f>IFERROR(IF(ISERROR(CS127),"",CONCATENATE(ROUND(X_SHIFT_BP+IF(Tools!E$97&lt;=Tools!$D$47/2,-BI3,BI3),3),",",ROUND(WLS*$AP39,3)," ")),"")</f>
        <v/>
      </c>
      <c r="F98" s="377" t="str">
        <f>IFERROR(IF(ISERROR(CT127),"",CONCATENATE(ROUND(X_SHIFT_BP+IF(Tools!F$97&lt;=Tools!$D$47/2,-BJ3,BJ3),3),",",ROUND(WLS*$AP39,3)," ")),"")</f>
        <v/>
      </c>
      <c r="G98" s="377" t="str">
        <f>IFERROR(IF(ISERROR(CU127),"",CONCATENATE(ROUND(X_SHIFT_BP+IF(Tools!G$97&lt;=Tools!$D$47/2,-BK3,BK3),3),",",ROUND(WLS*$AP39,3)," ")),"")</f>
        <v xml:space="preserve">155.135,0 </v>
      </c>
      <c r="H98" s="377" t="str">
        <f>IFERROR(IF(ISERROR(CV127),"",CONCATENATE(ROUND(X_SHIFT_BP+IF(Tools!H$97&lt;=Tools!$D$47/2,-BL3,BL3),3),",",ROUND(WLS*$AP39,3)," ")),"")</f>
        <v xml:space="preserve">154.435,0 </v>
      </c>
      <c r="I98" s="377" t="str">
        <f>IFERROR(IF(ISERROR(CW127),"",CONCATENATE(ROUND(X_SHIFT_BP+IF(Tools!I$97&lt;=Tools!$D$47/2,-BM3,BM3),3),",",ROUND(WLS*$AP39,3)," ")),"")</f>
        <v xml:space="preserve">153.815,0 </v>
      </c>
      <c r="J98" s="377" t="str">
        <f>IFERROR(IF(ISERROR(CX127),"",CONCATENATE(ROUND(X_SHIFT_BP+IF(Tools!J$97&lt;=Tools!$D$47/2,-BN3,BN3),3),",",ROUND(WLS*$AP39,3)," ")),"")</f>
        <v xml:space="preserve">153.235,0 </v>
      </c>
      <c r="K98" s="377" t="str">
        <f>IFERROR(IF(ISERROR(CY127),"",CONCATENATE(ROUND(X_SHIFT_BP+IF(Tools!K$97&lt;=Tools!$D$47/2,-BO3,BO3),3),",",ROUND(WLS*$AP39,3)," ")),"")</f>
        <v xml:space="preserve">151.725,0 </v>
      </c>
      <c r="L98" s="377" t="str">
        <f>IFERROR(IF(ISERROR(CZ127),"",CONCATENATE(ROUND(X_SHIFT_BP+IF(Tools!L$97&lt;=Tools!$D$47/2,-BP3,BP3),3),",",ROUND(WLS*$AP39,3)," ")),"")</f>
        <v xml:space="preserve">149.535,0 </v>
      </c>
      <c r="M98" s="377" t="str">
        <f>IFERROR(IF(ISERROR(DA127),"",CONCATENATE(ROUND(X_SHIFT_BP+IF(Tools!M$97&lt;=Tools!$D$47/2,-BQ3,BQ3),3),",",ROUND(WLS*$AP39,3)," ")),"")</f>
        <v xml:space="preserve">148.235,0 </v>
      </c>
      <c r="N98" s="377" t="str">
        <f>IFERROR(IF(ISERROR(DB127),"",CONCATENATE(ROUND(X_SHIFT_BP+IF(Tools!N$97&lt;=Tools!$D$47/2,-BR3,BR3),3),",",ROUND(WLS*$AP39,3)," ")),"")</f>
        <v xml:space="preserve">147.185,0 </v>
      </c>
      <c r="O98" s="377" t="str">
        <f>IFERROR(IF(ISERROR(DC127),"",CONCATENATE(ROUND(X_SHIFT_BP+IF(Tools!O$97&lt;=Tools!$D$47/2,-BS3,BS3),3),",",ROUND(WLS*$AP39,3)," ")),"")</f>
        <v xml:space="preserve">164.035,0 </v>
      </c>
      <c r="P98" s="377" t="str">
        <f>IFERROR(IF(ISERROR(DD127),"",CONCATENATE(ROUND(X_SHIFT_BP+IF(Tools!P$97&lt;=Tools!$D$47/2,-BT3,BT3),3),",",ROUND(WLS*$AP39,3)," ")),"")</f>
        <v xml:space="preserve">163.285,0 </v>
      </c>
      <c r="Q98" s="377" t="str">
        <f>IFERROR(IF(ISERROR(DE127),"",CONCATENATE(ROUND(X_SHIFT_BP+IF(Tools!Q$97&lt;=Tools!$D$47/2,-BU3,BU3),3),",",ROUND(WLS*$AP39,3)," ")),"")</f>
        <v xml:space="preserve">162.135,0 </v>
      </c>
      <c r="R98" s="377" t="str">
        <f>IFERROR(IF(ISERROR(DF127),"",CONCATENATE(ROUND(X_SHIFT_BP+IF(Tools!R$97&lt;=Tools!$D$47/2,-BV3,BV3),3),",",ROUND(WLS*$AP39,3)," ")),"")</f>
        <v xml:space="preserve">160.785,0 </v>
      </c>
      <c r="S98" s="377" t="str">
        <f>IFERROR(IF(ISERROR(DG127),"",CONCATENATE(ROUND(X_SHIFT_BP+IF(Tools!S$97&lt;=Tools!$D$47/2,-BW3,BW3),3),",",ROUND(WLS*$AP39,3)," ")),"")</f>
        <v xml:space="preserve">159.235,0 </v>
      </c>
      <c r="T98" s="377" t="str">
        <f>IFERROR(IF(ISERROR(DH127),"",CONCATENATE(ROUND(X_SHIFT_BP+IF(Tools!T$97&lt;=Tools!$D$47/2,-BX3,BX3),3),",",ROUND(WLS*$AP39,3)," ")),"")</f>
        <v xml:space="preserve">157.655,0 </v>
      </c>
      <c r="U98" s="377" t="str">
        <f>IFERROR(IF(ISERROR(DI127),"",CONCATENATE(ROUND(X_SHIFT_BP+IF(Tools!U$97&lt;=Tools!$D$47/2,-BY3,BY3),3),",",ROUND(WLS*$AP39,3)," ")),"")</f>
        <v xml:space="preserve">156.085,0 </v>
      </c>
      <c r="V98" s="377" t="str">
        <f>IFERROR(IF(ISERROR(DJ127),"",CONCATENATE(ROUND(X_SHIFT_BP+IF(Tools!V$97&lt;=Tools!$D$47/2,-BZ3,BZ3),3),",",ROUND(WLS*$AP39,3)," ")),"")</f>
        <v xml:space="preserve">155.435,0 </v>
      </c>
      <c r="W98" s="377" t="str">
        <f>IFERROR(IF(ISERROR(DK127),"",CONCATENATE(ROUND(X_SHIFT_BP+IF(Tools!W$97&lt;=Tools!$D$47/2,-CA3,CA3),3),",",ROUND(WLS*$AP39,3)," ")),"")</f>
        <v/>
      </c>
      <c r="X98" s="377" t="str">
        <f>IFERROR(IF(ISERROR(DL127),"",CONCATENATE(ROUND(X_SHIFT_BP+IF(Tools!X$97&lt;=Tools!$D$47/2,-CB3,CB3),3),",",ROUND(WLS*$AP39,3)," ")),"")</f>
        <v/>
      </c>
      <c r="Y98" s="377" t="str">
        <f>IFERROR(IF(ISERROR(DM127),"",CONCATENATE(ROUND(X_SHIFT_BP+IF(Tools!Y$97&lt;=Tools!$D$47/2,-CC3,CC3),3),",",ROUND(WLS*$AP39,3)," ")),"")</f>
        <v/>
      </c>
      <c r="Z98" s="377" t="str">
        <f>IFERROR(IF(ISERROR(DN127),"",CONCATENATE(ROUND(X_SHIFT_BP+IF(Tools!Z$97&lt;=Tools!$D$47/2,-CD3,CD3),3),",",ROUND(WLS*$AP39,3)," ")),"")</f>
        <v/>
      </c>
      <c r="AA98" s="129">
        <f t="array" ref="AA98:AA122">TRANSPOSE(B123:Z123)</f>
        <v>4</v>
      </c>
      <c r="AB98" s="245" t="str">
        <f>IF(AA98=0,"  ",CONCATENATE("Zoom Window ",Tools!X_SHIFT_BP-6*BREADTH/10,",",-DEPTH/10," ",Tools!X_SHIFT_BP+6/10*BREADTH,",",DEPTH*1.1," ","Spline "))</f>
        <v xml:space="preserve">Zoom Window 140.735,-1.419 170.135,15.609 Spline </v>
      </c>
      <c r="AC98" s="129" t="str">
        <f t="array" ref="AC98:AC122">TRANSPOSE(B96:Z96)</f>
        <v xml:space="preserve">155.435,9.9 </v>
      </c>
      <c r="AD98" s="245" t="str">
        <f t="array" ref="AD98:BB122">TRANSPOSE(Tools!B98:Z122)</f>
        <v/>
      </c>
      <c r="AE98" s="245" t="str">
        <v/>
      </c>
      <c r="AF98" s="245" t="str">
        <v/>
      </c>
      <c r="AG98" s="245" t="str">
        <v/>
      </c>
      <c r="AH98" s="245" t="str">
        <v/>
      </c>
      <c r="AI98" s="245" t="str">
        <v/>
      </c>
      <c r="AJ98" s="245" t="str">
        <v/>
      </c>
      <c r="AK98" s="245" t="str">
        <v/>
      </c>
      <c r="AL98" s="245" t="str">
        <v xml:space="preserve">152.543,10.1 </v>
      </c>
      <c r="AM98" s="245" t="str">
        <v xml:space="preserve">149.235,10.8 </v>
      </c>
      <c r="AN98" s="245" t="str">
        <v xml:space="preserve">145.835,12.6 </v>
      </c>
      <c r="AO98" s="245" t="str">
        <v xml:space="preserve">144.545,14.19 </v>
      </c>
      <c r="AP98" s="245" t="str">
        <v/>
      </c>
      <c r="AQ98" s="245" t="str">
        <v/>
      </c>
      <c r="AR98" s="245" t="str">
        <v/>
      </c>
      <c r="AS98" s="245" t="str">
        <v/>
      </c>
      <c r="AT98" s="245" t="str">
        <v/>
      </c>
      <c r="AU98" s="245" t="str">
        <v/>
      </c>
      <c r="AV98" s="245" t="str">
        <v/>
      </c>
      <c r="AW98" s="245" t="str">
        <v/>
      </c>
      <c r="AX98" s="245" t="str">
        <v/>
      </c>
      <c r="AY98" s="245" t="str">
        <v/>
      </c>
      <c r="AZ98" s="245" t="str">
        <v/>
      </c>
      <c r="BA98" s="245" t="str">
        <v/>
      </c>
      <c r="BB98" s="245" t="str">
        <v/>
      </c>
      <c r="BC98" s="376">
        <f>Tools!AD3</f>
        <v>0</v>
      </c>
      <c r="BD98" s="376">
        <f>IFERROR(Tools!AD3*STN_GAP,"")</f>
        <v>0</v>
      </c>
      <c r="BE98" s="496" t="e">
        <f>IFERROR(IF(ISNUMBER(DE98),NA(),IF(AND($DF98&lt;&gt;0,$DG98&gt;BE$97),NA(),IF($BD98&gt;LBP/2,-(-Tools!AE3),-Tools!AE3))),NA())</f>
        <v>#N/A</v>
      </c>
      <c r="BF98" s="376" t="e">
        <f>IFERROR(IF(AND($DF98&lt;&gt;0,$DG98&gt;BF$97),NA(),IF($BD98&gt;LBP/2,-(-Tools!AF3),-Tools!AF3)),NA())</f>
        <v>#N/A</v>
      </c>
      <c r="BG98" s="376" t="e">
        <f>IFERROR(IF(AND($DF98&lt;&gt;0,$DG98&gt;BG$97),NA(),IF($BD98&gt;LBP/2,-(-Tools!AG3),-Tools!AG3)),NA())</f>
        <v>#N/A</v>
      </c>
      <c r="BH98" s="376" t="e">
        <f>IFERROR(IF(AND($DF98&lt;&gt;0,$DG98&gt;BH$97),NA(),IF($BD98&gt;LBP/2,-(-Tools!AH3),-Tools!AH3)),NA())</f>
        <v>#N/A</v>
      </c>
      <c r="BI98" s="376" t="e">
        <f>IFERROR(IF(AND($DF98&lt;&gt;0,$DG98&gt;BI$97),NA(),IF($BD98&gt;LBP/2,-(-Tools!AI3),-Tools!AI3)),NA())</f>
        <v>#N/A</v>
      </c>
      <c r="BJ98" s="376" t="e">
        <f>IFERROR(IF(AND($DF98&lt;&gt;0,$DG98&gt;BJ$97),NA(),IF($BD98&gt;LBP/2,-(-Tools!AJ3),-Tools!AJ3)),NA())</f>
        <v>#N/A</v>
      </c>
      <c r="BK98" s="376" t="e">
        <f>IFERROR(IF(AND($DF98&lt;&gt;0,$DG98&gt;BK$97),NA(),IF($BD98&gt;LBP/2,-(-Tools!AK3),-Tools!AK3)),NA())</f>
        <v>#N/A</v>
      </c>
      <c r="BL98" s="376" t="e">
        <f>IFERROR(IF(AND($DF98&lt;&gt;0,$DG98&gt;BL$97),NA(),IF($BD98&gt;LBP/2,-(-Tools!AL3),-Tools!AL3)),NA())</f>
        <v>#N/A</v>
      </c>
      <c r="BM98" s="376">
        <f>IFERROR(IF(AND($DF98&lt;&gt;0,$DG98&gt;BM$97),NA(),IF($BD98&gt;LBP/2,-(-Tools!AM3),-Tools!AM3)),NA())</f>
        <v>-2.8919999999999999</v>
      </c>
      <c r="BN98" s="376">
        <f>IFERROR(IF(AND($DF98&lt;&gt;0,$DG98&gt;BN$97),NA(),IF($BD98&gt;LBP/2,-(-Tools!AN3),-Tools!AN3)),NA())</f>
        <v>-6.2</v>
      </c>
      <c r="BO98" s="376">
        <f>IFERROR(IF(AND($DF98&lt;&gt;0,$DG98&gt;BO$97),NA(),IF($BD98&gt;LBP/2,-(-Tools!AO3),-Tools!AO3)),NA())</f>
        <v>-9.6</v>
      </c>
      <c r="BP98" s="376">
        <f>IFERROR(IF(AND($DF98&lt;&gt;0,$DG98&gt;BP$97),NA(),IF($BD98&gt;LBP/2,-(-Tools!AP3),-Tools!AP3)),NA())</f>
        <v>-10.89</v>
      </c>
      <c r="BQ98" s="376" t="e">
        <f>IFERROR(IF(AND($DF98&lt;&gt;0,$DG98&gt;BQ$97),NA(),IF($BD98&gt;LBP/2,-(-Tools!AQ3),-Tools!AQ3)),NA())</f>
        <v>#N/A</v>
      </c>
      <c r="BR98" s="376" t="e">
        <f>IFERROR(IF(AND($DF98&lt;&gt;0,$DG98&gt;BR$97),NA(),IF($BD98&gt;LBP/2,-(-Tools!AR3),-Tools!AR3)),NA())</f>
        <v>#N/A</v>
      </c>
      <c r="BS98" s="376" t="e">
        <f>IFERROR(IF(AND($DF98&lt;&gt;0,$DG98&gt;BS$97),NA(),IF($BD98&gt;LBP/2,-(-Tools!AS3),-Tools!AS3)),NA())</f>
        <v>#N/A</v>
      </c>
      <c r="BT98" s="376" t="e">
        <f>IFERROR(IF(AND($DF98&lt;&gt;0,$DG98&gt;BT$97),NA(),IF($BD98&gt;LBP/2,-(-Tools!AT3),-Tools!AT3)),NA())</f>
        <v>#N/A</v>
      </c>
      <c r="BU98" s="376" t="e">
        <f>IFERROR(IF(AND($DF98&lt;&gt;0,$DG98&gt;BU$97),NA(),IF($BD98&gt;LBP/2,-(-Tools!AU3),-Tools!AU3)),NA())</f>
        <v>#N/A</v>
      </c>
      <c r="BV98" s="376" t="e">
        <f>IFERROR(IF(AND($DF98&lt;&gt;0,$DG98&gt;BV$97),NA(),IF($BD98&gt;LBP/2,-(-Tools!AV3),-Tools!AV3)),NA())</f>
        <v>#N/A</v>
      </c>
      <c r="BW98" s="376" t="e">
        <f>IFERROR(IF(AND($DF98&lt;&gt;0,$DG98&gt;BW$97),NA(),IF($BD98&gt;LBP/2,-(-Tools!AW3),-Tools!AW3)),NA())</f>
        <v>#N/A</v>
      </c>
      <c r="BX98" s="376" t="e">
        <f>IFERROR(IF(AND($DF98&lt;&gt;0,$DG98&gt;BX$97),NA(),IF($BD98&gt;LBP/2,-(-Tools!AX3),-Tools!AX3)),NA())</f>
        <v>#N/A</v>
      </c>
      <c r="BY98" s="376" t="e">
        <f>IFERROR(IF(AND($DF98&lt;&gt;0,$DG98&gt;BY$97),NA(),IF($BD98&gt;LBP/2,-(-Tools!AY3),-Tools!AY3)),NA())</f>
        <v>#N/A</v>
      </c>
      <c r="BZ98" s="376" t="e">
        <f>IFERROR(IF(AND($DF98&lt;&gt;0,$DG98&gt;BZ$97),NA(),IF($BD98&gt;LBP/2,-(-Tools!AZ3),-Tools!AZ3)),NA())</f>
        <v>#N/A</v>
      </c>
      <c r="CA98" s="376" t="e">
        <f>IFERROR(IF(AND($DF98&lt;&gt;0,$DG98&gt;CA$97),NA(),IF($BD98&gt;LBP/2,-(-Tools!BA3),-Tools!BA3)),NA())</f>
        <v>#N/A</v>
      </c>
      <c r="CB98" s="376" t="e">
        <f>IFERROR(IF(AND($DF98&lt;&gt;0,$DG98&gt;CB$97),NA(),IF($BD98&gt;LBP/2,-(-Tools!BB3),-Tools!BB3)),NA())</f>
        <v>#N/A</v>
      </c>
      <c r="CC98" s="376" t="e">
        <f>IFERROR(IF(AND($DF98&lt;&gt;0,$DG98&gt;CC$97),NA(),IF($BD98&gt;LBP/2,-(-Tools!BC3),-Tools!BC3)),NA())</f>
        <v>#N/A</v>
      </c>
      <c r="CE98" s="425" t="b">
        <f t="shared" ref="CE98:CE122" si="207">AND(AE3=0,AF3=0)</f>
        <v>1</v>
      </c>
      <c r="CF98" s="425" t="b">
        <f t="shared" ref="CF98:CF122" si="208">AND(CE98,AG3=0)</f>
        <v>1</v>
      </c>
      <c r="CG98" s="425" t="b">
        <f t="shared" ref="CG98:CG122" si="209">AND(CF98,AH3=0)</f>
        <v>1</v>
      </c>
      <c r="CH98" s="425" t="b">
        <f t="shared" ref="CH98:CH122" si="210">AND(CG98,AI3=0)</f>
        <v>1</v>
      </c>
      <c r="CI98" s="425" t="b">
        <f t="shared" ref="CI98:CI122" si="211">AND(CH98,AJ3=0)</f>
        <v>1</v>
      </c>
      <c r="CJ98" s="425" t="b">
        <f t="shared" ref="CJ98:CJ122" si="212">AND(CI98,AK3=0)</f>
        <v>1</v>
      </c>
      <c r="CK98" s="425" t="b">
        <f t="shared" ref="CK98:CK122" si="213">AND(CJ98,AL3=0)</f>
        <v>1</v>
      </c>
      <c r="CL98" s="425" t="b">
        <f t="shared" ref="CL98:CL122" si="214">AND(CK98,AM3=0)</f>
        <v>0</v>
      </c>
      <c r="CM98" s="425" t="b">
        <f t="shared" ref="CM98:CM122" si="215">AND(CL98,AN3=0)</f>
        <v>0</v>
      </c>
      <c r="CN98" s="425" t="b">
        <f t="shared" ref="CN98:CN122" si="216">AND(CM98,AO3=0)</f>
        <v>0</v>
      </c>
      <c r="CO98" s="425" t="b">
        <f t="shared" ref="CO98:CO122" si="217">AND(CN98,AP3=0)</f>
        <v>0</v>
      </c>
      <c r="CP98" s="425" t="b">
        <f t="shared" ref="CP98:CP122" si="218">AND(CO98,AQ3=0)</f>
        <v>0</v>
      </c>
      <c r="CQ98" s="425" t="b">
        <f t="shared" ref="CQ98:CQ122" si="219">AND(CP98,AR3=0)</f>
        <v>0</v>
      </c>
      <c r="CR98" s="425" t="b">
        <f t="shared" ref="CR98:CR122" si="220">AND(CQ98,AS3=0)</f>
        <v>0</v>
      </c>
      <c r="CS98" s="425" t="b">
        <f t="shared" ref="CS98:CS122" si="221">AND(CR98,AT3=0)</f>
        <v>0</v>
      </c>
      <c r="CT98" s="425" t="b">
        <f t="shared" ref="CT98:CT122" si="222">AND(CS98,AU3=0)</f>
        <v>0</v>
      </c>
      <c r="CU98" s="425" t="b">
        <f t="shared" ref="CU98:CU122" si="223">AND(CT98,AV3=0)</f>
        <v>0</v>
      </c>
      <c r="CV98" s="425" t="b">
        <f t="shared" ref="CV98:CV122" si="224">AND(CU98,AW3=0)</f>
        <v>0</v>
      </c>
      <c r="CW98" s="425" t="b">
        <f t="shared" ref="CW98:CW122" si="225">AND(CV98,AX3=0)</f>
        <v>0</v>
      </c>
      <c r="CX98" s="425" t="b">
        <f t="shared" ref="CX98:CX122" si="226">AND(CW98,AY3=0)</f>
        <v>0</v>
      </c>
      <c r="CY98" s="425" t="b">
        <f t="shared" ref="CY98:CY122" si="227">AND(CX98,AZ3=0)</f>
        <v>0</v>
      </c>
      <c r="CZ98" s="425" t="b">
        <f t="shared" ref="CZ98:CZ122" si="228">AND(CY98,BA3=0)</f>
        <v>0</v>
      </c>
      <c r="DA98" s="425" t="b">
        <f t="shared" ref="DA98:DA122" si="229">AND(CZ98,BB3=0)</f>
        <v>0</v>
      </c>
      <c r="DB98" s="425" t="b">
        <f t="shared" ref="DB98:DB122" si="230">AND(DA98,BC3=0)</f>
        <v>0</v>
      </c>
      <c r="DC98" s="425"/>
      <c r="DD98" s="425">
        <f>COUNTIF(CE98:DB98,TRUE)</f>
        <v>7</v>
      </c>
      <c r="DE98" s="425">
        <f t="shared" ref="DE98:DE122" si="231">IF(ISNUMBER(BD128),BD128/WLS,"-")</f>
        <v>5.5</v>
      </c>
      <c r="DF98" s="425">
        <f t="shared" ref="DF98:DF117" si="232">IFERROR(VLOOKUP($BD$97,$BD$97:$CC$97,DD98+2,FALSE)*1,-1)</f>
        <v>9</v>
      </c>
      <c r="DG98" s="425">
        <f>IFERROR(VLOOKUP($BD$97,$BD$97:$CC$97,DD98+2+IF(ISNUMBER(DE98),1,0),FALSE)*1,-1)</f>
        <v>10.1</v>
      </c>
      <c r="DH98" s="425">
        <f t="shared" ref="DH98:DH121" si="233">BC98</f>
        <v>0</v>
      </c>
      <c r="DI98" s="425"/>
      <c r="DJ98" s="425">
        <f>IF(ISNUMBER(BD128),0,NA())</f>
        <v>0</v>
      </c>
      <c r="DK98" s="425" t="e">
        <f t="shared" si="180"/>
        <v>#N/A</v>
      </c>
      <c r="DL98" s="425" t="e">
        <f t="shared" si="181"/>
        <v>#N/A</v>
      </c>
      <c r="DM98" s="425" t="e">
        <f t="shared" si="182"/>
        <v>#N/A</v>
      </c>
      <c r="DN98" s="425" t="e">
        <f t="shared" si="183"/>
        <v>#N/A</v>
      </c>
      <c r="DO98" s="425" t="e">
        <f t="shared" si="184"/>
        <v>#N/A</v>
      </c>
      <c r="DP98" s="425" t="e">
        <f t="shared" si="185"/>
        <v>#N/A</v>
      </c>
      <c r="DQ98" s="425" t="e">
        <f t="shared" si="186"/>
        <v>#N/A</v>
      </c>
      <c r="DR98" s="425" t="e">
        <f t="shared" si="187"/>
        <v>#N/A</v>
      </c>
      <c r="DS98" s="425">
        <f t="shared" si="188"/>
        <v>-2.8919999999999999</v>
      </c>
      <c r="DT98" s="425">
        <f t="shared" si="189"/>
        <v>-6.2</v>
      </c>
      <c r="DU98" s="425">
        <f t="shared" si="190"/>
        <v>-9.6</v>
      </c>
      <c r="DV98" s="425">
        <f t="shared" si="191"/>
        <v>-10.89</v>
      </c>
      <c r="DW98" s="425" t="e">
        <f t="shared" si="192"/>
        <v>#N/A</v>
      </c>
      <c r="DX98" s="425" t="e">
        <f t="shared" si="193"/>
        <v>#N/A</v>
      </c>
      <c r="DY98" s="425" t="e">
        <f t="shared" si="194"/>
        <v>#N/A</v>
      </c>
      <c r="DZ98" s="425" t="e">
        <f t="shared" si="195"/>
        <v>#N/A</v>
      </c>
      <c r="EA98" s="425" t="e">
        <f t="shared" si="196"/>
        <v>#N/A</v>
      </c>
      <c r="EB98" s="425" t="e">
        <f t="shared" si="197"/>
        <v>#N/A</v>
      </c>
      <c r="EC98" s="425" t="e">
        <f t="shared" si="198"/>
        <v>#N/A</v>
      </c>
      <c r="ED98" s="425" t="e">
        <f t="shared" si="199"/>
        <v>#N/A</v>
      </c>
      <c r="EE98" s="425" t="e">
        <f t="shared" si="200"/>
        <v>#N/A</v>
      </c>
      <c r="EF98" s="425" t="e">
        <f t="shared" si="201"/>
        <v>#N/A</v>
      </c>
      <c r="EG98" s="425" t="e">
        <f t="shared" si="202"/>
        <v>#N/A</v>
      </c>
      <c r="EH98" s="425" t="e">
        <f t="shared" si="203"/>
        <v>#N/A</v>
      </c>
      <c r="EI98" s="425" t="e">
        <f t="shared" si="204"/>
        <v>#N/A</v>
      </c>
      <c r="EJ98" s="425"/>
      <c r="EK98" s="425"/>
      <c r="EL98" s="425">
        <f t="shared" ref="EL98:EL122" si="234">IFERROR(DE98*WLS,NA())</f>
        <v>9.9</v>
      </c>
      <c r="EM98" s="425">
        <f t="shared" ref="EM98:EM102" si="235">IF(ISERROR(EL98),DK$97,IF(AND(ISNUMBER(EL98),EL98=0),NA(),DK$97))</f>
        <v>0</v>
      </c>
      <c r="EN98" s="425">
        <f t="shared" ref="EN98:EN122" si="236">DL$97</f>
        <v>0.9</v>
      </c>
      <c r="EO98" s="425">
        <f t="shared" ref="EO98:EO122" si="237">DM$97</f>
        <v>1.8</v>
      </c>
      <c r="EP98" s="425">
        <f t="shared" ref="EP98:EP122" si="238">DN$97</f>
        <v>2.7</v>
      </c>
      <c r="EQ98" s="425">
        <f t="shared" ref="EQ98:EQ122" si="239">DO$97</f>
        <v>3.6</v>
      </c>
      <c r="ER98" s="425">
        <f t="shared" ref="ER98:ER122" si="240">DP$97</f>
        <v>5.4</v>
      </c>
      <c r="ES98" s="425">
        <f t="shared" ref="ES98:ES122" si="241">DQ$97</f>
        <v>7.2</v>
      </c>
      <c r="ET98" s="425">
        <f t="shared" ref="ET98:ET122" si="242">DR$97</f>
        <v>9</v>
      </c>
      <c r="EU98" s="425">
        <f t="shared" ref="EU98:EU122" si="243">DS$97</f>
        <v>10.1</v>
      </c>
      <c r="EV98" s="425">
        <f t="shared" ref="EV98:EV122" si="244">DT$97</f>
        <v>10.8</v>
      </c>
      <c r="EW98" s="425">
        <f t="shared" ref="EW98:EW122" si="245">DU$97</f>
        <v>12.6</v>
      </c>
      <c r="EX98" s="425">
        <f t="shared" ref="EX98:EX122" si="246">DV$97</f>
        <v>14.19</v>
      </c>
      <c r="EY98" s="425" t="e">
        <f t="shared" ref="EY98:EY122" si="247">DW$97</f>
        <v>#N/A</v>
      </c>
      <c r="EZ98" s="425" t="e">
        <f t="shared" ref="EZ98:EZ122" si="248">DX$97</f>
        <v>#N/A</v>
      </c>
      <c r="FA98" s="425" t="e">
        <f t="shared" ref="FA98:FA122" si="249">DY$97</f>
        <v>#N/A</v>
      </c>
      <c r="FB98" s="425" t="e">
        <f t="shared" ref="FB98:FB122" si="250">DZ$97</f>
        <v>#N/A</v>
      </c>
      <c r="FC98" s="425" t="e">
        <f t="shared" ref="FC98:FC122" si="251">EA$97</f>
        <v>#N/A</v>
      </c>
      <c r="FD98" s="425" t="e">
        <f t="shared" ref="FD98:FD122" si="252">EB$97</f>
        <v>#N/A</v>
      </c>
      <c r="FE98" s="425" t="e">
        <f t="shared" ref="FE98:FE122" si="253">EC$97</f>
        <v>#N/A</v>
      </c>
      <c r="FF98" s="425" t="e">
        <f t="shared" ref="FF98:FF122" si="254">ED$97</f>
        <v>#N/A</v>
      </c>
      <c r="FG98" s="425" t="e">
        <f t="shared" ref="FG98:FG122" si="255">EE$97</f>
        <v>#N/A</v>
      </c>
      <c r="FH98" s="425" t="e">
        <f t="shared" ref="FH98:FH122" si="256">EF$97</f>
        <v>#N/A</v>
      </c>
      <c r="FI98" s="425" t="e">
        <f t="shared" ref="FI98:FI122" si="257">EG$97</f>
        <v>#N/A</v>
      </c>
      <c r="FJ98" s="425" t="e">
        <f t="shared" ref="FJ98:FJ122" si="258">EH$97</f>
        <v>#N/A</v>
      </c>
      <c r="FK98" s="425" t="e">
        <f t="shared" ref="FK98:FK122" si="259">EI$97</f>
        <v>#N/A</v>
      </c>
    </row>
    <row r="99" spans="1:167" x14ac:dyDescent="0.25">
      <c r="A99" s="374">
        <f t="shared" si="206"/>
        <v>0.5</v>
      </c>
      <c r="B99" s="377" t="str">
        <f>IFERROR(IF(ISERROR(CP128),"",CONCATENATE(ROUND(X_SHIFT_BP+IF(Tools!B$97&lt;=Tools!$D$47/2,-BF4,BF4),3),",",ROUND(WLS*$AP40,3)," ")),"")</f>
        <v/>
      </c>
      <c r="C99" s="377" t="str">
        <f>IFERROR(IF(ISERROR(CQ128),"",CONCATENATE(ROUND(X_SHIFT_BP+IF(Tools!C$97&lt;=Tools!$D$47/2,-BG4,BG4),3),",",ROUND(WLS*$AP40,3)," ")),"")</f>
        <v/>
      </c>
      <c r="D99" s="377" t="str">
        <f>IFERROR(IF(ISERROR(CR128),"",CONCATENATE(ROUND(X_SHIFT_BP+IF(Tools!D$97&lt;=Tools!$D$47/2,-BH4,BH4),3),",",ROUND(WLS*$AP40,3)," ")),"")</f>
        <v/>
      </c>
      <c r="E99" s="377" t="str">
        <f>IFERROR(IF(ISERROR(CS128),"",CONCATENATE(ROUND(X_SHIFT_BP+IF(Tools!E$97&lt;=Tools!$D$47/2,-BI4,BI4),3),",",ROUND(WLS*$AP40,3)," ")),"")</f>
        <v/>
      </c>
      <c r="F99" s="377" t="str">
        <f>IFERROR(IF(ISERROR(CT128),"",CONCATENATE(ROUND(X_SHIFT_BP+IF(Tools!F$97&lt;=Tools!$D$47/2,-BJ4,BJ4),3),",",ROUND(WLS*$AP40,3)," ")),"")</f>
        <v xml:space="preserve">155.035,0.9 </v>
      </c>
      <c r="G99" s="377" t="str">
        <f>IFERROR(IF(ISERROR(CU128),"",CONCATENATE(ROUND(X_SHIFT_BP+IF(Tools!G$97&lt;=Tools!$D$47/2,-BK4,BK4),3),",",ROUND(WLS*$AP40,3)," ")),"")</f>
        <v xml:space="preserve">153.765,0.9 </v>
      </c>
      <c r="H99" s="377" t="str">
        <f>IFERROR(IF(ISERROR(CV128),"",CONCATENATE(ROUND(X_SHIFT_BP+IF(Tools!H$97&lt;=Tools!$D$47/2,-BL4,BL4),3),",",ROUND(WLS*$AP40,3)," ")),"")</f>
        <v xml:space="preserve">152.265,0.9 </v>
      </c>
      <c r="I99" s="377" t="str">
        <f>IFERROR(IF(ISERROR(CW128),"",CONCATENATE(ROUND(X_SHIFT_BP+IF(Tools!I$97&lt;=Tools!$D$47/2,-BM4,BM4),3),",",ROUND(WLS*$AP40,3)," ")),"")</f>
        <v xml:space="preserve">150.625,0.9 </v>
      </c>
      <c r="J99" s="377" t="str">
        <f>IFERROR(IF(ISERROR(CX128),"",CONCATENATE(ROUND(X_SHIFT_BP+IF(Tools!J$97&lt;=Tools!$D$47/2,-BN4,BN4),3),",",ROUND(WLS*$AP40,3)," ")),"")</f>
        <v xml:space="preserve">148.845,0.9 </v>
      </c>
      <c r="K99" s="377" t="str">
        <f>IFERROR(IF(ISERROR(CY128),"",CONCATENATE(ROUND(X_SHIFT_BP+IF(Tools!K$97&lt;=Tools!$D$47/2,-BO4,BO4),3),",",ROUND(WLS*$AP40,3)," ")),"")</f>
        <v xml:space="preserve">146.855,0.9 </v>
      </c>
      <c r="L99" s="377" t="str">
        <f>IFERROR(IF(ISERROR(CZ128),"",CONCATENATE(ROUND(X_SHIFT_BP+IF(Tools!L$97&lt;=Tools!$D$47/2,-BP4,BP4),3),",",ROUND(WLS*$AP40,3)," ")),"")</f>
        <v xml:space="preserve">145.275,0.9 </v>
      </c>
      <c r="M99" s="377" t="str">
        <f>IFERROR(IF(ISERROR(DA128),"",CONCATENATE(ROUND(X_SHIFT_BP+IF(Tools!M$97&lt;=Tools!$D$47/2,-BQ4,BQ4),3),",",ROUND(WLS*$AP40,3)," ")),"")</f>
        <v xml:space="preserve">144.655,0.9 </v>
      </c>
      <c r="N99" s="377" t="str">
        <f>IFERROR(IF(ISERROR(DB128),"",CONCATENATE(ROUND(X_SHIFT_BP+IF(Tools!N$97&lt;=Tools!$D$47/2,-BR4,BR4),3),",",ROUND(WLS*$AP40,3)," ")),"")</f>
        <v xml:space="preserve">144.595,0.9 </v>
      </c>
      <c r="O99" s="377" t="str">
        <f>IFERROR(IF(ISERROR(DC128),"",CONCATENATE(ROUND(X_SHIFT_BP+IF(Tools!O$97&lt;=Tools!$D$47/2,-BS4,BS4),3),",",ROUND(WLS*$AP40,3)," ")),"")</f>
        <v xml:space="preserve">166.085,0.9 </v>
      </c>
      <c r="P99" s="377" t="str">
        <f>IFERROR(IF(ISERROR(DD128),"",CONCATENATE(ROUND(X_SHIFT_BP+IF(Tools!P$97&lt;=Tools!$D$47/2,-BT4,BT4),3),",",ROUND(WLS*$AP40,3)," ")),"")</f>
        <v xml:space="preserve">165.455,0.9 </v>
      </c>
      <c r="Q99" s="377" t="str">
        <f>IFERROR(IF(ISERROR(DE128),"",CONCATENATE(ROUND(X_SHIFT_BP+IF(Tools!Q$97&lt;=Tools!$D$47/2,-BU4,BU4),3),",",ROUND(WLS*$AP40,3)," ")),"")</f>
        <v xml:space="preserve">164.275,0.9 </v>
      </c>
      <c r="R99" s="377" t="str">
        <f>IFERROR(IF(ISERROR(DF128),"",CONCATENATE(ROUND(X_SHIFT_BP+IF(Tools!R$97&lt;=Tools!$D$47/2,-BV4,BV4),3),",",ROUND(WLS*$AP40,3)," ")),"")</f>
        <v xml:space="preserve">162.725,0.9 </v>
      </c>
      <c r="S99" s="377" t="str">
        <f>IFERROR(IF(ISERROR(DG128),"",CONCATENATE(ROUND(X_SHIFT_BP+IF(Tools!S$97&lt;=Tools!$D$47/2,-BW4,BW4),3),",",ROUND(WLS*$AP40,3)," ")),"")</f>
        <v xml:space="preserve">161.085,0.9 </v>
      </c>
      <c r="T99" s="377" t="str">
        <f>IFERROR(IF(ISERROR(DH128),"",CONCATENATE(ROUND(X_SHIFT_BP+IF(Tools!T$97&lt;=Tools!$D$47/2,-BX4,BX4),3),",",ROUND(WLS*$AP40,3)," ")),"")</f>
        <v xml:space="preserve">159.485,0.9 </v>
      </c>
      <c r="U99" s="377" t="str">
        <f>IFERROR(IF(ISERROR(DI128),"",CONCATENATE(ROUND(X_SHIFT_BP+IF(Tools!U$97&lt;=Tools!$D$47/2,-BY4,BY4),3),",",ROUND(WLS*$AP40,3)," ")),"")</f>
        <v xml:space="preserve">158.065,0.9 </v>
      </c>
      <c r="V99" s="377" t="str">
        <f>IFERROR(IF(ISERROR(DJ128),"",CONCATENATE(ROUND(X_SHIFT_BP+IF(Tools!V$97&lt;=Tools!$D$47/2,-BZ4,BZ4),3),",",ROUND(WLS*$AP40,3)," ")),"")</f>
        <v xml:space="preserve">156.925,0.9 </v>
      </c>
      <c r="W99" s="377" t="str">
        <f>IFERROR(IF(ISERROR(DK128),"",CONCATENATE(ROUND(X_SHIFT_BP+IF(Tools!W$97&lt;=Tools!$D$47/2,-CA4,CA4),3),",",ROUND(WLS*$AP40,3)," ")),"")</f>
        <v xml:space="preserve">156.475,0.9 </v>
      </c>
      <c r="X99" s="377" t="str">
        <f>IFERROR(IF(ISERROR(DL128),"",CONCATENATE(ROUND(X_SHIFT_BP+IF(Tools!X$97&lt;=Tools!$D$47/2,-CB4,CB4),3),",",ROUND(WLS*$AP40,3)," ")),"")</f>
        <v xml:space="preserve">156.075,0.9 </v>
      </c>
      <c r="Y99" s="377" t="str">
        <f>IFERROR(IF(ISERROR(DM128),"",CONCATENATE(ROUND(X_SHIFT_BP+IF(Tools!Y$97&lt;=Tools!$D$47/2,-CC4,CC4),3),",",ROUND(WLS*$AP40,3)," ")),"")</f>
        <v/>
      </c>
      <c r="Z99" s="377" t="str">
        <f>IFERROR(IF(ISERROR(DN128),"",CONCATENATE(ROUND(X_SHIFT_BP+IF(Tools!Z$97&lt;=Tools!$D$47/2,-CD4,CD4),3),",",ROUND(WLS*$AP40,3)," ")),"")</f>
        <v/>
      </c>
      <c r="AA99" s="129">
        <v>5</v>
      </c>
      <c r="AB99" s="245" t="str">
        <f t="shared" ref="AB99:AB122" si="260">IF(AA99=0,"  ","Spline ")</f>
        <v xml:space="preserve">Spline </v>
      </c>
      <c r="AC99" s="129" t="str">
        <v xml:space="preserve">155.435,8.9 </v>
      </c>
      <c r="AD99" s="245" t="str">
        <v/>
      </c>
      <c r="AE99" s="245" t="str">
        <v/>
      </c>
      <c r="AF99" s="245" t="str">
        <v/>
      </c>
      <c r="AG99" s="245" t="str">
        <v/>
      </c>
      <c r="AH99" s="245" t="str">
        <v/>
      </c>
      <c r="AI99" s="245" t="str">
        <v/>
      </c>
      <c r="AJ99" s="245" t="str">
        <v/>
      </c>
      <c r="AK99" s="245" t="str">
        <v xml:space="preserve">154.235,9 </v>
      </c>
      <c r="AL99" s="245" t="str">
        <v xml:space="preserve">148.635,10.1 </v>
      </c>
      <c r="AM99" s="245" t="str">
        <v xml:space="preserve">146.975,10.8 </v>
      </c>
      <c r="AN99" s="245" t="str">
        <v xml:space="preserve">144.805,12.6 </v>
      </c>
      <c r="AO99" s="245" t="str">
        <v xml:space="preserve">143.915,14.19 </v>
      </c>
      <c r="AP99" s="245" t="str">
        <v/>
      </c>
      <c r="AQ99" s="245" t="str">
        <v/>
      </c>
      <c r="AR99" s="245" t="str">
        <v/>
      </c>
      <c r="AS99" s="245" t="str">
        <v/>
      </c>
      <c r="AT99" s="245" t="str">
        <v/>
      </c>
      <c r="AU99" s="245" t="str">
        <v/>
      </c>
      <c r="AV99" s="245" t="str">
        <v/>
      </c>
      <c r="AW99" s="245" t="str">
        <v/>
      </c>
      <c r="AX99" s="245" t="str">
        <v/>
      </c>
      <c r="AY99" s="245" t="str">
        <v/>
      </c>
      <c r="AZ99" s="245" t="str">
        <v/>
      </c>
      <c r="BA99" s="245" t="str">
        <v/>
      </c>
      <c r="BB99" s="245" t="str">
        <v/>
      </c>
      <c r="BC99" s="376">
        <f>Tools!AD4</f>
        <v>0.5</v>
      </c>
      <c r="BD99" s="376">
        <f>IFERROR(Tools!AD4*STN_GAP,"")</f>
        <v>3.2924999999999995</v>
      </c>
      <c r="BE99" s="496" t="e">
        <f>IFERROR(IF(ISNUMBER(DE99),NA(),IF(AND($DF99&lt;&gt;0,$DG99&gt;BE$97),NA(),IF($BD99&gt;LBP/2,-(-Tools!AE4),-Tools!AE4))),NA())</f>
        <v>#N/A</v>
      </c>
      <c r="BF99" s="376" t="e">
        <f>IFERROR(IF(AND($DF99&lt;&gt;0,$DG99&gt;BF$97),NA(),IF($BD99&gt;LBP/2,-(-Tools!AF4),-Tools!AF4)),NA())</f>
        <v>#N/A</v>
      </c>
      <c r="BG99" s="376" t="e">
        <f>IFERROR(IF(AND($DF99&lt;&gt;0,$DG99&gt;BG$97),NA(),IF($BD99&gt;LBP/2,-(-Tools!AG4),-Tools!AG4)),NA())</f>
        <v>#N/A</v>
      </c>
      <c r="BH99" s="376" t="e">
        <f>IFERROR(IF(AND($DF99&lt;&gt;0,$DG99&gt;BH$97),NA(),IF($BD99&gt;LBP/2,-(-Tools!AH4),-Tools!AH4)),NA())</f>
        <v>#N/A</v>
      </c>
      <c r="BI99" s="376" t="e">
        <f>IFERROR(IF(AND($DF99&lt;&gt;0,$DG99&gt;BI$97),NA(),IF($BD99&gt;LBP/2,-(-Tools!AI4),-Tools!AI4)),NA())</f>
        <v>#N/A</v>
      </c>
      <c r="BJ99" s="376" t="e">
        <f>IFERROR(IF(AND($DF99&lt;&gt;0,$DG99&gt;BJ$97),NA(),IF($BD99&gt;LBP/2,-(-Tools!AJ4),-Tools!AJ4)),NA())</f>
        <v>#N/A</v>
      </c>
      <c r="BK99" s="376" t="e">
        <f>IFERROR(IF(AND($DF99&lt;&gt;0,$DG99&gt;BK$97),NA(),IF($BD99&gt;LBP/2,-(-Tools!AK4),-Tools!AK4)),NA())</f>
        <v>#N/A</v>
      </c>
      <c r="BL99" s="376">
        <f>IFERROR(IF(AND($DF99&lt;&gt;0,$DG99&gt;BL$97),NA(),IF($BD99&gt;LBP/2,-(-Tools!AL4),-Tools!AL4)),NA())</f>
        <v>-1.2</v>
      </c>
      <c r="BM99" s="376">
        <f>IFERROR(IF(AND($DF99&lt;&gt;0,$DG99&gt;BM$97),NA(),IF($BD99&gt;LBP/2,-(-Tools!AM4),-Tools!AM4)),NA())</f>
        <v>-6.8</v>
      </c>
      <c r="BN99" s="376">
        <f>IFERROR(IF(AND($DF99&lt;&gt;0,$DG99&gt;BN$97),NA(),IF($BD99&gt;LBP/2,-(-Tools!AN4),-Tools!AN4)),NA())</f>
        <v>-8.4600000000000009</v>
      </c>
      <c r="BO99" s="376">
        <f>IFERROR(IF(AND($DF99&lt;&gt;0,$DG99&gt;BO$97),NA(),IF($BD99&gt;LBP/2,-(-Tools!AO4),-Tools!AO4)),NA())</f>
        <v>-10.63</v>
      </c>
      <c r="BP99" s="376">
        <f>IFERROR(IF(AND($DF99&lt;&gt;0,$DG99&gt;BP$97),NA(),IF($BD99&gt;LBP/2,-(-Tools!AP4),-Tools!AP4)),NA())</f>
        <v>-11.52</v>
      </c>
      <c r="BQ99" s="376" t="e">
        <f>IFERROR(IF(AND($DF99&lt;&gt;0,$DG99&gt;BQ$97),NA(),IF($BD99&gt;LBP/2,-(-Tools!AQ4),-Tools!AQ4)),NA())</f>
        <v>#N/A</v>
      </c>
      <c r="BR99" s="376" t="e">
        <f>IFERROR(IF(AND($DF99&lt;&gt;0,$DG99&gt;BR$97),NA(),IF($BD99&gt;LBP/2,-(-Tools!AR4),-Tools!AR4)),NA())</f>
        <v>#N/A</v>
      </c>
      <c r="BS99" s="376" t="e">
        <f>IFERROR(IF(AND($DF99&lt;&gt;0,$DG99&gt;BS$97),NA(),IF($BD99&gt;LBP/2,-(-Tools!AS4),-Tools!AS4)),NA())</f>
        <v>#N/A</v>
      </c>
      <c r="BT99" s="376" t="e">
        <f>IFERROR(IF(AND($DF99&lt;&gt;0,$DG99&gt;BT$97),NA(),IF($BD99&gt;LBP/2,-(-Tools!AT4),-Tools!AT4)),NA())</f>
        <v>#N/A</v>
      </c>
      <c r="BU99" s="376" t="e">
        <f>IFERROR(IF(AND($DF99&lt;&gt;0,$DG99&gt;BU$97),NA(),IF($BD99&gt;LBP/2,-(-Tools!AU4),-Tools!AU4)),NA())</f>
        <v>#N/A</v>
      </c>
      <c r="BV99" s="376" t="e">
        <f>IFERROR(IF(AND($DF99&lt;&gt;0,$DG99&gt;BV$97),NA(),IF($BD99&gt;LBP/2,-(-Tools!AV4),-Tools!AV4)),NA())</f>
        <v>#N/A</v>
      </c>
      <c r="BW99" s="376" t="e">
        <f>IFERROR(IF(AND($DF99&lt;&gt;0,$DG99&gt;BW$97),NA(),IF($BD99&gt;LBP/2,-(-Tools!AW4),-Tools!AW4)),NA())</f>
        <v>#N/A</v>
      </c>
      <c r="BX99" s="376" t="e">
        <f>IFERROR(IF(AND($DF99&lt;&gt;0,$DG99&gt;BX$97),NA(),IF($BD99&gt;LBP/2,-(-Tools!AX4),-Tools!AX4)),NA())</f>
        <v>#N/A</v>
      </c>
      <c r="BY99" s="376" t="e">
        <f>IFERROR(IF(AND($DF99&lt;&gt;0,$DG99&gt;BY$97),NA(),IF($BD99&gt;LBP/2,-(-Tools!AY4),-Tools!AY4)),NA())</f>
        <v>#N/A</v>
      </c>
      <c r="BZ99" s="376" t="e">
        <f>IFERROR(IF(AND($DF99&lt;&gt;0,$DG99&gt;BZ$97),NA(),IF($BD99&gt;LBP/2,-(-Tools!AZ4),-Tools!AZ4)),NA())</f>
        <v>#N/A</v>
      </c>
      <c r="CA99" s="376" t="e">
        <f>IFERROR(IF(AND($DF99&lt;&gt;0,$DG99&gt;CA$97),NA(),IF($BD99&gt;LBP/2,-(-Tools!BA4),-Tools!BA4)),NA())</f>
        <v>#N/A</v>
      </c>
      <c r="CB99" s="376" t="e">
        <f>IFERROR(IF(AND($DF99&lt;&gt;0,$DG99&gt;CB$97),NA(),IF($BD99&gt;LBP/2,-(-Tools!BB4),-Tools!BB4)),NA())</f>
        <v>#N/A</v>
      </c>
      <c r="CC99" s="376" t="e">
        <f>IFERROR(IF(AND($DF99&lt;&gt;0,$DG99&gt;CC$97),NA(),IF($BD99&gt;LBP/2,-(-Tools!BC4),-Tools!BC4)),NA())</f>
        <v>#N/A</v>
      </c>
      <c r="CE99" s="425" t="b">
        <f t="shared" si="207"/>
        <v>1</v>
      </c>
      <c r="CF99" s="425" t="b">
        <f t="shared" si="208"/>
        <v>1</v>
      </c>
      <c r="CG99" s="425" t="b">
        <f t="shared" si="209"/>
        <v>1</v>
      </c>
      <c r="CH99" s="425" t="b">
        <f t="shared" si="210"/>
        <v>1</v>
      </c>
      <c r="CI99" s="425" t="b">
        <f t="shared" si="211"/>
        <v>1</v>
      </c>
      <c r="CJ99" s="425" t="b">
        <f t="shared" si="212"/>
        <v>1</v>
      </c>
      <c r="CK99" s="425" t="b">
        <f t="shared" si="213"/>
        <v>0</v>
      </c>
      <c r="CL99" s="425" t="b">
        <f t="shared" si="214"/>
        <v>0</v>
      </c>
      <c r="CM99" s="425" t="b">
        <f t="shared" si="215"/>
        <v>0</v>
      </c>
      <c r="CN99" s="425" t="b">
        <f t="shared" si="216"/>
        <v>0</v>
      </c>
      <c r="CO99" s="425" t="b">
        <f t="shared" si="217"/>
        <v>0</v>
      </c>
      <c r="CP99" s="425" t="b">
        <f t="shared" si="218"/>
        <v>0</v>
      </c>
      <c r="CQ99" s="425" t="b">
        <f t="shared" si="219"/>
        <v>0</v>
      </c>
      <c r="CR99" s="425" t="b">
        <f t="shared" si="220"/>
        <v>0</v>
      </c>
      <c r="CS99" s="425" t="b">
        <f t="shared" si="221"/>
        <v>0</v>
      </c>
      <c r="CT99" s="425" t="b">
        <f t="shared" si="222"/>
        <v>0</v>
      </c>
      <c r="CU99" s="425" t="b">
        <f t="shared" si="223"/>
        <v>0</v>
      </c>
      <c r="CV99" s="425" t="b">
        <f t="shared" si="224"/>
        <v>0</v>
      </c>
      <c r="CW99" s="425" t="b">
        <f t="shared" si="225"/>
        <v>0</v>
      </c>
      <c r="CX99" s="425" t="b">
        <f t="shared" si="226"/>
        <v>0</v>
      </c>
      <c r="CY99" s="425" t="b">
        <f t="shared" si="227"/>
        <v>0</v>
      </c>
      <c r="CZ99" s="425" t="b">
        <f t="shared" si="228"/>
        <v>0</v>
      </c>
      <c r="DA99" s="425" t="b">
        <f t="shared" si="229"/>
        <v>0</v>
      </c>
      <c r="DB99" s="425" t="b">
        <f t="shared" si="230"/>
        <v>0</v>
      </c>
      <c r="DC99" s="425"/>
      <c r="DD99" s="425">
        <f t="shared" ref="DD99:DD122" si="261">COUNTIF(CE99:DB99,TRUE)</f>
        <v>6</v>
      </c>
      <c r="DE99" s="425">
        <f t="shared" si="231"/>
        <v>4.9444444444444446</v>
      </c>
      <c r="DF99" s="425">
        <f t="shared" si="232"/>
        <v>7.2</v>
      </c>
      <c r="DG99" s="425">
        <f t="shared" ref="DG99:DG117" si="262">IFERROR(VLOOKUP($BD$97,$BD$97:$CC$97,DD99+2+IF(ISNUMBER(DE99),1,0),FALSE)*1,-1)</f>
        <v>9</v>
      </c>
      <c r="DH99" s="425">
        <f t="shared" si="233"/>
        <v>0.5</v>
      </c>
      <c r="DI99" s="425"/>
      <c r="DJ99" s="425">
        <f t="shared" ref="DJ99:DJ122" si="263">IF(ISNUMBER(BD129),0,NA())</f>
        <v>0</v>
      </c>
      <c r="DK99" s="425" t="e">
        <f t="shared" si="180"/>
        <v>#N/A</v>
      </c>
      <c r="DL99" s="425" t="e">
        <f t="shared" si="181"/>
        <v>#N/A</v>
      </c>
      <c r="DM99" s="425" t="e">
        <f t="shared" si="182"/>
        <v>#N/A</v>
      </c>
      <c r="DN99" s="425" t="e">
        <f t="shared" si="183"/>
        <v>#N/A</v>
      </c>
      <c r="DO99" s="425" t="e">
        <f t="shared" si="184"/>
        <v>#N/A</v>
      </c>
      <c r="DP99" s="425" t="e">
        <f t="shared" si="185"/>
        <v>#N/A</v>
      </c>
      <c r="DQ99" s="425" t="e">
        <f t="shared" si="186"/>
        <v>#N/A</v>
      </c>
      <c r="DR99" s="425">
        <f t="shared" si="187"/>
        <v>-1.2</v>
      </c>
      <c r="DS99" s="425">
        <f t="shared" si="188"/>
        <v>-6.8</v>
      </c>
      <c r="DT99" s="425">
        <f t="shared" si="189"/>
        <v>-8.4600000000000009</v>
      </c>
      <c r="DU99" s="425">
        <f t="shared" si="190"/>
        <v>-10.63</v>
      </c>
      <c r="DV99" s="425">
        <f t="shared" si="191"/>
        <v>-11.52</v>
      </c>
      <c r="DW99" s="425" t="e">
        <f t="shared" si="192"/>
        <v>#N/A</v>
      </c>
      <c r="DX99" s="425" t="e">
        <f t="shared" si="193"/>
        <v>#N/A</v>
      </c>
      <c r="DY99" s="425" t="e">
        <f t="shared" si="194"/>
        <v>#N/A</v>
      </c>
      <c r="DZ99" s="425" t="e">
        <f t="shared" si="195"/>
        <v>#N/A</v>
      </c>
      <c r="EA99" s="425" t="e">
        <f t="shared" si="196"/>
        <v>#N/A</v>
      </c>
      <c r="EB99" s="425" t="e">
        <f t="shared" si="197"/>
        <v>#N/A</v>
      </c>
      <c r="EC99" s="425" t="e">
        <f t="shared" si="198"/>
        <v>#N/A</v>
      </c>
      <c r="ED99" s="425" t="e">
        <f t="shared" si="199"/>
        <v>#N/A</v>
      </c>
      <c r="EE99" s="425" t="e">
        <f t="shared" si="200"/>
        <v>#N/A</v>
      </c>
      <c r="EF99" s="425" t="e">
        <f t="shared" si="201"/>
        <v>#N/A</v>
      </c>
      <c r="EG99" s="425" t="e">
        <f t="shared" si="202"/>
        <v>#N/A</v>
      </c>
      <c r="EH99" s="425" t="e">
        <f t="shared" si="203"/>
        <v>#N/A</v>
      </c>
      <c r="EI99" s="425" t="e">
        <f t="shared" si="204"/>
        <v>#N/A</v>
      </c>
      <c r="EJ99" s="425"/>
      <c r="EK99" s="425"/>
      <c r="EL99" s="425">
        <f t="shared" si="234"/>
        <v>8.9</v>
      </c>
      <c r="EM99" s="425">
        <f t="shared" si="235"/>
        <v>0</v>
      </c>
      <c r="EN99" s="425">
        <f t="shared" si="236"/>
        <v>0.9</v>
      </c>
      <c r="EO99" s="425">
        <f t="shared" si="237"/>
        <v>1.8</v>
      </c>
      <c r="EP99" s="425">
        <f t="shared" si="238"/>
        <v>2.7</v>
      </c>
      <c r="EQ99" s="425">
        <f t="shared" si="239"/>
        <v>3.6</v>
      </c>
      <c r="ER99" s="425">
        <f t="shared" si="240"/>
        <v>5.4</v>
      </c>
      <c r="ES99" s="425">
        <f t="shared" si="241"/>
        <v>7.2</v>
      </c>
      <c r="ET99" s="425">
        <f t="shared" si="242"/>
        <v>9</v>
      </c>
      <c r="EU99" s="425">
        <f t="shared" si="243"/>
        <v>10.1</v>
      </c>
      <c r="EV99" s="425">
        <f t="shared" si="244"/>
        <v>10.8</v>
      </c>
      <c r="EW99" s="425">
        <f t="shared" si="245"/>
        <v>12.6</v>
      </c>
      <c r="EX99" s="425">
        <f t="shared" si="246"/>
        <v>14.19</v>
      </c>
      <c r="EY99" s="425" t="e">
        <f t="shared" si="247"/>
        <v>#N/A</v>
      </c>
      <c r="EZ99" s="425" t="e">
        <f t="shared" si="248"/>
        <v>#N/A</v>
      </c>
      <c r="FA99" s="425" t="e">
        <f t="shared" si="249"/>
        <v>#N/A</v>
      </c>
      <c r="FB99" s="425" t="e">
        <f t="shared" si="250"/>
        <v>#N/A</v>
      </c>
      <c r="FC99" s="425" t="e">
        <f t="shared" si="251"/>
        <v>#N/A</v>
      </c>
      <c r="FD99" s="425" t="e">
        <f t="shared" si="252"/>
        <v>#N/A</v>
      </c>
      <c r="FE99" s="425" t="e">
        <f t="shared" si="253"/>
        <v>#N/A</v>
      </c>
      <c r="FF99" s="425" t="e">
        <f t="shared" si="254"/>
        <v>#N/A</v>
      </c>
      <c r="FG99" s="425" t="e">
        <f t="shared" si="255"/>
        <v>#N/A</v>
      </c>
      <c r="FH99" s="425" t="e">
        <f t="shared" si="256"/>
        <v>#N/A</v>
      </c>
      <c r="FI99" s="425" t="e">
        <f t="shared" si="257"/>
        <v>#N/A</v>
      </c>
      <c r="FJ99" s="425" t="e">
        <f t="shared" si="258"/>
        <v>#N/A</v>
      </c>
      <c r="FK99" s="425" t="e">
        <f t="shared" si="259"/>
        <v>#N/A</v>
      </c>
    </row>
    <row r="100" spans="1:167" x14ac:dyDescent="0.25">
      <c r="A100" s="374">
        <f t="shared" si="206"/>
        <v>1</v>
      </c>
      <c r="B100" s="377" t="str">
        <f>IFERROR(IF(ISERROR(CP129),"",CONCATENATE(ROUND(X_SHIFT_BP+IF(Tools!B$97&lt;=Tools!$D$47/2,-BF5,BF5),3),",",ROUND(WLS*$AP41,3)," ")),"")</f>
        <v/>
      </c>
      <c r="C100" s="377" t="str">
        <f>IFERROR(IF(ISERROR(CQ129),"",CONCATENATE(ROUND(X_SHIFT_BP+IF(Tools!C$97&lt;=Tools!$D$47/2,-BG5,BG5),3),",",ROUND(WLS*$AP41,3)," ")),"")</f>
        <v/>
      </c>
      <c r="D100" s="377" t="str">
        <f>IFERROR(IF(ISERROR(CR129),"",CONCATENATE(ROUND(X_SHIFT_BP+IF(Tools!D$97&lt;=Tools!$D$47/2,-BH5,BH5),3),",",ROUND(WLS*$AP41,3)," ")),"")</f>
        <v/>
      </c>
      <c r="E100" s="377" t="str">
        <f>IFERROR(IF(ISERROR(CS129),"",CONCATENATE(ROUND(X_SHIFT_BP+IF(Tools!E$97&lt;=Tools!$D$47/2,-BI5,BI5),3),",",ROUND(WLS*$AP41,3)," ")),"")</f>
        <v/>
      </c>
      <c r="F100" s="377" t="str">
        <f>IFERROR(IF(ISERROR(CT129),"",CONCATENATE(ROUND(X_SHIFT_BP+IF(Tools!F$97&lt;=Tools!$D$47/2,-BJ5,BJ5),3),",",ROUND(WLS*$AP41,3)," ")),"")</f>
        <v xml:space="preserve">154.395,1.8 </v>
      </c>
      <c r="G100" s="377" t="str">
        <f>IFERROR(IF(ISERROR(CU129),"",CONCATENATE(ROUND(X_SHIFT_BP+IF(Tools!G$97&lt;=Tools!$D$47/2,-BK5,BK5),3),",",ROUND(WLS*$AP41,3)," ")),"")</f>
        <v xml:space="preserve">153.135,1.8 </v>
      </c>
      <c r="H100" s="377" t="str">
        <f>IFERROR(IF(ISERROR(CV129),"",CONCATENATE(ROUND(X_SHIFT_BP+IF(Tools!H$97&lt;=Tools!$D$47/2,-BL5,BL5),3),",",ROUND(WLS*$AP41,3)," ")),"")</f>
        <v xml:space="preserve">151.355,1.8 </v>
      </c>
      <c r="I100" s="377" t="str">
        <f>IFERROR(IF(ISERROR(CW129),"",CONCATENATE(ROUND(X_SHIFT_BP+IF(Tools!I$97&lt;=Tools!$D$47/2,-BM5,BM5),3),",",ROUND(WLS*$AP41,3)," ")),"")</f>
        <v xml:space="preserve">149.345,1.8 </v>
      </c>
      <c r="J100" s="377" t="str">
        <f>IFERROR(IF(ISERROR(CX129),"",CONCATENATE(ROUND(X_SHIFT_BP+IF(Tools!J$97&lt;=Tools!$D$47/2,-BN5,BN5),3),",",ROUND(WLS*$AP41,3)," ")),"")</f>
        <v xml:space="preserve">147.095,1.8 </v>
      </c>
      <c r="K100" s="377" t="str">
        <f>IFERROR(IF(ISERROR(CY129),"",CONCATENATE(ROUND(X_SHIFT_BP+IF(Tools!K$97&lt;=Tools!$D$47/2,-BO5,BO5),3),",",ROUND(WLS*$AP41,3)," ")),"")</f>
        <v xml:space="preserve">145.175,1.8 </v>
      </c>
      <c r="L100" s="377" t="str">
        <f>IFERROR(IF(ISERROR(CZ129),"",CONCATENATE(ROUND(X_SHIFT_BP+IF(Tools!L$97&lt;=Tools!$D$47/2,-BP5,BP5),3),",",ROUND(WLS*$AP41,3)," ")),"")</f>
        <v xml:space="preserve">144.085,1.8 </v>
      </c>
      <c r="M100" s="377" t="str">
        <f>IFERROR(IF(ISERROR(DA129),"",CONCATENATE(ROUND(X_SHIFT_BP+IF(Tools!M$97&lt;=Tools!$D$47/2,-BQ5,BQ5),3),",",ROUND(WLS*$AP41,3)," ")),"")</f>
        <v xml:space="preserve">143.715,1.8 </v>
      </c>
      <c r="N100" s="377" t="str">
        <f>IFERROR(IF(ISERROR(DB129),"",CONCATENATE(ROUND(X_SHIFT_BP+IF(Tools!N$97&lt;=Tools!$D$47/2,-BR5,BR5),3),",",ROUND(WLS*$AP41,3)," ")),"")</f>
        <v xml:space="preserve">143.675,1.8 </v>
      </c>
      <c r="O100" s="377" t="str">
        <f>IFERROR(IF(ISERROR(DC129),"",CONCATENATE(ROUND(X_SHIFT_BP+IF(Tools!O$97&lt;=Tools!$D$47/2,-BS5,BS5),3),",",ROUND(WLS*$AP41,3)," ")),"")</f>
        <v xml:space="preserve">167.055,1.8 </v>
      </c>
      <c r="P100" s="377" t="str">
        <f>IFERROR(IF(ISERROR(DD129),"",CONCATENATE(ROUND(X_SHIFT_BP+IF(Tools!P$97&lt;=Tools!$D$47/2,-BT5,BT5),3),",",ROUND(WLS*$AP41,3)," ")),"")</f>
        <v xml:space="preserve">166.535,1.8 </v>
      </c>
      <c r="Q100" s="377" t="str">
        <f>IFERROR(IF(ISERROR(DE129),"",CONCATENATE(ROUND(X_SHIFT_BP+IF(Tools!Q$97&lt;=Tools!$D$47/2,-BU5,BU5),3),",",ROUND(WLS*$AP41,3)," ")),"")</f>
        <v xml:space="preserve">165.465,1.8 </v>
      </c>
      <c r="R100" s="377" t="str">
        <f>IFERROR(IF(ISERROR(DF129),"",CONCATENATE(ROUND(X_SHIFT_BP+IF(Tools!R$97&lt;=Tools!$D$47/2,-BV5,BV5),3),",",ROUND(WLS*$AP41,3)," ")),"")</f>
        <v xml:space="preserve">163.585,1.8 </v>
      </c>
      <c r="S100" s="377" t="str">
        <f>IFERROR(IF(ISERROR(DG129),"",CONCATENATE(ROUND(X_SHIFT_BP+IF(Tools!S$97&lt;=Tools!$D$47/2,-BW5,BW5),3),",",ROUND(WLS*$AP41,3)," ")),"")</f>
        <v xml:space="preserve">162.235,1.8 </v>
      </c>
      <c r="T100" s="377" t="str">
        <f>IFERROR(IF(ISERROR(DH129),"",CONCATENATE(ROUND(X_SHIFT_BP+IF(Tools!T$97&lt;=Tools!$D$47/2,-BX5,BX5),3),",",ROUND(WLS*$AP41,3)," ")),"")</f>
        <v xml:space="preserve">160.535,1.8 </v>
      </c>
      <c r="U100" s="377" t="str">
        <f>IFERROR(IF(ISERROR(DI129),"",CONCATENATE(ROUND(X_SHIFT_BP+IF(Tools!U$97&lt;=Tools!$D$47/2,-BY5,BY5),3),",",ROUND(WLS*$AP41,3)," ")),"")</f>
        <v xml:space="preserve">158.955,1.8 </v>
      </c>
      <c r="V100" s="377" t="str">
        <f>IFERROR(IF(ISERROR(DJ129),"",CONCATENATE(ROUND(X_SHIFT_BP+IF(Tools!V$97&lt;=Tools!$D$47/2,-BZ5,BZ5),3),",",ROUND(WLS*$AP41,3)," ")),"")</f>
        <v xml:space="preserve">157.665,1.8 </v>
      </c>
      <c r="W100" s="377" t="str">
        <f>IFERROR(IF(ISERROR(DK129),"",CONCATENATE(ROUND(X_SHIFT_BP+IF(Tools!W$97&lt;=Tools!$D$47/2,-CA5,CA5),3),",",ROUND(WLS*$AP41,3)," ")),"")</f>
        <v xml:space="preserve">157.135,1.8 </v>
      </c>
      <c r="X100" s="377" t="str">
        <f>IFERROR(IF(ISERROR(DL129),"",CONCATENATE(ROUND(X_SHIFT_BP+IF(Tools!X$97&lt;=Tools!$D$47/2,-CB5,CB5),3),",",ROUND(WLS*$AP41,3)," ")),"")</f>
        <v xml:space="preserve">156.705,1.8 </v>
      </c>
      <c r="Y100" s="377" t="str">
        <f>IFERROR(IF(ISERROR(DM129),"",CONCATENATE(ROUND(X_SHIFT_BP+IF(Tools!Y$97&lt;=Tools!$D$47/2,-CC5,CC5),3),",",ROUND(WLS*$AP41,3)," ")),"")</f>
        <v xml:space="preserve">156.295,1.8 </v>
      </c>
      <c r="Z100" s="377" t="str">
        <f>IFERROR(IF(ISERROR(DN129),"",CONCATENATE(ROUND(X_SHIFT_BP+IF(Tools!Z$97&lt;=Tools!$D$47/2,-CD5,CD5),3),",",ROUND(WLS*$AP41,3)," ")),"")</f>
        <v/>
      </c>
      <c r="AA100" s="129">
        <v>5</v>
      </c>
      <c r="AB100" s="245" t="str">
        <f t="shared" si="260"/>
        <v xml:space="preserve">Spline </v>
      </c>
      <c r="AC100" s="129" t="str">
        <v xml:space="preserve">155.435,7.8 </v>
      </c>
      <c r="AD100" s="245" t="str">
        <v/>
      </c>
      <c r="AE100" s="245" t="str">
        <v/>
      </c>
      <c r="AF100" s="245" t="str">
        <v/>
      </c>
      <c r="AG100" s="245" t="str">
        <v/>
      </c>
      <c r="AH100" s="245" t="str">
        <v/>
      </c>
      <c r="AI100" s="245" t="str">
        <v/>
      </c>
      <c r="AJ100" s="245" t="str">
        <v/>
      </c>
      <c r="AK100" s="245" t="str">
        <v xml:space="preserve">149.315,9 </v>
      </c>
      <c r="AL100" s="245" t="str">
        <v xml:space="preserve">146.635,10.1 </v>
      </c>
      <c r="AM100" s="245" t="str">
        <v xml:space="preserve">145.595,10.8 </v>
      </c>
      <c r="AN100" s="245" t="str">
        <v xml:space="preserve">144.105,12.6 </v>
      </c>
      <c r="AO100" s="245" t="str">
        <v xml:space="preserve">143.535,14.19 </v>
      </c>
      <c r="AP100" s="245" t="str">
        <v/>
      </c>
      <c r="AQ100" s="245" t="str">
        <v/>
      </c>
      <c r="AR100" s="245" t="str">
        <v/>
      </c>
      <c r="AS100" s="245" t="str">
        <v/>
      </c>
      <c r="AT100" s="245" t="str">
        <v/>
      </c>
      <c r="AU100" s="245" t="str">
        <v/>
      </c>
      <c r="AV100" s="245" t="str">
        <v/>
      </c>
      <c r="AW100" s="245" t="str">
        <v/>
      </c>
      <c r="AX100" s="245" t="str">
        <v/>
      </c>
      <c r="AY100" s="245" t="str">
        <v/>
      </c>
      <c r="AZ100" s="245" t="str">
        <v/>
      </c>
      <c r="BA100" s="245" t="str">
        <v/>
      </c>
      <c r="BB100" s="245" t="str">
        <v/>
      </c>
      <c r="BC100" s="376">
        <f>Tools!AD5</f>
        <v>1</v>
      </c>
      <c r="BD100" s="376">
        <f>IFERROR(Tools!AD5*STN_GAP,"")</f>
        <v>6.5849999999999991</v>
      </c>
      <c r="BE100" s="496" t="e">
        <f>IFERROR(IF(ISNUMBER(DE100),NA(),IF(AND($DF100&lt;&gt;0,$DG100&gt;BE$97),NA(),IF($BD100&gt;LBP/2,-(-Tools!AE5),-Tools!AE5))),NA())</f>
        <v>#N/A</v>
      </c>
      <c r="BF100" s="376" t="e">
        <f>IFERROR(IF(AND($DF100&lt;&gt;0,$DG100&gt;BF$97),NA(),IF($BD100&gt;LBP/2,-(-Tools!AF5),-Tools!AF5)),NA())</f>
        <v>#N/A</v>
      </c>
      <c r="BG100" s="376" t="e">
        <f>IFERROR(IF(AND($DF100&lt;&gt;0,$DG100&gt;BG$97),NA(),IF($BD100&gt;LBP/2,-(-Tools!AG5),-Tools!AG5)),NA())</f>
        <v>#N/A</v>
      </c>
      <c r="BH100" s="376" t="e">
        <f>IFERROR(IF(AND($DF100&lt;&gt;0,$DG100&gt;BH$97),NA(),IF($BD100&gt;LBP/2,-(-Tools!AH5),-Tools!AH5)),NA())</f>
        <v>#N/A</v>
      </c>
      <c r="BI100" s="376" t="e">
        <f>IFERROR(IF(AND($DF100&lt;&gt;0,$DG100&gt;BI$97),NA(),IF($BD100&gt;LBP/2,-(-Tools!AI5),-Tools!AI5)),NA())</f>
        <v>#N/A</v>
      </c>
      <c r="BJ100" s="376" t="e">
        <f>IFERROR(IF(AND($DF100&lt;&gt;0,$DG100&gt;BJ$97),NA(),IF($BD100&gt;LBP/2,-(-Tools!AJ5),-Tools!AJ5)),NA())</f>
        <v>#N/A</v>
      </c>
      <c r="BK100" s="376" t="e">
        <f>IFERROR(IF(AND($DF100&lt;&gt;0,$DG100&gt;BK$97),NA(),IF($BD100&gt;LBP/2,-(-Tools!AK5),-Tools!AK5)),NA())</f>
        <v>#N/A</v>
      </c>
      <c r="BL100" s="376">
        <f>IFERROR(IF(AND($DF100&lt;&gt;0,$DG100&gt;BL$97),NA(),IF($BD100&gt;LBP/2,-(-Tools!AL5),-Tools!AL5)),NA())</f>
        <v>-6.12</v>
      </c>
      <c r="BM100" s="376">
        <f>IFERROR(IF(AND($DF100&lt;&gt;0,$DG100&gt;BM$97),NA(),IF($BD100&gt;LBP/2,-(-Tools!AM5),-Tools!AM5)),NA())</f>
        <v>-8.8000000000000007</v>
      </c>
      <c r="BN100" s="376">
        <f>IFERROR(IF(AND($DF100&lt;&gt;0,$DG100&gt;BN$97),NA(),IF($BD100&gt;LBP/2,-(-Tools!AN5),-Tools!AN5)),NA())</f>
        <v>-9.84</v>
      </c>
      <c r="BO100" s="376">
        <f>IFERROR(IF(AND($DF100&lt;&gt;0,$DG100&gt;BO$97),NA(),IF($BD100&gt;LBP/2,-(-Tools!AO5),-Tools!AO5)),NA())</f>
        <v>-11.33</v>
      </c>
      <c r="BP100" s="376">
        <f>IFERROR(IF(AND($DF100&lt;&gt;0,$DG100&gt;BP$97),NA(),IF($BD100&gt;LBP/2,-(-Tools!AP5),-Tools!AP5)),NA())</f>
        <v>-11.9</v>
      </c>
      <c r="BQ100" s="376" t="e">
        <f>IFERROR(IF(AND($DF100&lt;&gt;0,$DG100&gt;BQ$97),NA(),IF($BD100&gt;LBP/2,-(-Tools!AQ5),-Tools!AQ5)),NA())</f>
        <v>#N/A</v>
      </c>
      <c r="BR100" s="376" t="e">
        <f>IFERROR(IF(AND($DF100&lt;&gt;0,$DG100&gt;BR$97),NA(),IF($BD100&gt;LBP/2,-(-Tools!AR5),-Tools!AR5)),NA())</f>
        <v>#N/A</v>
      </c>
      <c r="BS100" s="376" t="e">
        <f>IFERROR(IF(AND($DF100&lt;&gt;0,$DG100&gt;BS$97),NA(),IF($BD100&gt;LBP/2,-(-Tools!AS5),-Tools!AS5)),NA())</f>
        <v>#N/A</v>
      </c>
      <c r="BT100" s="376" t="e">
        <f>IFERROR(IF(AND($DF100&lt;&gt;0,$DG100&gt;BT$97),NA(),IF($BD100&gt;LBP/2,-(-Tools!AT5),-Tools!AT5)),NA())</f>
        <v>#N/A</v>
      </c>
      <c r="BU100" s="376" t="e">
        <f>IFERROR(IF(AND($DF100&lt;&gt;0,$DG100&gt;BU$97),NA(),IF($BD100&gt;LBP/2,-(-Tools!AU5),-Tools!AU5)),NA())</f>
        <v>#N/A</v>
      </c>
      <c r="BV100" s="376" t="e">
        <f>IFERROR(IF(AND($DF100&lt;&gt;0,$DG100&gt;BV$97),NA(),IF($BD100&gt;LBP/2,-(-Tools!AV5),-Tools!AV5)),NA())</f>
        <v>#N/A</v>
      </c>
      <c r="BW100" s="376" t="e">
        <f>IFERROR(IF(AND($DF100&lt;&gt;0,$DG100&gt;BW$97),NA(),IF($BD100&gt;LBP/2,-(-Tools!AW5),-Tools!AW5)),NA())</f>
        <v>#N/A</v>
      </c>
      <c r="BX100" s="376" t="e">
        <f>IFERROR(IF(AND($DF100&lt;&gt;0,$DG100&gt;BX$97),NA(),IF($BD100&gt;LBP/2,-(-Tools!AX5),-Tools!AX5)),NA())</f>
        <v>#N/A</v>
      </c>
      <c r="BY100" s="376" t="e">
        <f>IFERROR(IF(AND($DF100&lt;&gt;0,$DG100&gt;BY$97),NA(),IF($BD100&gt;LBP/2,-(-Tools!AY5),-Tools!AY5)),NA())</f>
        <v>#N/A</v>
      </c>
      <c r="BZ100" s="376" t="e">
        <f>IFERROR(IF(AND($DF100&lt;&gt;0,$DG100&gt;BZ$97),NA(),IF($BD100&gt;LBP/2,-(-Tools!AZ5),-Tools!AZ5)),NA())</f>
        <v>#N/A</v>
      </c>
      <c r="CA100" s="376" t="e">
        <f>IFERROR(IF(AND($DF100&lt;&gt;0,$DG100&gt;CA$97),NA(),IF($BD100&gt;LBP/2,-(-Tools!BA5),-Tools!BA5)),NA())</f>
        <v>#N/A</v>
      </c>
      <c r="CB100" s="376" t="e">
        <f>IFERROR(IF(AND($DF100&lt;&gt;0,$DG100&gt;CB$97),NA(),IF($BD100&gt;LBP/2,-(-Tools!BB5),-Tools!BB5)),NA())</f>
        <v>#N/A</v>
      </c>
      <c r="CC100" s="376" t="e">
        <f>IFERROR(IF(AND($DF100&lt;&gt;0,$DG100&gt;CC$97),NA(),IF($BD100&gt;LBP/2,-(-Tools!BC5),-Tools!BC5)),NA())</f>
        <v>#N/A</v>
      </c>
      <c r="CE100" s="425" t="b">
        <f t="shared" si="207"/>
        <v>1</v>
      </c>
      <c r="CF100" s="425" t="b">
        <f t="shared" si="208"/>
        <v>1</v>
      </c>
      <c r="CG100" s="425" t="b">
        <f t="shared" si="209"/>
        <v>1</v>
      </c>
      <c r="CH100" s="425" t="b">
        <f t="shared" si="210"/>
        <v>1</v>
      </c>
      <c r="CI100" s="425" t="b">
        <f t="shared" si="211"/>
        <v>1</v>
      </c>
      <c r="CJ100" s="425" t="b">
        <f t="shared" si="212"/>
        <v>1</v>
      </c>
      <c r="CK100" s="425" t="b">
        <f t="shared" si="213"/>
        <v>0</v>
      </c>
      <c r="CL100" s="425" t="b">
        <f t="shared" si="214"/>
        <v>0</v>
      </c>
      <c r="CM100" s="425" t="b">
        <f t="shared" si="215"/>
        <v>0</v>
      </c>
      <c r="CN100" s="425" t="b">
        <f t="shared" si="216"/>
        <v>0</v>
      </c>
      <c r="CO100" s="425" t="b">
        <f t="shared" si="217"/>
        <v>0</v>
      </c>
      <c r="CP100" s="425" t="b">
        <f t="shared" si="218"/>
        <v>0</v>
      </c>
      <c r="CQ100" s="425" t="b">
        <f t="shared" si="219"/>
        <v>0</v>
      </c>
      <c r="CR100" s="425" t="b">
        <f t="shared" si="220"/>
        <v>0</v>
      </c>
      <c r="CS100" s="425" t="b">
        <f t="shared" si="221"/>
        <v>0</v>
      </c>
      <c r="CT100" s="425" t="b">
        <f t="shared" si="222"/>
        <v>0</v>
      </c>
      <c r="CU100" s="425" t="b">
        <f t="shared" si="223"/>
        <v>0</v>
      </c>
      <c r="CV100" s="425" t="b">
        <f t="shared" si="224"/>
        <v>0</v>
      </c>
      <c r="CW100" s="425" t="b">
        <f t="shared" si="225"/>
        <v>0</v>
      </c>
      <c r="CX100" s="425" t="b">
        <f t="shared" si="226"/>
        <v>0</v>
      </c>
      <c r="CY100" s="425" t="b">
        <f t="shared" si="227"/>
        <v>0</v>
      </c>
      <c r="CZ100" s="425" t="b">
        <f t="shared" si="228"/>
        <v>0</v>
      </c>
      <c r="DA100" s="425" t="b">
        <f t="shared" si="229"/>
        <v>0</v>
      </c>
      <c r="DB100" s="425" t="b">
        <f t="shared" si="230"/>
        <v>0</v>
      </c>
      <c r="DC100" s="425"/>
      <c r="DD100" s="425">
        <f t="shared" si="261"/>
        <v>6</v>
      </c>
      <c r="DE100" s="425">
        <f t="shared" si="231"/>
        <v>4.333333333333333</v>
      </c>
      <c r="DF100" s="425">
        <f t="shared" si="232"/>
        <v>7.2</v>
      </c>
      <c r="DG100" s="425">
        <f t="shared" si="262"/>
        <v>9</v>
      </c>
      <c r="DH100" s="425">
        <f t="shared" si="233"/>
        <v>1</v>
      </c>
      <c r="DI100" s="425"/>
      <c r="DJ100" s="425">
        <f t="shared" si="263"/>
        <v>0</v>
      </c>
      <c r="DK100" s="425" t="e">
        <f t="shared" si="180"/>
        <v>#N/A</v>
      </c>
      <c r="DL100" s="425" t="e">
        <f t="shared" si="181"/>
        <v>#N/A</v>
      </c>
      <c r="DM100" s="425" t="e">
        <f t="shared" si="182"/>
        <v>#N/A</v>
      </c>
      <c r="DN100" s="425" t="e">
        <f t="shared" si="183"/>
        <v>#N/A</v>
      </c>
      <c r="DO100" s="425" t="e">
        <f t="shared" si="184"/>
        <v>#N/A</v>
      </c>
      <c r="DP100" s="425" t="e">
        <f t="shared" si="185"/>
        <v>#N/A</v>
      </c>
      <c r="DQ100" s="425" t="e">
        <f t="shared" si="186"/>
        <v>#N/A</v>
      </c>
      <c r="DR100" s="425">
        <f t="shared" si="187"/>
        <v>-6.12</v>
      </c>
      <c r="DS100" s="425">
        <f t="shared" si="188"/>
        <v>-8.8000000000000007</v>
      </c>
      <c r="DT100" s="425">
        <f t="shared" si="189"/>
        <v>-9.84</v>
      </c>
      <c r="DU100" s="425">
        <f t="shared" si="190"/>
        <v>-11.33</v>
      </c>
      <c r="DV100" s="425">
        <f t="shared" si="191"/>
        <v>-11.9</v>
      </c>
      <c r="DW100" s="425" t="e">
        <f t="shared" si="192"/>
        <v>#N/A</v>
      </c>
      <c r="DX100" s="425" t="e">
        <f t="shared" si="193"/>
        <v>#N/A</v>
      </c>
      <c r="DY100" s="425" t="e">
        <f t="shared" si="194"/>
        <v>#N/A</v>
      </c>
      <c r="DZ100" s="425" t="e">
        <f t="shared" si="195"/>
        <v>#N/A</v>
      </c>
      <c r="EA100" s="425" t="e">
        <f t="shared" si="196"/>
        <v>#N/A</v>
      </c>
      <c r="EB100" s="425" t="e">
        <f t="shared" si="197"/>
        <v>#N/A</v>
      </c>
      <c r="EC100" s="425" t="e">
        <f t="shared" si="198"/>
        <v>#N/A</v>
      </c>
      <c r="ED100" s="425" t="e">
        <f t="shared" si="199"/>
        <v>#N/A</v>
      </c>
      <c r="EE100" s="425" t="e">
        <f t="shared" si="200"/>
        <v>#N/A</v>
      </c>
      <c r="EF100" s="425" t="e">
        <f t="shared" si="201"/>
        <v>#N/A</v>
      </c>
      <c r="EG100" s="425" t="e">
        <f t="shared" si="202"/>
        <v>#N/A</v>
      </c>
      <c r="EH100" s="425" t="e">
        <f t="shared" si="203"/>
        <v>#N/A</v>
      </c>
      <c r="EI100" s="425" t="e">
        <f t="shared" si="204"/>
        <v>#N/A</v>
      </c>
      <c r="EJ100" s="425"/>
      <c r="EK100" s="425"/>
      <c r="EL100" s="425">
        <f t="shared" si="234"/>
        <v>7.8</v>
      </c>
      <c r="EM100" s="425">
        <f t="shared" si="235"/>
        <v>0</v>
      </c>
      <c r="EN100" s="425">
        <f t="shared" si="236"/>
        <v>0.9</v>
      </c>
      <c r="EO100" s="425">
        <f t="shared" si="237"/>
        <v>1.8</v>
      </c>
      <c r="EP100" s="425">
        <f t="shared" si="238"/>
        <v>2.7</v>
      </c>
      <c r="EQ100" s="425">
        <f t="shared" si="239"/>
        <v>3.6</v>
      </c>
      <c r="ER100" s="425">
        <f t="shared" si="240"/>
        <v>5.4</v>
      </c>
      <c r="ES100" s="425">
        <f t="shared" si="241"/>
        <v>7.2</v>
      </c>
      <c r="ET100" s="425">
        <f t="shared" si="242"/>
        <v>9</v>
      </c>
      <c r="EU100" s="425">
        <f t="shared" si="243"/>
        <v>10.1</v>
      </c>
      <c r="EV100" s="425">
        <f t="shared" si="244"/>
        <v>10.8</v>
      </c>
      <c r="EW100" s="425">
        <f t="shared" si="245"/>
        <v>12.6</v>
      </c>
      <c r="EX100" s="425">
        <f t="shared" si="246"/>
        <v>14.19</v>
      </c>
      <c r="EY100" s="425" t="e">
        <f t="shared" si="247"/>
        <v>#N/A</v>
      </c>
      <c r="EZ100" s="425" t="e">
        <f t="shared" si="248"/>
        <v>#N/A</v>
      </c>
      <c r="FA100" s="425" t="e">
        <f t="shared" si="249"/>
        <v>#N/A</v>
      </c>
      <c r="FB100" s="425" t="e">
        <f t="shared" si="250"/>
        <v>#N/A</v>
      </c>
      <c r="FC100" s="425" t="e">
        <f t="shared" si="251"/>
        <v>#N/A</v>
      </c>
      <c r="FD100" s="425" t="e">
        <f t="shared" si="252"/>
        <v>#N/A</v>
      </c>
      <c r="FE100" s="425" t="e">
        <f t="shared" si="253"/>
        <v>#N/A</v>
      </c>
      <c r="FF100" s="425" t="e">
        <f t="shared" si="254"/>
        <v>#N/A</v>
      </c>
      <c r="FG100" s="425" t="e">
        <f t="shared" si="255"/>
        <v>#N/A</v>
      </c>
      <c r="FH100" s="425" t="e">
        <f t="shared" si="256"/>
        <v>#N/A</v>
      </c>
      <c r="FI100" s="425" t="e">
        <f t="shared" si="257"/>
        <v>#N/A</v>
      </c>
      <c r="FJ100" s="425" t="e">
        <f t="shared" si="258"/>
        <v>#N/A</v>
      </c>
      <c r="FK100" s="425" t="e">
        <f t="shared" si="259"/>
        <v>#N/A</v>
      </c>
    </row>
    <row r="101" spans="1:167" x14ac:dyDescent="0.25">
      <c r="A101" s="374">
        <f t="shared" si="206"/>
        <v>1.5</v>
      </c>
      <c r="B101" s="377" t="str">
        <f>IFERROR(IF(ISERROR(CP130),"",CONCATENATE(ROUND(X_SHIFT_BP+IF(Tools!B$97&lt;=Tools!$D$47/2,-BF6,BF6),3),",",ROUND(WLS*$AP42,3)," ")),"")</f>
        <v/>
      </c>
      <c r="C101" s="377" t="str">
        <f>IFERROR(IF(ISERROR(CQ130),"",CONCATENATE(ROUND(X_SHIFT_BP+IF(Tools!C$97&lt;=Tools!$D$47/2,-BG6,BG6),3),",",ROUND(WLS*$AP42,3)," ")),"")</f>
        <v/>
      </c>
      <c r="D101" s="377" t="str">
        <f>IFERROR(IF(ISERROR(CR130),"",CONCATENATE(ROUND(X_SHIFT_BP+IF(Tools!D$97&lt;=Tools!$D$47/2,-BH6,BH6),3),",",ROUND(WLS*$AP42,3)," ")),"")</f>
        <v/>
      </c>
      <c r="E101" s="377" t="str">
        <f>IFERROR(IF(ISERROR(CS130),"",CONCATENATE(ROUND(X_SHIFT_BP+IF(Tools!E$97&lt;=Tools!$D$47/2,-BI6,BI6),3),",",ROUND(WLS*$AP42,3)," ")),"")</f>
        <v xml:space="preserve">155.035,2.7 </v>
      </c>
      <c r="F101" s="377" t="str">
        <f>IFERROR(IF(ISERROR(CT130),"",CONCATENATE(ROUND(X_SHIFT_BP+IF(Tools!F$97&lt;=Tools!$D$47/2,-BJ6,BJ6),3),",",ROUND(WLS*$AP42,3)," ")),"")</f>
        <v xml:space="preserve">153.935,2.7 </v>
      </c>
      <c r="G101" s="377" t="str">
        <f>IFERROR(IF(ISERROR(CU130),"",CONCATENATE(ROUND(X_SHIFT_BP+IF(Tools!G$97&lt;=Tools!$D$47/2,-BK6,BK6),3),",",ROUND(WLS*$AP42,3)," ")),"")</f>
        <v xml:space="preserve">152.735,2.7 </v>
      </c>
      <c r="H101" s="377" t="str">
        <f>IFERROR(IF(ISERROR(CV130),"",CONCATENATE(ROUND(X_SHIFT_BP+IF(Tools!H$97&lt;=Tools!$D$47/2,-BL6,BL6),3),",",ROUND(WLS*$AP42,3)," ")),"")</f>
        <v xml:space="preserve">150.635,2.7 </v>
      </c>
      <c r="I101" s="377" t="str">
        <f>IFERROR(IF(ISERROR(CW130),"",CONCATENATE(ROUND(X_SHIFT_BP+IF(Tools!I$97&lt;=Tools!$D$47/2,-BM6,BM6),3),",",ROUND(WLS*$AP42,3)," ")),"")</f>
        <v xml:space="preserve">148.065,2.7 </v>
      </c>
      <c r="J101" s="377" t="str">
        <f>IFERROR(IF(ISERROR(CX130),"",CONCATENATE(ROUND(X_SHIFT_BP+IF(Tools!J$97&lt;=Tools!$D$47/2,-BN6,BN6),3),",",ROUND(WLS*$AP42,3)," ")),"")</f>
        <v xml:space="preserve">145.615,2.7 </v>
      </c>
      <c r="K101" s="377" t="str">
        <f>IFERROR(IF(ISERROR(CY130),"",CONCATENATE(ROUND(X_SHIFT_BP+IF(Tools!K$97&lt;=Tools!$D$47/2,-BO6,BO6),3),",",ROUND(WLS*$AP42,3)," ")),"")</f>
        <v xml:space="preserve">144.185,2.7 </v>
      </c>
      <c r="L101" s="377" t="str">
        <f>IFERROR(IF(ISERROR(CZ130),"",CONCATENATE(ROUND(X_SHIFT_BP+IF(Tools!L$97&lt;=Tools!$D$47/2,-BP6,BP6),3),",",ROUND(WLS*$AP42,3)," ")),"")</f>
        <v xml:space="preserve">143.535,2.7 </v>
      </c>
      <c r="M101" s="377" t="str">
        <f>IFERROR(IF(ISERROR(DA130),"",CONCATENATE(ROUND(X_SHIFT_BP+IF(Tools!M$97&lt;=Tools!$D$47/2,-BQ6,BQ6),3),",",ROUND(WLS*$AP42,3)," ")),"")</f>
        <v xml:space="preserve">143.315,2.7 </v>
      </c>
      <c r="N101" s="377" t="str">
        <f>IFERROR(IF(ISERROR(DB130),"",CONCATENATE(ROUND(X_SHIFT_BP+IF(Tools!N$97&lt;=Tools!$D$47/2,-BR6,BR6),3),",",ROUND(WLS*$AP42,3)," ")),"")</f>
        <v xml:space="preserve">143.295,2.7 </v>
      </c>
      <c r="O101" s="377" t="str">
        <f>IFERROR(IF(ISERROR(DC130),"",CONCATENATE(ROUND(X_SHIFT_BP+IF(Tools!O$97&lt;=Tools!$D$47/2,-BS6,BS6),3),",",ROUND(WLS*$AP42,3)," ")),"")</f>
        <v xml:space="preserve">167.475,2.7 </v>
      </c>
      <c r="P101" s="377" t="str">
        <f>IFERROR(IF(ISERROR(DD130),"",CONCATENATE(ROUND(X_SHIFT_BP+IF(Tools!P$97&lt;=Tools!$D$47/2,-BT6,BT6),3),",",ROUND(WLS*$AP42,3)," ")),"")</f>
        <v xml:space="preserve">167.065,2.7 </v>
      </c>
      <c r="Q101" s="377" t="str">
        <f>IFERROR(IF(ISERROR(DE130),"",CONCATENATE(ROUND(X_SHIFT_BP+IF(Tools!Q$97&lt;=Tools!$D$47/2,-BU6,BU6),3),",",ROUND(WLS*$AP42,3)," ")),"")</f>
        <v xml:space="preserve">166.115,2.7 </v>
      </c>
      <c r="R101" s="377" t="str">
        <f>IFERROR(IF(ISERROR(DF130),"",CONCATENATE(ROUND(X_SHIFT_BP+IF(Tools!R$97&lt;=Tools!$D$47/2,-BV6,BV6),3),",",ROUND(WLS*$AP42,3)," ")),"")</f>
        <v xml:space="preserve">164.685,2.7 </v>
      </c>
      <c r="S101" s="377" t="str">
        <f>IFERROR(IF(ISERROR(DG130),"",CONCATENATE(ROUND(X_SHIFT_BP+IF(Tools!S$97&lt;=Tools!$D$47/2,-BW6,BW6),3),",",ROUND(WLS*$AP42,3)," ")),"")</f>
        <v xml:space="preserve">162.975,2.7 </v>
      </c>
      <c r="T101" s="377" t="str">
        <f>IFERROR(IF(ISERROR(DH130),"",CONCATENATE(ROUND(X_SHIFT_BP+IF(Tools!T$97&lt;=Tools!$D$47/2,-BX6,BX6),3),",",ROUND(WLS*$AP42,3)," ")),"")</f>
        <v xml:space="preserve">161.175,2.7 </v>
      </c>
      <c r="U101" s="377" t="str">
        <f>IFERROR(IF(ISERROR(DI130),"",CONCATENATE(ROUND(X_SHIFT_BP+IF(Tools!U$97&lt;=Tools!$D$47/2,-BY6,BY6),3),",",ROUND(WLS*$AP42,3)," ")),"")</f>
        <v xml:space="preserve">159.495,2.7 </v>
      </c>
      <c r="V101" s="377" t="str">
        <f>IFERROR(IF(ISERROR(DJ130),"",CONCATENATE(ROUND(X_SHIFT_BP+IF(Tools!V$97&lt;=Tools!$D$47/2,-BZ6,BZ6),3),",",ROUND(WLS*$AP42,3)," ")),"")</f>
        <v xml:space="preserve">158.125,2.7 </v>
      </c>
      <c r="W101" s="377" t="str">
        <f>IFERROR(IF(ISERROR(DK130),"",CONCATENATE(ROUND(X_SHIFT_BP+IF(Tools!W$97&lt;=Tools!$D$47/2,-CA6,CA6),3),",",ROUND(WLS*$AP42,3)," ")),"")</f>
        <v xml:space="preserve">157.575,2.7 </v>
      </c>
      <c r="X101" s="377" t="str">
        <f>IFERROR(IF(ISERROR(DL130),"",CONCATENATE(ROUND(X_SHIFT_BP+IF(Tools!X$97&lt;=Tools!$D$47/2,-CB6,CB6),3),",",ROUND(WLS*$AP42,3)," ")),"")</f>
        <v xml:space="preserve">157.115,2.7 </v>
      </c>
      <c r="Y101" s="377" t="str">
        <f>IFERROR(IF(ISERROR(DM130),"",CONCATENATE(ROUND(X_SHIFT_BP+IF(Tools!Y$97&lt;=Tools!$D$47/2,-CC6,CC6),3),",",ROUND(WLS*$AP42,3)," ")),"")</f>
        <v xml:space="preserve">156.725,2.7 </v>
      </c>
      <c r="Z101" s="377" t="str">
        <f>IFERROR(IF(ISERROR(DN130),"",CONCATENATE(ROUND(X_SHIFT_BP+IF(Tools!Z$97&lt;=Tools!$D$47/2,-CD6,CD6),3),",",ROUND(WLS*$AP42,3)," ")),"")</f>
        <v xml:space="preserve">156.195,2.7 </v>
      </c>
      <c r="AA101" s="129">
        <v>9</v>
      </c>
      <c r="AB101" s="245" t="str">
        <f t="shared" si="260"/>
        <v xml:space="preserve">Spline </v>
      </c>
      <c r="AC101" s="129" t="str">
        <v xml:space="preserve">155.435,1.95 </v>
      </c>
      <c r="AD101" s="245" t="str">
        <v/>
      </c>
      <c r="AE101" s="245" t="str">
        <v/>
      </c>
      <c r="AF101" s="245" t="str">
        <v/>
      </c>
      <c r="AG101" s="245" t="str">
        <v xml:space="preserve">155.035,2.7 </v>
      </c>
      <c r="AH101" s="245" t="str">
        <v xml:space="preserve">154.735,3.6 </v>
      </c>
      <c r="AI101" s="245" t="str">
        <v xml:space="preserve">154.235,5.4 </v>
      </c>
      <c r="AJ101" s="245" t="str">
        <v xml:space="preserve">153.035,7.2 </v>
      </c>
      <c r="AK101" s="245" t="str">
        <v xml:space="preserve">146.885,9 </v>
      </c>
      <c r="AL101" s="245" t="str">
        <v xml:space="preserve">145.295,10.1 </v>
      </c>
      <c r="AM101" s="245" t="str">
        <v xml:space="preserve">144.655,10.8 </v>
      </c>
      <c r="AN101" s="245" t="str">
        <v xml:space="preserve">143.665,12.6 </v>
      </c>
      <c r="AO101" s="245" t="str">
        <v xml:space="preserve">143.335,14.19 </v>
      </c>
      <c r="AP101" s="245" t="str">
        <v/>
      </c>
      <c r="AQ101" s="245" t="str">
        <v/>
      </c>
      <c r="AR101" s="245" t="str">
        <v/>
      </c>
      <c r="AS101" s="245" t="str">
        <v/>
      </c>
      <c r="AT101" s="245" t="str">
        <v/>
      </c>
      <c r="AU101" s="245" t="str">
        <v/>
      </c>
      <c r="AV101" s="245" t="str">
        <v/>
      </c>
      <c r="AW101" s="245" t="str">
        <v/>
      </c>
      <c r="AX101" s="245" t="str">
        <v/>
      </c>
      <c r="AY101" s="245" t="str">
        <v/>
      </c>
      <c r="AZ101" s="245" t="str">
        <v/>
      </c>
      <c r="BA101" s="245" t="str">
        <v/>
      </c>
      <c r="BB101" s="245" t="str">
        <v/>
      </c>
      <c r="BC101" s="376">
        <f>Tools!AD6</f>
        <v>1.5</v>
      </c>
      <c r="BD101" s="376">
        <f>IFERROR(Tools!AD6*STN_GAP,"")</f>
        <v>9.8774999999999977</v>
      </c>
      <c r="BE101" s="496" t="e">
        <f>IFERROR(IF(ISNUMBER(DE101),NA(),IF(AND($DF101&lt;&gt;0,$DG101&gt;BE$97),NA(),IF($BD101&gt;LBP/2,-(-Tools!AE6),-Tools!AE6))),NA())</f>
        <v>#N/A</v>
      </c>
      <c r="BF101" s="376" t="e">
        <f>IFERROR(IF(AND($DF101&lt;&gt;0,$DG101&gt;BF$97),NA(),IF($BD101&gt;LBP/2,-(-Tools!AF6),-Tools!AF6)),NA())</f>
        <v>#N/A</v>
      </c>
      <c r="BG101" s="376" t="e">
        <f>IFERROR(IF(AND($DF101&lt;&gt;0,$DG101&gt;BG$97),NA(),IF($BD101&gt;LBP/2,-(-Tools!AG6),-Tools!AG6)),NA())</f>
        <v>#N/A</v>
      </c>
      <c r="BH101" s="376">
        <f>IFERROR(IF(AND($DF101&lt;&gt;0,$DG101&gt;BH$97),NA(),IF($BD101&gt;LBP/2,-(-Tools!AH6),-Tools!AH6)),NA())</f>
        <v>-0.4</v>
      </c>
      <c r="BI101" s="376">
        <f>IFERROR(IF(AND($DF101&lt;&gt;0,$DG101&gt;BI$97),NA(),IF($BD101&gt;LBP/2,-(-Tools!AI6),-Tools!AI6)),NA())</f>
        <v>-0.7</v>
      </c>
      <c r="BJ101" s="376">
        <f>IFERROR(IF(AND($DF101&lt;&gt;0,$DG101&gt;BJ$97),NA(),IF($BD101&gt;LBP/2,-(-Tools!AJ6),-Tools!AJ6)),NA())</f>
        <v>-1.2</v>
      </c>
      <c r="BK101" s="376">
        <f>IFERROR(IF(AND($DF101&lt;&gt;0,$DG101&gt;BK$97),NA(),IF($BD101&gt;LBP/2,-(-Tools!AK6),-Tools!AK6)),NA())</f>
        <v>-2.4</v>
      </c>
      <c r="BL101" s="376">
        <f>IFERROR(IF(AND($DF101&lt;&gt;0,$DG101&gt;BL$97),NA(),IF($BD101&gt;LBP/2,-(-Tools!AL6),-Tools!AL6)),NA())</f>
        <v>-8.5500000000000007</v>
      </c>
      <c r="BM101" s="376">
        <f>IFERROR(IF(AND($DF101&lt;&gt;0,$DG101&gt;BM$97),NA(),IF($BD101&gt;LBP/2,-(-Tools!AM6),-Tools!AM6)),NA())</f>
        <v>-10.14</v>
      </c>
      <c r="BN101" s="376">
        <f>IFERROR(IF(AND($DF101&lt;&gt;0,$DG101&gt;BN$97),NA(),IF($BD101&gt;LBP/2,-(-Tools!AN6),-Tools!AN6)),NA())</f>
        <v>-10.78</v>
      </c>
      <c r="BO101" s="376">
        <f>IFERROR(IF(AND($DF101&lt;&gt;0,$DG101&gt;BO$97),NA(),IF($BD101&gt;LBP/2,-(-Tools!AO6),-Tools!AO6)),NA())</f>
        <v>-11.77</v>
      </c>
      <c r="BP101" s="376">
        <f>IFERROR(IF(AND($DF101&lt;&gt;0,$DG101&gt;BP$97),NA(),IF($BD101&gt;LBP/2,-(-Tools!AP6),-Tools!AP6)),NA())</f>
        <v>-12.1</v>
      </c>
      <c r="BQ101" s="376" t="e">
        <f>IFERROR(IF(AND($DF101&lt;&gt;0,$DG101&gt;BQ$97),NA(),IF($BD101&gt;LBP/2,-(-Tools!AQ6),-Tools!AQ6)),NA())</f>
        <v>#N/A</v>
      </c>
      <c r="BR101" s="376" t="e">
        <f>IFERROR(IF(AND($DF101&lt;&gt;0,$DG101&gt;BR$97),NA(),IF($BD101&gt;LBP/2,-(-Tools!AR6),-Tools!AR6)),NA())</f>
        <v>#N/A</v>
      </c>
      <c r="BS101" s="376" t="e">
        <f>IFERROR(IF(AND($DF101&lt;&gt;0,$DG101&gt;BS$97),NA(),IF($BD101&gt;LBP/2,-(-Tools!AS6),-Tools!AS6)),NA())</f>
        <v>#N/A</v>
      </c>
      <c r="BT101" s="376" t="e">
        <f>IFERROR(IF(AND($DF101&lt;&gt;0,$DG101&gt;BT$97),NA(),IF($BD101&gt;LBP/2,-(-Tools!AT6),-Tools!AT6)),NA())</f>
        <v>#N/A</v>
      </c>
      <c r="BU101" s="376" t="e">
        <f>IFERROR(IF(AND($DF101&lt;&gt;0,$DG101&gt;BU$97),NA(),IF($BD101&gt;LBP/2,-(-Tools!AU6),-Tools!AU6)),NA())</f>
        <v>#N/A</v>
      </c>
      <c r="BV101" s="376" t="e">
        <f>IFERROR(IF(AND($DF101&lt;&gt;0,$DG101&gt;BV$97),NA(),IF($BD101&gt;LBP/2,-(-Tools!AV6),-Tools!AV6)),NA())</f>
        <v>#N/A</v>
      </c>
      <c r="BW101" s="376" t="e">
        <f>IFERROR(IF(AND($DF101&lt;&gt;0,$DG101&gt;BW$97),NA(),IF($BD101&gt;LBP/2,-(-Tools!AW6),-Tools!AW6)),NA())</f>
        <v>#N/A</v>
      </c>
      <c r="BX101" s="376" t="e">
        <f>IFERROR(IF(AND($DF101&lt;&gt;0,$DG101&gt;BX$97),NA(),IF($BD101&gt;LBP/2,-(-Tools!AX6),-Tools!AX6)),NA())</f>
        <v>#N/A</v>
      </c>
      <c r="BY101" s="376" t="e">
        <f>IFERROR(IF(AND($DF101&lt;&gt;0,$DG101&gt;BY$97),NA(),IF($BD101&gt;LBP/2,-(-Tools!AY6),-Tools!AY6)),NA())</f>
        <v>#N/A</v>
      </c>
      <c r="BZ101" s="376" t="e">
        <f>IFERROR(IF(AND($DF101&lt;&gt;0,$DG101&gt;BZ$97),NA(),IF($BD101&gt;LBP/2,-(-Tools!AZ6),-Tools!AZ6)),NA())</f>
        <v>#N/A</v>
      </c>
      <c r="CA101" s="376" t="e">
        <f>IFERROR(IF(AND($DF101&lt;&gt;0,$DG101&gt;CA$97),NA(),IF($BD101&gt;LBP/2,-(-Tools!BA6),-Tools!BA6)),NA())</f>
        <v>#N/A</v>
      </c>
      <c r="CB101" s="376" t="e">
        <f>IFERROR(IF(AND($DF101&lt;&gt;0,$DG101&gt;CB$97),NA(),IF($BD101&gt;LBP/2,-(-Tools!BB6),-Tools!BB6)),NA())</f>
        <v>#N/A</v>
      </c>
      <c r="CC101" s="376" t="e">
        <f>IFERROR(IF(AND($DF101&lt;&gt;0,$DG101&gt;CC$97),NA(),IF($BD101&gt;LBP/2,-(-Tools!BC6),-Tools!BC6)),NA())</f>
        <v>#N/A</v>
      </c>
      <c r="CE101" s="425" t="b">
        <f t="shared" si="207"/>
        <v>1</v>
      </c>
      <c r="CF101" s="425" t="b">
        <f t="shared" si="208"/>
        <v>1</v>
      </c>
      <c r="CG101" s="425" t="b">
        <f t="shared" si="209"/>
        <v>0</v>
      </c>
      <c r="CH101" s="425" t="b">
        <f t="shared" si="210"/>
        <v>0</v>
      </c>
      <c r="CI101" s="425" t="b">
        <f t="shared" si="211"/>
        <v>0</v>
      </c>
      <c r="CJ101" s="425" t="b">
        <f t="shared" si="212"/>
        <v>0</v>
      </c>
      <c r="CK101" s="425" t="b">
        <f t="shared" si="213"/>
        <v>0</v>
      </c>
      <c r="CL101" s="425" t="b">
        <f t="shared" si="214"/>
        <v>0</v>
      </c>
      <c r="CM101" s="425" t="b">
        <f t="shared" si="215"/>
        <v>0</v>
      </c>
      <c r="CN101" s="425" t="b">
        <f t="shared" si="216"/>
        <v>0</v>
      </c>
      <c r="CO101" s="425" t="b">
        <f t="shared" si="217"/>
        <v>0</v>
      </c>
      <c r="CP101" s="425" t="b">
        <f t="shared" si="218"/>
        <v>0</v>
      </c>
      <c r="CQ101" s="425" t="b">
        <f t="shared" si="219"/>
        <v>0</v>
      </c>
      <c r="CR101" s="425" t="b">
        <f t="shared" si="220"/>
        <v>0</v>
      </c>
      <c r="CS101" s="425" t="b">
        <f t="shared" si="221"/>
        <v>0</v>
      </c>
      <c r="CT101" s="425" t="b">
        <f t="shared" si="222"/>
        <v>0</v>
      </c>
      <c r="CU101" s="425" t="b">
        <f t="shared" si="223"/>
        <v>0</v>
      </c>
      <c r="CV101" s="425" t="b">
        <f t="shared" si="224"/>
        <v>0</v>
      </c>
      <c r="CW101" s="425" t="b">
        <f t="shared" si="225"/>
        <v>0</v>
      </c>
      <c r="CX101" s="425" t="b">
        <f t="shared" si="226"/>
        <v>0</v>
      </c>
      <c r="CY101" s="425" t="b">
        <f t="shared" si="227"/>
        <v>0</v>
      </c>
      <c r="CZ101" s="425" t="b">
        <f t="shared" si="228"/>
        <v>0</v>
      </c>
      <c r="DA101" s="425" t="b">
        <f t="shared" si="229"/>
        <v>0</v>
      </c>
      <c r="DB101" s="425" t="b">
        <f t="shared" si="230"/>
        <v>0</v>
      </c>
      <c r="DC101" s="425"/>
      <c r="DD101" s="425">
        <f t="shared" si="261"/>
        <v>2</v>
      </c>
      <c r="DE101" s="425">
        <f t="shared" si="231"/>
        <v>1.0833333333333333</v>
      </c>
      <c r="DF101" s="425">
        <f t="shared" si="232"/>
        <v>1.8</v>
      </c>
      <c r="DG101" s="425">
        <f t="shared" si="262"/>
        <v>2.7</v>
      </c>
      <c r="DH101" s="425">
        <f t="shared" si="233"/>
        <v>1.5</v>
      </c>
      <c r="DI101" s="425"/>
      <c r="DJ101" s="425">
        <f t="shared" si="263"/>
        <v>0</v>
      </c>
      <c r="DK101" s="425" t="e">
        <f t="shared" si="180"/>
        <v>#N/A</v>
      </c>
      <c r="DL101" s="425" t="e">
        <f t="shared" si="181"/>
        <v>#N/A</v>
      </c>
      <c r="DM101" s="425" t="e">
        <f t="shared" si="182"/>
        <v>#N/A</v>
      </c>
      <c r="DN101" s="425">
        <f t="shared" si="183"/>
        <v>-0.4</v>
      </c>
      <c r="DO101" s="425">
        <f t="shared" si="184"/>
        <v>-0.7</v>
      </c>
      <c r="DP101" s="425">
        <f t="shared" si="185"/>
        <v>-1.2</v>
      </c>
      <c r="DQ101" s="425">
        <f t="shared" si="186"/>
        <v>-2.4</v>
      </c>
      <c r="DR101" s="425">
        <f t="shared" si="187"/>
        <v>-8.5500000000000007</v>
      </c>
      <c r="DS101" s="425">
        <f t="shared" si="188"/>
        <v>-10.14</v>
      </c>
      <c r="DT101" s="425">
        <f t="shared" si="189"/>
        <v>-10.78</v>
      </c>
      <c r="DU101" s="425">
        <f t="shared" si="190"/>
        <v>-11.77</v>
      </c>
      <c r="DV101" s="425">
        <f t="shared" si="191"/>
        <v>-12.1</v>
      </c>
      <c r="DW101" s="425" t="e">
        <f t="shared" si="192"/>
        <v>#N/A</v>
      </c>
      <c r="DX101" s="425" t="e">
        <f t="shared" si="193"/>
        <v>#N/A</v>
      </c>
      <c r="DY101" s="425" t="e">
        <f t="shared" si="194"/>
        <v>#N/A</v>
      </c>
      <c r="DZ101" s="425" t="e">
        <f t="shared" si="195"/>
        <v>#N/A</v>
      </c>
      <c r="EA101" s="425" t="e">
        <f t="shared" si="196"/>
        <v>#N/A</v>
      </c>
      <c r="EB101" s="425" t="e">
        <f t="shared" si="197"/>
        <v>#N/A</v>
      </c>
      <c r="EC101" s="425" t="e">
        <f t="shared" si="198"/>
        <v>#N/A</v>
      </c>
      <c r="ED101" s="425" t="e">
        <f t="shared" si="199"/>
        <v>#N/A</v>
      </c>
      <c r="EE101" s="425" t="e">
        <f t="shared" si="200"/>
        <v>#N/A</v>
      </c>
      <c r="EF101" s="425" t="e">
        <f t="shared" si="201"/>
        <v>#N/A</v>
      </c>
      <c r="EG101" s="425" t="e">
        <f t="shared" si="202"/>
        <v>#N/A</v>
      </c>
      <c r="EH101" s="425" t="e">
        <f t="shared" si="203"/>
        <v>#N/A</v>
      </c>
      <c r="EI101" s="425" t="e">
        <f t="shared" si="204"/>
        <v>#N/A</v>
      </c>
      <c r="EJ101" s="425"/>
      <c r="EK101" s="425"/>
      <c r="EL101" s="425">
        <f t="shared" si="234"/>
        <v>1.95</v>
      </c>
      <c r="EM101" s="425">
        <f t="shared" si="235"/>
        <v>0</v>
      </c>
      <c r="EN101" s="425">
        <f t="shared" si="236"/>
        <v>0.9</v>
      </c>
      <c r="EO101" s="425">
        <f t="shared" si="237"/>
        <v>1.8</v>
      </c>
      <c r="EP101" s="425">
        <f t="shared" si="238"/>
        <v>2.7</v>
      </c>
      <c r="EQ101" s="425">
        <f t="shared" si="239"/>
        <v>3.6</v>
      </c>
      <c r="ER101" s="425">
        <f t="shared" si="240"/>
        <v>5.4</v>
      </c>
      <c r="ES101" s="425">
        <f t="shared" si="241"/>
        <v>7.2</v>
      </c>
      <c r="ET101" s="425">
        <f t="shared" si="242"/>
        <v>9</v>
      </c>
      <c r="EU101" s="425">
        <f t="shared" si="243"/>
        <v>10.1</v>
      </c>
      <c r="EV101" s="425">
        <f t="shared" si="244"/>
        <v>10.8</v>
      </c>
      <c r="EW101" s="425">
        <f t="shared" si="245"/>
        <v>12.6</v>
      </c>
      <c r="EX101" s="425">
        <f t="shared" si="246"/>
        <v>14.19</v>
      </c>
      <c r="EY101" s="425" t="e">
        <f t="shared" si="247"/>
        <v>#N/A</v>
      </c>
      <c r="EZ101" s="425" t="e">
        <f t="shared" si="248"/>
        <v>#N/A</v>
      </c>
      <c r="FA101" s="425" t="e">
        <f t="shared" si="249"/>
        <v>#N/A</v>
      </c>
      <c r="FB101" s="425" t="e">
        <f t="shared" si="250"/>
        <v>#N/A</v>
      </c>
      <c r="FC101" s="425" t="e">
        <f t="shared" si="251"/>
        <v>#N/A</v>
      </c>
      <c r="FD101" s="425" t="e">
        <f t="shared" si="252"/>
        <v>#N/A</v>
      </c>
      <c r="FE101" s="425" t="e">
        <f t="shared" si="253"/>
        <v>#N/A</v>
      </c>
      <c r="FF101" s="425" t="e">
        <f t="shared" si="254"/>
        <v>#N/A</v>
      </c>
      <c r="FG101" s="425" t="e">
        <f t="shared" si="255"/>
        <v>#N/A</v>
      </c>
      <c r="FH101" s="425" t="e">
        <f t="shared" si="256"/>
        <v>#N/A</v>
      </c>
      <c r="FI101" s="425" t="e">
        <f t="shared" si="257"/>
        <v>#N/A</v>
      </c>
      <c r="FJ101" s="425" t="e">
        <f t="shared" si="258"/>
        <v>#N/A</v>
      </c>
      <c r="FK101" s="425" t="e">
        <f t="shared" si="259"/>
        <v>#N/A</v>
      </c>
    </row>
    <row r="102" spans="1:167" x14ac:dyDescent="0.25">
      <c r="A102" s="374">
        <f t="shared" si="206"/>
        <v>2</v>
      </c>
      <c r="B102" s="377" t="str">
        <f>IFERROR(IF(ISERROR(CP131),"",CONCATENATE(ROUND(X_SHIFT_BP+IF(Tools!B$97&lt;=Tools!$D$47/2,-BF7,BF7),3),",",ROUND(WLS*$AP43,3)," ")),"")</f>
        <v/>
      </c>
      <c r="C102" s="377" t="str">
        <f>IFERROR(IF(ISERROR(CQ131),"",CONCATENATE(ROUND(X_SHIFT_BP+IF(Tools!C$97&lt;=Tools!$D$47/2,-BG7,BG7),3),",",ROUND(WLS*$AP43,3)," ")),"")</f>
        <v/>
      </c>
      <c r="D102" s="377" t="str">
        <f>IFERROR(IF(ISERROR(CR131),"",CONCATENATE(ROUND(X_SHIFT_BP+IF(Tools!D$97&lt;=Tools!$D$47/2,-BH7,BH7),3),",",ROUND(WLS*$AP43,3)," ")),"")</f>
        <v/>
      </c>
      <c r="E102" s="377" t="str">
        <f>IFERROR(IF(ISERROR(CS131),"",CONCATENATE(ROUND(X_SHIFT_BP+IF(Tools!E$97&lt;=Tools!$D$47/2,-BI7,BI7),3),",",ROUND(WLS*$AP43,3)," ")),"")</f>
        <v xml:space="preserve">154.735,3.6 </v>
      </c>
      <c r="F102" s="377" t="str">
        <f>IFERROR(IF(ISERROR(CT131),"",CONCATENATE(ROUND(X_SHIFT_BP+IF(Tools!F$97&lt;=Tools!$D$47/2,-BJ7,BJ7),3),",",ROUND(WLS*$AP43,3)," ")),"")</f>
        <v xml:space="preserve">153.735,3.6 </v>
      </c>
      <c r="G102" s="377" t="str">
        <f>IFERROR(IF(ISERROR(CU131),"",CONCATENATE(ROUND(X_SHIFT_BP+IF(Tools!G$97&lt;=Tools!$D$47/2,-BK7,BK7),3),",",ROUND(WLS*$AP43,3)," ")),"")</f>
        <v xml:space="preserve">152.335,3.6 </v>
      </c>
      <c r="H102" s="377" t="str">
        <f>IFERROR(IF(ISERROR(CV131),"",CONCATENATE(ROUND(X_SHIFT_BP+IF(Tools!H$97&lt;=Tools!$D$47/2,-BL7,BL7),3),",",ROUND(WLS*$AP43,3)," ")),"")</f>
        <v xml:space="preserve">149.635,3.6 </v>
      </c>
      <c r="I102" s="377" t="str">
        <f>IFERROR(IF(ISERROR(CW131),"",CONCATENATE(ROUND(X_SHIFT_BP+IF(Tools!I$97&lt;=Tools!$D$47/2,-BM7,BM7),3),",",ROUND(WLS*$AP43,3)," ")),"")</f>
        <v xml:space="preserve">146.405,3.6 </v>
      </c>
      <c r="J102" s="377" t="str">
        <f>IFERROR(IF(ISERROR(CX131),"",CONCATENATE(ROUND(X_SHIFT_BP+IF(Tools!J$97&lt;=Tools!$D$47/2,-BN7,BN7),3),",",ROUND(WLS*$AP43,3)," ")),"")</f>
        <v xml:space="preserve">144.515,3.6 </v>
      </c>
      <c r="K102" s="377" t="str">
        <f>IFERROR(IF(ISERROR(CY131),"",CONCATENATE(ROUND(X_SHIFT_BP+IF(Tools!K$97&lt;=Tools!$D$47/2,-BO7,BO7),3),",",ROUND(WLS*$AP43,3)," ")),"")</f>
        <v xml:space="preserve">143.575,3.6 </v>
      </c>
      <c r="L102" s="377" t="str">
        <f>IFERROR(IF(ISERROR(CZ131),"",CONCATENATE(ROUND(X_SHIFT_BP+IF(Tools!L$97&lt;=Tools!$D$47/2,-BP7,BP7),3),",",ROUND(WLS*$AP43,3)," ")),"")</f>
        <v xml:space="preserve">143.255,3.6 </v>
      </c>
      <c r="M102" s="377" t="str">
        <f>IFERROR(IF(ISERROR(DA131),"",CONCATENATE(ROUND(X_SHIFT_BP+IF(Tools!M$97&lt;=Tools!$D$47/2,-BQ7,BQ7),3),",",ROUND(WLS*$AP43,3)," ")),"")</f>
        <v xml:space="preserve">143.185,3.6 </v>
      </c>
      <c r="N102" s="377" t="str">
        <f>IFERROR(IF(ISERROR(DB131),"",CONCATENATE(ROUND(X_SHIFT_BP+IF(Tools!N$97&lt;=Tools!$D$47/2,-BR7,BR7),3),",",ROUND(WLS*$AP43,3)," ")),"")</f>
        <v xml:space="preserve">143.185,3.6 </v>
      </c>
      <c r="O102" s="377" t="str">
        <f>IFERROR(IF(ISERROR(DC131),"",CONCATENATE(ROUND(X_SHIFT_BP+IF(Tools!O$97&lt;=Tools!$D$47/2,-BS7,BS7),3),",",ROUND(WLS*$AP43,3)," ")),"")</f>
        <v xml:space="preserve">167.645,3.6 </v>
      </c>
      <c r="P102" s="377" t="str">
        <f>IFERROR(IF(ISERROR(DD131),"",CONCATENATE(ROUND(X_SHIFT_BP+IF(Tools!P$97&lt;=Tools!$D$47/2,-BT7,BT7),3),",",ROUND(WLS*$AP43,3)," ")),"")</f>
        <v xml:space="preserve">167.355,3.6 </v>
      </c>
      <c r="Q102" s="377" t="str">
        <f>IFERROR(IF(ISERROR(DE131),"",CONCATENATE(ROUND(X_SHIFT_BP+IF(Tools!Q$97&lt;=Tools!$D$47/2,-BU7,BU7),3),",",ROUND(WLS*$AP43,3)," ")),"")</f>
        <v xml:space="preserve">166.535,3.6 </v>
      </c>
      <c r="R102" s="377" t="str">
        <f>IFERROR(IF(ISERROR(DF131),"",CONCATENATE(ROUND(X_SHIFT_BP+IF(Tools!R$97&lt;=Tools!$D$47/2,-BV7,BV7),3),",",ROUND(WLS*$AP43,3)," ")),"")</f>
        <v xml:space="preserve">165.185,3.6 </v>
      </c>
      <c r="S102" s="377" t="str">
        <f>IFERROR(IF(ISERROR(DG131),"",CONCATENATE(ROUND(X_SHIFT_BP+IF(Tools!S$97&lt;=Tools!$D$47/2,-BW7,BW7),3),",",ROUND(WLS*$AP43,3)," ")),"")</f>
        <v xml:space="preserve">163.515,3.6 </v>
      </c>
      <c r="T102" s="377" t="str">
        <f>IFERROR(IF(ISERROR(DH131),"",CONCATENATE(ROUND(X_SHIFT_BP+IF(Tools!T$97&lt;=Tools!$D$47/2,-BX7,BX7),3),",",ROUND(WLS*$AP43,3)," ")),"")</f>
        <v xml:space="preserve">161.665,3.6 </v>
      </c>
      <c r="U102" s="377" t="str">
        <f>IFERROR(IF(ISERROR(DI131),"",CONCATENATE(ROUND(X_SHIFT_BP+IF(Tools!U$97&lt;=Tools!$D$47/2,-BY7,BY7),3),",",ROUND(WLS*$AP43,3)," ")),"")</f>
        <v xml:space="preserve">159.865,3.6 </v>
      </c>
      <c r="V102" s="377" t="str">
        <f>IFERROR(IF(ISERROR(DJ131),"",CONCATENATE(ROUND(X_SHIFT_BP+IF(Tools!V$97&lt;=Tools!$D$47/2,-BZ7,BZ7),3),",",ROUND(WLS*$AP43,3)," ")),"")</f>
        <v xml:space="preserve">158.405,3.6 </v>
      </c>
      <c r="W102" s="377" t="str">
        <f>IFERROR(IF(ISERROR(DK131),"",CONCATENATE(ROUND(X_SHIFT_BP+IF(Tools!W$97&lt;=Tools!$D$47/2,-CA7,CA7),3),",",ROUND(WLS*$AP43,3)," ")),"")</f>
        <v xml:space="preserve">157.835,3.6 </v>
      </c>
      <c r="X102" s="377" t="str">
        <f>IFERROR(IF(ISERROR(DL131),"",CONCATENATE(ROUND(X_SHIFT_BP+IF(Tools!X$97&lt;=Tools!$D$47/2,-CB7,CB7),3),",",ROUND(WLS*$AP43,3)," ")),"")</f>
        <v xml:space="preserve">157.395,3.6 </v>
      </c>
      <c r="Y102" s="377" t="str">
        <f>IFERROR(IF(ISERROR(DM131),"",CONCATENATE(ROUND(X_SHIFT_BP+IF(Tools!Y$97&lt;=Tools!$D$47/2,-CC7,CC7),3),",",ROUND(WLS*$AP43,3)," ")),"")</f>
        <v xml:space="preserve">157.035,3.6 </v>
      </c>
      <c r="Z102" s="377" t="str">
        <f>IFERROR(IF(ISERROR(DN131),"",CONCATENATE(ROUND(X_SHIFT_BP+IF(Tools!Z$97&lt;=Tools!$D$47/2,-CD7,CD7),3),",",ROUND(WLS*$AP43,3)," ")),"")</f>
        <v xml:space="preserve">156.585,3.6 </v>
      </c>
      <c r="AA102" s="129">
        <v>11</v>
      </c>
      <c r="AB102" s="245" t="str">
        <f t="shared" si="260"/>
        <v xml:space="preserve">Spline </v>
      </c>
      <c r="AC102" s="129" t="str">
        <v xml:space="preserve">155.435,0.57 </v>
      </c>
      <c r="AD102" s="245" t="str">
        <v/>
      </c>
      <c r="AE102" s="245" t="str">
        <v xml:space="preserve">155.035,0.9 </v>
      </c>
      <c r="AF102" s="245" t="str">
        <v xml:space="preserve">154.395,1.8 </v>
      </c>
      <c r="AG102" s="245" t="str">
        <v xml:space="preserve">153.935,2.7 </v>
      </c>
      <c r="AH102" s="245" t="str">
        <v xml:space="preserve">153.735,3.6 </v>
      </c>
      <c r="AI102" s="245" t="str">
        <v xml:space="preserve">152.735,5.4 </v>
      </c>
      <c r="AJ102" s="245" t="str">
        <v xml:space="preserve">149.935,7.2 </v>
      </c>
      <c r="AK102" s="245" t="str">
        <v xml:space="preserve">145.535,9 </v>
      </c>
      <c r="AL102" s="245" t="str">
        <v xml:space="preserve">144.535,10.1 </v>
      </c>
      <c r="AM102" s="245" t="str">
        <v xml:space="preserve">144.095,10.8 </v>
      </c>
      <c r="AN102" s="245" t="str">
        <v xml:space="preserve">143.435,12.6 </v>
      </c>
      <c r="AO102" s="245" t="str">
        <v xml:space="preserve">143.235,14.19 </v>
      </c>
      <c r="AP102" s="245" t="str">
        <v/>
      </c>
      <c r="AQ102" s="245" t="str">
        <v/>
      </c>
      <c r="AR102" s="245" t="str">
        <v/>
      </c>
      <c r="AS102" s="245" t="str">
        <v/>
      </c>
      <c r="AT102" s="245" t="str">
        <v/>
      </c>
      <c r="AU102" s="245" t="str">
        <v/>
      </c>
      <c r="AV102" s="245" t="str">
        <v/>
      </c>
      <c r="AW102" s="245" t="str">
        <v/>
      </c>
      <c r="AX102" s="245" t="str">
        <v/>
      </c>
      <c r="AY102" s="245" t="str">
        <v/>
      </c>
      <c r="AZ102" s="245" t="str">
        <v/>
      </c>
      <c r="BA102" s="245" t="str">
        <v/>
      </c>
      <c r="BB102" s="245" t="str">
        <v/>
      </c>
      <c r="BC102" s="376">
        <f>Tools!AD7</f>
        <v>2</v>
      </c>
      <c r="BD102" s="376">
        <f>IFERROR(Tools!AD7*STN_GAP,"")</f>
        <v>13.169999999999998</v>
      </c>
      <c r="BE102" s="496" t="e">
        <f>IFERROR(IF(ISNUMBER(DE102),NA(),IF(AND($DF102&lt;&gt;0,$DG102&gt;BE$97),NA(),IF($BD102&gt;LBP/2,-(-Tools!AE7),-Tools!AE7))),NA())</f>
        <v>#N/A</v>
      </c>
      <c r="BF102" s="376">
        <f>IFERROR(IF(AND($DF102&lt;&gt;0,$DG102&gt;BF$97),NA(),IF($BD102&gt;LBP/2,-(-Tools!AF7),-Tools!AF7)),NA())</f>
        <v>-0.4</v>
      </c>
      <c r="BG102" s="376">
        <f>IFERROR(IF(AND($DF102&lt;&gt;0,$DG102&gt;BG$97),NA(),IF($BD102&gt;LBP/2,-(-Tools!AG7),-Tools!AG7)),NA())</f>
        <v>-1.04</v>
      </c>
      <c r="BH102" s="376">
        <f>IFERROR(IF(AND($DF102&lt;&gt;0,$DG102&gt;BH$97),NA(),IF($BD102&gt;LBP/2,-(-Tools!AH7),-Tools!AH7)),NA())</f>
        <v>-1.5</v>
      </c>
      <c r="BI102" s="376">
        <f>IFERROR(IF(AND($DF102&lt;&gt;0,$DG102&gt;BI$97),NA(),IF($BD102&gt;LBP/2,-(-Tools!AI7),-Tools!AI7)),NA())</f>
        <v>-1.7</v>
      </c>
      <c r="BJ102" s="376">
        <f>IFERROR(IF(AND($DF102&lt;&gt;0,$DG102&gt;BJ$97),NA(),IF($BD102&gt;LBP/2,-(-Tools!AJ7),-Tools!AJ7)),NA())</f>
        <v>-2.7</v>
      </c>
      <c r="BK102" s="376">
        <f>IFERROR(IF(AND($DF102&lt;&gt;0,$DG102&gt;BK$97),NA(),IF($BD102&gt;LBP/2,-(-Tools!AK7),-Tools!AK7)),NA())</f>
        <v>-5.5</v>
      </c>
      <c r="BL102" s="376">
        <f>IFERROR(IF(AND($DF102&lt;&gt;0,$DG102&gt;BL$97),NA(),IF($BD102&gt;LBP/2,-(-Tools!AL7),-Tools!AL7)),NA())</f>
        <v>-9.9</v>
      </c>
      <c r="BM102" s="376">
        <f>IFERROR(IF(AND($DF102&lt;&gt;0,$DG102&gt;BM$97),NA(),IF($BD102&gt;LBP/2,-(-Tools!AM7),-Tools!AM7)),NA())</f>
        <v>-10.9</v>
      </c>
      <c r="BN102" s="376">
        <f>IFERROR(IF(AND($DF102&lt;&gt;0,$DG102&gt;BN$97),NA(),IF($BD102&gt;LBP/2,-(-Tools!AN7),-Tools!AN7)),NA())</f>
        <v>-11.34</v>
      </c>
      <c r="BO102" s="376">
        <f>IFERROR(IF(AND($DF102&lt;&gt;0,$DG102&gt;BO$97),NA(),IF($BD102&gt;LBP/2,-(-Tools!AO7),-Tools!AO7)),NA())</f>
        <v>-12</v>
      </c>
      <c r="BP102" s="376">
        <f>IFERROR(IF(AND($DF102&lt;&gt;0,$DG102&gt;BP$97),NA(),IF($BD102&gt;LBP/2,-(-Tools!AP7),-Tools!AP7)),NA())</f>
        <v>-12.2</v>
      </c>
      <c r="BQ102" s="376" t="e">
        <f>IFERROR(IF(AND($DF102&lt;&gt;0,$DG102&gt;BQ$97),NA(),IF($BD102&gt;LBP/2,-(-Tools!AQ7),-Tools!AQ7)),NA())</f>
        <v>#N/A</v>
      </c>
      <c r="BR102" s="376" t="e">
        <f>IFERROR(IF(AND($DF102&lt;&gt;0,$DG102&gt;BR$97),NA(),IF($BD102&gt;LBP/2,-(-Tools!AR7),-Tools!AR7)),NA())</f>
        <v>#N/A</v>
      </c>
      <c r="BS102" s="376" t="e">
        <f>IFERROR(IF(AND($DF102&lt;&gt;0,$DG102&gt;BS$97),NA(),IF($BD102&gt;LBP/2,-(-Tools!AS7),-Tools!AS7)),NA())</f>
        <v>#N/A</v>
      </c>
      <c r="BT102" s="376" t="e">
        <f>IFERROR(IF(AND($DF102&lt;&gt;0,$DG102&gt;BT$97),NA(),IF($BD102&gt;LBP/2,-(-Tools!AT7),-Tools!AT7)),NA())</f>
        <v>#N/A</v>
      </c>
      <c r="BU102" s="376" t="e">
        <f>IFERROR(IF(AND($DF102&lt;&gt;0,$DG102&gt;BU$97),NA(),IF($BD102&gt;LBP/2,-(-Tools!AU7),-Tools!AU7)),NA())</f>
        <v>#N/A</v>
      </c>
      <c r="BV102" s="376" t="e">
        <f>IFERROR(IF(AND($DF102&lt;&gt;0,$DG102&gt;BV$97),NA(),IF($BD102&gt;LBP/2,-(-Tools!AV7),-Tools!AV7)),NA())</f>
        <v>#N/A</v>
      </c>
      <c r="BW102" s="376" t="e">
        <f>IFERROR(IF(AND($DF102&lt;&gt;0,$DG102&gt;BW$97),NA(),IF($BD102&gt;LBP/2,-(-Tools!AW7),-Tools!AW7)),NA())</f>
        <v>#N/A</v>
      </c>
      <c r="BX102" s="376" t="e">
        <f>IFERROR(IF(AND($DF102&lt;&gt;0,$DG102&gt;BX$97),NA(),IF($BD102&gt;LBP/2,-(-Tools!AX7),-Tools!AX7)),NA())</f>
        <v>#N/A</v>
      </c>
      <c r="BY102" s="376" t="e">
        <f>IFERROR(IF(AND($DF102&lt;&gt;0,$DG102&gt;BY$97),NA(),IF($BD102&gt;LBP/2,-(-Tools!AY7),-Tools!AY7)),NA())</f>
        <v>#N/A</v>
      </c>
      <c r="BZ102" s="376" t="e">
        <f>IFERROR(IF(AND($DF102&lt;&gt;0,$DG102&gt;BZ$97),NA(),IF($BD102&gt;LBP/2,-(-Tools!AZ7),-Tools!AZ7)),NA())</f>
        <v>#N/A</v>
      </c>
      <c r="CA102" s="376" t="e">
        <f>IFERROR(IF(AND($DF102&lt;&gt;0,$DG102&gt;CA$97),NA(),IF($BD102&gt;LBP/2,-(-Tools!BA7),-Tools!BA7)),NA())</f>
        <v>#N/A</v>
      </c>
      <c r="CB102" s="376" t="e">
        <f>IFERROR(IF(AND($DF102&lt;&gt;0,$DG102&gt;CB$97),NA(),IF($BD102&gt;LBP/2,-(-Tools!BB7),-Tools!BB7)),NA())</f>
        <v>#N/A</v>
      </c>
      <c r="CC102" s="376" t="e">
        <f>IFERROR(IF(AND($DF102&lt;&gt;0,$DG102&gt;CC$97),NA(),IF($BD102&gt;LBP/2,-(-Tools!BC7),-Tools!BC7)),NA())</f>
        <v>#N/A</v>
      </c>
      <c r="CE102" s="425" t="b">
        <f t="shared" si="207"/>
        <v>0</v>
      </c>
      <c r="CF102" s="425" t="b">
        <f t="shared" si="208"/>
        <v>0</v>
      </c>
      <c r="CG102" s="425" t="b">
        <f t="shared" si="209"/>
        <v>0</v>
      </c>
      <c r="CH102" s="425" t="b">
        <f t="shared" si="210"/>
        <v>0</v>
      </c>
      <c r="CI102" s="425" t="b">
        <f t="shared" si="211"/>
        <v>0</v>
      </c>
      <c r="CJ102" s="425" t="b">
        <f t="shared" si="212"/>
        <v>0</v>
      </c>
      <c r="CK102" s="425" t="b">
        <f t="shared" si="213"/>
        <v>0</v>
      </c>
      <c r="CL102" s="425" t="b">
        <f t="shared" si="214"/>
        <v>0</v>
      </c>
      <c r="CM102" s="425" t="b">
        <f t="shared" si="215"/>
        <v>0</v>
      </c>
      <c r="CN102" s="425" t="b">
        <f t="shared" si="216"/>
        <v>0</v>
      </c>
      <c r="CO102" s="425" t="b">
        <f t="shared" si="217"/>
        <v>0</v>
      </c>
      <c r="CP102" s="425" t="b">
        <f t="shared" si="218"/>
        <v>0</v>
      </c>
      <c r="CQ102" s="425" t="b">
        <f t="shared" si="219"/>
        <v>0</v>
      </c>
      <c r="CR102" s="425" t="b">
        <f t="shared" si="220"/>
        <v>0</v>
      </c>
      <c r="CS102" s="425" t="b">
        <f t="shared" si="221"/>
        <v>0</v>
      </c>
      <c r="CT102" s="425" t="b">
        <f t="shared" si="222"/>
        <v>0</v>
      </c>
      <c r="CU102" s="425" t="b">
        <f t="shared" si="223"/>
        <v>0</v>
      </c>
      <c r="CV102" s="425" t="b">
        <f t="shared" si="224"/>
        <v>0</v>
      </c>
      <c r="CW102" s="425" t="b">
        <f t="shared" si="225"/>
        <v>0</v>
      </c>
      <c r="CX102" s="425" t="b">
        <f t="shared" si="226"/>
        <v>0</v>
      </c>
      <c r="CY102" s="425" t="b">
        <f t="shared" si="227"/>
        <v>0</v>
      </c>
      <c r="CZ102" s="425" t="b">
        <f t="shared" si="228"/>
        <v>0</v>
      </c>
      <c r="DA102" s="425" t="b">
        <f t="shared" si="229"/>
        <v>0</v>
      </c>
      <c r="DB102" s="425" t="b">
        <f t="shared" si="230"/>
        <v>0</v>
      </c>
      <c r="DC102" s="425"/>
      <c r="DD102" s="425">
        <f t="shared" si="261"/>
        <v>0</v>
      </c>
      <c r="DE102" s="425">
        <f t="shared" si="231"/>
        <v>0.31666666666666665</v>
      </c>
      <c r="DF102" s="425">
        <f t="shared" si="232"/>
        <v>0</v>
      </c>
      <c r="DG102" s="425">
        <f t="shared" si="262"/>
        <v>0.9</v>
      </c>
      <c r="DH102" s="425">
        <f t="shared" si="233"/>
        <v>2</v>
      </c>
      <c r="DI102" s="425"/>
      <c r="DJ102" s="425">
        <f t="shared" si="263"/>
        <v>0</v>
      </c>
      <c r="DK102" s="425" t="e">
        <f t="shared" si="180"/>
        <v>#N/A</v>
      </c>
      <c r="DL102" s="425">
        <f t="shared" si="181"/>
        <v>-0.4</v>
      </c>
      <c r="DM102" s="425">
        <f t="shared" si="182"/>
        <v>-1.04</v>
      </c>
      <c r="DN102" s="425">
        <f t="shared" si="183"/>
        <v>-1.5</v>
      </c>
      <c r="DO102" s="425">
        <f t="shared" si="184"/>
        <v>-1.7</v>
      </c>
      <c r="DP102" s="425">
        <f t="shared" si="185"/>
        <v>-2.7</v>
      </c>
      <c r="DQ102" s="425">
        <f t="shared" si="186"/>
        <v>-5.5</v>
      </c>
      <c r="DR102" s="425">
        <f t="shared" si="187"/>
        <v>-9.9</v>
      </c>
      <c r="DS102" s="425">
        <f t="shared" si="188"/>
        <v>-10.9</v>
      </c>
      <c r="DT102" s="425">
        <f t="shared" si="189"/>
        <v>-11.34</v>
      </c>
      <c r="DU102" s="425">
        <f t="shared" si="190"/>
        <v>-12</v>
      </c>
      <c r="DV102" s="425">
        <f t="shared" si="191"/>
        <v>-12.2</v>
      </c>
      <c r="DW102" s="425" t="e">
        <f t="shared" si="192"/>
        <v>#N/A</v>
      </c>
      <c r="DX102" s="425" t="e">
        <f t="shared" si="193"/>
        <v>#N/A</v>
      </c>
      <c r="DY102" s="425" t="e">
        <f t="shared" si="194"/>
        <v>#N/A</v>
      </c>
      <c r="DZ102" s="425" t="e">
        <f t="shared" si="195"/>
        <v>#N/A</v>
      </c>
      <c r="EA102" s="425" t="e">
        <f t="shared" si="196"/>
        <v>#N/A</v>
      </c>
      <c r="EB102" s="425" t="e">
        <f t="shared" si="197"/>
        <v>#N/A</v>
      </c>
      <c r="EC102" s="425" t="e">
        <f t="shared" si="198"/>
        <v>#N/A</v>
      </c>
      <c r="ED102" s="425" t="e">
        <f t="shared" si="199"/>
        <v>#N/A</v>
      </c>
      <c r="EE102" s="425" t="e">
        <f t="shared" si="200"/>
        <v>#N/A</v>
      </c>
      <c r="EF102" s="425" t="e">
        <f t="shared" si="201"/>
        <v>#N/A</v>
      </c>
      <c r="EG102" s="425" t="e">
        <f t="shared" si="202"/>
        <v>#N/A</v>
      </c>
      <c r="EH102" s="425" t="e">
        <f t="shared" si="203"/>
        <v>#N/A</v>
      </c>
      <c r="EI102" s="425" t="e">
        <f t="shared" si="204"/>
        <v>#N/A</v>
      </c>
      <c r="EJ102" s="425"/>
      <c r="EK102" s="425"/>
      <c r="EL102" s="425">
        <f t="shared" si="234"/>
        <v>0.56999999999999995</v>
      </c>
      <c r="EM102" s="425">
        <f t="shared" si="235"/>
        <v>0</v>
      </c>
      <c r="EN102" s="425">
        <f t="shared" si="236"/>
        <v>0.9</v>
      </c>
      <c r="EO102" s="425">
        <f t="shared" si="237"/>
        <v>1.8</v>
      </c>
      <c r="EP102" s="425">
        <f t="shared" si="238"/>
        <v>2.7</v>
      </c>
      <c r="EQ102" s="425">
        <f t="shared" si="239"/>
        <v>3.6</v>
      </c>
      <c r="ER102" s="425">
        <f t="shared" si="240"/>
        <v>5.4</v>
      </c>
      <c r="ES102" s="425">
        <f t="shared" si="241"/>
        <v>7.2</v>
      </c>
      <c r="ET102" s="425">
        <f t="shared" si="242"/>
        <v>9</v>
      </c>
      <c r="EU102" s="425">
        <f t="shared" si="243"/>
        <v>10.1</v>
      </c>
      <c r="EV102" s="425">
        <f t="shared" si="244"/>
        <v>10.8</v>
      </c>
      <c r="EW102" s="425">
        <f t="shared" si="245"/>
        <v>12.6</v>
      </c>
      <c r="EX102" s="425">
        <f t="shared" si="246"/>
        <v>14.19</v>
      </c>
      <c r="EY102" s="425" t="e">
        <f t="shared" si="247"/>
        <v>#N/A</v>
      </c>
      <c r="EZ102" s="425" t="e">
        <f t="shared" si="248"/>
        <v>#N/A</v>
      </c>
      <c r="FA102" s="425" t="e">
        <f t="shared" si="249"/>
        <v>#N/A</v>
      </c>
      <c r="FB102" s="425" t="e">
        <f t="shared" si="250"/>
        <v>#N/A</v>
      </c>
      <c r="FC102" s="425" t="e">
        <f t="shared" si="251"/>
        <v>#N/A</v>
      </c>
      <c r="FD102" s="425" t="e">
        <f t="shared" si="252"/>
        <v>#N/A</v>
      </c>
      <c r="FE102" s="425" t="e">
        <f t="shared" si="253"/>
        <v>#N/A</v>
      </c>
      <c r="FF102" s="425" t="e">
        <f t="shared" si="254"/>
        <v>#N/A</v>
      </c>
      <c r="FG102" s="425" t="e">
        <f t="shared" si="255"/>
        <v>#N/A</v>
      </c>
      <c r="FH102" s="425" t="e">
        <f t="shared" si="256"/>
        <v>#N/A</v>
      </c>
      <c r="FI102" s="425" t="e">
        <f t="shared" si="257"/>
        <v>#N/A</v>
      </c>
      <c r="FJ102" s="425" t="e">
        <f t="shared" si="258"/>
        <v>#N/A</v>
      </c>
      <c r="FK102" s="425" t="e">
        <f t="shared" si="259"/>
        <v>#N/A</v>
      </c>
    </row>
    <row r="103" spans="1:167" x14ac:dyDescent="0.25">
      <c r="A103" s="374">
        <f t="shared" si="206"/>
        <v>3</v>
      </c>
      <c r="B103" s="377" t="str">
        <f>IFERROR(IF(ISERROR(CP132),"",CONCATENATE(ROUND(X_SHIFT_BP+IF(Tools!B$97&lt;=Tools!$D$47/2,-BF8,BF8),3),",",ROUND(WLS*$AP44,3)," ")),"")</f>
        <v/>
      </c>
      <c r="C103" s="377" t="str">
        <f>IFERROR(IF(ISERROR(CQ132),"",CONCATENATE(ROUND(X_SHIFT_BP+IF(Tools!C$97&lt;=Tools!$D$47/2,-BG8,BG8),3),",",ROUND(WLS*$AP44,3)," ")),"")</f>
        <v/>
      </c>
      <c r="D103" s="377" t="str">
        <f>IFERROR(IF(ISERROR(CR132),"",CONCATENATE(ROUND(X_SHIFT_BP+IF(Tools!D$97&lt;=Tools!$D$47/2,-BH8,BH8),3),",",ROUND(WLS*$AP44,3)," ")),"")</f>
        <v/>
      </c>
      <c r="E103" s="377" t="str">
        <f>IFERROR(IF(ISERROR(CS132),"",CONCATENATE(ROUND(X_SHIFT_BP+IF(Tools!E$97&lt;=Tools!$D$47/2,-BI8,BI8),3),",",ROUND(WLS*$AP44,3)," ")),"")</f>
        <v xml:space="preserve">154.235,5.4 </v>
      </c>
      <c r="F103" s="377" t="str">
        <f>IFERROR(IF(ISERROR(CT132),"",CONCATENATE(ROUND(X_SHIFT_BP+IF(Tools!F$97&lt;=Tools!$D$47/2,-BJ8,BJ8),3),",",ROUND(WLS*$AP44,3)," ")),"")</f>
        <v xml:space="preserve">152.735,5.4 </v>
      </c>
      <c r="G103" s="377" t="str">
        <f>IFERROR(IF(ISERROR(CU132),"",CONCATENATE(ROUND(X_SHIFT_BP+IF(Tools!G$97&lt;=Tools!$D$47/2,-BK8,BK8),3),",",ROUND(WLS*$AP44,3)," ")),"")</f>
        <v xml:space="preserve">149.735,5.4 </v>
      </c>
      <c r="H103" s="377" t="str">
        <f>IFERROR(IF(ISERROR(CV132),"",CONCATENATE(ROUND(X_SHIFT_BP+IF(Tools!H$97&lt;=Tools!$D$47/2,-BL8,BL8),3),",",ROUND(WLS*$AP44,3)," ")),"")</f>
        <v xml:space="preserve">146.235,5.4 </v>
      </c>
      <c r="I103" s="377" t="str">
        <f>IFERROR(IF(ISERROR(CW132),"",CONCATENATE(ROUND(X_SHIFT_BP+IF(Tools!I$97&lt;=Tools!$D$47/2,-BM8,BM8),3),",",ROUND(WLS*$AP44,3)," ")),"")</f>
        <v xml:space="preserve">144.285,5.4 </v>
      </c>
      <c r="J103" s="377" t="str">
        <f>IFERROR(IF(ISERROR(CX132),"",CONCATENATE(ROUND(X_SHIFT_BP+IF(Tools!J$97&lt;=Tools!$D$47/2,-BN8,BN8),3),",",ROUND(WLS*$AP44,3)," ")),"")</f>
        <v xml:space="preserve">143.465,5.4 </v>
      </c>
      <c r="K103" s="377" t="str">
        <f>IFERROR(IF(ISERROR(CY132),"",CONCATENATE(ROUND(X_SHIFT_BP+IF(Tools!K$97&lt;=Tools!$D$47/2,-BO8,BO8),3),",",ROUND(WLS*$AP44,3)," ")),"")</f>
        <v xml:space="preserve">143.185,5.4 </v>
      </c>
      <c r="L103" s="377" t="str">
        <f>IFERROR(IF(ISERROR(CZ132),"",CONCATENATE(ROUND(X_SHIFT_BP+IF(Tools!L$97&lt;=Tools!$D$47/2,-BP8,BP8),3),",",ROUND(WLS*$AP44,3)," ")),"")</f>
        <v xml:space="preserve">143.185,5.4 </v>
      </c>
      <c r="M103" s="377" t="str">
        <f>IFERROR(IF(ISERROR(DA132),"",CONCATENATE(ROUND(X_SHIFT_BP+IF(Tools!M$97&lt;=Tools!$D$47/2,-BQ8,BQ8),3),",",ROUND(WLS*$AP44,3)," ")),"")</f>
        <v xml:space="preserve">143.185,5.4 </v>
      </c>
      <c r="N103" s="377" t="str">
        <f>IFERROR(IF(ISERROR(DB132),"",CONCATENATE(ROUND(X_SHIFT_BP+IF(Tools!N$97&lt;=Tools!$D$47/2,-BR8,BR8),3),",",ROUND(WLS*$AP44,3)," ")),"")</f>
        <v xml:space="preserve">143.185,5.4 </v>
      </c>
      <c r="O103" s="377" t="str">
        <f>IFERROR(IF(ISERROR(DC132),"",CONCATENATE(ROUND(X_SHIFT_BP+IF(Tools!O$97&lt;=Tools!$D$47/2,-BS8,BS8),3),",",ROUND(WLS*$AP44,3)," ")),"")</f>
        <v xml:space="preserve">167.685,5.4 </v>
      </c>
      <c r="P103" s="377" t="str">
        <f>IFERROR(IF(ISERROR(DD132),"",CONCATENATE(ROUND(X_SHIFT_BP+IF(Tools!P$97&lt;=Tools!$D$47/2,-BT8,BT8),3),",",ROUND(WLS*$AP44,3)," ")),"")</f>
        <v xml:space="preserve">167.635,5.4 </v>
      </c>
      <c r="Q103" s="377" t="str">
        <f>IFERROR(IF(ISERROR(DE132),"",CONCATENATE(ROUND(X_SHIFT_BP+IF(Tools!Q$97&lt;=Tools!$D$47/2,-BU8,BU8),3),",",ROUND(WLS*$AP44,3)," ")),"")</f>
        <v xml:space="preserve">167.075,5.4 </v>
      </c>
      <c r="R103" s="377" t="str">
        <f>IFERROR(IF(ISERROR(DF132),"",CONCATENATE(ROUND(X_SHIFT_BP+IF(Tools!R$97&lt;=Tools!$D$47/2,-BV8,BV8),3),",",ROUND(WLS*$AP44,3)," ")),"")</f>
        <v xml:space="preserve">165.935,5.4 </v>
      </c>
      <c r="S103" s="377" t="str">
        <f>IFERROR(IF(ISERROR(DG132),"",CONCATENATE(ROUND(X_SHIFT_BP+IF(Tools!S$97&lt;=Tools!$D$47/2,-BW8,BW8),3),",",ROUND(WLS*$AP44,3)," ")),"")</f>
        <v xml:space="preserve">164.345,5.4 </v>
      </c>
      <c r="T103" s="377" t="str">
        <f>IFERROR(IF(ISERROR(DH132),"",CONCATENATE(ROUND(X_SHIFT_BP+IF(Tools!T$97&lt;=Tools!$D$47/2,-BX8,BX8),3),",",ROUND(WLS*$AP44,3)," ")),"")</f>
        <v xml:space="preserve">162.455,5.4 </v>
      </c>
      <c r="U103" s="377" t="str">
        <f>IFERROR(IF(ISERROR(DI132),"",CONCATENATE(ROUND(X_SHIFT_BP+IF(Tools!U$97&lt;=Tools!$D$47/2,-BY8,BY8),3),",",ROUND(WLS*$AP44,3)," ")),"")</f>
        <v xml:space="preserve">160.465,5.4 </v>
      </c>
      <c r="V103" s="377" t="str">
        <f>IFERROR(IF(ISERROR(DJ132),"",CONCATENATE(ROUND(X_SHIFT_BP+IF(Tools!V$97&lt;=Tools!$D$47/2,-BZ8,BZ8),3),",",ROUND(WLS*$AP44,3)," ")),"")</f>
        <v xml:space="preserve">158.685,5.4 </v>
      </c>
      <c r="W103" s="377" t="str">
        <f>IFERROR(IF(ISERROR(DK132),"",CONCATENATE(ROUND(X_SHIFT_BP+IF(Tools!W$97&lt;=Tools!$D$47/2,-CA8,CA8),3),",",ROUND(WLS*$AP44,3)," ")),"")</f>
        <v xml:space="preserve">158.005,5.4 </v>
      </c>
      <c r="X103" s="377" t="str">
        <f>IFERROR(IF(ISERROR(DL132),"",CONCATENATE(ROUND(X_SHIFT_BP+IF(Tools!X$97&lt;=Tools!$D$47/2,-CB8,CB8),3),",",ROUND(WLS*$AP44,3)," ")),"")</f>
        <v xml:space="preserve">157.535,5.4 </v>
      </c>
      <c r="Y103" s="377" t="str">
        <f>IFERROR(IF(ISERROR(DM132),"",CONCATENATE(ROUND(X_SHIFT_BP+IF(Tools!Y$97&lt;=Tools!$D$47/2,-CC8,CC8),3),",",ROUND(WLS*$AP44,3)," ")),"")</f>
        <v xml:space="preserve">157.205,5.4 </v>
      </c>
      <c r="Z103" s="377" t="str">
        <f>IFERROR(IF(ISERROR(DN132),"",CONCATENATE(ROUND(X_SHIFT_BP+IF(Tools!Z$97&lt;=Tools!$D$47/2,-CD8,CD8),3),",",ROUND(WLS*$AP44,3)," ")),"")</f>
        <v xml:space="preserve">156.885,5.4 </v>
      </c>
      <c r="AA103" s="129">
        <v>12</v>
      </c>
      <c r="AB103" s="245" t="str">
        <f t="shared" si="260"/>
        <v xml:space="preserve">Spline </v>
      </c>
      <c r="AC103" s="129" t="str">
        <v/>
      </c>
      <c r="AD103" s="245" t="str">
        <v xml:space="preserve">155.135,0 </v>
      </c>
      <c r="AE103" s="245" t="str">
        <v xml:space="preserve">153.765,0.9 </v>
      </c>
      <c r="AF103" s="245" t="str">
        <v xml:space="preserve">153.135,1.8 </v>
      </c>
      <c r="AG103" s="245" t="str">
        <v xml:space="preserve">152.735,2.7 </v>
      </c>
      <c r="AH103" s="245" t="str">
        <v xml:space="preserve">152.335,3.6 </v>
      </c>
      <c r="AI103" s="245" t="str">
        <v xml:space="preserve">149.735,5.4 </v>
      </c>
      <c r="AJ103" s="245" t="str">
        <v xml:space="preserve">145.735,7.2 </v>
      </c>
      <c r="AK103" s="245" t="str">
        <v xml:space="preserve">144.205,9 </v>
      </c>
      <c r="AL103" s="245" t="str">
        <v xml:space="preserve">143.735,10.1 </v>
      </c>
      <c r="AM103" s="245" t="str">
        <v xml:space="preserve">143.505,10.8 </v>
      </c>
      <c r="AN103" s="245" t="str">
        <v xml:space="preserve">143.225,12.6 </v>
      </c>
      <c r="AO103" s="245" t="str">
        <v xml:space="preserve">143.205,14.19 </v>
      </c>
      <c r="AP103" s="245" t="str">
        <v/>
      </c>
      <c r="AQ103" s="245" t="str">
        <v/>
      </c>
      <c r="AR103" s="245" t="str">
        <v/>
      </c>
      <c r="AS103" s="245" t="str">
        <v/>
      </c>
      <c r="AT103" s="245" t="str">
        <v/>
      </c>
      <c r="AU103" s="245" t="str">
        <v/>
      </c>
      <c r="AV103" s="245" t="str">
        <v/>
      </c>
      <c r="AW103" s="245" t="str">
        <v/>
      </c>
      <c r="AX103" s="245" t="str">
        <v/>
      </c>
      <c r="AY103" s="245" t="str">
        <v/>
      </c>
      <c r="AZ103" s="245" t="str">
        <v/>
      </c>
      <c r="BA103" s="245" t="str">
        <v/>
      </c>
      <c r="BB103" s="245" t="str">
        <v/>
      </c>
      <c r="BC103" s="376">
        <f>Tools!AD8</f>
        <v>3</v>
      </c>
      <c r="BD103" s="376">
        <f>IFERROR(Tools!AD8*STN_GAP,"")</f>
        <v>19.754999999999995</v>
      </c>
      <c r="BE103" s="496">
        <f>IFERROR(IF(ISNUMBER(DE103),NA(),IF(AND($DF103&lt;&gt;0,$DG103&gt;BE$97),NA(),IF($BD103&gt;LBP/2,-(-Tools!AE8),-Tools!AE8))),NA())</f>
        <v>-0.3</v>
      </c>
      <c r="BF103" s="376">
        <f>IFERROR(IF(AND($DF103&lt;&gt;0,$DG103&gt;BF$97),NA(),IF($BD103&gt;LBP/2,-(-Tools!AF8),-Tools!AF8)),NA())</f>
        <v>-1.67</v>
      </c>
      <c r="BG103" s="376">
        <f>IFERROR(IF(AND($DF103&lt;&gt;0,$DG103&gt;BG$97),NA(),IF($BD103&gt;LBP/2,-(-Tools!AG8),-Tools!AG8)),NA())</f>
        <v>-2.2999999999999998</v>
      </c>
      <c r="BH103" s="376">
        <f>IFERROR(IF(AND($DF103&lt;&gt;0,$DG103&gt;BH$97),NA(),IF($BD103&gt;LBP/2,-(-Tools!AH8),-Tools!AH8)),NA())</f>
        <v>-2.7</v>
      </c>
      <c r="BI103" s="376">
        <f>IFERROR(IF(AND($DF103&lt;&gt;0,$DG103&gt;BI$97),NA(),IF($BD103&gt;LBP/2,-(-Tools!AI8),-Tools!AI8)),NA())</f>
        <v>-3.1</v>
      </c>
      <c r="BJ103" s="376">
        <f>IFERROR(IF(AND($DF103&lt;&gt;0,$DG103&gt;BJ$97),NA(),IF($BD103&gt;LBP/2,-(-Tools!AJ8),-Tools!AJ8)),NA())</f>
        <v>-5.7</v>
      </c>
      <c r="BK103" s="376">
        <f>IFERROR(IF(AND($DF103&lt;&gt;0,$DG103&gt;BK$97),NA(),IF($BD103&gt;LBP/2,-(-Tools!AK8),-Tools!AK8)),NA())</f>
        <v>-9.6999999999999993</v>
      </c>
      <c r="BL103" s="376">
        <f>IFERROR(IF(AND($DF103&lt;&gt;0,$DG103&gt;BL$97),NA(),IF($BD103&gt;LBP/2,-(-Tools!AL8),-Tools!AL8)),NA())</f>
        <v>-11.23</v>
      </c>
      <c r="BM103" s="376">
        <f>IFERROR(IF(AND($DF103&lt;&gt;0,$DG103&gt;BM$97),NA(),IF($BD103&gt;LBP/2,-(-Tools!AM8),-Tools!AM8)),NA())</f>
        <v>-11.7</v>
      </c>
      <c r="BN103" s="376">
        <f>IFERROR(IF(AND($DF103&lt;&gt;0,$DG103&gt;BN$97),NA(),IF($BD103&gt;LBP/2,-(-Tools!AN8),-Tools!AN8)),NA())</f>
        <v>-11.93</v>
      </c>
      <c r="BO103" s="376">
        <f>IFERROR(IF(AND($DF103&lt;&gt;0,$DG103&gt;BO$97),NA(),IF($BD103&gt;LBP/2,-(-Tools!AO8),-Tools!AO8)),NA())</f>
        <v>-12.21</v>
      </c>
      <c r="BP103" s="376">
        <f>IFERROR(IF(AND($DF103&lt;&gt;0,$DG103&gt;BP$97),NA(),IF($BD103&gt;LBP/2,-(-Tools!AP8),-Tools!AP8)),NA())</f>
        <v>-12.23</v>
      </c>
      <c r="BQ103" s="376" t="e">
        <f>IFERROR(IF(AND($DF103&lt;&gt;0,$DG103&gt;BQ$97),NA(),IF($BD103&gt;LBP/2,-(-Tools!AQ8),-Tools!AQ8)),NA())</f>
        <v>#N/A</v>
      </c>
      <c r="BR103" s="376" t="e">
        <f>IFERROR(IF(AND($DF103&lt;&gt;0,$DG103&gt;BR$97),NA(),IF($BD103&gt;LBP/2,-(-Tools!AR8),-Tools!AR8)),NA())</f>
        <v>#N/A</v>
      </c>
      <c r="BS103" s="376" t="e">
        <f>IFERROR(IF(AND($DF103&lt;&gt;0,$DG103&gt;BS$97),NA(),IF($BD103&gt;LBP/2,-(-Tools!AS8),-Tools!AS8)),NA())</f>
        <v>#N/A</v>
      </c>
      <c r="BT103" s="376" t="e">
        <f>IFERROR(IF(AND($DF103&lt;&gt;0,$DG103&gt;BT$97),NA(),IF($BD103&gt;LBP/2,-(-Tools!AT8),-Tools!AT8)),NA())</f>
        <v>#N/A</v>
      </c>
      <c r="BU103" s="376" t="e">
        <f>IFERROR(IF(AND($DF103&lt;&gt;0,$DG103&gt;BU$97),NA(),IF($BD103&gt;LBP/2,-(-Tools!AU8),-Tools!AU8)),NA())</f>
        <v>#N/A</v>
      </c>
      <c r="BV103" s="376" t="e">
        <f>IFERROR(IF(AND($DF103&lt;&gt;0,$DG103&gt;BV$97),NA(),IF($BD103&gt;LBP/2,-(-Tools!AV8),-Tools!AV8)),NA())</f>
        <v>#N/A</v>
      </c>
      <c r="BW103" s="376" t="e">
        <f>IFERROR(IF(AND($DF103&lt;&gt;0,$DG103&gt;BW$97),NA(),IF($BD103&gt;LBP/2,-(-Tools!AW8),-Tools!AW8)),NA())</f>
        <v>#N/A</v>
      </c>
      <c r="BX103" s="376" t="e">
        <f>IFERROR(IF(AND($DF103&lt;&gt;0,$DG103&gt;BX$97),NA(),IF($BD103&gt;LBP/2,-(-Tools!AX8),-Tools!AX8)),NA())</f>
        <v>#N/A</v>
      </c>
      <c r="BY103" s="376" t="e">
        <f>IFERROR(IF(AND($DF103&lt;&gt;0,$DG103&gt;BY$97),NA(),IF($BD103&gt;LBP/2,-(-Tools!AY8),-Tools!AY8)),NA())</f>
        <v>#N/A</v>
      </c>
      <c r="BZ103" s="376" t="e">
        <f>IFERROR(IF(AND($DF103&lt;&gt;0,$DG103&gt;BZ$97),NA(),IF($BD103&gt;LBP/2,-(-Tools!AZ8),-Tools!AZ8)),NA())</f>
        <v>#N/A</v>
      </c>
      <c r="CA103" s="376" t="e">
        <f>IFERROR(IF(AND($DF103&lt;&gt;0,$DG103&gt;CA$97),NA(),IF($BD103&gt;LBP/2,-(-Tools!BA8),-Tools!BA8)),NA())</f>
        <v>#N/A</v>
      </c>
      <c r="CB103" s="376" t="e">
        <f>IFERROR(IF(AND($DF103&lt;&gt;0,$DG103&gt;CB$97),NA(),IF($BD103&gt;LBP/2,-(-Tools!BB8),-Tools!BB8)),NA())</f>
        <v>#N/A</v>
      </c>
      <c r="CC103" s="376" t="e">
        <f>IFERROR(IF(AND($DF103&lt;&gt;0,$DG103&gt;CC$97),NA(),IF($BD103&gt;LBP/2,-(-Tools!BC8),-Tools!BC8)),NA())</f>
        <v>#N/A</v>
      </c>
      <c r="CE103" s="425" t="b">
        <f t="shared" si="207"/>
        <v>0</v>
      </c>
      <c r="CF103" s="425" t="b">
        <f t="shared" si="208"/>
        <v>0</v>
      </c>
      <c r="CG103" s="425" t="b">
        <f t="shared" si="209"/>
        <v>0</v>
      </c>
      <c r="CH103" s="425" t="b">
        <f t="shared" si="210"/>
        <v>0</v>
      </c>
      <c r="CI103" s="425" t="b">
        <f t="shared" si="211"/>
        <v>0</v>
      </c>
      <c r="CJ103" s="425" t="b">
        <f t="shared" si="212"/>
        <v>0</v>
      </c>
      <c r="CK103" s="425" t="b">
        <f t="shared" si="213"/>
        <v>0</v>
      </c>
      <c r="CL103" s="425" t="b">
        <f t="shared" si="214"/>
        <v>0</v>
      </c>
      <c r="CM103" s="425" t="b">
        <f t="shared" si="215"/>
        <v>0</v>
      </c>
      <c r="CN103" s="425" t="b">
        <f t="shared" si="216"/>
        <v>0</v>
      </c>
      <c r="CO103" s="425" t="b">
        <f t="shared" si="217"/>
        <v>0</v>
      </c>
      <c r="CP103" s="425" t="b">
        <f t="shared" si="218"/>
        <v>0</v>
      </c>
      <c r="CQ103" s="425" t="b">
        <f t="shared" si="219"/>
        <v>0</v>
      </c>
      <c r="CR103" s="425" t="b">
        <f t="shared" si="220"/>
        <v>0</v>
      </c>
      <c r="CS103" s="425" t="b">
        <f t="shared" si="221"/>
        <v>0</v>
      </c>
      <c r="CT103" s="425" t="b">
        <f t="shared" si="222"/>
        <v>0</v>
      </c>
      <c r="CU103" s="425" t="b">
        <f t="shared" si="223"/>
        <v>0</v>
      </c>
      <c r="CV103" s="425" t="b">
        <f t="shared" si="224"/>
        <v>0</v>
      </c>
      <c r="CW103" s="425" t="b">
        <f t="shared" si="225"/>
        <v>0</v>
      </c>
      <c r="CX103" s="425" t="b">
        <f t="shared" si="226"/>
        <v>0</v>
      </c>
      <c r="CY103" s="425" t="b">
        <f t="shared" si="227"/>
        <v>0</v>
      </c>
      <c r="CZ103" s="425" t="b">
        <f t="shared" si="228"/>
        <v>0</v>
      </c>
      <c r="DA103" s="425" t="b">
        <f t="shared" si="229"/>
        <v>0</v>
      </c>
      <c r="DB103" s="425" t="b">
        <f t="shared" si="230"/>
        <v>0</v>
      </c>
      <c r="DC103" s="425"/>
      <c r="DD103" s="425">
        <f t="shared" si="261"/>
        <v>0</v>
      </c>
      <c r="DE103" s="425" t="str">
        <f t="shared" si="231"/>
        <v>-</v>
      </c>
      <c r="DF103" s="425">
        <f t="shared" si="232"/>
        <v>0</v>
      </c>
      <c r="DG103" s="425">
        <f t="shared" si="262"/>
        <v>0</v>
      </c>
      <c r="DH103" s="425">
        <f t="shared" si="233"/>
        <v>3</v>
      </c>
      <c r="DI103" s="425"/>
      <c r="DJ103" s="425" t="e">
        <f t="shared" si="263"/>
        <v>#N/A</v>
      </c>
      <c r="DK103" s="425">
        <f t="shared" si="180"/>
        <v>-0.3</v>
      </c>
      <c r="DL103" s="425">
        <f t="shared" si="181"/>
        <v>-1.67</v>
      </c>
      <c r="DM103" s="425">
        <f t="shared" si="182"/>
        <v>-2.2999999999999998</v>
      </c>
      <c r="DN103" s="425">
        <f t="shared" si="183"/>
        <v>-2.7</v>
      </c>
      <c r="DO103" s="425">
        <f t="shared" si="184"/>
        <v>-3.1</v>
      </c>
      <c r="DP103" s="425">
        <f t="shared" si="185"/>
        <v>-5.7</v>
      </c>
      <c r="DQ103" s="425">
        <f t="shared" si="186"/>
        <v>-9.6999999999999993</v>
      </c>
      <c r="DR103" s="425">
        <f t="shared" si="187"/>
        <v>-11.23</v>
      </c>
      <c r="DS103" s="425">
        <f t="shared" si="188"/>
        <v>-11.7</v>
      </c>
      <c r="DT103" s="425">
        <f t="shared" si="189"/>
        <v>-11.93</v>
      </c>
      <c r="DU103" s="425">
        <f t="shared" si="190"/>
        <v>-12.21</v>
      </c>
      <c r="DV103" s="425">
        <f t="shared" si="191"/>
        <v>-12.23</v>
      </c>
      <c r="DW103" s="425" t="e">
        <f t="shared" si="192"/>
        <v>#N/A</v>
      </c>
      <c r="DX103" s="425" t="e">
        <f t="shared" si="193"/>
        <v>#N/A</v>
      </c>
      <c r="DY103" s="425" t="e">
        <f t="shared" si="194"/>
        <v>#N/A</v>
      </c>
      <c r="DZ103" s="425" t="e">
        <f t="shared" si="195"/>
        <v>#N/A</v>
      </c>
      <c r="EA103" s="425" t="e">
        <f t="shared" si="196"/>
        <v>#N/A</v>
      </c>
      <c r="EB103" s="425" t="e">
        <f t="shared" si="197"/>
        <v>#N/A</v>
      </c>
      <c r="EC103" s="425" t="e">
        <f t="shared" si="198"/>
        <v>#N/A</v>
      </c>
      <c r="ED103" s="425" t="e">
        <f t="shared" si="199"/>
        <v>#N/A</v>
      </c>
      <c r="EE103" s="425" t="e">
        <f t="shared" si="200"/>
        <v>#N/A</v>
      </c>
      <c r="EF103" s="425" t="e">
        <f t="shared" si="201"/>
        <v>#N/A</v>
      </c>
      <c r="EG103" s="425" t="e">
        <f t="shared" si="202"/>
        <v>#N/A</v>
      </c>
      <c r="EH103" s="425" t="e">
        <f t="shared" si="203"/>
        <v>#N/A</v>
      </c>
      <c r="EI103" s="425" t="e">
        <f t="shared" si="204"/>
        <v>#N/A</v>
      </c>
      <c r="EJ103" s="425"/>
      <c r="EK103" s="425"/>
      <c r="EL103" s="425" t="e">
        <f t="shared" si="234"/>
        <v>#N/A</v>
      </c>
      <c r="EM103" s="425">
        <f>IF(ISERROR(EL103),DK$97,IF(AND(ISNUMBER(EL103),EL103=0),NA(),DK$97))</f>
        <v>0</v>
      </c>
      <c r="EN103" s="425">
        <f t="shared" si="236"/>
        <v>0.9</v>
      </c>
      <c r="EO103" s="425">
        <f t="shared" si="237"/>
        <v>1.8</v>
      </c>
      <c r="EP103" s="425">
        <f t="shared" si="238"/>
        <v>2.7</v>
      </c>
      <c r="EQ103" s="425">
        <f t="shared" si="239"/>
        <v>3.6</v>
      </c>
      <c r="ER103" s="425">
        <f t="shared" si="240"/>
        <v>5.4</v>
      </c>
      <c r="ES103" s="425">
        <f t="shared" si="241"/>
        <v>7.2</v>
      </c>
      <c r="ET103" s="425">
        <f t="shared" si="242"/>
        <v>9</v>
      </c>
      <c r="EU103" s="425">
        <f t="shared" si="243"/>
        <v>10.1</v>
      </c>
      <c r="EV103" s="425">
        <f t="shared" si="244"/>
        <v>10.8</v>
      </c>
      <c r="EW103" s="425">
        <f t="shared" si="245"/>
        <v>12.6</v>
      </c>
      <c r="EX103" s="425">
        <f t="shared" si="246"/>
        <v>14.19</v>
      </c>
      <c r="EY103" s="425" t="e">
        <f t="shared" si="247"/>
        <v>#N/A</v>
      </c>
      <c r="EZ103" s="425" t="e">
        <f t="shared" si="248"/>
        <v>#N/A</v>
      </c>
      <c r="FA103" s="425" t="e">
        <f t="shared" si="249"/>
        <v>#N/A</v>
      </c>
      <c r="FB103" s="425" t="e">
        <f t="shared" si="250"/>
        <v>#N/A</v>
      </c>
      <c r="FC103" s="425" t="e">
        <f t="shared" si="251"/>
        <v>#N/A</v>
      </c>
      <c r="FD103" s="425" t="e">
        <f t="shared" si="252"/>
        <v>#N/A</v>
      </c>
      <c r="FE103" s="425" t="e">
        <f t="shared" si="253"/>
        <v>#N/A</v>
      </c>
      <c r="FF103" s="425" t="e">
        <f t="shared" si="254"/>
        <v>#N/A</v>
      </c>
      <c r="FG103" s="425" t="e">
        <f t="shared" si="255"/>
        <v>#N/A</v>
      </c>
      <c r="FH103" s="425" t="e">
        <f t="shared" si="256"/>
        <v>#N/A</v>
      </c>
      <c r="FI103" s="425" t="e">
        <f t="shared" si="257"/>
        <v>#N/A</v>
      </c>
      <c r="FJ103" s="425" t="e">
        <f t="shared" si="258"/>
        <v>#N/A</v>
      </c>
      <c r="FK103" s="425" t="e">
        <f t="shared" si="259"/>
        <v>#N/A</v>
      </c>
    </row>
    <row r="104" spans="1:167" x14ac:dyDescent="0.25">
      <c r="A104" s="374">
        <f t="shared" si="206"/>
        <v>4</v>
      </c>
      <c r="B104" s="377" t="str">
        <f>IFERROR(IF(ISERROR(CP133),"",CONCATENATE(ROUND(X_SHIFT_BP+IF(Tools!B$97&lt;=Tools!$D$47/2,-BF9,BF9),3),",",ROUND(WLS*$AP45,3)," ")),"")</f>
        <v/>
      </c>
      <c r="C104" s="377" t="str">
        <f>IFERROR(IF(ISERROR(CQ133),"",CONCATENATE(ROUND(X_SHIFT_BP+IF(Tools!C$97&lt;=Tools!$D$47/2,-BG9,BG9),3),",",ROUND(WLS*$AP45,3)," ")),"")</f>
        <v/>
      </c>
      <c r="D104" s="377" t="str">
        <f>IFERROR(IF(ISERROR(CR133),"",CONCATENATE(ROUND(X_SHIFT_BP+IF(Tools!D$97&lt;=Tools!$D$47/2,-BH9,BH9),3),",",ROUND(WLS*$AP45,3)," ")),"")</f>
        <v/>
      </c>
      <c r="E104" s="377" t="str">
        <f>IFERROR(IF(ISERROR(CS133),"",CONCATENATE(ROUND(X_SHIFT_BP+IF(Tools!E$97&lt;=Tools!$D$47/2,-BI9,BI9),3),",",ROUND(WLS*$AP45,3)," ")),"")</f>
        <v xml:space="preserve">153.035,7.2 </v>
      </c>
      <c r="F104" s="377" t="str">
        <f>IFERROR(IF(ISERROR(CT133),"",CONCATENATE(ROUND(X_SHIFT_BP+IF(Tools!F$97&lt;=Tools!$D$47/2,-BJ9,BJ9),3),",",ROUND(WLS*$AP45,3)," ")),"")</f>
        <v xml:space="preserve">149.935,7.2 </v>
      </c>
      <c r="G104" s="377" t="str">
        <f>IFERROR(IF(ISERROR(CU133),"",CONCATENATE(ROUND(X_SHIFT_BP+IF(Tools!G$97&lt;=Tools!$D$47/2,-BK9,BK9),3),",",ROUND(WLS*$AP45,3)," ")),"")</f>
        <v xml:space="preserve">145.735,7.2 </v>
      </c>
      <c r="H104" s="377" t="str">
        <f>IFERROR(IF(ISERROR(CV133),"",CONCATENATE(ROUND(X_SHIFT_BP+IF(Tools!H$97&lt;=Tools!$D$47/2,-BL9,BL9),3),",",ROUND(WLS*$AP45,3)," ")),"")</f>
        <v xml:space="preserve">144.265,7.2 </v>
      </c>
      <c r="I104" s="377" t="str">
        <f>IFERROR(IF(ISERROR(CW133),"",CONCATENATE(ROUND(X_SHIFT_BP+IF(Tools!I$97&lt;=Tools!$D$47/2,-BM9,BM9),3),",",ROUND(WLS*$AP45,3)," ")),"")</f>
        <v xml:space="preserve">143.485,7.2 </v>
      </c>
      <c r="J104" s="377" t="str">
        <f>IFERROR(IF(ISERROR(CX133),"",CONCATENATE(ROUND(X_SHIFT_BP+IF(Tools!J$97&lt;=Tools!$D$47/2,-BN9,BN9),3),",",ROUND(WLS*$AP45,3)," ")),"")</f>
        <v xml:space="preserve">143.185,7.2 </v>
      </c>
      <c r="K104" s="377" t="str">
        <f>IFERROR(IF(ISERROR(CY133),"",CONCATENATE(ROUND(X_SHIFT_BP+IF(Tools!K$97&lt;=Tools!$D$47/2,-BO9,BO9),3),",",ROUND(WLS*$AP45,3)," ")),"")</f>
        <v xml:space="preserve">143.185,7.2 </v>
      </c>
      <c r="L104" s="377" t="str">
        <f>IFERROR(IF(ISERROR(CZ133),"",CONCATENATE(ROUND(X_SHIFT_BP+IF(Tools!L$97&lt;=Tools!$D$47/2,-BP9,BP9),3),",",ROUND(WLS*$AP45,3)," ")),"")</f>
        <v xml:space="preserve">143.185,7.2 </v>
      </c>
      <c r="M104" s="377" t="str">
        <f>IFERROR(IF(ISERROR(DA133),"",CONCATENATE(ROUND(X_SHIFT_BP+IF(Tools!M$97&lt;=Tools!$D$47/2,-BQ9,BQ9),3),",",ROUND(WLS*$AP45,3)," ")),"")</f>
        <v xml:space="preserve">143.185,7.2 </v>
      </c>
      <c r="N104" s="377" t="str">
        <f>IFERROR(IF(ISERROR(DB133),"",CONCATENATE(ROUND(X_SHIFT_BP+IF(Tools!N$97&lt;=Tools!$D$47/2,-BR9,BR9),3),",",ROUND(WLS*$AP45,3)," ")),"")</f>
        <v xml:space="preserve">143.185,7.2 </v>
      </c>
      <c r="O104" s="377" t="str">
        <f>IFERROR(IF(ISERROR(DC133),"",CONCATENATE(ROUND(X_SHIFT_BP+IF(Tools!O$97&lt;=Tools!$D$47/2,-BS9,BS9),3),",",ROUND(WLS*$AP45,3)," ")),"")</f>
        <v xml:space="preserve">167.685,7.2 </v>
      </c>
      <c r="P104" s="377" t="str">
        <f>IFERROR(IF(ISERROR(DD133),"",CONCATENATE(ROUND(X_SHIFT_BP+IF(Tools!P$97&lt;=Tools!$D$47/2,-BT9,BT9),3),",",ROUND(WLS*$AP45,3)," ")),"")</f>
        <v xml:space="preserve">167.685,7.2 </v>
      </c>
      <c r="Q104" s="377" t="str">
        <f>IFERROR(IF(ISERROR(DE133),"",CONCATENATE(ROUND(X_SHIFT_BP+IF(Tools!Q$97&lt;=Tools!$D$47/2,-BU9,BU9),3),",",ROUND(WLS*$AP45,3)," ")),"")</f>
        <v xml:space="preserve">167.405,7.2 </v>
      </c>
      <c r="R104" s="377" t="str">
        <f>IFERROR(IF(ISERROR(DF133),"",CONCATENATE(ROUND(X_SHIFT_BP+IF(Tools!R$97&lt;=Tools!$D$47/2,-BV9,BV9),3),",",ROUND(WLS*$AP45,3)," ")),"")</f>
        <v xml:space="preserve">166.495,7.2 </v>
      </c>
      <c r="S104" s="377" t="str">
        <f>IFERROR(IF(ISERROR(DG133),"",CONCATENATE(ROUND(X_SHIFT_BP+IF(Tools!S$97&lt;=Tools!$D$47/2,-BW9,BW9),3),",",ROUND(WLS*$AP45,3)," ")),"")</f>
        <v xml:space="preserve">165.075,7.2 </v>
      </c>
      <c r="T104" s="377" t="str">
        <f>IFERROR(IF(ISERROR(DH133),"",CONCATENATE(ROUND(X_SHIFT_BP+IF(Tools!T$97&lt;=Tools!$D$47/2,-BX9,BX9),3),",",ROUND(WLS*$AP45,3)," ")),"")</f>
        <v xml:space="preserve">163.245,7.2 </v>
      </c>
      <c r="U104" s="377" t="str">
        <f>IFERROR(IF(ISERROR(DI133),"",CONCATENATE(ROUND(X_SHIFT_BP+IF(Tools!U$97&lt;=Tools!$D$47/2,-BY9,BY9),3),",",ROUND(WLS*$AP45,3)," ")),"")</f>
        <v xml:space="preserve">161.125,7.2 </v>
      </c>
      <c r="V104" s="377" t="str">
        <f>IFERROR(IF(ISERROR(DJ133),"",CONCATENATE(ROUND(X_SHIFT_BP+IF(Tools!V$97&lt;=Tools!$D$47/2,-BZ9,BZ9),3),",",ROUND(WLS*$AP45,3)," ")),"")</f>
        <v xml:space="preserve">158.945,7.2 </v>
      </c>
      <c r="W104" s="377" t="str">
        <f>IFERROR(IF(ISERROR(DK133),"",CONCATENATE(ROUND(X_SHIFT_BP+IF(Tools!W$97&lt;=Tools!$D$47/2,-CA9,CA9),3),",",ROUND(WLS*$AP45,3)," ")),"")</f>
        <v xml:space="preserve">157.985,7.2 </v>
      </c>
      <c r="X104" s="377" t="str">
        <f>IFERROR(IF(ISERROR(DL133),"",CONCATENATE(ROUND(X_SHIFT_BP+IF(Tools!X$97&lt;=Tools!$D$47/2,-CB9,CB9),3),",",ROUND(WLS*$AP45,3)," ")),"")</f>
        <v xml:space="preserve">157.235,7.2 </v>
      </c>
      <c r="Y104" s="377" t="str">
        <f>IFERROR(IF(ISERROR(DM133),"",CONCATENATE(ROUND(X_SHIFT_BP+IF(Tools!Y$97&lt;=Tools!$D$47/2,-CC9,CC9),3),",",ROUND(WLS*$AP45,3)," ")),"")</f>
        <v xml:space="preserve">156.745,7.2 </v>
      </c>
      <c r="Z104" s="377" t="str">
        <f>IFERROR(IF(ISERROR(DN133),"",CONCATENATE(ROUND(X_SHIFT_BP+IF(Tools!Z$97&lt;=Tools!$D$47/2,-CD9,CD9),3),",",ROUND(WLS*$AP45,3)," ")),"")</f>
        <v xml:space="preserve">156.475,7.2 </v>
      </c>
      <c r="AA104" s="129">
        <v>12</v>
      </c>
      <c r="AB104" s="245" t="str">
        <f t="shared" si="260"/>
        <v xml:space="preserve">Spline </v>
      </c>
      <c r="AC104" s="129" t="str">
        <v/>
      </c>
      <c r="AD104" s="245" t="str">
        <v xml:space="preserve">154.435,0 </v>
      </c>
      <c r="AE104" s="245" t="str">
        <v xml:space="preserve">152.265,0.9 </v>
      </c>
      <c r="AF104" s="245" t="str">
        <v xml:space="preserve">151.355,1.8 </v>
      </c>
      <c r="AG104" s="245" t="str">
        <v xml:space="preserve">150.635,2.7 </v>
      </c>
      <c r="AH104" s="245" t="str">
        <v xml:space="preserve">149.635,3.6 </v>
      </c>
      <c r="AI104" s="245" t="str">
        <v xml:space="preserve">146.235,5.4 </v>
      </c>
      <c r="AJ104" s="245" t="str">
        <v xml:space="preserve">144.265,7.2 </v>
      </c>
      <c r="AK104" s="245" t="str">
        <v xml:space="preserve">143.525,9 </v>
      </c>
      <c r="AL104" s="245" t="str">
        <v xml:space="preserve">143.295,10.1 </v>
      </c>
      <c r="AM104" s="245" t="str">
        <v xml:space="preserve">143.235,10.8 </v>
      </c>
      <c r="AN104" s="245" t="str">
        <v xml:space="preserve">143.185,12.6 </v>
      </c>
      <c r="AO104" s="245" t="str">
        <v xml:space="preserve">143.185,14.19 </v>
      </c>
      <c r="AP104" s="245" t="str">
        <v/>
      </c>
      <c r="AQ104" s="245" t="str">
        <v/>
      </c>
      <c r="AR104" s="245" t="str">
        <v/>
      </c>
      <c r="AS104" s="245" t="str">
        <v/>
      </c>
      <c r="AT104" s="245" t="str">
        <v/>
      </c>
      <c r="AU104" s="245" t="str">
        <v/>
      </c>
      <c r="AV104" s="245" t="str">
        <v/>
      </c>
      <c r="AW104" s="245" t="str">
        <v/>
      </c>
      <c r="AX104" s="245" t="str">
        <v/>
      </c>
      <c r="AY104" s="245" t="str">
        <v/>
      </c>
      <c r="AZ104" s="245" t="str">
        <v/>
      </c>
      <c r="BA104" s="245" t="str">
        <v/>
      </c>
      <c r="BB104" s="245" t="str">
        <v/>
      </c>
      <c r="BC104" s="376">
        <f>Tools!AD9</f>
        <v>4</v>
      </c>
      <c r="BD104" s="376">
        <f>IFERROR(Tools!AD9*STN_GAP,"")</f>
        <v>26.339999999999996</v>
      </c>
      <c r="BE104" s="496">
        <f>IFERROR(IF(ISNUMBER(DE104),NA(),IF(AND($DF104&lt;&gt;0,$DG104&gt;BE$97),NA(),IF($BD104&gt;LBP/2,-(-Tools!AE9),-Tools!AE9))),NA())</f>
        <v>-1</v>
      </c>
      <c r="BF104" s="376">
        <f>IFERROR(IF(AND($DF104&lt;&gt;0,$DG104&gt;BF$97),NA(),IF($BD104&gt;LBP/2,-(-Tools!AF9),-Tools!AF9)),NA())</f>
        <v>-3.17</v>
      </c>
      <c r="BG104" s="376">
        <f>IFERROR(IF(AND($DF104&lt;&gt;0,$DG104&gt;BG$97),NA(),IF($BD104&gt;LBP/2,-(-Tools!AG9),-Tools!AG9)),NA())</f>
        <v>-4.08</v>
      </c>
      <c r="BH104" s="376">
        <f>IFERROR(IF(AND($DF104&lt;&gt;0,$DG104&gt;BH$97),NA(),IF($BD104&gt;LBP/2,-(-Tools!AH9),-Tools!AH9)),NA())</f>
        <v>-4.8</v>
      </c>
      <c r="BI104" s="376">
        <f>IFERROR(IF(AND($DF104&lt;&gt;0,$DG104&gt;BI$97),NA(),IF($BD104&gt;LBP/2,-(-Tools!AI9),-Tools!AI9)),NA())</f>
        <v>-5.8</v>
      </c>
      <c r="BJ104" s="376">
        <f>IFERROR(IF(AND($DF104&lt;&gt;0,$DG104&gt;BJ$97),NA(),IF($BD104&gt;LBP/2,-(-Tools!AJ9),-Tools!AJ9)),NA())</f>
        <v>-9.1999999999999993</v>
      </c>
      <c r="BK104" s="376">
        <f>IFERROR(IF(AND($DF104&lt;&gt;0,$DG104&gt;BK$97),NA(),IF($BD104&gt;LBP/2,-(-Tools!AK9),-Tools!AK9)),NA())</f>
        <v>-11.17</v>
      </c>
      <c r="BL104" s="376">
        <f>IFERROR(IF(AND($DF104&lt;&gt;0,$DG104&gt;BL$97),NA(),IF($BD104&gt;LBP/2,-(-Tools!AL9),-Tools!AL9)),NA())</f>
        <v>-11.91</v>
      </c>
      <c r="BM104" s="376">
        <f>IFERROR(IF(AND($DF104&lt;&gt;0,$DG104&gt;BM$97),NA(),IF($BD104&gt;LBP/2,-(-Tools!AM9),-Tools!AM9)),NA())</f>
        <v>-12.14</v>
      </c>
      <c r="BN104" s="376">
        <f>IFERROR(IF(AND($DF104&lt;&gt;0,$DG104&gt;BN$97),NA(),IF($BD104&gt;LBP/2,-(-Tools!AN9),-Tools!AN9)),NA())</f>
        <v>-12.2</v>
      </c>
      <c r="BO104" s="376">
        <f>IFERROR(IF(AND($DF104&lt;&gt;0,$DG104&gt;BO$97),NA(),IF($BD104&gt;LBP/2,-(-Tools!AO9),-Tools!AO9)),NA())</f>
        <v>-12.25</v>
      </c>
      <c r="BP104" s="376">
        <f>IFERROR(IF(AND($DF104&lt;&gt;0,$DG104&gt;BP$97),NA(),IF($BD104&gt;LBP/2,-(-Tools!AP9),-Tools!AP9)),NA())</f>
        <v>-12.25</v>
      </c>
      <c r="BQ104" s="376" t="e">
        <f>IFERROR(IF(AND($DF104&lt;&gt;0,$DG104&gt;BQ$97),NA(),IF($BD104&gt;LBP/2,-(-Tools!AQ9),-Tools!AQ9)),NA())</f>
        <v>#N/A</v>
      </c>
      <c r="BR104" s="376" t="e">
        <f>IFERROR(IF(AND($DF104&lt;&gt;0,$DG104&gt;BR$97),NA(),IF($BD104&gt;LBP/2,-(-Tools!AR9),-Tools!AR9)),NA())</f>
        <v>#N/A</v>
      </c>
      <c r="BS104" s="376" t="e">
        <f>IFERROR(IF(AND($DF104&lt;&gt;0,$DG104&gt;BS$97),NA(),IF($BD104&gt;LBP/2,-(-Tools!AS9),-Tools!AS9)),NA())</f>
        <v>#N/A</v>
      </c>
      <c r="BT104" s="376" t="e">
        <f>IFERROR(IF(AND($DF104&lt;&gt;0,$DG104&gt;BT$97),NA(),IF($BD104&gt;LBP/2,-(-Tools!AT9),-Tools!AT9)),NA())</f>
        <v>#N/A</v>
      </c>
      <c r="BU104" s="376" t="e">
        <f>IFERROR(IF(AND($DF104&lt;&gt;0,$DG104&gt;BU$97),NA(),IF($BD104&gt;LBP/2,-(-Tools!AU9),-Tools!AU9)),NA())</f>
        <v>#N/A</v>
      </c>
      <c r="BV104" s="376" t="e">
        <f>IFERROR(IF(AND($DF104&lt;&gt;0,$DG104&gt;BV$97),NA(),IF($BD104&gt;LBP/2,-(-Tools!AV9),-Tools!AV9)),NA())</f>
        <v>#N/A</v>
      </c>
      <c r="BW104" s="376" t="e">
        <f>IFERROR(IF(AND($DF104&lt;&gt;0,$DG104&gt;BW$97),NA(),IF($BD104&gt;LBP/2,-(-Tools!AW9),-Tools!AW9)),NA())</f>
        <v>#N/A</v>
      </c>
      <c r="BX104" s="376" t="e">
        <f>IFERROR(IF(AND($DF104&lt;&gt;0,$DG104&gt;BX$97),NA(),IF($BD104&gt;LBP/2,-(-Tools!AX9),-Tools!AX9)),NA())</f>
        <v>#N/A</v>
      </c>
      <c r="BY104" s="376" t="e">
        <f>IFERROR(IF(AND($DF104&lt;&gt;0,$DG104&gt;BY$97),NA(),IF($BD104&gt;LBP/2,-(-Tools!AY9),-Tools!AY9)),NA())</f>
        <v>#N/A</v>
      </c>
      <c r="BZ104" s="376" t="e">
        <f>IFERROR(IF(AND($DF104&lt;&gt;0,$DG104&gt;BZ$97),NA(),IF($BD104&gt;LBP/2,-(-Tools!AZ9),-Tools!AZ9)),NA())</f>
        <v>#N/A</v>
      </c>
      <c r="CA104" s="376" t="e">
        <f>IFERROR(IF(AND($DF104&lt;&gt;0,$DG104&gt;CA$97),NA(),IF($BD104&gt;LBP/2,-(-Tools!BA9),-Tools!BA9)),NA())</f>
        <v>#N/A</v>
      </c>
      <c r="CB104" s="376" t="e">
        <f>IFERROR(IF(AND($DF104&lt;&gt;0,$DG104&gt;CB$97),NA(),IF($BD104&gt;LBP/2,-(-Tools!BB9),-Tools!BB9)),NA())</f>
        <v>#N/A</v>
      </c>
      <c r="CC104" s="376" t="e">
        <f>IFERROR(IF(AND($DF104&lt;&gt;0,$DG104&gt;CC$97),NA(),IF($BD104&gt;LBP/2,-(-Tools!BC9),-Tools!BC9)),NA())</f>
        <v>#N/A</v>
      </c>
      <c r="CE104" s="425" t="b">
        <f t="shared" si="207"/>
        <v>0</v>
      </c>
      <c r="CF104" s="425" t="b">
        <f t="shared" si="208"/>
        <v>0</v>
      </c>
      <c r="CG104" s="425" t="b">
        <f t="shared" si="209"/>
        <v>0</v>
      </c>
      <c r="CH104" s="425" t="b">
        <f t="shared" si="210"/>
        <v>0</v>
      </c>
      <c r="CI104" s="425" t="b">
        <f t="shared" si="211"/>
        <v>0</v>
      </c>
      <c r="CJ104" s="425" t="b">
        <f t="shared" si="212"/>
        <v>0</v>
      </c>
      <c r="CK104" s="425" t="b">
        <f t="shared" si="213"/>
        <v>0</v>
      </c>
      <c r="CL104" s="425" t="b">
        <f t="shared" si="214"/>
        <v>0</v>
      </c>
      <c r="CM104" s="425" t="b">
        <f t="shared" si="215"/>
        <v>0</v>
      </c>
      <c r="CN104" s="425" t="b">
        <f t="shared" si="216"/>
        <v>0</v>
      </c>
      <c r="CO104" s="425" t="b">
        <f t="shared" si="217"/>
        <v>0</v>
      </c>
      <c r="CP104" s="425" t="b">
        <f t="shared" si="218"/>
        <v>0</v>
      </c>
      <c r="CQ104" s="425" t="b">
        <f t="shared" si="219"/>
        <v>0</v>
      </c>
      <c r="CR104" s="425" t="b">
        <f t="shared" si="220"/>
        <v>0</v>
      </c>
      <c r="CS104" s="425" t="b">
        <f t="shared" si="221"/>
        <v>0</v>
      </c>
      <c r="CT104" s="425" t="b">
        <f t="shared" si="222"/>
        <v>0</v>
      </c>
      <c r="CU104" s="425" t="b">
        <f t="shared" si="223"/>
        <v>0</v>
      </c>
      <c r="CV104" s="425" t="b">
        <f t="shared" si="224"/>
        <v>0</v>
      </c>
      <c r="CW104" s="425" t="b">
        <f t="shared" si="225"/>
        <v>0</v>
      </c>
      <c r="CX104" s="425" t="b">
        <f t="shared" si="226"/>
        <v>0</v>
      </c>
      <c r="CY104" s="425" t="b">
        <f t="shared" si="227"/>
        <v>0</v>
      </c>
      <c r="CZ104" s="425" t="b">
        <f t="shared" si="228"/>
        <v>0</v>
      </c>
      <c r="DA104" s="425" t="b">
        <f t="shared" si="229"/>
        <v>0</v>
      </c>
      <c r="DB104" s="425" t="b">
        <f t="shared" si="230"/>
        <v>0</v>
      </c>
      <c r="DC104" s="425"/>
      <c r="DD104" s="425">
        <f t="shared" si="261"/>
        <v>0</v>
      </c>
      <c r="DE104" s="425" t="str">
        <f t="shared" si="231"/>
        <v>-</v>
      </c>
      <c r="DF104" s="425">
        <f t="shared" si="232"/>
        <v>0</v>
      </c>
      <c r="DG104" s="425">
        <f t="shared" si="262"/>
        <v>0</v>
      </c>
      <c r="DH104" s="425">
        <f t="shared" si="233"/>
        <v>4</v>
      </c>
      <c r="DI104" s="425"/>
      <c r="DJ104" s="425" t="e">
        <f t="shared" si="263"/>
        <v>#N/A</v>
      </c>
      <c r="DK104" s="425">
        <f t="shared" si="180"/>
        <v>-1</v>
      </c>
      <c r="DL104" s="425">
        <f t="shared" si="181"/>
        <v>-3.17</v>
      </c>
      <c r="DM104" s="425">
        <f t="shared" si="182"/>
        <v>-4.08</v>
      </c>
      <c r="DN104" s="425">
        <f t="shared" si="183"/>
        <v>-4.8</v>
      </c>
      <c r="DO104" s="425">
        <f t="shared" si="184"/>
        <v>-5.8</v>
      </c>
      <c r="DP104" s="425">
        <f t="shared" si="185"/>
        <v>-9.1999999999999993</v>
      </c>
      <c r="DQ104" s="425">
        <f t="shared" si="186"/>
        <v>-11.17</v>
      </c>
      <c r="DR104" s="425">
        <f t="shared" si="187"/>
        <v>-11.91</v>
      </c>
      <c r="DS104" s="425">
        <f t="shared" si="188"/>
        <v>-12.14</v>
      </c>
      <c r="DT104" s="425">
        <f t="shared" si="189"/>
        <v>-12.2</v>
      </c>
      <c r="DU104" s="425">
        <f t="shared" si="190"/>
        <v>-12.25</v>
      </c>
      <c r="DV104" s="425">
        <f t="shared" si="191"/>
        <v>-12.25</v>
      </c>
      <c r="DW104" s="425" t="e">
        <f t="shared" si="192"/>
        <v>#N/A</v>
      </c>
      <c r="DX104" s="425" t="e">
        <f t="shared" si="193"/>
        <v>#N/A</v>
      </c>
      <c r="DY104" s="425" t="e">
        <f t="shared" si="194"/>
        <v>#N/A</v>
      </c>
      <c r="DZ104" s="425" t="e">
        <f t="shared" si="195"/>
        <v>#N/A</v>
      </c>
      <c r="EA104" s="425" t="e">
        <f t="shared" si="196"/>
        <v>#N/A</v>
      </c>
      <c r="EB104" s="425" t="e">
        <f t="shared" si="197"/>
        <v>#N/A</v>
      </c>
      <c r="EC104" s="425" t="e">
        <f t="shared" si="198"/>
        <v>#N/A</v>
      </c>
      <c r="ED104" s="425" t="e">
        <f t="shared" si="199"/>
        <v>#N/A</v>
      </c>
      <c r="EE104" s="425" t="e">
        <f t="shared" si="200"/>
        <v>#N/A</v>
      </c>
      <c r="EF104" s="425" t="e">
        <f t="shared" si="201"/>
        <v>#N/A</v>
      </c>
      <c r="EG104" s="425" t="e">
        <f t="shared" si="202"/>
        <v>#N/A</v>
      </c>
      <c r="EH104" s="425" t="e">
        <f t="shared" si="203"/>
        <v>#N/A</v>
      </c>
      <c r="EI104" s="425" t="e">
        <f t="shared" si="204"/>
        <v>#N/A</v>
      </c>
      <c r="EJ104" s="425"/>
      <c r="EK104" s="425"/>
      <c r="EL104" s="425" t="e">
        <f t="shared" si="234"/>
        <v>#N/A</v>
      </c>
      <c r="EM104" s="425">
        <f t="shared" ref="EM104:EM122" si="264">IF(ISERROR(EL104),DK$97,IF(AND(ISNUMBER(EL104),EL104=0),NA(),DK$97))</f>
        <v>0</v>
      </c>
      <c r="EN104" s="425">
        <f t="shared" si="236"/>
        <v>0.9</v>
      </c>
      <c r="EO104" s="425">
        <f t="shared" si="237"/>
        <v>1.8</v>
      </c>
      <c r="EP104" s="425">
        <f t="shared" si="238"/>
        <v>2.7</v>
      </c>
      <c r="EQ104" s="425">
        <f t="shared" si="239"/>
        <v>3.6</v>
      </c>
      <c r="ER104" s="425">
        <f t="shared" si="240"/>
        <v>5.4</v>
      </c>
      <c r="ES104" s="425">
        <f t="shared" si="241"/>
        <v>7.2</v>
      </c>
      <c r="ET104" s="425">
        <f t="shared" si="242"/>
        <v>9</v>
      </c>
      <c r="EU104" s="425">
        <f t="shared" si="243"/>
        <v>10.1</v>
      </c>
      <c r="EV104" s="425">
        <f t="shared" si="244"/>
        <v>10.8</v>
      </c>
      <c r="EW104" s="425">
        <f t="shared" si="245"/>
        <v>12.6</v>
      </c>
      <c r="EX104" s="425">
        <f t="shared" si="246"/>
        <v>14.19</v>
      </c>
      <c r="EY104" s="425" t="e">
        <f t="shared" si="247"/>
        <v>#N/A</v>
      </c>
      <c r="EZ104" s="425" t="e">
        <f t="shared" si="248"/>
        <v>#N/A</v>
      </c>
      <c r="FA104" s="425" t="e">
        <f t="shared" si="249"/>
        <v>#N/A</v>
      </c>
      <c r="FB104" s="425" t="e">
        <f t="shared" si="250"/>
        <v>#N/A</v>
      </c>
      <c r="FC104" s="425" t="e">
        <f t="shared" si="251"/>
        <v>#N/A</v>
      </c>
      <c r="FD104" s="425" t="e">
        <f t="shared" si="252"/>
        <v>#N/A</v>
      </c>
      <c r="FE104" s="425" t="e">
        <f t="shared" si="253"/>
        <v>#N/A</v>
      </c>
      <c r="FF104" s="425" t="e">
        <f t="shared" si="254"/>
        <v>#N/A</v>
      </c>
      <c r="FG104" s="425" t="e">
        <f t="shared" si="255"/>
        <v>#N/A</v>
      </c>
      <c r="FH104" s="425" t="e">
        <f t="shared" si="256"/>
        <v>#N/A</v>
      </c>
      <c r="FI104" s="425" t="e">
        <f t="shared" si="257"/>
        <v>#N/A</v>
      </c>
      <c r="FJ104" s="425" t="e">
        <f t="shared" si="258"/>
        <v>#N/A</v>
      </c>
      <c r="FK104" s="425" t="e">
        <f t="shared" si="259"/>
        <v>#N/A</v>
      </c>
    </row>
    <row r="105" spans="1:167" x14ac:dyDescent="0.25">
      <c r="A105" s="374">
        <f t="shared" si="206"/>
        <v>5</v>
      </c>
      <c r="B105" s="377" t="str">
        <f>IFERROR(IF(ISERROR(CP134),"",CONCATENATE(ROUND(X_SHIFT_BP+IF(Tools!B$97&lt;=Tools!$D$47/2,-BF10,BF10),3),",",ROUND(WLS*$AP46,3)," ")),"")</f>
        <v/>
      </c>
      <c r="C105" s="377" t="str">
        <f>IFERROR(IF(ISERROR(CQ134),"",CONCATENATE(ROUND(X_SHIFT_BP+IF(Tools!C$97&lt;=Tools!$D$47/2,-BG10,BG10),3),",",ROUND(WLS*$AP46,3)," ")),"")</f>
        <v xml:space="preserve">154.235,9 </v>
      </c>
      <c r="D105" s="377" t="str">
        <f>IFERROR(IF(ISERROR(CR134),"",CONCATENATE(ROUND(X_SHIFT_BP+IF(Tools!D$97&lt;=Tools!$D$47/2,-BH10,BH10),3),",",ROUND(WLS*$AP46,3)," ")),"")</f>
        <v xml:space="preserve">149.315,9 </v>
      </c>
      <c r="E105" s="377" t="str">
        <f>IFERROR(IF(ISERROR(CS134),"",CONCATENATE(ROUND(X_SHIFT_BP+IF(Tools!E$97&lt;=Tools!$D$47/2,-BI10,BI10),3),",",ROUND(WLS*$AP46,3)," ")),"")</f>
        <v xml:space="preserve">146.885,9 </v>
      </c>
      <c r="F105" s="377" t="str">
        <f>IFERROR(IF(ISERROR(CT134),"",CONCATENATE(ROUND(X_SHIFT_BP+IF(Tools!F$97&lt;=Tools!$D$47/2,-BJ10,BJ10),3),",",ROUND(WLS*$AP46,3)," ")),"")</f>
        <v xml:space="preserve">145.535,9 </v>
      </c>
      <c r="G105" s="377" t="str">
        <f>IFERROR(IF(ISERROR(CU134),"",CONCATENATE(ROUND(X_SHIFT_BP+IF(Tools!G$97&lt;=Tools!$D$47/2,-BK10,BK10),3),",",ROUND(WLS*$AP46,3)," ")),"")</f>
        <v xml:space="preserve">144.205,9 </v>
      </c>
      <c r="H105" s="377" t="str">
        <f>IFERROR(IF(ISERROR(CV134),"",CONCATENATE(ROUND(X_SHIFT_BP+IF(Tools!H$97&lt;=Tools!$D$47/2,-BL10,BL10),3),",",ROUND(WLS*$AP46,3)," ")),"")</f>
        <v xml:space="preserve">143.525,9 </v>
      </c>
      <c r="I105" s="377" t="str">
        <f>IFERROR(IF(ISERROR(CW134),"",CONCATENATE(ROUND(X_SHIFT_BP+IF(Tools!I$97&lt;=Tools!$D$47/2,-BM10,BM10),3),",",ROUND(WLS*$AP46,3)," ")),"")</f>
        <v xml:space="preserve">143.215,9 </v>
      </c>
      <c r="J105" s="377" t="str">
        <f>IFERROR(IF(ISERROR(CX134),"",CONCATENATE(ROUND(X_SHIFT_BP+IF(Tools!J$97&lt;=Tools!$D$47/2,-BN10,BN10),3),",",ROUND(WLS*$AP46,3)," ")),"")</f>
        <v xml:space="preserve">143.185,9 </v>
      </c>
      <c r="K105" s="377" t="str">
        <f>IFERROR(IF(ISERROR(CY134),"",CONCATENATE(ROUND(X_SHIFT_BP+IF(Tools!K$97&lt;=Tools!$D$47/2,-BO10,BO10),3),",",ROUND(WLS*$AP46,3)," ")),"")</f>
        <v xml:space="preserve">143.185,9 </v>
      </c>
      <c r="L105" s="377" t="str">
        <f>IFERROR(IF(ISERROR(CZ134),"",CONCATENATE(ROUND(X_SHIFT_BP+IF(Tools!L$97&lt;=Tools!$D$47/2,-BP10,BP10),3),",",ROUND(WLS*$AP46,3)," ")),"")</f>
        <v xml:space="preserve">143.185,9 </v>
      </c>
      <c r="M105" s="377" t="str">
        <f>IFERROR(IF(ISERROR(DA134),"",CONCATENATE(ROUND(X_SHIFT_BP+IF(Tools!M$97&lt;=Tools!$D$47/2,-BQ10,BQ10),3),",",ROUND(WLS*$AP46,3)," ")),"")</f>
        <v xml:space="preserve">143.185,9 </v>
      </c>
      <c r="N105" s="377" t="str">
        <f>IFERROR(IF(ISERROR(DB134),"",CONCATENATE(ROUND(X_SHIFT_BP+IF(Tools!N$97&lt;=Tools!$D$47/2,-BR10,BR10),3),",",ROUND(WLS*$AP46,3)," ")),"")</f>
        <v xml:space="preserve">143.185,9 </v>
      </c>
      <c r="O105" s="377" t="str">
        <f>IFERROR(IF(ISERROR(DC134),"",CONCATENATE(ROUND(X_SHIFT_BP+IF(Tools!O$97&lt;=Tools!$D$47/2,-BS10,BS10),3),",",ROUND(WLS*$AP46,3)," ")),"")</f>
        <v xml:space="preserve">167.685,9 </v>
      </c>
      <c r="P105" s="377" t="str">
        <f>IFERROR(IF(ISERROR(DD134),"",CONCATENATE(ROUND(X_SHIFT_BP+IF(Tools!P$97&lt;=Tools!$D$47/2,-BT10,BT10),3),",",ROUND(WLS*$AP46,3)," ")),"")</f>
        <v xml:space="preserve">167.685,9 </v>
      </c>
      <c r="Q105" s="377" t="str">
        <f>IFERROR(IF(ISERROR(DE134),"",CONCATENATE(ROUND(X_SHIFT_BP+IF(Tools!Q$97&lt;=Tools!$D$47/2,-BU10,BU10),3),",",ROUND(WLS*$AP46,3)," ")),"")</f>
        <v xml:space="preserve">167.615,9 </v>
      </c>
      <c r="R105" s="377" t="str">
        <f>IFERROR(IF(ISERROR(DF134),"",CONCATENATE(ROUND(X_SHIFT_BP+IF(Tools!R$97&lt;=Tools!$D$47/2,-BV10,BV10),3),",",ROUND(WLS*$AP46,3)," ")),"")</f>
        <v xml:space="preserve">166.895,9 </v>
      </c>
      <c r="S105" s="377" t="str">
        <f>IFERROR(IF(ISERROR(DG134),"",CONCATENATE(ROUND(X_SHIFT_BP+IF(Tools!S$97&lt;=Tools!$D$47/2,-BW10,BW10),3),",",ROUND(WLS*$AP46,3)," ")),"")</f>
        <v xml:space="preserve">165.695,9 </v>
      </c>
      <c r="T105" s="377" t="str">
        <f>IFERROR(IF(ISERROR(DH134),"",CONCATENATE(ROUND(X_SHIFT_BP+IF(Tools!T$97&lt;=Tools!$D$47/2,-BX10,BX10),3),",",ROUND(WLS*$AP46,3)," ")),"")</f>
        <v xml:space="preserve">164.065,9 </v>
      </c>
      <c r="U105" s="377" t="str">
        <f>IFERROR(IF(ISERROR(DI134),"",CONCATENATE(ROUND(X_SHIFT_BP+IF(Tools!U$97&lt;=Tools!$D$47/2,-BY10,BY10),3),",",ROUND(WLS*$AP46,3)," ")),"")</f>
        <v xml:space="preserve">162.025,9 </v>
      </c>
      <c r="V105" s="377" t="str">
        <f>IFERROR(IF(ISERROR(DJ134),"",CONCATENATE(ROUND(X_SHIFT_BP+IF(Tools!V$97&lt;=Tools!$D$47/2,-BZ10,BZ10),3),",",ROUND(WLS*$AP46,3)," ")),"")</f>
        <v xml:space="preserve">159.715,9 </v>
      </c>
      <c r="W105" s="377" t="str">
        <f>IFERROR(IF(ISERROR(DK134),"",CONCATENATE(ROUND(X_SHIFT_BP+IF(Tools!W$97&lt;=Tools!$D$47/2,-CA10,CA10),3),",",ROUND(WLS*$AP46,3)," ")),"")</f>
        <v xml:space="preserve">158.555,9 </v>
      </c>
      <c r="X105" s="377" t="str">
        <f>IFERROR(IF(ISERROR(DL134),"",CONCATENATE(ROUND(X_SHIFT_BP+IF(Tools!X$97&lt;=Tools!$D$47/2,-CB10,CB10),3),",",ROUND(WLS*$AP46,3)," ")),"")</f>
        <v xml:space="preserve">157.435,9 </v>
      </c>
      <c r="Y105" s="377" t="str">
        <f>IFERROR(IF(ISERROR(DM134),"",CONCATENATE(ROUND(X_SHIFT_BP+IF(Tools!Y$97&lt;=Tools!$D$47/2,-CC10,CC10),3),",",ROUND(WLS*$AP46,3)," ")),"")</f>
        <v xml:space="preserve">156.435,9 </v>
      </c>
      <c r="Z105" s="377" t="str">
        <f>IFERROR(IF(ISERROR(DN134),"",CONCATENATE(ROUND(X_SHIFT_BP+IF(Tools!Z$97&lt;=Tools!$D$47/2,-CD10,CD10),3),",",ROUND(WLS*$AP46,3)," ")),"")</f>
        <v xml:space="preserve">155.435,9 </v>
      </c>
      <c r="AA105" s="129">
        <v>12</v>
      </c>
      <c r="AB105" s="245" t="str">
        <f t="shared" si="260"/>
        <v xml:space="preserve">Spline </v>
      </c>
      <c r="AC105" s="129" t="str">
        <v/>
      </c>
      <c r="AD105" s="245" t="str">
        <v xml:space="preserve">153.815,0 </v>
      </c>
      <c r="AE105" s="245" t="str">
        <v xml:space="preserve">150.625,0.9 </v>
      </c>
      <c r="AF105" s="245" t="str">
        <v xml:space="preserve">149.345,1.8 </v>
      </c>
      <c r="AG105" s="245" t="str">
        <v xml:space="preserve">148.065,2.7 </v>
      </c>
      <c r="AH105" s="245" t="str">
        <v xml:space="preserve">146.405,3.6 </v>
      </c>
      <c r="AI105" s="245" t="str">
        <v xml:space="preserve">144.285,5.4 </v>
      </c>
      <c r="AJ105" s="245" t="str">
        <v xml:space="preserve">143.485,7.2 </v>
      </c>
      <c r="AK105" s="245" t="str">
        <v xml:space="preserve">143.215,9 </v>
      </c>
      <c r="AL105" s="245" t="str">
        <v xml:space="preserve">143.185,10.1 </v>
      </c>
      <c r="AM105" s="245" t="str">
        <v xml:space="preserve">143.185,10.8 </v>
      </c>
      <c r="AN105" s="245" t="str">
        <v xml:space="preserve">143.185,12.6 </v>
      </c>
      <c r="AO105" s="245" t="str">
        <v xml:space="preserve">143.185,14.19 </v>
      </c>
      <c r="AP105" s="245" t="str">
        <v/>
      </c>
      <c r="AQ105" s="245" t="str">
        <v/>
      </c>
      <c r="AR105" s="245" t="str">
        <v/>
      </c>
      <c r="AS105" s="245" t="str">
        <v/>
      </c>
      <c r="AT105" s="245" t="str">
        <v/>
      </c>
      <c r="AU105" s="245" t="str">
        <v/>
      </c>
      <c r="AV105" s="245" t="str">
        <v/>
      </c>
      <c r="AW105" s="245" t="str">
        <v/>
      </c>
      <c r="AX105" s="245" t="str">
        <v/>
      </c>
      <c r="AY105" s="245" t="str">
        <v/>
      </c>
      <c r="AZ105" s="245" t="str">
        <v/>
      </c>
      <c r="BA105" s="245" t="str">
        <v/>
      </c>
      <c r="BB105" s="245" t="str">
        <v/>
      </c>
      <c r="BC105" s="376">
        <f>Tools!AD10</f>
        <v>5</v>
      </c>
      <c r="BD105" s="376">
        <f>IFERROR(Tools!AD10*STN_GAP,"")</f>
        <v>32.924999999999997</v>
      </c>
      <c r="BE105" s="496">
        <f>IFERROR(IF(ISNUMBER(DE105),NA(),IF(AND($DF105&lt;&gt;0,$DG105&gt;BE$97),NA(),IF($BD105&gt;LBP/2,-(-Tools!AE10),-Tools!AE10))),NA())</f>
        <v>-1.62</v>
      </c>
      <c r="BF105" s="376">
        <f>IFERROR(IF(AND($DF105&lt;&gt;0,$DG105&gt;BF$97),NA(),IF($BD105&gt;LBP/2,-(-Tools!AF10),-Tools!AF10)),NA())</f>
        <v>-4.8099999999999996</v>
      </c>
      <c r="BG105" s="376">
        <f>IFERROR(IF(AND($DF105&lt;&gt;0,$DG105&gt;BG$97),NA(),IF($BD105&gt;LBP/2,-(-Tools!AG10),-Tools!AG10)),NA())</f>
        <v>-6.09</v>
      </c>
      <c r="BH105" s="376">
        <f>IFERROR(IF(AND($DF105&lt;&gt;0,$DG105&gt;BH$97),NA(),IF($BD105&gt;LBP/2,-(-Tools!AH10),-Tools!AH10)),NA())</f>
        <v>-7.37</v>
      </c>
      <c r="BI105" s="376">
        <f>IFERROR(IF(AND($DF105&lt;&gt;0,$DG105&gt;BI$97),NA(),IF($BD105&gt;LBP/2,-(-Tools!AI10),-Tools!AI10)),NA())</f>
        <v>-9.0299999999999994</v>
      </c>
      <c r="BJ105" s="376">
        <f>IFERROR(IF(AND($DF105&lt;&gt;0,$DG105&gt;BJ$97),NA(),IF($BD105&gt;LBP/2,-(-Tools!AJ10),-Tools!AJ10)),NA())</f>
        <v>-11.15</v>
      </c>
      <c r="BK105" s="376">
        <f>IFERROR(IF(AND($DF105&lt;&gt;0,$DG105&gt;BK$97),NA(),IF($BD105&gt;LBP/2,-(-Tools!AK10),-Tools!AK10)),NA())</f>
        <v>-11.95</v>
      </c>
      <c r="BL105" s="376">
        <f>IFERROR(IF(AND($DF105&lt;&gt;0,$DG105&gt;BL$97),NA(),IF($BD105&gt;LBP/2,-(-Tools!AL10),-Tools!AL10)),NA())</f>
        <v>-12.22</v>
      </c>
      <c r="BM105" s="376">
        <f>IFERROR(IF(AND($DF105&lt;&gt;0,$DG105&gt;BM$97),NA(),IF($BD105&gt;LBP/2,-(-Tools!AM10),-Tools!AM10)),NA())</f>
        <v>-12.25</v>
      </c>
      <c r="BN105" s="376">
        <f>IFERROR(IF(AND($DF105&lt;&gt;0,$DG105&gt;BN$97),NA(),IF($BD105&gt;LBP/2,-(-Tools!AN10),-Tools!AN10)),NA())</f>
        <v>-12.25</v>
      </c>
      <c r="BO105" s="376">
        <f>IFERROR(IF(AND($DF105&lt;&gt;0,$DG105&gt;BO$97),NA(),IF($BD105&gt;LBP/2,-(-Tools!AO10),-Tools!AO10)),NA())</f>
        <v>-12.25</v>
      </c>
      <c r="BP105" s="376">
        <f>IFERROR(IF(AND($DF105&lt;&gt;0,$DG105&gt;BP$97),NA(),IF($BD105&gt;LBP/2,-(-Tools!AP10),-Tools!AP10)),NA())</f>
        <v>-12.25</v>
      </c>
      <c r="BQ105" s="376" t="e">
        <f>IFERROR(IF(AND($DF105&lt;&gt;0,$DG105&gt;BQ$97),NA(),IF($BD105&gt;LBP/2,-(-Tools!AQ10),-Tools!AQ10)),NA())</f>
        <v>#N/A</v>
      </c>
      <c r="BR105" s="376" t="e">
        <f>IFERROR(IF(AND($DF105&lt;&gt;0,$DG105&gt;BR$97),NA(),IF($BD105&gt;LBP/2,-(-Tools!AR10),-Tools!AR10)),NA())</f>
        <v>#N/A</v>
      </c>
      <c r="BS105" s="376" t="e">
        <f>IFERROR(IF(AND($DF105&lt;&gt;0,$DG105&gt;BS$97),NA(),IF($BD105&gt;LBP/2,-(-Tools!AS10),-Tools!AS10)),NA())</f>
        <v>#N/A</v>
      </c>
      <c r="BT105" s="376" t="e">
        <f>IFERROR(IF(AND($DF105&lt;&gt;0,$DG105&gt;BT$97),NA(),IF($BD105&gt;LBP/2,-(-Tools!AT10),-Tools!AT10)),NA())</f>
        <v>#N/A</v>
      </c>
      <c r="BU105" s="376" t="e">
        <f>IFERROR(IF(AND($DF105&lt;&gt;0,$DG105&gt;BU$97),NA(),IF($BD105&gt;LBP/2,-(-Tools!AU10),-Tools!AU10)),NA())</f>
        <v>#N/A</v>
      </c>
      <c r="BV105" s="376" t="e">
        <f>IFERROR(IF(AND($DF105&lt;&gt;0,$DG105&gt;BV$97),NA(),IF($BD105&gt;LBP/2,-(-Tools!AV10),-Tools!AV10)),NA())</f>
        <v>#N/A</v>
      </c>
      <c r="BW105" s="376" t="e">
        <f>IFERROR(IF(AND($DF105&lt;&gt;0,$DG105&gt;BW$97),NA(),IF($BD105&gt;LBP/2,-(-Tools!AW10),-Tools!AW10)),NA())</f>
        <v>#N/A</v>
      </c>
      <c r="BX105" s="376" t="e">
        <f>IFERROR(IF(AND($DF105&lt;&gt;0,$DG105&gt;BX$97),NA(),IF($BD105&gt;LBP/2,-(-Tools!AX10),-Tools!AX10)),NA())</f>
        <v>#N/A</v>
      </c>
      <c r="BY105" s="376" t="e">
        <f>IFERROR(IF(AND($DF105&lt;&gt;0,$DG105&gt;BY$97),NA(),IF($BD105&gt;LBP/2,-(-Tools!AY10),-Tools!AY10)),NA())</f>
        <v>#N/A</v>
      </c>
      <c r="BZ105" s="376" t="e">
        <f>IFERROR(IF(AND($DF105&lt;&gt;0,$DG105&gt;BZ$97),NA(),IF($BD105&gt;LBP/2,-(-Tools!AZ10),-Tools!AZ10)),NA())</f>
        <v>#N/A</v>
      </c>
      <c r="CA105" s="376" t="e">
        <f>IFERROR(IF(AND($DF105&lt;&gt;0,$DG105&gt;CA$97),NA(),IF($BD105&gt;LBP/2,-(-Tools!BA10),-Tools!BA10)),NA())</f>
        <v>#N/A</v>
      </c>
      <c r="CB105" s="376" t="e">
        <f>IFERROR(IF(AND($DF105&lt;&gt;0,$DG105&gt;CB$97),NA(),IF($BD105&gt;LBP/2,-(-Tools!BB10),-Tools!BB10)),NA())</f>
        <v>#N/A</v>
      </c>
      <c r="CC105" s="376" t="e">
        <f>IFERROR(IF(AND($DF105&lt;&gt;0,$DG105&gt;CC$97),NA(),IF($BD105&gt;LBP/2,-(-Tools!BC10),-Tools!BC10)),NA())</f>
        <v>#N/A</v>
      </c>
      <c r="CE105" s="425" t="b">
        <f t="shared" si="207"/>
        <v>0</v>
      </c>
      <c r="CF105" s="425" t="b">
        <f t="shared" si="208"/>
        <v>0</v>
      </c>
      <c r="CG105" s="425" t="b">
        <f t="shared" si="209"/>
        <v>0</v>
      </c>
      <c r="CH105" s="425" t="b">
        <f t="shared" si="210"/>
        <v>0</v>
      </c>
      <c r="CI105" s="425" t="b">
        <f t="shared" si="211"/>
        <v>0</v>
      </c>
      <c r="CJ105" s="425" t="b">
        <f t="shared" si="212"/>
        <v>0</v>
      </c>
      <c r="CK105" s="425" t="b">
        <f t="shared" si="213"/>
        <v>0</v>
      </c>
      <c r="CL105" s="425" t="b">
        <f t="shared" si="214"/>
        <v>0</v>
      </c>
      <c r="CM105" s="425" t="b">
        <f t="shared" si="215"/>
        <v>0</v>
      </c>
      <c r="CN105" s="425" t="b">
        <f t="shared" si="216"/>
        <v>0</v>
      </c>
      <c r="CO105" s="425" t="b">
        <f t="shared" si="217"/>
        <v>0</v>
      </c>
      <c r="CP105" s="425" t="b">
        <f t="shared" si="218"/>
        <v>0</v>
      </c>
      <c r="CQ105" s="425" t="b">
        <f t="shared" si="219"/>
        <v>0</v>
      </c>
      <c r="CR105" s="425" t="b">
        <f t="shared" si="220"/>
        <v>0</v>
      </c>
      <c r="CS105" s="425" t="b">
        <f t="shared" si="221"/>
        <v>0</v>
      </c>
      <c r="CT105" s="425" t="b">
        <f t="shared" si="222"/>
        <v>0</v>
      </c>
      <c r="CU105" s="425" t="b">
        <f t="shared" si="223"/>
        <v>0</v>
      </c>
      <c r="CV105" s="425" t="b">
        <f t="shared" si="224"/>
        <v>0</v>
      </c>
      <c r="CW105" s="425" t="b">
        <f t="shared" si="225"/>
        <v>0</v>
      </c>
      <c r="CX105" s="425" t="b">
        <f t="shared" si="226"/>
        <v>0</v>
      </c>
      <c r="CY105" s="425" t="b">
        <f t="shared" si="227"/>
        <v>0</v>
      </c>
      <c r="CZ105" s="425" t="b">
        <f t="shared" si="228"/>
        <v>0</v>
      </c>
      <c r="DA105" s="425" t="b">
        <f t="shared" si="229"/>
        <v>0</v>
      </c>
      <c r="DB105" s="425" t="b">
        <f t="shared" si="230"/>
        <v>0</v>
      </c>
      <c r="DC105" s="425"/>
      <c r="DD105" s="425">
        <f t="shared" si="261"/>
        <v>0</v>
      </c>
      <c r="DE105" s="425" t="str">
        <f t="shared" si="231"/>
        <v>-</v>
      </c>
      <c r="DF105" s="425">
        <f t="shared" si="232"/>
        <v>0</v>
      </c>
      <c r="DG105" s="425">
        <f t="shared" si="262"/>
        <v>0</v>
      </c>
      <c r="DH105" s="425">
        <f t="shared" si="233"/>
        <v>5</v>
      </c>
      <c r="DI105" s="425"/>
      <c r="DJ105" s="425" t="e">
        <f t="shared" si="263"/>
        <v>#N/A</v>
      </c>
      <c r="DK105" s="425">
        <f t="shared" si="180"/>
        <v>-1.62</v>
      </c>
      <c r="DL105" s="425">
        <f t="shared" si="181"/>
        <v>-4.8099999999999996</v>
      </c>
      <c r="DM105" s="425">
        <f t="shared" si="182"/>
        <v>-6.09</v>
      </c>
      <c r="DN105" s="425">
        <f t="shared" si="183"/>
        <v>-7.37</v>
      </c>
      <c r="DO105" s="425">
        <f t="shared" si="184"/>
        <v>-9.0299999999999994</v>
      </c>
      <c r="DP105" s="425">
        <f t="shared" si="185"/>
        <v>-11.15</v>
      </c>
      <c r="DQ105" s="425">
        <f t="shared" si="186"/>
        <v>-11.95</v>
      </c>
      <c r="DR105" s="425">
        <f t="shared" si="187"/>
        <v>-12.22</v>
      </c>
      <c r="DS105" s="425">
        <f t="shared" si="188"/>
        <v>-12.25</v>
      </c>
      <c r="DT105" s="425">
        <f t="shared" si="189"/>
        <v>-12.25</v>
      </c>
      <c r="DU105" s="425">
        <f t="shared" si="190"/>
        <v>-12.25</v>
      </c>
      <c r="DV105" s="425">
        <f t="shared" si="191"/>
        <v>-12.25</v>
      </c>
      <c r="DW105" s="425" t="e">
        <f t="shared" si="192"/>
        <v>#N/A</v>
      </c>
      <c r="DX105" s="425" t="e">
        <f t="shared" si="193"/>
        <v>#N/A</v>
      </c>
      <c r="DY105" s="425" t="e">
        <f t="shared" si="194"/>
        <v>#N/A</v>
      </c>
      <c r="DZ105" s="425" t="e">
        <f t="shared" si="195"/>
        <v>#N/A</v>
      </c>
      <c r="EA105" s="425" t="e">
        <f t="shared" si="196"/>
        <v>#N/A</v>
      </c>
      <c r="EB105" s="425" t="e">
        <f t="shared" si="197"/>
        <v>#N/A</v>
      </c>
      <c r="EC105" s="425" t="e">
        <f t="shared" si="198"/>
        <v>#N/A</v>
      </c>
      <c r="ED105" s="425" t="e">
        <f t="shared" si="199"/>
        <v>#N/A</v>
      </c>
      <c r="EE105" s="425" t="e">
        <f t="shared" si="200"/>
        <v>#N/A</v>
      </c>
      <c r="EF105" s="425" t="e">
        <f t="shared" si="201"/>
        <v>#N/A</v>
      </c>
      <c r="EG105" s="425" t="e">
        <f t="shared" si="202"/>
        <v>#N/A</v>
      </c>
      <c r="EH105" s="425" t="e">
        <f t="shared" si="203"/>
        <v>#N/A</v>
      </c>
      <c r="EI105" s="425" t="e">
        <f t="shared" si="204"/>
        <v>#N/A</v>
      </c>
      <c r="EJ105" s="425"/>
      <c r="EK105" s="425"/>
      <c r="EL105" s="425" t="e">
        <f t="shared" si="234"/>
        <v>#N/A</v>
      </c>
      <c r="EM105" s="425">
        <f t="shared" si="264"/>
        <v>0</v>
      </c>
      <c r="EN105" s="425">
        <f t="shared" si="236"/>
        <v>0.9</v>
      </c>
      <c r="EO105" s="425">
        <f t="shared" si="237"/>
        <v>1.8</v>
      </c>
      <c r="EP105" s="425">
        <f t="shared" si="238"/>
        <v>2.7</v>
      </c>
      <c r="EQ105" s="425">
        <f t="shared" si="239"/>
        <v>3.6</v>
      </c>
      <c r="ER105" s="425">
        <f t="shared" si="240"/>
        <v>5.4</v>
      </c>
      <c r="ES105" s="425">
        <f t="shared" si="241"/>
        <v>7.2</v>
      </c>
      <c r="ET105" s="425">
        <f t="shared" si="242"/>
        <v>9</v>
      </c>
      <c r="EU105" s="425">
        <f t="shared" si="243"/>
        <v>10.1</v>
      </c>
      <c r="EV105" s="425">
        <f t="shared" si="244"/>
        <v>10.8</v>
      </c>
      <c r="EW105" s="425">
        <f t="shared" si="245"/>
        <v>12.6</v>
      </c>
      <c r="EX105" s="425">
        <f t="shared" si="246"/>
        <v>14.19</v>
      </c>
      <c r="EY105" s="425" t="e">
        <f t="shared" si="247"/>
        <v>#N/A</v>
      </c>
      <c r="EZ105" s="425" t="e">
        <f t="shared" si="248"/>
        <v>#N/A</v>
      </c>
      <c r="FA105" s="425" t="e">
        <f t="shared" si="249"/>
        <v>#N/A</v>
      </c>
      <c r="FB105" s="425" t="e">
        <f t="shared" si="250"/>
        <v>#N/A</v>
      </c>
      <c r="FC105" s="425" t="e">
        <f t="shared" si="251"/>
        <v>#N/A</v>
      </c>
      <c r="FD105" s="425" t="e">
        <f t="shared" si="252"/>
        <v>#N/A</v>
      </c>
      <c r="FE105" s="425" t="e">
        <f t="shared" si="253"/>
        <v>#N/A</v>
      </c>
      <c r="FF105" s="425" t="e">
        <f t="shared" si="254"/>
        <v>#N/A</v>
      </c>
      <c r="FG105" s="425" t="e">
        <f t="shared" si="255"/>
        <v>#N/A</v>
      </c>
      <c r="FH105" s="425" t="e">
        <f t="shared" si="256"/>
        <v>#N/A</v>
      </c>
      <c r="FI105" s="425" t="e">
        <f t="shared" si="257"/>
        <v>#N/A</v>
      </c>
      <c r="FJ105" s="425" t="e">
        <f t="shared" si="258"/>
        <v>#N/A</v>
      </c>
      <c r="FK105" s="425" t="e">
        <f t="shared" si="259"/>
        <v>#N/A</v>
      </c>
    </row>
    <row r="106" spans="1:167" x14ac:dyDescent="0.25">
      <c r="A106" s="374">
        <f t="shared" si="206"/>
        <v>5.6111111111111107</v>
      </c>
      <c r="B106" s="377" t="str">
        <f>IFERROR(IF(ISERROR(CP135),"",CONCATENATE(ROUND(X_SHIFT_BP+IF(Tools!B$97&lt;=Tools!$D$47/2,-BF11,BF11),3),",",ROUND(WLS*$AP47,3)," ")),"")</f>
        <v xml:space="preserve">152.543,10.1 </v>
      </c>
      <c r="C106" s="377" t="str">
        <f>IFERROR(IF(ISERROR(CQ135),"",CONCATENATE(ROUND(X_SHIFT_BP+IF(Tools!C$97&lt;=Tools!$D$47/2,-BG11,BG11),3),",",ROUND(WLS*$AP47,3)," ")),"")</f>
        <v xml:space="preserve">148.635,10.1 </v>
      </c>
      <c r="D106" s="377" t="str">
        <f>IFERROR(IF(ISERROR(CR135),"",CONCATENATE(ROUND(X_SHIFT_BP+IF(Tools!D$97&lt;=Tools!$D$47/2,-BH11,BH11),3),",",ROUND(WLS*$AP47,3)," ")),"")</f>
        <v xml:space="preserve">146.635,10.1 </v>
      </c>
      <c r="E106" s="377" t="str">
        <f>IFERROR(IF(ISERROR(CS135),"",CONCATENATE(ROUND(X_SHIFT_BP+IF(Tools!E$97&lt;=Tools!$D$47/2,-BI11,BI11),3),",",ROUND(WLS*$AP47,3)," ")),"")</f>
        <v xml:space="preserve">145.295,10.1 </v>
      </c>
      <c r="F106" s="377" t="str">
        <f>IFERROR(IF(ISERROR(CT135),"",CONCATENATE(ROUND(X_SHIFT_BP+IF(Tools!F$97&lt;=Tools!$D$47/2,-BJ11,BJ11),3),",",ROUND(WLS*$AP47,3)," ")),"")</f>
        <v xml:space="preserve">144.535,10.1 </v>
      </c>
      <c r="G106" s="377" t="str">
        <f>IFERROR(IF(ISERROR(CU135),"",CONCATENATE(ROUND(X_SHIFT_BP+IF(Tools!G$97&lt;=Tools!$D$47/2,-BK11,BK11),3),",",ROUND(WLS*$AP47,3)," ")),"")</f>
        <v xml:space="preserve">143.735,10.1 </v>
      </c>
      <c r="H106" s="377" t="str">
        <f>IFERROR(IF(ISERROR(CV135),"",CONCATENATE(ROUND(X_SHIFT_BP+IF(Tools!H$97&lt;=Tools!$D$47/2,-BL11,BL11),3),",",ROUND(WLS*$AP47,3)," ")),"")</f>
        <v xml:space="preserve">143.295,10.1 </v>
      </c>
      <c r="I106" s="377" t="str">
        <f>IFERROR(IF(ISERROR(CW135),"",CONCATENATE(ROUND(X_SHIFT_BP+IF(Tools!I$97&lt;=Tools!$D$47/2,-BM11,BM11),3),",",ROUND(WLS*$AP47,3)," ")),"")</f>
        <v xml:space="preserve">143.185,10.1 </v>
      </c>
      <c r="J106" s="377" t="str">
        <f>IFERROR(IF(ISERROR(CX135),"",CONCATENATE(ROUND(X_SHIFT_BP+IF(Tools!J$97&lt;=Tools!$D$47/2,-BN11,BN11),3),",",ROUND(WLS*$AP47,3)," ")),"")</f>
        <v xml:space="preserve">143.185,10.1 </v>
      </c>
      <c r="K106" s="377" t="str">
        <f>IFERROR(IF(ISERROR(CY135),"",CONCATENATE(ROUND(X_SHIFT_BP+IF(Tools!K$97&lt;=Tools!$D$47/2,-BO11,BO11),3),",",ROUND(WLS*$AP47,3)," ")),"")</f>
        <v xml:space="preserve">143.185,10.1 </v>
      </c>
      <c r="L106" s="377" t="str">
        <f>IFERROR(IF(ISERROR(CZ135),"",CONCATENATE(ROUND(X_SHIFT_BP+IF(Tools!L$97&lt;=Tools!$D$47/2,-BP11,BP11),3),",",ROUND(WLS*$AP47,3)," ")),"")</f>
        <v xml:space="preserve">143.185,10.1 </v>
      </c>
      <c r="M106" s="377" t="str">
        <f>IFERROR(IF(ISERROR(DA135),"",CONCATENATE(ROUND(X_SHIFT_BP+IF(Tools!M$97&lt;=Tools!$D$47/2,-BQ11,BQ11),3),",",ROUND(WLS*$AP47,3)," ")),"")</f>
        <v xml:space="preserve">143.185,10.1 </v>
      </c>
      <c r="N106" s="377" t="str">
        <f>IFERROR(IF(ISERROR(DB135),"",CONCATENATE(ROUND(X_SHIFT_BP+IF(Tools!N$97&lt;=Tools!$D$47/2,-BR11,BR11),3),",",ROUND(WLS*$AP47,3)," ")),"")</f>
        <v xml:space="preserve">143.185,10.1 </v>
      </c>
      <c r="O106" s="377" t="str">
        <f>IFERROR(IF(ISERROR(DC135),"",CONCATENATE(ROUND(X_SHIFT_BP+IF(Tools!O$97&lt;=Tools!$D$47/2,-BS11,BS11),3),",",ROUND(WLS*$AP47,3)," ")),"")</f>
        <v xml:space="preserve">167.685,10.1 </v>
      </c>
      <c r="P106" s="377" t="str">
        <f>IFERROR(IF(ISERROR(DD135),"",CONCATENATE(ROUND(X_SHIFT_BP+IF(Tools!P$97&lt;=Tools!$D$47/2,-BT11,BT11),3),",",ROUND(WLS*$AP47,3)," ")),"")</f>
        <v xml:space="preserve">167.685,10.1 </v>
      </c>
      <c r="Q106" s="377" t="str">
        <f>IFERROR(IF(ISERROR(DE135),"",CONCATENATE(ROUND(X_SHIFT_BP+IF(Tools!Q$97&lt;=Tools!$D$47/2,-BU11,BU11),3),",",ROUND(WLS*$AP47,3)," ")),"")</f>
        <v xml:space="preserve">167.655,10.1 </v>
      </c>
      <c r="R106" s="377" t="str">
        <f>IFERROR(IF(ISERROR(DF135),"",CONCATENATE(ROUND(X_SHIFT_BP+IF(Tools!R$97&lt;=Tools!$D$47/2,-BV11,BV11),3),",",ROUND(WLS*$AP47,3)," ")),"")</f>
        <v xml:space="preserve">167.105,10.1 </v>
      </c>
      <c r="S106" s="377" t="str">
        <f>IFERROR(IF(ISERROR(DG135),"",CONCATENATE(ROUND(X_SHIFT_BP+IF(Tools!S$97&lt;=Tools!$D$47/2,-BW11,BW11),3),",",ROUND(WLS*$AP47,3)," ")),"")</f>
        <v xml:space="preserve">166.035,10.1 </v>
      </c>
      <c r="T106" s="377" t="str">
        <f>IFERROR(IF(ISERROR(DH135),"",CONCATENATE(ROUND(X_SHIFT_BP+IF(Tools!T$97&lt;=Tools!$D$47/2,-BX11,BX11),3),",",ROUND(WLS*$AP47,3)," ")),"")</f>
        <v xml:space="preserve">164.555,10.1 </v>
      </c>
      <c r="U106" s="377" t="str">
        <f>IFERROR(IF(ISERROR(DI135),"",CONCATENATE(ROUND(X_SHIFT_BP+IF(Tools!U$97&lt;=Tools!$D$47/2,-BY11,BY11),3),",",ROUND(WLS*$AP47,3)," ")),"")</f>
        <v xml:space="preserve">162.655,10.1 </v>
      </c>
      <c r="V106" s="377" t="str">
        <f>IFERROR(IF(ISERROR(DJ135),"",CONCATENATE(ROUND(X_SHIFT_BP+IF(Tools!V$97&lt;=Tools!$D$47/2,-BZ11,BZ11),3),",",ROUND(WLS*$AP47,3)," ")),"")</f>
        <v xml:space="preserve">160.405,10.1 </v>
      </c>
      <c r="W106" s="377" t="str">
        <f>IFERROR(IF(ISERROR(DK135),"",CONCATENATE(ROUND(X_SHIFT_BP+IF(Tools!W$97&lt;=Tools!$D$47/2,-CA11,CA11),3),",",ROUND(WLS*$AP47,3)," ")),"")</f>
        <v xml:space="preserve">159.225,10.1 </v>
      </c>
      <c r="X106" s="377" t="str">
        <f>IFERROR(IF(ISERROR(DL135),"",CONCATENATE(ROUND(X_SHIFT_BP+IF(Tools!X$97&lt;=Tools!$D$47/2,-CB11,CB11),3),",",ROUND(WLS*$AP47,3)," ")),"")</f>
        <v xml:space="preserve">158.045,10.1 </v>
      </c>
      <c r="Y106" s="377" t="str">
        <f>IFERROR(IF(ISERROR(DM135),"",CONCATENATE(ROUND(X_SHIFT_BP+IF(Tools!Y$97&lt;=Tools!$D$47/2,-CC11,CC11),3),",",ROUND(WLS*$AP47,3)," ")),"")</f>
        <v xml:space="preserve">156.875,10.1 </v>
      </c>
      <c r="Z106" s="377" t="str">
        <f>IFERROR(IF(ISERROR(DN135),"",CONCATENATE(ROUND(X_SHIFT_BP+IF(Tools!Z$97&lt;=Tools!$D$47/2,-CD11,CD11),3),",",ROUND(WLS*$AP47,3)," ")),"")</f>
        <v xml:space="preserve">155.435,10.1 </v>
      </c>
      <c r="AA106" s="129">
        <v>12</v>
      </c>
      <c r="AB106" s="245" t="str">
        <f t="shared" si="260"/>
        <v xml:space="preserve">Spline </v>
      </c>
      <c r="AC106" s="129" t="str">
        <v/>
      </c>
      <c r="AD106" s="245" t="str">
        <v xml:space="preserve">153.235,0 </v>
      </c>
      <c r="AE106" s="245" t="str">
        <v xml:space="preserve">148.845,0.9 </v>
      </c>
      <c r="AF106" s="245" t="str">
        <v xml:space="preserve">147.095,1.8 </v>
      </c>
      <c r="AG106" s="245" t="str">
        <v xml:space="preserve">145.615,2.7 </v>
      </c>
      <c r="AH106" s="245" t="str">
        <v xml:space="preserve">144.515,3.6 </v>
      </c>
      <c r="AI106" s="245" t="str">
        <v xml:space="preserve">143.465,5.4 </v>
      </c>
      <c r="AJ106" s="245" t="str">
        <v xml:space="preserve">143.185,7.2 </v>
      </c>
      <c r="AK106" s="245" t="str">
        <v xml:space="preserve">143.185,9 </v>
      </c>
      <c r="AL106" s="245" t="str">
        <v xml:space="preserve">143.185,10.1 </v>
      </c>
      <c r="AM106" s="245" t="str">
        <v xml:space="preserve">143.185,10.8 </v>
      </c>
      <c r="AN106" s="245" t="str">
        <v xml:space="preserve">143.185,12.6 </v>
      </c>
      <c r="AO106" s="245" t="str">
        <v xml:space="preserve">143.185,14.19 </v>
      </c>
      <c r="AP106" s="245" t="str">
        <v/>
      </c>
      <c r="AQ106" s="245" t="str">
        <v/>
      </c>
      <c r="AR106" s="245" t="str">
        <v/>
      </c>
      <c r="AS106" s="245" t="str">
        <v/>
      </c>
      <c r="AT106" s="245" t="str">
        <v/>
      </c>
      <c r="AU106" s="245" t="str">
        <v/>
      </c>
      <c r="AV106" s="245" t="str">
        <v/>
      </c>
      <c r="AW106" s="245" t="str">
        <v/>
      </c>
      <c r="AX106" s="245" t="str">
        <v/>
      </c>
      <c r="AY106" s="245" t="str">
        <v/>
      </c>
      <c r="AZ106" s="245" t="str">
        <v/>
      </c>
      <c r="BA106" s="245" t="str">
        <v/>
      </c>
      <c r="BB106" s="245" t="str">
        <v/>
      </c>
      <c r="BC106" s="376">
        <f>Tools!AD11</f>
        <v>6</v>
      </c>
      <c r="BD106" s="376">
        <f>IFERROR(Tools!AD11*STN_GAP,"")</f>
        <v>39.509999999999991</v>
      </c>
      <c r="BE106" s="496">
        <f>IFERROR(IF(ISNUMBER(DE106),NA(),IF(AND($DF106&lt;&gt;0,$DG106&gt;BE$97),NA(),IF($BD106&gt;LBP/2,-(-Tools!AE11),-Tools!AE11))),NA())</f>
        <v>-2.2000000000000002</v>
      </c>
      <c r="BF106" s="376">
        <f>IFERROR(IF(AND($DF106&lt;&gt;0,$DG106&gt;BF$97),NA(),IF($BD106&gt;LBP/2,-(-Tools!AF11),-Tools!AF11)),NA())</f>
        <v>-6.59</v>
      </c>
      <c r="BG106" s="376">
        <f>IFERROR(IF(AND($DF106&lt;&gt;0,$DG106&gt;BG$97),NA(),IF($BD106&gt;LBP/2,-(-Tools!AG11),-Tools!AG11)),NA())</f>
        <v>-8.34</v>
      </c>
      <c r="BH106" s="376">
        <f>IFERROR(IF(AND($DF106&lt;&gt;0,$DG106&gt;BH$97),NA(),IF($BD106&gt;LBP/2,-(-Tools!AH11),-Tools!AH11)),NA())</f>
        <v>-9.82</v>
      </c>
      <c r="BI106" s="376">
        <f>IFERROR(IF(AND($DF106&lt;&gt;0,$DG106&gt;BI$97),NA(),IF($BD106&gt;LBP/2,-(-Tools!AI11),-Tools!AI11)),NA())</f>
        <v>-10.92</v>
      </c>
      <c r="BJ106" s="376">
        <f>IFERROR(IF(AND($DF106&lt;&gt;0,$DG106&gt;BJ$97),NA(),IF($BD106&gt;LBP/2,-(-Tools!AJ11),-Tools!AJ11)),NA())</f>
        <v>-11.97</v>
      </c>
      <c r="BK106" s="376">
        <f>IFERROR(IF(AND($DF106&lt;&gt;0,$DG106&gt;BK$97),NA(),IF($BD106&gt;LBP/2,-(-Tools!AK11),-Tools!AK11)),NA())</f>
        <v>-12.25</v>
      </c>
      <c r="BL106" s="376">
        <f>IFERROR(IF(AND($DF106&lt;&gt;0,$DG106&gt;BL$97),NA(),IF($BD106&gt;LBP/2,-(-Tools!AL11),-Tools!AL11)),NA())</f>
        <v>-12.25</v>
      </c>
      <c r="BM106" s="376">
        <f>IFERROR(IF(AND($DF106&lt;&gt;0,$DG106&gt;BM$97),NA(),IF($BD106&gt;LBP/2,-(-Tools!AM11),-Tools!AM11)),NA())</f>
        <v>-12.25</v>
      </c>
      <c r="BN106" s="376">
        <f>IFERROR(IF(AND($DF106&lt;&gt;0,$DG106&gt;BN$97),NA(),IF($BD106&gt;LBP/2,-(-Tools!AN11),-Tools!AN11)),NA())</f>
        <v>-12.25</v>
      </c>
      <c r="BO106" s="376">
        <f>IFERROR(IF(AND($DF106&lt;&gt;0,$DG106&gt;BO$97),NA(),IF($BD106&gt;LBP/2,-(-Tools!AO11),-Tools!AO11)),NA())</f>
        <v>-12.25</v>
      </c>
      <c r="BP106" s="376">
        <f>IFERROR(IF(AND($DF106&lt;&gt;0,$DG106&gt;BP$97),NA(),IF($BD106&gt;LBP/2,-(-Tools!AP11),-Tools!AP11)),NA())</f>
        <v>-12.25</v>
      </c>
      <c r="BQ106" s="376" t="e">
        <f>IFERROR(IF(AND($DF106&lt;&gt;0,$DG106&gt;BQ$97),NA(),IF($BD106&gt;LBP/2,-(-Tools!AQ11),-Tools!AQ11)),NA())</f>
        <v>#N/A</v>
      </c>
      <c r="BR106" s="376" t="e">
        <f>IFERROR(IF(AND($DF106&lt;&gt;0,$DG106&gt;BR$97),NA(),IF($BD106&gt;LBP/2,-(-Tools!AR11),-Tools!AR11)),NA())</f>
        <v>#N/A</v>
      </c>
      <c r="BS106" s="376" t="e">
        <f>IFERROR(IF(AND($DF106&lt;&gt;0,$DG106&gt;BS$97),NA(),IF($BD106&gt;LBP/2,-(-Tools!AS11),-Tools!AS11)),NA())</f>
        <v>#N/A</v>
      </c>
      <c r="BT106" s="376" t="e">
        <f>IFERROR(IF(AND($DF106&lt;&gt;0,$DG106&gt;BT$97),NA(),IF($BD106&gt;LBP/2,-(-Tools!AT11),-Tools!AT11)),NA())</f>
        <v>#N/A</v>
      </c>
      <c r="BU106" s="376" t="e">
        <f>IFERROR(IF(AND($DF106&lt;&gt;0,$DG106&gt;BU$97),NA(),IF($BD106&gt;LBP/2,-(-Tools!AU11),-Tools!AU11)),NA())</f>
        <v>#N/A</v>
      </c>
      <c r="BV106" s="376" t="e">
        <f>IFERROR(IF(AND($DF106&lt;&gt;0,$DG106&gt;BV$97),NA(),IF($BD106&gt;LBP/2,-(-Tools!AV11),-Tools!AV11)),NA())</f>
        <v>#N/A</v>
      </c>
      <c r="BW106" s="376" t="e">
        <f>IFERROR(IF(AND($DF106&lt;&gt;0,$DG106&gt;BW$97),NA(),IF($BD106&gt;LBP/2,-(-Tools!AW11),-Tools!AW11)),NA())</f>
        <v>#N/A</v>
      </c>
      <c r="BX106" s="376" t="e">
        <f>IFERROR(IF(AND($DF106&lt;&gt;0,$DG106&gt;BX$97),NA(),IF($BD106&gt;LBP/2,-(-Tools!AX11),-Tools!AX11)),NA())</f>
        <v>#N/A</v>
      </c>
      <c r="BY106" s="376" t="e">
        <f>IFERROR(IF(AND($DF106&lt;&gt;0,$DG106&gt;BY$97),NA(),IF($BD106&gt;LBP/2,-(-Tools!AY11),-Tools!AY11)),NA())</f>
        <v>#N/A</v>
      </c>
      <c r="BZ106" s="376" t="e">
        <f>IFERROR(IF(AND($DF106&lt;&gt;0,$DG106&gt;BZ$97),NA(),IF($BD106&gt;LBP/2,-(-Tools!AZ11),-Tools!AZ11)),NA())</f>
        <v>#N/A</v>
      </c>
      <c r="CA106" s="376" t="e">
        <f>IFERROR(IF(AND($DF106&lt;&gt;0,$DG106&gt;CA$97),NA(),IF($BD106&gt;LBP/2,-(-Tools!BA11),-Tools!BA11)),NA())</f>
        <v>#N/A</v>
      </c>
      <c r="CB106" s="376" t="e">
        <f>IFERROR(IF(AND($DF106&lt;&gt;0,$DG106&gt;CB$97),NA(),IF($BD106&gt;LBP/2,-(-Tools!BB11),-Tools!BB11)),NA())</f>
        <v>#N/A</v>
      </c>
      <c r="CC106" s="376" t="e">
        <f>IFERROR(IF(AND($DF106&lt;&gt;0,$DG106&gt;CC$97),NA(),IF($BD106&gt;LBP/2,-(-Tools!BC11),-Tools!BC11)),NA())</f>
        <v>#N/A</v>
      </c>
      <c r="CE106" s="425" t="b">
        <f t="shared" si="207"/>
        <v>0</v>
      </c>
      <c r="CF106" s="425" t="b">
        <f t="shared" si="208"/>
        <v>0</v>
      </c>
      <c r="CG106" s="425" t="b">
        <f t="shared" si="209"/>
        <v>0</v>
      </c>
      <c r="CH106" s="425" t="b">
        <f t="shared" si="210"/>
        <v>0</v>
      </c>
      <c r="CI106" s="425" t="b">
        <f t="shared" si="211"/>
        <v>0</v>
      </c>
      <c r="CJ106" s="425" t="b">
        <f t="shared" si="212"/>
        <v>0</v>
      </c>
      <c r="CK106" s="425" t="b">
        <f t="shared" si="213"/>
        <v>0</v>
      </c>
      <c r="CL106" s="425" t="b">
        <f t="shared" si="214"/>
        <v>0</v>
      </c>
      <c r="CM106" s="425" t="b">
        <f t="shared" si="215"/>
        <v>0</v>
      </c>
      <c r="CN106" s="425" t="b">
        <f t="shared" si="216"/>
        <v>0</v>
      </c>
      <c r="CO106" s="425" t="b">
        <f t="shared" si="217"/>
        <v>0</v>
      </c>
      <c r="CP106" s="425" t="b">
        <f t="shared" si="218"/>
        <v>0</v>
      </c>
      <c r="CQ106" s="425" t="b">
        <f t="shared" si="219"/>
        <v>0</v>
      </c>
      <c r="CR106" s="425" t="b">
        <f t="shared" si="220"/>
        <v>0</v>
      </c>
      <c r="CS106" s="425" t="b">
        <f t="shared" si="221"/>
        <v>0</v>
      </c>
      <c r="CT106" s="425" t="b">
        <f t="shared" si="222"/>
        <v>0</v>
      </c>
      <c r="CU106" s="425" t="b">
        <f t="shared" si="223"/>
        <v>0</v>
      </c>
      <c r="CV106" s="425" t="b">
        <f t="shared" si="224"/>
        <v>0</v>
      </c>
      <c r="CW106" s="425" t="b">
        <f t="shared" si="225"/>
        <v>0</v>
      </c>
      <c r="CX106" s="425" t="b">
        <f t="shared" si="226"/>
        <v>0</v>
      </c>
      <c r="CY106" s="425" t="b">
        <f t="shared" si="227"/>
        <v>0</v>
      </c>
      <c r="CZ106" s="425" t="b">
        <f t="shared" si="228"/>
        <v>0</v>
      </c>
      <c r="DA106" s="425" t="b">
        <f t="shared" si="229"/>
        <v>0</v>
      </c>
      <c r="DB106" s="425" t="b">
        <f t="shared" si="230"/>
        <v>0</v>
      </c>
      <c r="DC106" s="425"/>
      <c r="DD106" s="425">
        <f t="shared" si="261"/>
        <v>0</v>
      </c>
      <c r="DE106" s="425" t="str">
        <f t="shared" si="231"/>
        <v>-</v>
      </c>
      <c r="DF106" s="425">
        <f t="shared" si="232"/>
        <v>0</v>
      </c>
      <c r="DG106" s="425">
        <f t="shared" si="262"/>
        <v>0</v>
      </c>
      <c r="DH106" s="425">
        <f t="shared" si="233"/>
        <v>6</v>
      </c>
      <c r="DI106" s="425"/>
      <c r="DJ106" s="425" t="e">
        <f t="shared" si="263"/>
        <v>#N/A</v>
      </c>
      <c r="DK106" s="425">
        <f t="shared" si="180"/>
        <v>-2.2000000000000002</v>
      </c>
      <c r="DL106" s="425">
        <f t="shared" si="181"/>
        <v>-6.59</v>
      </c>
      <c r="DM106" s="425">
        <f t="shared" si="182"/>
        <v>-8.34</v>
      </c>
      <c r="DN106" s="425">
        <f t="shared" si="183"/>
        <v>-9.82</v>
      </c>
      <c r="DO106" s="425">
        <f t="shared" si="184"/>
        <v>-10.92</v>
      </c>
      <c r="DP106" s="425">
        <f t="shared" si="185"/>
        <v>-11.97</v>
      </c>
      <c r="DQ106" s="425">
        <f t="shared" si="186"/>
        <v>-12.25</v>
      </c>
      <c r="DR106" s="425">
        <f t="shared" si="187"/>
        <v>-12.25</v>
      </c>
      <c r="DS106" s="425">
        <f t="shared" si="188"/>
        <v>-12.25</v>
      </c>
      <c r="DT106" s="425">
        <f t="shared" si="189"/>
        <v>-12.25</v>
      </c>
      <c r="DU106" s="425">
        <f t="shared" si="190"/>
        <v>-12.25</v>
      </c>
      <c r="DV106" s="425">
        <f t="shared" si="191"/>
        <v>-12.25</v>
      </c>
      <c r="DW106" s="425" t="e">
        <f t="shared" si="192"/>
        <v>#N/A</v>
      </c>
      <c r="DX106" s="425" t="e">
        <f t="shared" si="193"/>
        <v>#N/A</v>
      </c>
      <c r="DY106" s="425" t="e">
        <f t="shared" si="194"/>
        <v>#N/A</v>
      </c>
      <c r="DZ106" s="425" t="e">
        <f t="shared" si="195"/>
        <v>#N/A</v>
      </c>
      <c r="EA106" s="425" t="e">
        <f t="shared" si="196"/>
        <v>#N/A</v>
      </c>
      <c r="EB106" s="425" t="e">
        <f t="shared" si="197"/>
        <v>#N/A</v>
      </c>
      <c r="EC106" s="425" t="e">
        <f t="shared" si="198"/>
        <v>#N/A</v>
      </c>
      <c r="ED106" s="425" t="e">
        <f t="shared" si="199"/>
        <v>#N/A</v>
      </c>
      <c r="EE106" s="425" t="e">
        <f t="shared" si="200"/>
        <v>#N/A</v>
      </c>
      <c r="EF106" s="425" t="e">
        <f t="shared" si="201"/>
        <v>#N/A</v>
      </c>
      <c r="EG106" s="425" t="e">
        <f t="shared" si="202"/>
        <v>#N/A</v>
      </c>
      <c r="EH106" s="425" t="e">
        <f t="shared" si="203"/>
        <v>#N/A</v>
      </c>
      <c r="EI106" s="425" t="e">
        <f t="shared" si="204"/>
        <v>#N/A</v>
      </c>
      <c r="EJ106" s="425"/>
      <c r="EK106" s="425"/>
      <c r="EL106" s="425" t="e">
        <f t="shared" si="234"/>
        <v>#N/A</v>
      </c>
      <c r="EM106" s="425">
        <f t="shared" si="264"/>
        <v>0</v>
      </c>
      <c r="EN106" s="425">
        <f t="shared" si="236"/>
        <v>0.9</v>
      </c>
      <c r="EO106" s="425">
        <f t="shared" si="237"/>
        <v>1.8</v>
      </c>
      <c r="EP106" s="425">
        <f t="shared" si="238"/>
        <v>2.7</v>
      </c>
      <c r="EQ106" s="425">
        <f t="shared" si="239"/>
        <v>3.6</v>
      </c>
      <c r="ER106" s="425">
        <f t="shared" si="240"/>
        <v>5.4</v>
      </c>
      <c r="ES106" s="425">
        <f t="shared" si="241"/>
        <v>7.2</v>
      </c>
      <c r="ET106" s="425">
        <f t="shared" si="242"/>
        <v>9</v>
      </c>
      <c r="EU106" s="425">
        <f t="shared" si="243"/>
        <v>10.1</v>
      </c>
      <c r="EV106" s="425">
        <f t="shared" si="244"/>
        <v>10.8</v>
      </c>
      <c r="EW106" s="425">
        <f t="shared" si="245"/>
        <v>12.6</v>
      </c>
      <c r="EX106" s="425">
        <f t="shared" si="246"/>
        <v>14.19</v>
      </c>
      <c r="EY106" s="425" t="e">
        <f t="shared" si="247"/>
        <v>#N/A</v>
      </c>
      <c r="EZ106" s="425" t="e">
        <f t="shared" si="248"/>
        <v>#N/A</v>
      </c>
      <c r="FA106" s="425" t="e">
        <f t="shared" si="249"/>
        <v>#N/A</v>
      </c>
      <c r="FB106" s="425" t="e">
        <f t="shared" si="250"/>
        <v>#N/A</v>
      </c>
      <c r="FC106" s="425" t="e">
        <f t="shared" si="251"/>
        <v>#N/A</v>
      </c>
      <c r="FD106" s="425" t="e">
        <f t="shared" si="252"/>
        <v>#N/A</v>
      </c>
      <c r="FE106" s="425" t="e">
        <f t="shared" si="253"/>
        <v>#N/A</v>
      </c>
      <c r="FF106" s="425" t="e">
        <f t="shared" si="254"/>
        <v>#N/A</v>
      </c>
      <c r="FG106" s="425" t="e">
        <f t="shared" si="255"/>
        <v>#N/A</v>
      </c>
      <c r="FH106" s="425" t="e">
        <f t="shared" si="256"/>
        <v>#N/A</v>
      </c>
      <c r="FI106" s="425" t="e">
        <f t="shared" si="257"/>
        <v>#N/A</v>
      </c>
      <c r="FJ106" s="425" t="e">
        <f t="shared" si="258"/>
        <v>#N/A</v>
      </c>
      <c r="FK106" s="425" t="e">
        <f t="shared" si="259"/>
        <v>#N/A</v>
      </c>
    </row>
    <row r="107" spans="1:167" x14ac:dyDescent="0.25">
      <c r="A107" s="374">
        <f t="shared" si="206"/>
        <v>6</v>
      </c>
      <c r="B107" s="377" t="str">
        <f>IFERROR(IF(ISERROR(CP136),"",CONCATENATE(ROUND(X_SHIFT_BP+IF(Tools!B$97&lt;=Tools!$D$47/2,-BF12,BF12),3),",",ROUND(WLS*$AP48,3)," ")),"")</f>
        <v xml:space="preserve">149.235,10.8 </v>
      </c>
      <c r="C107" s="377" t="str">
        <f>IFERROR(IF(ISERROR(CQ136),"",CONCATENATE(ROUND(X_SHIFT_BP+IF(Tools!C$97&lt;=Tools!$D$47/2,-BG12,BG12),3),",",ROUND(WLS*$AP48,3)," ")),"")</f>
        <v xml:space="preserve">146.975,10.8 </v>
      </c>
      <c r="D107" s="377" t="str">
        <f>IFERROR(IF(ISERROR(CR136),"",CONCATENATE(ROUND(X_SHIFT_BP+IF(Tools!D$97&lt;=Tools!$D$47/2,-BH12,BH12),3),",",ROUND(WLS*$AP48,3)," ")),"")</f>
        <v xml:space="preserve">145.595,10.8 </v>
      </c>
      <c r="E107" s="377" t="str">
        <f>IFERROR(IF(ISERROR(CS136),"",CONCATENATE(ROUND(X_SHIFT_BP+IF(Tools!E$97&lt;=Tools!$D$47/2,-BI12,BI12),3),",",ROUND(WLS*$AP48,3)," ")),"")</f>
        <v xml:space="preserve">144.655,10.8 </v>
      </c>
      <c r="F107" s="377" t="str">
        <f>IFERROR(IF(ISERROR(CT136),"",CONCATENATE(ROUND(X_SHIFT_BP+IF(Tools!F$97&lt;=Tools!$D$47/2,-BJ12,BJ12),3),",",ROUND(WLS*$AP48,3)," ")),"")</f>
        <v xml:space="preserve">144.095,10.8 </v>
      </c>
      <c r="G107" s="377" t="str">
        <f>IFERROR(IF(ISERROR(CU136),"",CONCATENATE(ROUND(X_SHIFT_BP+IF(Tools!G$97&lt;=Tools!$D$47/2,-BK12,BK12),3),",",ROUND(WLS*$AP48,3)," ")),"")</f>
        <v xml:space="preserve">143.505,10.8 </v>
      </c>
      <c r="H107" s="377" t="str">
        <f>IFERROR(IF(ISERROR(CV136),"",CONCATENATE(ROUND(X_SHIFT_BP+IF(Tools!H$97&lt;=Tools!$D$47/2,-BL12,BL12),3),",",ROUND(WLS*$AP48,3)," ")),"")</f>
        <v xml:space="preserve">143.235,10.8 </v>
      </c>
      <c r="I107" s="377" t="str">
        <f>IFERROR(IF(ISERROR(CW136),"",CONCATENATE(ROUND(X_SHIFT_BP+IF(Tools!I$97&lt;=Tools!$D$47/2,-BM12,BM12),3),",",ROUND(WLS*$AP48,3)," ")),"")</f>
        <v xml:space="preserve">143.185,10.8 </v>
      </c>
      <c r="J107" s="377" t="str">
        <f>IFERROR(IF(ISERROR(CX136),"",CONCATENATE(ROUND(X_SHIFT_BP+IF(Tools!J$97&lt;=Tools!$D$47/2,-BN12,BN12),3),",",ROUND(WLS*$AP48,3)," ")),"")</f>
        <v xml:space="preserve">143.185,10.8 </v>
      </c>
      <c r="K107" s="377" t="str">
        <f>IFERROR(IF(ISERROR(CY136),"",CONCATENATE(ROUND(X_SHIFT_BP+IF(Tools!K$97&lt;=Tools!$D$47/2,-BO12,BO12),3),",",ROUND(WLS*$AP48,3)," ")),"")</f>
        <v xml:space="preserve">143.185,10.8 </v>
      </c>
      <c r="L107" s="377" t="str">
        <f>IFERROR(IF(ISERROR(CZ136),"",CONCATENATE(ROUND(X_SHIFT_BP+IF(Tools!L$97&lt;=Tools!$D$47/2,-BP12,BP12),3),",",ROUND(WLS*$AP48,3)," ")),"")</f>
        <v xml:space="preserve">143.185,10.8 </v>
      </c>
      <c r="M107" s="377" t="str">
        <f>IFERROR(IF(ISERROR(DA136),"",CONCATENATE(ROUND(X_SHIFT_BP+IF(Tools!M$97&lt;=Tools!$D$47/2,-BQ12,BQ12),3),",",ROUND(WLS*$AP48,3)," ")),"")</f>
        <v xml:space="preserve">143.185,10.8 </v>
      </c>
      <c r="N107" s="377" t="str">
        <f>IFERROR(IF(ISERROR(DB136),"",CONCATENATE(ROUND(X_SHIFT_BP+IF(Tools!N$97&lt;=Tools!$D$47/2,-BR12,BR12),3),",",ROUND(WLS*$AP48,3)," ")),"")</f>
        <v xml:space="preserve">143.185,10.8 </v>
      </c>
      <c r="O107" s="377" t="str">
        <f>IFERROR(IF(ISERROR(DC136),"",CONCATENATE(ROUND(X_SHIFT_BP+IF(Tools!O$97&lt;=Tools!$D$47/2,-BS12,BS12),3),",",ROUND(WLS*$AP48,3)," ")),"")</f>
        <v xml:space="preserve">167.685,10.8 </v>
      </c>
      <c r="P107" s="377" t="str">
        <f>IFERROR(IF(ISERROR(DD136),"",CONCATENATE(ROUND(X_SHIFT_BP+IF(Tools!P$97&lt;=Tools!$D$47/2,-BT12,BT12),3),",",ROUND(WLS*$AP48,3)," ")),"")</f>
        <v xml:space="preserve">167.685,10.8 </v>
      </c>
      <c r="Q107" s="377" t="str">
        <f>IFERROR(IF(ISERROR(DE136),"",CONCATENATE(ROUND(X_SHIFT_BP+IF(Tools!Q$97&lt;=Tools!$D$47/2,-BU12,BU12),3),",",ROUND(WLS*$AP48,3)," ")),"")</f>
        <v xml:space="preserve">167.665,10.8 </v>
      </c>
      <c r="R107" s="377" t="str">
        <f>IFERROR(IF(ISERROR(DF136),"",CONCATENATE(ROUND(X_SHIFT_BP+IF(Tools!R$97&lt;=Tools!$D$47/2,-BV12,BV12),3),",",ROUND(WLS*$AP48,3)," ")),"")</f>
        <v xml:space="preserve">167.225,10.8 </v>
      </c>
      <c r="S107" s="377" t="str">
        <f>IFERROR(IF(ISERROR(DG136),"",CONCATENATE(ROUND(X_SHIFT_BP+IF(Tools!S$97&lt;=Tools!$D$47/2,-BW12,BW12),3),",",ROUND(WLS*$AP48,3)," ")),"")</f>
        <v xml:space="preserve">166.235,10.8 </v>
      </c>
      <c r="T107" s="377" t="str">
        <f>IFERROR(IF(ISERROR(DH136),"",CONCATENATE(ROUND(X_SHIFT_BP+IF(Tools!T$97&lt;=Tools!$D$47/2,-BX12,BX12),3),",",ROUND(WLS*$AP48,3)," ")),"")</f>
        <v xml:space="preserve">164.865,10.8 </v>
      </c>
      <c r="U107" s="377" t="str">
        <f>IFERROR(IF(ISERROR(DI136),"",CONCATENATE(ROUND(X_SHIFT_BP+IF(Tools!U$97&lt;=Tools!$D$47/2,-BY12,BY12),3),",",ROUND(WLS*$AP48,3)," ")),"")</f>
        <v xml:space="preserve">163.075,10.8 </v>
      </c>
      <c r="V107" s="377" t="str">
        <f>IFERROR(IF(ISERROR(DJ136),"",CONCATENATE(ROUND(X_SHIFT_BP+IF(Tools!V$97&lt;=Tools!$D$47/2,-BZ12,BZ12),3),",",ROUND(WLS*$AP48,3)," ")),"")</f>
        <v xml:space="preserve">160.905,10.8 </v>
      </c>
      <c r="W107" s="377" t="str">
        <f>IFERROR(IF(ISERROR(DK136),"",CONCATENATE(ROUND(X_SHIFT_BP+IF(Tools!W$97&lt;=Tools!$D$47/2,-CA12,CA12),3),",",ROUND(WLS*$AP48,3)," ")),"")</f>
        <v xml:space="preserve">159.735,10.8 </v>
      </c>
      <c r="X107" s="377" t="str">
        <f>IFERROR(IF(ISERROR(DL136),"",CONCATENATE(ROUND(X_SHIFT_BP+IF(Tools!X$97&lt;=Tools!$D$47/2,-CB12,CB12),3),",",ROUND(WLS*$AP48,3)," ")),"")</f>
        <v xml:space="preserve">158.535,10.8 </v>
      </c>
      <c r="Y107" s="377" t="str">
        <f>IFERROR(IF(ISERROR(DM136),"",CONCATENATE(ROUND(X_SHIFT_BP+IF(Tools!Y$97&lt;=Tools!$D$47/2,-CC12,CC12),3),",",ROUND(WLS*$AP48,3)," ")),"")</f>
        <v xml:space="preserve">157.175,10.8 </v>
      </c>
      <c r="Z107" s="377" t="str">
        <f>IFERROR(IF(ISERROR(DN136),"",CONCATENATE(ROUND(X_SHIFT_BP+IF(Tools!Z$97&lt;=Tools!$D$47/2,-CD12,CD12),3),",",ROUND(WLS*$AP48,3)," ")),"")</f>
        <v xml:space="preserve">155.685,10.8 </v>
      </c>
      <c r="AA107" s="129">
        <v>12</v>
      </c>
      <c r="AB107" s="245" t="str">
        <f t="shared" si="260"/>
        <v xml:space="preserve">Spline </v>
      </c>
      <c r="AC107" s="129" t="str">
        <v/>
      </c>
      <c r="AD107" s="245" t="str">
        <v xml:space="preserve">151.725,0 </v>
      </c>
      <c r="AE107" s="245" t="str">
        <v xml:space="preserve">146.855,0.9 </v>
      </c>
      <c r="AF107" s="245" t="str">
        <v xml:space="preserve">145.175,1.8 </v>
      </c>
      <c r="AG107" s="245" t="str">
        <v xml:space="preserve">144.185,2.7 </v>
      </c>
      <c r="AH107" s="245" t="str">
        <v xml:space="preserve">143.575,3.6 </v>
      </c>
      <c r="AI107" s="245" t="str">
        <v xml:space="preserve">143.185,5.4 </v>
      </c>
      <c r="AJ107" s="245" t="str">
        <v xml:space="preserve">143.185,7.2 </v>
      </c>
      <c r="AK107" s="245" t="str">
        <v xml:space="preserve">143.185,9 </v>
      </c>
      <c r="AL107" s="245" t="str">
        <v xml:space="preserve">143.185,10.1 </v>
      </c>
      <c r="AM107" s="245" t="str">
        <v xml:space="preserve">143.185,10.8 </v>
      </c>
      <c r="AN107" s="245" t="str">
        <v xml:space="preserve">143.185,12.6 </v>
      </c>
      <c r="AO107" s="245" t="str">
        <v xml:space="preserve">143.185,14.19 </v>
      </c>
      <c r="AP107" s="245" t="str">
        <v/>
      </c>
      <c r="AQ107" s="245" t="str">
        <v/>
      </c>
      <c r="AR107" s="245" t="str">
        <v/>
      </c>
      <c r="AS107" s="245" t="str">
        <v/>
      </c>
      <c r="AT107" s="245" t="str">
        <v/>
      </c>
      <c r="AU107" s="245" t="str">
        <v/>
      </c>
      <c r="AV107" s="245" t="str">
        <v/>
      </c>
      <c r="AW107" s="245" t="str">
        <v/>
      </c>
      <c r="AX107" s="245" t="str">
        <v/>
      </c>
      <c r="AY107" s="245" t="str">
        <v/>
      </c>
      <c r="AZ107" s="245" t="str">
        <v/>
      </c>
      <c r="BA107" s="245" t="str">
        <v/>
      </c>
      <c r="BB107" s="245" t="str">
        <v/>
      </c>
      <c r="BC107" s="376">
        <f>Tools!AD12</f>
        <v>7</v>
      </c>
      <c r="BD107" s="376">
        <f>IFERROR(Tools!AD12*STN_GAP,"")</f>
        <v>46.094999999999992</v>
      </c>
      <c r="BE107" s="496">
        <f>IFERROR(IF(ISNUMBER(DE107),NA(),IF(AND($DF107&lt;&gt;0,$DG107&gt;BE$97),NA(),IF($BD107&gt;LBP/2,-(-Tools!AE12),-Tools!AE12))),NA())</f>
        <v>-3.71</v>
      </c>
      <c r="BF107" s="376">
        <f>IFERROR(IF(AND($DF107&lt;&gt;0,$DG107&gt;BF$97),NA(),IF($BD107&gt;LBP/2,-(-Tools!AF12),-Tools!AF12)),NA())</f>
        <v>-8.58</v>
      </c>
      <c r="BG107" s="376">
        <f>IFERROR(IF(AND($DF107&lt;&gt;0,$DG107&gt;BG$97),NA(),IF($BD107&gt;LBP/2,-(-Tools!AG12),-Tools!AG12)),NA())</f>
        <v>-10.26</v>
      </c>
      <c r="BH107" s="376">
        <f>IFERROR(IF(AND($DF107&lt;&gt;0,$DG107&gt;BH$97),NA(),IF($BD107&gt;LBP/2,-(-Tools!AH12),-Tools!AH12)),NA())</f>
        <v>-11.25</v>
      </c>
      <c r="BI107" s="376">
        <f>IFERROR(IF(AND($DF107&lt;&gt;0,$DG107&gt;BI$97),NA(),IF($BD107&gt;LBP/2,-(-Tools!AI12),-Tools!AI12)),NA())</f>
        <v>-11.86</v>
      </c>
      <c r="BJ107" s="376">
        <f>IFERROR(IF(AND($DF107&lt;&gt;0,$DG107&gt;BJ$97),NA(),IF($BD107&gt;LBP/2,-(-Tools!AJ12),-Tools!AJ12)),NA())</f>
        <v>-12.25</v>
      </c>
      <c r="BK107" s="376">
        <f>IFERROR(IF(AND($DF107&lt;&gt;0,$DG107&gt;BK$97),NA(),IF($BD107&gt;LBP/2,-(-Tools!AK12),-Tools!AK12)),NA())</f>
        <v>-12.25</v>
      </c>
      <c r="BL107" s="376">
        <f>IFERROR(IF(AND($DF107&lt;&gt;0,$DG107&gt;BL$97),NA(),IF($BD107&gt;LBP/2,-(-Tools!AL12),-Tools!AL12)),NA())</f>
        <v>-12.25</v>
      </c>
      <c r="BM107" s="376">
        <f>IFERROR(IF(AND($DF107&lt;&gt;0,$DG107&gt;BM$97),NA(),IF($BD107&gt;LBP/2,-(-Tools!AM12),-Tools!AM12)),NA())</f>
        <v>-12.25</v>
      </c>
      <c r="BN107" s="376">
        <f>IFERROR(IF(AND($DF107&lt;&gt;0,$DG107&gt;BN$97),NA(),IF($BD107&gt;LBP/2,-(-Tools!AN12),-Tools!AN12)),NA())</f>
        <v>-12.25</v>
      </c>
      <c r="BO107" s="376">
        <f>IFERROR(IF(AND($DF107&lt;&gt;0,$DG107&gt;BO$97),NA(),IF($BD107&gt;LBP/2,-(-Tools!AO12),-Tools!AO12)),NA())</f>
        <v>-12.25</v>
      </c>
      <c r="BP107" s="376">
        <f>IFERROR(IF(AND($DF107&lt;&gt;0,$DG107&gt;BP$97),NA(),IF($BD107&gt;LBP/2,-(-Tools!AP12),-Tools!AP12)),NA())</f>
        <v>-12.25</v>
      </c>
      <c r="BQ107" s="376" t="e">
        <f>IFERROR(IF(AND($DF107&lt;&gt;0,$DG107&gt;BQ$97),NA(),IF($BD107&gt;LBP/2,-(-Tools!AQ12),-Tools!AQ12)),NA())</f>
        <v>#N/A</v>
      </c>
      <c r="BR107" s="376" t="e">
        <f>IFERROR(IF(AND($DF107&lt;&gt;0,$DG107&gt;BR$97),NA(),IF($BD107&gt;LBP/2,-(-Tools!AR12),-Tools!AR12)),NA())</f>
        <v>#N/A</v>
      </c>
      <c r="BS107" s="376" t="e">
        <f>IFERROR(IF(AND($DF107&lt;&gt;0,$DG107&gt;BS$97),NA(),IF($BD107&gt;LBP/2,-(-Tools!AS12),-Tools!AS12)),NA())</f>
        <v>#N/A</v>
      </c>
      <c r="BT107" s="376" t="e">
        <f>IFERROR(IF(AND($DF107&lt;&gt;0,$DG107&gt;BT$97),NA(),IF($BD107&gt;LBP/2,-(-Tools!AT12),-Tools!AT12)),NA())</f>
        <v>#N/A</v>
      </c>
      <c r="BU107" s="376" t="e">
        <f>IFERROR(IF(AND($DF107&lt;&gt;0,$DG107&gt;BU$97),NA(),IF($BD107&gt;LBP/2,-(-Tools!AU12),-Tools!AU12)),NA())</f>
        <v>#N/A</v>
      </c>
      <c r="BV107" s="376" t="e">
        <f>IFERROR(IF(AND($DF107&lt;&gt;0,$DG107&gt;BV$97),NA(),IF($BD107&gt;LBP/2,-(-Tools!AV12),-Tools!AV12)),NA())</f>
        <v>#N/A</v>
      </c>
      <c r="BW107" s="376" t="e">
        <f>IFERROR(IF(AND($DF107&lt;&gt;0,$DG107&gt;BW$97),NA(),IF($BD107&gt;LBP/2,-(-Tools!AW12),-Tools!AW12)),NA())</f>
        <v>#N/A</v>
      </c>
      <c r="BX107" s="376" t="e">
        <f>IFERROR(IF(AND($DF107&lt;&gt;0,$DG107&gt;BX$97),NA(),IF($BD107&gt;LBP/2,-(-Tools!AX12),-Tools!AX12)),NA())</f>
        <v>#N/A</v>
      </c>
      <c r="BY107" s="376" t="e">
        <f>IFERROR(IF(AND($DF107&lt;&gt;0,$DG107&gt;BY$97),NA(),IF($BD107&gt;LBP/2,-(-Tools!AY12),-Tools!AY12)),NA())</f>
        <v>#N/A</v>
      </c>
      <c r="BZ107" s="376" t="e">
        <f>IFERROR(IF(AND($DF107&lt;&gt;0,$DG107&gt;BZ$97),NA(),IF($BD107&gt;LBP/2,-(-Tools!AZ12),-Tools!AZ12)),NA())</f>
        <v>#N/A</v>
      </c>
      <c r="CA107" s="376" t="e">
        <f>IFERROR(IF(AND($DF107&lt;&gt;0,$DG107&gt;CA$97),NA(),IF($BD107&gt;LBP/2,-(-Tools!BA12),-Tools!BA12)),NA())</f>
        <v>#N/A</v>
      </c>
      <c r="CB107" s="376" t="e">
        <f>IFERROR(IF(AND($DF107&lt;&gt;0,$DG107&gt;CB$97),NA(),IF($BD107&gt;LBP/2,-(-Tools!BB12),-Tools!BB12)),NA())</f>
        <v>#N/A</v>
      </c>
      <c r="CC107" s="376" t="e">
        <f>IFERROR(IF(AND($DF107&lt;&gt;0,$DG107&gt;CC$97),NA(),IF($BD107&gt;LBP/2,-(-Tools!BC12),-Tools!BC12)),NA())</f>
        <v>#N/A</v>
      </c>
      <c r="CE107" s="425" t="b">
        <f t="shared" si="207"/>
        <v>0</v>
      </c>
      <c r="CF107" s="425" t="b">
        <f t="shared" si="208"/>
        <v>0</v>
      </c>
      <c r="CG107" s="425" t="b">
        <f t="shared" si="209"/>
        <v>0</v>
      </c>
      <c r="CH107" s="425" t="b">
        <f t="shared" si="210"/>
        <v>0</v>
      </c>
      <c r="CI107" s="425" t="b">
        <f t="shared" si="211"/>
        <v>0</v>
      </c>
      <c r="CJ107" s="425" t="b">
        <f t="shared" si="212"/>
        <v>0</v>
      </c>
      <c r="CK107" s="425" t="b">
        <f t="shared" si="213"/>
        <v>0</v>
      </c>
      <c r="CL107" s="425" t="b">
        <f t="shared" si="214"/>
        <v>0</v>
      </c>
      <c r="CM107" s="425" t="b">
        <f t="shared" si="215"/>
        <v>0</v>
      </c>
      <c r="CN107" s="425" t="b">
        <f t="shared" si="216"/>
        <v>0</v>
      </c>
      <c r="CO107" s="425" t="b">
        <f t="shared" si="217"/>
        <v>0</v>
      </c>
      <c r="CP107" s="425" t="b">
        <f t="shared" si="218"/>
        <v>0</v>
      </c>
      <c r="CQ107" s="425" t="b">
        <f t="shared" si="219"/>
        <v>0</v>
      </c>
      <c r="CR107" s="425" t="b">
        <f t="shared" si="220"/>
        <v>0</v>
      </c>
      <c r="CS107" s="425" t="b">
        <f t="shared" si="221"/>
        <v>0</v>
      </c>
      <c r="CT107" s="425" t="b">
        <f t="shared" si="222"/>
        <v>0</v>
      </c>
      <c r="CU107" s="425" t="b">
        <f t="shared" si="223"/>
        <v>0</v>
      </c>
      <c r="CV107" s="425" t="b">
        <f t="shared" si="224"/>
        <v>0</v>
      </c>
      <c r="CW107" s="425" t="b">
        <f t="shared" si="225"/>
        <v>0</v>
      </c>
      <c r="CX107" s="425" t="b">
        <f t="shared" si="226"/>
        <v>0</v>
      </c>
      <c r="CY107" s="425" t="b">
        <f t="shared" si="227"/>
        <v>0</v>
      </c>
      <c r="CZ107" s="425" t="b">
        <f t="shared" si="228"/>
        <v>0</v>
      </c>
      <c r="DA107" s="425" t="b">
        <f t="shared" si="229"/>
        <v>0</v>
      </c>
      <c r="DB107" s="425" t="b">
        <f t="shared" si="230"/>
        <v>0</v>
      </c>
      <c r="DC107" s="425"/>
      <c r="DD107" s="425">
        <f t="shared" si="261"/>
        <v>0</v>
      </c>
      <c r="DE107" s="425" t="str">
        <f t="shared" si="231"/>
        <v>-</v>
      </c>
      <c r="DF107" s="425">
        <f t="shared" si="232"/>
        <v>0</v>
      </c>
      <c r="DG107" s="425">
        <f t="shared" si="262"/>
        <v>0</v>
      </c>
      <c r="DH107" s="425">
        <f t="shared" si="233"/>
        <v>7</v>
      </c>
      <c r="DI107" s="425"/>
      <c r="DJ107" s="425" t="e">
        <f t="shared" si="263"/>
        <v>#N/A</v>
      </c>
      <c r="DK107" s="425">
        <f t="shared" si="180"/>
        <v>-3.71</v>
      </c>
      <c r="DL107" s="425">
        <f t="shared" si="181"/>
        <v>-8.58</v>
      </c>
      <c r="DM107" s="425">
        <f t="shared" si="182"/>
        <v>-10.26</v>
      </c>
      <c r="DN107" s="425">
        <f t="shared" si="183"/>
        <v>-11.25</v>
      </c>
      <c r="DO107" s="425">
        <f t="shared" si="184"/>
        <v>-11.86</v>
      </c>
      <c r="DP107" s="425">
        <f t="shared" si="185"/>
        <v>-12.25</v>
      </c>
      <c r="DQ107" s="425">
        <f t="shared" si="186"/>
        <v>-12.25</v>
      </c>
      <c r="DR107" s="425">
        <f t="shared" si="187"/>
        <v>-12.25</v>
      </c>
      <c r="DS107" s="425">
        <f t="shared" si="188"/>
        <v>-12.25</v>
      </c>
      <c r="DT107" s="425">
        <f t="shared" si="189"/>
        <v>-12.25</v>
      </c>
      <c r="DU107" s="425">
        <f t="shared" si="190"/>
        <v>-12.25</v>
      </c>
      <c r="DV107" s="425">
        <f t="shared" si="191"/>
        <v>-12.25</v>
      </c>
      <c r="DW107" s="425" t="e">
        <f t="shared" si="192"/>
        <v>#N/A</v>
      </c>
      <c r="DX107" s="425" t="e">
        <f t="shared" si="193"/>
        <v>#N/A</v>
      </c>
      <c r="DY107" s="425" t="e">
        <f t="shared" si="194"/>
        <v>#N/A</v>
      </c>
      <c r="DZ107" s="425" t="e">
        <f t="shared" si="195"/>
        <v>#N/A</v>
      </c>
      <c r="EA107" s="425" t="e">
        <f t="shared" si="196"/>
        <v>#N/A</v>
      </c>
      <c r="EB107" s="425" t="e">
        <f t="shared" si="197"/>
        <v>#N/A</v>
      </c>
      <c r="EC107" s="425" t="e">
        <f t="shared" si="198"/>
        <v>#N/A</v>
      </c>
      <c r="ED107" s="425" t="e">
        <f t="shared" si="199"/>
        <v>#N/A</v>
      </c>
      <c r="EE107" s="425" t="e">
        <f t="shared" si="200"/>
        <v>#N/A</v>
      </c>
      <c r="EF107" s="425" t="e">
        <f t="shared" si="201"/>
        <v>#N/A</v>
      </c>
      <c r="EG107" s="425" t="e">
        <f t="shared" si="202"/>
        <v>#N/A</v>
      </c>
      <c r="EH107" s="425" t="e">
        <f t="shared" si="203"/>
        <v>#N/A</v>
      </c>
      <c r="EI107" s="425" t="e">
        <f t="shared" si="204"/>
        <v>#N/A</v>
      </c>
      <c r="EJ107" s="425"/>
      <c r="EK107" s="425"/>
      <c r="EL107" s="425" t="e">
        <f t="shared" si="234"/>
        <v>#N/A</v>
      </c>
      <c r="EM107" s="425">
        <f t="shared" si="264"/>
        <v>0</v>
      </c>
      <c r="EN107" s="425">
        <f t="shared" si="236"/>
        <v>0.9</v>
      </c>
      <c r="EO107" s="425">
        <f t="shared" si="237"/>
        <v>1.8</v>
      </c>
      <c r="EP107" s="425">
        <f t="shared" si="238"/>
        <v>2.7</v>
      </c>
      <c r="EQ107" s="425">
        <f t="shared" si="239"/>
        <v>3.6</v>
      </c>
      <c r="ER107" s="425">
        <f t="shared" si="240"/>
        <v>5.4</v>
      </c>
      <c r="ES107" s="425">
        <f t="shared" si="241"/>
        <v>7.2</v>
      </c>
      <c r="ET107" s="425">
        <f t="shared" si="242"/>
        <v>9</v>
      </c>
      <c r="EU107" s="425">
        <f t="shared" si="243"/>
        <v>10.1</v>
      </c>
      <c r="EV107" s="425">
        <f t="shared" si="244"/>
        <v>10.8</v>
      </c>
      <c r="EW107" s="425">
        <f t="shared" si="245"/>
        <v>12.6</v>
      </c>
      <c r="EX107" s="425">
        <f t="shared" si="246"/>
        <v>14.19</v>
      </c>
      <c r="EY107" s="425" t="e">
        <f t="shared" si="247"/>
        <v>#N/A</v>
      </c>
      <c r="EZ107" s="425" t="e">
        <f t="shared" si="248"/>
        <v>#N/A</v>
      </c>
      <c r="FA107" s="425" t="e">
        <f t="shared" si="249"/>
        <v>#N/A</v>
      </c>
      <c r="FB107" s="425" t="e">
        <f t="shared" si="250"/>
        <v>#N/A</v>
      </c>
      <c r="FC107" s="425" t="e">
        <f t="shared" si="251"/>
        <v>#N/A</v>
      </c>
      <c r="FD107" s="425" t="e">
        <f t="shared" si="252"/>
        <v>#N/A</v>
      </c>
      <c r="FE107" s="425" t="e">
        <f t="shared" si="253"/>
        <v>#N/A</v>
      </c>
      <c r="FF107" s="425" t="e">
        <f t="shared" si="254"/>
        <v>#N/A</v>
      </c>
      <c r="FG107" s="425" t="e">
        <f t="shared" si="255"/>
        <v>#N/A</v>
      </c>
      <c r="FH107" s="425" t="e">
        <f t="shared" si="256"/>
        <v>#N/A</v>
      </c>
      <c r="FI107" s="425" t="e">
        <f t="shared" si="257"/>
        <v>#N/A</v>
      </c>
      <c r="FJ107" s="425" t="e">
        <f t="shared" si="258"/>
        <v>#N/A</v>
      </c>
      <c r="FK107" s="425" t="e">
        <f t="shared" si="259"/>
        <v>#N/A</v>
      </c>
    </row>
    <row r="108" spans="1:167" x14ac:dyDescent="0.25">
      <c r="A108" s="374">
        <f t="shared" si="206"/>
        <v>7</v>
      </c>
      <c r="B108" s="377" t="str">
        <f>IFERROR(IF(ISERROR(CP137),"",CONCATENATE(ROUND(X_SHIFT_BP+IF(Tools!B$97&lt;=Tools!$D$47/2,-BF13,BF13),3),",",ROUND(WLS*$AP49,3)," ")),"")</f>
        <v xml:space="preserve">145.835,12.6 </v>
      </c>
      <c r="C108" s="377" t="str">
        <f>IFERROR(IF(ISERROR(CQ137),"",CONCATENATE(ROUND(X_SHIFT_BP+IF(Tools!C$97&lt;=Tools!$D$47/2,-BG13,BG13),3),",",ROUND(WLS*$AP49,3)," ")),"")</f>
        <v xml:space="preserve">144.805,12.6 </v>
      </c>
      <c r="D108" s="377" t="str">
        <f>IFERROR(IF(ISERROR(CR137),"",CONCATENATE(ROUND(X_SHIFT_BP+IF(Tools!D$97&lt;=Tools!$D$47/2,-BH13,BH13),3),",",ROUND(WLS*$AP49,3)," ")),"")</f>
        <v xml:space="preserve">144.105,12.6 </v>
      </c>
      <c r="E108" s="377" t="str">
        <f>IFERROR(IF(ISERROR(CS137),"",CONCATENATE(ROUND(X_SHIFT_BP+IF(Tools!E$97&lt;=Tools!$D$47/2,-BI13,BI13),3),",",ROUND(WLS*$AP49,3)," ")),"")</f>
        <v xml:space="preserve">143.665,12.6 </v>
      </c>
      <c r="F108" s="377" t="str">
        <f>IFERROR(IF(ISERROR(CT137),"",CONCATENATE(ROUND(X_SHIFT_BP+IF(Tools!F$97&lt;=Tools!$D$47/2,-BJ13,BJ13),3),",",ROUND(WLS*$AP49,3)," ")),"")</f>
        <v xml:space="preserve">143.435,12.6 </v>
      </c>
      <c r="G108" s="377" t="str">
        <f>IFERROR(IF(ISERROR(CU137),"",CONCATENATE(ROUND(X_SHIFT_BP+IF(Tools!G$97&lt;=Tools!$D$47/2,-BK13,BK13),3),",",ROUND(WLS*$AP49,3)," ")),"")</f>
        <v xml:space="preserve">143.225,12.6 </v>
      </c>
      <c r="H108" s="377" t="str">
        <f>IFERROR(IF(ISERROR(CV137),"",CONCATENATE(ROUND(X_SHIFT_BP+IF(Tools!H$97&lt;=Tools!$D$47/2,-BL13,BL13),3),",",ROUND(WLS*$AP49,3)," ")),"")</f>
        <v xml:space="preserve">143.185,12.6 </v>
      </c>
      <c r="I108" s="377" t="str">
        <f>IFERROR(IF(ISERROR(CW137),"",CONCATENATE(ROUND(X_SHIFT_BP+IF(Tools!I$97&lt;=Tools!$D$47/2,-BM13,BM13),3),",",ROUND(WLS*$AP49,3)," ")),"")</f>
        <v xml:space="preserve">143.185,12.6 </v>
      </c>
      <c r="J108" s="377" t="str">
        <f>IFERROR(IF(ISERROR(CX137),"",CONCATENATE(ROUND(X_SHIFT_BP+IF(Tools!J$97&lt;=Tools!$D$47/2,-BN13,BN13),3),",",ROUND(WLS*$AP49,3)," ")),"")</f>
        <v xml:space="preserve">143.185,12.6 </v>
      </c>
      <c r="K108" s="377" t="str">
        <f>IFERROR(IF(ISERROR(CY137),"",CONCATENATE(ROUND(X_SHIFT_BP+IF(Tools!K$97&lt;=Tools!$D$47/2,-BO13,BO13),3),",",ROUND(WLS*$AP49,3)," ")),"")</f>
        <v xml:space="preserve">143.185,12.6 </v>
      </c>
      <c r="L108" s="377" t="str">
        <f>IFERROR(IF(ISERROR(CZ137),"",CONCATENATE(ROUND(X_SHIFT_BP+IF(Tools!L$97&lt;=Tools!$D$47/2,-BP13,BP13),3),",",ROUND(WLS*$AP49,3)," ")),"")</f>
        <v xml:space="preserve">143.185,12.6 </v>
      </c>
      <c r="M108" s="377" t="str">
        <f>IFERROR(IF(ISERROR(DA137),"",CONCATENATE(ROUND(X_SHIFT_BP+IF(Tools!M$97&lt;=Tools!$D$47/2,-BQ13,BQ13),3),",",ROUND(WLS*$AP49,3)," ")),"")</f>
        <v xml:space="preserve">143.185,12.6 </v>
      </c>
      <c r="N108" s="377" t="str">
        <f>IFERROR(IF(ISERROR(DB137),"",CONCATENATE(ROUND(X_SHIFT_BP+IF(Tools!N$97&lt;=Tools!$D$47/2,-BR13,BR13),3),",",ROUND(WLS*$AP49,3)," ")),"")</f>
        <v xml:space="preserve">143.185,12.6 </v>
      </c>
      <c r="O108" s="377" t="str">
        <f>IFERROR(IF(ISERROR(DC137),"",CONCATENATE(ROUND(X_SHIFT_BP+IF(Tools!O$97&lt;=Tools!$D$47/2,-BS13,BS13),3),",",ROUND(WLS*$AP49,3)," ")),"")</f>
        <v xml:space="preserve">167.685,12.6 </v>
      </c>
      <c r="P108" s="377" t="str">
        <f>IFERROR(IF(ISERROR(DD137),"",CONCATENATE(ROUND(X_SHIFT_BP+IF(Tools!P$97&lt;=Tools!$D$47/2,-BT13,BT13),3),",",ROUND(WLS*$AP49,3)," ")),"")</f>
        <v xml:space="preserve">167.685,12.6 </v>
      </c>
      <c r="Q108" s="377" t="str">
        <f>IFERROR(IF(ISERROR(DE137),"",CONCATENATE(ROUND(X_SHIFT_BP+IF(Tools!Q$97&lt;=Tools!$D$47/2,-BU13,BU13),3),",",ROUND(WLS*$AP49,3)," ")),"")</f>
        <v xml:space="preserve">167.665,12.6 </v>
      </c>
      <c r="R108" s="377" t="str">
        <f>IFERROR(IF(ISERROR(DF137),"",CONCATENATE(ROUND(X_SHIFT_BP+IF(Tools!R$97&lt;=Tools!$D$47/2,-BV13,BV13),3),",",ROUND(WLS*$AP49,3)," ")),"")</f>
        <v xml:space="preserve">167.505,12.6 </v>
      </c>
      <c r="S108" s="377" t="str">
        <f>IFERROR(IF(ISERROR(DG137),"",CONCATENATE(ROUND(X_SHIFT_BP+IF(Tools!S$97&lt;=Tools!$D$47/2,-BW13,BW13),3),",",ROUND(WLS*$AP49,3)," ")),"")</f>
        <v xml:space="preserve">166.725,12.6 </v>
      </c>
      <c r="T108" s="377" t="str">
        <f>IFERROR(IF(ISERROR(DH137),"",CONCATENATE(ROUND(X_SHIFT_BP+IF(Tools!T$97&lt;=Tools!$D$47/2,-BX13,BX13),3),",",ROUND(WLS*$AP49,3)," ")),"")</f>
        <v xml:space="preserve">165.635,12.6 </v>
      </c>
      <c r="U108" s="377" t="str">
        <f>IFERROR(IF(ISERROR(DI137),"",CONCATENATE(ROUND(X_SHIFT_BP+IF(Tools!U$97&lt;=Tools!$D$47/2,-BY13,BY13),3),",",ROUND(WLS*$AP49,3)," ")),"")</f>
        <v xml:space="preserve">164.165,12.6 </v>
      </c>
      <c r="V108" s="377" t="str">
        <f>IFERROR(IF(ISERROR(DJ137),"",CONCATENATE(ROUND(X_SHIFT_BP+IF(Tools!V$97&lt;=Tools!$D$47/2,-BZ13,BZ13),3),",",ROUND(WLS*$AP49,3)," ")),"")</f>
        <v xml:space="preserve">162.275,12.6 </v>
      </c>
      <c r="W108" s="377" t="str">
        <f>IFERROR(IF(ISERROR(DK137),"",CONCATENATE(ROUND(X_SHIFT_BP+IF(Tools!W$97&lt;=Tools!$D$47/2,-CA13,CA13),3),",",ROUND(WLS*$AP49,3)," ")),"")</f>
        <v xml:space="preserve">161.145,12.6 </v>
      </c>
      <c r="X108" s="377" t="str">
        <f>IFERROR(IF(ISERROR(DL137),"",CONCATENATE(ROUND(X_SHIFT_BP+IF(Tools!X$97&lt;=Tools!$D$47/2,-CB13,CB13),3),",",ROUND(WLS*$AP49,3)," ")),"")</f>
        <v xml:space="preserve">159.855,12.6 </v>
      </c>
      <c r="Y108" s="377" t="str">
        <f>IFERROR(IF(ISERROR(DM137),"",CONCATENATE(ROUND(X_SHIFT_BP+IF(Tools!Y$97&lt;=Tools!$D$47/2,-CC13,CC13),3),",",ROUND(WLS*$AP49,3)," ")),"")</f>
        <v xml:space="preserve">158.225,12.6 </v>
      </c>
      <c r="Z108" s="377" t="str">
        <f>IFERROR(IF(ISERROR(DN137),"",CONCATENATE(ROUND(X_SHIFT_BP+IF(Tools!Z$97&lt;=Tools!$D$47/2,-CD13,CD13),3),",",ROUND(WLS*$AP49,3)," ")),"")</f>
        <v xml:space="preserve">156.285,12.6 </v>
      </c>
      <c r="AA108" s="129">
        <v>12</v>
      </c>
      <c r="AB108" s="245" t="str">
        <f t="shared" si="260"/>
        <v xml:space="preserve">Spline </v>
      </c>
      <c r="AC108" s="129" t="str">
        <v/>
      </c>
      <c r="AD108" s="245" t="str">
        <v xml:space="preserve">149.535,0 </v>
      </c>
      <c r="AE108" s="245" t="str">
        <v xml:space="preserve">145.275,0.9 </v>
      </c>
      <c r="AF108" s="245" t="str">
        <v xml:space="preserve">144.085,1.8 </v>
      </c>
      <c r="AG108" s="245" t="str">
        <v xml:space="preserve">143.535,2.7 </v>
      </c>
      <c r="AH108" s="245" t="str">
        <v xml:space="preserve">143.255,3.6 </v>
      </c>
      <c r="AI108" s="245" t="str">
        <v xml:space="preserve">143.185,5.4 </v>
      </c>
      <c r="AJ108" s="245" t="str">
        <v xml:space="preserve">143.185,7.2 </v>
      </c>
      <c r="AK108" s="245" t="str">
        <v xml:space="preserve">143.185,9 </v>
      </c>
      <c r="AL108" s="245" t="str">
        <v xml:space="preserve">143.185,10.1 </v>
      </c>
      <c r="AM108" s="245" t="str">
        <v xml:space="preserve">143.185,10.8 </v>
      </c>
      <c r="AN108" s="245" t="str">
        <v xml:space="preserve">143.185,12.6 </v>
      </c>
      <c r="AO108" s="245" t="str">
        <v xml:space="preserve">143.185,14.19 </v>
      </c>
      <c r="AP108" s="245" t="str">
        <v/>
      </c>
      <c r="AQ108" s="245" t="str">
        <v/>
      </c>
      <c r="AR108" s="245" t="str">
        <v/>
      </c>
      <c r="AS108" s="245" t="str">
        <v/>
      </c>
      <c r="AT108" s="245" t="str">
        <v/>
      </c>
      <c r="AU108" s="245" t="str">
        <v/>
      </c>
      <c r="AV108" s="245" t="str">
        <v/>
      </c>
      <c r="AW108" s="245" t="str">
        <v/>
      </c>
      <c r="AX108" s="245" t="str">
        <v/>
      </c>
      <c r="AY108" s="245" t="str">
        <v/>
      </c>
      <c r="AZ108" s="245" t="str">
        <v/>
      </c>
      <c r="BA108" s="245" t="str">
        <v/>
      </c>
      <c r="BB108" s="245" t="str">
        <v/>
      </c>
      <c r="BC108" s="376">
        <f>Tools!AD13</f>
        <v>8</v>
      </c>
      <c r="BD108" s="376">
        <f>IFERROR(Tools!AD13*STN_GAP,"")</f>
        <v>52.679999999999993</v>
      </c>
      <c r="BE108" s="496">
        <f>IFERROR(IF(ISNUMBER(DE108),NA(),IF(AND($DF108&lt;&gt;0,$DG108&gt;BE$97),NA(),IF($BD108&gt;LBP/2,-(-Tools!AE13),-Tools!AE13))),NA())</f>
        <v>-5.9</v>
      </c>
      <c r="BF108" s="376">
        <f>IFERROR(IF(AND($DF108&lt;&gt;0,$DG108&gt;BF$97),NA(),IF($BD108&gt;LBP/2,-(-Tools!AF13),-Tools!AF13)),NA())</f>
        <v>-10.16</v>
      </c>
      <c r="BG108" s="376">
        <f>IFERROR(IF(AND($DF108&lt;&gt;0,$DG108&gt;BG$97),NA(),IF($BD108&gt;LBP/2,-(-Tools!AG13),-Tools!AG13)),NA())</f>
        <v>-11.35</v>
      </c>
      <c r="BH108" s="376">
        <f>IFERROR(IF(AND($DF108&lt;&gt;0,$DG108&gt;BH$97),NA(),IF($BD108&gt;LBP/2,-(-Tools!AH13),-Tools!AH13)),NA())</f>
        <v>-11.9</v>
      </c>
      <c r="BI108" s="376">
        <f>IFERROR(IF(AND($DF108&lt;&gt;0,$DG108&gt;BI$97),NA(),IF($BD108&gt;LBP/2,-(-Tools!AI13),-Tools!AI13)),NA())</f>
        <v>-12.18</v>
      </c>
      <c r="BJ108" s="376">
        <f>IFERROR(IF(AND($DF108&lt;&gt;0,$DG108&gt;BJ$97),NA(),IF($BD108&gt;LBP/2,-(-Tools!AJ13),-Tools!AJ13)),NA())</f>
        <v>-12.25</v>
      </c>
      <c r="BK108" s="376">
        <f>IFERROR(IF(AND($DF108&lt;&gt;0,$DG108&gt;BK$97),NA(),IF($BD108&gt;LBP/2,-(-Tools!AK13),-Tools!AK13)),NA())</f>
        <v>-12.25</v>
      </c>
      <c r="BL108" s="376">
        <f>IFERROR(IF(AND($DF108&lt;&gt;0,$DG108&gt;BL$97),NA(),IF($BD108&gt;LBP/2,-(-Tools!AL13),-Tools!AL13)),NA())</f>
        <v>-12.25</v>
      </c>
      <c r="BM108" s="376">
        <f>IFERROR(IF(AND($DF108&lt;&gt;0,$DG108&gt;BM$97),NA(),IF($BD108&gt;LBP/2,-(-Tools!AM13),-Tools!AM13)),NA())</f>
        <v>-12.25</v>
      </c>
      <c r="BN108" s="376">
        <f>IFERROR(IF(AND($DF108&lt;&gt;0,$DG108&gt;BN$97),NA(),IF($BD108&gt;LBP/2,-(-Tools!AN13),-Tools!AN13)),NA())</f>
        <v>-12.25</v>
      </c>
      <c r="BO108" s="376">
        <f>IFERROR(IF(AND($DF108&lt;&gt;0,$DG108&gt;BO$97),NA(),IF($BD108&gt;LBP/2,-(-Tools!AO13),-Tools!AO13)),NA())</f>
        <v>-12.25</v>
      </c>
      <c r="BP108" s="376">
        <f>IFERROR(IF(AND($DF108&lt;&gt;0,$DG108&gt;BP$97),NA(),IF($BD108&gt;LBP/2,-(-Tools!AP13),-Tools!AP13)),NA())</f>
        <v>-12.25</v>
      </c>
      <c r="BQ108" s="376" t="e">
        <f>IFERROR(IF(AND($DF108&lt;&gt;0,$DG108&gt;BQ$97),NA(),IF($BD108&gt;LBP/2,-(-Tools!AQ13),-Tools!AQ13)),NA())</f>
        <v>#N/A</v>
      </c>
      <c r="BR108" s="376" t="e">
        <f>IFERROR(IF(AND($DF108&lt;&gt;0,$DG108&gt;BR$97),NA(),IF($BD108&gt;LBP/2,-(-Tools!AR13),-Tools!AR13)),NA())</f>
        <v>#N/A</v>
      </c>
      <c r="BS108" s="376" t="e">
        <f>IFERROR(IF(AND($DF108&lt;&gt;0,$DG108&gt;BS$97),NA(),IF($BD108&gt;LBP/2,-(-Tools!AS13),-Tools!AS13)),NA())</f>
        <v>#N/A</v>
      </c>
      <c r="BT108" s="376" t="e">
        <f>IFERROR(IF(AND($DF108&lt;&gt;0,$DG108&gt;BT$97),NA(),IF($BD108&gt;LBP/2,-(-Tools!AT13),-Tools!AT13)),NA())</f>
        <v>#N/A</v>
      </c>
      <c r="BU108" s="376" t="e">
        <f>IFERROR(IF(AND($DF108&lt;&gt;0,$DG108&gt;BU$97),NA(),IF($BD108&gt;LBP/2,-(-Tools!AU13),-Tools!AU13)),NA())</f>
        <v>#N/A</v>
      </c>
      <c r="BV108" s="376" t="e">
        <f>IFERROR(IF(AND($DF108&lt;&gt;0,$DG108&gt;BV$97),NA(),IF($BD108&gt;LBP/2,-(-Tools!AV13),-Tools!AV13)),NA())</f>
        <v>#N/A</v>
      </c>
      <c r="BW108" s="376" t="e">
        <f>IFERROR(IF(AND($DF108&lt;&gt;0,$DG108&gt;BW$97),NA(),IF($BD108&gt;LBP/2,-(-Tools!AW13),-Tools!AW13)),NA())</f>
        <v>#N/A</v>
      </c>
      <c r="BX108" s="376" t="e">
        <f>IFERROR(IF(AND($DF108&lt;&gt;0,$DG108&gt;BX$97),NA(),IF($BD108&gt;LBP/2,-(-Tools!AX13),-Tools!AX13)),NA())</f>
        <v>#N/A</v>
      </c>
      <c r="BY108" s="376" t="e">
        <f>IFERROR(IF(AND($DF108&lt;&gt;0,$DG108&gt;BY$97),NA(),IF($BD108&gt;LBP/2,-(-Tools!AY13),-Tools!AY13)),NA())</f>
        <v>#N/A</v>
      </c>
      <c r="BZ108" s="376" t="e">
        <f>IFERROR(IF(AND($DF108&lt;&gt;0,$DG108&gt;BZ$97),NA(),IF($BD108&gt;LBP/2,-(-Tools!AZ13),-Tools!AZ13)),NA())</f>
        <v>#N/A</v>
      </c>
      <c r="CA108" s="376" t="e">
        <f>IFERROR(IF(AND($DF108&lt;&gt;0,$DG108&gt;CA$97),NA(),IF($BD108&gt;LBP/2,-(-Tools!BA13),-Tools!BA13)),NA())</f>
        <v>#N/A</v>
      </c>
      <c r="CB108" s="376" t="e">
        <f>IFERROR(IF(AND($DF108&lt;&gt;0,$DG108&gt;CB$97),NA(),IF($BD108&gt;LBP/2,-(-Tools!BB13),-Tools!BB13)),NA())</f>
        <v>#N/A</v>
      </c>
      <c r="CC108" s="376" t="e">
        <f>IFERROR(IF(AND($DF108&lt;&gt;0,$DG108&gt;CC$97),NA(),IF($BD108&gt;LBP/2,-(-Tools!BC13),-Tools!BC13)),NA())</f>
        <v>#N/A</v>
      </c>
      <c r="CE108" s="425" t="b">
        <f t="shared" si="207"/>
        <v>0</v>
      </c>
      <c r="CF108" s="425" t="b">
        <f t="shared" si="208"/>
        <v>0</v>
      </c>
      <c r="CG108" s="425" t="b">
        <f t="shared" si="209"/>
        <v>0</v>
      </c>
      <c r="CH108" s="425" t="b">
        <f t="shared" si="210"/>
        <v>0</v>
      </c>
      <c r="CI108" s="425" t="b">
        <f t="shared" si="211"/>
        <v>0</v>
      </c>
      <c r="CJ108" s="425" t="b">
        <f t="shared" si="212"/>
        <v>0</v>
      </c>
      <c r="CK108" s="425" t="b">
        <f t="shared" si="213"/>
        <v>0</v>
      </c>
      <c r="CL108" s="425" t="b">
        <f t="shared" si="214"/>
        <v>0</v>
      </c>
      <c r="CM108" s="425" t="b">
        <f t="shared" si="215"/>
        <v>0</v>
      </c>
      <c r="CN108" s="425" t="b">
        <f t="shared" si="216"/>
        <v>0</v>
      </c>
      <c r="CO108" s="425" t="b">
        <f t="shared" si="217"/>
        <v>0</v>
      </c>
      <c r="CP108" s="425" t="b">
        <f t="shared" si="218"/>
        <v>0</v>
      </c>
      <c r="CQ108" s="425" t="b">
        <f t="shared" si="219"/>
        <v>0</v>
      </c>
      <c r="CR108" s="425" t="b">
        <f t="shared" si="220"/>
        <v>0</v>
      </c>
      <c r="CS108" s="425" t="b">
        <f t="shared" si="221"/>
        <v>0</v>
      </c>
      <c r="CT108" s="425" t="b">
        <f t="shared" si="222"/>
        <v>0</v>
      </c>
      <c r="CU108" s="425" t="b">
        <f t="shared" si="223"/>
        <v>0</v>
      </c>
      <c r="CV108" s="425" t="b">
        <f t="shared" si="224"/>
        <v>0</v>
      </c>
      <c r="CW108" s="425" t="b">
        <f t="shared" si="225"/>
        <v>0</v>
      </c>
      <c r="CX108" s="425" t="b">
        <f t="shared" si="226"/>
        <v>0</v>
      </c>
      <c r="CY108" s="425" t="b">
        <f t="shared" si="227"/>
        <v>0</v>
      </c>
      <c r="CZ108" s="425" t="b">
        <f t="shared" si="228"/>
        <v>0</v>
      </c>
      <c r="DA108" s="425" t="b">
        <f t="shared" si="229"/>
        <v>0</v>
      </c>
      <c r="DB108" s="425" t="b">
        <f t="shared" si="230"/>
        <v>0</v>
      </c>
      <c r="DC108" s="425"/>
      <c r="DD108" s="425">
        <f t="shared" si="261"/>
        <v>0</v>
      </c>
      <c r="DE108" s="425" t="str">
        <f t="shared" si="231"/>
        <v>-</v>
      </c>
      <c r="DF108" s="425">
        <f t="shared" si="232"/>
        <v>0</v>
      </c>
      <c r="DG108" s="425">
        <f t="shared" si="262"/>
        <v>0</v>
      </c>
      <c r="DH108" s="425">
        <f t="shared" si="233"/>
        <v>8</v>
      </c>
      <c r="DI108" s="425"/>
      <c r="DJ108" s="425" t="e">
        <f t="shared" si="263"/>
        <v>#N/A</v>
      </c>
      <c r="DK108" s="425">
        <f t="shared" si="180"/>
        <v>-5.9</v>
      </c>
      <c r="DL108" s="425">
        <f t="shared" si="181"/>
        <v>-10.16</v>
      </c>
      <c r="DM108" s="425">
        <f t="shared" si="182"/>
        <v>-11.35</v>
      </c>
      <c r="DN108" s="425">
        <f t="shared" si="183"/>
        <v>-11.9</v>
      </c>
      <c r="DO108" s="425">
        <f t="shared" si="184"/>
        <v>-12.18</v>
      </c>
      <c r="DP108" s="425">
        <f t="shared" si="185"/>
        <v>-12.25</v>
      </c>
      <c r="DQ108" s="425">
        <f t="shared" si="186"/>
        <v>-12.25</v>
      </c>
      <c r="DR108" s="425">
        <f t="shared" si="187"/>
        <v>-12.25</v>
      </c>
      <c r="DS108" s="425">
        <f t="shared" si="188"/>
        <v>-12.25</v>
      </c>
      <c r="DT108" s="425">
        <f t="shared" si="189"/>
        <v>-12.25</v>
      </c>
      <c r="DU108" s="425">
        <f t="shared" si="190"/>
        <v>-12.25</v>
      </c>
      <c r="DV108" s="425">
        <f t="shared" si="191"/>
        <v>-12.25</v>
      </c>
      <c r="DW108" s="425" t="e">
        <f t="shared" si="192"/>
        <v>#N/A</v>
      </c>
      <c r="DX108" s="425" t="e">
        <f t="shared" si="193"/>
        <v>#N/A</v>
      </c>
      <c r="DY108" s="425" t="e">
        <f t="shared" si="194"/>
        <v>#N/A</v>
      </c>
      <c r="DZ108" s="425" t="e">
        <f t="shared" si="195"/>
        <v>#N/A</v>
      </c>
      <c r="EA108" s="425" t="e">
        <f t="shared" si="196"/>
        <v>#N/A</v>
      </c>
      <c r="EB108" s="425" t="e">
        <f t="shared" si="197"/>
        <v>#N/A</v>
      </c>
      <c r="EC108" s="425" t="e">
        <f t="shared" si="198"/>
        <v>#N/A</v>
      </c>
      <c r="ED108" s="425" t="e">
        <f t="shared" si="199"/>
        <v>#N/A</v>
      </c>
      <c r="EE108" s="425" t="e">
        <f t="shared" si="200"/>
        <v>#N/A</v>
      </c>
      <c r="EF108" s="425" t="e">
        <f t="shared" si="201"/>
        <v>#N/A</v>
      </c>
      <c r="EG108" s="425" t="e">
        <f t="shared" si="202"/>
        <v>#N/A</v>
      </c>
      <c r="EH108" s="425" t="e">
        <f t="shared" si="203"/>
        <v>#N/A</v>
      </c>
      <c r="EI108" s="425" t="e">
        <f t="shared" si="204"/>
        <v>#N/A</v>
      </c>
      <c r="EJ108" s="425"/>
      <c r="EK108" s="425"/>
      <c r="EL108" s="425" t="e">
        <f t="shared" si="234"/>
        <v>#N/A</v>
      </c>
      <c r="EM108" s="425">
        <f t="shared" si="264"/>
        <v>0</v>
      </c>
      <c r="EN108" s="425">
        <f t="shared" si="236"/>
        <v>0.9</v>
      </c>
      <c r="EO108" s="425">
        <f t="shared" si="237"/>
        <v>1.8</v>
      </c>
      <c r="EP108" s="425">
        <f t="shared" si="238"/>
        <v>2.7</v>
      </c>
      <c r="EQ108" s="425">
        <f t="shared" si="239"/>
        <v>3.6</v>
      </c>
      <c r="ER108" s="425">
        <f t="shared" si="240"/>
        <v>5.4</v>
      </c>
      <c r="ES108" s="425">
        <f t="shared" si="241"/>
        <v>7.2</v>
      </c>
      <c r="ET108" s="425">
        <f t="shared" si="242"/>
        <v>9</v>
      </c>
      <c r="EU108" s="425">
        <f t="shared" si="243"/>
        <v>10.1</v>
      </c>
      <c r="EV108" s="425">
        <f t="shared" si="244"/>
        <v>10.8</v>
      </c>
      <c r="EW108" s="425">
        <f t="shared" si="245"/>
        <v>12.6</v>
      </c>
      <c r="EX108" s="425">
        <f t="shared" si="246"/>
        <v>14.19</v>
      </c>
      <c r="EY108" s="425" t="e">
        <f t="shared" si="247"/>
        <v>#N/A</v>
      </c>
      <c r="EZ108" s="425" t="e">
        <f t="shared" si="248"/>
        <v>#N/A</v>
      </c>
      <c r="FA108" s="425" t="e">
        <f t="shared" si="249"/>
        <v>#N/A</v>
      </c>
      <c r="FB108" s="425" t="e">
        <f t="shared" si="250"/>
        <v>#N/A</v>
      </c>
      <c r="FC108" s="425" t="e">
        <f t="shared" si="251"/>
        <v>#N/A</v>
      </c>
      <c r="FD108" s="425" t="e">
        <f t="shared" si="252"/>
        <v>#N/A</v>
      </c>
      <c r="FE108" s="425" t="e">
        <f t="shared" si="253"/>
        <v>#N/A</v>
      </c>
      <c r="FF108" s="425" t="e">
        <f t="shared" si="254"/>
        <v>#N/A</v>
      </c>
      <c r="FG108" s="425" t="e">
        <f t="shared" si="255"/>
        <v>#N/A</v>
      </c>
      <c r="FH108" s="425" t="e">
        <f t="shared" si="256"/>
        <v>#N/A</v>
      </c>
      <c r="FI108" s="425" t="e">
        <f t="shared" si="257"/>
        <v>#N/A</v>
      </c>
      <c r="FJ108" s="425" t="e">
        <f t="shared" si="258"/>
        <v>#N/A</v>
      </c>
      <c r="FK108" s="425" t="e">
        <f t="shared" si="259"/>
        <v>#N/A</v>
      </c>
    </row>
    <row r="109" spans="1:167" x14ac:dyDescent="0.25">
      <c r="A109" s="374">
        <f t="shared" si="206"/>
        <v>7.8833333333333329</v>
      </c>
      <c r="B109" s="377" t="str">
        <f>IFERROR(IF(ISERROR(CP138),"",CONCATENATE(ROUND(X_SHIFT_BP+IF(Tools!B$97&lt;=Tools!$D$47/2,-BF14,BF14),3),",",ROUND(WLS*$AP50,3)," ")),"")</f>
        <v xml:space="preserve">144.545,14.19 </v>
      </c>
      <c r="C109" s="377" t="str">
        <f>IFERROR(IF(ISERROR(CQ138),"",CONCATENATE(ROUND(X_SHIFT_BP+IF(Tools!C$97&lt;=Tools!$D$47/2,-BG14,BG14),3),",",ROUND(WLS*$AP50,3)," ")),"")</f>
        <v xml:space="preserve">143.915,14.19 </v>
      </c>
      <c r="D109" s="377" t="str">
        <f>IFERROR(IF(ISERROR(CR138),"",CONCATENATE(ROUND(X_SHIFT_BP+IF(Tools!D$97&lt;=Tools!$D$47/2,-BH14,BH14),3),",",ROUND(WLS*$AP50,3)," ")),"")</f>
        <v xml:space="preserve">143.535,14.19 </v>
      </c>
      <c r="E109" s="377" t="str">
        <f>IFERROR(IF(ISERROR(CS138),"",CONCATENATE(ROUND(X_SHIFT_BP+IF(Tools!E$97&lt;=Tools!$D$47/2,-BI14,BI14),3),",",ROUND(WLS*$AP50,3)," ")),"")</f>
        <v xml:space="preserve">143.335,14.19 </v>
      </c>
      <c r="F109" s="377" t="str">
        <f>IFERROR(IF(ISERROR(CT138),"",CONCATENATE(ROUND(X_SHIFT_BP+IF(Tools!F$97&lt;=Tools!$D$47/2,-BJ14,BJ14),3),",",ROUND(WLS*$AP50,3)," ")),"")</f>
        <v xml:space="preserve">143.235,14.19 </v>
      </c>
      <c r="G109" s="377" t="str">
        <f>IFERROR(IF(ISERROR(CU138),"",CONCATENATE(ROUND(X_SHIFT_BP+IF(Tools!G$97&lt;=Tools!$D$47/2,-BK14,BK14),3),",",ROUND(WLS*$AP50,3)," ")),"")</f>
        <v xml:space="preserve">143.205,14.19 </v>
      </c>
      <c r="H109" s="377" t="str">
        <f>IFERROR(IF(ISERROR(CV138),"",CONCATENATE(ROUND(X_SHIFT_BP+IF(Tools!H$97&lt;=Tools!$D$47/2,-BL14,BL14),3),",",ROUND(WLS*$AP50,3)," ")),"")</f>
        <v xml:space="preserve">143.185,14.19 </v>
      </c>
      <c r="I109" s="377" t="str">
        <f>IFERROR(IF(ISERROR(CW138),"",CONCATENATE(ROUND(X_SHIFT_BP+IF(Tools!I$97&lt;=Tools!$D$47/2,-BM14,BM14),3),",",ROUND(WLS*$AP50,3)," ")),"")</f>
        <v xml:space="preserve">143.185,14.19 </v>
      </c>
      <c r="J109" s="377" t="str">
        <f>IFERROR(IF(ISERROR(CX138),"",CONCATENATE(ROUND(X_SHIFT_BP+IF(Tools!J$97&lt;=Tools!$D$47/2,-BN14,BN14),3),",",ROUND(WLS*$AP50,3)," ")),"")</f>
        <v xml:space="preserve">143.185,14.19 </v>
      </c>
      <c r="K109" s="377" t="str">
        <f>IFERROR(IF(ISERROR(CY138),"",CONCATENATE(ROUND(X_SHIFT_BP+IF(Tools!K$97&lt;=Tools!$D$47/2,-BO14,BO14),3),",",ROUND(WLS*$AP50,3)," ")),"")</f>
        <v xml:space="preserve">143.185,14.19 </v>
      </c>
      <c r="L109" s="377" t="str">
        <f>IFERROR(IF(ISERROR(CZ138),"",CONCATENATE(ROUND(X_SHIFT_BP+IF(Tools!L$97&lt;=Tools!$D$47/2,-BP14,BP14),3),",",ROUND(WLS*$AP50,3)," ")),"")</f>
        <v xml:space="preserve">143.185,14.19 </v>
      </c>
      <c r="M109" s="377" t="str">
        <f>IFERROR(IF(ISERROR(DA138),"",CONCATENATE(ROUND(X_SHIFT_BP+IF(Tools!M$97&lt;=Tools!$D$47/2,-BQ14,BQ14),3),",",ROUND(WLS*$AP50,3)," ")),"")</f>
        <v xml:space="preserve">143.185,14.19 </v>
      </c>
      <c r="N109" s="377" t="str">
        <f>IFERROR(IF(ISERROR(DB138),"",CONCATENATE(ROUND(X_SHIFT_BP+IF(Tools!N$97&lt;=Tools!$D$47/2,-BR14,BR14),3),",",ROUND(WLS*$AP50,3)," ")),"")</f>
        <v xml:space="preserve">143.185,14.19 </v>
      </c>
      <c r="O109" s="377" t="str">
        <f>IFERROR(IF(ISERROR(DC138),"",CONCATENATE(ROUND(X_SHIFT_BP+IF(Tools!O$97&lt;=Tools!$D$47/2,-BS14,BS14),3),",",ROUND(WLS*$AP50,3)," ")),"")</f>
        <v xml:space="preserve">167.685,14.19 </v>
      </c>
      <c r="P109" s="377" t="str">
        <f>IFERROR(IF(ISERROR(DD138),"",CONCATENATE(ROUND(X_SHIFT_BP+IF(Tools!P$97&lt;=Tools!$D$47/2,-BT14,BT14),3),",",ROUND(WLS*$AP50,3)," ")),"")</f>
        <v xml:space="preserve">167.685,14.19 </v>
      </c>
      <c r="Q109" s="377" t="str">
        <f>IFERROR(IF(ISERROR(DE138),"",CONCATENATE(ROUND(X_SHIFT_BP+IF(Tools!Q$97&lt;=Tools!$D$47/2,-BU14,BU14),3),",",ROUND(WLS*$AP50,3)," ")),"")</f>
        <v xml:space="preserve">167.685,14.19 </v>
      </c>
      <c r="R109" s="377" t="str">
        <f>IFERROR(IF(ISERROR(DF138),"",CONCATENATE(ROUND(X_SHIFT_BP+IF(Tools!R$97&lt;=Tools!$D$47/2,-BV14,BV14),3),",",ROUND(WLS*$AP50,3)," ")),"")</f>
        <v xml:space="preserve">167.665,14.19 </v>
      </c>
      <c r="S109" s="377" t="str">
        <f>IFERROR(IF(ISERROR(DG138),"",CONCATENATE(ROUND(X_SHIFT_BP+IF(Tools!S$97&lt;=Tools!$D$47/2,-BW14,BW14),3),",",ROUND(WLS*$AP50,3)," ")),"")</f>
        <v xml:space="preserve">167.585,14.19 </v>
      </c>
      <c r="T109" s="377" t="str">
        <f>IFERROR(IF(ISERROR(DH138),"",CONCATENATE(ROUND(X_SHIFT_BP+IF(Tools!T$97&lt;=Tools!$D$47/2,-BX14,BX14),3),",",ROUND(WLS*$AP50,3)," ")),"")</f>
        <v xml:space="preserve">167.185,14.19 </v>
      </c>
      <c r="U109" s="377" t="str">
        <f>IFERROR(IF(ISERROR(DI138),"",CONCATENATE(ROUND(X_SHIFT_BP+IF(Tools!U$97&lt;=Tools!$D$47/2,-BY14,BY14),3),",",ROUND(WLS*$AP50,3)," ")),"")</f>
        <v xml:space="preserve">166.375,14.19 </v>
      </c>
      <c r="V109" s="377" t="str">
        <f>IFERROR(IF(ISERROR(DJ138),"",CONCATENATE(ROUND(X_SHIFT_BP+IF(Tools!V$97&lt;=Tools!$D$47/2,-BZ14,BZ14),3),",",ROUND(WLS*$AP50,3)," ")),"")</f>
        <v xml:space="preserve">165.205,14.19 </v>
      </c>
      <c r="W109" s="377" t="str">
        <f>IFERROR(IF(ISERROR(DK138),"",CONCATENATE(ROUND(X_SHIFT_BP+IF(Tools!W$97&lt;=Tools!$D$47/2,-CA14,CA14),3),",",ROUND(WLS*$AP50,3)," ")),"")</f>
        <v xml:space="preserve">163.535,14.19 </v>
      </c>
      <c r="X109" s="377" t="str">
        <f>IFERROR(IF(ISERROR(DL138),"",CONCATENATE(ROUND(X_SHIFT_BP+IF(Tools!X$97&lt;=Tools!$D$47/2,-CB14,CB14),3),",",ROUND(WLS*$AP50,3)," ")),"")</f>
        <v xml:space="preserve">161.195,14.19 </v>
      </c>
      <c r="Y109" s="377" t="str">
        <f>IFERROR(IF(ISERROR(DM138),"",CONCATENATE(ROUND(X_SHIFT_BP+IF(Tools!Y$97&lt;=Tools!$D$47/2,-CC14,CC14),3),",",ROUND(WLS*$AP50,3)," ")),"")</f>
        <v xml:space="preserve">159.535,14.19 </v>
      </c>
      <c r="Z109" s="377" t="str">
        <f>IFERROR(IF(ISERROR(DN138),"",CONCATENATE(ROUND(X_SHIFT_BP+IF(Tools!Z$97&lt;=Tools!$D$47/2,-CD14,CD14),3),",",ROUND(WLS*$AP50,3)," ")),"")</f>
        <v xml:space="preserve">157.215,14.19 </v>
      </c>
      <c r="AA109" s="129">
        <v>12</v>
      </c>
      <c r="AB109" s="245" t="str">
        <f t="shared" si="260"/>
        <v xml:space="preserve">Spline </v>
      </c>
      <c r="AC109" s="129" t="str">
        <v/>
      </c>
      <c r="AD109" s="245" t="str">
        <v xml:space="preserve">148.235,0 </v>
      </c>
      <c r="AE109" s="245" t="str">
        <v xml:space="preserve">144.655,0.9 </v>
      </c>
      <c r="AF109" s="245" t="str">
        <v xml:space="preserve">143.715,1.8 </v>
      </c>
      <c r="AG109" s="245" t="str">
        <v xml:space="preserve">143.315,2.7 </v>
      </c>
      <c r="AH109" s="245" t="str">
        <v xml:space="preserve">143.185,3.6 </v>
      </c>
      <c r="AI109" s="245" t="str">
        <v xml:space="preserve">143.185,5.4 </v>
      </c>
      <c r="AJ109" s="245" t="str">
        <v xml:space="preserve">143.185,7.2 </v>
      </c>
      <c r="AK109" s="245" t="str">
        <v xml:space="preserve">143.185,9 </v>
      </c>
      <c r="AL109" s="245" t="str">
        <v xml:space="preserve">143.185,10.1 </v>
      </c>
      <c r="AM109" s="245" t="str">
        <v xml:space="preserve">143.185,10.8 </v>
      </c>
      <c r="AN109" s="245" t="str">
        <v xml:space="preserve">143.185,12.6 </v>
      </c>
      <c r="AO109" s="245" t="str">
        <v xml:space="preserve">143.185,14.19 </v>
      </c>
      <c r="AP109" s="245" t="str">
        <v/>
      </c>
      <c r="AQ109" s="245" t="str">
        <v/>
      </c>
      <c r="AR109" s="245" t="str">
        <v/>
      </c>
      <c r="AS109" s="245" t="str">
        <v/>
      </c>
      <c r="AT109" s="245" t="str">
        <v/>
      </c>
      <c r="AU109" s="245" t="str">
        <v/>
      </c>
      <c r="AV109" s="245" t="str">
        <v/>
      </c>
      <c r="AW109" s="245" t="str">
        <v/>
      </c>
      <c r="AX109" s="245" t="str">
        <v/>
      </c>
      <c r="AY109" s="245" t="str">
        <v/>
      </c>
      <c r="AZ109" s="245" t="str">
        <v/>
      </c>
      <c r="BA109" s="245" t="str">
        <v/>
      </c>
      <c r="BB109" s="245" t="str">
        <v/>
      </c>
      <c r="BC109" s="376">
        <f>Tools!AD14</f>
        <v>9</v>
      </c>
      <c r="BD109" s="376">
        <f>IFERROR(Tools!AD14*STN_GAP,"")</f>
        <v>59.264999999999993</v>
      </c>
      <c r="BE109" s="496">
        <f>IFERROR(IF(ISNUMBER(DE109),NA(),IF(AND($DF109&lt;&gt;0,$DG109&gt;BE$97),NA(),IF($BD109&gt;LBP/2,-(-Tools!AE14),-Tools!AE14))),NA())</f>
        <v>-7.2</v>
      </c>
      <c r="BF109" s="376">
        <f>IFERROR(IF(AND($DF109&lt;&gt;0,$DG109&gt;BF$97),NA(),IF($BD109&gt;LBP/2,-(-Tools!AF14),-Tools!AF14)),NA())</f>
        <v>-10.78</v>
      </c>
      <c r="BG109" s="376">
        <f>IFERROR(IF(AND($DF109&lt;&gt;0,$DG109&gt;BG$97),NA(),IF($BD109&gt;LBP/2,-(-Tools!AG14),-Tools!AG14)),NA())</f>
        <v>-11.72</v>
      </c>
      <c r="BH109" s="376">
        <f>IFERROR(IF(AND($DF109&lt;&gt;0,$DG109&gt;BH$97),NA(),IF($BD109&gt;LBP/2,-(-Tools!AH14),-Tools!AH14)),NA())</f>
        <v>-12.12</v>
      </c>
      <c r="BI109" s="376">
        <f>IFERROR(IF(AND($DF109&lt;&gt;0,$DG109&gt;BI$97),NA(),IF($BD109&gt;LBP/2,-(-Tools!AI14),-Tools!AI14)),NA())</f>
        <v>-12.25</v>
      </c>
      <c r="BJ109" s="376">
        <f>IFERROR(IF(AND($DF109&lt;&gt;0,$DG109&gt;BJ$97),NA(),IF($BD109&gt;LBP/2,-(-Tools!AJ14),-Tools!AJ14)),NA())</f>
        <v>-12.25</v>
      </c>
      <c r="BK109" s="376">
        <f>IFERROR(IF(AND($DF109&lt;&gt;0,$DG109&gt;BK$97),NA(),IF($BD109&gt;LBP/2,-(-Tools!AK14),-Tools!AK14)),NA())</f>
        <v>-12.25</v>
      </c>
      <c r="BL109" s="376">
        <f>IFERROR(IF(AND($DF109&lt;&gt;0,$DG109&gt;BL$97),NA(),IF($BD109&gt;LBP/2,-(-Tools!AL14),-Tools!AL14)),NA())</f>
        <v>-12.25</v>
      </c>
      <c r="BM109" s="376">
        <f>IFERROR(IF(AND($DF109&lt;&gt;0,$DG109&gt;BM$97),NA(),IF($BD109&gt;LBP/2,-(-Tools!AM14),-Tools!AM14)),NA())</f>
        <v>-12.25</v>
      </c>
      <c r="BN109" s="376">
        <f>IFERROR(IF(AND($DF109&lt;&gt;0,$DG109&gt;BN$97),NA(),IF($BD109&gt;LBP/2,-(-Tools!AN14),-Tools!AN14)),NA())</f>
        <v>-12.25</v>
      </c>
      <c r="BO109" s="376">
        <f>IFERROR(IF(AND($DF109&lt;&gt;0,$DG109&gt;BO$97),NA(),IF($BD109&gt;LBP/2,-(-Tools!AO14),-Tools!AO14)),NA())</f>
        <v>-12.25</v>
      </c>
      <c r="BP109" s="376">
        <f>IFERROR(IF(AND($DF109&lt;&gt;0,$DG109&gt;BP$97),NA(),IF($BD109&gt;LBP/2,-(-Tools!AP14),-Tools!AP14)),NA())</f>
        <v>-12.25</v>
      </c>
      <c r="BQ109" s="376" t="e">
        <f>IFERROR(IF(AND($DF109&lt;&gt;0,$DG109&gt;BQ$97),NA(),IF($BD109&gt;LBP/2,-(-Tools!AQ14),-Tools!AQ14)),NA())</f>
        <v>#N/A</v>
      </c>
      <c r="BR109" s="376" t="e">
        <f>IFERROR(IF(AND($DF109&lt;&gt;0,$DG109&gt;BR$97),NA(),IF($BD109&gt;LBP/2,-(-Tools!AR14),-Tools!AR14)),NA())</f>
        <v>#N/A</v>
      </c>
      <c r="BS109" s="376" t="e">
        <f>IFERROR(IF(AND($DF109&lt;&gt;0,$DG109&gt;BS$97),NA(),IF($BD109&gt;LBP/2,-(-Tools!AS14),-Tools!AS14)),NA())</f>
        <v>#N/A</v>
      </c>
      <c r="BT109" s="376" t="e">
        <f>IFERROR(IF(AND($DF109&lt;&gt;0,$DG109&gt;BT$97),NA(),IF($BD109&gt;LBP/2,-(-Tools!AT14),-Tools!AT14)),NA())</f>
        <v>#N/A</v>
      </c>
      <c r="BU109" s="376" t="e">
        <f>IFERROR(IF(AND($DF109&lt;&gt;0,$DG109&gt;BU$97),NA(),IF($BD109&gt;LBP/2,-(-Tools!AU14),-Tools!AU14)),NA())</f>
        <v>#N/A</v>
      </c>
      <c r="BV109" s="376" t="e">
        <f>IFERROR(IF(AND($DF109&lt;&gt;0,$DG109&gt;BV$97),NA(),IF($BD109&gt;LBP/2,-(-Tools!AV14),-Tools!AV14)),NA())</f>
        <v>#N/A</v>
      </c>
      <c r="BW109" s="376" t="e">
        <f>IFERROR(IF(AND($DF109&lt;&gt;0,$DG109&gt;BW$97),NA(),IF($BD109&gt;LBP/2,-(-Tools!AW14),-Tools!AW14)),NA())</f>
        <v>#N/A</v>
      </c>
      <c r="BX109" s="376" t="e">
        <f>IFERROR(IF(AND($DF109&lt;&gt;0,$DG109&gt;BX$97),NA(),IF($BD109&gt;LBP/2,-(-Tools!AX14),-Tools!AX14)),NA())</f>
        <v>#N/A</v>
      </c>
      <c r="BY109" s="376" t="e">
        <f>IFERROR(IF(AND($DF109&lt;&gt;0,$DG109&gt;BY$97),NA(),IF($BD109&gt;LBP/2,-(-Tools!AY14),-Tools!AY14)),NA())</f>
        <v>#N/A</v>
      </c>
      <c r="BZ109" s="376" t="e">
        <f>IFERROR(IF(AND($DF109&lt;&gt;0,$DG109&gt;BZ$97),NA(),IF($BD109&gt;LBP/2,-(-Tools!AZ14),-Tools!AZ14)),NA())</f>
        <v>#N/A</v>
      </c>
      <c r="CA109" s="376" t="e">
        <f>IFERROR(IF(AND($DF109&lt;&gt;0,$DG109&gt;CA$97),NA(),IF($BD109&gt;LBP/2,-(-Tools!BA14),-Tools!BA14)),NA())</f>
        <v>#N/A</v>
      </c>
      <c r="CB109" s="376" t="e">
        <f>IFERROR(IF(AND($DF109&lt;&gt;0,$DG109&gt;CB$97),NA(),IF($BD109&gt;LBP/2,-(-Tools!BB14),-Tools!BB14)),NA())</f>
        <v>#N/A</v>
      </c>
      <c r="CC109" s="376" t="e">
        <f>IFERROR(IF(AND($DF109&lt;&gt;0,$DG109&gt;CC$97),NA(),IF($BD109&gt;LBP/2,-(-Tools!BC14),-Tools!BC14)),NA())</f>
        <v>#N/A</v>
      </c>
      <c r="CE109" s="425" t="b">
        <f t="shared" si="207"/>
        <v>0</v>
      </c>
      <c r="CF109" s="425" t="b">
        <f t="shared" si="208"/>
        <v>0</v>
      </c>
      <c r="CG109" s="425" t="b">
        <f t="shared" si="209"/>
        <v>0</v>
      </c>
      <c r="CH109" s="425" t="b">
        <f t="shared" si="210"/>
        <v>0</v>
      </c>
      <c r="CI109" s="425" t="b">
        <f t="shared" si="211"/>
        <v>0</v>
      </c>
      <c r="CJ109" s="425" t="b">
        <f t="shared" si="212"/>
        <v>0</v>
      </c>
      <c r="CK109" s="425" t="b">
        <f t="shared" si="213"/>
        <v>0</v>
      </c>
      <c r="CL109" s="425" t="b">
        <f t="shared" si="214"/>
        <v>0</v>
      </c>
      <c r="CM109" s="425" t="b">
        <f t="shared" si="215"/>
        <v>0</v>
      </c>
      <c r="CN109" s="425" t="b">
        <f t="shared" si="216"/>
        <v>0</v>
      </c>
      <c r="CO109" s="425" t="b">
        <f t="shared" si="217"/>
        <v>0</v>
      </c>
      <c r="CP109" s="425" t="b">
        <f t="shared" si="218"/>
        <v>0</v>
      </c>
      <c r="CQ109" s="425" t="b">
        <f t="shared" si="219"/>
        <v>0</v>
      </c>
      <c r="CR109" s="425" t="b">
        <f t="shared" si="220"/>
        <v>0</v>
      </c>
      <c r="CS109" s="425" t="b">
        <f t="shared" si="221"/>
        <v>0</v>
      </c>
      <c r="CT109" s="425" t="b">
        <f t="shared" si="222"/>
        <v>0</v>
      </c>
      <c r="CU109" s="425" t="b">
        <f t="shared" si="223"/>
        <v>0</v>
      </c>
      <c r="CV109" s="425" t="b">
        <f t="shared" si="224"/>
        <v>0</v>
      </c>
      <c r="CW109" s="425" t="b">
        <f t="shared" si="225"/>
        <v>0</v>
      </c>
      <c r="CX109" s="425" t="b">
        <f t="shared" si="226"/>
        <v>0</v>
      </c>
      <c r="CY109" s="425" t="b">
        <f t="shared" si="227"/>
        <v>0</v>
      </c>
      <c r="CZ109" s="425" t="b">
        <f t="shared" si="228"/>
        <v>0</v>
      </c>
      <c r="DA109" s="425" t="b">
        <f t="shared" si="229"/>
        <v>0</v>
      </c>
      <c r="DB109" s="425" t="b">
        <f t="shared" si="230"/>
        <v>0</v>
      </c>
      <c r="DC109" s="425"/>
      <c r="DD109" s="425">
        <f t="shared" si="261"/>
        <v>0</v>
      </c>
      <c r="DE109" s="425" t="str">
        <f t="shared" si="231"/>
        <v>-</v>
      </c>
      <c r="DF109" s="425">
        <f t="shared" si="232"/>
        <v>0</v>
      </c>
      <c r="DG109" s="425">
        <f t="shared" si="262"/>
        <v>0</v>
      </c>
      <c r="DH109" s="425">
        <f t="shared" si="233"/>
        <v>9</v>
      </c>
      <c r="DI109" s="425"/>
      <c r="DJ109" s="425" t="e">
        <f t="shared" si="263"/>
        <v>#N/A</v>
      </c>
      <c r="DK109" s="425">
        <f t="shared" si="180"/>
        <v>-7.2</v>
      </c>
      <c r="DL109" s="425">
        <f t="shared" si="181"/>
        <v>-10.78</v>
      </c>
      <c r="DM109" s="425">
        <f t="shared" si="182"/>
        <v>-11.72</v>
      </c>
      <c r="DN109" s="425">
        <f t="shared" si="183"/>
        <v>-12.12</v>
      </c>
      <c r="DO109" s="425">
        <f t="shared" si="184"/>
        <v>-12.25</v>
      </c>
      <c r="DP109" s="425">
        <f t="shared" si="185"/>
        <v>-12.25</v>
      </c>
      <c r="DQ109" s="425">
        <f t="shared" si="186"/>
        <v>-12.25</v>
      </c>
      <c r="DR109" s="425">
        <f t="shared" si="187"/>
        <v>-12.25</v>
      </c>
      <c r="DS109" s="425">
        <f t="shared" si="188"/>
        <v>-12.25</v>
      </c>
      <c r="DT109" s="425">
        <f t="shared" si="189"/>
        <v>-12.25</v>
      </c>
      <c r="DU109" s="425">
        <f t="shared" si="190"/>
        <v>-12.25</v>
      </c>
      <c r="DV109" s="425">
        <f t="shared" si="191"/>
        <v>-12.25</v>
      </c>
      <c r="DW109" s="425" t="e">
        <f t="shared" si="192"/>
        <v>#N/A</v>
      </c>
      <c r="DX109" s="425" t="e">
        <f t="shared" si="193"/>
        <v>#N/A</v>
      </c>
      <c r="DY109" s="425" t="e">
        <f t="shared" si="194"/>
        <v>#N/A</v>
      </c>
      <c r="DZ109" s="425" t="e">
        <f t="shared" si="195"/>
        <v>#N/A</v>
      </c>
      <c r="EA109" s="425" t="e">
        <f t="shared" si="196"/>
        <v>#N/A</v>
      </c>
      <c r="EB109" s="425" t="e">
        <f t="shared" si="197"/>
        <v>#N/A</v>
      </c>
      <c r="EC109" s="425" t="e">
        <f t="shared" si="198"/>
        <v>#N/A</v>
      </c>
      <c r="ED109" s="425" t="e">
        <f t="shared" si="199"/>
        <v>#N/A</v>
      </c>
      <c r="EE109" s="425" t="e">
        <f t="shared" si="200"/>
        <v>#N/A</v>
      </c>
      <c r="EF109" s="425" t="e">
        <f t="shared" si="201"/>
        <v>#N/A</v>
      </c>
      <c r="EG109" s="425" t="e">
        <f t="shared" si="202"/>
        <v>#N/A</v>
      </c>
      <c r="EH109" s="425" t="e">
        <f t="shared" si="203"/>
        <v>#N/A</v>
      </c>
      <c r="EI109" s="425" t="e">
        <f t="shared" si="204"/>
        <v>#N/A</v>
      </c>
      <c r="EJ109" s="425"/>
      <c r="EK109" s="425"/>
      <c r="EL109" s="425" t="e">
        <f t="shared" si="234"/>
        <v>#N/A</v>
      </c>
      <c r="EM109" s="425">
        <f t="shared" si="264"/>
        <v>0</v>
      </c>
      <c r="EN109" s="425">
        <f t="shared" si="236"/>
        <v>0.9</v>
      </c>
      <c r="EO109" s="425">
        <f t="shared" si="237"/>
        <v>1.8</v>
      </c>
      <c r="EP109" s="425">
        <f t="shared" si="238"/>
        <v>2.7</v>
      </c>
      <c r="EQ109" s="425">
        <f t="shared" si="239"/>
        <v>3.6</v>
      </c>
      <c r="ER109" s="425">
        <f t="shared" si="240"/>
        <v>5.4</v>
      </c>
      <c r="ES109" s="425">
        <f t="shared" si="241"/>
        <v>7.2</v>
      </c>
      <c r="ET109" s="425">
        <f t="shared" si="242"/>
        <v>9</v>
      </c>
      <c r="EU109" s="425">
        <f t="shared" si="243"/>
        <v>10.1</v>
      </c>
      <c r="EV109" s="425">
        <f t="shared" si="244"/>
        <v>10.8</v>
      </c>
      <c r="EW109" s="425">
        <f t="shared" si="245"/>
        <v>12.6</v>
      </c>
      <c r="EX109" s="425">
        <f t="shared" si="246"/>
        <v>14.19</v>
      </c>
      <c r="EY109" s="425" t="e">
        <f t="shared" si="247"/>
        <v>#N/A</v>
      </c>
      <c r="EZ109" s="425" t="e">
        <f t="shared" si="248"/>
        <v>#N/A</v>
      </c>
      <c r="FA109" s="425" t="e">
        <f t="shared" si="249"/>
        <v>#N/A</v>
      </c>
      <c r="FB109" s="425" t="e">
        <f t="shared" si="250"/>
        <v>#N/A</v>
      </c>
      <c r="FC109" s="425" t="e">
        <f t="shared" si="251"/>
        <v>#N/A</v>
      </c>
      <c r="FD109" s="425" t="e">
        <f t="shared" si="252"/>
        <v>#N/A</v>
      </c>
      <c r="FE109" s="425" t="e">
        <f t="shared" si="253"/>
        <v>#N/A</v>
      </c>
      <c r="FF109" s="425" t="e">
        <f t="shared" si="254"/>
        <v>#N/A</v>
      </c>
      <c r="FG109" s="425" t="e">
        <f t="shared" si="255"/>
        <v>#N/A</v>
      </c>
      <c r="FH109" s="425" t="e">
        <f t="shared" si="256"/>
        <v>#N/A</v>
      </c>
      <c r="FI109" s="425" t="e">
        <f t="shared" si="257"/>
        <v>#N/A</v>
      </c>
      <c r="FJ109" s="425" t="e">
        <f t="shared" si="258"/>
        <v>#N/A</v>
      </c>
      <c r="FK109" s="425" t="e">
        <f t="shared" si="259"/>
        <v>#N/A</v>
      </c>
    </row>
    <row r="110" spans="1:167" x14ac:dyDescent="0.25">
      <c r="A110" s="374" t="str">
        <f t="shared" si="206"/>
        <v xml:space="preserve">  </v>
      </c>
      <c r="B110" s="377" t="str">
        <f>IFERROR(IF(ISERROR(CP139),"",CONCATENATE(ROUND(X_SHIFT_BP+IF(Tools!B$97&lt;=Tools!$D$47/2,-BF15,BF15),3),",",ROUND(WLS*$AP51,3)," ")),"")</f>
        <v/>
      </c>
      <c r="C110" s="377" t="str">
        <f>IFERROR(IF(ISERROR(CQ139),"",CONCATENATE(ROUND(X_SHIFT_BP+IF(Tools!C$97&lt;=Tools!$D$47/2,-BG15,BG15),3),",",ROUND(WLS*$AP51,3)," ")),"")</f>
        <v/>
      </c>
      <c r="D110" s="377" t="str">
        <f>IFERROR(IF(ISERROR(CR139),"",CONCATENATE(ROUND(X_SHIFT_BP+IF(Tools!D$97&lt;=Tools!$D$47/2,-BH15,BH15),3),",",ROUND(WLS*$AP51,3)," ")),"")</f>
        <v/>
      </c>
      <c r="E110" s="377" t="str">
        <f>IFERROR(IF(ISERROR(CS139),"",CONCATENATE(ROUND(X_SHIFT_BP+IF(Tools!E$97&lt;=Tools!$D$47/2,-BI15,BI15),3),",",ROUND(WLS*$AP51,3)," ")),"")</f>
        <v/>
      </c>
      <c r="F110" s="377" t="str">
        <f>IFERROR(IF(ISERROR(CT139),"",CONCATENATE(ROUND(X_SHIFT_BP+IF(Tools!F$97&lt;=Tools!$D$47/2,-BJ15,BJ15),3),",",ROUND(WLS*$AP51,3)," ")),"")</f>
        <v/>
      </c>
      <c r="G110" s="377" t="str">
        <f>IFERROR(IF(ISERROR(CU139),"",CONCATENATE(ROUND(X_SHIFT_BP+IF(Tools!G$97&lt;=Tools!$D$47/2,-BK15,BK15),3),",",ROUND(WLS*$AP51,3)," ")),"")</f>
        <v/>
      </c>
      <c r="H110" s="377" t="str">
        <f>IFERROR(IF(ISERROR(CV139),"",CONCATENATE(ROUND(X_SHIFT_BP+IF(Tools!H$97&lt;=Tools!$D$47/2,-BL15,BL15),3),",",ROUND(WLS*$AP51,3)," ")),"")</f>
        <v/>
      </c>
      <c r="I110" s="377" t="str">
        <f>IFERROR(IF(ISERROR(CW139),"",CONCATENATE(ROUND(X_SHIFT_BP+IF(Tools!I$97&lt;=Tools!$D$47/2,-BM15,BM15),3),",",ROUND(WLS*$AP51,3)," ")),"")</f>
        <v/>
      </c>
      <c r="J110" s="377" t="str">
        <f>IFERROR(IF(ISERROR(CX139),"",CONCATENATE(ROUND(X_SHIFT_BP+IF(Tools!J$97&lt;=Tools!$D$47/2,-BN15,BN15),3),",",ROUND(WLS*$AP51,3)," ")),"")</f>
        <v/>
      </c>
      <c r="K110" s="377" t="str">
        <f>IFERROR(IF(ISERROR(CY139),"",CONCATENATE(ROUND(X_SHIFT_BP+IF(Tools!K$97&lt;=Tools!$D$47/2,-BO15,BO15),3),",",ROUND(WLS*$AP51,3)," ")),"")</f>
        <v/>
      </c>
      <c r="L110" s="377" t="str">
        <f>IFERROR(IF(ISERROR(CZ139),"",CONCATENATE(ROUND(X_SHIFT_BP+IF(Tools!L$97&lt;=Tools!$D$47/2,-BP15,BP15),3),",",ROUND(WLS*$AP51,3)," ")),"")</f>
        <v/>
      </c>
      <c r="M110" s="377" t="str">
        <f>IFERROR(IF(ISERROR(DA139),"",CONCATENATE(ROUND(X_SHIFT_BP+IF(Tools!M$97&lt;=Tools!$D$47/2,-BQ15,BQ15),3),",",ROUND(WLS*$AP51,3)," ")),"")</f>
        <v/>
      </c>
      <c r="N110" s="377" t="str">
        <f>IFERROR(IF(ISERROR(DB139),"",CONCATENATE(ROUND(X_SHIFT_BP+IF(Tools!N$97&lt;=Tools!$D$47/2,-BR15,BR15),3),",",ROUND(WLS*$AP51,3)," ")),"")</f>
        <v/>
      </c>
      <c r="O110" s="377" t="str">
        <f>IFERROR(IF(ISERROR(DC139),"",CONCATENATE(ROUND(X_SHIFT_BP+IF(Tools!O$97&lt;=Tools!$D$47/2,-BS15,BS15),3),",",ROUND(WLS*$AP51,3)," ")),"")</f>
        <v/>
      </c>
      <c r="P110" s="377" t="str">
        <f>IFERROR(IF(ISERROR(DD139),"",CONCATENATE(ROUND(X_SHIFT_BP+IF(Tools!P$97&lt;=Tools!$D$47/2,-BT15,BT15),3),",",ROUND(WLS*$AP51,3)," ")),"")</f>
        <v/>
      </c>
      <c r="Q110" s="377" t="str">
        <f>IFERROR(IF(ISERROR(DE139),"",CONCATENATE(ROUND(X_SHIFT_BP+IF(Tools!Q$97&lt;=Tools!$D$47/2,-BU15,BU15),3),",",ROUND(WLS*$AP51,3)," ")),"")</f>
        <v/>
      </c>
      <c r="R110" s="377" t="str">
        <f>IFERROR(IF(ISERROR(DF139),"",CONCATENATE(ROUND(X_SHIFT_BP+IF(Tools!R$97&lt;=Tools!$D$47/2,-BV15,BV15),3),",",ROUND(WLS*$AP51,3)," ")),"")</f>
        <v/>
      </c>
      <c r="S110" s="377" t="str">
        <f>IFERROR(IF(ISERROR(DG139),"",CONCATENATE(ROUND(X_SHIFT_BP+IF(Tools!S$97&lt;=Tools!$D$47/2,-BW15,BW15),3),",",ROUND(WLS*$AP51,3)," ")),"")</f>
        <v/>
      </c>
      <c r="T110" s="377" t="str">
        <f>IFERROR(IF(ISERROR(DH139),"",CONCATENATE(ROUND(X_SHIFT_BP+IF(Tools!T$97&lt;=Tools!$D$47/2,-BX15,BX15),3),",",ROUND(WLS*$AP51,3)," ")),"")</f>
        <v/>
      </c>
      <c r="U110" s="377" t="str">
        <f>IFERROR(IF(ISERROR(DI139),"",CONCATENATE(ROUND(X_SHIFT_BP+IF(Tools!U$97&lt;=Tools!$D$47/2,-BY15,BY15),3),",",ROUND(WLS*$AP51,3)," ")),"")</f>
        <v/>
      </c>
      <c r="V110" s="377" t="str">
        <f>IFERROR(IF(ISERROR(DJ139),"",CONCATENATE(ROUND(X_SHIFT_BP+IF(Tools!V$97&lt;=Tools!$D$47/2,-BZ15,BZ15),3),",",ROUND(WLS*$AP51,3)," ")),"")</f>
        <v/>
      </c>
      <c r="W110" s="377" t="str">
        <f>IFERROR(IF(ISERROR(DK139),"",CONCATENATE(ROUND(X_SHIFT_BP+IF(Tools!W$97&lt;=Tools!$D$47/2,-CA15,CA15),3),",",ROUND(WLS*$AP51,3)," ")),"")</f>
        <v/>
      </c>
      <c r="X110" s="377" t="str">
        <f>IFERROR(IF(ISERROR(DL139),"",CONCATENATE(ROUND(X_SHIFT_BP+IF(Tools!X$97&lt;=Tools!$D$47/2,-CB15,CB15),3),",",ROUND(WLS*$AP51,3)," ")),"")</f>
        <v/>
      </c>
      <c r="Y110" s="377" t="str">
        <f>IFERROR(IF(ISERROR(DM139),"",CONCATENATE(ROUND(X_SHIFT_BP+IF(Tools!Y$97&lt;=Tools!$D$47/2,-CC15,CC15),3),",",ROUND(WLS*$AP51,3)," ")),"")</f>
        <v/>
      </c>
      <c r="Z110" s="377" t="str">
        <f>IFERROR(IF(ISERROR(DN139),"",CONCATENATE(ROUND(X_SHIFT_BP+IF(Tools!Z$97&lt;=Tools!$D$47/2,-CD15,CD15),3),",",ROUND(WLS*$AP51,3)," ")),"")</f>
        <v/>
      </c>
      <c r="AA110" s="129">
        <v>12</v>
      </c>
      <c r="AB110" s="245" t="str">
        <f t="shared" si="260"/>
        <v xml:space="preserve">Spline </v>
      </c>
      <c r="AC110" s="129" t="str">
        <v/>
      </c>
      <c r="AD110" s="245" t="str">
        <v xml:space="preserve">147.185,0 </v>
      </c>
      <c r="AE110" s="245" t="str">
        <v xml:space="preserve">144.595,0.9 </v>
      </c>
      <c r="AF110" s="245" t="str">
        <v xml:space="preserve">143.675,1.8 </v>
      </c>
      <c r="AG110" s="245" t="str">
        <v xml:space="preserve">143.295,2.7 </v>
      </c>
      <c r="AH110" s="245" t="str">
        <v xml:space="preserve">143.185,3.6 </v>
      </c>
      <c r="AI110" s="245" t="str">
        <v xml:space="preserve">143.185,5.4 </v>
      </c>
      <c r="AJ110" s="245" t="str">
        <v xml:space="preserve">143.185,7.2 </v>
      </c>
      <c r="AK110" s="245" t="str">
        <v xml:space="preserve">143.185,9 </v>
      </c>
      <c r="AL110" s="245" t="str">
        <v xml:space="preserve">143.185,10.1 </v>
      </c>
      <c r="AM110" s="245" t="str">
        <v xml:space="preserve">143.185,10.8 </v>
      </c>
      <c r="AN110" s="245" t="str">
        <v xml:space="preserve">143.185,12.6 </v>
      </c>
      <c r="AO110" s="245" t="str">
        <v xml:space="preserve">143.185,14.19 </v>
      </c>
      <c r="AP110" s="245" t="str">
        <v/>
      </c>
      <c r="AQ110" s="245" t="str">
        <v/>
      </c>
      <c r="AR110" s="245" t="str">
        <v/>
      </c>
      <c r="AS110" s="245" t="str">
        <v/>
      </c>
      <c r="AT110" s="245" t="str">
        <v/>
      </c>
      <c r="AU110" s="245" t="str">
        <v/>
      </c>
      <c r="AV110" s="245" t="str">
        <v/>
      </c>
      <c r="AW110" s="245" t="str">
        <v/>
      </c>
      <c r="AX110" s="245" t="str">
        <v/>
      </c>
      <c r="AY110" s="245" t="str">
        <v/>
      </c>
      <c r="AZ110" s="245" t="str">
        <v/>
      </c>
      <c r="BA110" s="245" t="str">
        <v/>
      </c>
      <c r="BB110" s="245" t="str">
        <v/>
      </c>
      <c r="BC110" s="376">
        <f>Tools!AD15</f>
        <v>10</v>
      </c>
      <c r="BD110" s="376">
        <f>IFERROR(Tools!AD15*STN_GAP,"")</f>
        <v>65.849999999999994</v>
      </c>
      <c r="BE110" s="496">
        <f>IFERROR(IF(ISNUMBER(DE110),NA(),IF(AND($DF110&lt;&gt;0,$DG110&gt;BE$97),NA(),IF($BD110&gt;LBP/2,-(-Tools!AE15),-Tools!AE15))),NA())</f>
        <v>-8.25</v>
      </c>
      <c r="BF110" s="376">
        <f>IFERROR(IF(AND($DF110&lt;&gt;0,$DG110&gt;BF$97),NA(),IF($BD110&gt;LBP/2,-(-Tools!AF15),-Tools!AF15)),NA())</f>
        <v>-10.84</v>
      </c>
      <c r="BG110" s="376">
        <f>IFERROR(IF(AND($DF110&lt;&gt;0,$DG110&gt;BG$97),NA(),IF($BD110&gt;LBP/2,-(-Tools!AG15),-Tools!AG15)),NA())</f>
        <v>-11.76</v>
      </c>
      <c r="BH110" s="376">
        <f>IFERROR(IF(AND($DF110&lt;&gt;0,$DG110&gt;BH$97),NA(),IF($BD110&gt;LBP/2,-(-Tools!AH15),-Tools!AH15)),NA())</f>
        <v>-12.14</v>
      </c>
      <c r="BI110" s="376">
        <f>IFERROR(IF(AND($DF110&lt;&gt;0,$DG110&gt;BI$97),NA(),IF($BD110&gt;LBP/2,-(-Tools!AI15),-Tools!AI15)),NA())</f>
        <v>-12.25</v>
      </c>
      <c r="BJ110" s="376">
        <f>IFERROR(IF(AND($DF110&lt;&gt;0,$DG110&gt;BJ$97),NA(),IF($BD110&gt;LBP/2,-(-Tools!AJ15),-Tools!AJ15)),NA())</f>
        <v>-12.25</v>
      </c>
      <c r="BK110" s="376">
        <f>IFERROR(IF(AND($DF110&lt;&gt;0,$DG110&gt;BK$97),NA(),IF($BD110&gt;LBP/2,-(-Tools!AK15),-Tools!AK15)),NA())</f>
        <v>-12.25</v>
      </c>
      <c r="BL110" s="376">
        <f>IFERROR(IF(AND($DF110&lt;&gt;0,$DG110&gt;BL$97),NA(),IF($BD110&gt;LBP/2,-(-Tools!AL15),-Tools!AL15)),NA())</f>
        <v>-12.25</v>
      </c>
      <c r="BM110" s="376">
        <f>IFERROR(IF(AND($DF110&lt;&gt;0,$DG110&gt;BM$97),NA(),IF($BD110&gt;LBP/2,-(-Tools!AM15),-Tools!AM15)),NA())</f>
        <v>-12.25</v>
      </c>
      <c r="BN110" s="376">
        <f>IFERROR(IF(AND($DF110&lt;&gt;0,$DG110&gt;BN$97),NA(),IF($BD110&gt;LBP/2,-(-Tools!AN15),-Tools!AN15)),NA())</f>
        <v>-12.25</v>
      </c>
      <c r="BO110" s="376">
        <f>IFERROR(IF(AND($DF110&lt;&gt;0,$DG110&gt;BO$97),NA(),IF($BD110&gt;LBP/2,-(-Tools!AO15),-Tools!AO15)),NA())</f>
        <v>-12.25</v>
      </c>
      <c r="BP110" s="376">
        <f>IFERROR(IF(AND($DF110&lt;&gt;0,$DG110&gt;BP$97),NA(),IF($BD110&gt;LBP/2,-(-Tools!AP15),-Tools!AP15)),NA())</f>
        <v>-12.25</v>
      </c>
      <c r="BQ110" s="376" t="e">
        <f>IFERROR(IF(AND($DF110&lt;&gt;0,$DG110&gt;BQ$97),NA(),IF($BD110&gt;LBP/2,-(-Tools!AQ15),-Tools!AQ15)),NA())</f>
        <v>#N/A</v>
      </c>
      <c r="BR110" s="376" t="e">
        <f>IFERROR(IF(AND($DF110&lt;&gt;0,$DG110&gt;BR$97),NA(),IF($BD110&gt;LBP/2,-(-Tools!AR15),-Tools!AR15)),NA())</f>
        <v>#N/A</v>
      </c>
      <c r="BS110" s="376" t="e">
        <f>IFERROR(IF(AND($DF110&lt;&gt;0,$DG110&gt;BS$97),NA(),IF($BD110&gt;LBP/2,-(-Tools!AS15),-Tools!AS15)),NA())</f>
        <v>#N/A</v>
      </c>
      <c r="BT110" s="376" t="e">
        <f>IFERROR(IF(AND($DF110&lt;&gt;0,$DG110&gt;BT$97),NA(),IF($BD110&gt;LBP/2,-(-Tools!AT15),-Tools!AT15)),NA())</f>
        <v>#N/A</v>
      </c>
      <c r="BU110" s="376" t="e">
        <f>IFERROR(IF(AND($DF110&lt;&gt;0,$DG110&gt;BU$97),NA(),IF($BD110&gt;LBP/2,-(-Tools!AU15),-Tools!AU15)),NA())</f>
        <v>#N/A</v>
      </c>
      <c r="BV110" s="376" t="e">
        <f>IFERROR(IF(AND($DF110&lt;&gt;0,$DG110&gt;BV$97),NA(),IF($BD110&gt;LBP/2,-(-Tools!AV15),-Tools!AV15)),NA())</f>
        <v>#N/A</v>
      </c>
      <c r="BW110" s="376" t="e">
        <f>IFERROR(IF(AND($DF110&lt;&gt;0,$DG110&gt;BW$97),NA(),IF($BD110&gt;LBP/2,-(-Tools!AW15),-Tools!AW15)),NA())</f>
        <v>#N/A</v>
      </c>
      <c r="BX110" s="376" t="e">
        <f>IFERROR(IF(AND($DF110&lt;&gt;0,$DG110&gt;BX$97),NA(),IF($BD110&gt;LBP/2,-(-Tools!AX15),-Tools!AX15)),NA())</f>
        <v>#N/A</v>
      </c>
      <c r="BY110" s="376" t="e">
        <f>IFERROR(IF(AND($DF110&lt;&gt;0,$DG110&gt;BY$97),NA(),IF($BD110&gt;LBP/2,-(-Tools!AY15),-Tools!AY15)),NA())</f>
        <v>#N/A</v>
      </c>
      <c r="BZ110" s="376" t="e">
        <f>IFERROR(IF(AND($DF110&lt;&gt;0,$DG110&gt;BZ$97),NA(),IF($BD110&gt;LBP/2,-(-Tools!AZ15),-Tools!AZ15)),NA())</f>
        <v>#N/A</v>
      </c>
      <c r="CA110" s="376" t="e">
        <f>IFERROR(IF(AND($DF110&lt;&gt;0,$DG110&gt;CA$97),NA(),IF($BD110&gt;LBP/2,-(-Tools!BA15),-Tools!BA15)),NA())</f>
        <v>#N/A</v>
      </c>
      <c r="CB110" s="376" t="e">
        <f>IFERROR(IF(AND($DF110&lt;&gt;0,$DG110&gt;CB$97),NA(),IF($BD110&gt;LBP/2,-(-Tools!BB15),-Tools!BB15)),NA())</f>
        <v>#N/A</v>
      </c>
      <c r="CC110" s="376" t="e">
        <f>IFERROR(IF(AND($DF110&lt;&gt;0,$DG110&gt;CC$97),NA(),IF($BD110&gt;LBP/2,-(-Tools!BC15),-Tools!BC15)),NA())</f>
        <v>#N/A</v>
      </c>
      <c r="CE110" s="425" t="b">
        <f t="shared" si="207"/>
        <v>0</v>
      </c>
      <c r="CF110" s="425" t="b">
        <f t="shared" si="208"/>
        <v>0</v>
      </c>
      <c r="CG110" s="425" t="b">
        <f t="shared" si="209"/>
        <v>0</v>
      </c>
      <c r="CH110" s="425" t="b">
        <f t="shared" si="210"/>
        <v>0</v>
      </c>
      <c r="CI110" s="425" t="b">
        <f t="shared" si="211"/>
        <v>0</v>
      </c>
      <c r="CJ110" s="425" t="b">
        <f t="shared" si="212"/>
        <v>0</v>
      </c>
      <c r="CK110" s="425" t="b">
        <f t="shared" si="213"/>
        <v>0</v>
      </c>
      <c r="CL110" s="425" t="b">
        <f t="shared" si="214"/>
        <v>0</v>
      </c>
      <c r="CM110" s="425" t="b">
        <f t="shared" si="215"/>
        <v>0</v>
      </c>
      <c r="CN110" s="425" t="b">
        <f t="shared" si="216"/>
        <v>0</v>
      </c>
      <c r="CO110" s="425" t="b">
        <f t="shared" si="217"/>
        <v>0</v>
      </c>
      <c r="CP110" s="425" t="b">
        <f t="shared" si="218"/>
        <v>0</v>
      </c>
      <c r="CQ110" s="425" t="b">
        <f t="shared" si="219"/>
        <v>0</v>
      </c>
      <c r="CR110" s="425" t="b">
        <f t="shared" si="220"/>
        <v>0</v>
      </c>
      <c r="CS110" s="425" t="b">
        <f t="shared" si="221"/>
        <v>0</v>
      </c>
      <c r="CT110" s="425" t="b">
        <f t="shared" si="222"/>
        <v>0</v>
      </c>
      <c r="CU110" s="425" t="b">
        <f t="shared" si="223"/>
        <v>0</v>
      </c>
      <c r="CV110" s="425" t="b">
        <f t="shared" si="224"/>
        <v>0</v>
      </c>
      <c r="CW110" s="425" t="b">
        <f t="shared" si="225"/>
        <v>0</v>
      </c>
      <c r="CX110" s="425" t="b">
        <f t="shared" si="226"/>
        <v>0</v>
      </c>
      <c r="CY110" s="425" t="b">
        <f t="shared" si="227"/>
        <v>0</v>
      </c>
      <c r="CZ110" s="425" t="b">
        <f t="shared" si="228"/>
        <v>0</v>
      </c>
      <c r="DA110" s="425" t="b">
        <f t="shared" si="229"/>
        <v>0</v>
      </c>
      <c r="DB110" s="425" t="b">
        <f t="shared" si="230"/>
        <v>0</v>
      </c>
      <c r="DC110" s="425"/>
      <c r="DD110" s="425">
        <f t="shared" si="261"/>
        <v>0</v>
      </c>
      <c r="DE110" s="425" t="str">
        <f t="shared" si="231"/>
        <v>-</v>
      </c>
      <c r="DF110" s="425">
        <f t="shared" si="232"/>
        <v>0</v>
      </c>
      <c r="DG110" s="425">
        <f t="shared" si="262"/>
        <v>0</v>
      </c>
      <c r="DH110" s="425">
        <f t="shared" si="233"/>
        <v>10</v>
      </c>
      <c r="DI110" s="425"/>
      <c r="DJ110" s="425" t="e">
        <f t="shared" si="263"/>
        <v>#N/A</v>
      </c>
      <c r="DK110" s="425">
        <f t="shared" si="180"/>
        <v>-8.25</v>
      </c>
      <c r="DL110" s="425">
        <f t="shared" si="181"/>
        <v>-10.84</v>
      </c>
      <c r="DM110" s="425">
        <f t="shared" si="182"/>
        <v>-11.76</v>
      </c>
      <c r="DN110" s="425">
        <f t="shared" si="183"/>
        <v>-12.14</v>
      </c>
      <c r="DO110" s="425">
        <f t="shared" si="184"/>
        <v>-12.25</v>
      </c>
      <c r="DP110" s="425">
        <f t="shared" si="185"/>
        <v>-12.25</v>
      </c>
      <c r="DQ110" s="425">
        <f t="shared" si="186"/>
        <v>-12.25</v>
      </c>
      <c r="DR110" s="425">
        <f t="shared" si="187"/>
        <v>-12.25</v>
      </c>
      <c r="DS110" s="425">
        <f t="shared" si="188"/>
        <v>-12.25</v>
      </c>
      <c r="DT110" s="425">
        <f t="shared" si="189"/>
        <v>-12.25</v>
      </c>
      <c r="DU110" s="425">
        <f t="shared" si="190"/>
        <v>-12.25</v>
      </c>
      <c r="DV110" s="425">
        <f t="shared" si="191"/>
        <v>-12.25</v>
      </c>
      <c r="DW110" s="425" t="e">
        <f t="shared" si="192"/>
        <v>#N/A</v>
      </c>
      <c r="DX110" s="425" t="e">
        <f t="shared" si="193"/>
        <v>#N/A</v>
      </c>
      <c r="DY110" s="425" t="e">
        <f t="shared" si="194"/>
        <v>#N/A</v>
      </c>
      <c r="DZ110" s="425" t="e">
        <f t="shared" si="195"/>
        <v>#N/A</v>
      </c>
      <c r="EA110" s="425" t="e">
        <f t="shared" si="196"/>
        <v>#N/A</v>
      </c>
      <c r="EB110" s="425" t="e">
        <f t="shared" si="197"/>
        <v>#N/A</v>
      </c>
      <c r="EC110" s="425" t="e">
        <f t="shared" si="198"/>
        <v>#N/A</v>
      </c>
      <c r="ED110" s="425" t="e">
        <f t="shared" si="199"/>
        <v>#N/A</v>
      </c>
      <c r="EE110" s="425" t="e">
        <f t="shared" si="200"/>
        <v>#N/A</v>
      </c>
      <c r="EF110" s="425" t="e">
        <f t="shared" si="201"/>
        <v>#N/A</v>
      </c>
      <c r="EG110" s="425" t="e">
        <f t="shared" si="202"/>
        <v>#N/A</v>
      </c>
      <c r="EH110" s="425" t="e">
        <f t="shared" si="203"/>
        <v>#N/A</v>
      </c>
      <c r="EI110" s="425" t="e">
        <f t="shared" si="204"/>
        <v>#N/A</v>
      </c>
      <c r="EJ110" s="425"/>
      <c r="EK110" s="425"/>
      <c r="EL110" s="425" t="e">
        <f t="shared" si="234"/>
        <v>#N/A</v>
      </c>
      <c r="EM110" s="425">
        <f t="shared" si="264"/>
        <v>0</v>
      </c>
      <c r="EN110" s="425">
        <f t="shared" si="236"/>
        <v>0.9</v>
      </c>
      <c r="EO110" s="425">
        <f t="shared" si="237"/>
        <v>1.8</v>
      </c>
      <c r="EP110" s="425">
        <f t="shared" si="238"/>
        <v>2.7</v>
      </c>
      <c r="EQ110" s="425">
        <f t="shared" si="239"/>
        <v>3.6</v>
      </c>
      <c r="ER110" s="425">
        <f t="shared" si="240"/>
        <v>5.4</v>
      </c>
      <c r="ES110" s="425">
        <f t="shared" si="241"/>
        <v>7.2</v>
      </c>
      <c r="ET110" s="425">
        <f t="shared" si="242"/>
        <v>9</v>
      </c>
      <c r="EU110" s="425">
        <f t="shared" si="243"/>
        <v>10.1</v>
      </c>
      <c r="EV110" s="425">
        <f t="shared" si="244"/>
        <v>10.8</v>
      </c>
      <c r="EW110" s="425">
        <f t="shared" si="245"/>
        <v>12.6</v>
      </c>
      <c r="EX110" s="425">
        <f t="shared" si="246"/>
        <v>14.19</v>
      </c>
      <c r="EY110" s="425" t="e">
        <f t="shared" si="247"/>
        <v>#N/A</v>
      </c>
      <c r="EZ110" s="425" t="e">
        <f t="shared" si="248"/>
        <v>#N/A</v>
      </c>
      <c r="FA110" s="425" t="e">
        <f t="shared" si="249"/>
        <v>#N/A</v>
      </c>
      <c r="FB110" s="425" t="e">
        <f t="shared" si="250"/>
        <v>#N/A</v>
      </c>
      <c r="FC110" s="425" t="e">
        <f t="shared" si="251"/>
        <v>#N/A</v>
      </c>
      <c r="FD110" s="425" t="e">
        <f t="shared" si="252"/>
        <v>#N/A</v>
      </c>
      <c r="FE110" s="425" t="e">
        <f t="shared" si="253"/>
        <v>#N/A</v>
      </c>
      <c r="FF110" s="425" t="e">
        <f t="shared" si="254"/>
        <v>#N/A</v>
      </c>
      <c r="FG110" s="425" t="e">
        <f t="shared" si="255"/>
        <v>#N/A</v>
      </c>
      <c r="FH110" s="425" t="e">
        <f t="shared" si="256"/>
        <v>#N/A</v>
      </c>
      <c r="FI110" s="425" t="e">
        <f t="shared" si="257"/>
        <v>#N/A</v>
      </c>
      <c r="FJ110" s="425" t="e">
        <f t="shared" si="258"/>
        <v>#N/A</v>
      </c>
      <c r="FK110" s="425" t="e">
        <f t="shared" si="259"/>
        <v>#N/A</v>
      </c>
    </row>
    <row r="111" spans="1:167" x14ac:dyDescent="0.25">
      <c r="A111" s="374" t="str">
        <f t="shared" si="206"/>
        <v xml:space="preserve">  </v>
      </c>
      <c r="B111" s="377" t="str">
        <f>IFERROR(IF(ISERROR(CP140),"",CONCATENATE(ROUND(X_SHIFT_BP+IF(Tools!B$97&lt;=Tools!$D$47/2,-BF16,BF16),3),",",ROUND(WLS*$AP52,3)," ")),"")</f>
        <v/>
      </c>
      <c r="C111" s="377" t="str">
        <f>IFERROR(IF(ISERROR(CQ140),"",CONCATENATE(ROUND(X_SHIFT_BP+IF(Tools!C$97&lt;=Tools!$D$47/2,-BG16,BG16),3),",",ROUND(WLS*$AP52,3)," ")),"")</f>
        <v/>
      </c>
      <c r="D111" s="377" t="str">
        <f>IFERROR(IF(ISERROR(CR140),"",CONCATENATE(ROUND(X_SHIFT_BP+IF(Tools!D$97&lt;=Tools!$D$47/2,-BH16,BH16),3),",",ROUND(WLS*$AP52,3)," ")),"")</f>
        <v/>
      </c>
      <c r="E111" s="377" t="str">
        <f>IFERROR(IF(ISERROR(CS140),"",CONCATENATE(ROUND(X_SHIFT_BP+IF(Tools!E$97&lt;=Tools!$D$47/2,-BI16,BI16),3),",",ROUND(WLS*$AP52,3)," ")),"")</f>
        <v/>
      </c>
      <c r="F111" s="377" t="str">
        <f>IFERROR(IF(ISERROR(CT140),"",CONCATENATE(ROUND(X_SHIFT_BP+IF(Tools!F$97&lt;=Tools!$D$47/2,-BJ16,BJ16),3),",",ROUND(WLS*$AP52,3)," ")),"")</f>
        <v/>
      </c>
      <c r="G111" s="377" t="str">
        <f>IFERROR(IF(ISERROR(CU140),"",CONCATENATE(ROUND(X_SHIFT_BP+IF(Tools!G$97&lt;=Tools!$D$47/2,-BK16,BK16),3),",",ROUND(WLS*$AP52,3)," ")),"")</f>
        <v/>
      </c>
      <c r="H111" s="377" t="str">
        <f>IFERROR(IF(ISERROR(CV140),"",CONCATENATE(ROUND(X_SHIFT_BP+IF(Tools!H$97&lt;=Tools!$D$47/2,-BL16,BL16),3),",",ROUND(WLS*$AP52,3)," ")),"")</f>
        <v/>
      </c>
      <c r="I111" s="377" t="str">
        <f>IFERROR(IF(ISERROR(CW140),"",CONCATENATE(ROUND(X_SHIFT_BP+IF(Tools!I$97&lt;=Tools!$D$47/2,-BM16,BM16),3),",",ROUND(WLS*$AP52,3)," ")),"")</f>
        <v/>
      </c>
      <c r="J111" s="377" t="str">
        <f>IFERROR(IF(ISERROR(CX140),"",CONCATENATE(ROUND(X_SHIFT_BP+IF(Tools!J$97&lt;=Tools!$D$47/2,-BN16,BN16),3),",",ROUND(WLS*$AP52,3)," ")),"")</f>
        <v/>
      </c>
      <c r="K111" s="377" t="str">
        <f>IFERROR(IF(ISERROR(CY140),"",CONCATENATE(ROUND(X_SHIFT_BP+IF(Tools!K$97&lt;=Tools!$D$47/2,-BO16,BO16),3),",",ROUND(WLS*$AP52,3)," ")),"")</f>
        <v/>
      </c>
      <c r="L111" s="377" t="str">
        <f>IFERROR(IF(ISERROR(CZ140),"",CONCATENATE(ROUND(X_SHIFT_BP+IF(Tools!L$97&lt;=Tools!$D$47/2,-BP16,BP16),3),",",ROUND(WLS*$AP52,3)," ")),"")</f>
        <v/>
      </c>
      <c r="M111" s="377" t="str">
        <f>IFERROR(IF(ISERROR(DA140),"",CONCATENATE(ROUND(X_SHIFT_BP+IF(Tools!M$97&lt;=Tools!$D$47/2,-BQ16,BQ16),3),",",ROUND(WLS*$AP52,3)," ")),"")</f>
        <v/>
      </c>
      <c r="N111" s="377" t="str">
        <f>IFERROR(IF(ISERROR(DB140),"",CONCATENATE(ROUND(X_SHIFT_BP+IF(Tools!N$97&lt;=Tools!$D$47/2,-BR16,BR16),3),",",ROUND(WLS*$AP52,3)," ")),"")</f>
        <v/>
      </c>
      <c r="O111" s="377" t="str">
        <f>IFERROR(IF(ISERROR(DC140),"",CONCATENATE(ROUND(X_SHIFT_BP+IF(Tools!O$97&lt;=Tools!$D$47/2,-BS16,BS16),3),",",ROUND(WLS*$AP52,3)," ")),"")</f>
        <v/>
      </c>
      <c r="P111" s="377" t="str">
        <f>IFERROR(IF(ISERROR(DD140),"",CONCATENATE(ROUND(X_SHIFT_BP+IF(Tools!P$97&lt;=Tools!$D$47/2,-BT16,BT16),3),",",ROUND(WLS*$AP52,3)," ")),"")</f>
        <v/>
      </c>
      <c r="Q111" s="377" t="str">
        <f>IFERROR(IF(ISERROR(DE140),"",CONCATENATE(ROUND(X_SHIFT_BP+IF(Tools!Q$97&lt;=Tools!$D$47/2,-BU16,BU16),3),",",ROUND(WLS*$AP52,3)," ")),"")</f>
        <v/>
      </c>
      <c r="R111" s="377" t="str">
        <f>IFERROR(IF(ISERROR(DF140),"",CONCATENATE(ROUND(X_SHIFT_BP+IF(Tools!R$97&lt;=Tools!$D$47/2,-BV16,BV16),3),",",ROUND(WLS*$AP52,3)," ")),"")</f>
        <v/>
      </c>
      <c r="S111" s="377" t="str">
        <f>IFERROR(IF(ISERROR(DG140),"",CONCATENATE(ROUND(X_SHIFT_BP+IF(Tools!S$97&lt;=Tools!$D$47/2,-BW16,BW16),3),",",ROUND(WLS*$AP52,3)," ")),"")</f>
        <v/>
      </c>
      <c r="T111" s="377" t="str">
        <f>IFERROR(IF(ISERROR(DH140),"",CONCATENATE(ROUND(X_SHIFT_BP+IF(Tools!T$97&lt;=Tools!$D$47/2,-BX16,BX16),3),",",ROUND(WLS*$AP52,3)," ")),"")</f>
        <v/>
      </c>
      <c r="U111" s="377" t="str">
        <f>IFERROR(IF(ISERROR(DI140),"",CONCATENATE(ROUND(X_SHIFT_BP+IF(Tools!U$97&lt;=Tools!$D$47/2,-BY16,BY16),3),",",ROUND(WLS*$AP52,3)," ")),"")</f>
        <v/>
      </c>
      <c r="V111" s="377" t="str">
        <f>IFERROR(IF(ISERROR(DJ140),"",CONCATENATE(ROUND(X_SHIFT_BP+IF(Tools!V$97&lt;=Tools!$D$47/2,-BZ16,BZ16),3),",",ROUND(WLS*$AP52,3)," ")),"")</f>
        <v/>
      </c>
      <c r="W111" s="377" t="str">
        <f>IFERROR(IF(ISERROR(DK140),"",CONCATENATE(ROUND(X_SHIFT_BP+IF(Tools!W$97&lt;=Tools!$D$47/2,-CA16,CA16),3),",",ROUND(WLS*$AP52,3)," ")),"")</f>
        <v/>
      </c>
      <c r="X111" s="377" t="str">
        <f>IFERROR(IF(ISERROR(DL140),"",CONCATENATE(ROUND(X_SHIFT_BP+IF(Tools!X$97&lt;=Tools!$D$47/2,-CB16,CB16),3),",",ROUND(WLS*$AP52,3)," ")),"")</f>
        <v/>
      </c>
      <c r="Y111" s="377" t="str">
        <f>IFERROR(IF(ISERROR(DM140),"",CONCATENATE(ROUND(X_SHIFT_BP+IF(Tools!Y$97&lt;=Tools!$D$47/2,-CC16,CC16),3),",",ROUND(WLS*$AP52,3)," ")),"")</f>
        <v/>
      </c>
      <c r="Z111" s="377" t="str">
        <f>IFERROR(IF(ISERROR(DN140),"",CONCATENATE(ROUND(X_SHIFT_BP+IF(Tools!Z$97&lt;=Tools!$D$47/2,-CD16,CD16),3),",",ROUND(WLS*$AP52,3)," ")),"")</f>
        <v/>
      </c>
      <c r="AA111" s="129">
        <v>12</v>
      </c>
      <c r="AB111" s="245" t="str">
        <f t="shared" si="260"/>
        <v xml:space="preserve">Spline </v>
      </c>
      <c r="AC111" s="129" t="str">
        <v/>
      </c>
      <c r="AD111" s="245" t="str">
        <v xml:space="preserve">164.035,0 </v>
      </c>
      <c r="AE111" s="245" t="str">
        <v xml:space="preserve">166.085,0.9 </v>
      </c>
      <c r="AF111" s="245" t="str">
        <v xml:space="preserve">167.055,1.8 </v>
      </c>
      <c r="AG111" s="245" t="str">
        <v xml:space="preserve">167.475,2.7 </v>
      </c>
      <c r="AH111" s="245" t="str">
        <v xml:space="preserve">167.645,3.6 </v>
      </c>
      <c r="AI111" s="245" t="str">
        <v xml:space="preserve">167.685,5.4 </v>
      </c>
      <c r="AJ111" s="245" t="str">
        <v xml:space="preserve">167.685,7.2 </v>
      </c>
      <c r="AK111" s="245" t="str">
        <v xml:space="preserve">167.685,9 </v>
      </c>
      <c r="AL111" s="245" t="str">
        <v xml:space="preserve">167.685,10.1 </v>
      </c>
      <c r="AM111" s="245" t="str">
        <v xml:space="preserve">167.685,10.8 </v>
      </c>
      <c r="AN111" s="245" t="str">
        <v xml:space="preserve">167.685,12.6 </v>
      </c>
      <c r="AO111" s="245" t="str">
        <v xml:space="preserve">167.685,14.19 </v>
      </c>
      <c r="AP111" s="245" t="str">
        <v/>
      </c>
      <c r="AQ111" s="245" t="str">
        <v/>
      </c>
      <c r="AR111" s="245" t="str">
        <v/>
      </c>
      <c r="AS111" s="245" t="str">
        <v/>
      </c>
      <c r="AT111" s="245" t="str">
        <v/>
      </c>
      <c r="AU111" s="245" t="str">
        <v/>
      </c>
      <c r="AV111" s="245" t="str">
        <v/>
      </c>
      <c r="AW111" s="245" t="str">
        <v/>
      </c>
      <c r="AX111" s="245" t="str">
        <v/>
      </c>
      <c r="AY111" s="245" t="str">
        <v/>
      </c>
      <c r="AZ111" s="245" t="str">
        <v/>
      </c>
      <c r="BA111" s="245" t="str">
        <v/>
      </c>
      <c r="BB111" s="245" t="str">
        <v/>
      </c>
      <c r="BC111" s="376">
        <f>Tools!AD16</f>
        <v>11</v>
      </c>
      <c r="BD111" s="376">
        <f>IFERROR(Tools!AD16*STN_GAP,"")</f>
        <v>72.434999999999988</v>
      </c>
      <c r="BE111" s="496">
        <f>IFERROR(IF(ISNUMBER(DE111),NA(),IF(AND($DF111&lt;&gt;0,$DG111&gt;BE$97),NA(),IF($BD111&gt;LBP/2,-(-Tools!AE16),-Tools!AE16))),NA())</f>
        <v>8.6</v>
      </c>
      <c r="BF111" s="376">
        <f>IFERROR(IF(AND($DF111&lt;&gt;0,$DG111&gt;BF$97),NA(),IF($BD111&gt;LBP/2,-(-Tools!AF16),-Tools!AF16)),NA())</f>
        <v>10.65</v>
      </c>
      <c r="BG111" s="376">
        <f>IFERROR(IF(AND($DF111&lt;&gt;0,$DG111&gt;BG$97),NA(),IF($BD111&gt;LBP/2,-(-Tools!AG16),-Tools!AG16)),NA())</f>
        <v>11.62</v>
      </c>
      <c r="BH111" s="376">
        <f>IFERROR(IF(AND($DF111&lt;&gt;0,$DG111&gt;BH$97),NA(),IF($BD111&gt;LBP/2,-(-Tools!AH16),-Tools!AH16)),NA())</f>
        <v>12.04</v>
      </c>
      <c r="BI111" s="376">
        <f>IFERROR(IF(AND($DF111&lt;&gt;0,$DG111&gt;BI$97),NA(),IF($BD111&gt;LBP/2,-(-Tools!AI16),-Tools!AI16)),NA())</f>
        <v>12.21</v>
      </c>
      <c r="BJ111" s="376">
        <f>IFERROR(IF(AND($DF111&lt;&gt;0,$DG111&gt;BJ$97),NA(),IF($BD111&gt;LBP/2,-(-Tools!AJ16),-Tools!AJ16)),NA())</f>
        <v>12.25</v>
      </c>
      <c r="BK111" s="376">
        <f>IFERROR(IF(AND($DF111&lt;&gt;0,$DG111&gt;BK$97),NA(),IF($BD111&gt;LBP/2,-(-Tools!AK16),-Tools!AK16)),NA())</f>
        <v>12.25</v>
      </c>
      <c r="BL111" s="376">
        <f>IFERROR(IF(AND($DF111&lt;&gt;0,$DG111&gt;BL$97),NA(),IF($BD111&gt;LBP/2,-(-Tools!AL16),-Tools!AL16)),NA())</f>
        <v>12.25</v>
      </c>
      <c r="BM111" s="376">
        <f>IFERROR(IF(AND($DF111&lt;&gt;0,$DG111&gt;BM$97),NA(),IF($BD111&gt;LBP/2,-(-Tools!AM16),-Tools!AM16)),NA())</f>
        <v>12.25</v>
      </c>
      <c r="BN111" s="376">
        <f>IFERROR(IF(AND($DF111&lt;&gt;0,$DG111&gt;BN$97),NA(),IF($BD111&gt;LBP/2,-(-Tools!AN16),-Tools!AN16)),NA())</f>
        <v>12.25</v>
      </c>
      <c r="BO111" s="376">
        <f>IFERROR(IF(AND($DF111&lt;&gt;0,$DG111&gt;BO$97),NA(),IF($BD111&gt;LBP/2,-(-Tools!AO16),-Tools!AO16)),NA())</f>
        <v>12.25</v>
      </c>
      <c r="BP111" s="376">
        <f>IFERROR(IF(AND($DF111&lt;&gt;0,$DG111&gt;BP$97),NA(),IF($BD111&gt;LBP/2,-(-Tools!AP16),-Tools!AP16)),NA())</f>
        <v>12.25</v>
      </c>
      <c r="BQ111" s="376" t="e">
        <f>IFERROR(IF(AND($DF111&lt;&gt;0,$DG111&gt;BQ$97),NA(),IF($BD111&gt;LBP/2,-(-Tools!AQ16),-Tools!AQ16)),NA())</f>
        <v>#N/A</v>
      </c>
      <c r="BR111" s="376" t="e">
        <f>IFERROR(IF(AND($DF111&lt;&gt;0,$DG111&gt;BR$97),NA(),IF($BD111&gt;LBP/2,-(-Tools!AR16),-Tools!AR16)),NA())</f>
        <v>#N/A</v>
      </c>
      <c r="BS111" s="376" t="e">
        <f>IFERROR(IF(AND($DF111&lt;&gt;0,$DG111&gt;BS$97),NA(),IF($BD111&gt;LBP/2,-(-Tools!AS16),-Tools!AS16)),NA())</f>
        <v>#N/A</v>
      </c>
      <c r="BT111" s="376" t="e">
        <f>IFERROR(IF(AND($DF111&lt;&gt;0,$DG111&gt;BT$97),NA(),IF($BD111&gt;LBP/2,-(-Tools!AT16),-Tools!AT16)),NA())</f>
        <v>#N/A</v>
      </c>
      <c r="BU111" s="376" t="e">
        <f>IFERROR(IF(AND($DF111&lt;&gt;0,$DG111&gt;BU$97),NA(),IF($BD111&gt;LBP/2,-(-Tools!AU16),-Tools!AU16)),NA())</f>
        <v>#N/A</v>
      </c>
      <c r="BV111" s="376" t="e">
        <f>IFERROR(IF(AND($DF111&lt;&gt;0,$DG111&gt;BV$97),NA(),IF($BD111&gt;LBP/2,-(-Tools!AV16),-Tools!AV16)),NA())</f>
        <v>#N/A</v>
      </c>
      <c r="BW111" s="376" t="e">
        <f>IFERROR(IF(AND($DF111&lt;&gt;0,$DG111&gt;BW$97),NA(),IF($BD111&gt;LBP/2,-(-Tools!AW16),-Tools!AW16)),NA())</f>
        <v>#N/A</v>
      </c>
      <c r="BX111" s="376" t="e">
        <f>IFERROR(IF(AND($DF111&lt;&gt;0,$DG111&gt;BX$97),NA(),IF($BD111&gt;LBP/2,-(-Tools!AX16),-Tools!AX16)),NA())</f>
        <v>#N/A</v>
      </c>
      <c r="BY111" s="376" t="e">
        <f>IFERROR(IF(AND($DF111&lt;&gt;0,$DG111&gt;BY$97),NA(),IF($BD111&gt;LBP/2,-(-Tools!AY16),-Tools!AY16)),NA())</f>
        <v>#N/A</v>
      </c>
      <c r="BZ111" s="376" t="e">
        <f>IFERROR(IF(AND($DF111&lt;&gt;0,$DG111&gt;BZ$97),NA(),IF($BD111&gt;LBP/2,-(-Tools!AZ16),-Tools!AZ16)),NA())</f>
        <v>#N/A</v>
      </c>
      <c r="CA111" s="376" t="e">
        <f>IFERROR(IF(AND($DF111&lt;&gt;0,$DG111&gt;CA$97),NA(),IF($BD111&gt;LBP/2,-(-Tools!BA16),-Tools!BA16)),NA())</f>
        <v>#N/A</v>
      </c>
      <c r="CB111" s="376" t="e">
        <f>IFERROR(IF(AND($DF111&lt;&gt;0,$DG111&gt;CB$97),NA(),IF($BD111&gt;LBP/2,-(-Tools!BB16),-Tools!BB16)),NA())</f>
        <v>#N/A</v>
      </c>
      <c r="CC111" s="376" t="e">
        <f>IFERROR(IF(AND($DF111&lt;&gt;0,$DG111&gt;CC$97),NA(),IF($BD111&gt;LBP/2,-(-Tools!BC16),-Tools!BC16)),NA())</f>
        <v>#N/A</v>
      </c>
      <c r="CE111" s="425" t="b">
        <f t="shared" si="207"/>
        <v>0</v>
      </c>
      <c r="CF111" s="425" t="b">
        <f t="shared" si="208"/>
        <v>0</v>
      </c>
      <c r="CG111" s="425" t="b">
        <f t="shared" si="209"/>
        <v>0</v>
      </c>
      <c r="CH111" s="425" t="b">
        <f t="shared" si="210"/>
        <v>0</v>
      </c>
      <c r="CI111" s="425" t="b">
        <f t="shared" si="211"/>
        <v>0</v>
      </c>
      <c r="CJ111" s="425" t="b">
        <f t="shared" si="212"/>
        <v>0</v>
      </c>
      <c r="CK111" s="425" t="b">
        <f t="shared" si="213"/>
        <v>0</v>
      </c>
      <c r="CL111" s="425" t="b">
        <f t="shared" si="214"/>
        <v>0</v>
      </c>
      <c r="CM111" s="425" t="b">
        <f t="shared" si="215"/>
        <v>0</v>
      </c>
      <c r="CN111" s="425" t="b">
        <f t="shared" si="216"/>
        <v>0</v>
      </c>
      <c r="CO111" s="425" t="b">
        <f t="shared" si="217"/>
        <v>0</v>
      </c>
      <c r="CP111" s="425" t="b">
        <f t="shared" si="218"/>
        <v>0</v>
      </c>
      <c r="CQ111" s="425" t="b">
        <f t="shared" si="219"/>
        <v>0</v>
      </c>
      <c r="CR111" s="425" t="b">
        <f t="shared" si="220"/>
        <v>0</v>
      </c>
      <c r="CS111" s="425" t="b">
        <f t="shared" si="221"/>
        <v>0</v>
      </c>
      <c r="CT111" s="425" t="b">
        <f t="shared" si="222"/>
        <v>0</v>
      </c>
      <c r="CU111" s="425" t="b">
        <f t="shared" si="223"/>
        <v>0</v>
      </c>
      <c r="CV111" s="425" t="b">
        <f t="shared" si="224"/>
        <v>0</v>
      </c>
      <c r="CW111" s="425" t="b">
        <f t="shared" si="225"/>
        <v>0</v>
      </c>
      <c r="CX111" s="425" t="b">
        <f t="shared" si="226"/>
        <v>0</v>
      </c>
      <c r="CY111" s="425" t="b">
        <f t="shared" si="227"/>
        <v>0</v>
      </c>
      <c r="CZ111" s="425" t="b">
        <f t="shared" si="228"/>
        <v>0</v>
      </c>
      <c r="DA111" s="425" t="b">
        <f t="shared" si="229"/>
        <v>0</v>
      </c>
      <c r="DB111" s="425" t="b">
        <f t="shared" si="230"/>
        <v>0</v>
      </c>
      <c r="DC111" s="425"/>
      <c r="DD111" s="425">
        <f t="shared" si="261"/>
        <v>0</v>
      </c>
      <c r="DE111" s="425" t="str">
        <f t="shared" si="231"/>
        <v>-</v>
      </c>
      <c r="DF111" s="425">
        <f t="shared" si="232"/>
        <v>0</v>
      </c>
      <c r="DG111" s="425">
        <f t="shared" si="262"/>
        <v>0</v>
      </c>
      <c r="DH111" s="425">
        <f t="shared" si="233"/>
        <v>11</v>
      </c>
      <c r="DI111" s="425"/>
      <c r="DJ111" s="425" t="e">
        <f t="shared" si="263"/>
        <v>#N/A</v>
      </c>
      <c r="DK111" s="425">
        <f t="shared" si="180"/>
        <v>8.6</v>
      </c>
      <c r="DL111" s="425">
        <f t="shared" si="181"/>
        <v>10.65</v>
      </c>
      <c r="DM111" s="425">
        <f t="shared" si="182"/>
        <v>11.62</v>
      </c>
      <c r="DN111" s="425">
        <f t="shared" si="183"/>
        <v>12.04</v>
      </c>
      <c r="DO111" s="425">
        <f t="shared" si="184"/>
        <v>12.21</v>
      </c>
      <c r="DP111" s="425">
        <f t="shared" si="185"/>
        <v>12.25</v>
      </c>
      <c r="DQ111" s="425">
        <f t="shared" si="186"/>
        <v>12.25</v>
      </c>
      <c r="DR111" s="425">
        <f t="shared" si="187"/>
        <v>12.25</v>
      </c>
      <c r="DS111" s="425">
        <f t="shared" si="188"/>
        <v>12.25</v>
      </c>
      <c r="DT111" s="425">
        <f t="shared" si="189"/>
        <v>12.25</v>
      </c>
      <c r="DU111" s="425">
        <f t="shared" si="190"/>
        <v>12.25</v>
      </c>
      <c r="DV111" s="425">
        <f t="shared" si="191"/>
        <v>12.25</v>
      </c>
      <c r="DW111" s="425" t="e">
        <f t="shared" si="192"/>
        <v>#N/A</v>
      </c>
      <c r="DX111" s="425" t="e">
        <f t="shared" si="193"/>
        <v>#N/A</v>
      </c>
      <c r="DY111" s="425" t="e">
        <f t="shared" si="194"/>
        <v>#N/A</v>
      </c>
      <c r="DZ111" s="425" t="e">
        <f t="shared" si="195"/>
        <v>#N/A</v>
      </c>
      <c r="EA111" s="425" t="e">
        <f t="shared" si="196"/>
        <v>#N/A</v>
      </c>
      <c r="EB111" s="425" t="e">
        <f t="shared" si="197"/>
        <v>#N/A</v>
      </c>
      <c r="EC111" s="425" t="e">
        <f t="shared" si="198"/>
        <v>#N/A</v>
      </c>
      <c r="ED111" s="425" t="e">
        <f t="shared" si="199"/>
        <v>#N/A</v>
      </c>
      <c r="EE111" s="425" t="e">
        <f t="shared" si="200"/>
        <v>#N/A</v>
      </c>
      <c r="EF111" s="425" t="e">
        <f t="shared" si="201"/>
        <v>#N/A</v>
      </c>
      <c r="EG111" s="425" t="e">
        <f t="shared" si="202"/>
        <v>#N/A</v>
      </c>
      <c r="EH111" s="425" t="e">
        <f t="shared" si="203"/>
        <v>#N/A</v>
      </c>
      <c r="EI111" s="425" t="e">
        <f t="shared" si="204"/>
        <v>#N/A</v>
      </c>
      <c r="EJ111" s="425"/>
      <c r="EK111" s="425"/>
      <c r="EL111" s="425" t="e">
        <f t="shared" si="234"/>
        <v>#N/A</v>
      </c>
      <c r="EM111" s="425">
        <f t="shared" si="264"/>
        <v>0</v>
      </c>
      <c r="EN111" s="425">
        <f t="shared" si="236"/>
        <v>0.9</v>
      </c>
      <c r="EO111" s="425">
        <f t="shared" si="237"/>
        <v>1.8</v>
      </c>
      <c r="EP111" s="425">
        <f t="shared" si="238"/>
        <v>2.7</v>
      </c>
      <c r="EQ111" s="425">
        <f t="shared" si="239"/>
        <v>3.6</v>
      </c>
      <c r="ER111" s="425">
        <f t="shared" si="240"/>
        <v>5.4</v>
      </c>
      <c r="ES111" s="425">
        <f t="shared" si="241"/>
        <v>7.2</v>
      </c>
      <c r="ET111" s="425">
        <f t="shared" si="242"/>
        <v>9</v>
      </c>
      <c r="EU111" s="425">
        <f t="shared" si="243"/>
        <v>10.1</v>
      </c>
      <c r="EV111" s="425">
        <f t="shared" si="244"/>
        <v>10.8</v>
      </c>
      <c r="EW111" s="425">
        <f t="shared" si="245"/>
        <v>12.6</v>
      </c>
      <c r="EX111" s="425">
        <f t="shared" si="246"/>
        <v>14.19</v>
      </c>
      <c r="EY111" s="425" t="e">
        <f t="shared" si="247"/>
        <v>#N/A</v>
      </c>
      <c r="EZ111" s="425" t="e">
        <f t="shared" si="248"/>
        <v>#N/A</v>
      </c>
      <c r="FA111" s="425" t="e">
        <f t="shared" si="249"/>
        <v>#N/A</v>
      </c>
      <c r="FB111" s="425" t="e">
        <f t="shared" si="250"/>
        <v>#N/A</v>
      </c>
      <c r="FC111" s="425" t="e">
        <f t="shared" si="251"/>
        <v>#N/A</v>
      </c>
      <c r="FD111" s="425" t="e">
        <f t="shared" si="252"/>
        <v>#N/A</v>
      </c>
      <c r="FE111" s="425" t="e">
        <f t="shared" si="253"/>
        <v>#N/A</v>
      </c>
      <c r="FF111" s="425" t="e">
        <f t="shared" si="254"/>
        <v>#N/A</v>
      </c>
      <c r="FG111" s="425" t="e">
        <f t="shared" si="255"/>
        <v>#N/A</v>
      </c>
      <c r="FH111" s="425" t="e">
        <f t="shared" si="256"/>
        <v>#N/A</v>
      </c>
      <c r="FI111" s="425" t="e">
        <f t="shared" si="257"/>
        <v>#N/A</v>
      </c>
      <c r="FJ111" s="425" t="e">
        <f t="shared" si="258"/>
        <v>#N/A</v>
      </c>
      <c r="FK111" s="425" t="e">
        <f t="shared" si="259"/>
        <v>#N/A</v>
      </c>
    </row>
    <row r="112" spans="1:167" x14ac:dyDescent="0.25">
      <c r="A112" s="374" t="str">
        <f t="shared" si="206"/>
        <v xml:space="preserve">  </v>
      </c>
      <c r="B112" s="377" t="str">
        <f>IFERROR(IF(ISERROR(CP141),"",CONCATENATE(ROUND(X_SHIFT_BP+IF(Tools!B$97&lt;=Tools!$D$47/2,-BF17,BF17),3),",",ROUND(WLS*$AP53,3)," ")),"")</f>
        <v/>
      </c>
      <c r="C112" s="377" t="str">
        <f>IFERROR(IF(ISERROR(CQ141),"",CONCATENATE(ROUND(X_SHIFT_BP+IF(Tools!C$97&lt;=Tools!$D$47/2,-BG17,BG17),3),",",ROUND(WLS*$AP53,3)," ")),"")</f>
        <v/>
      </c>
      <c r="D112" s="377" t="str">
        <f>IFERROR(IF(ISERROR(CR141),"",CONCATENATE(ROUND(X_SHIFT_BP+IF(Tools!D$97&lt;=Tools!$D$47/2,-BH17,BH17),3),",",ROUND(WLS*$AP53,3)," ")),"")</f>
        <v/>
      </c>
      <c r="E112" s="377" t="str">
        <f>IFERROR(IF(ISERROR(CS141),"",CONCATENATE(ROUND(X_SHIFT_BP+IF(Tools!E$97&lt;=Tools!$D$47/2,-BI17,BI17),3),",",ROUND(WLS*$AP53,3)," ")),"")</f>
        <v/>
      </c>
      <c r="F112" s="377" t="str">
        <f>IFERROR(IF(ISERROR(CT141),"",CONCATENATE(ROUND(X_SHIFT_BP+IF(Tools!F$97&lt;=Tools!$D$47/2,-BJ17,BJ17),3),",",ROUND(WLS*$AP53,3)," ")),"")</f>
        <v/>
      </c>
      <c r="G112" s="377" t="str">
        <f>IFERROR(IF(ISERROR(CU141),"",CONCATENATE(ROUND(X_SHIFT_BP+IF(Tools!G$97&lt;=Tools!$D$47/2,-BK17,BK17),3),",",ROUND(WLS*$AP53,3)," ")),"")</f>
        <v/>
      </c>
      <c r="H112" s="377" t="str">
        <f>IFERROR(IF(ISERROR(CV141),"",CONCATENATE(ROUND(X_SHIFT_BP+IF(Tools!H$97&lt;=Tools!$D$47/2,-BL17,BL17),3),",",ROUND(WLS*$AP53,3)," ")),"")</f>
        <v/>
      </c>
      <c r="I112" s="377" t="str">
        <f>IFERROR(IF(ISERROR(CW141),"",CONCATENATE(ROUND(X_SHIFT_BP+IF(Tools!I$97&lt;=Tools!$D$47/2,-BM17,BM17),3),",",ROUND(WLS*$AP53,3)," ")),"")</f>
        <v/>
      </c>
      <c r="J112" s="377" t="str">
        <f>IFERROR(IF(ISERROR(CX141),"",CONCATENATE(ROUND(X_SHIFT_BP+IF(Tools!J$97&lt;=Tools!$D$47/2,-BN17,BN17),3),",",ROUND(WLS*$AP53,3)," ")),"")</f>
        <v/>
      </c>
      <c r="K112" s="377" t="str">
        <f>IFERROR(IF(ISERROR(CY141),"",CONCATENATE(ROUND(X_SHIFT_BP+IF(Tools!K$97&lt;=Tools!$D$47/2,-BO17,BO17),3),",",ROUND(WLS*$AP53,3)," ")),"")</f>
        <v/>
      </c>
      <c r="L112" s="377" t="str">
        <f>IFERROR(IF(ISERROR(CZ141),"",CONCATENATE(ROUND(X_SHIFT_BP+IF(Tools!L$97&lt;=Tools!$D$47/2,-BP17,BP17),3),",",ROUND(WLS*$AP53,3)," ")),"")</f>
        <v/>
      </c>
      <c r="M112" s="377" t="str">
        <f>IFERROR(IF(ISERROR(DA141),"",CONCATENATE(ROUND(X_SHIFT_BP+IF(Tools!M$97&lt;=Tools!$D$47/2,-BQ17,BQ17),3),",",ROUND(WLS*$AP53,3)," ")),"")</f>
        <v/>
      </c>
      <c r="N112" s="377" t="str">
        <f>IFERROR(IF(ISERROR(DB141),"",CONCATENATE(ROUND(X_SHIFT_BP+IF(Tools!N$97&lt;=Tools!$D$47/2,-BR17,BR17),3),",",ROUND(WLS*$AP53,3)," ")),"")</f>
        <v/>
      </c>
      <c r="O112" s="377" t="str">
        <f>IFERROR(IF(ISERROR(DC141),"",CONCATENATE(ROUND(X_SHIFT_BP+IF(Tools!O$97&lt;=Tools!$D$47/2,-BS17,BS17),3),",",ROUND(WLS*$AP53,3)," ")),"")</f>
        <v/>
      </c>
      <c r="P112" s="377" t="str">
        <f>IFERROR(IF(ISERROR(DD141),"",CONCATENATE(ROUND(X_SHIFT_BP+IF(Tools!P$97&lt;=Tools!$D$47/2,-BT17,BT17),3),",",ROUND(WLS*$AP53,3)," ")),"")</f>
        <v/>
      </c>
      <c r="Q112" s="377" t="str">
        <f>IFERROR(IF(ISERROR(DE141),"",CONCATENATE(ROUND(X_SHIFT_BP+IF(Tools!Q$97&lt;=Tools!$D$47/2,-BU17,BU17),3),",",ROUND(WLS*$AP53,3)," ")),"")</f>
        <v/>
      </c>
      <c r="R112" s="377" t="str">
        <f>IFERROR(IF(ISERROR(DF141),"",CONCATENATE(ROUND(X_SHIFT_BP+IF(Tools!R$97&lt;=Tools!$D$47/2,-BV17,BV17),3),",",ROUND(WLS*$AP53,3)," ")),"")</f>
        <v/>
      </c>
      <c r="S112" s="377" t="str">
        <f>IFERROR(IF(ISERROR(DG141),"",CONCATENATE(ROUND(X_SHIFT_BP+IF(Tools!S$97&lt;=Tools!$D$47/2,-BW17,BW17),3),",",ROUND(WLS*$AP53,3)," ")),"")</f>
        <v/>
      </c>
      <c r="T112" s="377" t="str">
        <f>IFERROR(IF(ISERROR(DH141),"",CONCATENATE(ROUND(X_SHIFT_BP+IF(Tools!T$97&lt;=Tools!$D$47/2,-BX17,BX17),3),",",ROUND(WLS*$AP53,3)," ")),"")</f>
        <v/>
      </c>
      <c r="U112" s="377" t="str">
        <f>IFERROR(IF(ISERROR(DI141),"",CONCATENATE(ROUND(X_SHIFT_BP+IF(Tools!U$97&lt;=Tools!$D$47/2,-BY17,BY17),3),",",ROUND(WLS*$AP53,3)," ")),"")</f>
        <v/>
      </c>
      <c r="V112" s="377" t="str">
        <f>IFERROR(IF(ISERROR(DJ141),"",CONCATENATE(ROUND(X_SHIFT_BP+IF(Tools!V$97&lt;=Tools!$D$47/2,-BZ17,BZ17),3),",",ROUND(WLS*$AP53,3)," ")),"")</f>
        <v/>
      </c>
      <c r="W112" s="377" t="str">
        <f>IFERROR(IF(ISERROR(DK141),"",CONCATENATE(ROUND(X_SHIFT_BP+IF(Tools!W$97&lt;=Tools!$D$47/2,-CA17,CA17),3),",",ROUND(WLS*$AP53,3)," ")),"")</f>
        <v/>
      </c>
      <c r="X112" s="377" t="str">
        <f>IFERROR(IF(ISERROR(DL141),"",CONCATENATE(ROUND(X_SHIFT_BP+IF(Tools!X$97&lt;=Tools!$D$47/2,-CB17,CB17),3),",",ROUND(WLS*$AP53,3)," ")),"")</f>
        <v/>
      </c>
      <c r="Y112" s="377" t="str">
        <f>IFERROR(IF(ISERROR(DM141),"",CONCATENATE(ROUND(X_SHIFT_BP+IF(Tools!Y$97&lt;=Tools!$D$47/2,-CC17,CC17),3),",",ROUND(WLS*$AP53,3)," ")),"")</f>
        <v/>
      </c>
      <c r="Z112" s="377" t="str">
        <f>IFERROR(IF(ISERROR(DN141),"",CONCATENATE(ROUND(X_SHIFT_BP+IF(Tools!Z$97&lt;=Tools!$D$47/2,-CD17,CD17),3),",",ROUND(WLS*$AP53,3)," ")),"")</f>
        <v/>
      </c>
      <c r="AA112" s="129">
        <v>12</v>
      </c>
      <c r="AB112" s="245" t="str">
        <f t="shared" si="260"/>
        <v xml:space="preserve">Spline </v>
      </c>
      <c r="AC112" s="129" t="str">
        <v/>
      </c>
      <c r="AD112" s="245" t="str">
        <v xml:space="preserve">163.285,0 </v>
      </c>
      <c r="AE112" s="245" t="str">
        <v xml:space="preserve">165.455,0.9 </v>
      </c>
      <c r="AF112" s="245" t="str">
        <v xml:space="preserve">166.535,1.8 </v>
      </c>
      <c r="AG112" s="245" t="str">
        <v xml:space="preserve">167.065,2.7 </v>
      </c>
      <c r="AH112" s="245" t="str">
        <v xml:space="preserve">167.355,3.6 </v>
      </c>
      <c r="AI112" s="245" t="str">
        <v xml:space="preserve">167.635,5.4 </v>
      </c>
      <c r="AJ112" s="245" t="str">
        <v xml:space="preserve">167.685,7.2 </v>
      </c>
      <c r="AK112" s="245" t="str">
        <v xml:space="preserve">167.685,9 </v>
      </c>
      <c r="AL112" s="245" t="str">
        <v xml:space="preserve">167.685,10.1 </v>
      </c>
      <c r="AM112" s="245" t="str">
        <v xml:space="preserve">167.685,10.8 </v>
      </c>
      <c r="AN112" s="245" t="str">
        <v xml:space="preserve">167.685,12.6 </v>
      </c>
      <c r="AO112" s="245" t="str">
        <v xml:space="preserve">167.685,14.19 </v>
      </c>
      <c r="AP112" s="245" t="str">
        <v/>
      </c>
      <c r="AQ112" s="245" t="str">
        <v/>
      </c>
      <c r="AR112" s="245" t="str">
        <v/>
      </c>
      <c r="AS112" s="245" t="str">
        <v/>
      </c>
      <c r="AT112" s="245" t="str">
        <v/>
      </c>
      <c r="AU112" s="245" t="str">
        <v/>
      </c>
      <c r="AV112" s="245" t="str">
        <v/>
      </c>
      <c r="AW112" s="245" t="str">
        <v/>
      </c>
      <c r="AX112" s="245" t="str">
        <v/>
      </c>
      <c r="AY112" s="245" t="str">
        <v/>
      </c>
      <c r="AZ112" s="245" t="str">
        <v/>
      </c>
      <c r="BA112" s="245" t="str">
        <v/>
      </c>
      <c r="BB112" s="245" t="str">
        <v/>
      </c>
      <c r="BC112" s="376">
        <f>Tools!AD17</f>
        <v>12</v>
      </c>
      <c r="BD112" s="376">
        <f>IFERROR(Tools!AD17*STN_GAP,"")</f>
        <v>79.019999999999982</v>
      </c>
      <c r="BE112" s="496">
        <f>IFERROR(IF(ISNUMBER(DE112),NA(),IF(AND($DF112&lt;&gt;0,$DG112&gt;BE$97),NA(),IF($BD112&gt;LBP/2,-(-Tools!AE17),-Tools!AE17))),NA())</f>
        <v>7.85</v>
      </c>
      <c r="BF112" s="376">
        <f>IFERROR(IF(AND($DF112&lt;&gt;0,$DG112&gt;BF$97),NA(),IF($BD112&gt;LBP/2,-(-Tools!AF17),-Tools!AF17)),NA())</f>
        <v>10.02</v>
      </c>
      <c r="BG112" s="376">
        <f>IFERROR(IF(AND($DF112&lt;&gt;0,$DG112&gt;BG$97),NA(),IF($BD112&gt;LBP/2,-(-Tools!AG17),-Tools!AG17)),NA())</f>
        <v>11.1</v>
      </c>
      <c r="BH112" s="376">
        <f>IFERROR(IF(AND($DF112&lt;&gt;0,$DG112&gt;BH$97),NA(),IF($BD112&gt;LBP/2,-(-Tools!AH17),-Tools!AH17)),NA())</f>
        <v>11.63</v>
      </c>
      <c r="BI112" s="376">
        <f>IFERROR(IF(AND($DF112&lt;&gt;0,$DG112&gt;BI$97),NA(),IF($BD112&gt;LBP/2,-(-Tools!AI17),-Tools!AI17)),NA())</f>
        <v>11.92</v>
      </c>
      <c r="BJ112" s="376">
        <f>IFERROR(IF(AND($DF112&lt;&gt;0,$DG112&gt;BJ$97),NA(),IF($BD112&gt;LBP/2,-(-Tools!AJ17),-Tools!AJ17)),NA())</f>
        <v>12.2</v>
      </c>
      <c r="BK112" s="376">
        <f>IFERROR(IF(AND($DF112&lt;&gt;0,$DG112&gt;BK$97),NA(),IF($BD112&gt;LBP/2,-(-Tools!AK17),-Tools!AK17)),NA())</f>
        <v>12.25</v>
      </c>
      <c r="BL112" s="376">
        <f>IFERROR(IF(AND($DF112&lt;&gt;0,$DG112&gt;BL$97),NA(),IF($BD112&gt;LBP/2,-(-Tools!AL17),-Tools!AL17)),NA())</f>
        <v>12.25</v>
      </c>
      <c r="BM112" s="376">
        <f>IFERROR(IF(AND($DF112&lt;&gt;0,$DG112&gt;BM$97),NA(),IF($BD112&gt;LBP/2,-(-Tools!AM17),-Tools!AM17)),NA())</f>
        <v>12.25</v>
      </c>
      <c r="BN112" s="376">
        <f>IFERROR(IF(AND($DF112&lt;&gt;0,$DG112&gt;BN$97),NA(),IF($BD112&gt;LBP/2,-(-Tools!AN17),-Tools!AN17)),NA())</f>
        <v>12.25</v>
      </c>
      <c r="BO112" s="376">
        <f>IFERROR(IF(AND($DF112&lt;&gt;0,$DG112&gt;BO$97),NA(),IF($BD112&gt;LBP/2,-(-Tools!AO17),-Tools!AO17)),NA())</f>
        <v>12.25</v>
      </c>
      <c r="BP112" s="376">
        <f>IFERROR(IF(AND($DF112&lt;&gt;0,$DG112&gt;BP$97),NA(),IF($BD112&gt;LBP/2,-(-Tools!AP17),-Tools!AP17)),NA())</f>
        <v>12.25</v>
      </c>
      <c r="BQ112" s="376" t="e">
        <f>IFERROR(IF(AND($DF112&lt;&gt;0,$DG112&gt;BQ$97),NA(),IF($BD112&gt;LBP/2,-(-Tools!AQ17),-Tools!AQ17)),NA())</f>
        <v>#N/A</v>
      </c>
      <c r="BR112" s="376" t="e">
        <f>IFERROR(IF(AND($DF112&lt;&gt;0,$DG112&gt;BR$97),NA(),IF($BD112&gt;LBP/2,-(-Tools!AR17),-Tools!AR17)),NA())</f>
        <v>#N/A</v>
      </c>
      <c r="BS112" s="376" t="e">
        <f>IFERROR(IF(AND($DF112&lt;&gt;0,$DG112&gt;BS$97),NA(),IF($BD112&gt;LBP/2,-(-Tools!AS17),-Tools!AS17)),NA())</f>
        <v>#N/A</v>
      </c>
      <c r="BT112" s="376" t="e">
        <f>IFERROR(IF(AND($DF112&lt;&gt;0,$DG112&gt;BT$97),NA(),IF($BD112&gt;LBP/2,-(-Tools!AT17),-Tools!AT17)),NA())</f>
        <v>#N/A</v>
      </c>
      <c r="BU112" s="376" t="e">
        <f>IFERROR(IF(AND($DF112&lt;&gt;0,$DG112&gt;BU$97),NA(),IF($BD112&gt;LBP/2,-(-Tools!AU17),-Tools!AU17)),NA())</f>
        <v>#N/A</v>
      </c>
      <c r="BV112" s="376" t="e">
        <f>IFERROR(IF(AND($DF112&lt;&gt;0,$DG112&gt;BV$97),NA(),IF($BD112&gt;LBP/2,-(-Tools!AV17),-Tools!AV17)),NA())</f>
        <v>#N/A</v>
      </c>
      <c r="BW112" s="376" t="e">
        <f>IFERROR(IF(AND($DF112&lt;&gt;0,$DG112&gt;BW$97),NA(),IF($BD112&gt;LBP/2,-(-Tools!AW17),-Tools!AW17)),NA())</f>
        <v>#N/A</v>
      </c>
      <c r="BX112" s="376" t="e">
        <f>IFERROR(IF(AND($DF112&lt;&gt;0,$DG112&gt;BX$97),NA(),IF($BD112&gt;LBP/2,-(-Tools!AX17),-Tools!AX17)),NA())</f>
        <v>#N/A</v>
      </c>
      <c r="BY112" s="376" t="e">
        <f>IFERROR(IF(AND($DF112&lt;&gt;0,$DG112&gt;BY$97),NA(),IF($BD112&gt;LBP/2,-(-Tools!AY17),-Tools!AY17)),NA())</f>
        <v>#N/A</v>
      </c>
      <c r="BZ112" s="376" t="e">
        <f>IFERROR(IF(AND($DF112&lt;&gt;0,$DG112&gt;BZ$97),NA(),IF($BD112&gt;LBP/2,-(-Tools!AZ17),-Tools!AZ17)),NA())</f>
        <v>#N/A</v>
      </c>
      <c r="CA112" s="376" t="e">
        <f>IFERROR(IF(AND($DF112&lt;&gt;0,$DG112&gt;CA$97),NA(),IF($BD112&gt;LBP/2,-(-Tools!BA17),-Tools!BA17)),NA())</f>
        <v>#N/A</v>
      </c>
      <c r="CB112" s="376" t="e">
        <f>IFERROR(IF(AND($DF112&lt;&gt;0,$DG112&gt;CB$97),NA(),IF($BD112&gt;LBP/2,-(-Tools!BB17),-Tools!BB17)),NA())</f>
        <v>#N/A</v>
      </c>
      <c r="CC112" s="376" t="e">
        <f>IFERROR(IF(AND($DF112&lt;&gt;0,$DG112&gt;CC$97),NA(),IF($BD112&gt;LBP/2,-(-Tools!BC17),-Tools!BC17)),NA())</f>
        <v>#N/A</v>
      </c>
      <c r="CE112" s="425" t="b">
        <f t="shared" si="207"/>
        <v>0</v>
      </c>
      <c r="CF112" s="425" t="b">
        <f t="shared" si="208"/>
        <v>0</v>
      </c>
      <c r="CG112" s="425" t="b">
        <f t="shared" si="209"/>
        <v>0</v>
      </c>
      <c r="CH112" s="425" t="b">
        <f t="shared" si="210"/>
        <v>0</v>
      </c>
      <c r="CI112" s="425" t="b">
        <f t="shared" si="211"/>
        <v>0</v>
      </c>
      <c r="CJ112" s="425" t="b">
        <f t="shared" si="212"/>
        <v>0</v>
      </c>
      <c r="CK112" s="425" t="b">
        <f t="shared" si="213"/>
        <v>0</v>
      </c>
      <c r="CL112" s="425" t="b">
        <f t="shared" si="214"/>
        <v>0</v>
      </c>
      <c r="CM112" s="425" t="b">
        <f t="shared" si="215"/>
        <v>0</v>
      </c>
      <c r="CN112" s="425" t="b">
        <f t="shared" si="216"/>
        <v>0</v>
      </c>
      <c r="CO112" s="425" t="b">
        <f t="shared" si="217"/>
        <v>0</v>
      </c>
      <c r="CP112" s="425" t="b">
        <f t="shared" si="218"/>
        <v>0</v>
      </c>
      <c r="CQ112" s="425" t="b">
        <f t="shared" si="219"/>
        <v>0</v>
      </c>
      <c r="CR112" s="425" t="b">
        <f t="shared" si="220"/>
        <v>0</v>
      </c>
      <c r="CS112" s="425" t="b">
        <f t="shared" si="221"/>
        <v>0</v>
      </c>
      <c r="CT112" s="425" t="b">
        <f t="shared" si="222"/>
        <v>0</v>
      </c>
      <c r="CU112" s="425" t="b">
        <f t="shared" si="223"/>
        <v>0</v>
      </c>
      <c r="CV112" s="425" t="b">
        <f t="shared" si="224"/>
        <v>0</v>
      </c>
      <c r="CW112" s="425" t="b">
        <f t="shared" si="225"/>
        <v>0</v>
      </c>
      <c r="CX112" s="425" t="b">
        <f t="shared" si="226"/>
        <v>0</v>
      </c>
      <c r="CY112" s="425" t="b">
        <f t="shared" si="227"/>
        <v>0</v>
      </c>
      <c r="CZ112" s="425" t="b">
        <f t="shared" si="228"/>
        <v>0</v>
      </c>
      <c r="DA112" s="425" t="b">
        <f t="shared" si="229"/>
        <v>0</v>
      </c>
      <c r="DB112" s="425" t="b">
        <f t="shared" si="230"/>
        <v>0</v>
      </c>
      <c r="DC112" s="425"/>
      <c r="DD112" s="425">
        <f t="shared" si="261"/>
        <v>0</v>
      </c>
      <c r="DE112" s="425" t="str">
        <f t="shared" si="231"/>
        <v>-</v>
      </c>
      <c r="DF112" s="425">
        <f t="shared" si="232"/>
        <v>0</v>
      </c>
      <c r="DG112" s="425">
        <f t="shared" si="262"/>
        <v>0</v>
      </c>
      <c r="DH112" s="425">
        <f t="shared" si="233"/>
        <v>12</v>
      </c>
      <c r="DI112" s="425"/>
      <c r="DJ112" s="425" t="e">
        <f t="shared" si="263"/>
        <v>#N/A</v>
      </c>
      <c r="DK112" s="425">
        <f t="shared" si="180"/>
        <v>7.85</v>
      </c>
      <c r="DL112" s="425">
        <f t="shared" si="181"/>
        <v>10.02</v>
      </c>
      <c r="DM112" s="425">
        <f t="shared" si="182"/>
        <v>11.1</v>
      </c>
      <c r="DN112" s="425">
        <f t="shared" si="183"/>
        <v>11.63</v>
      </c>
      <c r="DO112" s="425">
        <f t="shared" si="184"/>
        <v>11.92</v>
      </c>
      <c r="DP112" s="425">
        <f t="shared" si="185"/>
        <v>12.2</v>
      </c>
      <c r="DQ112" s="425">
        <f t="shared" si="186"/>
        <v>12.25</v>
      </c>
      <c r="DR112" s="425">
        <f t="shared" si="187"/>
        <v>12.25</v>
      </c>
      <c r="DS112" s="425">
        <f t="shared" si="188"/>
        <v>12.25</v>
      </c>
      <c r="DT112" s="425">
        <f t="shared" si="189"/>
        <v>12.25</v>
      </c>
      <c r="DU112" s="425">
        <f t="shared" si="190"/>
        <v>12.25</v>
      </c>
      <c r="DV112" s="425">
        <f t="shared" si="191"/>
        <v>12.25</v>
      </c>
      <c r="DW112" s="425" t="e">
        <f t="shared" si="192"/>
        <v>#N/A</v>
      </c>
      <c r="DX112" s="425" t="e">
        <f t="shared" si="193"/>
        <v>#N/A</v>
      </c>
      <c r="DY112" s="425" t="e">
        <f t="shared" si="194"/>
        <v>#N/A</v>
      </c>
      <c r="DZ112" s="425" t="e">
        <f t="shared" si="195"/>
        <v>#N/A</v>
      </c>
      <c r="EA112" s="425" t="e">
        <f t="shared" si="196"/>
        <v>#N/A</v>
      </c>
      <c r="EB112" s="425" t="e">
        <f t="shared" si="197"/>
        <v>#N/A</v>
      </c>
      <c r="EC112" s="425" t="e">
        <f t="shared" si="198"/>
        <v>#N/A</v>
      </c>
      <c r="ED112" s="425" t="e">
        <f t="shared" si="199"/>
        <v>#N/A</v>
      </c>
      <c r="EE112" s="425" t="e">
        <f t="shared" si="200"/>
        <v>#N/A</v>
      </c>
      <c r="EF112" s="425" t="e">
        <f t="shared" si="201"/>
        <v>#N/A</v>
      </c>
      <c r="EG112" s="425" t="e">
        <f t="shared" si="202"/>
        <v>#N/A</v>
      </c>
      <c r="EH112" s="425" t="e">
        <f t="shared" si="203"/>
        <v>#N/A</v>
      </c>
      <c r="EI112" s="425" t="e">
        <f t="shared" si="204"/>
        <v>#N/A</v>
      </c>
      <c r="EJ112" s="425"/>
      <c r="EK112" s="425"/>
      <c r="EL112" s="425" t="e">
        <f t="shared" si="234"/>
        <v>#N/A</v>
      </c>
      <c r="EM112" s="425">
        <f t="shared" si="264"/>
        <v>0</v>
      </c>
      <c r="EN112" s="425">
        <f t="shared" si="236"/>
        <v>0.9</v>
      </c>
      <c r="EO112" s="425">
        <f t="shared" si="237"/>
        <v>1.8</v>
      </c>
      <c r="EP112" s="425">
        <f t="shared" si="238"/>
        <v>2.7</v>
      </c>
      <c r="EQ112" s="425">
        <f t="shared" si="239"/>
        <v>3.6</v>
      </c>
      <c r="ER112" s="425">
        <f t="shared" si="240"/>
        <v>5.4</v>
      </c>
      <c r="ES112" s="425">
        <f t="shared" si="241"/>
        <v>7.2</v>
      </c>
      <c r="ET112" s="425">
        <f t="shared" si="242"/>
        <v>9</v>
      </c>
      <c r="EU112" s="425">
        <f t="shared" si="243"/>
        <v>10.1</v>
      </c>
      <c r="EV112" s="425">
        <f t="shared" si="244"/>
        <v>10.8</v>
      </c>
      <c r="EW112" s="425">
        <f t="shared" si="245"/>
        <v>12.6</v>
      </c>
      <c r="EX112" s="425">
        <f t="shared" si="246"/>
        <v>14.19</v>
      </c>
      <c r="EY112" s="425" t="e">
        <f t="shared" si="247"/>
        <v>#N/A</v>
      </c>
      <c r="EZ112" s="425" t="e">
        <f t="shared" si="248"/>
        <v>#N/A</v>
      </c>
      <c r="FA112" s="425" t="e">
        <f t="shared" si="249"/>
        <v>#N/A</v>
      </c>
      <c r="FB112" s="425" t="e">
        <f t="shared" si="250"/>
        <v>#N/A</v>
      </c>
      <c r="FC112" s="425" t="e">
        <f t="shared" si="251"/>
        <v>#N/A</v>
      </c>
      <c r="FD112" s="425" t="e">
        <f t="shared" si="252"/>
        <v>#N/A</v>
      </c>
      <c r="FE112" s="425" t="e">
        <f t="shared" si="253"/>
        <v>#N/A</v>
      </c>
      <c r="FF112" s="425" t="e">
        <f t="shared" si="254"/>
        <v>#N/A</v>
      </c>
      <c r="FG112" s="425" t="e">
        <f t="shared" si="255"/>
        <v>#N/A</v>
      </c>
      <c r="FH112" s="425" t="e">
        <f t="shared" si="256"/>
        <v>#N/A</v>
      </c>
      <c r="FI112" s="425" t="e">
        <f t="shared" si="257"/>
        <v>#N/A</v>
      </c>
      <c r="FJ112" s="425" t="e">
        <f t="shared" si="258"/>
        <v>#N/A</v>
      </c>
      <c r="FK112" s="425" t="e">
        <f t="shared" si="259"/>
        <v>#N/A</v>
      </c>
    </row>
    <row r="113" spans="1:199" x14ac:dyDescent="0.25">
      <c r="A113" s="374" t="str">
        <f t="shared" si="206"/>
        <v xml:space="preserve">  </v>
      </c>
      <c r="B113" s="377" t="str">
        <f>IFERROR(IF(ISERROR(CP142),"",CONCATENATE(ROUND(X_SHIFT_BP+IF(Tools!B$97&lt;=Tools!$D$47/2,-BF18,BF18),3),",",ROUND(WLS*$AP54,3)," ")),"")</f>
        <v/>
      </c>
      <c r="C113" s="377" t="str">
        <f>IFERROR(IF(ISERROR(CQ142),"",CONCATENATE(ROUND(X_SHIFT_BP+IF(Tools!C$97&lt;=Tools!$D$47/2,-BG18,BG18),3),",",ROUND(WLS*$AP54,3)," ")),"")</f>
        <v/>
      </c>
      <c r="D113" s="377" t="str">
        <f>IFERROR(IF(ISERROR(CR142),"",CONCATENATE(ROUND(X_SHIFT_BP+IF(Tools!D$97&lt;=Tools!$D$47/2,-BH18,BH18),3),",",ROUND(WLS*$AP54,3)," ")),"")</f>
        <v/>
      </c>
      <c r="E113" s="377" t="str">
        <f>IFERROR(IF(ISERROR(CS142),"",CONCATENATE(ROUND(X_SHIFT_BP+IF(Tools!E$97&lt;=Tools!$D$47/2,-BI18,BI18),3),",",ROUND(WLS*$AP54,3)," ")),"")</f>
        <v/>
      </c>
      <c r="F113" s="377" t="str">
        <f>IFERROR(IF(ISERROR(CT142),"",CONCATENATE(ROUND(X_SHIFT_BP+IF(Tools!F$97&lt;=Tools!$D$47/2,-BJ18,BJ18),3),",",ROUND(WLS*$AP54,3)," ")),"")</f>
        <v/>
      </c>
      <c r="G113" s="377" t="str">
        <f>IFERROR(IF(ISERROR(CU142),"",CONCATENATE(ROUND(X_SHIFT_BP+IF(Tools!G$97&lt;=Tools!$D$47/2,-BK18,BK18),3),",",ROUND(WLS*$AP54,3)," ")),"")</f>
        <v/>
      </c>
      <c r="H113" s="377" t="str">
        <f>IFERROR(IF(ISERROR(CV142),"",CONCATENATE(ROUND(X_SHIFT_BP+IF(Tools!H$97&lt;=Tools!$D$47/2,-BL18,BL18),3),",",ROUND(WLS*$AP54,3)," ")),"")</f>
        <v/>
      </c>
      <c r="I113" s="377" t="str">
        <f>IFERROR(IF(ISERROR(CW142),"",CONCATENATE(ROUND(X_SHIFT_BP+IF(Tools!I$97&lt;=Tools!$D$47/2,-BM18,BM18),3),",",ROUND(WLS*$AP54,3)," ")),"")</f>
        <v/>
      </c>
      <c r="J113" s="377" t="str">
        <f>IFERROR(IF(ISERROR(CX142),"",CONCATENATE(ROUND(X_SHIFT_BP+IF(Tools!J$97&lt;=Tools!$D$47/2,-BN18,BN18),3),",",ROUND(WLS*$AP54,3)," ")),"")</f>
        <v/>
      </c>
      <c r="K113" s="377" t="str">
        <f>IFERROR(IF(ISERROR(CY142),"",CONCATENATE(ROUND(X_SHIFT_BP+IF(Tools!K$97&lt;=Tools!$D$47/2,-BO18,BO18),3),",",ROUND(WLS*$AP54,3)," ")),"")</f>
        <v/>
      </c>
      <c r="L113" s="377" t="str">
        <f>IFERROR(IF(ISERROR(CZ142),"",CONCATENATE(ROUND(X_SHIFT_BP+IF(Tools!L$97&lt;=Tools!$D$47/2,-BP18,BP18),3),",",ROUND(WLS*$AP54,3)," ")),"")</f>
        <v/>
      </c>
      <c r="M113" s="377" t="str">
        <f>IFERROR(IF(ISERROR(DA142),"",CONCATENATE(ROUND(X_SHIFT_BP+IF(Tools!M$97&lt;=Tools!$D$47/2,-BQ18,BQ18),3),",",ROUND(WLS*$AP54,3)," ")),"")</f>
        <v/>
      </c>
      <c r="N113" s="377" t="str">
        <f>IFERROR(IF(ISERROR(DB142),"",CONCATENATE(ROUND(X_SHIFT_BP+IF(Tools!N$97&lt;=Tools!$D$47/2,-BR18,BR18),3),",",ROUND(WLS*$AP54,3)," ")),"")</f>
        <v/>
      </c>
      <c r="O113" s="377" t="str">
        <f>IFERROR(IF(ISERROR(DC142),"",CONCATENATE(ROUND(X_SHIFT_BP+IF(Tools!O$97&lt;=Tools!$D$47/2,-BS18,BS18),3),",",ROUND(WLS*$AP54,3)," ")),"")</f>
        <v/>
      </c>
      <c r="P113" s="377" t="str">
        <f>IFERROR(IF(ISERROR(DD142),"",CONCATENATE(ROUND(X_SHIFT_BP+IF(Tools!P$97&lt;=Tools!$D$47/2,-BT18,BT18),3),",",ROUND(WLS*$AP54,3)," ")),"")</f>
        <v/>
      </c>
      <c r="Q113" s="377" t="str">
        <f>IFERROR(IF(ISERROR(DE142),"",CONCATENATE(ROUND(X_SHIFT_BP+IF(Tools!Q$97&lt;=Tools!$D$47/2,-BU18,BU18),3),",",ROUND(WLS*$AP54,3)," ")),"")</f>
        <v/>
      </c>
      <c r="R113" s="377" t="str">
        <f>IFERROR(IF(ISERROR(DF142),"",CONCATENATE(ROUND(X_SHIFT_BP+IF(Tools!R$97&lt;=Tools!$D$47/2,-BV18,BV18),3),",",ROUND(WLS*$AP54,3)," ")),"")</f>
        <v/>
      </c>
      <c r="S113" s="377" t="str">
        <f>IFERROR(IF(ISERROR(DG142),"",CONCATENATE(ROUND(X_SHIFT_BP+IF(Tools!S$97&lt;=Tools!$D$47/2,-BW18,BW18),3),",",ROUND(WLS*$AP54,3)," ")),"")</f>
        <v/>
      </c>
      <c r="T113" s="377" t="str">
        <f>IFERROR(IF(ISERROR(DH142),"",CONCATENATE(ROUND(X_SHIFT_BP+IF(Tools!T$97&lt;=Tools!$D$47/2,-BX18,BX18),3),",",ROUND(WLS*$AP54,3)," ")),"")</f>
        <v/>
      </c>
      <c r="U113" s="377" t="str">
        <f>IFERROR(IF(ISERROR(DI142),"",CONCATENATE(ROUND(X_SHIFT_BP+IF(Tools!U$97&lt;=Tools!$D$47/2,-BY18,BY18),3),",",ROUND(WLS*$AP54,3)," ")),"")</f>
        <v/>
      </c>
      <c r="V113" s="377" t="str">
        <f>IFERROR(IF(ISERROR(DJ142),"",CONCATENATE(ROUND(X_SHIFT_BP+IF(Tools!V$97&lt;=Tools!$D$47/2,-BZ18,BZ18),3),",",ROUND(WLS*$AP54,3)," ")),"")</f>
        <v/>
      </c>
      <c r="W113" s="377" t="str">
        <f>IFERROR(IF(ISERROR(DK142),"",CONCATENATE(ROUND(X_SHIFT_BP+IF(Tools!W$97&lt;=Tools!$D$47/2,-CA18,CA18),3),",",ROUND(WLS*$AP54,3)," ")),"")</f>
        <v/>
      </c>
      <c r="X113" s="377" t="str">
        <f>IFERROR(IF(ISERROR(DL142),"",CONCATENATE(ROUND(X_SHIFT_BP+IF(Tools!X$97&lt;=Tools!$D$47/2,-CB18,CB18),3),",",ROUND(WLS*$AP54,3)," ")),"")</f>
        <v/>
      </c>
      <c r="Y113" s="377" t="str">
        <f>IFERROR(IF(ISERROR(DM142),"",CONCATENATE(ROUND(X_SHIFT_BP+IF(Tools!Y$97&lt;=Tools!$D$47/2,-CC18,CC18),3),",",ROUND(WLS*$AP54,3)," ")),"")</f>
        <v/>
      </c>
      <c r="Z113" s="377" t="str">
        <f>IFERROR(IF(ISERROR(DN142),"",CONCATENATE(ROUND(X_SHIFT_BP+IF(Tools!Z$97&lt;=Tools!$D$47/2,-CD18,CD18),3),",",ROUND(WLS*$AP54,3)," ")),"")</f>
        <v/>
      </c>
      <c r="AA113" s="129">
        <v>12</v>
      </c>
      <c r="AB113" s="245" t="str">
        <f t="shared" si="260"/>
        <v xml:space="preserve">Spline </v>
      </c>
      <c r="AC113" s="129" t="str">
        <v/>
      </c>
      <c r="AD113" s="245" t="str">
        <v xml:space="preserve">162.135,0 </v>
      </c>
      <c r="AE113" s="245" t="str">
        <v xml:space="preserve">164.275,0.9 </v>
      </c>
      <c r="AF113" s="245" t="str">
        <v xml:space="preserve">165.465,1.8 </v>
      </c>
      <c r="AG113" s="245" t="str">
        <v xml:space="preserve">166.115,2.7 </v>
      </c>
      <c r="AH113" s="245" t="str">
        <v xml:space="preserve">166.535,3.6 </v>
      </c>
      <c r="AI113" s="245" t="str">
        <v xml:space="preserve">167.075,5.4 </v>
      </c>
      <c r="AJ113" s="245" t="str">
        <v xml:space="preserve">167.405,7.2 </v>
      </c>
      <c r="AK113" s="245" t="str">
        <v xml:space="preserve">167.615,9 </v>
      </c>
      <c r="AL113" s="245" t="str">
        <v xml:space="preserve">167.655,10.1 </v>
      </c>
      <c r="AM113" s="245" t="str">
        <v xml:space="preserve">167.665,10.8 </v>
      </c>
      <c r="AN113" s="245" t="str">
        <v xml:space="preserve">167.665,12.6 </v>
      </c>
      <c r="AO113" s="245" t="str">
        <v xml:space="preserve">167.685,14.19 </v>
      </c>
      <c r="AP113" s="245" t="str">
        <v/>
      </c>
      <c r="AQ113" s="245" t="str">
        <v/>
      </c>
      <c r="AR113" s="245" t="str">
        <v/>
      </c>
      <c r="AS113" s="245" t="str">
        <v/>
      </c>
      <c r="AT113" s="245" t="str">
        <v/>
      </c>
      <c r="AU113" s="245" t="str">
        <v/>
      </c>
      <c r="AV113" s="245" t="str">
        <v/>
      </c>
      <c r="AW113" s="245" t="str">
        <v/>
      </c>
      <c r="AX113" s="245" t="str">
        <v/>
      </c>
      <c r="AY113" s="245" t="str">
        <v/>
      </c>
      <c r="AZ113" s="245" t="str">
        <v/>
      </c>
      <c r="BA113" s="245" t="str">
        <v/>
      </c>
      <c r="BB113" s="245" t="str">
        <v/>
      </c>
      <c r="BC113" s="376">
        <f>Tools!AD18</f>
        <v>13</v>
      </c>
      <c r="BD113" s="376">
        <f>IFERROR(Tools!AD18*STN_GAP,"")</f>
        <v>85.60499999999999</v>
      </c>
      <c r="BE113" s="496">
        <f>IFERROR(IF(ISNUMBER(DE113),NA(),IF(AND($DF113&lt;&gt;0,$DG113&gt;BE$97),NA(),IF($BD113&gt;LBP/2,-(-Tools!AE18),-Tools!AE18))),NA())</f>
        <v>6.7</v>
      </c>
      <c r="BF113" s="376">
        <f>IFERROR(IF(AND($DF113&lt;&gt;0,$DG113&gt;BF$97),NA(),IF($BD113&gt;LBP/2,-(-Tools!AF18),-Tools!AF18)),NA())</f>
        <v>8.84</v>
      </c>
      <c r="BG113" s="376">
        <f>IFERROR(IF(AND($DF113&lt;&gt;0,$DG113&gt;BG$97),NA(),IF($BD113&gt;LBP/2,-(-Tools!AG18),-Tools!AG18)),NA())</f>
        <v>10.029999999999999</v>
      </c>
      <c r="BH113" s="376">
        <f>IFERROR(IF(AND($DF113&lt;&gt;0,$DG113&gt;BH$97),NA(),IF($BD113&gt;LBP/2,-(-Tools!AH18),-Tools!AH18)),NA())</f>
        <v>10.68</v>
      </c>
      <c r="BI113" s="376">
        <f>IFERROR(IF(AND($DF113&lt;&gt;0,$DG113&gt;BI$97),NA(),IF($BD113&gt;LBP/2,-(-Tools!AI18),-Tools!AI18)),NA())</f>
        <v>11.1</v>
      </c>
      <c r="BJ113" s="376">
        <f>IFERROR(IF(AND($DF113&lt;&gt;0,$DG113&gt;BJ$97),NA(),IF($BD113&gt;LBP/2,-(-Tools!AJ18),-Tools!AJ18)),NA())</f>
        <v>11.64</v>
      </c>
      <c r="BK113" s="376">
        <f>IFERROR(IF(AND($DF113&lt;&gt;0,$DG113&gt;BK$97),NA(),IF($BD113&gt;LBP/2,-(-Tools!AK18),-Tools!AK18)),NA())</f>
        <v>11.97</v>
      </c>
      <c r="BL113" s="376">
        <f>IFERROR(IF(AND($DF113&lt;&gt;0,$DG113&gt;BL$97),NA(),IF($BD113&gt;LBP/2,-(-Tools!AL18),-Tools!AL18)),NA())</f>
        <v>12.18</v>
      </c>
      <c r="BM113" s="376">
        <f>IFERROR(IF(AND($DF113&lt;&gt;0,$DG113&gt;BM$97),NA(),IF($BD113&gt;LBP/2,-(-Tools!AM18),-Tools!AM18)),NA())</f>
        <v>12.22</v>
      </c>
      <c r="BN113" s="376">
        <f>IFERROR(IF(AND($DF113&lt;&gt;0,$DG113&gt;BN$97),NA(),IF($BD113&gt;LBP/2,-(-Tools!AN18),-Tools!AN18)),NA())</f>
        <v>12.23</v>
      </c>
      <c r="BO113" s="376">
        <f>IFERROR(IF(AND($DF113&lt;&gt;0,$DG113&gt;BO$97),NA(),IF($BD113&gt;LBP/2,-(-Tools!AO18),-Tools!AO18)),NA())</f>
        <v>12.23</v>
      </c>
      <c r="BP113" s="376">
        <f>IFERROR(IF(AND($DF113&lt;&gt;0,$DG113&gt;BP$97),NA(),IF($BD113&gt;LBP/2,-(-Tools!AP18),-Tools!AP18)),NA())</f>
        <v>12.25</v>
      </c>
      <c r="BQ113" s="376" t="e">
        <f>IFERROR(IF(AND($DF113&lt;&gt;0,$DG113&gt;BQ$97),NA(),IF($BD113&gt;LBP/2,-(-Tools!AQ18),-Tools!AQ18)),NA())</f>
        <v>#N/A</v>
      </c>
      <c r="BR113" s="376" t="e">
        <f>IFERROR(IF(AND($DF113&lt;&gt;0,$DG113&gt;BR$97),NA(),IF($BD113&gt;LBP/2,-(-Tools!AR18),-Tools!AR18)),NA())</f>
        <v>#N/A</v>
      </c>
      <c r="BS113" s="376" t="e">
        <f>IFERROR(IF(AND($DF113&lt;&gt;0,$DG113&gt;BS$97),NA(),IF($BD113&gt;LBP/2,-(-Tools!AS18),-Tools!AS18)),NA())</f>
        <v>#N/A</v>
      </c>
      <c r="BT113" s="376" t="e">
        <f>IFERROR(IF(AND($DF113&lt;&gt;0,$DG113&gt;BT$97),NA(),IF($BD113&gt;LBP/2,-(-Tools!AT18),-Tools!AT18)),NA())</f>
        <v>#N/A</v>
      </c>
      <c r="BU113" s="376" t="e">
        <f>IFERROR(IF(AND($DF113&lt;&gt;0,$DG113&gt;BU$97),NA(),IF($BD113&gt;LBP/2,-(-Tools!AU18),-Tools!AU18)),NA())</f>
        <v>#N/A</v>
      </c>
      <c r="BV113" s="376" t="e">
        <f>IFERROR(IF(AND($DF113&lt;&gt;0,$DG113&gt;BV$97),NA(),IF($BD113&gt;LBP/2,-(-Tools!AV18),-Tools!AV18)),NA())</f>
        <v>#N/A</v>
      </c>
      <c r="BW113" s="376" t="e">
        <f>IFERROR(IF(AND($DF113&lt;&gt;0,$DG113&gt;BW$97),NA(),IF($BD113&gt;LBP/2,-(-Tools!AW18),-Tools!AW18)),NA())</f>
        <v>#N/A</v>
      </c>
      <c r="BX113" s="376" t="e">
        <f>IFERROR(IF(AND($DF113&lt;&gt;0,$DG113&gt;BX$97),NA(),IF($BD113&gt;LBP/2,-(-Tools!AX18),-Tools!AX18)),NA())</f>
        <v>#N/A</v>
      </c>
      <c r="BY113" s="376" t="e">
        <f>IFERROR(IF(AND($DF113&lt;&gt;0,$DG113&gt;BY$97),NA(),IF($BD113&gt;LBP/2,-(-Tools!AY18),-Tools!AY18)),NA())</f>
        <v>#N/A</v>
      </c>
      <c r="BZ113" s="376" t="e">
        <f>IFERROR(IF(AND($DF113&lt;&gt;0,$DG113&gt;BZ$97),NA(),IF($BD113&gt;LBP/2,-(-Tools!AZ18),-Tools!AZ18)),NA())</f>
        <v>#N/A</v>
      </c>
      <c r="CA113" s="376" t="e">
        <f>IFERROR(IF(AND($DF113&lt;&gt;0,$DG113&gt;CA$97),NA(),IF($BD113&gt;LBP/2,-(-Tools!BA18),-Tools!BA18)),NA())</f>
        <v>#N/A</v>
      </c>
      <c r="CB113" s="376" t="e">
        <f>IFERROR(IF(AND($DF113&lt;&gt;0,$DG113&gt;CB$97),NA(),IF($BD113&gt;LBP/2,-(-Tools!BB18),-Tools!BB18)),NA())</f>
        <v>#N/A</v>
      </c>
      <c r="CC113" s="376" t="e">
        <f>IFERROR(IF(AND($DF113&lt;&gt;0,$DG113&gt;CC$97),NA(),IF($BD113&gt;LBP/2,-(-Tools!BC18),-Tools!BC18)),NA())</f>
        <v>#N/A</v>
      </c>
      <c r="CE113" s="425" t="b">
        <f t="shared" si="207"/>
        <v>0</v>
      </c>
      <c r="CF113" s="425" t="b">
        <f t="shared" si="208"/>
        <v>0</v>
      </c>
      <c r="CG113" s="425" t="b">
        <f t="shared" si="209"/>
        <v>0</v>
      </c>
      <c r="CH113" s="425" t="b">
        <f t="shared" si="210"/>
        <v>0</v>
      </c>
      <c r="CI113" s="425" t="b">
        <f t="shared" si="211"/>
        <v>0</v>
      </c>
      <c r="CJ113" s="425" t="b">
        <f t="shared" si="212"/>
        <v>0</v>
      </c>
      <c r="CK113" s="425" t="b">
        <f t="shared" si="213"/>
        <v>0</v>
      </c>
      <c r="CL113" s="425" t="b">
        <f t="shared" si="214"/>
        <v>0</v>
      </c>
      <c r="CM113" s="425" t="b">
        <f t="shared" si="215"/>
        <v>0</v>
      </c>
      <c r="CN113" s="425" t="b">
        <f t="shared" si="216"/>
        <v>0</v>
      </c>
      <c r="CO113" s="425" t="b">
        <f t="shared" si="217"/>
        <v>0</v>
      </c>
      <c r="CP113" s="425" t="b">
        <f t="shared" si="218"/>
        <v>0</v>
      </c>
      <c r="CQ113" s="425" t="b">
        <f t="shared" si="219"/>
        <v>0</v>
      </c>
      <c r="CR113" s="425" t="b">
        <f t="shared" si="220"/>
        <v>0</v>
      </c>
      <c r="CS113" s="425" t="b">
        <f t="shared" si="221"/>
        <v>0</v>
      </c>
      <c r="CT113" s="425" t="b">
        <f t="shared" si="222"/>
        <v>0</v>
      </c>
      <c r="CU113" s="425" t="b">
        <f t="shared" si="223"/>
        <v>0</v>
      </c>
      <c r="CV113" s="425" t="b">
        <f t="shared" si="224"/>
        <v>0</v>
      </c>
      <c r="CW113" s="425" t="b">
        <f t="shared" si="225"/>
        <v>0</v>
      </c>
      <c r="CX113" s="425" t="b">
        <f t="shared" si="226"/>
        <v>0</v>
      </c>
      <c r="CY113" s="425" t="b">
        <f t="shared" si="227"/>
        <v>0</v>
      </c>
      <c r="CZ113" s="425" t="b">
        <f t="shared" si="228"/>
        <v>0</v>
      </c>
      <c r="DA113" s="425" t="b">
        <f t="shared" si="229"/>
        <v>0</v>
      </c>
      <c r="DB113" s="425" t="b">
        <f t="shared" si="230"/>
        <v>0</v>
      </c>
      <c r="DC113" s="425"/>
      <c r="DD113" s="425">
        <f t="shared" si="261"/>
        <v>0</v>
      </c>
      <c r="DE113" s="425" t="str">
        <f t="shared" si="231"/>
        <v>-</v>
      </c>
      <c r="DF113" s="425">
        <f t="shared" si="232"/>
        <v>0</v>
      </c>
      <c r="DG113" s="425">
        <f t="shared" si="262"/>
        <v>0</v>
      </c>
      <c r="DH113" s="425">
        <f t="shared" si="233"/>
        <v>13</v>
      </c>
      <c r="DI113" s="425"/>
      <c r="DJ113" s="425" t="e">
        <f t="shared" si="263"/>
        <v>#N/A</v>
      </c>
      <c r="DK113" s="425">
        <f t="shared" si="180"/>
        <v>6.7</v>
      </c>
      <c r="DL113" s="425">
        <f t="shared" si="181"/>
        <v>8.84</v>
      </c>
      <c r="DM113" s="425">
        <f t="shared" si="182"/>
        <v>10.029999999999999</v>
      </c>
      <c r="DN113" s="425">
        <f t="shared" si="183"/>
        <v>10.68</v>
      </c>
      <c r="DO113" s="425">
        <f t="shared" si="184"/>
        <v>11.1</v>
      </c>
      <c r="DP113" s="425">
        <f t="shared" si="185"/>
        <v>11.64</v>
      </c>
      <c r="DQ113" s="425">
        <f t="shared" si="186"/>
        <v>11.97</v>
      </c>
      <c r="DR113" s="425">
        <f t="shared" si="187"/>
        <v>12.18</v>
      </c>
      <c r="DS113" s="425">
        <f t="shared" si="188"/>
        <v>12.22</v>
      </c>
      <c r="DT113" s="425">
        <f t="shared" si="189"/>
        <v>12.23</v>
      </c>
      <c r="DU113" s="425">
        <f t="shared" si="190"/>
        <v>12.23</v>
      </c>
      <c r="DV113" s="425">
        <f t="shared" si="191"/>
        <v>12.25</v>
      </c>
      <c r="DW113" s="425" t="e">
        <f t="shared" si="192"/>
        <v>#N/A</v>
      </c>
      <c r="DX113" s="425" t="e">
        <f t="shared" si="193"/>
        <v>#N/A</v>
      </c>
      <c r="DY113" s="425" t="e">
        <f t="shared" si="194"/>
        <v>#N/A</v>
      </c>
      <c r="DZ113" s="425" t="e">
        <f t="shared" si="195"/>
        <v>#N/A</v>
      </c>
      <c r="EA113" s="425" t="e">
        <f t="shared" si="196"/>
        <v>#N/A</v>
      </c>
      <c r="EB113" s="425" t="e">
        <f t="shared" si="197"/>
        <v>#N/A</v>
      </c>
      <c r="EC113" s="425" t="e">
        <f t="shared" si="198"/>
        <v>#N/A</v>
      </c>
      <c r="ED113" s="425" t="e">
        <f t="shared" si="199"/>
        <v>#N/A</v>
      </c>
      <c r="EE113" s="425" t="e">
        <f t="shared" si="200"/>
        <v>#N/A</v>
      </c>
      <c r="EF113" s="425" t="e">
        <f t="shared" si="201"/>
        <v>#N/A</v>
      </c>
      <c r="EG113" s="425" t="e">
        <f t="shared" si="202"/>
        <v>#N/A</v>
      </c>
      <c r="EH113" s="425" t="e">
        <f t="shared" si="203"/>
        <v>#N/A</v>
      </c>
      <c r="EI113" s="425" t="e">
        <f t="shared" si="204"/>
        <v>#N/A</v>
      </c>
      <c r="EJ113" s="425"/>
      <c r="EK113" s="425"/>
      <c r="EL113" s="425" t="e">
        <f t="shared" si="234"/>
        <v>#N/A</v>
      </c>
      <c r="EM113" s="425">
        <f t="shared" si="264"/>
        <v>0</v>
      </c>
      <c r="EN113" s="425">
        <f t="shared" si="236"/>
        <v>0.9</v>
      </c>
      <c r="EO113" s="425">
        <f t="shared" si="237"/>
        <v>1.8</v>
      </c>
      <c r="EP113" s="425">
        <f t="shared" si="238"/>
        <v>2.7</v>
      </c>
      <c r="EQ113" s="425">
        <f t="shared" si="239"/>
        <v>3.6</v>
      </c>
      <c r="ER113" s="425">
        <f t="shared" si="240"/>
        <v>5.4</v>
      </c>
      <c r="ES113" s="425">
        <f t="shared" si="241"/>
        <v>7.2</v>
      </c>
      <c r="ET113" s="425">
        <f t="shared" si="242"/>
        <v>9</v>
      </c>
      <c r="EU113" s="425">
        <f t="shared" si="243"/>
        <v>10.1</v>
      </c>
      <c r="EV113" s="425">
        <f t="shared" si="244"/>
        <v>10.8</v>
      </c>
      <c r="EW113" s="425">
        <f t="shared" si="245"/>
        <v>12.6</v>
      </c>
      <c r="EX113" s="425">
        <f t="shared" si="246"/>
        <v>14.19</v>
      </c>
      <c r="EY113" s="425" t="e">
        <f t="shared" si="247"/>
        <v>#N/A</v>
      </c>
      <c r="EZ113" s="425" t="e">
        <f t="shared" si="248"/>
        <v>#N/A</v>
      </c>
      <c r="FA113" s="425" t="e">
        <f t="shared" si="249"/>
        <v>#N/A</v>
      </c>
      <c r="FB113" s="425" t="e">
        <f t="shared" si="250"/>
        <v>#N/A</v>
      </c>
      <c r="FC113" s="425" t="e">
        <f t="shared" si="251"/>
        <v>#N/A</v>
      </c>
      <c r="FD113" s="425" t="e">
        <f t="shared" si="252"/>
        <v>#N/A</v>
      </c>
      <c r="FE113" s="425" t="e">
        <f t="shared" si="253"/>
        <v>#N/A</v>
      </c>
      <c r="FF113" s="425" t="e">
        <f t="shared" si="254"/>
        <v>#N/A</v>
      </c>
      <c r="FG113" s="425" t="e">
        <f t="shared" si="255"/>
        <v>#N/A</v>
      </c>
      <c r="FH113" s="425" t="e">
        <f t="shared" si="256"/>
        <v>#N/A</v>
      </c>
      <c r="FI113" s="425" t="e">
        <f t="shared" si="257"/>
        <v>#N/A</v>
      </c>
      <c r="FJ113" s="425" t="e">
        <f t="shared" si="258"/>
        <v>#N/A</v>
      </c>
      <c r="FK113" s="425" t="e">
        <f t="shared" si="259"/>
        <v>#N/A</v>
      </c>
    </row>
    <row r="114" spans="1:199" x14ac:dyDescent="0.25">
      <c r="A114" s="374" t="str">
        <f t="shared" si="206"/>
        <v xml:space="preserve">  </v>
      </c>
      <c r="B114" s="377" t="str">
        <f>IFERROR(IF(ISERROR(CP143),"",CONCATENATE(ROUND(X_SHIFT_BP+IF(Tools!B$97&lt;=Tools!$D$47/2,-BF19,BF19),3),",",ROUND(WLS*$AP55,3)," ")),"")</f>
        <v/>
      </c>
      <c r="C114" s="377" t="str">
        <f>IFERROR(IF(ISERROR(CQ143),"",CONCATENATE(ROUND(X_SHIFT_BP+IF(Tools!C$97&lt;=Tools!$D$47/2,-BG19,BG19),3),",",ROUND(WLS*$AP55,3)," ")),"")</f>
        <v/>
      </c>
      <c r="D114" s="377" t="str">
        <f>IFERROR(IF(ISERROR(CR143),"",CONCATENATE(ROUND(X_SHIFT_BP+IF(Tools!D$97&lt;=Tools!$D$47/2,-BH19,BH19),3),",",ROUND(WLS*$AP55,3)," ")),"")</f>
        <v/>
      </c>
      <c r="E114" s="377" t="str">
        <f>IFERROR(IF(ISERROR(CS143),"",CONCATENATE(ROUND(X_SHIFT_BP+IF(Tools!E$97&lt;=Tools!$D$47/2,-BI19,BI19),3),",",ROUND(WLS*$AP55,3)," ")),"")</f>
        <v/>
      </c>
      <c r="F114" s="377" t="str">
        <f>IFERROR(IF(ISERROR(CT143),"",CONCATENATE(ROUND(X_SHIFT_BP+IF(Tools!F$97&lt;=Tools!$D$47/2,-BJ19,BJ19),3),",",ROUND(WLS*$AP55,3)," ")),"")</f>
        <v/>
      </c>
      <c r="G114" s="377" t="str">
        <f>IFERROR(IF(ISERROR(CU143),"",CONCATENATE(ROUND(X_SHIFT_BP+IF(Tools!G$97&lt;=Tools!$D$47/2,-BK19,BK19),3),",",ROUND(WLS*$AP55,3)," ")),"")</f>
        <v/>
      </c>
      <c r="H114" s="377" t="str">
        <f>IFERROR(IF(ISERROR(CV143),"",CONCATENATE(ROUND(X_SHIFT_BP+IF(Tools!H$97&lt;=Tools!$D$47/2,-BL19,BL19),3),",",ROUND(WLS*$AP55,3)," ")),"")</f>
        <v/>
      </c>
      <c r="I114" s="377" t="str">
        <f>IFERROR(IF(ISERROR(CW143),"",CONCATENATE(ROUND(X_SHIFT_BP+IF(Tools!I$97&lt;=Tools!$D$47/2,-BM19,BM19),3),",",ROUND(WLS*$AP55,3)," ")),"")</f>
        <v/>
      </c>
      <c r="J114" s="377" t="str">
        <f>IFERROR(IF(ISERROR(CX143),"",CONCATENATE(ROUND(X_SHIFT_BP+IF(Tools!J$97&lt;=Tools!$D$47/2,-BN19,BN19),3),",",ROUND(WLS*$AP55,3)," ")),"")</f>
        <v/>
      </c>
      <c r="K114" s="377" t="str">
        <f>IFERROR(IF(ISERROR(CY143),"",CONCATENATE(ROUND(X_SHIFT_BP+IF(Tools!K$97&lt;=Tools!$D$47/2,-BO19,BO19),3),",",ROUND(WLS*$AP55,3)," ")),"")</f>
        <v/>
      </c>
      <c r="L114" s="377" t="str">
        <f>IFERROR(IF(ISERROR(CZ143),"",CONCATENATE(ROUND(X_SHIFT_BP+IF(Tools!L$97&lt;=Tools!$D$47/2,-BP19,BP19),3),",",ROUND(WLS*$AP55,3)," ")),"")</f>
        <v/>
      </c>
      <c r="M114" s="377" t="str">
        <f>IFERROR(IF(ISERROR(DA143),"",CONCATENATE(ROUND(X_SHIFT_BP+IF(Tools!M$97&lt;=Tools!$D$47/2,-BQ19,BQ19),3),",",ROUND(WLS*$AP55,3)," ")),"")</f>
        <v/>
      </c>
      <c r="N114" s="377" t="str">
        <f>IFERROR(IF(ISERROR(DB143),"",CONCATENATE(ROUND(X_SHIFT_BP+IF(Tools!N$97&lt;=Tools!$D$47/2,-BR19,BR19),3),",",ROUND(WLS*$AP55,3)," ")),"")</f>
        <v/>
      </c>
      <c r="O114" s="377" t="str">
        <f>IFERROR(IF(ISERROR(DC143),"",CONCATENATE(ROUND(X_SHIFT_BP+IF(Tools!O$97&lt;=Tools!$D$47/2,-BS19,BS19),3),",",ROUND(WLS*$AP55,3)," ")),"")</f>
        <v/>
      </c>
      <c r="P114" s="377" t="str">
        <f>IFERROR(IF(ISERROR(DD143),"",CONCATENATE(ROUND(X_SHIFT_BP+IF(Tools!P$97&lt;=Tools!$D$47/2,-BT19,BT19),3),",",ROUND(WLS*$AP55,3)," ")),"")</f>
        <v/>
      </c>
      <c r="Q114" s="377" t="str">
        <f>IFERROR(IF(ISERROR(DE143),"",CONCATENATE(ROUND(X_SHIFT_BP+IF(Tools!Q$97&lt;=Tools!$D$47/2,-BU19,BU19),3),",",ROUND(WLS*$AP55,3)," ")),"")</f>
        <v/>
      </c>
      <c r="R114" s="377" t="str">
        <f>IFERROR(IF(ISERROR(DF143),"",CONCATENATE(ROUND(X_SHIFT_BP+IF(Tools!R$97&lt;=Tools!$D$47/2,-BV19,BV19),3),",",ROUND(WLS*$AP55,3)," ")),"")</f>
        <v/>
      </c>
      <c r="S114" s="377" t="str">
        <f>IFERROR(IF(ISERROR(DG143),"",CONCATENATE(ROUND(X_SHIFT_BP+IF(Tools!S$97&lt;=Tools!$D$47/2,-BW19,BW19),3),",",ROUND(WLS*$AP55,3)," ")),"")</f>
        <v/>
      </c>
      <c r="T114" s="377" t="str">
        <f>IFERROR(IF(ISERROR(DH143),"",CONCATENATE(ROUND(X_SHIFT_BP+IF(Tools!T$97&lt;=Tools!$D$47/2,-BX19,BX19),3),",",ROUND(WLS*$AP55,3)," ")),"")</f>
        <v/>
      </c>
      <c r="U114" s="377" t="str">
        <f>IFERROR(IF(ISERROR(DI143),"",CONCATENATE(ROUND(X_SHIFT_BP+IF(Tools!U$97&lt;=Tools!$D$47/2,-BY19,BY19),3),",",ROUND(WLS*$AP55,3)," ")),"")</f>
        <v/>
      </c>
      <c r="V114" s="377" t="str">
        <f>IFERROR(IF(ISERROR(DJ143),"",CONCATENATE(ROUND(X_SHIFT_BP+IF(Tools!V$97&lt;=Tools!$D$47/2,-BZ19,BZ19),3),",",ROUND(WLS*$AP55,3)," ")),"")</f>
        <v/>
      </c>
      <c r="W114" s="377" t="str">
        <f>IFERROR(IF(ISERROR(DK143),"",CONCATENATE(ROUND(X_SHIFT_BP+IF(Tools!W$97&lt;=Tools!$D$47/2,-CA19,CA19),3),",",ROUND(WLS*$AP55,3)," ")),"")</f>
        <v/>
      </c>
      <c r="X114" s="377" t="str">
        <f>IFERROR(IF(ISERROR(DL143),"",CONCATENATE(ROUND(X_SHIFT_BP+IF(Tools!X$97&lt;=Tools!$D$47/2,-CB19,CB19),3),",",ROUND(WLS*$AP55,3)," ")),"")</f>
        <v/>
      </c>
      <c r="Y114" s="377" t="str">
        <f>IFERROR(IF(ISERROR(DM143),"",CONCATENATE(ROUND(X_SHIFT_BP+IF(Tools!Y$97&lt;=Tools!$D$47/2,-CC19,CC19),3),",",ROUND(WLS*$AP55,3)," ")),"")</f>
        <v/>
      </c>
      <c r="Z114" s="377" t="str">
        <f>IFERROR(IF(ISERROR(DN143),"",CONCATENATE(ROUND(X_SHIFT_BP+IF(Tools!Z$97&lt;=Tools!$D$47/2,-CD19,CD19),3),",",ROUND(WLS*$AP55,3)," ")),"")</f>
        <v/>
      </c>
      <c r="AA114" s="129">
        <v>12</v>
      </c>
      <c r="AB114" s="245" t="str">
        <f t="shared" si="260"/>
        <v xml:space="preserve">Spline </v>
      </c>
      <c r="AC114" s="129" t="str">
        <v/>
      </c>
      <c r="AD114" s="245" t="str">
        <v xml:space="preserve">160.785,0 </v>
      </c>
      <c r="AE114" s="245" t="str">
        <v xml:space="preserve">162.725,0.9 </v>
      </c>
      <c r="AF114" s="245" t="str">
        <v xml:space="preserve">163.585,1.8 </v>
      </c>
      <c r="AG114" s="245" t="str">
        <v xml:space="preserve">164.685,2.7 </v>
      </c>
      <c r="AH114" s="245" t="str">
        <v xml:space="preserve">165.185,3.6 </v>
      </c>
      <c r="AI114" s="245" t="str">
        <v xml:space="preserve">165.935,5.4 </v>
      </c>
      <c r="AJ114" s="245" t="str">
        <v xml:space="preserve">166.495,7.2 </v>
      </c>
      <c r="AK114" s="245" t="str">
        <v xml:space="preserve">166.895,9 </v>
      </c>
      <c r="AL114" s="245" t="str">
        <v xml:space="preserve">167.105,10.1 </v>
      </c>
      <c r="AM114" s="245" t="str">
        <v xml:space="preserve">167.225,10.8 </v>
      </c>
      <c r="AN114" s="245" t="str">
        <v xml:space="preserve">167.505,12.6 </v>
      </c>
      <c r="AO114" s="245" t="str">
        <v xml:space="preserve">167.665,14.19 </v>
      </c>
      <c r="AP114" s="245" t="str">
        <v/>
      </c>
      <c r="AQ114" s="245" t="str">
        <v/>
      </c>
      <c r="AR114" s="245" t="str">
        <v/>
      </c>
      <c r="AS114" s="245" t="str">
        <v/>
      </c>
      <c r="AT114" s="245" t="str">
        <v/>
      </c>
      <c r="AU114" s="245" t="str">
        <v/>
      </c>
      <c r="AV114" s="245" t="str">
        <v/>
      </c>
      <c r="AW114" s="245" t="str">
        <v/>
      </c>
      <c r="AX114" s="245" t="str">
        <v/>
      </c>
      <c r="AY114" s="245" t="str">
        <v/>
      </c>
      <c r="AZ114" s="245" t="str">
        <v/>
      </c>
      <c r="BA114" s="245" t="str">
        <v/>
      </c>
      <c r="BB114" s="245" t="str">
        <v/>
      </c>
      <c r="BC114" s="376">
        <f>Tools!AD19</f>
        <v>14</v>
      </c>
      <c r="BD114" s="376">
        <f>IFERROR(Tools!AD19*STN_GAP,"")</f>
        <v>92.189999999999984</v>
      </c>
      <c r="BE114" s="496">
        <f>IFERROR(IF(ISNUMBER(DE114),NA(),IF(AND($DF114&lt;&gt;0,$DG114&gt;BE$97),NA(),IF($BD114&gt;LBP/2,-(-Tools!AE19),-Tools!AE19))),NA())</f>
        <v>5.35</v>
      </c>
      <c r="BF114" s="376">
        <f>IFERROR(IF(AND($DF114&lt;&gt;0,$DG114&gt;BF$97),NA(),IF($BD114&gt;LBP/2,-(-Tools!AF19),-Tools!AF19)),NA())</f>
        <v>7.29</v>
      </c>
      <c r="BG114" s="376">
        <f>IFERROR(IF(AND($DF114&lt;&gt;0,$DG114&gt;BG$97),NA(),IF($BD114&gt;LBP/2,-(-Tools!AG19),-Tools!AG19)),NA())</f>
        <v>8.15</v>
      </c>
      <c r="BH114" s="376">
        <f>IFERROR(IF(AND($DF114&lt;&gt;0,$DG114&gt;BH$97),NA(),IF($BD114&gt;LBP/2,-(-Tools!AH19),-Tools!AH19)),NA())</f>
        <v>9.25</v>
      </c>
      <c r="BI114" s="376">
        <f>IFERROR(IF(AND($DF114&lt;&gt;0,$DG114&gt;BI$97),NA(),IF($BD114&gt;LBP/2,-(-Tools!AI19),-Tools!AI19)),NA())</f>
        <v>9.75</v>
      </c>
      <c r="BJ114" s="376">
        <f>IFERROR(IF(AND($DF114&lt;&gt;0,$DG114&gt;BJ$97),NA(),IF($BD114&gt;LBP/2,-(-Tools!AJ19),-Tools!AJ19)),NA())</f>
        <v>10.5</v>
      </c>
      <c r="BK114" s="376">
        <f>IFERROR(IF(AND($DF114&lt;&gt;0,$DG114&gt;BK$97),NA(),IF($BD114&gt;LBP/2,-(-Tools!AK19),-Tools!AK19)),NA())</f>
        <v>11.06</v>
      </c>
      <c r="BL114" s="376">
        <f>IFERROR(IF(AND($DF114&lt;&gt;0,$DG114&gt;BL$97),NA(),IF($BD114&gt;LBP/2,-(-Tools!AL19),-Tools!AL19)),NA())</f>
        <v>11.46</v>
      </c>
      <c r="BM114" s="376">
        <f>IFERROR(IF(AND($DF114&lt;&gt;0,$DG114&gt;BM$97),NA(),IF($BD114&gt;LBP/2,-(-Tools!AM19),-Tools!AM19)),NA())</f>
        <v>11.67</v>
      </c>
      <c r="BN114" s="376">
        <f>IFERROR(IF(AND($DF114&lt;&gt;0,$DG114&gt;BN$97),NA(),IF($BD114&gt;LBP/2,-(-Tools!AN19),-Tools!AN19)),NA())</f>
        <v>11.79</v>
      </c>
      <c r="BO114" s="376">
        <f>IFERROR(IF(AND($DF114&lt;&gt;0,$DG114&gt;BO$97),NA(),IF($BD114&gt;LBP/2,-(-Tools!AO19),-Tools!AO19)),NA())</f>
        <v>12.07</v>
      </c>
      <c r="BP114" s="376">
        <f>IFERROR(IF(AND($DF114&lt;&gt;0,$DG114&gt;BP$97),NA(),IF($BD114&gt;LBP/2,-(-Tools!AP19),-Tools!AP19)),NA())</f>
        <v>12.23</v>
      </c>
      <c r="BQ114" s="376" t="e">
        <f>IFERROR(IF(AND($DF114&lt;&gt;0,$DG114&gt;BQ$97),NA(),IF($BD114&gt;LBP/2,-(-Tools!AQ19),-Tools!AQ19)),NA())</f>
        <v>#N/A</v>
      </c>
      <c r="BR114" s="376" t="e">
        <f>IFERROR(IF(AND($DF114&lt;&gt;0,$DG114&gt;BR$97),NA(),IF($BD114&gt;LBP/2,-(-Tools!AR19),-Tools!AR19)),NA())</f>
        <v>#N/A</v>
      </c>
      <c r="BS114" s="376" t="e">
        <f>IFERROR(IF(AND($DF114&lt;&gt;0,$DG114&gt;BS$97),NA(),IF($BD114&gt;LBP/2,-(-Tools!AS19),-Tools!AS19)),NA())</f>
        <v>#N/A</v>
      </c>
      <c r="BT114" s="376" t="e">
        <f>IFERROR(IF(AND($DF114&lt;&gt;0,$DG114&gt;BT$97),NA(),IF($BD114&gt;LBP/2,-(-Tools!AT19),-Tools!AT19)),NA())</f>
        <v>#N/A</v>
      </c>
      <c r="BU114" s="376" t="e">
        <f>IFERROR(IF(AND($DF114&lt;&gt;0,$DG114&gt;BU$97),NA(),IF($BD114&gt;LBP/2,-(-Tools!AU19),-Tools!AU19)),NA())</f>
        <v>#N/A</v>
      </c>
      <c r="BV114" s="376" t="e">
        <f>IFERROR(IF(AND($DF114&lt;&gt;0,$DG114&gt;BV$97),NA(),IF($BD114&gt;LBP/2,-(-Tools!AV19),-Tools!AV19)),NA())</f>
        <v>#N/A</v>
      </c>
      <c r="BW114" s="376" t="e">
        <f>IFERROR(IF(AND($DF114&lt;&gt;0,$DG114&gt;BW$97),NA(),IF($BD114&gt;LBP/2,-(-Tools!AW19),-Tools!AW19)),NA())</f>
        <v>#N/A</v>
      </c>
      <c r="BX114" s="376" t="e">
        <f>IFERROR(IF(AND($DF114&lt;&gt;0,$DG114&gt;BX$97),NA(),IF($BD114&gt;LBP/2,-(-Tools!AX19),-Tools!AX19)),NA())</f>
        <v>#N/A</v>
      </c>
      <c r="BY114" s="376" t="e">
        <f>IFERROR(IF(AND($DF114&lt;&gt;0,$DG114&gt;BY$97),NA(),IF($BD114&gt;LBP/2,-(-Tools!AY19),-Tools!AY19)),NA())</f>
        <v>#N/A</v>
      </c>
      <c r="BZ114" s="376" t="e">
        <f>IFERROR(IF(AND($DF114&lt;&gt;0,$DG114&gt;BZ$97),NA(),IF($BD114&gt;LBP/2,-(-Tools!AZ19),-Tools!AZ19)),NA())</f>
        <v>#N/A</v>
      </c>
      <c r="CA114" s="376" t="e">
        <f>IFERROR(IF(AND($DF114&lt;&gt;0,$DG114&gt;CA$97),NA(),IF($BD114&gt;LBP/2,-(-Tools!BA19),-Tools!BA19)),NA())</f>
        <v>#N/A</v>
      </c>
      <c r="CB114" s="376" t="e">
        <f>IFERROR(IF(AND($DF114&lt;&gt;0,$DG114&gt;CB$97),NA(),IF($BD114&gt;LBP/2,-(-Tools!BB19),-Tools!BB19)),NA())</f>
        <v>#N/A</v>
      </c>
      <c r="CC114" s="376" t="e">
        <f>IFERROR(IF(AND($DF114&lt;&gt;0,$DG114&gt;CC$97),NA(),IF($BD114&gt;LBP/2,-(-Tools!BC19),-Tools!BC19)),NA())</f>
        <v>#N/A</v>
      </c>
      <c r="CE114" s="425" t="b">
        <f t="shared" si="207"/>
        <v>0</v>
      </c>
      <c r="CF114" s="425" t="b">
        <f t="shared" si="208"/>
        <v>0</v>
      </c>
      <c r="CG114" s="425" t="b">
        <f t="shared" si="209"/>
        <v>0</v>
      </c>
      <c r="CH114" s="425" t="b">
        <f t="shared" si="210"/>
        <v>0</v>
      </c>
      <c r="CI114" s="425" t="b">
        <f t="shared" si="211"/>
        <v>0</v>
      </c>
      <c r="CJ114" s="425" t="b">
        <f t="shared" si="212"/>
        <v>0</v>
      </c>
      <c r="CK114" s="425" t="b">
        <f t="shared" si="213"/>
        <v>0</v>
      </c>
      <c r="CL114" s="425" t="b">
        <f t="shared" si="214"/>
        <v>0</v>
      </c>
      <c r="CM114" s="425" t="b">
        <f t="shared" si="215"/>
        <v>0</v>
      </c>
      <c r="CN114" s="425" t="b">
        <f t="shared" si="216"/>
        <v>0</v>
      </c>
      <c r="CO114" s="425" t="b">
        <f t="shared" si="217"/>
        <v>0</v>
      </c>
      <c r="CP114" s="425" t="b">
        <f t="shared" si="218"/>
        <v>0</v>
      </c>
      <c r="CQ114" s="425" t="b">
        <f t="shared" si="219"/>
        <v>0</v>
      </c>
      <c r="CR114" s="425" t="b">
        <f t="shared" si="220"/>
        <v>0</v>
      </c>
      <c r="CS114" s="425" t="b">
        <f t="shared" si="221"/>
        <v>0</v>
      </c>
      <c r="CT114" s="425" t="b">
        <f t="shared" si="222"/>
        <v>0</v>
      </c>
      <c r="CU114" s="425" t="b">
        <f t="shared" si="223"/>
        <v>0</v>
      </c>
      <c r="CV114" s="425" t="b">
        <f t="shared" si="224"/>
        <v>0</v>
      </c>
      <c r="CW114" s="425" t="b">
        <f t="shared" si="225"/>
        <v>0</v>
      </c>
      <c r="CX114" s="425" t="b">
        <f t="shared" si="226"/>
        <v>0</v>
      </c>
      <c r="CY114" s="425" t="b">
        <f t="shared" si="227"/>
        <v>0</v>
      </c>
      <c r="CZ114" s="425" t="b">
        <f t="shared" si="228"/>
        <v>0</v>
      </c>
      <c r="DA114" s="425" t="b">
        <f t="shared" si="229"/>
        <v>0</v>
      </c>
      <c r="DB114" s="425" t="b">
        <f t="shared" si="230"/>
        <v>0</v>
      </c>
      <c r="DC114" s="425"/>
      <c r="DD114" s="425">
        <f t="shared" si="261"/>
        <v>0</v>
      </c>
      <c r="DE114" s="425" t="str">
        <f t="shared" si="231"/>
        <v>-</v>
      </c>
      <c r="DF114" s="425">
        <f t="shared" si="232"/>
        <v>0</v>
      </c>
      <c r="DG114" s="425">
        <f t="shared" si="262"/>
        <v>0</v>
      </c>
      <c r="DH114" s="425">
        <f t="shared" si="233"/>
        <v>14</v>
      </c>
      <c r="DI114" s="425"/>
      <c r="DJ114" s="425" t="e">
        <f t="shared" si="263"/>
        <v>#N/A</v>
      </c>
      <c r="DK114" s="425">
        <f t="shared" si="180"/>
        <v>5.35</v>
      </c>
      <c r="DL114" s="425">
        <f t="shared" si="181"/>
        <v>7.29</v>
      </c>
      <c r="DM114" s="425">
        <f t="shared" si="182"/>
        <v>8.15</v>
      </c>
      <c r="DN114" s="425">
        <f t="shared" si="183"/>
        <v>9.25</v>
      </c>
      <c r="DO114" s="425">
        <f t="shared" si="184"/>
        <v>9.75</v>
      </c>
      <c r="DP114" s="425">
        <f t="shared" si="185"/>
        <v>10.5</v>
      </c>
      <c r="DQ114" s="425">
        <f t="shared" si="186"/>
        <v>11.06</v>
      </c>
      <c r="DR114" s="425">
        <f t="shared" si="187"/>
        <v>11.46</v>
      </c>
      <c r="DS114" s="425">
        <f t="shared" si="188"/>
        <v>11.67</v>
      </c>
      <c r="DT114" s="425">
        <f t="shared" si="189"/>
        <v>11.79</v>
      </c>
      <c r="DU114" s="425">
        <f t="shared" si="190"/>
        <v>12.07</v>
      </c>
      <c r="DV114" s="425">
        <f t="shared" si="191"/>
        <v>12.23</v>
      </c>
      <c r="DW114" s="425" t="e">
        <f t="shared" si="192"/>
        <v>#N/A</v>
      </c>
      <c r="DX114" s="425" t="e">
        <f t="shared" si="193"/>
        <v>#N/A</v>
      </c>
      <c r="DY114" s="425" t="e">
        <f t="shared" si="194"/>
        <v>#N/A</v>
      </c>
      <c r="DZ114" s="425" t="e">
        <f t="shared" si="195"/>
        <v>#N/A</v>
      </c>
      <c r="EA114" s="425" t="e">
        <f t="shared" si="196"/>
        <v>#N/A</v>
      </c>
      <c r="EB114" s="425" t="e">
        <f t="shared" si="197"/>
        <v>#N/A</v>
      </c>
      <c r="EC114" s="425" t="e">
        <f t="shared" si="198"/>
        <v>#N/A</v>
      </c>
      <c r="ED114" s="425" t="e">
        <f t="shared" si="199"/>
        <v>#N/A</v>
      </c>
      <c r="EE114" s="425" t="e">
        <f t="shared" si="200"/>
        <v>#N/A</v>
      </c>
      <c r="EF114" s="425" t="e">
        <f t="shared" si="201"/>
        <v>#N/A</v>
      </c>
      <c r="EG114" s="425" t="e">
        <f t="shared" si="202"/>
        <v>#N/A</v>
      </c>
      <c r="EH114" s="425" t="e">
        <f t="shared" si="203"/>
        <v>#N/A</v>
      </c>
      <c r="EI114" s="425" t="e">
        <f t="shared" si="204"/>
        <v>#N/A</v>
      </c>
      <c r="EJ114" s="425"/>
      <c r="EK114" s="425"/>
      <c r="EL114" s="425" t="e">
        <f t="shared" si="234"/>
        <v>#N/A</v>
      </c>
      <c r="EM114" s="425">
        <f t="shared" si="264"/>
        <v>0</v>
      </c>
      <c r="EN114" s="425">
        <f t="shared" si="236"/>
        <v>0.9</v>
      </c>
      <c r="EO114" s="425">
        <f t="shared" si="237"/>
        <v>1.8</v>
      </c>
      <c r="EP114" s="425">
        <f t="shared" si="238"/>
        <v>2.7</v>
      </c>
      <c r="EQ114" s="425">
        <f t="shared" si="239"/>
        <v>3.6</v>
      </c>
      <c r="ER114" s="425">
        <f t="shared" si="240"/>
        <v>5.4</v>
      </c>
      <c r="ES114" s="425">
        <f t="shared" si="241"/>
        <v>7.2</v>
      </c>
      <c r="ET114" s="425">
        <f t="shared" si="242"/>
        <v>9</v>
      </c>
      <c r="EU114" s="425">
        <f t="shared" si="243"/>
        <v>10.1</v>
      </c>
      <c r="EV114" s="425">
        <f t="shared" si="244"/>
        <v>10.8</v>
      </c>
      <c r="EW114" s="425">
        <f t="shared" si="245"/>
        <v>12.6</v>
      </c>
      <c r="EX114" s="425">
        <f t="shared" si="246"/>
        <v>14.19</v>
      </c>
      <c r="EY114" s="425" t="e">
        <f t="shared" si="247"/>
        <v>#N/A</v>
      </c>
      <c r="EZ114" s="425" t="e">
        <f t="shared" si="248"/>
        <v>#N/A</v>
      </c>
      <c r="FA114" s="425" t="e">
        <f t="shared" si="249"/>
        <v>#N/A</v>
      </c>
      <c r="FB114" s="425" t="e">
        <f t="shared" si="250"/>
        <v>#N/A</v>
      </c>
      <c r="FC114" s="425" t="e">
        <f t="shared" si="251"/>
        <v>#N/A</v>
      </c>
      <c r="FD114" s="425" t="e">
        <f t="shared" si="252"/>
        <v>#N/A</v>
      </c>
      <c r="FE114" s="425" t="e">
        <f t="shared" si="253"/>
        <v>#N/A</v>
      </c>
      <c r="FF114" s="425" t="e">
        <f t="shared" si="254"/>
        <v>#N/A</v>
      </c>
      <c r="FG114" s="425" t="e">
        <f t="shared" si="255"/>
        <v>#N/A</v>
      </c>
      <c r="FH114" s="425" t="e">
        <f t="shared" si="256"/>
        <v>#N/A</v>
      </c>
      <c r="FI114" s="425" t="e">
        <f t="shared" si="257"/>
        <v>#N/A</v>
      </c>
      <c r="FJ114" s="425" t="e">
        <f t="shared" si="258"/>
        <v>#N/A</v>
      </c>
      <c r="FK114" s="425" t="e">
        <f t="shared" si="259"/>
        <v>#N/A</v>
      </c>
    </row>
    <row r="115" spans="1:199" x14ac:dyDescent="0.25">
      <c r="A115" s="374" t="str">
        <f t="shared" si="206"/>
        <v xml:space="preserve">  </v>
      </c>
      <c r="B115" s="377" t="str">
        <f>IFERROR(IF(ISERROR(CP144),"",CONCATENATE(ROUND(X_SHIFT_BP+IF(Tools!B$97&lt;=Tools!$D$47/2,-BF20,BF20),3),",",ROUND(WLS*$AP56,3)," ")),"")</f>
        <v/>
      </c>
      <c r="C115" s="377" t="str">
        <f>IFERROR(IF(ISERROR(CQ144),"",CONCATENATE(ROUND(X_SHIFT_BP+IF(Tools!C$97&lt;=Tools!$D$47/2,-BG20,BG20),3),",",ROUND(WLS*$AP56,3)," ")),"")</f>
        <v/>
      </c>
      <c r="D115" s="377" t="str">
        <f>IFERROR(IF(ISERROR(CR144),"",CONCATENATE(ROUND(X_SHIFT_BP+IF(Tools!D$97&lt;=Tools!$D$47/2,-BH20,BH20),3),",",ROUND(WLS*$AP56,3)," ")),"")</f>
        <v/>
      </c>
      <c r="E115" s="377" t="str">
        <f>IFERROR(IF(ISERROR(CS144),"",CONCATENATE(ROUND(X_SHIFT_BP+IF(Tools!E$97&lt;=Tools!$D$47/2,-BI20,BI20),3),",",ROUND(WLS*$AP56,3)," ")),"")</f>
        <v/>
      </c>
      <c r="F115" s="377" t="str">
        <f>IFERROR(IF(ISERROR(CT144),"",CONCATENATE(ROUND(X_SHIFT_BP+IF(Tools!F$97&lt;=Tools!$D$47/2,-BJ20,BJ20),3),",",ROUND(WLS*$AP56,3)," ")),"")</f>
        <v/>
      </c>
      <c r="G115" s="377" t="str">
        <f>IFERROR(IF(ISERROR(CU144),"",CONCATENATE(ROUND(X_SHIFT_BP+IF(Tools!G$97&lt;=Tools!$D$47/2,-BK20,BK20),3),",",ROUND(WLS*$AP56,3)," ")),"")</f>
        <v/>
      </c>
      <c r="H115" s="377" t="str">
        <f>IFERROR(IF(ISERROR(CV144),"",CONCATENATE(ROUND(X_SHIFT_BP+IF(Tools!H$97&lt;=Tools!$D$47/2,-BL20,BL20),3),",",ROUND(WLS*$AP56,3)," ")),"")</f>
        <v/>
      </c>
      <c r="I115" s="377" t="str">
        <f>IFERROR(IF(ISERROR(CW144),"",CONCATENATE(ROUND(X_SHIFT_BP+IF(Tools!I$97&lt;=Tools!$D$47/2,-BM20,BM20),3),",",ROUND(WLS*$AP56,3)," ")),"")</f>
        <v/>
      </c>
      <c r="J115" s="377" t="str">
        <f>IFERROR(IF(ISERROR(CX144),"",CONCATENATE(ROUND(X_SHIFT_BP+IF(Tools!J$97&lt;=Tools!$D$47/2,-BN20,BN20),3),",",ROUND(WLS*$AP56,3)," ")),"")</f>
        <v/>
      </c>
      <c r="K115" s="377" t="str">
        <f>IFERROR(IF(ISERROR(CY144),"",CONCATENATE(ROUND(X_SHIFT_BP+IF(Tools!K$97&lt;=Tools!$D$47/2,-BO20,BO20),3),",",ROUND(WLS*$AP56,3)," ")),"")</f>
        <v/>
      </c>
      <c r="L115" s="377" t="str">
        <f>IFERROR(IF(ISERROR(CZ144),"",CONCATENATE(ROUND(X_SHIFT_BP+IF(Tools!L$97&lt;=Tools!$D$47/2,-BP20,BP20),3),",",ROUND(WLS*$AP56,3)," ")),"")</f>
        <v/>
      </c>
      <c r="M115" s="377" t="str">
        <f>IFERROR(IF(ISERROR(DA144),"",CONCATENATE(ROUND(X_SHIFT_BP+IF(Tools!M$97&lt;=Tools!$D$47/2,-BQ20,BQ20),3),",",ROUND(WLS*$AP56,3)," ")),"")</f>
        <v/>
      </c>
      <c r="N115" s="377" t="str">
        <f>IFERROR(IF(ISERROR(DB144),"",CONCATENATE(ROUND(X_SHIFT_BP+IF(Tools!N$97&lt;=Tools!$D$47/2,-BR20,BR20),3),",",ROUND(WLS*$AP56,3)," ")),"")</f>
        <v/>
      </c>
      <c r="O115" s="377" t="str">
        <f>IFERROR(IF(ISERROR(DC144),"",CONCATENATE(ROUND(X_SHIFT_BP+IF(Tools!O$97&lt;=Tools!$D$47/2,-BS20,BS20),3),",",ROUND(WLS*$AP56,3)," ")),"")</f>
        <v/>
      </c>
      <c r="P115" s="377" t="str">
        <f>IFERROR(IF(ISERROR(DD144),"",CONCATENATE(ROUND(X_SHIFT_BP+IF(Tools!P$97&lt;=Tools!$D$47/2,-BT20,BT20),3),",",ROUND(WLS*$AP56,3)," ")),"")</f>
        <v/>
      </c>
      <c r="Q115" s="377" t="str">
        <f>IFERROR(IF(ISERROR(DE144),"",CONCATENATE(ROUND(X_SHIFT_BP+IF(Tools!Q$97&lt;=Tools!$D$47/2,-BU20,BU20),3),",",ROUND(WLS*$AP56,3)," ")),"")</f>
        <v/>
      </c>
      <c r="R115" s="377" t="str">
        <f>IFERROR(IF(ISERROR(DF144),"",CONCATENATE(ROUND(X_SHIFT_BP+IF(Tools!R$97&lt;=Tools!$D$47/2,-BV20,BV20),3),",",ROUND(WLS*$AP56,3)," ")),"")</f>
        <v/>
      </c>
      <c r="S115" s="377" t="str">
        <f>IFERROR(IF(ISERROR(DG144),"",CONCATENATE(ROUND(X_SHIFT_BP+IF(Tools!S$97&lt;=Tools!$D$47/2,-BW20,BW20),3),",",ROUND(WLS*$AP56,3)," ")),"")</f>
        <v/>
      </c>
      <c r="T115" s="377" t="str">
        <f>IFERROR(IF(ISERROR(DH144),"",CONCATENATE(ROUND(X_SHIFT_BP+IF(Tools!T$97&lt;=Tools!$D$47/2,-BX20,BX20),3),",",ROUND(WLS*$AP56,3)," ")),"")</f>
        <v/>
      </c>
      <c r="U115" s="377" t="str">
        <f>IFERROR(IF(ISERROR(DI144),"",CONCATENATE(ROUND(X_SHIFT_BP+IF(Tools!U$97&lt;=Tools!$D$47/2,-BY20,BY20),3),",",ROUND(WLS*$AP56,3)," ")),"")</f>
        <v/>
      </c>
      <c r="V115" s="377" t="str">
        <f>IFERROR(IF(ISERROR(DJ144),"",CONCATENATE(ROUND(X_SHIFT_BP+IF(Tools!V$97&lt;=Tools!$D$47/2,-BZ20,BZ20),3),",",ROUND(WLS*$AP56,3)," ")),"")</f>
        <v/>
      </c>
      <c r="W115" s="377" t="str">
        <f>IFERROR(IF(ISERROR(DK144),"",CONCATENATE(ROUND(X_SHIFT_BP+IF(Tools!W$97&lt;=Tools!$D$47/2,-CA20,CA20),3),",",ROUND(WLS*$AP56,3)," ")),"")</f>
        <v/>
      </c>
      <c r="X115" s="377" t="str">
        <f>IFERROR(IF(ISERROR(DL144),"",CONCATENATE(ROUND(X_SHIFT_BP+IF(Tools!X$97&lt;=Tools!$D$47/2,-CB20,CB20),3),",",ROUND(WLS*$AP56,3)," ")),"")</f>
        <v/>
      </c>
      <c r="Y115" s="377" t="str">
        <f>IFERROR(IF(ISERROR(DM144),"",CONCATENATE(ROUND(X_SHIFT_BP+IF(Tools!Y$97&lt;=Tools!$D$47/2,-CC20,CC20),3),",",ROUND(WLS*$AP56,3)," ")),"")</f>
        <v/>
      </c>
      <c r="Z115" s="377" t="str">
        <f>IFERROR(IF(ISERROR(DN144),"",CONCATENATE(ROUND(X_SHIFT_BP+IF(Tools!Z$97&lt;=Tools!$D$47/2,-CD20,CD20),3),",",ROUND(WLS*$AP56,3)," ")),"")</f>
        <v/>
      </c>
      <c r="AA115" s="129">
        <v>12</v>
      </c>
      <c r="AB115" s="245" t="str">
        <f t="shared" si="260"/>
        <v xml:space="preserve">Spline </v>
      </c>
      <c r="AC115" s="129" t="str">
        <v/>
      </c>
      <c r="AD115" s="245" t="str">
        <v xml:space="preserve">159.235,0 </v>
      </c>
      <c r="AE115" s="245" t="str">
        <v xml:space="preserve">161.085,0.9 </v>
      </c>
      <c r="AF115" s="245" t="str">
        <v xml:space="preserve">162.235,1.8 </v>
      </c>
      <c r="AG115" s="245" t="str">
        <v xml:space="preserve">162.975,2.7 </v>
      </c>
      <c r="AH115" s="245" t="str">
        <v xml:space="preserve">163.515,3.6 </v>
      </c>
      <c r="AI115" s="245" t="str">
        <v xml:space="preserve">164.345,5.4 </v>
      </c>
      <c r="AJ115" s="245" t="str">
        <v xml:space="preserve">165.075,7.2 </v>
      </c>
      <c r="AK115" s="245" t="str">
        <v xml:space="preserve">165.695,9 </v>
      </c>
      <c r="AL115" s="245" t="str">
        <v xml:space="preserve">166.035,10.1 </v>
      </c>
      <c r="AM115" s="245" t="str">
        <v xml:space="preserve">166.235,10.8 </v>
      </c>
      <c r="AN115" s="245" t="str">
        <v xml:space="preserve">166.725,12.6 </v>
      </c>
      <c r="AO115" s="245" t="str">
        <v xml:space="preserve">167.585,14.19 </v>
      </c>
      <c r="AP115" s="245" t="str">
        <v/>
      </c>
      <c r="AQ115" s="245" t="str">
        <v/>
      </c>
      <c r="AR115" s="245" t="str">
        <v/>
      </c>
      <c r="AS115" s="245" t="str">
        <v/>
      </c>
      <c r="AT115" s="245" t="str">
        <v/>
      </c>
      <c r="AU115" s="245" t="str">
        <v/>
      </c>
      <c r="AV115" s="245" t="str">
        <v/>
      </c>
      <c r="AW115" s="245" t="str">
        <v/>
      </c>
      <c r="AX115" s="245" t="str">
        <v/>
      </c>
      <c r="AY115" s="245" t="str">
        <v/>
      </c>
      <c r="AZ115" s="245" t="str">
        <v/>
      </c>
      <c r="BA115" s="245" t="str">
        <v/>
      </c>
      <c r="BB115" s="245" t="str">
        <v/>
      </c>
      <c r="BC115" s="376">
        <f>Tools!AD20</f>
        <v>15</v>
      </c>
      <c r="BD115" s="376">
        <f>IFERROR(Tools!AD20*STN_GAP,"")</f>
        <v>98.774999999999991</v>
      </c>
      <c r="BE115" s="496">
        <f>IFERROR(IF(ISNUMBER(DE115),NA(),IF(AND($DF115&lt;&gt;0,$DG115&gt;BE$97),NA(),IF($BD115&gt;LBP/2,-(-Tools!AE20),-Tools!AE20))),NA())</f>
        <v>3.8</v>
      </c>
      <c r="BF115" s="376">
        <f>IFERROR(IF(AND($DF115&lt;&gt;0,$DG115&gt;BF$97),NA(),IF($BD115&gt;LBP/2,-(-Tools!AF20),-Tools!AF20)),NA())</f>
        <v>5.65</v>
      </c>
      <c r="BG115" s="376">
        <f>IFERROR(IF(AND($DF115&lt;&gt;0,$DG115&gt;BG$97),NA(),IF($BD115&gt;LBP/2,-(-Tools!AG20),-Tools!AG20)),NA())</f>
        <v>6.8</v>
      </c>
      <c r="BH115" s="376">
        <f>IFERROR(IF(AND($DF115&lt;&gt;0,$DG115&gt;BH$97),NA(),IF($BD115&gt;LBP/2,-(-Tools!AH20),-Tools!AH20)),NA())</f>
        <v>7.54</v>
      </c>
      <c r="BI115" s="376">
        <f>IFERROR(IF(AND($DF115&lt;&gt;0,$DG115&gt;BI$97),NA(),IF($BD115&gt;LBP/2,-(-Tools!AI20),-Tools!AI20)),NA())</f>
        <v>8.08</v>
      </c>
      <c r="BJ115" s="376">
        <f>IFERROR(IF(AND($DF115&lt;&gt;0,$DG115&gt;BJ$97),NA(),IF($BD115&gt;LBP/2,-(-Tools!AJ20),-Tools!AJ20)),NA())</f>
        <v>8.91</v>
      </c>
      <c r="BK115" s="376">
        <f>IFERROR(IF(AND($DF115&lt;&gt;0,$DG115&gt;BK$97),NA(),IF($BD115&gt;LBP/2,-(-Tools!AK20),-Tools!AK20)),NA())</f>
        <v>9.64</v>
      </c>
      <c r="BL115" s="376">
        <f>IFERROR(IF(AND($DF115&lt;&gt;0,$DG115&gt;BL$97),NA(),IF($BD115&gt;LBP/2,-(-Tools!AL20),-Tools!AL20)),NA())</f>
        <v>10.26</v>
      </c>
      <c r="BM115" s="376">
        <f>IFERROR(IF(AND($DF115&lt;&gt;0,$DG115&gt;BM$97),NA(),IF($BD115&gt;LBP/2,-(-Tools!AM20),-Tools!AM20)),NA())</f>
        <v>10.6</v>
      </c>
      <c r="BN115" s="376">
        <f>IFERROR(IF(AND($DF115&lt;&gt;0,$DG115&gt;BN$97),NA(),IF($BD115&gt;LBP/2,-(-Tools!AN20),-Tools!AN20)),NA())</f>
        <v>10.8</v>
      </c>
      <c r="BO115" s="376">
        <f>IFERROR(IF(AND($DF115&lt;&gt;0,$DG115&gt;BO$97),NA(),IF($BD115&gt;LBP/2,-(-Tools!AO20),-Tools!AO20)),NA())</f>
        <v>11.29</v>
      </c>
      <c r="BP115" s="376">
        <f>IFERROR(IF(AND($DF115&lt;&gt;0,$DG115&gt;BP$97),NA(),IF($BD115&gt;LBP/2,-(-Tools!AP20),-Tools!AP20)),NA())</f>
        <v>12.15</v>
      </c>
      <c r="BQ115" s="376" t="e">
        <f>IFERROR(IF(AND($DF115&lt;&gt;0,$DG115&gt;BQ$97),NA(),IF($BD115&gt;LBP/2,-(-Tools!AQ20),-Tools!AQ20)),NA())</f>
        <v>#N/A</v>
      </c>
      <c r="BR115" s="376" t="e">
        <f>IFERROR(IF(AND($DF115&lt;&gt;0,$DG115&gt;BR$97),NA(),IF($BD115&gt;LBP/2,-(-Tools!AR20),-Tools!AR20)),NA())</f>
        <v>#N/A</v>
      </c>
      <c r="BS115" s="376" t="e">
        <f>IFERROR(IF(AND($DF115&lt;&gt;0,$DG115&gt;BS$97),NA(),IF($BD115&gt;LBP/2,-(-Tools!AS20),-Tools!AS20)),NA())</f>
        <v>#N/A</v>
      </c>
      <c r="BT115" s="376" t="e">
        <f>IFERROR(IF(AND($DF115&lt;&gt;0,$DG115&gt;BT$97),NA(),IF($BD115&gt;LBP/2,-(-Tools!AT20),-Tools!AT20)),NA())</f>
        <v>#N/A</v>
      </c>
      <c r="BU115" s="376" t="e">
        <f>IFERROR(IF(AND($DF115&lt;&gt;0,$DG115&gt;BU$97),NA(),IF($BD115&gt;LBP/2,-(-Tools!AU20),-Tools!AU20)),NA())</f>
        <v>#N/A</v>
      </c>
      <c r="BV115" s="376" t="e">
        <f>IFERROR(IF(AND($DF115&lt;&gt;0,$DG115&gt;BV$97),NA(),IF($BD115&gt;LBP/2,-(-Tools!AV20),-Tools!AV20)),NA())</f>
        <v>#N/A</v>
      </c>
      <c r="BW115" s="376" t="e">
        <f>IFERROR(IF(AND($DF115&lt;&gt;0,$DG115&gt;BW$97),NA(),IF($BD115&gt;LBP/2,-(-Tools!AW20),-Tools!AW20)),NA())</f>
        <v>#N/A</v>
      </c>
      <c r="BX115" s="376" t="e">
        <f>IFERROR(IF(AND($DF115&lt;&gt;0,$DG115&gt;BX$97),NA(),IF($BD115&gt;LBP/2,-(-Tools!AX20),-Tools!AX20)),NA())</f>
        <v>#N/A</v>
      </c>
      <c r="BY115" s="376" t="e">
        <f>IFERROR(IF(AND($DF115&lt;&gt;0,$DG115&gt;BY$97),NA(),IF($BD115&gt;LBP/2,-(-Tools!AY20),-Tools!AY20)),NA())</f>
        <v>#N/A</v>
      </c>
      <c r="BZ115" s="376" t="e">
        <f>IFERROR(IF(AND($DF115&lt;&gt;0,$DG115&gt;BZ$97),NA(),IF($BD115&gt;LBP/2,-(-Tools!AZ20),-Tools!AZ20)),NA())</f>
        <v>#N/A</v>
      </c>
      <c r="CA115" s="376" t="e">
        <f>IFERROR(IF(AND($DF115&lt;&gt;0,$DG115&gt;CA$97),NA(),IF($BD115&gt;LBP/2,-(-Tools!BA20),-Tools!BA20)),NA())</f>
        <v>#N/A</v>
      </c>
      <c r="CB115" s="376" t="e">
        <f>IFERROR(IF(AND($DF115&lt;&gt;0,$DG115&gt;CB$97),NA(),IF($BD115&gt;LBP/2,-(-Tools!BB20),-Tools!BB20)),NA())</f>
        <v>#N/A</v>
      </c>
      <c r="CC115" s="376" t="e">
        <f>IFERROR(IF(AND($DF115&lt;&gt;0,$DG115&gt;CC$97),NA(),IF($BD115&gt;LBP/2,-(-Tools!BC20),-Tools!BC20)),NA())</f>
        <v>#N/A</v>
      </c>
      <c r="CE115" s="425" t="b">
        <f t="shared" si="207"/>
        <v>0</v>
      </c>
      <c r="CF115" s="425" t="b">
        <f t="shared" si="208"/>
        <v>0</v>
      </c>
      <c r="CG115" s="425" t="b">
        <f t="shared" si="209"/>
        <v>0</v>
      </c>
      <c r="CH115" s="425" t="b">
        <f t="shared" si="210"/>
        <v>0</v>
      </c>
      <c r="CI115" s="425" t="b">
        <f t="shared" si="211"/>
        <v>0</v>
      </c>
      <c r="CJ115" s="425" t="b">
        <f t="shared" si="212"/>
        <v>0</v>
      </c>
      <c r="CK115" s="425" t="b">
        <f t="shared" si="213"/>
        <v>0</v>
      </c>
      <c r="CL115" s="425" t="b">
        <f t="shared" si="214"/>
        <v>0</v>
      </c>
      <c r="CM115" s="425" t="b">
        <f t="shared" si="215"/>
        <v>0</v>
      </c>
      <c r="CN115" s="425" t="b">
        <f t="shared" si="216"/>
        <v>0</v>
      </c>
      <c r="CO115" s="425" t="b">
        <f t="shared" si="217"/>
        <v>0</v>
      </c>
      <c r="CP115" s="425" t="b">
        <f t="shared" si="218"/>
        <v>0</v>
      </c>
      <c r="CQ115" s="425" t="b">
        <f t="shared" si="219"/>
        <v>0</v>
      </c>
      <c r="CR115" s="425" t="b">
        <f t="shared" si="220"/>
        <v>0</v>
      </c>
      <c r="CS115" s="425" t="b">
        <f t="shared" si="221"/>
        <v>0</v>
      </c>
      <c r="CT115" s="425" t="b">
        <f t="shared" si="222"/>
        <v>0</v>
      </c>
      <c r="CU115" s="425" t="b">
        <f t="shared" si="223"/>
        <v>0</v>
      </c>
      <c r="CV115" s="425" t="b">
        <f t="shared" si="224"/>
        <v>0</v>
      </c>
      <c r="CW115" s="425" t="b">
        <f t="shared" si="225"/>
        <v>0</v>
      </c>
      <c r="CX115" s="425" t="b">
        <f t="shared" si="226"/>
        <v>0</v>
      </c>
      <c r="CY115" s="425" t="b">
        <f t="shared" si="227"/>
        <v>0</v>
      </c>
      <c r="CZ115" s="425" t="b">
        <f t="shared" si="228"/>
        <v>0</v>
      </c>
      <c r="DA115" s="425" t="b">
        <f t="shared" si="229"/>
        <v>0</v>
      </c>
      <c r="DB115" s="425" t="b">
        <f t="shared" si="230"/>
        <v>0</v>
      </c>
      <c r="DC115" s="425"/>
      <c r="DD115" s="425">
        <f t="shared" si="261"/>
        <v>0</v>
      </c>
      <c r="DE115" s="425" t="str">
        <f t="shared" si="231"/>
        <v>-</v>
      </c>
      <c r="DF115" s="425">
        <f t="shared" si="232"/>
        <v>0</v>
      </c>
      <c r="DG115" s="425">
        <f t="shared" si="262"/>
        <v>0</v>
      </c>
      <c r="DH115" s="425">
        <f t="shared" si="233"/>
        <v>15</v>
      </c>
      <c r="DI115" s="425"/>
      <c r="DJ115" s="425" t="e">
        <f t="shared" si="263"/>
        <v>#N/A</v>
      </c>
      <c r="DK115" s="425">
        <f t="shared" si="180"/>
        <v>3.8</v>
      </c>
      <c r="DL115" s="425">
        <f t="shared" si="181"/>
        <v>5.65</v>
      </c>
      <c r="DM115" s="425">
        <f t="shared" si="182"/>
        <v>6.8</v>
      </c>
      <c r="DN115" s="425">
        <f t="shared" si="183"/>
        <v>7.54</v>
      </c>
      <c r="DO115" s="425">
        <f t="shared" si="184"/>
        <v>8.08</v>
      </c>
      <c r="DP115" s="425">
        <f t="shared" si="185"/>
        <v>8.91</v>
      </c>
      <c r="DQ115" s="425">
        <f t="shared" si="186"/>
        <v>9.64</v>
      </c>
      <c r="DR115" s="425">
        <f t="shared" si="187"/>
        <v>10.26</v>
      </c>
      <c r="DS115" s="425">
        <f t="shared" si="188"/>
        <v>10.6</v>
      </c>
      <c r="DT115" s="425">
        <f t="shared" si="189"/>
        <v>10.8</v>
      </c>
      <c r="DU115" s="425">
        <f t="shared" si="190"/>
        <v>11.29</v>
      </c>
      <c r="DV115" s="425">
        <f t="shared" si="191"/>
        <v>12.15</v>
      </c>
      <c r="DW115" s="425" t="e">
        <f t="shared" si="192"/>
        <v>#N/A</v>
      </c>
      <c r="DX115" s="425" t="e">
        <f t="shared" si="193"/>
        <v>#N/A</v>
      </c>
      <c r="DY115" s="425" t="e">
        <f t="shared" si="194"/>
        <v>#N/A</v>
      </c>
      <c r="DZ115" s="425" t="e">
        <f t="shared" si="195"/>
        <v>#N/A</v>
      </c>
      <c r="EA115" s="425" t="e">
        <f t="shared" si="196"/>
        <v>#N/A</v>
      </c>
      <c r="EB115" s="425" t="e">
        <f t="shared" si="197"/>
        <v>#N/A</v>
      </c>
      <c r="EC115" s="425" t="e">
        <f t="shared" si="198"/>
        <v>#N/A</v>
      </c>
      <c r="ED115" s="425" t="e">
        <f t="shared" si="199"/>
        <v>#N/A</v>
      </c>
      <c r="EE115" s="425" t="e">
        <f t="shared" si="200"/>
        <v>#N/A</v>
      </c>
      <c r="EF115" s="425" t="e">
        <f t="shared" si="201"/>
        <v>#N/A</v>
      </c>
      <c r="EG115" s="425" t="e">
        <f t="shared" si="202"/>
        <v>#N/A</v>
      </c>
      <c r="EH115" s="425" t="e">
        <f t="shared" si="203"/>
        <v>#N/A</v>
      </c>
      <c r="EI115" s="425" t="e">
        <f t="shared" si="204"/>
        <v>#N/A</v>
      </c>
      <c r="EJ115" s="425"/>
      <c r="EK115" s="425"/>
      <c r="EL115" s="425" t="e">
        <f t="shared" si="234"/>
        <v>#N/A</v>
      </c>
      <c r="EM115" s="425">
        <f t="shared" si="264"/>
        <v>0</v>
      </c>
      <c r="EN115" s="425">
        <f t="shared" si="236"/>
        <v>0.9</v>
      </c>
      <c r="EO115" s="425">
        <f t="shared" si="237"/>
        <v>1.8</v>
      </c>
      <c r="EP115" s="425">
        <f t="shared" si="238"/>
        <v>2.7</v>
      </c>
      <c r="EQ115" s="425">
        <f t="shared" si="239"/>
        <v>3.6</v>
      </c>
      <c r="ER115" s="425">
        <f t="shared" si="240"/>
        <v>5.4</v>
      </c>
      <c r="ES115" s="425">
        <f t="shared" si="241"/>
        <v>7.2</v>
      </c>
      <c r="ET115" s="425">
        <f t="shared" si="242"/>
        <v>9</v>
      </c>
      <c r="EU115" s="425">
        <f t="shared" si="243"/>
        <v>10.1</v>
      </c>
      <c r="EV115" s="425">
        <f t="shared" si="244"/>
        <v>10.8</v>
      </c>
      <c r="EW115" s="425">
        <f t="shared" si="245"/>
        <v>12.6</v>
      </c>
      <c r="EX115" s="425">
        <f t="shared" si="246"/>
        <v>14.19</v>
      </c>
      <c r="EY115" s="425" t="e">
        <f t="shared" si="247"/>
        <v>#N/A</v>
      </c>
      <c r="EZ115" s="425" t="e">
        <f t="shared" si="248"/>
        <v>#N/A</v>
      </c>
      <c r="FA115" s="425" t="e">
        <f t="shared" si="249"/>
        <v>#N/A</v>
      </c>
      <c r="FB115" s="425" t="e">
        <f t="shared" si="250"/>
        <v>#N/A</v>
      </c>
      <c r="FC115" s="425" t="e">
        <f t="shared" si="251"/>
        <v>#N/A</v>
      </c>
      <c r="FD115" s="425" t="e">
        <f t="shared" si="252"/>
        <v>#N/A</v>
      </c>
      <c r="FE115" s="425" t="e">
        <f t="shared" si="253"/>
        <v>#N/A</v>
      </c>
      <c r="FF115" s="425" t="e">
        <f t="shared" si="254"/>
        <v>#N/A</v>
      </c>
      <c r="FG115" s="425" t="e">
        <f t="shared" si="255"/>
        <v>#N/A</v>
      </c>
      <c r="FH115" s="425" t="e">
        <f t="shared" si="256"/>
        <v>#N/A</v>
      </c>
      <c r="FI115" s="425" t="e">
        <f t="shared" si="257"/>
        <v>#N/A</v>
      </c>
      <c r="FJ115" s="425" t="e">
        <f t="shared" si="258"/>
        <v>#N/A</v>
      </c>
      <c r="FK115" s="425" t="e">
        <f t="shared" si="259"/>
        <v>#N/A</v>
      </c>
    </row>
    <row r="116" spans="1:199" x14ac:dyDescent="0.25">
      <c r="A116" s="374" t="str">
        <f t="shared" si="206"/>
        <v xml:space="preserve">  </v>
      </c>
      <c r="B116" s="377" t="str">
        <f>IFERROR(IF(ISERROR(CP145),"",CONCATENATE(ROUND(X_SHIFT_BP+IF(Tools!B$97&lt;=Tools!$D$47/2,-BF21,BF21),3),",",ROUND(WLS*$AP57,3)," ")),"")</f>
        <v/>
      </c>
      <c r="C116" s="377" t="str">
        <f>IFERROR(IF(ISERROR(CQ145),"",CONCATENATE(ROUND(X_SHIFT_BP+IF(Tools!C$97&lt;=Tools!$D$47/2,-BG21,BG21),3),",",ROUND(WLS*$AP57,3)," ")),"")</f>
        <v/>
      </c>
      <c r="D116" s="377" t="str">
        <f>IFERROR(IF(ISERROR(CR145),"",CONCATENATE(ROUND(X_SHIFT_BP+IF(Tools!D$97&lt;=Tools!$D$47/2,-BH21,BH21),3),",",ROUND(WLS*$AP57,3)," ")),"")</f>
        <v/>
      </c>
      <c r="E116" s="377" t="str">
        <f>IFERROR(IF(ISERROR(CS145),"",CONCATENATE(ROUND(X_SHIFT_BP+IF(Tools!E$97&lt;=Tools!$D$47/2,-BI21,BI21),3),",",ROUND(WLS*$AP57,3)," ")),"")</f>
        <v/>
      </c>
      <c r="F116" s="377" t="str">
        <f>IFERROR(IF(ISERROR(CT145),"",CONCATENATE(ROUND(X_SHIFT_BP+IF(Tools!F$97&lt;=Tools!$D$47/2,-BJ21,BJ21),3),",",ROUND(WLS*$AP57,3)," ")),"")</f>
        <v/>
      </c>
      <c r="G116" s="377" t="str">
        <f>IFERROR(IF(ISERROR(CU145),"",CONCATENATE(ROUND(X_SHIFT_BP+IF(Tools!G$97&lt;=Tools!$D$47/2,-BK21,BK21),3),",",ROUND(WLS*$AP57,3)," ")),"")</f>
        <v/>
      </c>
      <c r="H116" s="377" t="str">
        <f>IFERROR(IF(ISERROR(CV145),"",CONCATENATE(ROUND(X_SHIFT_BP+IF(Tools!H$97&lt;=Tools!$D$47/2,-BL21,BL21),3),",",ROUND(WLS*$AP57,3)," ")),"")</f>
        <v/>
      </c>
      <c r="I116" s="377" t="str">
        <f>IFERROR(IF(ISERROR(CW145),"",CONCATENATE(ROUND(X_SHIFT_BP+IF(Tools!I$97&lt;=Tools!$D$47/2,-BM21,BM21),3),",",ROUND(WLS*$AP57,3)," ")),"")</f>
        <v/>
      </c>
      <c r="J116" s="377" t="str">
        <f>IFERROR(IF(ISERROR(CX145),"",CONCATENATE(ROUND(X_SHIFT_BP+IF(Tools!J$97&lt;=Tools!$D$47/2,-BN21,BN21),3),",",ROUND(WLS*$AP57,3)," ")),"")</f>
        <v/>
      </c>
      <c r="K116" s="377" t="str">
        <f>IFERROR(IF(ISERROR(CY145),"",CONCATENATE(ROUND(X_SHIFT_BP+IF(Tools!K$97&lt;=Tools!$D$47/2,-BO21,BO21),3),",",ROUND(WLS*$AP57,3)," ")),"")</f>
        <v/>
      </c>
      <c r="L116" s="377" t="str">
        <f>IFERROR(IF(ISERROR(CZ145),"",CONCATENATE(ROUND(X_SHIFT_BP+IF(Tools!L$97&lt;=Tools!$D$47/2,-BP21,BP21),3),",",ROUND(WLS*$AP57,3)," ")),"")</f>
        <v/>
      </c>
      <c r="M116" s="377" t="str">
        <f>IFERROR(IF(ISERROR(DA145),"",CONCATENATE(ROUND(X_SHIFT_BP+IF(Tools!M$97&lt;=Tools!$D$47/2,-BQ21,BQ21),3),",",ROUND(WLS*$AP57,3)," ")),"")</f>
        <v/>
      </c>
      <c r="N116" s="377" t="str">
        <f>IFERROR(IF(ISERROR(DB145),"",CONCATENATE(ROUND(X_SHIFT_BP+IF(Tools!N$97&lt;=Tools!$D$47/2,-BR21,BR21),3),",",ROUND(WLS*$AP57,3)," ")),"")</f>
        <v/>
      </c>
      <c r="O116" s="377" t="str">
        <f>IFERROR(IF(ISERROR(DC145),"",CONCATENATE(ROUND(X_SHIFT_BP+IF(Tools!O$97&lt;=Tools!$D$47/2,-BS21,BS21),3),",",ROUND(WLS*$AP57,3)," ")),"")</f>
        <v/>
      </c>
      <c r="P116" s="377" t="str">
        <f>IFERROR(IF(ISERROR(DD145),"",CONCATENATE(ROUND(X_SHIFT_BP+IF(Tools!P$97&lt;=Tools!$D$47/2,-BT21,BT21),3),",",ROUND(WLS*$AP57,3)," ")),"")</f>
        <v/>
      </c>
      <c r="Q116" s="377" t="str">
        <f>IFERROR(IF(ISERROR(DE145),"",CONCATENATE(ROUND(X_SHIFT_BP+IF(Tools!Q$97&lt;=Tools!$D$47/2,-BU21,BU21),3),",",ROUND(WLS*$AP57,3)," ")),"")</f>
        <v/>
      </c>
      <c r="R116" s="377" t="str">
        <f>IFERROR(IF(ISERROR(DF145),"",CONCATENATE(ROUND(X_SHIFT_BP+IF(Tools!R$97&lt;=Tools!$D$47/2,-BV21,BV21),3),",",ROUND(WLS*$AP57,3)," ")),"")</f>
        <v/>
      </c>
      <c r="S116" s="377" t="str">
        <f>IFERROR(IF(ISERROR(DG145),"",CONCATENATE(ROUND(X_SHIFT_BP+IF(Tools!S$97&lt;=Tools!$D$47/2,-BW21,BW21),3),",",ROUND(WLS*$AP57,3)," ")),"")</f>
        <v/>
      </c>
      <c r="T116" s="377" t="str">
        <f>IFERROR(IF(ISERROR(DH145),"",CONCATENATE(ROUND(X_SHIFT_BP+IF(Tools!T$97&lt;=Tools!$D$47/2,-BX21,BX21),3),",",ROUND(WLS*$AP57,3)," ")),"")</f>
        <v/>
      </c>
      <c r="U116" s="377" t="str">
        <f>IFERROR(IF(ISERROR(DI145),"",CONCATENATE(ROUND(X_SHIFT_BP+IF(Tools!U$97&lt;=Tools!$D$47/2,-BY21,BY21),3),",",ROUND(WLS*$AP57,3)," ")),"")</f>
        <v/>
      </c>
      <c r="V116" s="377" t="str">
        <f>IFERROR(IF(ISERROR(DJ145),"",CONCATENATE(ROUND(X_SHIFT_BP+IF(Tools!V$97&lt;=Tools!$D$47/2,-BZ21,BZ21),3),",",ROUND(WLS*$AP57,3)," ")),"")</f>
        <v/>
      </c>
      <c r="W116" s="377" t="str">
        <f>IFERROR(IF(ISERROR(DK145),"",CONCATENATE(ROUND(X_SHIFT_BP+IF(Tools!W$97&lt;=Tools!$D$47/2,-CA21,CA21),3),",",ROUND(WLS*$AP57,3)," ")),"")</f>
        <v/>
      </c>
      <c r="X116" s="377" t="str">
        <f>IFERROR(IF(ISERROR(DL145),"",CONCATENATE(ROUND(X_SHIFT_BP+IF(Tools!X$97&lt;=Tools!$D$47/2,-CB21,CB21),3),",",ROUND(WLS*$AP57,3)," ")),"")</f>
        <v/>
      </c>
      <c r="Y116" s="377" t="str">
        <f>IFERROR(IF(ISERROR(DM145),"",CONCATENATE(ROUND(X_SHIFT_BP+IF(Tools!Y$97&lt;=Tools!$D$47/2,-CC21,CC21),3),",",ROUND(WLS*$AP57,3)," ")),"")</f>
        <v/>
      </c>
      <c r="Z116" s="377" t="str">
        <f>IFERROR(IF(ISERROR(DN145),"",CONCATENATE(ROUND(X_SHIFT_BP+IF(Tools!Z$97&lt;=Tools!$D$47/2,-CD21,CD21),3),",",ROUND(WLS*$AP57,3)," ")),"")</f>
        <v/>
      </c>
      <c r="AA116" s="129">
        <v>12</v>
      </c>
      <c r="AB116" s="245" t="str">
        <f t="shared" si="260"/>
        <v xml:space="preserve">Spline </v>
      </c>
      <c r="AC116" s="129" t="str">
        <v/>
      </c>
      <c r="AD116" s="245" t="str">
        <v xml:space="preserve">157.655,0 </v>
      </c>
      <c r="AE116" s="245" t="str">
        <v xml:space="preserve">159.485,0.9 </v>
      </c>
      <c r="AF116" s="245" t="str">
        <v xml:space="preserve">160.535,1.8 </v>
      </c>
      <c r="AG116" s="245" t="str">
        <v xml:space="preserve">161.175,2.7 </v>
      </c>
      <c r="AH116" s="245" t="str">
        <v xml:space="preserve">161.665,3.6 </v>
      </c>
      <c r="AI116" s="245" t="str">
        <v xml:space="preserve">162.455,5.4 </v>
      </c>
      <c r="AJ116" s="245" t="str">
        <v xml:space="preserve">163.245,7.2 </v>
      </c>
      <c r="AK116" s="245" t="str">
        <v xml:space="preserve">164.065,9 </v>
      </c>
      <c r="AL116" s="245" t="str">
        <v xml:space="preserve">164.555,10.1 </v>
      </c>
      <c r="AM116" s="245" t="str">
        <v xml:space="preserve">164.865,10.8 </v>
      </c>
      <c r="AN116" s="245" t="str">
        <v xml:space="preserve">165.635,12.6 </v>
      </c>
      <c r="AO116" s="245" t="str">
        <v xml:space="preserve">167.185,14.19 </v>
      </c>
      <c r="AP116" s="245" t="str">
        <v/>
      </c>
      <c r="AQ116" s="245" t="str">
        <v/>
      </c>
      <c r="AR116" s="245" t="str">
        <v/>
      </c>
      <c r="AS116" s="245" t="str">
        <v/>
      </c>
      <c r="AT116" s="245" t="str">
        <v/>
      </c>
      <c r="AU116" s="245" t="str">
        <v/>
      </c>
      <c r="AV116" s="245" t="str">
        <v/>
      </c>
      <c r="AW116" s="245" t="str">
        <v/>
      </c>
      <c r="AX116" s="245" t="str">
        <v/>
      </c>
      <c r="AY116" s="245" t="str">
        <v/>
      </c>
      <c r="AZ116" s="245" t="str">
        <v/>
      </c>
      <c r="BA116" s="245" t="str">
        <v/>
      </c>
      <c r="BB116" s="245" t="str">
        <v/>
      </c>
      <c r="BC116" s="376">
        <f>Tools!AD21</f>
        <v>16</v>
      </c>
      <c r="BD116" s="376">
        <f>IFERROR(Tools!AD21*STN_GAP,"")</f>
        <v>105.35999999999999</v>
      </c>
      <c r="BE116" s="496">
        <f>IFERROR(IF(ISNUMBER(DE116),NA(),IF(AND($DF116&lt;&gt;0,$DG116&gt;BE$97),NA(),IF($BD116&gt;LBP/2,-(-Tools!AE21),-Tools!AE21))),NA())</f>
        <v>2.2200000000000002</v>
      </c>
      <c r="BF116" s="376">
        <f>IFERROR(IF(AND($DF116&lt;&gt;0,$DG116&gt;BF$97),NA(),IF($BD116&gt;LBP/2,-(-Tools!AF21),-Tools!AF21)),NA())</f>
        <v>4.05</v>
      </c>
      <c r="BG116" s="376">
        <f>IFERROR(IF(AND($DF116&lt;&gt;0,$DG116&gt;BG$97),NA(),IF($BD116&gt;LBP/2,-(-Tools!AG21),-Tools!AG21)),NA())</f>
        <v>5.0999999999999996</v>
      </c>
      <c r="BH116" s="376">
        <f>IFERROR(IF(AND($DF116&lt;&gt;0,$DG116&gt;BH$97),NA(),IF($BD116&gt;LBP/2,-(-Tools!AH21),-Tools!AH21)),NA())</f>
        <v>5.74</v>
      </c>
      <c r="BI116" s="376">
        <f>IFERROR(IF(AND($DF116&lt;&gt;0,$DG116&gt;BI$97),NA(),IF($BD116&gt;LBP/2,-(-Tools!AI21),-Tools!AI21)),NA())</f>
        <v>6.23</v>
      </c>
      <c r="BJ116" s="376">
        <f>IFERROR(IF(AND($DF116&lt;&gt;0,$DG116&gt;BJ$97),NA(),IF($BD116&gt;LBP/2,-(-Tools!AJ21),-Tools!AJ21)),NA())</f>
        <v>7.02</v>
      </c>
      <c r="BK116" s="376">
        <f>IFERROR(IF(AND($DF116&lt;&gt;0,$DG116&gt;BK$97),NA(),IF($BD116&gt;LBP/2,-(-Tools!AK21),-Tools!AK21)),NA())</f>
        <v>7.81</v>
      </c>
      <c r="BL116" s="376">
        <f>IFERROR(IF(AND($DF116&lt;&gt;0,$DG116&gt;BL$97),NA(),IF($BD116&gt;LBP/2,-(-Tools!AL21),-Tools!AL21)),NA())</f>
        <v>8.6300000000000008</v>
      </c>
      <c r="BM116" s="376">
        <f>IFERROR(IF(AND($DF116&lt;&gt;0,$DG116&gt;BM$97),NA(),IF($BD116&gt;LBP/2,-(-Tools!AM21),-Tools!AM21)),NA())</f>
        <v>9.1199999999999992</v>
      </c>
      <c r="BN116" s="376">
        <f>IFERROR(IF(AND($DF116&lt;&gt;0,$DG116&gt;BN$97),NA(),IF($BD116&gt;LBP/2,-(-Tools!AN21),-Tools!AN21)),NA())</f>
        <v>9.43</v>
      </c>
      <c r="BO116" s="376">
        <f>IFERROR(IF(AND($DF116&lt;&gt;0,$DG116&gt;BO$97),NA(),IF($BD116&gt;LBP/2,-(-Tools!AO21),-Tools!AO21)),NA())</f>
        <v>10.199999999999999</v>
      </c>
      <c r="BP116" s="376">
        <f>IFERROR(IF(AND($DF116&lt;&gt;0,$DG116&gt;BP$97),NA(),IF($BD116&gt;LBP/2,-(-Tools!AP21),-Tools!AP21)),NA())</f>
        <v>11.75</v>
      </c>
      <c r="BQ116" s="376" t="e">
        <f>IFERROR(IF(AND($DF116&lt;&gt;0,$DG116&gt;BQ$97),NA(),IF($BD116&gt;LBP/2,-(-Tools!AQ21),-Tools!AQ21)),NA())</f>
        <v>#N/A</v>
      </c>
      <c r="BR116" s="376" t="e">
        <f>IFERROR(IF(AND($DF116&lt;&gt;0,$DG116&gt;BR$97),NA(),IF($BD116&gt;LBP/2,-(-Tools!AR21),-Tools!AR21)),NA())</f>
        <v>#N/A</v>
      </c>
      <c r="BS116" s="376" t="e">
        <f>IFERROR(IF(AND($DF116&lt;&gt;0,$DG116&gt;BS$97),NA(),IF($BD116&gt;LBP/2,-(-Tools!AS21),-Tools!AS21)),NA())</f>
        <v>#N/A</v>
      </c>
      <c r="BT116" s="376" t="e">
        <f>IFERROR(IF(AND($DF116&lt;&gt;0,$DG116&gt;BT$97),NA(),IF($BD116&gt;LBP/2,-(-Tools!AT21),-Tools!AT21)),NA())</f>
        <v>#N/A</v>
      </c>
      <c r="BU116" s="376" t="e">
        <f>IFERROR(IF(AND($DF116&lt;&gt;0,$DG116&gt;BU$97),NA(),IF($BD116&gt;LBP/2,-(-Tools!AU21),-Tools!AU21)),NA())</f>
        <v>#N/A</v>
      </c>
      <c r="BV116" s="376" t="e">
        <f>IFERROR(IF(AND($DF116&lt;&gt;0,$DG116&gt;BV$97),NA(),IF($BD116&gt;LBP/2,-(-Tools!AV21),-Tools!AV21)),NA())</f>
        <v>#N/A</v>
      </c>
      <c r="BW116" s="376" t="e">
        <f>IFERROR(IF(AND($DF116&lt;&gt;0,$DG116&gt;BW$97),NA(),IF($BD116&gt;LBP/2,-(-Tools!AW21),-Tools!AW21)),NA())</f>
        <v>#N/A</v>
      </c>
      <c r="BX116" s="376" t="e">
        <f>IFERROR(IF(AND($DF116&lt;&gt;0,$DG116&gt;BX$97),NA(),IF($BD116&gt;LBP/2,-(-Tools!AX21),-Tools!AX21)),NA())</f>
        <v>#N/A</v>
      </c>
      <c r="BY116" s="376" t="e">
        <f>IFERROR(IF(AND($DF116&lt;&gt;0,$DG116&gt;BY$97),NA(),IF($BD116&gt;LBP/2,-(-Tools!AY21),-Tools!AY21)),NA())</f>
        <v>#N/A</v>
      </c>
      <c r="BZ116" s="376" t="e">
        <f>IFERROR(IF(AND($DF116&lt;&gt;0,$DG116&gt;BZ$97),NA(),IF($BD116&gt;LBP/2,-(-Tools!AZ21),-Tools!AZ21)),NA())</f>
        <v>#N/A</v>
      </c>
      <c r="CA116" s="376" t="e">
        <f>IFERROR(IF(AND($DF116&lt;&gt;0,$DG116&gt;CA$97),NA(),IF($BD116&gt;LBP/2,-(-Tools!BA21),-Tools!BA21)),NA())</f>
        <v>#N/A</v>
      </c>
      <c r="CB116" s="376" t="e">
        <f>IFERROR(IF(AND($DF116&lt;&gt;0,$DG116&gt;CB$97),NA(),IF($BD116&gt;LBP/2,-(-Tools!BB21),-Tools!BB21)),NA())</f>
        <v>#N/A</v>
      </c>
      <c r="CC116" s="376" t="e">
        <f>IFERROR(IF(AND($DF116&lt;&gt;0,$DG116&gt;CC$97),NA(),IF($BD116&gt;LBP/2,-(-Tools!BC21),-Tools!BC21)),NA())</f>
        <v>#N/A</v>
      </c>
      <c r="CE116" s="425" t="b">
        <f t="shared" si="207"/>
        <v>0</v>
      </c>
      <c r="CF116" s="425" t="b">
        <f t="shared" si="208"/>
        <v>0</v>
      </c>
      <c r="CG116" s="425" t="b">
        <f t="shared" si="209"/>
        <v>0</v>
      </c>
      <c r="CH116" s="425" t="b">
        <f t="shared" si="210"/>
        <v>0</v>
      </c>
      <c r="CI116" s="425" t="b">
        <f t="shared" si="211"/>
        <v>0</v>
      </c>
      <c r="CJ116" s="425" t="b">
        <f t="shared" si="212"/>
        <v>0</v>
      </c>
      <c r="CK116" s="425" t="b">
        <f t="shared" si="213"/>
        <v>0</v>
      </c>
      <c r="CL116" s="425" t="b">
        <f t="shared" si="214"/>
        <v>0</v>
      </c>
      <c r="CM116" s="425" t="b">
        <f t="shared" si="215"/>
        <v>0</v>
      </c>
      <c r="CN116" s="425" t="b">
        <f t="shared" si="216"/>
        <v>0</v>
      </c>
      <c r="CO116" s="425" t="b">
        <f t="shared" si="217"/>
        <v>0</v>
      </c>
      <c r="CP116" s="425" t="b">
        <f t="shared" si="218"/>
        <v>0</v>
      </c>
      <c r="CQ116" s="425" t="b">
        <f t="shared" si="219"/>
        <v>0</v>
      </c>
      <c r="CR116" s="425" t="b">
        <f t="shared" si="220"/>
        <v>0</v>
      </c>
      <c r="CS116" s="425" t="b">
        <f t="shared" si="221"/>
        <v>0</v>
      </c>
      <c r="CT116" s="425" t="b">
        <f t="shared" si="222"/>
        <v>0</v>
      </c>
      <c r="CU116" s="425" t="b">
        <f t="shared" si="223"/>
        <v>0</v>
      </c>
      <c r="CV116" s="425" t="b">
        <f t="shared" si="224"/>
        <v>0</v>
      </c>
      <c r="CW116" s="425" t="b">
        <f t="shared" si="225"/>
        <v>0</v>
      </c>
      <c r="CX116" s="425" t="b">
        <f t="shared" si="226"/>
        <v>0</v>
      </c>
      <c r="CY116" s="425" t="b">
        <f t="shared" si="227"/>
        <v>0</v>
      </c>
      <c r="CZ116" s="425" t="b">
        <f t="shared" si="228"/>
        <v>0</v>
      </c>
      <c r="DA116" s="425" t="b">
        <f t="shared" si="229"/>
        <v>0</v>
      </c>
      <c r="DB116" s="425" t="b">
        <f t="shared" si="230"/>
        <v>0</v>
      </c>
      <c r="DC116" s="425"/>
      <c r="DD116" s="425">
        <f t="shared" si="261"/>
        <v>0</v>
      </c>
      <c r="DE116" s="425" t="str">
        <f t="shared" si="231"/>
        <v>-</v>
      </c>
      <c r="DF116" s="425">
        <f t="shared" si="232"/>
        <v>0</v>
      </c>
      <c r="DG116" s="425">
        <f t="shared" si="262"/>
        <v>0</v>
      </c>
      <c r="DH116" s="425">
        <f t="shared" si="233"/>
        <v>16</v>
      </c>
      <c r="DI116" s="425"/>
      <c r="DJ116" s="425" t="e">
        <f t="shared" si="263"/>
        <v>#N/A</v>
      </c>
      <c r="DK116" s="425">
        <f t="shared" si="180"/>
        <v>2.2200000000000002</v>
      </c>
      <c r="DL116" s="425">
        <f t="shared" si="181"/>
        <v>4.05</v>
      </c>
      <c r="DM116" s="425">
        <f t="shared" si="182"/>
        <v>5.0999999999999996</v>
      </c>
      <c r="DN116" s="425">
        <f t="shared" si="183"/>
        <v>5.74</v>
      </c>
      <c r="DO116" s="425">
        <f t="shared" si="184"/>
        <v>6.23</v>
      </c>
      <c r="DP116" s="425">
        <f t="shared" si="185"/>
        <v>7.02</v>
      </c>
      <c r="DQ116" s="425">
        <f t="shared" si="186"/>
        <v>7.81</v>
      </c>
      <c r="DR116" s="425">
        <f t="shared" si="187"/>
        <v>8.6300000000000008</v>
      </c>
      <c r="DS116" s="425">
        <f t="shared" si="188"/>
        <v>9.1199999999999992</v>
      </c>
      <c r="DT116" s="425">
        <f t="shared" si="189"/>
        <v>9.43</v>
      </c>
      <c r="DU116" s="425">
        <f t="shared" si="190"/>
        <v>10.199999999999999</v>
      </c>
      <c r="DV116" s="425">
        <f t="shared" si="191"/>
        <v>11.75</v>
      </c>
      <c r="DW116" s="425" t="e">
        <f t="shared" si="192"/>
        <v>#N/A</v>
      </c>
      <c r="DX116" s="425" t="e">
        <f t="shared" si="193"/>
        <v>#N/A</v>
      </c>
      <c r="DY116" s="425" t="e">
        <f t="shared" si="194"/>
        <v>#N/A</v>
      </c>
      <c r="DZ116" s="425" t="e">
        <f t="shared" si="195"/>
        <v>#N/A</v>
      </c>
      <c r="EA116" s="425" t="e">
        <f t="shared" si="196"/>
        <v>#N/A</v>
      </c>
      <c r="EB116" s="425" t="e">
        <f t="shared" si="197"/>
        <v>#N/A</v>
      </c>
      <c r="EC116" s="425" t="e">
        <f t="shared" si="198"/>
        <v>#N/A</v>
      </c>
      <c r="ED116" s="425" t="e">
        <f t="shared" si="199"/>
        <v>#N/A</v>
      </c>
      <c r="EE116" s="425" t="e">
        <f t="shared" si="200"/>
        <v>#N/A</v>
      </c>
      <c r="EF116" s="425" t="e">
        <f t="shared" si="201"/>
        <v>#N/A</v>
      </c>
      <c r="EG116" s="425" t="e">
        <f t="shared" si="202"/>
        <v>#N/A</v>
      </c>
      <c r="EH116" s="425" t="e">
        <f t="shared" si="203"/>
        <v>#N/A</v>
      </c>
      <c r="EI116" s="425" t="e">
        <f t="shared" si="204"/>
        <v>#N/A</v>
      </c>
      <c r="EJ116" s="425"/>
      <c r="EK116" s="425"/>
      <c r="EL116" s="425" t="e">
        <f t="shared" si="234"/>
        <v>#N/A</v>
      </c>
      <c r="EM116" s="425">
        <f t="shared" si="264"/>
        <v>0</v>
      </c>
      <c r="EN116" s="425">
        <f t="shared" si="236"/>
        <v>0.9</v>
      </c>
      <c r="EO116" s="425">
        <f t="shared" si="237"/>
        <v>1.8</v>
      </c>
      <c r="EP116" s="425">
        <f t="shared" si="238"/>
        <v>2.7</v>
      </c>
      <c r="EQ116" s="425">
        <f t="shared" si="239"/>
        <v>3.6</v>
      </c>
      <c r="ER116" s="425">
        <f t="shared" si="240"/>
        <v>5.4</v>
      </c>
      <c r="ES116" s="425">
        <f t="shared" si="241"/>
        <v>7.2</v>
      </c>
      <c r="ET116" s="425">
        <f t="shared" si="242"/>
        <v>9</v>
      </c>
      <c r="EU116" s="425">
        <f t="shared" si="243"/>
        <v>10.1</v>
      </c>
      <c r="EV116" s="425">
        <f t="shared" si="244"/>
        <v>10.8</v>
      </c>
      <c r="EW116" s="425">
        <f t="shared" si="245"/>
        <v>12.6</v>
      </c>
      <c r="EX116" s="425">
        <f t="shared" si="246"/>
        <v>14.19</v>
      </c>
      <c r="EY116" s="425" t="e">
        <f t="shared" si="247"/>
        <v>#N/A</v>
      </c>
      <c r="EZ116" s="425" t="e">
        <f t="shared" si="248"/>
        <v>#N/A</v>
      </c>
      <c r="FA116" s="425" t="e">
        <f t="shared" si="249"/>
        <v>#N/A</v>
      </c>
      <c r="FB116" s="425" t="e">
        <f t="shared" si="250"/>
        <v>#N/A</v>
      </c>
      <c r="FC116" s="425" t="e">
        <f t="shared" si="251"/>
        <v>#N/A</v>
      </c>
      <c r="FD116" s="425" t="e">
        <f t="shared" si="252"/>
        <v>#N/A</v>
      </c>
      <c r="FE116" s="425" t="e">
        <f t="shared" si="253"/>
        <v>#N/A</v>
      </c>
      <c r="FF116" s="425" t="e">
        <f t="shared" si="254"/>
        <v>#N/A</v>
      </c>
      <c r="FG116" s="425" t="e">
        <f t="shared" si="255"/>
        <v>#N/A</v>
      </c>
      <c r="FH116" s="425" t="e">
        <f t="shared" si="256"/>
        <v>#N/A</v>
      </c>
      <c r="FI116" s="425" t="e">
        <f t="shared" si="257"/>
        <v>#N/A</v>
      </c>
      <c r="FJ116" s="425" t="e">
        <f t="shared" si="258"/>
        <v>#N/A</v>
      </c>
      <c r="FK116" s="425" t="e">
        <f t="shared" si="259"/>
        <v>#N/A</v>
      </c>
    </row>
    <row r="117" spans="1:199" x14ac:dyDescent="0.25">
      <c r="A117" s="374" t="str">
        <f t="shared" si="206"/>
        <v xml:space="preserve">  </v>
      </c>
      <c r="B117" s="377" t="str">
        <f>IFERROR(IF(ISERROR(CP146),"",CONCATENATE(ROUND(X_SHIFT_BP+IF(Tools!B$97&lt;=Tools!$D$47/2,-BF22,BF22),3),",",ROUND(WLS*$AP58,3)," ")),"")</f>
        <v/>
      </c>
      <c r="C117" s="377" t="str">
        <f>IFERROR(IF(ISERROR(CQ146),"",CONCATENATE(ROUND(X_SHIFT_BP+IF(Tools!C$97&lt;=Tools!$D$47/2,-BG22,BG22),3),",",ROUND(WLS*$AP58,3)," ")),"")</f>
        <v/>
      </c>
      <c r="D117" s="377" t="str">
        <f>IFERROR(IF(ISERROR(CR146),"",CONCATENATE(ROUND(X_SHIFT_BP+IF(Tools!D$97&lt;=Tools!$D$47/2,-BH22,BH22),3),",",ROUND(WLS*$AP58,3)," ")),"")</f>
        <v/>
      </c>
      <c r="E117" s="377" t="str">
        <f>IFERROR(IF(ISERROR(CS146),"",CONCATENATE(ROUND(X_SHIFT_BP+IF(Tools!E$97&lt;=Tools!$D$47/2,-BI22,BI22),3),",",ROUND(WLS*$AP58,3)," ")),"")</f>
        <v/>
      </c>
      <c r="F117" s="377" t="str">
        <f>IFERROR(IF(ISERROR(CT146),"",CONCATENATE(ROUND(X_SHIFT_BP+IF(Tools!F$97&lt;=Tools!$D$47/2,-BJ22,BJ22),3),",",ROUND(WLS*$AP58,3)," ")),"")</f>
        <v/>
      </c>
      <c r="G117" s="377" t="str">
        <f>IFERROR(IF(ISERROR(CU146),"",CONCATENATE(ROUND(X_SHIFT_BP+IF(Tools!G$97&lt;=Tools!$D$47/2,-BK22,BK22),3),",",ROUND(WLS*$AP58,3)," ")),"")</f>
        <v/>
      </c>
      <c r="H117" s="377" t="str">
        <f>IFERROR(IF(ISERROR(CV146),"",CONCATENATE(ROUND(X_SHIFT_BP+IF(Tools!H$97&lt;=Tools!$D$47/2,-BL22,BL22),3),",",ROUND(WLS*$AP58,3)," ")),"")</f>
        <v/>
      </c>
      <c r="I117" s="377" t="str">
        <f>IFERROR(IF(ISERROR(CW146),"",CONCATENATE(ROUND(X_SHIFT_BP+IF(Tools!I$97&lt;=Tools!$D$47/2,-BM22,BM22),3),",",ROUND(WLS*$AP58,3)," ")),"")</f>
        <v/>
      </c>
      <c r="J117" s="377" t="str">
        <f>IFERROR(IF(ISERROR(CX146),"",CONCATENATE(ROUND(X_SHIFT_BP+IF(Tools!J$97&lt;=Tools!$D$47/2,-BN22,BN22),3),",",ROUND(WLS*$AP58,3)," ")),"")</f>
        <v/>
      </c>
      <c r="K117" s="377" t="str">
        <f>IFERROR(IF(ISERROR(CY146),"",CONCATENATE(ROUND(X_SHIFT_BP+IF(Tools!K$97&lt;=Tools!$D$47/2,-BO22,BO22),3),",",ROUND(WLS*$AP58,3)," ")),"")</f>
        <v/>
      </c>
      <c r="L117" s="377" t="str">
        <f>IFERROR(IF(ISERROR(CZ146),"",CONCATENATE(ROUND(X_SHIFT_BP+IF(Tools!L$97&lt;=Tools!$D$47/2,-BP22,BP22),3),",",ROUND(WLS*$AP58,3)," ")),"")</f>
        <v/>
      </c>
      <c r="M117" s="377" t="str">
        <f>IFERROR(IF(ISERROR(DA146),"",CONCATENATE(ROUND(X_SHIFT_BP+IF(Tools!M$97&lt;=Tools!$D$47/2,-BQ22,BQ22),3),",",ROUND(WLS*$AP58,3)," ")),"")</f>
        <v/>
      </c>
      <c r="N117" s="377" t="str">
        <f>IFERROR(IF(ISERROR(DB146),"",CONCATENATE(ROUND(X_SHIFT_BP+IF(Tools!N$97&lt;=Tools!$D$47/2,-BR22,BR22),3),",",ROUND(WLS*$AP58,3)," ")),"")</f>
        <v/>
      </c>
      <c r="O117" s="377" t="str">
        <f>IFERROR(IF(ISERROR(DC146),"",CONCATENATE(ROUND(X_SHIFT_BP+IF(Tools!O$97&lt;=Tools!$D$47/2,-BS22,BS22),3),",",ROUND(WLS*$AP58,3)," ")),"")</f>
        <v/>
      </c>
      <c r="P117" s="377" t="str">
        <f>IFERROR(IF(ISERROR(DD146),"",CONCATENATE(ROUND(X_SHIFT_BP+IF(Tools!P$97&lt;=Tools!$D$47/2,-BT22,BT22),3),",",ROUND(WLS*$AP58,3)," ")),"")</f>
        <v/>
      </c>
      <c r="Q117" s="377" t="str">
        <f>IFERROR(IF(ISERROR(DE146),"",CONCATENATE(ROUND(X_SHIFT_BP+IF(Tools!Q$97&lt;=Tools!$D$47/2,-BU22,BU22),3),",",ROUND(WLS*$AP58,3)," ")),"")</f>
        <v/>
      </c>
      <c r="R117" s="377" t="str">
        <f>IFERROR(IF(ISERROR(DF146),"",CONCATENATE(ROUND(X_SHIFT_BP+IF(Tools!R$97&lt;=Tools!$D$47/2,-BV22,BV22),3),",",ROUND(WLS*$AP58,3)," ")),"")</f>
        <v/>
      </c>
      <c r="S117" s="377" t="str">
        <f>IFERROR(IF(ISERROR(DG146),"",CONCATENATE(ROUND(X_SHIFT_BP+IF(Tools!S$97&lt;=Tools!$D$47/2,-BW22,BW22),3),",",ROUND(WLS*$AP58,3)," ")),"")</f>
        <v/>
      </c>
      <c r="T117" s="377" t="str">
        <f>IFERROR(IF(ISERROR(DH146),"",CONCATENATE(ROUND(X_SHIFT_BP+IF(Tools!T$97&lt;=Tools!$D$47/2,-BX22,BX22),3),",",ROUND(WLS*$AP58,3)," ")),"")</f>
        <v/>
      </c>
      <c r="U117" s="377" t="str">
        <f>IFERROR(IF(ISERROR(DI146),"",CONCATENATE(ROUND(X_SHIFT_BP+IF(Tools!U$97&lt;=Tools!$D$47/2,-BY22,BY22),3),",",ROUND(WLS*$AP58,3)," ")),"")</f>
        <v/>
      </c>
      <c r="V117" s="377" t="str">
        <f>IFERROR(IF(ISERROR(DJ146),"",CONCATENATE(ROUND(X_SHIFT_BP+IF(Tools!V$97&lt;=Tools!$D$47/2,-BZ22,BZ22),3),",",ROUND(WLS*$AP58,3)," ")),"")</f>
        <v/>
      </c>
      <c r="W117" s="377" t="str">
        <f>IFERROR(IF(ISERROR(DK146),"",CONCATENATE(ROUND(X_SHIFT_BP+IF(Tools!W$97&lt;=Tools!$D$47/2,-CA22,CA22),3),",",ROUND(WLS*$AP58,3)," ")),"")</f>
        <v/>
      </c>
      <c r="X117" s="377" t="str">
        <f>IFERROR(IF(ISERROR(DL146),"",CONCATENATE(ROUND(X_SHIFT_BP+IF(Tools!X$97&lt;=Tools!$D$47/2,-CB22,CB22),3),",",ROUND(WLS*$AP58,3)," ")),"")</f>
        <v/>
      </c>
      <c r="Y117" s="377" t="str">
        <f>IFERROR(IF(ISERROR(DM146),"",CONCATENATE(ROUND(X_SHIFT_BP+IF(Tools!Y$97&lt;=Tools!$D$47/2,-CC22,CC22),3),",",ROUND(WLS*$AP58,3)," ")),"")</f>
        <v/>
      </c>
      <c r="Z117" s="377" t="str">
        <f>IFERROR(IF(ISERROR(DN146),"",CONCATENATE(ROUND(X_SHIFT_BP+IF(Tools!Z$97&lt;=Tools!$D$47/2,-CD22,CD22),3),",",ROUND(WLS*$AP58,3)," ")),"")</f>
        <v/>
      </c>
      <c r="AA117" s="129">
        <v>12</v>
      </c>
      <c r="AB117" s="245" t="str">
        <f t="shared" si="260"/>
        <v xml:space="preserve">Spline </v>
      </c>
      <c r="AC117" s="129" t="str">
        <v/>
      </c>
      <c r="AD117" s="245" t="str">
        <v xml:space="preserve">156.085,0 </v>
      </c>
      <c r="AE117" s="245" t="str">
        <v xml:space="preserve">158.065,0.9 </v>
      </c>
      <c r="AF117" s="245" t="str">
        <v xml:space="preserve">158.955,1.8 </v>
      </c>
      <c r="AG117" s="245" t="str">
        <v xml:space="preserve">159.495,2.7 </v>
      </c>
      <c r="AH117" s="245" t="str">
        <v xml:space="preserve">159.865,3.6 </v>
      </c>
      <c r="AI117" s="245" t="str">
        <v xml:space="preserve">160.465,5.4 </v>
      </c>
      <c r="AJ117" s="245" t="str">
        <v xml:space="preserve">161.125,7.2 </v>
      </c>
      <c r="AK117" s="245" t="str">
        <v xml:space="preserve">162.025,9 </v>
      </c>
      <c r="AL117" s="245" t="str">
        <v xml:space="preserve">162.655,10.1 </v>
      </c>
      <c r="AM117" s="245" t="str">
        <v xml:space="preserve">163.075,10.8 </v>
      </c>
      <c r="AN117" s="245" t="str">
        <v xml:space="preserve">164.165,12.6 </v>
      </c>
      <c r="AO117" s="245" t="str">
        <v xml:space="preserve">166.375,14.19 </v>
      </c>
      <c r="AP117" s="245" t="str">
        <v/>
      </c>
      <c r="AQ117" s="245" t="str">
        <v/>
      </c>
      <c r="AR117" s="245" t="str">
        <v/>
      </c>
      <c r="AS117" s="245" t="str">
        <v/>
      </c>
      <c r="AT117" s="245" t="str">
        <v/>
      </c>
      <c r="AU117" s="245" t="str">
        <v/>
      </c>
      <c r="AV117" s="245" t="str">
        <v/>
      </c>
      <c r="AW117" s="245" t="str">
        <v/>
      </c>
      <c r="AX117" s="245" t="str">
        <v/>
      </c>
      <c r="AY117" s="245" t="str">
        <v/>
      </c>
      <c r="AZ117" s="245" t="str">
        <v/>
      </c>
      <c r="BA117" s="245" t="str">
        <v/>
      </c>
      <c r="BB117" s="245" t="str">
        <v/>
      </c>
      <c r="BC117" s="376">
        <f>Tools!AD22</f>
        <v>17</v>
      </c>
      <c r="BD117" s="376">
        <f>IFERROR(Tools!AD22*STN_GAP,"")</f>
        <v>111.94499999999998</v>
      </c>
      <c r="BE117" s="496">
        <f>IFERROR(IF(ISNUMBER(DE117),NA(),IF(AND($DF117&lt;&gt;0,$DG117&gt;BE$97),NA(),IF($BD117&gt;LBP/2,-(-Tools!AE22),-Tools!AE22))),NA())</f>
        <v>0.65</v>
      </c>
      <c r="BF117" s="376">
        <f>IFERROR(IF(AND($DF117&lt;&gt;0,$DG117&gt;BF$97),NA(),IF($BD117&gt;LBP/2,-(-Tools!AF22),-Tools!AF22)),NA())</f>
        <v>2.63</v>
      </c>
      <c r="BG117" s="376">
        <f>IFERROR(IF(AND($DF117&lt;&gt;0,$DG117&gt;BG$97),NA(),IF($BD117&gt;LBP/2,-(-Tools!AG22),-Tools!AG22)),NA())</f>
        <v>3.52</v>
      </c>
      <c r="BH117" s="376">
        <f>IFERROR(IF(AND($DF117&lt;&gt;0,$DG117&gt;BH$97),NA(),IF($BD117&gt;LBP/2,-(-Tools!AH22),-Tools!AH22)),NA())</f>
        <v>4.0599999999999996</v>
      </c>
      <c r="BI117" s="376">
        <f>IFERROR(IF(AND($DF117&lt;&gt;0,$DG117&gt;BI$97),NA(),IF($BD117&gt;LBP/2,-(-Tools!AI22),-Tools!AI22)),NA())</f>
        <v>4.43</v>
      </c>
      <c r="BJ117" s="376">
        <f>IFERROR(IF(AND($DF117&lt;&gt;0,$DG117&gt;BJ$97),NA(),IF($BD117&gt;LBP/2,-(-Tools!AJ22),-Tools!AJ22)),NA())</f>
        <v>5.03</v>
      </c>
      <c r="BK117" s="376">
        <f>IFERROR(IF(AND($DF117&lt;&gt;0,$DG117&gt;BK$97),NA(),IF($BD117&gt;LBP/2,-(-Tools!AK22),-Tools!AK22)),NA())</f>
        <v>5.69</v>
      </c>
      <c r="BL117" s="376">
        <f>IFERROR(IF(AND($DF117&lt;&gt;0,$DG117&gt;BL$97),NA(),IF($BD117&gt;LBP/2,-(-Tools!AL22),-Tools!AL22)),NA())</f>
        <v>6.59</v>
      </c>
      <c r="BM117" s="376">
        <f>IFERROR(IF(AND($DF117&lt;&gt;0,$DG117&gt;BM$97),NA(),IF($BD117&gt;LBP/2,-(-Tools!AM22),-Tools!AM22)),NA())</f>
        <v>7.22</v>
      </c>
      <c r="BN117" s="376">
        <f>IFERROR(IF(AND($DF117&lt;&gt;0,$DG117&gt;BN$97),NA(),IF($BD117&gt;LBP/2,-(-Tools!AN22),-Tools!AN22)),NA())</f>
        <v>7.64</v>
      </c>
      <c r="BO117" s="376">
        <f>IFERROR(IF(AND($DF117&lt;&gt;0,$DG117&gt;BO$97),NA(),IF($BD117&gt;LBP/2,-(-Tools!AO22),-Tools!AO22)),NA())</f>
        <v>8.73</v>
      </c>
      <c r="BP117" s="376">
        <f>IFERROR(IF(AND($DF117&lt;&gt;0,$DG117&gt;BP$97),NA(),IF($BD117&gt;LBP/2,-(-Tools!AP22),-Tools!AP22)),NA())</f>
        <v>10.94</v>
      </c>
      <c r="BQ117" s="376" t="e">
        <f>IFERROR(IF(AND($DF117&lt;&gt;0,$DG117&gt;BQ$97),NA(),IF($BD117&gt;LBP/2,-(-Tools!AQ22),-Tools!AQ22)),NA())</f>
        <v>#N/A</v>
      </c>
      <c r="BR117" s="376" t="e">
        <f>IFERROR(IF(AND($DF117&lt;&gt;0,$DG117&gt;BR$97),NA(),IF($BD117&gt;LBP/2,-(-Tools!AR22),-Tools!AR22)),NA())</f>
        <v>#N/A</v>
      </c>
      <c r="BS117" s="376" t="e">
        <f>IFERROR(IF(AND($DF117&lt;&gt;0,$DG117&gt;BS$97),NA(),IF($BD117&gt;LBP/2,-(-Tools!AS22),-Tools!AS22)),NA())</f>
        <v>#N/A</v>
      </c>
      <c r="BT117" s="376" t="e">
        <f>IFERROR(IF(AND($DF117&lt;&gt;0,$DG117&gt;BT$97),NA(),IF($BD117&gt;LBP/2,-(-Tools!AT22),-Tools!AT22)),NA())</f>
        <v>#N/A</v>
      </c>
      <c r="BU117" s="376" t="e">
        <f>IFERROR(IF(AND($DF117&lt;&gt;0,$DG117&gt;BU$97),NA(),IF($BD117&gt;LBP/2,-(-Tools!AU22),-Tools!AU22)),NA())</f>
        <v>#N/A</v>
      </c>
      <c r="BV117" s="376" t="e">
        <f>IFERROR(IF(AND($DF117&lt;&gt;0,$DG117&gt;BV$97),NA(),IF($BD117&gt;LBP/2,-(-Tools!AV22),-Tools!AV22)),NA())</f>
        <v>#N/A</v>
      </c>
      <c r="BW117" s="376" t="e">
        <f>IFERROR(IF(AND($DF117&lt;&gt;0,$DG117&gt;BW$97),NA(),IF($BD117&gt;LBP/2,-(-Tools!AW22),-Tools!AW22)),NA())</f>
        <v>#N/A</v>
      </c>
      <c r="BX117" s="376" t="e">
        <f>IFERROR(IF(AND($DF117&lt;&gt;0,$DG117&gt;BX$97),NA(),IF($BD117&gt;LBP/2,-(-Tools!AX22),-Tools!AX22)),NA())</f>
        <v>#N/A</v>
      </c>
      <c r="BY117" s="376" t="e">
        <f>IFERROR(IF(AND($DF117&lt;&gt;0,$DG117&gt;BY$97),NA(),IF($BD117&gt;LBP/2,-(-Tools!AY22),-Tools!AY22)),NA())</f>
        <v>#N/A</v>
      </c>
      <c r="BZ117" s="376" t="e">
        <f>IFERROR(IF(AND($DF117&lt;&gt;0,$DG117&gt;BZ$97),NA(),IF($BD117&gt;LBP/2,-(-Tools!AZ22),-Tools!AZ22)),NA())</f>
        <v>#N/A</v>
      </c>
      <c r="CA117" s="376" t="e">
        <f>IFERROR(IF(AND($DF117&lt;&gt;0,$DG117&gt;CA$97),NA(),IF($BD117&gt;LBP/2,-(-Tools!BA22),-Tools!BA22)),NA())</f>
        <v>#N/A</v>
      </c>
      <c r="CB117" s="376" t="e">
        <f>IFERROR(IF(AND($DF117&lt;&gt;0,$DG117&gt;CB$97),NA(),IF($BD117&gt;LBP/2,-(-Tools!BB22),-Tools!BB22)),NA())</f>
        <v>#N/A</v>
      </c>
      <c r="CC117" s="376" t="e">
        <f>IFERROR(IF(AND($DF117&lt;&gt;0,$DG117&gt;CC$97),NA(),IF($BD117&gt;LBP/2,-(-Tools!BC22),-Tools!BC22)),NA())</f>
        <v>#N/A</v>
      </c>
      <c r="CE117" s="425" t="b">
        <f t="shared" si="207"/>
        <v>0</v>
      </c>
      <c r="CF117" s="425" t="b">
        <f t="shared" si="208"/>
        <v>0</v>
      </c>
      <c r="CG117" s="425" t="b">
        <f t="shared" si="209"/>
        <v>0</v>
      </c>
      <c r="CH117" s="425" t="b">
        <f t="shared" si="210"/>
        <v>0</v>
      </c>
      <c r="CI117" s="425" t="b">
        <f t="shared" si="211"/>
        <v>0</v>
      </c>
      <c r="CJ117" s="425" t="b">
        <f t="shared" si="212"/>
        <v>0</v>
      </c>
      <c r="CK117" s="425" t="b">
        <f t="shared" si="213"/>
        <v>0</v>
      </c>
      <c r="CL117" s="425" t="b">
        <f t="shared" si="214"/>
        <v>0</v>
      </c>
      <c r="CM117" s="425" t="b">
        <f t="shared" si="215"/>
        <v>0</v>
      </c>
      <c r="CN117" s="425" t="b">
        <f t="shared" si="216"/>
        <v>0</v>
      </c>
      <c r="CO117" s="425" t="b">
        <f t="shared" si="217"/>
        <v>0</v>
      </c>
      <c r="CP117" s="425" t="b">
        <f t="shared" si="218"/>
        <v>0</v>
      </c>
      <c r="CQ117" s="425" t="b">
        <f t="shared" si="219"/>
        <v>0</v>
      </c>
      <c r="CR117" s="425" t="b">
        <f t="shared" si="220"/>
        <v>0</v>
      </c>
      <c r="CS117" s="425" t="b">
        <f t="shared" si="221"/>
        <v>0</v>
      </c>
      <c r="CT117" s="425" t="b">
        <f t="shared" si="222"/>
        <v>0</v>
      </c>
      <c r="CU117" s="425" t="b">
        <f t="shared" si="223"/>
        <v>0</v>
      </c>
      <c r="CV117" s="425" t="b">
        <f t="shared" si="224"/>
        <v>0</v>
      </c>
      <c r="CW117" s="425" t="b">
        <f t="shared" si="225"/>
        <v>0</v>
      </c>
      <c r="CX117" s="425" t="b">
        <f t="shared" si="226"/>
        <v>0</v>
      </c>
      <c r="CY117" s="425" t="b">
        <f t="shared" si="227"/>
        <v>0</v>
      </c>
      <c r="CZ117" s="425" t="b">
        <f t="shared" si="228"/>
        <v>0</v>
      </c>
      <c r="DA117" s="425" t="b">
        <f t="shared" si="229"/>
        <v>0</v>
      </c>
      <c r="DB117" s="425" t="b">
        <f t="shared" si="230"/>
        <v>0</v>
      </c>
      <c r="DC117" s="425"/>
      <c r="DD117" s="425">
        <f t="shared" si="261"/>
        <v>0</v>
      </c>
      <c r="DE117" s="425" t="str">
        <f t="shared" si="231"/>
        <v>-</v>
      </c>
      <c r="DF117" s="425">
        <f t="shared" si="232"/>
        <v>0</v>
      </c>
      <c r="DG117" s="425">
        <f t="shared" si="262"/>
        <v>0</v>
      </c>
      <c r="DH117" s="425">
        <f t="shared" si="233"/>
        <v>17</v>
      </c>
      <c r="DI117" s="425"/>
      <c r="DJ117" s="425" t="e">
        <f t="shared" si="263"/>
        <v>#N/A</v>
      </c>
      <c r="DK117" s="425">
        <f t="shared" si="180"/>
        <v>0.65</v>
      </c>
      <c r="DL117" s="425">
        <f t="shared" si="181"/>
        <v>2.63</v>
      </c>
      <c r="DM117" s="425">
        <f t="shared" si="182"/>
        <v>3.52</v>
      </c>
      <c r="DN117" s="425">
        <f t="shared" si="183"/>
        <v>4.0599999999999996</v>
      </c>
      <c r="DO117" s="425">
        <f t="shared" si="184"/>
        <v>4.43</v>
      </c>
      <c r="DP117" s="425">
        <f t="shared" si="185"/>
        <v>5.03</v>
      </c>
      <c r="DQ117" s="425">
        <f t="shared" si="186"/>
        <v>5.69</v>
      </c>
      <c r="DR117" s="425">
        <f t="shared" si="187"/>
        <v>6.59</v>
      </c>
      <c r="DS117" s="425">
        <f t="shared" si="188"/>
        <v>7.22</v>
      </c>
      <c r="DT117" s="425">
        <f t="shared" si="189"/>
        <v>7.64</v>
      </c>
      <c r="DU117" s="425">
        <f t="shared" si="190"/>
        <v>8.73</v>
      </c>
      <c r="DV117" s="425">
        <f t="shared" si="191"/>
        <v>10.94</v>
      </c>
      <c r="DW117" s="425" t="e">
        <f t="shared" si="192"/>
        <v>#N/A</v>
      </c>
      <c r="DX117" s="425" t="e">
        <f t="shared" si="193"/>
        <v>#N/A</v>
      </c>
      <c r="DY117" s="425" t="e">
        <f t="shared" si="194"/>
        <v>#N/A</v>
      </c>
      <c r="DZ117" s="425" t="e">
        <f t="shared" si="195"/>
        <v>#N/A</v>
      </c>
      <c r="EA117" s="425" t="e">
        <f t="shared" si="196"/>
        <v>#N/A</v>
      </c>
      <c r="EB117" s="425" t="e">
        <f t="shared" si="197"/>
        <v>#N/A</v>
      </c>
      <c r="EC117" s="425" t="e">
        <f t="shared" si="198"/>
        <v>#N/A</v>
      </c>
      <c r="ED117" s="425" t="e">
        <f t="shared" si="199"/>
        <v>#N/A</v>
      </c>
      <c r="EE117" s="425" t="e">
        <f t="shared" si="200"/>
        <v>#N/A</v>
      </c>
      <c r="EF117" s="425" t="e">
        <f t="shared" si="201"/>
        <v>#N/A</v>
      </c>
      <c r="EG117" s="425" t="e">
        <f t="shared" si="202"/>
        <v>#N/A</v>
      </c>
      <c r="EH117" s="425" t="e">
        <f t="shared" si="203"/>
        <v>#N/A</v>
      </c>
      <c r="EI117" s="425" t="e">
        <f t="shared" si="204"/>
        <v>#N/A</v>
      </c>
      <c r="EJ117" s="425"/>
      <c r="EK117" s="425"/>
      <c r="EL117" s="425" t="e">
        <f t="shared" si="234"/>
        <v>#N/A</v>
      </c>
      <c r="EM117" s="425">
        <f t="shared" si="264"/>
        <v>0</v>
      </c>
      <c r="EN117" s="425">
        <f t="shared" si="236"/>
        <v>0.9</v>
      </c>
      <c r="EO117" s="425">
        <f t="shared" si="237"/>
        <v>1.8</v>
      </c>
      <c r="EP117" s="425">
        <f t="shared" si="238"/>
        <v>2.7</v>
      </c>
      <c r="EQ117" s="425">
        <f t="shared" si="239"/>
        <v>3.6</v>
      </c>
      <c r="ER117" s="425">
        <f t="shared" si="240"/>
        <v>5.4</v>
      </c>
      <c r="ES117" s="425">
        <f t="shared" si="241"/>
        <v>7.2</v>
      </c>
      <c r="ET117" s="425">
        <f t="shared" si="242"/>
        <v>9</v>
      </c>
      <c r="EU117" s="425">
        <f t="shared" si="243"/>
        <v>10.1</v>
      </c>
      <c r="EV117" s="425">
        <f t="shared" si="244"/>
        <v>10.8</v>
      </c>
      <c r="EW117" s="425">
        <f t="shared" si="245"/>
        <v>12.6</v>
      </c>
      <c r="EX117" s="425">
        <f t="shared" si="246"/>
        <v>14.19</v>
      </c>
      <c r="EY117" s="425" t="e">
        <f t="shared" si="247"/>
        <v>#N/A</v>
      </c>
      <c r="EZ117" s="425" t="e">
        <f t="shared" si="248"/>
        <v>#N/A</v>
      </c>
      <c r="FA117" s="425" t="e">
        <f t="shared" si="249"/>
        <v>#N/A</v>
      </c>
      <c r="FB117" s="425" t="e">
        <f t="shared" si="250"/>
        <v>#N/A</v>
      </c>
      <c r="FC117" s="425" t="e">
        <f t="shared" si="251"/>
        <v>#N/A</v>
      </c>
      <c r="FD117" s="425" t="e">
        <f t="shared" si="252"/>
        <v>#N/A</v>
      </c>
      <c r="FE117" s="425" t="e">
        <f t="shared" si="253"/>
        <v>#N/A</v>
      </c>
      <c r="FF117" s="425" t="e">
        <f t="shared" si="254"/>
        <v>#N/A</v>
      </c>
      <c r="FG117" s="425" t="e">
        <f t="shared" si="255"/>
        <v>#N/A</v>
      </c>
      <c r="FH117" s="425" t="e">
        <f t="shared" si="256"/>
        <v>#N/A</v>
      </c>
      <c r="FI117" s="425" t="e">
        <f t="shared" si="257"/>
        <v>#N/A</v>
      </c>
      <c r="FJ117" s="425" t="e">
        <f t="shared" si="258"/>
        <v>#N/A</v>
      </c>
      <c r="FK117" s="425" t="e">
        <f t="shared" si="259"/>
        <v>#N/A</v>
      </c>
    </row>
    <row r="118" spans="1:199" x14ac:dyDescent="0.25">
      <c r="A118" s="374" t="str">
        <f t="shared" si="206"/>
        <v xml:space="preserve">  </v>
      </c>
      <c r="B118" s="377" t="str">
        <f>IFERROR(IF(ISERROR(CP147),"",CONCATENATE(ROUND(X_SHIFT_BP+IF(Tools!B$97&lt;=Tools!$D$47/2,-BF23,BF23),3),",",ROUND(WLS*$AP59,3)," ")),"")</f>
        <v/>
      </c>
      <c r="C118" s="377" t="str">
        <f>IFERROR(IF(ISERROR(CQ147),"",CONCATENATE(ROUND(X_SHIFT_BP+IF(Tools!C$97&lt;=Tools!$D$47/2,-BG23,BG23),3),",",ROUND(WLS*$AP59,3)," ")),"")</f>
        <v/>
      </c>
      <c r="D118" s="377" t="str">
        <f>IFERROR(IF(ISERROR(CR147),"",CONCATENATE(ROUND(X_SHIFT_BP+IF(Tools!D$97&lt;=Tools!$D$47/2,-BH23,BH23),3),",",ROUND(WLS*$AP59,3)," ")),"")</f>
        <v/>
      </c>
      <c r="E118" s="377" t="str">
        <f>IFERROR(IF(ISERROR(CS147),"",CONCATENATE(ROUND(X_SHIFT_BP+IF(Tools!E$97&lt;=Tools!$D$47/2,-BI23,BI23),3),",",ROUND(WLS*$AP59,3)," ")),"")</f>
        <v/>
      </c>
      <c r="F118" s="377" t="str">
        <f>IFERROR(IF(ISERROR(CT147),"",CONCATENATE(ROUND(X_SHIFT_BP+IF(Tools!F$97&lt;=Tools!$D$47/2,-BJ23,BJ23),3),",",ROUND(WLS*$AP59,3)," ")),"")</f>
        <v/>
      </c>
      <c r="G118" s="377" t="str">
        <f>IFERROR(IF(ISERROR(CU147),"",CONCATENATE(ROUND(X_SHIFT_BP+IF(Tools!G$97&lt;=Tools!$D$47/2,-BK23,BK23),3),",",ROUND(WLS*$AP59,3)," ")),"")</f>
        <v/>
      </c>
      <c r="H118" s="377" t="str">
        <f>IFERROR(IF(ISERROR(CV147),"",CONCATENATE(ROUND(X_SHIFT_BP+IF(Tools!H$97&lt;=Tools!$D$47/2,-BL23,BL23),3),",",ROUND(WLS*$AP59,3)," ")),"")</f>
        <v/>
      </c>
      <c r="I118" s="377" t="str">
        <f>IFERROR(IF(ISERROR(CW147),"",CONCATENATE(ROUND(X_SHIFT_BP+IF(Tools!I$97&lt;=Tools!$D$47/2,-BM23,BM23),3),",",ROUND(WLS*$AP59,3)," ")),"")</f>
        <v/>
      </c>
      <c r="J118" s="377" t="str">
        <f>IFERROR(IF(ISERROR(CX147),"",CONCATENATE(ROUND(X_SHIFT_BP+IF(Tools!J$97&lt;=Tools!$D$47/2,-BN23,BN23),3),",",ROUND(WLS*$AP59,3)," ")),"")</f>
        <v/>
      </c>
      <c r="K118" s="377" t="str">
        <f>IFERROR(IF(ISERROR(CY147),"",CONCATENATE(ROUND(X_SHIFT_BP+IF(Tools!K$97&lt;=Tools!$D$47/2,-BO23,BO23),3),",",ROUND(WLS*$AP59,3)," ")),"")</f>
        <v/>
      </c>
      <c r="L118" s="377" t="str">
        <f>IFERROR(IF(ISERROR(CZ147),"",CONCATENATE(ROUND(X_SHIFT_BP+IF(Tools!L$97&lt;=Tools!$D$47/2,-BP23,BP23),3),",",ROUND(WLS*$AP59,3)," ")),"")</f>
        <v/>
      </c>
      <c r="M118" s="377" t="str">
        <f>IFERROR(IF(ISERROR(DA147),"",CONCATENATE(ROUND(X_SHIFT_BP+IF(Tools!M$97&lt;=Tools!$D$47/2,-BQ23,BQ23),3),",",ROUND(WLS*$AP59,3)," ")),"")</f>
        <v/>
      </c>
      <c r="N118" s="377" t="str">
        <f>IFERROR(IF(ISERROR(DB147),"",CONCATENATE(ROUND(X_SHIFT_BP+IF(Tools!N$97&lt;=Tools!$D$47/2,-BR23,BR23),3),",",ROUND(WLS*$AP59,3)," ")),"")</f>
        <v/>
      </c>
      <c r="O118" s="377" t="str">
        <f>IFERROR(IF(ISERROR(DC147),"",CONCATENATE(ROUND(X_SHIFT_BP+IF(Tools!O$97&lt;=Tools!$D$47/2,-BS23,BS23),3),",",ROUND(WLS*$AP59,3)," ")),"")</f>
        <v/>
      </c>
      <c r="P118" s="377" t="str">
        <f>IFERROR(IF(ISERROR(DD147),"",CONCATENATE(ROUND(X_SHIFT_BP+IF(Tools!P$97&lt;=Tools!$D$47/2,-BT23,BT23),3),",",ROUND(WLS*$AP59,3)," ")),"")</f>
        <v/>
      </c>
      <c r="Q118" s="377" t="str">
        <f>IFERROR(IF(ISERROR(DE147),"",CONCATENATE(ROUND(X_SHIFT_BP+IF(Tools!Q$97&lt;=Tools!$D$47/2,-BU23,BU23),3),",",ROUND(WLS*$AP59,3)," ")),"")</f>
        <v/>
      </c>
      <c r="R118" s="377" t="str">
        <f>IFERROR(IF(ISERROR(DF147),"",CONCATENATE(ROUND(X_SHIFT_BP+IF(Tools!R$97&lt;=Tools!$D$47/2,-BV23,BV23),3),",",ROUND(WLS*$AP59,3)," ")),"")</f>
        <v/>
      </c>
      <c r="S118" s="377" t="str">
        <f>IFERROR(IF(ISERROR(DG147),"",CONCATENATE(ROUND(X_SHIFT_BP+IF(Tools!S$97&lt;=Tools!$D$47/2,-BW23,BW23),3),",",ROUND(WLS*$AP59,3)," ")),"")</f>
        <v/>
      </c>
      <c r="T118" s="377" t="str">
        <f>IFERROR(IF(ISERROR(DH147),"",CONCATENATE(ROUND(X_SHIFT_BP+IF(Tools!T$97&lt;=Tools!$D$47/2,-BX23,BX23),3),",",ROUND(WLS*$AP59,3)," ")),"")</f>
        <v/>
      </c>
      <c r="U118" s="377" t="str">
        <f>IFERROR(IF(ISERROR(DI147),"",CONCATENATE(ROUND(X_SHIFT_BP+IF(Tools!U$97&lt;=Tools!$D$47/2,-BY23,BY23),3),",",ROUND(WLS*$AP59,3)," ")),"")</f>
        <v/>
      </c>
      <c r="V118" s="377" t="str">
        <f>IFERROR(IF(ISERROR(DJ147),"",CONCATENATE(ROUND(X_SHIFT_BP+IF(Tools!V$97&lt;=Tools!$D$47/2,-BZ23,BZ23),3),",",ROUND(WLS*$AP59,3)," ")),"")</f>
        <v/>
      </c>
      <c r="W118" s="377" t="str">
        <f>IFERROR(IF(ISERROR(DK147),"",CONCATENATE(ROUND(X_SHIFT_BP+IF(Tools!W$97&lt;=Tools!$D$47/2,-CA23,CA23),3),",",ROUND(WLS*$AP59,3)," ")),"")</f>
        <v/>
      </c>
      <c r="X118" s="377" t="str">
        <f>IFERROR(IF(ISERROR(DL147),"",CONCATENATE(ROUND(X_SHIFT_BP+IF(Tools!X$97&lt;=Tools!$D$47/2,-CB23,CB23),3),",",ROUND(WLS*$AP59,3)," ")),"")</f>
        <v/>
      </c>
      <c r="Y118" s="377" t="str">
        <f>IFERROR(IF(ISERROR(DM147),"",CONCATENATE(ROUND(X_SHIFT_BP+IF(Tools!Y$97&lt;=Tools!$D$47/2,-CC23,CC23),3),",",ROUND(WLS*$AP59,3)," ")),"")</f>
        <v/>
      </c>
      <c r="Z118" s="377" t="str">
        <f>IFERROR(IF(ISERROR(DN147),"",CONCATENATE(ROUND(X_SHIFT_BP+IF(Tools!Z$97&lt;=Tools!$D$47/2,-CD23,CD23),3),",",ROUND(WLS*$AP59,3)," ")),"")</f>
        <v/>
      </c>
      <c r="AA118" s="129">
        <v>12</v>
      </c>
      <c r="AB118" s="245" t="str">
        <f t="shared" si="260"/>
        <v xml:space="preserve">Spline </v>
      </c>
      <c r="AC118" s="129" t="str">
        <v/>
      </c>
      <c r="AD118" s="245" t="str">
        <v xml:space="preserve">155.435,0 </v>
      </c>
      <c r="AE118" s="245" t="str">
        <v xml:space="preserve">156.925,0.9 </v>
      </c>
      <c r="AF118" s="245" t="str">
        <v xml:space="preserve">157.665,1.8 </v>
      </c>
      <c r="AG118" s="245" t="str">
        <v xml:space="preserve">158.125,2.7 </v>
      </c>
      <c r="AH118" s="245" t="str">
        <v xml:space="preserve">158.405,3.6 </v>
      </c>
      <c r="AI118" s="245" t="str">
        <v xml:space="preserve">158.685,5.4 </v>
      </c>
      <c r="AJ118" s="245" t="str">
        <v xml:space="preserve">158.945,7.2 </v>
      </c>
      <c r="AK118" s="245" t="str">
        <v xml:space="preserve">159.715,9 </v>
      </c>
      <c r="AL118" s="245" t="str">
        <v xml:space="preserve">160.405,10.1 </v>
      </c>
      <c r="AM118" s="245" t="str">
        <v xml:space="preserve">160.905,10.8 </v>
      </c>
      <c r="AN118" s="245" t="str">
        <v xml:space="preserve">162.275,12.6 </v>
      </c>
      <c r="AO118" s="245" t="str">
        <v xml:space="preserve">165.205,14.19 </v>
      </c>
      <c r="AP118" s="245" t="str">
        <v/>
      </c>
      <c r="AQ118" s="245" t="str">
        <v/>
      </c>
      <c r="AR118" s="245" t="str">
        <v/>
      </c>
      <c r="AS118" s="245" t="str">
        <v/>
      </c>
      <c r="AT118" s="245" t="str">
        <v/>
      </c>
      <c r="AU118" s="245" t="str">
        <v/>
      </c>
      <c r="AV118" s="245" t="str">
        <v/>
      </c>
      <c r="AW118" s="245" t="str">
        <v/>
      </c>
      <c r="AX118" s="245" t="str">
        <v/>
      </c>
      <c r="AY118" s="245" t="str">
        <v/>
      </c>
      <c r="AZ118" s="245" t="str">
        <v/>
      </c>
      <c r="BA118" s="245" t="str">
        <v/>
      </c>
      <c r="BB118" s="245" t="str">
        <v/>
      </c>
      <c r="BC118" s="376">
        <f>Tools!AD23</f>
        <v>18</v>
      </c>
      <c r="BD118" s="376">
        <f>IFERROR(Tools!AD23*STN_GAP,"")</f>
        <v>118.52999999999999</v>
      </c>
      <c r="BE118" s="496">
        <f>IFERROR(IF(ISNUMBER(DE118),NA(),IF(AND($DF118&lt;&gt;0,$DG118&gt;BE$97),NA(),IF($BD118&gt;LBP/2,-(-Tools!AE23),-Tools!AE23))),NA())</f>
        <v>0</v>
      </c>
      <c r="BF118" s="376">
        <f>IFERROR(IF(AND($DF118&lt;&gt;0,$DG118&gt;BF$97),NA(),IF($BD118&gt;LBP/2,-(-Tools!AF23),-Tools!AF23)),NA())</f>
        <v>1.49</v>
      </c>
      <c r="BG118" s="376">
        <f>IFERROR(IF(AND($DF118&lt;&gt;0,$DG118&gt;BG$97),NA(),IF($BD118&gt;LBP/2,-(-Tools!AG23),-Tools!AG23)),NA())</f>
        <v>2.23</v>
      </c>
      <c r="BH118" s="376">
        <f>IFERROR(IF(AND($DF118&lt;&gt;0,$DG118&gt;BH$97),NA(),IF($BD118&gt;LBP/2,-(-Tools!AH23),-Tools!AH23)),NA())</f>
        <v>2.69</v>
      </c>
      <c r="BI118" s="376">
        <f>IFERROR(IF(AND($DF118&lt;&gt;0,$DG118&gt;BI$97),NA(),IF($BD118&gt;LBP/2,-(-Tools!AI23),-Tools!AI23)),NA())</f>
        <v>2.97</v>
      </c>
      <c r="BJ118" s="376">
        <f>IFERROR(IF(AND($DF118&lt;&gt;0,$DG118&gt;BJ$97),NA(),IF($BD118&gt;LBP/2,-(-Tools!AJ23),-Tools!AJ23)),NA())</f>
        <v>3.25</v>
      </c>
      <c r="BK118" s="376">
        <f>IFERROR(IF(AND($DF118&lt;&gt;0,$DG118&gt;BK$97),NA(),IF($BD118&gt;LBP/2,-(-Tools!AK23),-Tools!AK23)),NA())</f>
        <v>3.51</v>
      </c>
      <c r="BL118" s="376">
        <f>IFERROR(IF(AND($DF118&lt;&gt;0,$DG118&gt;BL$97),NA(),IF($BD118&gt;LBP/2,-(-Tools!AL23),-Tools!AL23)),NA())</f>
        <v>4.28</v>
      </c>
      <c r="BM118" s="376">
        <f>IFERROR(IF(AND($DF118&lt;&gt;0,$DG118&gt;BM$97),NA(),IF($BD118&gt;LBP/2,-(-Tools!AM23),-Tools!AM23)),NA())</f>
        <v>4.97</v>
      </c>
      <c r="BN118" s="376">
        <f>IFERROR(IF(AND($DF118&lt;&gt;0,$DG118&gt;BN$97),NA(),IF($BD118&gt;LBP/2,-(-Tools!AN23),-Tools!AN23)),NA())</f>
        <v>5.47</v>
      </c>
      <c r="BO118" s="376">
        <f>IFERROR(IF(AND($DF118&lt;&gt;0,$DG118&gt;BO$97),NA(),IF($BD118&gt;LBP/2,-(-Tools!AO23),-Tools!AO23)),NA())</f>
        <v>6.84</v>
      </c>
      <c r="BP118" s="376">
        <f>IFERROR(IF(AND($DF118&lt;&gt;0,$DG118&gt;BP$97),NA(),IF($BD118&gt;LBP/2,-(-Tools!AP23),-Tools!AP23)),NA())</f>
        <v>9.77</v>
      </c>
      <c r="BQ118" s="376" t="e">
        <f>IFERROR(IF(AND($DF118&lt;&gt;0,$DG118&gt;BQ$97),NA(),IF($BD118&gt;LBP/2,-(-Tools!AQ23),-Tools!AQ23)),NA())</f>
        <v>#N/A</v>
      </c>
      <c r="BR118" s="376" t="e">
        <f>IFERROR(IF(AND($DF118&lt;&gt;0,$DG118&gt;BR$97),NA(),IF($BD118&gt;LBP/2,-(-Tools!AR23),-Tools!AR23)),NA())</f>
        <v>#N/A</v>
      </c>
      <c r="BS118" s="376" t="e">
        <f>IFERROR(IF(AND($DF118&lt;&gt;0,$DG118&gt;BS$97),NA(),IF($BD118&gt;LBP/2,-(-Tools!AS23),-Tools!AS23)),NA())</f>
        <v>#N/A</v>
      </c>
      <c r="BT118" s="376" t="e">
        <f>IFERROR(IF(AND($DF118&lt;&gt;0,$DG118&gt;BT$97),NA(),IF($BD118&gt;LBP/2,-(-Tools!AT23),-Tools!AT23)),NA())</f>
        <v>#N/A</v>
      </c>
      <c r="BU118" s="376" t="e">
        <f>IFERROR(IF(AND($DF118&lt;&gt;0,$DG118&gt;BU$97),NA(),IF($BD118&gt;LBP/2,-(-Tools!AU23),-Tools!AU23)),NA())</f>
        <v>#N/A</v>
      </c>
      <c r="BV118" s="376" t="e">
        <f>IFERROR(IF(AND($DF118&lt;&gt;0,$DG118&gt;BV$97),NA(),IF($BD118&gt;LBP/2,-(-Tools!AV23),-Tools!AV23)),NA())</f>
        <v>#N/A</v>
      </c>
      <c r="BW118" s="376" t="e">
        <f>IFERROR(IF(AND($DF118&lt;&gt;0,$DG118&gt;BW$97),NA(),IF($BD118&gt;LBP/2,-(-Tools!AW23),-Tools!AW23)),NA())</f>
        <v>#N/A</v>
      </c>
      <c r="BX118" s="376" t="e">
        <f>IFERROR(IF(AND($DF118&lt;&gt;0,$DG118&gt;BX$97),NA(),IF($BD118&gt;LBP/2,-(-Tools!AX23),-Tools!AX23)),NA())</f>
        <v>#N/A</v>
      </c>
      <c r="BY118" s="376" t="e">
        <f>IFERROR(IF(AND($DF118&lt;&gt;0,$DG118&gt;BY$97),NA(),IF($BD118&gt;LBP/2,-(-Tools!AY23),-Tools!AY23)),NA())</f>
        <v>#N/A</v>
      </c>
      <c r="BZ118" s="376" t="e">
        <f>IFERROR(IF(AND($DF118&lt;&gt;0,$DG118&gt;BZ$97),NA(),IF($BD118&gt;LBP/2,-(-Tools!AZ23),-Tools!AZ23)),NA())</f>
        <v>#N/A</v>
      </c>
      <c r="CA118" s="376" t="e">
        <f>IFERROR(IF(AND($DF118&lt;&gt;0,$DG118&gt;CA$97),NA(),IF($BD118&gt;LBP/2,-(-Tools!BA23),-Tools!BA23)),NA())</f>
        <v>#N/A</v>
      </c>
      <c r="CB118" s="376" t="e">
        <f>IFERROR(IF(AND($DF118&lt;&gt;0,$DG118&gt;CB$97),NA(),IF($BD118&gt;LBP/2,-(-Tools!BB23),-Tools!BB23)),NA())</f>
        <v>#N/A</v>
      </c>
      <c r="CC118" s="376" t="e">
        <f>IFERROR(IF(AND($DF118&lt;&gt;0,$DG118&gt;CC$97),NA(),IF($BD118&gt;LBP/2,-(-Tools!BC23),-Tools!BC23)),NA())</f>
        <v>#N/A</v>
      </c>
      <c r="CE118" s="425" t="b">
        <f>AND(AE23=0,AF23=0)</f>
        <v>0</v>
      </c>
      <c r="CF118" s="425" t="b">
        <f t="shared" si="208"/>
        <v>0</v>
      </c>
      <c r="CG118" s="425" t="b">
        <f t="shared" si="209"/>
        <v>0</v>
      </c>
      <c r="CH118" s="425" t="b">
        <f t="shared" si="210"/>
        <v>0</v>
      </c>
      <c r="CI118" s="425" t="b">
        <f t="shared" si="211"/>
        <v>0</v>
      </c>
      <c r="CJ118" s="425" t="b">
        <f t="shared" si="212"/>
        <v>0</v>
      </c>
      <c r="CK118" s="425" t="b">
        <f t="shared" si="213"/>
        <v>0</v>
      </c>
      <c r="CL118" s="425" t="b">
        <f t="shared" si="214"/>
        <v>0</v>
      </c>
      <c r="CM118" s="425" t="b">
        <f t="shared" si="215"/>
        <v>0</v>
      </c>
      <c r="CN118" s="425" t="b">
        <f t="shared" si="216"/>
        <v>0</v>
      </c>
      <c r="CO118" s="425" t="b">
        <f t="shared" si="217"/>
        <v>0</v>
      </c>
      <c r="CP118" s="425" t="b">
        <f t="shared" si="218"/>
        <v>0</v>
      </c>
      <c r="CQ118" s="425" t="b">
        <f t="shared" si="219"/>
        <v>0</v>
      </c>
      <c r="CR118" s="425" t="b">
        <f t="shared" si="220"/>
        <v>0</v>
      </c>
      <c r="CS118" s="425" t="b">
        <f t="shared" si="221"/>
        <v>0</v>
      </c>
      <c r="CT118" s="425" t="b">
        <f t="shared" si="222"/>
        <v>0</v>
      </c>
      <c r="CU118" s="425" t="b">
        <f t="shared" si="223"/>
        <v>0</v>
      </c>
      <c r="CV118" s="425" t="b">
        <f t="shared" si="224"/>
        <v>0</v>
      </c>
      <c r="CW118" s="425" t="b">
        <f t="shared" si="225"/>
        <v>0</v>
      </c>
      <c r="CX118" s="425" t="b">
        <f t="shared" si="226"/>
        <v>0</v>
      </c>
      <c r="CY118" s="425" t="b">
        <f t="shared" si="227"/>
        <v>0</v>
      </c>
      <c r="CZ118" s="425" t="b">
        <f t="shared" si="228"/>
        <v>0</v>
      </c>
      <c r="DA118" s="425" t="b">
        <f t="shared" si="229"/>
        <v>0</v>
      </c>
      <c r="DB118" s="425" t="b">
        <f t="shared" si="230"/>
        <v>0</v>
      </c>
      <c r="DC118" s="425">
        <f>$DF118+(IF(ISNUMBER($DE118),1,0))</f>
        <v>0</v>
      </c>
      <c r="DD118" s="425">
        <f t="shared" si="261"/>
        <v>0</v>
      </c>
      <c r="DE118" s="425" t="str">
        <f t="shared" si="231"/>
        <v>-</v>
      </c>
      <c r="DF118" s="425">
        <f>IFERROR(VLOOKUP($BD$97,$BD$97:$CC$97,DD118+2,FALSE)*1,-1)</f>
        <v>0</v>
      </c>
      <c r="DG118" s="425">
        <f>IFERROR(VLOOKUP($BD$97,$BD$97:$CC$97,DD118+2+IF(ISNUMBER(DE118),1,0),FALSE)*1,-1)</f>
        <v>0</v>
      </c>
      <c r="DH118" s="425">
        <f t="shared" si="233"/>
        <v>18</v>
      </c>
      <c r="DI118" s="425"/>
      <c r="DJ118" s="425" t="e">
        <f t="shared" si="263"/>
        <v>#N/A</v>
      </c>
      <c r="DK118" s="425">
        <f t="shared" si="180"/>
        <v>0</v>
      </c>
      <c r="DL118" s="425">
        <f t="shared" si="181"/>
        <v>1.49</v>
      </c>
      <c r="DM118" s="425">
        <f t="shared" si="182"/>
        <v>2.23</v>
      </c>
      <c r="DN118" s="425">
        <f t="shared" si="183"/>
        <v>2.69</v>
      </c>
      <c r="DO118" s="425">
        <f t="shared" si="184"/>
        <v>2.97</v>
      </c>
      <c r="DP118" s="425">
        <f t="shared" si="185"/>
        <v>3.25</v>
      </c>
      <c r="DQ118" s="425">
        <f t="shared" si="186"/>
        <v>3.51</v>
      </c>
      <c r="DR118" s="425">
        <f t="shared" si="187"/>
        <v>4.28</v>
      </c>
      <c r="DS118" s="425">
        <f t="shared" si="188"/>
        <v>4.97</v>
      </c>
      <c r="DT118" s="425">
        <f t="shared" si="189"/>
        <v>5.47</v>
      </c>
      <c r="DU118" s="425">
        <f t="shared" si="190"/>
        <v>6.84</v>
      </c>
      <c r="DV118" s="425">
        <f t="shared" si="191"/>
        <v>9.77</v>
      </c>
      <c r="DW118" s="425" t="e">
        <f t="shared" si="192"/>
        <v>#N/A</v>
      </c>
      <c r="DX118" s="425" t="e">
        <f t="shared" si="193"/>
        <v>#N/A</v>
      </c>
      <c r="DY118" s="425" t="e">
        <f t="shared" si="194"/>
        <v>#N/A</v>
      </c>
      <c r="DZ118" s="425" t="e">
        <f t="shared" si="195"/>
        <v>#N/A</v>
      </c>
      <c r="EA118" s="425" t="e">
        <f t="shared" si="196"/>
        <v>#N/A</v>
      </c>
      <c r="EB118" s="425" t="e">
        <f t="shared" si="197"/>
        <v>#N/A</v>
      </c>
      <c r="EC118" s="425" t="e">
        <f t="shared" si="198"/>
        <v>#N/A</v>
      </c>
      <c r="ED118" s="425" t="e">
        <f t="shared" si="199"/>
        <v>#N/A</v>
      </c>
      <c r="EE118" s="425" t="e">
        <f t="shared" si="200"/>
        <v>#N/A</v>
      </c>
      <c r="EF118" s="425" t="e">
        <f t="shared" si="201"/>
        <v>#N/A</v>
      </c>
      <c r="EG118" s="425" t="e">
        <f t="shared" si="202"/>
        <v>#N/A</v>
      </c>
      <c r="EH118" s="425" t="e">
        <f t="shared" si="203"/>
        <v>#N/A</v>
      </c>
      <c r="EI118" s="425" t="e">
        <f t="shared" si="204"/>
        <v>#N/A</v>
      </c>
      <c r="EJ118" s="425"/>
      <c r="EK118" s="425"/>
      <c r="EL118" s="425" t="e">
        <f t="shared" si="234"/>
        <v>#N/A</v>
      </c>
      <c r="EM118" s="425">
        <f t="shared" si="264"/>
        <v>0</v>
      </c>
      <c r="EN118" s="425">
        <f t="shared" si="236"/>
        <v>0.9</v>
      </c>
      <c r="EO118" s="425">
        <f t="shared" si="237"/>
        <v>1.8</v>
      </c>
      <c r="EP118" s="425">
        <f t="shared" si="238"/>
        <v>2.7</v>
      </c>
      <c r="EQ118" s="425">
        <f t="shared" si="239"/>
        <v>3.6</v>
      </c>
      <c r="ER118" s="425">
        <f t="shared" si="240"/>
        <v>5.4</v>
      </c>
      <c r="ES118" s="425">
        <f t="shared" si="241"/>
        <v>7.2</v>
      </c>
      <c r="ET118" s="425">
        <f t="shared" si="242"/>
        <v>9</v>
      </c>
      <c r="EU118" s="425">
        <f t="shared" si="243"/>
        <v>10.1</v>
      </c>
      <c r="EV118" s="425">
        <f t="shared" si="244"/>
        <v>10.8</v>
      </c>
      <c r="EW118" s="425">
        <f t="shared" si="245"/>
        <v>12.6</v>
      </c>
      <c r="EX118" s="425">
        <f t="shared" si="246"/>
        <v>14.19</v>
      </c>
      <c r="EY118" s="425" t="e">
        <f t="shared" si="247"/>
        <v>#N/A</v>
      </c>
      <c r="EZ118" s="425" t="e">
        <f t="shared" si="248"/>
        <v>#N/A</v>
      </c>
      <c r="FA118" s="425" t="e">
        <f t="shared" si="249"/>
        <v>#N/A</v>
      </c>
      <c r="FB118" s="425" t="e">
        <f t="shared" si="250"/>
        <v>#N/A</v>
      </c>
      <c r="FC118" s="425" t="e">
        <f t="shared" si="251"/>
        <v>#N/A</v>
      </c>
      <c r="FD118" s="425" t="e">
        <f t="shared" si="252"/>
        <v>#N/A</v>
      </c>
      <c r="FE118" s="425" t="e">
        <f t="shared" si="253"/>
        <v>#N/A</v>
      </c>
      <c r="FF118" s="425" t="e">
        <f t="shared" si="254"/>
        <v>#N/A</v>
      </c>
      <c r="FG118" s="425" t="e">
        <f t="shared" si="255"/>
        <v>#N/A</v>
      </c>
      <c r="FH118" s="425" t="e">
        <f t="shared" si="256"/>
        <v>#N/A</v>
      </c>
      <c r="FI118" s="425" t="e">
        <f t="shared" si="257"/>
        <v>#N/A</v>
      </c>
      <c r="FJ118" s="425" t="e">
        <f t="shared" si="258"/>
        <v>#N/A</v>
      </c>
      <c r="FK118" s="425" t="e">
        <f t="shared" si="259"/>
        <v>#N/A</v>
      </c>
    </row>
    <row r="119" spans="1:199" x14ac:dyDescent="0.25">
      <c r="A119" s="374" t="str">
        <f t="shared" si="206"/>
        <v xml:space="preserve">  </v>
      </c>
      <c r="B119" s="377" t="str">
        <f>IFERROR(IF(ISERROR(CP148),"",CONCATENATE(ROUND(X_SHIFT_BP+IF(Tools!B$97&lt;=Tools!$D$47/2,-BF24,BF24),3),",",ROUND(WLS*$AP60,3)," ")),"")</f>
        <v/>
      </c>
      <c r="C119" s="377" t="str">
        <f>IFERROR(IF(ISERROR(CQ148),"",CONCATENATE(ROUND(X_SHIFT_BP+IF(Tools!C$97&lt;=Tools!$D$47/2,-BG24,BG24),3),",",ROUND(WLS*$AP60,3)," ")),"")</f>
        <v/>
      </c>
      <c r="D119" s="377" t="str">
        <f>IFERROR(IF(ISERROR(CR148),"",CONCATENATE(ROUND(X_SHIFT_BP+IF(Tools!D$97&lt;=Tools!$D$47/2,-BH24,BH24),3),",",ROUND(WLS*$AP60,3)," ")),"")</f>
        <v/>
      </c>
      <c r="E119" s="377" t="str">
        <f>IFERROR(IF(ISERROR(CS148),"",CONCATENATE(ROUND(X_SHIFT_BP+IF(Tools!E$97&lt;=Tools!$D$47/2,-BI24,BI24),3),",",ROUND(WLS*$AP60,3)," ")),"")</f>
        <v/>
      </c>
      <c r="F119" s="377" t="str">
        <f>IFERROR(IF(ISERROR(CT148),"",CONCATENATE(ROUND(X_SHIFT_BP+IF(Tools!F$97&lt;=Tools!$D$47/2,-BJ24,BJ24),3),",",ROUND(WLS*$AP60,3)," ")),"")</f>
        <v/>
      </c>
      <c r="G119" s="377" t="str">
        <f>IFERROR(IF(ISERROR(CU148),"",CONCATENATE(ROUND(X_SHIFT_BP+IF(Tools!G$97&lt;=Tools!$D$47/2,-BK24,BK24),3),",",ROUND(WLS*$AP60,3)," ")),"")</f>
        <v/>
      </c>
      <c r="H119" s="377" t="str">
        <f>IFERROR(IF(ISERROR(CV148),"",CONCATENATE(ROUND(X_SHIFT_BP+IF(Tools!H$97&lt;=Tools!$D$47/2,-BL24,BL24),3),",",ROUND(WLS*$AP60,3)," ")),"")</f>
        <v/>
      </c>
      <c r="I119" s="377" t="str">
        <f>IFERROR(IF(ISERROR(CW148),"",CONCATENATE(ROUND(X_SHIFT_BP+IF(Tools!I$97&lt;=Tools!$D$47/2,-BM24,BM24),3),",",ROUND(WLS*$AP60,3)," ")),"")</f>
        <v/>
      </c>
      <c r="J119" s="377" t="str">
        <f>IFERROR(IF(ISERROR(CX148),"",CONCATENATE(ROUND(X_SHIFT_BP+IF(Tools!J$97&lt;=Tools!$D$47/2,-BN24,BN24),3),",",ROUND(WLS*$AP60,3)," ")),"")</f>
        <v/>
      </c>
      <c r="K119" s="377" t="str">
        <f>IFERROR(IF(ISERROR(CY148),"",CONCATENATE(ROUND(X_SHIFT_BP+IF(Tools!K$97&lt;=Tools!$D$47/2,-BO24,BO24),3),",",ROUND(WLS*$AP60,3)," ")),"")</f>
        <v/>
      </c>
      <c r="L119" s="377" t="str">
        <f>IFERROR(IF(ISERROR(CZ148),"",CONCATENATE(ROUND(X_SHIFT_BP+IF(Tools!L$97&lt;=Tools!$D$47/2,-BP24,BP24),3),",",ROUND(WLS*$AP60,3)," ")),"")</f>
        <v/>
      </c>
      <c r="M119" s="377" t="str">
        <f>IFERROR(IF(ISERROR(DA148),"",CONCATENATE(ROUND(X_SHIFT_BP+IF(Tools!M$97&lt;=Tools!$D$47/2,-BQ24,BQ24),3),",",ROUND(WLS*$AP60,3)," ")),"")</f>
        <v/>
      </c>
      <c r="N119" s="377" t="str">
        <f>IFERROR(IF(ISERROR(DB148),"",CONCATENATE(ROUND(X_SHIFT_BP+IF(Tools!N$97&lt;=Tools!$D$47/2,-BR24,BR24),3),",",ROUND(WLS*$AP60,3)," ")),"")</f>
        <v/>
      </c>
      <c r="O119" s="377" t="str">
        <f>IFERROR(IF(ISERROR(DC148),"",CONCATENATE(ROUND(X_SHIFT_BP+IF(Tools!O$97&lt;=Tools!$D$47/2,-BS24,BS24),3),",",ROUND(WLS*$AP60,3)," ")),"")</f>
        <v/>
      </c>
      <c r="P119" s="377" t="str">
        <f>IFERROR(IF(ISERROR(DD148),"",CONCATENATE(ROUND(X_SHIFT_BP+IF(Tools!P$97&lt;=Tools!$D$47/2,-BT24,BT24),3),",",ROUND(WLS*$AP60,3)," ")),"")</f>
        <v/>
      </c>
      <c r="Q119" s="377" t="str">
        <f>IFERROR(IF(ISERROR(DE148),"",CONCATENATE(ROUND(X_SHIFT_BP+IF(Tools!Q$97&lt;=Tools!$D$47/2,-BU24,BU24),3),",",ROUND(WLS*$AP60,3)," ")),"")</f>
        <v/>
      </c>
      <c r="R119" s="377" t="str">
        <f>IFERROR(IF(ISERROR(DF148),"",CONCATENATE(ROUND(X_SHIFT_BP+IF(Tools!R$97&lt;=Tools!$D$47/2,-BV24,BV24),3),",",ROUND(WLS*$AP60,3)," ")),"")</f>
        <v/>
      </c>
      <c r="S119" s="377" t="str">
        <f>IFERROR(IF(ISERROR(DG148),"",CONCATENATE(ROUND(X_SHIFT_BP+IF(Tools!S$97&lt;=Tools!$D$47/2,-BW24,BW24),3),",",ROUND(WLS*$AP60,3)," ")),"")</f>
        <v/>
      </c>
      <c r="T119" s="377" t="str">
        <f>IFERROR(IF(ISERROR(DH148),"",CONCATENATE(ROUND(X_SHIFT_BP+IF(Tools!T$97&lt;=Tools!$D$47/2,-BX24,BX24),3),",",ROUND(WLS*$AP60,3)," ")),"")</f>
        <v/>
      </c>
      <c r="U119" s="377" t="str">
        <f>IFERROR(IF(ISERROR(DI148),"",CONCATENATE(ROUND(X_SHIFT_BP+IF(Tools!U$97&lt;=Tools!$D$47/2,-BY24,BY24),3),",",ROUND(WLS*$AP60,3)," ")),"")</f>
        <v/>
      </c>
      <c r="V119" s="377" t="str">
        <f>IFERROR(IF(ISERROR(DJ148),"",CONCATENATE(ROUND(X_SHIFT_BP+IF(Tools!V$97&lt;=Tools!$D$47/2,-BZ24,BZ24),3),",",ROUND(WLS*$AP60,3)," ")),"")</f>
        <v/>
      </c>
      <c r="W119" s="377" t="str">
        <f>IFERROR(IF(ISERROR(DK148),"",CONCATENATE(ROUND(X_SHIFT_BP+IF(Tools!W$97&lt;=Tools!$D$47/2,-CA24,CA24),3),",",ROUND(WLS*$AP60,3)," ")),"")</f>
        <v/>
      </c>
      <c r="X119" s="377" t="str">
        <f>IFERROR(IF(ISERROR(DL148),"",CONCATENATE(ROUND(X_SHIFT_BP+IF(Tools!X$97&lt;=Tools!$D$47/2,-CB24,CB24),3),",",ROUND(WLS*$AP60,3)," ")),"")</f>
        <v/>
      </c>
      <c r="Y119" s="377" t="str">
        <f>IFERROR(IF(ISERROR(DM148),"",CONCATENATE(ROUND(X_SHIFT_BP+IF(Tools!Y$97&lt;=Tools!$D$47/2,-CC24,CC24),3),",",ROUND(WLS*$AP60,3)," ")),"")</f>
        <v/>
      </c>
      <c r="Z119" s="377" t="str">
        <f>IFERROR(IF(ISERROR(DN148),"",CONCATENATE(ROUND(X_SHIFT_BP+IF(Tools!Z$97&lt;=Tools!$D$47/2,-CD24,CD24),3),",",ROUND(WLS*$AP60,3)," ")),"")</f>
        <v/>
      </c>
      <c r="AA119" s="129">
        <v>11</v>
      </c>
      <c r="AB119" s="245" t="str">
        <f t="shared" si="260"/>
        <v xml:space="preserve">Spline </v>
      </c>
      <c r="AC119" s="129" t="str">
        <v xml:space="preserve">155.435,0.32 </v>
      </c>
      <c r="AD119" s="245" t="str">
        <v/>
      </c>
      <c r="AE119" s="245" t="str">
        <v xml:space="preserve">156.475,0.9 </v>
      </c>
      <c r="AF119" s="245" t="str">
        <v xml:space="preserve">157.135,1.8 </v>
      </c>
      <c r="AG119" s="245" t="str">
        <v xml:space="preserve">157.575,2.7 </v>
      </c>
      <c r="AH119" s="245" t="str">
        <v xml:space="preserve">157.835,3.6 </v>
      </c>
      <c r="AI119" s="245" t="str">
        <v xml:space="preserve">158.005,5.4 </v>
      </c>
      <c r="AJ119" s="245" t="str">
        <v xml:space="preserve">157.985,7.2 </v>
      </c>
      <c r="AK119" s="245" t="str">
        <v xml:space="preserve">158.555,9 </v>
      </c>
      <c r="AL119" s="245" t="str">
        <v xml:space="preserve">159.225,10.1 </v>
      </c>
      <c r="AM119" s="245" t="str">
        <v xml:space="preserve">159.735,10.8 </v>
      </c>
      <c r="AN119" s="245" t="str">
        <v xml:space="preserve">161.145,12.6 </v>
      </c>
      <c r="AO119" s="245" t="str">
        <v xml:space="preserve">163.535,14.19 </v>
      </c>
      <c r="AP119" s="245" t="str">
        <v/>
      </c>
      <c r="AQ119" s="245" t="str">
        <v/>
      </c>
      <c r="AR119" s="245" t="str">
        <v/>
      </c>
      <c r="AS119" s="245" t="str">
        <v/>
      </c>
      <c r="AT119" s="245" t="str">
        <v/>
      </c>
      <c r="AU119" s="245" t="str">
        <v/>
      </c>
      <c r="AV119" s="245" t="str">
        <v/>
      </c>
      <c r="AW119" s="245" t="str">
        <v/>
      </c>
      <c r="AX119" s="245" t="str">
        <v/>
      </c>
      <c r="AY119" s="245" t="str">
        <v/>
      </c>
      <c r="AZ119" s="245" t="str">
        <v/>
      </c>
      <c r="BA119" s="245" t="str">
        <v/>
      </c>
      <c r="BB119" s="245" t="str">
        <v/>
      </c>
      <c r="BC119" s="376">
        <f>Tools!AD24</f>
        <v>18.5</v>
      </c>
      <c r="BD119" s="376">
        <f>IFERROR(Tools!AD24*STN_GAP,"")</f>
        <v>121.82249999999998</v>
      </c>
      <c r="BE119" s="496" t="e">
        <f>IFERROR(IF(ISNUMBER(DE119),NA(),IF(AND($DF119&lt;&gt;0,$DG119&gt;BE$97),NA(),IF($BD119&gt;LBP/2,-(-Tools!AE24),-Tools!AE24))),NA())</f>
        <v>#N/A</v>
      </c>
      <c r="BF119" s="376">
        <f>IFERROR(IF(AND($DF119&lt;&gt;0,$DG119&gt;BF$97),NA(),IF($BD119&gt;LBP/2,-(-Tools!AF24),-Tools!AF24)),NA())</f>
        <v>1.04</v>
      </c>
      <c r="BG119" s="376">
        <f>IFERROR(IF(AND($DF119&lt;&gt;0,$DG119&gt;BG$97),NA(),IF($BD119&gt;LBP/2,-(-Tools!AG24),-Tools!AG24)),NA())</f>
        <v>1.7</v>
      </c>
      <c r="BH119" s="376">
        <f>IFERROR(IF(AND($DF119&lt;&gt;0,$DG119&gt;BH$97),NA(),IF($BD119&gt;LBP/2,-(-Tools!AH24),-Tools!AH24)),NA())</f>
        <v>2.14</v>
      </c>
      <c r="BI119" s="376">
        <f>IFERROR(IF(AND($DF119&lt;&gt;0,$DG119&gt;BI$97),NA(),IF($BD119&gt;LBP/2,-(-Tools!AI24),-Tools!AI24)),NA())</f>
        <v>2.4</v>
      </c>
      <c r="BJ119" s="376">
        <f>IFERROR(IF(AND($DF119&lt;&gt;0,$DG119&gt;BJ$97),NA(),IF($BD119&gt;LBP/2,-(-Tools!AJ24),-Tools!AJ24)),NA())</f>
        <v>2.57</v>
      </c>
      <c r="BK119" s="376">
        <f>IFERROR(IF(AND($DF119&lt;&gt;0,$DG119&gt;BK$97),NA(),IF($BD119&gt;LBP/2,-(-Tools!AK24),-Tools!AK24)),NA())</f>
        <v>2.5499999999999998</v>
      </c>
      <c r="BL119" s="376">
        <f>IFERROR(IF(AND($DF119&lt;&gt;0,$DG119&gt;BL$97),NA(),IF($BD119&gt;LBP/2,-(-Tools!AL24),-Tools!AL24)),NA())</f>
        <v>3.12</v>
      </c>
      <c r="BM119" s="376">
        <f>IFERROR(IF(AND($DF119&lt;&gt;0,$DG119&gt;BM$97),NA(),IF($BD119&gt;LBP/2,-(-Tools!AM24),-Tools!AM24)),NA())</f>
        <v>3.79</v>
      </c>
      <c r="BN119" s="376">
        <f>IFERROR(IF(AND($DF119&lt;&gt;0,$DG119&gt;BN$97),NA(),IF($BD119&gt;LBP/2,-(-Tools!AN24),-Tools!AN24)),NA())</f>
        <v>4.3</v>
      </c>
      <c r="BO119" s="376">
        <f>IFERROR(IF(AND($DF119&lt;&gt;0,$DG119&gt;BO$97),NA(),IF($BD119&gt;LBP/2,-(-Tools!AO24),-Tools!AO24)),NA())</f>
        <v>5.71</v>
      </c>
      <c r="BP119" s="376">
        <f>IFERROR(IF(AND($DF119&lt;&gt;0,$DG119&gt;BP$97),NA(),IF($BD119&gt;LBP/2,-(-Tools!AP24),-Tools!AP24)),NA())</f>
        <v>8.1</v>
      </c>
      <c r="BQ119" s="376" t="e">
        <f>IFERROR(IF(AND($DF119&lt;&gt;0,$DG119&gt;BQ$97),NA(),IF($BD119&gt;LBP/2,-(-Tools!AQ24),-Tools!AQ24)),NA())</f>
        <v>#N/A</v>
      </c>
      <c r="BR119" s="376" t="e">
        <f>IFERROR(IF(AND($DF119&lt;&gt;0,$DG119&gt;BR$97),NA(),IF($BD119&gt;LBP/2,-(-Tools!AR24),-Tools!AR24)),NA())</f>
        <v>#N/A</v>
      </c>
      <c r="BS119" s="376" t="e">
        <f>IFERROR(IF(AND($DF119&lt;&gt;0,$DG119&gt;BS$97),NA(),IF($BD119&gt;LBP/2,-(-Tools!AS24),-Tools!AS24)),NA())</f>
        <v>#N/A</v>
      </c>
      <c r="BT119" s="376" t="e">
        <f>IFERROR(IF(AND($DF119&lt;&gt;0,$DG119&gt;BT$97),NA(),IF($BD119&gt;LBP/2,-(-Tools!AT24),-Tools!AT24)),NA())</f>
        <v>#N/A</v>
      </c>
      <c r="BU119" s="376" t="e">
        <f>IFERROR(IF(AND($DF119&lt;&gt;0,$DG119&gt;BU$97),NA(),IF($BD119&gt;LBP/2,-(-Tools!AU24),-Tools!AU24)),NA())</f>
        <v>#N/A</v>
      </c>
      <c r="BV119" s="376" t="e">
        <f>IFERROR(IF(AND($DF119&lt;&gt;0,$DG119&gt;BV$97),NA(),IF($BD119&gt;LBP/2,-(-Tools!AV24),-Tools!AV24)),NA())</f>
        <v>#N/A</v>
      </c>
      <c r="BW119" s="376" t="e">
        <f>IFERROR(IF(AND($DF119&lt;&gt;0,$DG119&gt;BW$97),NA(),IF($BD119&gt;LBP/2,-(-Tools!AW24),-Tools!AW24)),NA())</f>
        <v>#N/A</v>
      </c>
      <c r="BX119" s="376" t="e">
        <f>IFERROR(IF(AND($DF119&lt;&gt;0,$DG119&gt;BX$97),NA(),IF($BD119&gt;LBP/2,-(-Tools!AX24),-Tools!AX24)),NA())</f>
        <v>#N/A</v>
      </c>
      <c r="BY119" s="376" t="e">
        <f>IFERROR(IF(AND($DF119&lt;&gt;0,$DG119&gt;BY$97),NA(),IF($BD119&gt;LBP/2,-(-Tools!AY24),-Tools!AY24)),NA())</f>
        <v>#N/A</v>
      </c>
      <c r="BZ119" s="376" t="e">
        <f>IFERROR(IF(AND($DF119&lt;&gt;0,$DG119&gt;BZ$97),NA(),IF($BD119&gt;LBP/2,-(-Tools!AZ24),-Tools!AZ24)),NA())</f>
        <v>#N/A</v>
      </c>
      <c r="CA119" s="376" t="e">
        <f>IFERROR(IF(AND($DF119&lt;&gt;0,$DG119&gt;CA$97),NA(),IF($BD119&gt;LBP/2,-(-Tools!BA24),-Tools!BA24)),NA())</f>
        <v>#N/A</v>
      </c>
      <c r="CB119" s="376" t="e">
        <f>IFERROR(IF(AND($DF119&lt;&gt;0,$DG119&gt;CB$97),NA(),IF($BD119&gt;LBP/2,-(-Tools!BB24),-Tools!BB24)),NA())</f>
        <v>#N/A</v>
      </c>
      <c r="CC119" s="376" t="e">
        <f>IFERROR(IF(AND($DF119&lt;&gt;0,$DG119&gt;CC$97),NA(),IF($BD119&gt;LBP/2,-(-Tools!BC24),-Tools!BC24)),NA())</f>
        <v>#N/A</v>
      </c>
      <c r="CE119" s="425" t="b">
        <f t="shared" si="207"/>
        <v>0</v>
      </c>
      <c r="CF119" s="425" t="b">
        <f t="shared" si="208"/>
        <v>0</v>
      </c>
      <c r="CG119" s="425" t="b">
        <f t="shared" si="209"/>
        <v>0</v>
      </c>
      <c r="CH119" s="425" t="b">
        <f t="shared" si="210"/>
        <v>0</v>
      </c>
      <c r="CI119" s="425" t="b">
        <f t="shared" si="211"/>
        <v>0</v>
      </c>
      <c r="CJ119" s="425" t="b">
        <f t="shared" si="212"/>
        <v>0</v>
      </c>
      <c r="CK119" s="425" t="b">
        <f t="shared" si="213"/>
        <v>0</v>
      </c>
      <c r="CL119" s="425" t="b">
        <f t="shared" si="214"/>
        <v>0</v>
      </c>
      <c r="CM119" s="425" t="b">
        <f t="shared" si="215"/>
        <v>0</v>
      </c>
      <c r="CN119" s="425" t="b">
        <f t="shared" si="216"/>
        <v>0</v>
      </c>
      <c r="CO119" s="425" t="b">
        <f t="shared" si="217"/>
        <v>0</v>
      </c>
      <c r="CP119" s="425" t="b">
        <f t="shared" si="218"/>
        <v>0</v>
      </c>
      <c r="CQ119" s="425" t="b">
        <f t="shared" si="219"/>
        <v>0</v>
      </c>
      <c r="CR119" s="425" t="b">
        <f t="shared" si="220"/>
        <v>0</v>
      </c>
      <c r="CS119" s="425" t="b">
        <f t="shared" si="221"/>
        <v>0</v>
      </c>
      <c r="CT119" s="425" t="b">
        <f t="shared" si="222"/>
        <v>0</v>
      </c>
      <c r="CU119" s="425" t="b">
        <f t="shared" si="223"/>
        <v>0</v>
      </c>
      <c r="CV119" s="425" t="b">
        <f t="shared" si="224"/>
        <v>0</v>
      </c>
      <c r="CW119" s="425" t="b">
        <f t="shared" si="225"/>
        <v>0</v>
      </c>
      <c r="CX119" s="425" t="b">
        <f t="shared" si="226"/>
        <v>0</v>
      </c>
      <c r="CY119" s="425" t="b">
        <f t="shared" si="227"/>
        <v>0</v>
      </c>
      <c r="CZ119" s="425" t="b">
        <f t="shared" si="228"/>
        <v>0</v>
      </c>
      <c r="DA119" s="425" t="b">
        <f t="shared" si="229"/>
        <v>0</v>
      </c>
      <c r="DB119" s="425" t="b">
        <f t="shared" si="230"/>
        <v>0</v>
      </c>
      <c r="DC119" s="425"/>
      <c r="DD119" s="425">
        <f t="shared" si="261"/>
        <v>0</v>
      </c>
      <c r="DE119" s="425">
        <f t="shared" si="231"/>
        <v>0.17777777777777778</v>
      </c>
      <c r="DF119" s="425">
        <f t="shared" ref="DF119:DF122" si="265">IFERROR(VLOOKUP($BD$97,$BD$97:$CC$97,DD119+2,FALSE)*1,-1)</f>
        <v>0</v>
      </c>
      <c r="DG119" s="425">
        <f t="shared" ref="DG119:DG122" si="266">IFERROR(VLOOKUP($BD$97,$BD$97:$CC$97,DD119+2+IF(ISNUMBER(DE119),1,0),FALSE)*1,-1)</f>
        <v>0.9</v>
      </c>
      <c r="DH119" s="425">
        <f t="shared" si="233"/>
        <v>18.5</v>
      </c>
      <c r="DI119" s="425"/>
      <c r="DJ119" s="425">
        <f t="shared" si="263"/>
        <v>0</v>
      </c>
      <c r="DK119" s="425" t="e">
        <f t="shared" si="180"/>
        <v>#N/A</v>
      </c>
      <c r="DL119" s="425">
        <f t="shared" si="181"/>
        <v>1.04</v>
      </c>
      <c r="DM119" s="425">
        <f t="shared" si="182"/>
        <v>1.7</v>
      </c>
      <c r="DN119" s="425">
        <f t="shared" si="183"/>
        <v>2.14</v>
      </c>
      <c r="DO119" s="425">
        <f t="shared" si="184"/>
        <v>2.4</v>
      </c>
      <c r="DP119" s="425">
        <f t="shared" si="185"/>
        <v>2.57</v>
      </c>
      <c r="DQ119" s="425">
        <f t="shared" si="186"/>
        <v>2.5499999999999998</v>
      </c>
      <c r="DR119" s="425">
        <f t="shared" si="187"/>
        <v>3.12</v>
      </c>
      <c r="DS119" s="425">
        <f t="shared" si="188"/>
        <v>3.79</v>
      </c>
      <c r="DT119" s="425">
        <f t="shared" si="189"/>
        <v>4.3</v>
      </c>
      <c r="DU119" s="425">
        <f t="shared" si="190"/>
        <v>5.71</v>
      </c>
      <c r="DV119" s="425">
        <f t="shared" si="191"/>
        <v>8.1</v>
      </c>
      <c r="DW119" s="425" t="e">
        <f t="shared" si="192"/>
        <v>#N/A</v>
      </c>
      <c r="DX119" s="425" t="e">
        <f t="shared" si="193"/>
        <v>#N/A</v>
      </c>
      <c r="DY119" s="425" t="e">
        <f t="shared" si="194"/>
        <v>#N/A</v>
      </c>
      <c r="DZ119" s="425" t="e">
        <f t="shared" si="195"/>
        <v>#N/A</v>
      </c>
      <c r="EA119" s="425" t="e">
        <f t="shared" si="196"/>
        <v>#N/A</v>
      </c>
      <c r="EB119" s="425" t="e">
        <f t="shared" si="197"/>
        <v>#N/A</v>
      </c>
      <c r="EC119" s="425" t="e">
        <f t="shared" si="198"/>
        <v>#N/A</v>
      </c>
      <c r="ED119" s="425" t="e">
        <f t="shared" si="199"/>
        <v>#N/A</v>
      </c>
      <c r="EE119" s="425" t="e">
        <f t="shared" si="200"/>
        <v>#N/A</v>
      </c>
      <c r="EF119" s="425" t="e">
        <f t="shared" si="201"/>
        <v>#N/A</v>
      </c>
      <c r="EG119" s="425" t="e">
        <f t="shared" si="202"/>
        <v>#N/A</v>
      </c>
      <c r="EH119" s="425" t="e">
        <f t="shared" si="203"/>
        <v>#N/A</v>
      </c>
      <c r="EI119" s="425" t="e">
        <f t="shared" si="204"/>
        <v>#N/A</v>
      </c>
      <c r="EJ119" s="425"/>
      <c r="EK119" s="425"/>
      <c r="EL119" s="425">
        <f t="shared" si="234"/>
        <v>0.32</v>
      </c>
      <c r="EM119" s="425">
        <f t="shared" si="264"/>
        <v>0</v>
      </c>
      <c r="EN119" s="425">
        <f t="shared" si="236"/>
        <v>0.9</v>
      </c>
      <c r="EO119" s="425">
        <f t="shared" si="237"/>
        <v>1.8</v>
      </c>
      <c r="EP119" s="425">
        <f t="shared" si="238"/>
        <v>2.7</v>
      </c>
      <c r="EQ119" s="425">
        <f t="shared" si="239"/>
        <v>3.6</v>
      </c>
      <c r="ER119" s="425">
        <f t="shared" si="240"/>
        <v>5.4</v>
      </c>
      <c r="ES119" s="425">
        <f t="shared" si="241"/>
        <v>7.2</v>
      </c>
      <c r="ET119" s="425">
        <f t="shared" si="242"/>
        <v>9</v>
      </c>
      <c r="EU119" s="425">
        <f t="shared" si="243"/>
        <v>10.1</v>
      </c>
      <c r="EV119" s="425">
        <f t="shared" si="244"/>
        <v>10.8</v>
      </c>
      <c r="EW119" s="425">
        <f t="shared" si="245"/>
        <v>12.6</v>
      </c>
      <c r="EX119" s="425">
        <f t="shared" si="246"/>
        <v>14.19</v>
      </c>
      <c r="EY119" s="425" t="e">
        <f t="shared" si="247"/>
        <v>#N/A</v>
      </c>
      <c r="EZ119" s="425" t="e">
        <f t="shared" si="248"/>
        <v>#N/A</v>
      </c>
      <c r="FA119" s="425" t="e">
        <f t="shared" si="249"/>
        <v>#N/A</v>
      </c>
      <c r="FB119" s="425" t="e">
        <f t="shared" si="250"/>
        <v>#N/A</v>
      </c>
      <c r="FC119" s="425" t="e">
        <f t="shared" si="251"/>
        <v>#N/A</v>
      </c>
      <c r="FD119" s="425" t="e">
        <f t="shared" si="252"/>
        <v>#N/A</v>
      </c>
      <c r="FE119" s="425" t="e">
        <f t="shared" si="253"/>
        <v>#N/A</v>
      </c>
      <c r="FF119" s="425" t="e">
        <f t="shared" si="254"/>
        <v>#N/A</v>
      </c>
      <c r="FG119" s="425" t="e">
        <f t="shared" si="255"/>
        <v>#N/A</v>
      </c>
      <c r="FH119" s="425" t="e">
        <f t="shared" si="256"/>
        <v>#N/A</v>
      </c>
      <c r="FI119" s="425" t="e">
        <f t="shared" si="257"/>
        <v>#N/A</v>
      </c>
      <c r="FJ119" s="425" t="e">
        <f t="shared" si="258"/>
        <v>#N/A</v>
      </c>
      <c r="FK119" s="425" t="e">
        <f t="shared" si="259"/>
        <v>#N/A</v>
      </c>
    </row>
    <row r="120" spans="1:199" x14ac:dyDescent="0.25">
      <c r="A120" s="374" t="str">
        <f t="shared" si="206"/>
        <v xml:space="preserve">  </v>
      </c>
      <c r="B120" s="377" t="str">
        <f>IFERROR(IF(ISERROR(CP149),"",CONCATENATE(ROUND(X_SHIFT_BP+IF(Tools!B$97&lt;=Tools!$D$47/2,-BF25,BF25),3),",",ROUND(WLS*$AP61,3)," ")),"")</f>
        <v/>
      </c>
      <c r="C120" s="377" t="str">
        <f>IFERROR(IF(ISERROR(CQ149),"",CONCATENATE(ROUND(X_SHIFT_BP+IF(Tools!C$97&lt;=Tools!$D$47/2,-BG25,BG25),3),",",ROUND(WLS*$AP61,3)," ")),"")</f>
        <v/>
      </c>
      <c r="D120" s="377" t="str">
        <f>IFERROR(IF(ISERROR(CR149),"",CONCATENATE(ROUND(X_SHIFT_BP+IF(Tools!D$97&lt;=Tools!$D$47/2,-BH25,BH25),3),",",ROUND(WLS*$AP61,3)," ")),"")</f>
        <v/>
      </c>
      <c r="E120" s="377" t="str">
        <f>IFERROR(IF(ISERROR(CS149),"",CONCATENATE(ROUND(X_SHIFT_BP+IF(Tools!E$97&lt;=Tools!$D$47/2,-BI25,BI25),3),",",ROUND(WLS*$AP61,3)," ")),"")</f>
        <v/>
      </c>
      <c r="F120" s="377" t="str">
        <f>IFERROR(IF(ISERROR(CT149),"",CONCATENATE(ROUND(X_SHIFT_BP+IF(Tools!F$97&lt;=Tools!$D$47/2,-BJ25,BJ25),3),",",ROUND(WLS*$AP61,3)," ")),"")</f>
        <v/>
      </c>
      <c r="G120" s="377" t="str">
        <f>IFERROR(IF(ISERROR(CU149),"",CONCATENATE(ROUND(X_SHIFT_BP+IF(Tools!G$97&lt;=Tools!$D$47/2,-BK25,BK25),3),",",ROUND(WLS*$AP61,3)," ")),"")</f>
        <v/>
      </c>
      <c r="H120" s="377" t="str">
        <f>IFERROR(IF(ISERROR(CV149),"",CONCATENATE(ROUND(X_SHIFT_BP+IF(Tools!H$97&lt;=Tools!$D$47/2,-BL25,BL25),3),",",ROUND(WLS*$AP61,3)," ")),"")</f>
        <v/>
      </c>
      <c r="I120" s="377" t="str">
        <f>IFERROR(IF(ISERROR(CW149),"",CONCATENATE(ROUND(X_SHIFT_BP+IF(Tools!I$97&lt;=Tools!$D$47/2,-BM25,BM25),3),",",ROUND(WLS*$AP61,3)," ")),"")</f>
        <v/>
      </c>
      <c r="J120" s="377" t="str">
        <f>IFERROR(IF(ISERROR(CX149),"",CONCATENATE(ROUND(X_SHIFT_BP+IF(Tools!J$97&lt;=Tools!$D$47/2,-BN25,BN25),3),",",ROUND(WLS*$AP61,3)," ")),"")</f>
        <v/>
      </c>
      <c r="K120" s="377" t="str">
        <f>IFERROR(IF(ISERROR(CY149),"",CONCATENATE(ROUND(X_SHIFT_BP+IF(Tools!K$97&lt;=Tools!$D$47/2,-BO25,BO25),3),",",ROUND(WLS*$AP61,3)," ")),"")</f>
        <v/>
      </c>
      <c r="L120" s="377" t="str">
        <f>IFERROR(IF(ISERROR(CZ149),"",CONCATENATE(ROUND(X_SHIFT_BP+IF(Tools!L$97&lt;=Tools!$D$47/2,-BP25,BP25),3),",",ROUND(WLS*$AP61,3)," ")),"")</f>
        <v/>
      </c>
      <c r="M120" s="377" t="str">
        <f>IFERROR(IF(ISERROR(DA149),"",CONCATENATE(ROUND(X_SHIFT_BP+IF(Tools!M$97&lt;=Tools!$D$47/2,-BQ25,BQ25),3),",",ROUND(WLS*$AP61,3)," ")),"")</f>
        <v/>
      </c>
      <c r="N120" s="377" t="str">
        <f>IFERROR(IF(ISERROR(DB149),"",CONCATENATE(ROUND(X_SHIFT_BP+IF(Tools!N$97&lt;=Tools!$D$47/2,-BR25,BR25),3),",",ROUND(WLS*$AP61,3)," ")),"")</f>
        <v/>
      </c>
      <c r="O120" s="377" t="str">
        <f>IFERROR(IF(ISERROR(DC149),"",CONCATENATE(ROUND(X_SHIFT_BP+IF(Tools!O$97&lt;=Tools!$D$47/2,-BS25,BS25),3),",",ROUND(WLS*$AP61,3)," ")),"")</f>
        <v/>
      </c>
      <c r="P120" s="377" t="str">
        <f>IFERROR(IF(ISERROR(DD149),"",CONCATENATE(ROUND(X_SHIFT_BP+IF(Tools!P$97&lt;=Tools!$D$47/2,-BT25,BT25),3),",",ROUND(WLS*$AP61,3)," ")),"")</f>
        <v/>
      </c>
      <c r="Q120" s="377" t="str">
        <f>IFERROR(IF(ISERROR(DE149),"",CONCATENATE(ROUND(X_SHIFT_BP+IF(Tools!Q$97&lt;=Tools!$D$47/2,-BU25,BU25),3),",",ROUND(WLS*$AP61,3)," ")),"")</f>
        <v/>
      </c>
      <c r="R120" s="377" t="str">
        <f>IFERROR(IF(ISERROR(DF149),"",CONCATENATE(ROUND(X_SHIFT_BP+IF(Tools!R$97&lt;=Tools!$D$47/2,-BV25,BV25),3),",",ROUND(WLS*$AP61,3)," ")),"")</f>
        <v/>
      </c>
      <c r="S120" s="377" t="str">
        <f>IFERROR(IF(ISERROR(DG149),"",CONCATENATE(ROUND(X_SHIFT_BP+IF(Tools!S$97&lt;=Tools!$D$47/2,-BW25,BW25),3),",",ROUND(WLS*$AP61,3)," ")),"")</f>
        <v/>
      </c>
      <c r="T120" s="377" t="str">
        <f>IFERROR(IF(ISERROR(DH149),"",CONCATENATE(ROUND(X_SHIFT_BP+IF(Tools!T$97&lt;=Tools!$D$47/2,-BX25,BX25),3),",",ROUND(WLS*$AP61,3)," ")),"")</f>
        <v/>
      </c>
      <c r="U120" s="377" t="str">
        <f>IFERROR(IF(ISERROR(DI149),"",CONCATENATE(ROUND(X_SHIFT_BP+IF(Tools!U$97&lt;=Tools!$D$47/2,-BY25,BY25),3),",",ROUND(WLS*$AP61,3)," ")),"")</f>
        <v/>
      </c>
      <c r="V120" s="377" t="str">
        <f>IFERROR(IF(ISERROR(DJ149),"",CONCATENATE(ROUND(X_SHIFT_BP+IF(Tools!V$97&lt;=Tools!$D$47/2,-BZ25,BZ25),3),",",ROUND(WLS*$AP61,3)," ")),"")</f>
        <v/>
      </c>
      <c r="W120" s="377" t="str">
        <f>IFERROR(IF(ISERROR(DK149),"",CONCATENATE(ROUND(X_SHIFT_BP+IF(Tools!W$97&lt;=Tools!$D$47/2,-CA25,CA25),3),",",ROUND(WLS*$AP61,3)," ")),"")</f>
        <v/>
      </c>
      <c r="X120" s="377" t="str">
        <f>IFERROR(IF(ISERROR(DL149),"",CONCATENATE(ROUND(X_SHIFT_BP+IF(Tools!X$97&lt;=Tools!$D$47/2,-CB25,CB25),3),",",ROUND(WLS*$AP61,3)," ")),"")</f>
        <v/>
      </c>
      <c r="Y120" s="377" t="str">
        <f>IFERROR(IF(ISERROR(DM149),"",CONCATENATE(ROUND(X_SHIFT_BP+IF(Tools!Y$97&lt;=Tools!$D$47/2,-CC25,CC25),3),",",ROUND(WLS*$AP61,3)," ")),"")</f>
        <v/>
      </c>
      <c r="Z120" s="377" t="str">
        <f>IFERROR(IF(ISERROR(DN149),"",CONCATENATE(ROUND(X_SHIFT_BP+IF(Tools!Z$97&lt;=Tools!$D$47/2,-CD25,CD25),3),",",ROUND(WLS*$AP61,3)," ")),"")</f>
        <v/>
      </c>
      <c r="AA120" s="129">
        <v>11</v>
      </c>
      <c r="AB120" s="245" t="str">
        <f t="shared" si="260"/>
        <v xml:space="preserve">Spline </v>
      </c>
      <c r="AC120" s="129" t="str">
        <v xml:space="preserve">155.435,0.66 </v>
      </c>
      <c r="AD120" s="245" t="str">
        <v/>
      </c>
      <c r="AE120" s="245" t="str">
        <v xml:space="preserve">156.075,0.9 </v>
      </c>
      <c r="AF120" s="245" t="str">
        <v xml:space="preserve">156.705,1.8 </v>
      </c>
      <c r="AG120" s="245" t="str">
        <v xml:space="preserve">157.115,2.7 </v>
      </c>
      <c r="AH120" s="245" t="str">
        <v xml:space="preserve">157.395,3.6 </v>
      </c>
      <c r="AI120" s="245" t="str">
        <v xml:space="preserve">157.535,5.4 </v>
      </c>
      <c r="AJ120" s="245" t="str">
        <v xml:space="preserve">157.235,7.2 </v>
      </c>
      <c r="AK120" s="245" t="str">
        <v xml:space="preserve">157.435,9 </v>
      </c>
      <c r="AL120" s="245" t="str">
        <v xml:space="preserve">158.045,10.1 </v>
      </c>
      <c r="AM120" s="245" t="str">
        <v xml:space="preserve">158.535,10.8 </v>
      </c>
      <c r="AN120" s="245" t="str">
        <v xml:space="preserve">159.855,12.6 </v>
      </c>
      <c r="AO120" s="245" t="str">
        <v xml:space="preserve">161.195,14.19 </v>
      </c>
      <c r="AP120" s="245" t="str">
        <v/>
      </c>
      <c r="AQ120" s="245" t="str">
        <v/>
      </c>
      <c r="AR120" s="245" t="str">
        <v/>
      </c>
      <c r="AS120" s="245" t="str">
        <v/>
      </c>
      <c r="AT120" s="245" t="str">
        <v/>
      </c>
      <c r="AU120" s="245" t="str">
        <v/>
      </c>
      <c r="AV120" s="245" t="str">
        <v/>
      </c>
      <c r="AW120" s="245" t="str">
        <v/>
      </c>
      <c r="AX120" s="245" t="str">
        <v/>
      </c>
      <c r="AY120" s="245" t="str">
        <v/>
      </c>
      <c r="AZ120" s="245" t="str">
        <v/>
      </c>
      <c r="BA120" s="245" t="str">
        <v/>
      </c>
      <c r="BB120" s="245" t="str">
        <v/>
      </c>
      <c r="BC120" s="376">
        <f>Tools!AD25</f>
        <v>19</v>
      </c>
      <c r="BD120" s="376">
        <f>IFERROR(Tools!AD25*STN_GAP,"")</f>
        <v>125.11499999999998</v>
      </c>
      <c r="BE120" s="496" t="e">
        <f>IFERROR(IF(ISNUMBER(DE120),NA(),IF(AND($DF120&lt;&gt;0,$DG120&gt;BE$97),NA(),IF($BD120&gt;LBP/2,-(-Tools!AE25),-Tools!AE25))),NA())</f>
        <v>#N/A</v>
      </c>
      <c r="BF120" s="376">
        <f>IFERROR(IF(AND($DF120&lt;&gt;0,$DG120&gt;BF$97),NA(),IF($BD120&gt;LBP/2,-(-Tools!AF25),-Tools!AF25)),NA())</f>
        <v>0.64</v>
      </c>
      <c r="BG120" s="376">
        <f>IFERROR(IF(AND($DF120&lt;&gt;0,$DG120&gt;BG$97),NA(),IF($BD120&gt;LBP/2,-(-Tools!AG25),-Tools!AG25)),NA())</f>
        <v>1.27</v>
      </c>
      <c r="BH120" s="376">
        <f>IFERROR(IF(AND($DF120&lt;&gt;0,$DG120&gt;BH$97),NA(),IF($BD120&gt;LBP/2,-(-Tools!AH25),-Tools!AH25)),NA())</f>
        <v>1.68</v>
      </c>
      <c r="BI120" s="376">
        <f>IFERROR(IF(AND($DF120&lt;&gt;0,$DG120&gt;BI$97),NA(),IF($BD120&gt;LBP/2,-(-Tools!AI25),-Tools!AI25)),NA())</f>
        <v>1.96</v>
      </c>
      <c r="BJ120" s="376">
        <f>IFERROR(IF(AND($DF120&lt;&gt;0,$DG120&gt;BJ$97),NA(),IF($BD120&gt;LBP/2,-(-Tools!AJ25),-Tools!AJ25)),NA())</f>
        <v>2.1</v>
      </c>
      <c r="BK120" s="376">
        <f>IFERROR(IF(AND($DF120&lt;&gt;0,$DG120&gt;BK$97),NA(),IF($BD120&gt;LBP/2,-(-Tools!AK25),-Tools!AK25)),NA())</f>
        <v>1.8</v>
      </c>
      <c r="BL120" s="376">
        <f>IFERROR(IF(AND($DF120&lt;&gt;0,$DG120&gt;BL$97),NA(),IF($BD120&gt;LBP/2,-(-Tools!AL25),-Tools!AL25)),NA())</f>
        <v>2</v>
      </c>
      <c r="BM120" s="376">
        <f>IFERROR(IF(AND($DF120&lt;&gt;0,$DG120&gt;BM$97),NA(),IF($BD120&gt;LBP/2,-(-Tools!AM25),-Tools!AM25)),NA())</f>
        <v>2.61</v>
      </c>
      <c r="BN120" s="376">
        <f>IFERROR(IF(AND($DF120&lt;&gt;0,$DG120&gt;BN$97),NA(),IF($BD120&gt;LBP/2,-(-Tools!AN25),-Tools!AN25)),NA())</f>
        <v>3.1</v>
      </c>
      <c r="BO120" s="376">
        <f>IFERROR(IF(AND($DF120&lt;&gt;0,$DG120&gt;BO$97),NA(),IF($BD120&gt;LBP/2,-(-Tools!AO25),-Tools!AO25)),NA())</f>
        <v>4.42</v>
      </c>
      <c r="BP120" s="376">
        <f>IFERROR(IF(AND($DF120&lt;&gt;0,$DG120&gt;BP$97),NA(),IF($BD120&gt;LBP/2,-(-Tools!AP25),-Tools!AP25)),NA())</f>
        <v>5.76</v>
      </c>
      <c r="BQ120" s="376" t="e">
        <f>IFERROR(IF(AND($DF120&lt;&gt;0,$DG120&gt;BQ$97),NA(),IF($BD120&gt;LBP/2,-(-Tools!AQ25),-Tools!AQ25)),NA())</f>
        <v>#N/A</v>
      </c>
      <c r="BR120" s="376" t="e">
        <f>IFERROR(IF(AND($DF120&lt;&gt;0,$DG120&gt;BR$97),NA(),IF($BD120&gt;LBP/2,-(-Tools!AR25),-Tools!AR25)),NA())</f>
        <v>#N/A</v>
      </c>
      <c r="BS120" s="376" t="e">
        <f>IFERROR(IF(AND($DF120&lt;&gt;0,$DG120&gt;BS$97),NA(),IF($BD120&gt;LBP/2,-(-Tools!AS25),-Tools!AS25)),NA())</f>
        <v>#N/A</v>
      </c>
      <c r="BT120" s="376" t="e">
        <f>IFERROR(IF(AND($DF120&lt;&gt;0,$DG120&gt;BT$97),NA(),IF($BD120&gt;LBP/2,-(-Tools!AT25),-Tools!AT25)),NA())</f>
        <v>#N/A</v>
      </c>
      <c r="BU120" s="376" t="e">
        <f>IFERROR(IF(AND($DF120&lt;&gt;0,$DG120&gt;BU$97),NA(),IF($BD120&gt;LBP/2,-(-Tools!AU25),-Tools!AU25)),NA())</f>
        <v>#N/A</v>
      </c>
      <c r="BV120" s="376" t="e">
        <f>IFERROR(IF(AND($DF120&lt;&gt;0,$DG120&gt;BV$97),NA(),IF($BD120&gt;LBP/2,-(-Tools!AV25),-Tools!AV25)),NA())</f>
        <v>#N/A</v>
      </c>
      <c r="BW120" s="376" t="e">
        <f>IFERROR(IF(AND($DF120&lt;&gt;0,$DG120&gt;BW$97),NA(),IF($BD120&gt;LBP/2,-(-Tools!AW25),-Tools!AW25)),NA())</f>
        <v>#N/A</v>
      </c>
      <c r="BX120" s="376" t="e">
        <f>IFERROR(IF(AND($DF120&lt;&gt;0,$DG120&gt;BX$97),NA(),IF($BD120&gt;LBP/2,-(-Tools!AX25),-Tools!AX25)),NA())</f>
        <v>#N/A</v>
      </c>
      <c r="BY120" s="376" t="e">
        <f>IFERROR(IF(AND($DF120&lt;&gt;0,$DG120&gt;BY$97),NA(),IF($BD120&gt;LBP/2,-(-Tools!AY25),-Tools!AY25)),NA())</f>
        <v>#N/A</v>
      </c>
      <c r="BZ120" s="376" t="e">
        <f>IFERROR(IF(AND($DF120&lt;&gt;0,$DG120&gt;BZ$97),NA(),IF($BD120&gt;LBP/2,-(-Tools!AZ25),-Tools!AZ25)),NA())</f>
        <v>#N/A</v>
      </c>
      <c r="CA120" s="376" t="e">
        <f>IFERROR(IF(AND($DF120&lt;&gt;0,$DG120&gt;CA$97),NA(),IF($BD120&gt;LBP/2,-(-Tools!BA25),-Tools!BA25)),NA())</f>
        <v>#N/A</v>
      </c>
      <c r="CB120" s="376" t="e">
        <f>IFERROR(IF(AND($DF120&lt;&gt;0,$DG120&gt;CB$97),NA(),IF($BD120&gt;LBP/2,-(-Tools!BB25),-Tools!BB25)),NA())</f>
        <v>#N/A</v>
      </c>
      <c r="CC120" s="376" t="e">
        <f>IFERROR(IF(AND($DF120&lt;&gt;0,$DG120&gt;CC$97),NA(),IF($BD120&gt;LBP/2,-(-Tools!BC25),-Tools!BC25)),NA())</f>
        <v>#N/A</v>
      </c>
      <c r="CE120" s="425" t="b">
        <f t="shared" si="207"/>
        <v>0</v>
      </c>
      <c r="CF120" s="425" t="b">
        <f t="shared" si="208"/>
        <v>0</v>
      </c>
      <c r="CG120" s="425" t="b">
        <f t="shared" si="209"/>
        <v>0</v>
      </c>
      <c r="CH120" s="425" t="b">
        <f t="shared" si="210"/>
        <v>0</v>
      </c>
      <c r="CI120" s="425" t="b">
        <f t="shared" si="211"/>
        <v>0</v>
      </c>
      <c r="CJ120" s="425" t="b">
        <f t="shared" si="212"/>
        <v>0</v>
      </c>
      <c r="CK120" s="425" t="b">
        <f t="shared" si="213"/>
        <v>0</v>
      </c>
      <c r="CL120" s="425" t="b">
        <f t="shared" si="214"/>
        <v>0</v>
      </c>
      <c r="CM120" s="425" t="b">
        <f t="shared" si="215"/>
        <v>0</v>
      </c>
      <c r="CN120" s="425" t="b">
        <f t="shared" si="216"/>
        <v>0</v>
      </c>
      <c r="CO120" s="425" t="b">
        <f t="shared" si="217"/>
        <v>0</v>
      </c>
      <c r="CP120" s="425" t="b">
        <f t="shared" si="218"/>
        <v>0</v>
      </c>
      <c r="CQ120" s="425" t="b">
        <f t="shared" si="219"/>
        <v>0</v>
      </c>
      <c r="CR120" s="425" t="b">
        <f t="shared" si="220"/>
        <v>0</v>
      </c>
      <c r="CS120" s="425" t="b">
        <f t="shared" si="221"/>
        <v>0</v>
      </c>
      <c r="CT120" s="425" t="b">
        <f t="shared" si="222"/>
        <v>0</v>
      </c>
      <c r="CU120" s="425" t="b">
        <f t="shared" si="223"/>
        <v>0</v>
      </c>
      <c r="CV120" s="425" t="b">
        <f t="shared" si="224"/>
        <v>0</v>
      </c>
      <c r="CW120" s="425" t="b">
        <f t="shared" si="225"/>
        <v>0</v>
      </c>
      <c r="CX120" s="425" t="b">
        <f t="shared" si="226"/>
        <v>0</v>
      </c>
      <c r="CY120" s="425" t="b">
        <f t="shared" si="227"/>
        <v>0</v>
      </c>
      <c r="CZ120" s="425" t="b">
        <f t="shared" si="228"/>
        <v>0</v>
      </c>
      <c r="DA120" s="425" t="b">
        <f t="shared" si="229"/>
        <v>0</v>
      </c>
      <c r="DB120" s="425" t="b">
        <f t="shared" si="230"/>
        <v>0</v>
      </c>
      <c r="DC120" s="425"/>
      <c r="DD120" s="425">
        <f t="shared" si="261"/>
        <v>0</v>
      </c>
      <c r="DE120" s="425">
        <f t="shared" si="231"/>
        <v>0.3666666666666667</v>
      </c>
      <c r="DF120" s="425">
        <f t="shared" si="265"/>
        <v>0</v>
      </c>
      <c r="DG120" s="425">
        <f t="shared" si="266"/>
        <v>0.9</v>
      </c>
      <c r="DH120" s="425">
        <f t="shared" si="233"/>
        <v>19</v>
      </c>
      <c r="DI120" s="425"/>
      <c r="DJ120" s="425">
        <f t="shared" si="263"/>
        <v>0</v>
      </c>
      <c r="DK120" s="425" t="e">
        <f t="shared" si="180"/>
        <v>#N/A</v>
      </c>
      <c r="DL120" s="425">
        <f t="shared" si="181"/>
        <v>0.64</v>
      </c>
      <c r="DM120" s="425">
        <f t="shared" si="182"/>
        <v>1.27</v>
      </c>
      <c r="DN120" s="425">
        <f t="shared" si="183"/>
        <v>1.68</v>
      </c>
      <c r="DO120" s="425">
        <f t="shared" si="184"/>
        <v>1.96</v>
      </c>
      <c r="DP120" s="425">
        <f t="shared" si="185"/>
        <v>2.1</v>
      </c>
      <c r="DQ120" s="425">
        <f t="shared" si="186"/>
        <v>1.8</v>
      </c>
      <c r="DR120" s="425">
        <f t="shared" si="187"/>
        <v>2</v>
      </c>
      <c r="DS120" s="425">
        <f t="shared" si="188"/>
        <v>2.61</v>
      </c>
      <c r="DT120" s="425">
        <f t="shared" si="189"/>
        <v>3.1</v>
      </c>
      <c r="DU120" s="425">
        <f t="shared" si="190"/>
        <v>4.42</v>
      </c>
      <c r="DV120" s="425">
        <f t="shared" si="191"/>
        <v>5.76</v>
      </c>
      <c r="DW120" s="425" t="e">
        <f t="shared" si="192"/>
        <v>#N/A</v>
      </c>
      <c r="DX120" s="425" t="e">
        <f t="shared" si="193"/>
        <v>#N/A</v>
      </c>
      <c r="DY120" s="425" t="e">
        <f t="shared" si="194"/>
        <v>#N/A</v>
      </c>
      <c r="DZ120" s="425" t="e">
        <f t="shared" si="195"/>
        <v>#N/A</v>
      </c>
      <c r="EA120" s="425" t="e">
        <f t="shared" si="196"/>
        <v>#N/A</v>
      </c>
      <c r="EB120" s="425" t="e">
        <f t="shared" si="197"/>
        <v>#N/A</v>
      </c>
      <c r="EC120" s="425" t="e">
        <f t="shared" si="198"/>
        <v>#N/A</v>
      </c>
      <c r="ED120" s="425" t="e">
        <f t="shared" si="199"/>
        <v>#N/A</v>
      </c>
      <c r="EE120" s="425" t="e">
        <f t="shared" si="200"/>
        <v>#N/A</v>
      </c>
      <c r="EF120" s="425" t="e">
        <f t="shared" si="201"/>
        <v>#N/A</v>
      </c>
      <c r="EG120" s="425" t="e">
        <f t="shared" si="202"/>
        <v>#N/A</v>
      </c>
      <c r="EH120" s="425" t="e">
        <f t="shared" si="203"/>
        <v>#N/A</v>
      </c>
      <c r="EI120" s="425" t="e">
        <f t="shared" si="204"/>
        <v>#N/A</v>
      </c>
      <c r="EJ120" s="425"/>
      <c r="EK120" s="425"/>
      <c r="EL120" s="425">
        <f t="shared" si="234"/>
        <v>0.66</v>
      </c>
      <c r="EM120" s="425">
        <f t="shared" si="264"/>
        <v>0</v>
      </c>
      <c r="EN120" s="425">
        <f t="shared" si="236"/>
        <v>0.9</v>
      </c>
      <c r="EO120" s="425">
        <f t="shared" si="237"/>
        <v>1.8</v>
      </c>
      <c r="EP120" s="425">
        <f t="shared" si="238"/>
        <v>2.7</v>
      </c>
      <c r="EQ120" s="425">
        <f t="shared" si="239"/>
        <v>3.6</v>
      </c>
      <c r="ER120" s="425">
        <f t="shared" si="240"/>
        <v>5.4</v>
      </c>
      <c r="ES120" s="425">
        <f t="shared" si="241"/>
        <v>7.2</v>
      </c>
      <c r="ET120" s="425">
        <f t="shared" si="242"/>
        <v>9</v>
      </c>
      <c r="EU120" s="425">
        <f t="shared" si="243"/>
        <v>10.1</v>
      </c>
      <c r="EV120" s="425">
        <f t="shared" si="244"/>
        <v>10.8</v>
      </c>
      <c r="EW120" s="425">
        <f t="shared" si="245"/>
        <v>12.6</v>
      </c>
      <c r="EX120" s="425">
        <f t="shared" si="246"/>
        <v>14.19</v>
      </c>
      <c r="EY120" s="425" t="e">
        <f t="shared" si="247"/>
        <v>#N/A</v>
      </c>
      <c r="EZ120" s="425" t="e">
        <f t="shared" si="248"/>
        <v>#N/A</v>
      </c>
      <c r="FA120" s="425" t="e">
        <f t="shared" si="249"/>
        <v>#N/A</v>
      </c>
      <c r="FB120" s="425" t="e">
        <f t="shared" si="250"/>
        <v>#N/A</v>
      </c>
      <c r="FC120" s="425" t="e">
        <f t="shared" si="251"/>
        <v>#N/A</v>
      </c>
      <c r="FD120" s="425" t="e">
        <f t="shared" si="252"/>
        <v>#N/A</v>
      </c>
      <c r="FE120" s="425" t="e">
        <f t="shared" si="253"/>
        <v>#N/A</v>
      </c>
      <c r="FF120" s="425" t="e">
        <f t="shared" si="254"/>
        <v>#N/A</v>
      </c>
      <c r="FG120" s="425" t="e">
        <f t="shared" si="255"/>
        <v>#N/A</v>
      </c>
      <c r="FH120" s="425" t="e">
        <f t="shared" si="256"/>
        <v>#N/A</v>
      </c>
      <c r="FI120" s="425" t="e">
        <f t="shared" si="257"/>
        <v>#N/A</v>
      </c>
      <c r="FJ120" s="425" t="e">
        <f t="shared" si="258"/>
        <v>#N/A</v>
      </c>
      <c r="FK120" s="425" t="e">
        <f t="shared" si="259"/>
        <v>#N/A</v>
      </c>
    </row>
    <row r="121" spans="1:199" x14ac:dyDescent="0.25">
      <c r="A121" s="374" t="str">
        <f t="shared" si="206"/>
        <v xml:space="preserve">  </v>
      </c>
      <c r="B121" s="377" t="str">
        <f>IFERROR(IF(ISERROR(CP150),"",CONCATENATE(ROUND(X_SHIFT_BP+IF(Tools!B$97&lt;=Tools!$D$47/2,-BF26,BF26),3),",",ROUND(WLS*$AP62,3)," ")),"")</f>
        <v/>
      </c>
      <c r="C121" s="377" t="str">
        <f>IFERROR(IF(ISERROR(CQ150),"",CONCATENATE(ROUND(X_SHIFT_BP+IF(Tools!C$97&lt;=Tools!$D$47/2,-BG26,BG26),3),",",ROUND(WLS*$AP62,3)," ")),"")</f>
        <v/>
      </c>
      <c r="D121" s="377" t="str">
        <f>IFERROR(IF(ISERROR(CR150),"",CONCATENATE(ROUND(X_SHIFT_BP+IF(Tools!D$97&lt;=Tools!$D$47/2,-BH26,BH26),3),",",ROUND(WLS*$AP62,3)," ")),"")</f>
        <v/>
      </c>
      <c r="E121" s="377" t="str">
        <f>IFERROR(IF(ISERROR(CS150),"",CONCATENATE(ROUND(X_SHIFT_BP+IF(Tools!E$97&lt;=Tools!$D$47/2,-BI26,BI26),3),",",ROUND(WLS*$AP62,3)," ")),"")</f>
        <v/>
      </c>
      <c r="F121" s="377" t="str">
        <f>IFERROR(IF(ISERROR(CT150),"",CONCATENATE(ROUND(X_SHIFT_BP+IF(Tools!F$97&lt;=Tools!$D$47/2,-BJ26,BJ26),3),",",ROUND(WLS*$AP62,3)," ")),"")</f>
        <v/>
      </c>
      <c r="G121" s="377" t="str">
        <f>IFERROR(IF(ISERROR(CU150),"",CONCATENATE(ROUND(X_SHIFT_BP+IF(Tools!G$97&lt;=Tools!$D$47/2,-BK26,BK26),3),",",ROUND(WLS*$AP62,3)," ")),"")</f>
        <v/>
      </c>
      <c r="H121" s="377" t="str">
        <f>IFERROR(IF(ISERROR(CV150),"",CONCATENATE(ROUND(X_SHIFT_BP+IF(Tools!H$97&lt;=Tools!$D$47/2,-BL26,BL26),3),",",ROUND(WLS*$AP62,3)," ")),"")</f>
        <v/>
      </c>
      <c r="I121" s="377" t="str">
        <f>IFERROR(IF(ISERROR(CW150),"",CONCATENATE(ROUND(X_SHIFT_BP+IF(Tools!I$97&lt;=Tools!$D$47/2,-BM26,BM26),3),",",ROUND(WLS*$AP62,3)," ")),"")</f>
        <v/>
      </c>
      <c r="J121" s="377" t="str">
        <f>IFERROR(IF(ISERROR(CX150),"",CONCATENATE(ROUND(X_SHIFT_BP+IF(Tools!J$97&lt;=Tools!$D$47/2,-BN26,BN26),3),",",ROUND(WLS*$AP62,3)," ")),"")</f>
        <v/>
      </c>
      <c r="K121" s="377" t="str">
        <f>IFERROR(IF(ISERROR(CY150),"",CONCATENATE(ROUND(X_SHIFT_BP+IF(Tools!K$97&lt;=Tools!$D$47/2,-BO26,BO26),3),",",ROUND(WLS*$AP62,3)," ")),"")</f>
        <v/>
      </c>
      <c r="L121" s="377" t="str">
        <f>IFERROR(IF(ISERROR(CZ150),"",CONCATENATE(ROUND(X_SHIFT_BP+IF(Tools!L$97&lt;=Tools!$D$47/2,-BP26,BP26),3),",",ROUND(WLS*$AP62,3)," ")),"")</f>
        <v/>
      </c>
      <c r="M121" s="377" t="str">
        <f>IFERROR(IF(ISERROR(DA150),"",CONCATENATE(ROUND(X_SHIFT_BP+IF(Tools!M$97&lt;=Tools!$D$47/2,-BQ26,BQ26),3),",",ROUND(WLS*$AP62,3)," ")),"")</f>
        <v/>
      </c>
      <c r="N121" s="377" t="str">
        <f>IFERROR(IF(ISERROR(DB150),"",CONCATENATE(ROUND(X_SHIFT_BP+IF(Tools!N$97&lt;=Tools!$D$47/2,-BR26,BR26),3),",",ROUND(WLS*$AP62,3)," ")),"")</f>
        <v/>
      </c>
      <c r="O121" s="377" t="str">
        <f>IFERROR(IF(ISERROR(DC150),"",CONCATENATE(ROUND(X_SHIFT_BP+IF(Tools!O$97&lt;=Tools!$D$47/2,-BS26,BS26),3),",",ROUND(WLS*$AP62,3)," ")),"")</f>
        <v/>
      </c>
      <c r="P121" s="377" t="str">
        <f>IFERROR(IF(ISERROR(DD150),"",CONCATENATE(ROUND(X_SHIFT_BP+IF(Tools!P$97&lt;=Tools!$D$47/2,-BT26,BT26),3),",",ROUND(WLS*$AP62,3)," ")),"")</f>
        <v/>
      </c>
      <c r="Q121" s="377" t="str">
        <f>IFERROR(IF(ISERROR(DE150),"",CONCATENATE(ROUND(X_SHIFT_BP+IF(Tools!Q$97&lt;=Tools!$D$47/2,-BU26,BU26),3),",",ROUND(WLS*$AP62,3)," ")),"")</f>
        <v/>
      </c>
      <c r="R121" s="377" t="str">
        <f>IFERROR(IF(ISERROR(DF150),"",CONCATENATE(ROUND(X_SHIFT_BP+IF(Tools!R$97&lt;=Tools!$D$47/2,-BV26,BV26),3),",",ROUND(WLS*$AP62,3)," ")),"")</f>
        <v/>
      </c>
      <c r="S121" s="377" t="str">
        <f>IFERROR(IF(ISERROR(DG150),"",CONCATENATE(ROUND(X_SHIFT_BP+IF(Tools!S$97&lt;=Tools!$D$47/2,-BW26,BW26),3),",",ROUND(WLS*$AP62,3)," ")),"")</f>
        <v/>
      </c>
      <c r="T121" s="377" t="str">
        <f>IFERROR(IF(ISERROR(DH150),"",CONCATENATE(ROUND(X_SHIFT_BP+IF(Tools!T$97&lt;=Tools!$D$47/2,-BX26,BX26),3),",",ROUND(WLS*$AP62,3)," ")),"")</f>
        <v/>
      </c>
      <c r="U121" s="377" t="str">
        <f>IFERROR(IF(ISERROR(DI150),"",CONCATENATE(ROUND(X_SHIFT_BP+IF(Tools!U$97&lt;=Tools!$D$47/2,-BY26,BY26),3),",",ROUND(WLS*$AP62,3)," ")),"")</f>
        <v/>
      </c>
      <c r="V121" s="377" t="str">
        <f>IFERROR(IF(ISERROR(DJ150),"",CONCATENATE(ROUND(X_SHIFT_BP+IF(Tools!V$97&lt;=Tools!$D$47/2,-BZ26,BZ26),3),",",ROUND(WLS*$AP62,3)," ")),"")</f>
        <v/>
      </c>
      <c r="W121" s="377" t="str">
        <f>IFERROR(IF(ISERROR(DK150),"",CONCATENATE(ROUND(X_SHIFT_BP+IF(Tools!W$97&lt;=Tools!$D$47/2,-CA26,CA26),3),",",ROUND(WLS*$AP62,3)," ")),"")</f>
        <v/>
      </c>
      <c r="X121" s="377" t="str">
        <f>IFERROR(IF(ISERROR(DL150),"",CONCATENATE(ROUND(X_SHIFT_BP+IF(Tools!X$97&lt;=Tools!$D$47/2,-CB26,CB26),3),",",ROUND(WLS*$AP62,3)," ")),"")</f>
        <v/>
      </c>
      <c r="Y121" s="377" t="str">
        <f>IFERROR(IF(ISERROR(DM150),"",CONCATENATE(ROUND(X_SHIFT_BP+IF(Tools!Y$97&lt;=Tools!$D$47/2,-CC26,CC26),3),",",ROUND(WLS*$AP62,3)," ")),"")</f>
        <v/>
      </c>
      <c r="Z121" s="377" t="str">
        <f>IFERROR(IF(ISERROR(DN150),"",CONCATENATE(ROUND(X_SHIFT_BP+IF(Tools!Z$97&lt;=Tools!$D$47/2,-CD26,CD26),3),",",ROUND(WLS*$AP62,3)," ")),"")</f>
        <v/>
      </c>
      <c r="AA121" s="129">
        <v>10</v>
      </c>
      <c r="AB121" s="245" t="str">
        <f t="shared" si="260"/>
        <v xml:space="preserve">Spline </v>
      </c>
      <c r="AC121" s="129" t="str">
        <v xml:space="preserve">155.435,1 </v>
      </c>
      <c r="AD121" s="245" t="str">
        <v/>
      </c>
      <c r="AE121" s="245" t="str">
        <v/>
      </c>
      <c r="AF121" s="245" t="str">
        <v xml:space="preserve">156.295,1.8 </v>
      </c>
      <c r="AG121" s="245" t="str">
        <v xml:space="preserve">156.725,2.7 </v>
      </c>
      <c r="AH121" s="245" t="str">
        <v xml:space="preserve">157.035,3.6 </v>
      </c>
      <c r="AI121" s="245" t="str">
        <v xml:space="preserve">157.205,5.4 </v>
      </c>
      <c r="AJ121" s="245" t="str">
        <v xml:space="preserve">156.745,7.2 </v>
      </c>
      <c r="AK121" s="245" t="str">
        <v xml:space="preserve">156.435,9 </v>
      </c>
      <c r="AL121" s="245" t="str">
        <v xml:space="preserve">156.875,10.1 </v>
      </c>
      <c r="AM121" s="245" t="str">
        <v xml:space="preserve">157.175,10.8 </v>
      </c>
      <c r="AN121" s="245" t="str">
        <v xml:space="preserve">158.225,12.6 </v>
      </c>
      <c r="AO121" s="245" t="str">
        <v xml:space="preserve">159.535,14.19 </v>
      </c>
      <c r="AP121" s="245" t="str">
        <v/>
      </c>
      <c r="AQ121" s="245" t="str">
        <v/>
      </c>
      <c r="AR121" s="245" t="str">
        <v/>
      </c>
      <c r="AS121" s="245" t="str">
        <v/>
      </c>
      <c r="AT121" s="245" t="str">
        <v/>
      </c>
      <c r="AU121" s="245" t="str">
        <v/>
      </c>
      <c r="AV121" s="245" t="str">
        <v/>
      </c>
      <c r="AW121" s="245" t="str">
        <v/>
      </c>
      <c r="AX121" s="245" t="str">
        <v/>
      </c>
      <c r="AY121" s="245" t="str">
        <v/>
      </c>
      <c r="AZ121" s="245" t="str">
        <v/>
      </c>
      <c r="BA121" s="245" t="str">
        <v/>
      </c>
      <c r="BB121" s="245" t="str">
        <v/>
      </c>
      <c r="BC121" s="376">
        <f>Tools!AD26</f>
        <v>19.5</v>
      </c>
      <c r="BD121" s="376">
        <f>IFERROR(Tools!AD26*STN_GAP,"")</f>
        <v>128.40749999999997</v>
      </c>
      <c r="BE121" s="496" t="e">
        <f>IFERROR(IF(ISNUMBER(DE121),NA(),IF(AND($DF121&lt;&gt;0,$DG121&gt;BE$97),NA(),IF($BD121&gt;LBP/2,-(-Tools!AE26),-Tools!AE26))),NA())</f>
        <v>#N/A</v>
      </c>
      <c r="BF121" s="376" t="e">
        <f>IFERROR(IF(AND($DF121&lt;&gt;0,$DG121&gt;BF$97),NA(),IF($BD121&gt;LBP/2,-(-Tools!AF26),-Tools!AF26)),NA())</f>
        <v>#N/A</v>
      </c>
      <c r="BG121" s="376">
        <f>IFERROR(IF(AND($DF121&lt;&gt;0,$DG121&gt;BG$97),NA(),IF($BD121&gt;LBP/2,-(-Tools!AG26),-Tools!AG26)),NA())</f>
        <v>0.86</v>
      </c>
      <c r="BH121" s="376">
        <f>IFERROR(IF(AND($DF121&lt;&gt;0,$DG121&gt;BH$97),NA(),IF($BD121&gt;LBP/2,-(-Tools!AH26),-Tools!AH26)),NA())</f>
        <v>1.29</v>
      </c>
      <c r="BI121" s="376">
        <f>IFERROR(IF(AND($DF121&lt;&gt;0,$DG121&gt;BI$97),NA(),IF($BD121&gt;LBP/2,-(-Tools!AI26),-Tools!AI26)),NA())</f>
        <v>1.6</v>
      </c>
      <c r="BJ121" s="376">
        <f>IFERROR(IF(AND($DF121&lt;&gt;0,$DG121&gt;BJ$97),NA(),IF($BD121&gt;LBP/2,-(-Tools!AJ26),-Tools!AJ26)),NA())</f>
        <v>1.77</v>
      </c>
      <c r="BK121" s="376">
        <f>IFERROR(IF(AND($DF121&lt;&gt;0,$DG121&gt;BK$97),NA(),IF($BD121&gt;LBP/2,-(-Tools!AK26),-Tools!AK26)),NA())</f>
        <v>1.31</v>
      </c>
      <c r="BL121" s="376">
        <f>IFERROR(IF(AND($DF121&lt;&gt;0,$DG121&gt;BL$97),NA(),IF($BD121&gt;LBP/2,-(-Tools!AL26),-Tools!AL26)),NA())</f>
        <v>1</v>
      </c>
      <c r="BM121" s="376">
        <f>IFERROR(IF(AND($DF121&lt;&gt;0,$DG121&gt;BM$97),NA(),IF($BD121&gt;LBP/2,-(-Tools!AM26),-Tools!AM26)),NA())</f>
        <v>1.44</v>
      </c>
      <c r="BN121" s="376">
        <f>IFERROR(IF(AND($DF121&lt;&gt;0,$DG121&gt;BN$97),NA(),IF($BD121&gt;LBP/2,-(-Tools!AN26),-Tools!AN26)),NA())</f>
        <v>1.74</v>
      </c>
      <c r="BO121" s="376">
        <f>IFERROR(IF(AND($DF121&lt;&gt;0,$DG121&gt;BO$97),NA(),IF($BD121&gt;LBP/2,-(-Tools!AO26),-Tools!AO26)),NA())</f>
        <v>2.79</v>
      </c>
      <c r="BP121" s="376">
        <f>IFERROR(IF(AND($DF121&lt;&gt;0,$DG121&gt;BP$97),NA(),IF($BD121&gt;LBP/2,-(-Tools!AP26),-Tools!AP26)),NA())</f>
        <v>4.0999999999999996</v>
      </c>
      <c r="BQ121" s="376" t="e">
        <f>IFERROR(IF(AND($DF121&lt;&gt;0,$DG121&gt;BQ$97),NA(),IF($BD121&gt;LBP/2,-(-Tools!AQ26),-Tools!AQ26)),NA())</f>
        <v>#N/A</v>
      </c>
      <c r="BR121" s="376" t="e">
        <f>IFERROR(IF(AND($DF121&lt;&gt;0,$DG121&gt;BR$97),NA(),IF($BD121&gt;LBP/2,-(-Tools!AR26),-Tools!AR26)),NA())</f>
        <v>#N/A</v>
      </c>
      <c r="BS121" s="376" t="e">
        <f>IFERROR(IF(AND($DF121&lt;&gt;0,$DG121&gt;BS$97),NA(),IF($BD121&gt;LBP/2,-(-Tools!AS26),-Tools!AS26)),NA())</f>
        <v>#N/A</v>
      </c>
      <c r="BT121" s="376" t="e">
        <f>IFERROR(IF(AND($DF121&lt;&gt;0,$DG121&gt;BT$97),NA(),IF($BD121&gt;LBP/2,-(-Tools!AT26),-Tools!AT26)),NA())</f>
        <v>#N/A</v>
      </c>
      <c r="BU121" s="376" t="e">
        <f>IFERROR(IF(AND($DF121&lt;&gt;0,$DG121&gt;BU$97),NA(),IF($BD121&gt;LBP/2,-(-Tools!AU26),-Tools!AU26)),NA())</f>
        <v>#N/A</v>
      </c>
      <c r="BV121" s="376" t="e">
        <f>IFERROR(IF(AND($DF121&lt;&gt;0,$DG121&gt;BV$97),NA(),IF($BD121&gt;LBP/2,-(-Tools!AV26),-Tools!AV26)),NA())</f>
        <v>#N/A</v>
      </c>
      <c r="BW121" s="376" t="e">
        <f>IFERROR(IF(AND($DF121&lt;&gt;0,$DG121&gt;BW$97),NA(),IF($BD121&gt;LBP/2,-(-Tools!AW26),-Tools!AW26)),NA())</f>
        <v>#N/A</v>
      </c>
      <c r="BX121" s="376" t="e">
        <f>IFERROR(IF(AND($DF121&lt;&gt;0,$DG121&gt;BX$97),NA(),IF($BD121&gt;LBP/2,-(-Tools!AX26),-Tools!AX26)),NA())</f>
        <v>#N/A</v>
      </c>
      <c r="BY121" s="376" t="e">
        <f>IFERROR(IF(AND($DF121&lt;&gt;0,$DG121&gt;BY$97),NA(),IF($BD121&gt;LBP/2,-(-Tools!AY26),-Tools!AY26)),NA())</f>
        <v>#N/A</v>
      </c>
      <c r="BZ121" s="376" t="e">
        <f>IFERROR(IF(AND($DF121&lt;&gt;0,$DG121&gt;BZ$97),NA(),IF($BD121&gt;LBP/2,-(-Tools!AZ26),-Tools!AZ26)),NA())</f>
        <v>#N/A</v>
      </c>
      <c r="CA121" s="376" t="e">
        <f>IFERROR(IF(AND($DF121&lt;&gt;0,$DG121&gt;CA$97),NA(),IF($BD121&gt;LBP/2,-(-Tools!BA26),-Tools!BA26)),NA())</f>
        <v>#N/A</v>
      </c>
      <c r="CB121" s="376" t="e">
        <f>IFERROR(IF(AND($DF121&lt;&gt;0,$DG121&gt;CB$97),NA(),IF($BD121&gt;LBP/2,-(-Tools!BB26),-Tools!BB26)),NA())</f>
        <v>#N/A</v>
      </c>
      <c r="CC121" s="376" t="e">
        <f>IFERROR(IF(AND($DF121&lt;&gt;0,$DG121&gt;CC$97),NA(),IF($BD121&gt;LBP/2,-(-Tools!BC26),-Tools!BC26)),NA())</f>
        <v>#N/A</v>
      </c>
      <c r="CE121" s="425" t="b">
        <f t="shared" si="207"/>
        <v>1</v>
      </c>
      <c r="CF121" s="425" t="b">
        <f t="shared" si="208"/>
        <v>0</v>
      </c>
      <c r="CG121" s="425" t="b">
        <f t="shared" si="209"/>
        <v>0</v>
      </c>
      <c r="CH121" s="425" t="b">
        <f t="shared" si="210"/>
        <v>0</v>
      </c>
      <c r="CI121" s="425" t="b">
        <f t="shared" si="211"/>
        <v>0</v>
      </c>
      <c r="CJ121" s="425" t="b">
        <f t="shared" si="212"/>
        <v>0</v>
      </c>
      <c r="CK121" s="425" t="b">
        <f t="shared" si="213"/>
        <v>0</v>
      </c>
      <c r="CL121" s="425" t="b">
        <f t="shared" si="214"/>
        <v>0</v>
      </c>
      <c r="CM121" s="425" t="b">
        <f t="shared" si="215"/>
        <v>0</v>
      </c>
      <c r="CN121" s="425" t="b">
        <f t="shared" si="216"/>
        <v>0</v>
      </c>
      <c r="CO121" s="425" t="b">
        <f t="shared" si="217"/>
        <v>0</v>
      </c>
      <c r="CP121" s="425" t="b">
        <f t="shared" si="218"/>
        <v>0</v>
      </c>
      <c r="CQ121" s="425" t="b">
        <f t="shared" si="219"/>
        <v>0</v>
      </c>
      <c r="CR121" s="425" t="b">
        <f t="shared" si="220"/>
        <v>0</v>
      </c>
      <c r="CS121" s="425" t="b">
        <f t="shared" si="221"/>
        <v>0</v>
      </c>
      <c r="CT121" s="425" t="b">
        <f t="shared" si="222"/>
        <v>0</v>
      </c>
      <c r="CU121" s="425" t="b">
        <f t="shared" si="223"/>
        <v>0</v>
      </c>
      <c r="CV121" s="425" t="b">
        <f t="shared" si="224"/>
        <v>0</v>
      </c>
      <c r="CW121" s="425" t="b">
        <f t="shared" si="225"/>
        <v>0</v>
      </c>
      <c r="CX121" s="425" t="b">
        <f t="shared" si="226"/>
        <v>0</v>
      </c>
      <c r="CY121" s="425" t="b">
        <f t="shared" si="227"/>
        <v>0</v>
      </c>
      <c r="CZ121" s="425" t="b">
        <f t="shared" si="228"/>
        <v>0</v>
      </c>
      <c r="DA121" s="425" t="b">
        <f t="shared" si="229"/>
        <v>0</v>
      </c>
      <c r="DB121" s="425" t="b">
        <f t="shared" si="230"/>
        <v>0</v>
      </c>
      <c r="DC121" s="425"/>
      <c r="DD121" s="425">
        <f t="shared" si="261"/>
        <v>1</v>
      </c>
      <c r="DE121" s="425">
        <f t="shared" si="231"/>
        <v>0.55555555555555558</v>
      </c>
      <c r="DF121" s="425">
        <f t="shared" si="265"/>
        <v>0.9</v>
      </c>
      <c r="DG121" s="425">
        <f t="shared" si="266"/>
        <v>1.8</v>
      </c>
      <c r="DH121" s="425">
        <f t="shared" si="233"/>
        <v>19.5</v>
      </c>
      <c r="DI121" s="425"/>
      <c r="DJ121" s="425">
        <f t="shared" si="263"/>
        <v>0</v>
      </c>
      <c r="DK121" s="425" t="e">
        <f t="shared" si="180"/>
        <v>#N/A</v>
      </c>
      <c r="DL121" s="425" t="e">
        <f t="shared" si="181"/>
        <v>#N/A</v>
      </c>
      <c r="DM121" s="425">
        <f t="shared" si="182"/>
        <v>0.86</v>
      </c>
      <c r="DN121" s="425">
        <f t="shared" si="183"/>
        <v>1.29</v>
      </c>
      <c r="DO121" s="425">
        <f t="shared" si="184"/>
        <v>1.6</v>
      </c>
      <c r="DP121" s="425">
        <f t="shared" si="185"/>
        <v>1.77</v>
      </c>
      <c r="DQ121" s="425">
        <f t="shared" si="186"/>
        <v>1.31</v>
      </c>
      <c r="DR121" s="425">
        <f t="shared" si="187"/>
        <v>1</v>
      </c>
      <c r="DS121" s="425">
        <f t="shared" si="188"/>
        <v>1.44</v>
      </c>
      <c r="DT121" s="425">
        <f t="shared" si="189"/>
        <v>1.74</v>
      </c>
      <c r="DU121" s="425">
        <f t="shared" si="190"/>
        <v>2.79</v>
      </c>
      <c r="DV121" s="425">
        <f t="shared" si="191"/>
        <v>4.0999999999999996</v>
      </c>
      <c r="DW121" s="425" t="e">
        <f t="shared" si="192"/>
        <v>#N/A</v>
      </c>
      <c r="DX121" s="425" t="e">
        <f t="shared" si="193"/>
        <v>#N/A</v>
      </c>
      <c r="DY121" s="425" t="e">
        <f t="shared" si="194"/>
        <v>#N/A</v>
      </c>
      <c r="DZ121" s="425" t="e">
        <f t="shared" si="195"/>
        <v>#N/A</v>
      </c>
      <c r="EA121" s="425" t="e">
        <f t="shared" si="196"/>
        <v>#N/A</v>
      </c>
      <c r="EB121" s="425" t="e">
        <f t="shared" si="197"/>
        <v>#N/A</v>
      </c>
      <c r="EC121" s="425" t="e">
        <f t="shared" si="198"/>
        <v>#N/A</v>
      </c>
      <c r="ED121" s="425" t="e">
        <f t="shared" si="199"/>
        <v>#N/A</v>
      </c>
      <c r="EE121" s="425" t="e">
        <f t="shared" si="200"/>
        <v>#N/A</v>
      </c>
      <c r="EF121" s="425" t="e">
        <f t="shared" si="201"/>
        <v>#N/A</v>
      </c>
      <c r="EG121" s="425" t="e">
        <f t="shared" si="202"/>
        <v>#N/A</v>
      </c>
      <c r="EH121" s="425" t="e">
        <f t="shared" si="203"/>
        <v>#N/A</v>
      </c>
      <c r="EI121" s="425" t="e">
        <f t="shared" si="204"/>
        <v>#N/A</v>
      </c>
      <c r="EJ121" s="425"/>
      <c r="EK121" s="425"/>
      <c r="EL121" s="425">
        <f t="shared" si="234"/>
        <v>1</v>
      </c>
      <c r="EM121" s="425">
        <f t="shared" si="264"/>
        <v>0</v>
      </c>
      <c r="EN121" s="425">
        <f t="shared" si="236"/>
        <v>0.9</v>
      </c>
      <c r="EO121" s="425">
        <f t="shared" si="237"/>
        <v>1.8</v>
      </c>
      <c r="EP121" s="425">
        <f t="shared" si="238"/>
        <v>2.7</v>
      </c>
      <c r="EQ121" s="425">
        <f t="shared" si="239"/>
        <v>3.6</v>
      </c>
      <c r="ER121" s="425">
        <f t="shared" si="240"/>
        <v>5.4</v>
      </c>
      <c r="ES121" s="425">
        <f t="shared" si="241"/>
        <v>7.2</v>
      </c>
      <c r="ET121" s="425">
        <f t="shared" si="242"/>
        <v>9</v>
      </c>
      <c r="EU121" s="425">
        <f t="shared" si="243"/>
        <v>10.1</v>
      </c>
      <c r="EV121" s="425">
        <f t="shared" si="244"/>
        <v>10.8</v>
      </c>
      <c r="EW121" s="425">
        <f t="shared" si="245"/>
        <v>12.6</v>
      </c>
      <c r="EX121" s="425">
        <f t="shared" si="246"/>
        <v>14.19</v>
      </c>
      <c r="EY121" s="425" t="e">
        <f t="shared" si="247"/>
        <v>#N/A</v>
      </c>
      <c r="EZ121" s="425" t="e">
        <f t="shared" si="248"/>
        <v>#N/A</v>
      </c>
      <c r="FA121" s="425" t="e">
        <f t="shared" si="249"/>
        <v>#N/A</v>
      </c>
      <c r="FB121" s="425" t="e">
        <f t="shared" si="250"/>
        <v>#N/A</v>
      </c>
      <c r="FC121" s="425" t="e">
        <f t="shared" si="251"/>
        <v>#N/A</v>
      </c>
      <c r="FD121" s="425" t="e">
        <f t="shared" si="252"/>
        <v>#N/A</v>
      </c>
      <c r="FE121" s="425" t="e">
        <f t="shared" si="253"/>
        <v>#N/A</v>
      </c>
      <c r="FF121" s="425" t="e">
        <f t="shared" si="254"/>
        <v>#N/A</v>
      </c>
      <c r="FG121" s="425" t="e">
        <f t="shared" si="255"/>
        <v>#N/A</v>
      </c>
      <c r="FH121" s="425" t="e">
        <f t="shared" si="256"/>
        <v>#N/A</v>
      </c>
      <c r="FI121" s="425" t="e">
        <f t="shared" si="257"/>
        <v>#N/A</v>
      </c>
      <c r="FJ121" s="425" t="e">
        <f t="shared" si="258"/>
        <v>#N/A</v>
      </c>
      <c r="FK121" s="425" t="e">
        <f t="shared" si="259"/>
        <v>#N/A</v>
      </c>
    </row>
    <row r="122" spans="1:199" x14ac:dyDescent="0.25">
      <c r="A122" s="374" t="str">
        <f t="shared" si="206"/>
        <v xml:space="preserve">  </v>
      </c>
      <c r="B122" s="377" t="str">
        <f>IFERROR(IF(ISERROR(CP151),"",CONCATENATE(ROUND(X_SHIFT_BP+IF(Tools!B$97&lt;=Tools!$D$47/2,-BF27,BF27),3),",",ROUND(WLS*$AP63,3)," ")),"")</f>
        <v/>
      </c>
      <c r="C122" s="377" t="str">
        <f>IFERROR(IF(ISERROR(CQ151),"",CONCATENATE(ROUND(X_SHIFT_BP+IF(Tools!C$97&lt;=Tools!$D$47/2,-BG27,BG27),3),",",ROUND(WLS*$AP63,3)," ")),"")</f>
        <v/>
      </c>
      <c r="D122" s="377" t="str">
        <f>IFERROR(IF(ISERROR(CR151),"",CONCATENATE(ROUND(X_SHIFT_BP+IF(Tools!D$97&lt;=Tools!$D$47/2,-BH27,BH27),3),",",ROUND(WLS*$AP63,3)," ")),"")</f>
        <v/>
      </c>
      <c r="E122" s="377" t="str">
        <f>IFERROR(IF(ISERROR(CS151),"",CONCATENATE(ROUND(X_SHIFT_BP+IF(Tools!E$97&lt;=Tools!$D$47/2,-BI27,BI27),3),",",ROUND(WLS*$AP63,3)," ")),"")</f>
        <v/>
      </c>
      <c r="F122" s="377" t="str">
        <f>IFERROR(IF(ISERROR(CT151),"",CONCATENATE(ROUND(X_SHIFT_BP+IF(Tools!F$97&lt;=Tools!$D$47/2,-BJ27,BJ27),3),",",ROUND(WLS*$AP63,3)," ")),"")</f>
        <v/>
      </c>
      <c r="G122" s="377" t="str">
        <f>IFERROR(IF(ISERROR(CU151),"",CONCATENATE(ROUND(X_SHIFT_BP+IF(Tools!G$97&lt;=Tools!$D$47/2,-BK27,BK27),3),",",ROUND(WLS*$AP63,3)," ")),"")</f>
        <v/>
      </c>
      <c r="H122" s="377" t="str">
        <f>IFERROR(IF(ISERROR(CV151),"",CONCATENATE(ROUND(X_SHIFT_BP+IF(Tools!H$97&lt;=Tools!$D$47/2,-BL27,BL27),3),",",ROUND(WLS*$AP63,3)," ")),"")</f>
        <v/>
      </c>
      <c r="I122" s="377" t="str">
        <f>IFERROR(IF(ISERROR(CW151),"",CONCATENATE(ROUND(X_SHIFT_BP+IF(Tools!I$97&lt;=Tools!$D$47/2,-BM27,BM27),3),",",ROUND(WLS*$AP63,3)," ")),"")</f>
        <v/>
      </c>
      <c r="J122" s="377" t="str">
        <f>IFERROR(IF(ISERROR(CX151),"",CONCATENATE(ROUND(X_SHIFT_BP+IF(Tools!J$97&lt;=Tools!$D$47/2,-BN27,BN27),3),",",ROUND(WLS*$AP63,3)," ")),"")</f>
        <v/>
      </c>
      <c r="K122" s="377" t="str">
        <f>IFERROR(IF(ISERROR(CY151),"",CONCATENATE(ROUND(X_SHIFT_BP+IF(Tools!K$97&lt;=Tools!$D$47/2,-BO27,BO27),3),",",ROUND(WLS*$AP63,3)," ")),"")</f>
        <v/>
      </c>
      <c r="L122" s="377" t="str">
        <f>IFERROR(IF(ISERROR(CZ151),"",CONCATENATE(ROUND(X_SHIFT_BP+IF(Tools!L$97&lt;=Tools!$D$47/2,-BP27,BP27),3),",",ROUND(WLS*$AP63,3)," ")),"")</f>
        <v/>
      </c>
      <c r="M122" s="377" t="str">
        <f>IFERROR(IF(ISERROR(DA151),"",CONCATENATE(ROUND(X_SHIFT_BP+IF(Tools!M$97&lt;=Tools!$D$47/2,-BQ27,BQ27),3),",",ROUND(WLS*$AP63,3)," ")),"")</f>
        <v/>
      </c>
      <c r="N122" s="377" t="str">
        <f>IFERROR(IF(ISERROR(DB151),"",CONCATENATE(ROUND(X_SHIFT_BP+IF(Tools!N$97&lt;=Tools!$D$47/2,-BR27,BR27),3),",",ROUND(WLS*$AP63,3)," ")),"")</f>
        <v/>
      </c>
      <c r="O122" s="377" t="str">
        <f>IFERROR(IF(ISERROR(DC151),"",CONCATENATE(ROUND(X_SHIFT_BP+IF(Tools!O$97&lt;=Tools!$D$47/2,-BS27,BS27),3),",",ROUND(WLS*$AP63,3)," ")),"")</f>
        <v/>
      </c>
      <c r="P122" s="377" t="str">
        <f>IFERROR(IF(ISERROR(DD151),"",CONCATENATE(ROUND(X_SHIFT_BP+IF(Tools!P$97&lt;=Tools!$D$47/2,-BT27,BT27),3),",",ROUND(WLS*$AP63,3)," ")),"")</f>
        <v/>
      </c>
      <c r="Q122" s="377" t="str">
        <f>IFERROR(IF(ISERROR(DE151),"",CONCATENATE(ROUND(X_SHIFT_BP+IF(Tools!Q$97&lt;=Tools!$D$47/2,-BU27,BU27),3),",",ROUND(WLS*$AP63,3)," ")),"")</f>
        <v/>
      </c>
      <c r="R122" s="377" t="str">
        <f>IFERROR(IF(ISERROR(DF151),"",CONCATENATE(ROUND(X_SHIFT_BP+IF(Tools!R$97&lt;=Tools!$D$47/2,-BV27,BV27),3),",",ROUND(WLS*$AP63,3)," ")),"")</f>
        <v/>
      </c>
      <c r="S122" s="377" t="str">
        <f>IFERROR(IF(ISERROR(DG151),"",CONCATENATE(ROUND(X_SHIFT_BP+IF(Tools!S$97&lt;=Tools!$D$47/2,-BW27,BW27),3),",",ROUND(WLS*$AP63,3)," ")),"")</f>
        <v/>
      </c>
      <c r="T122" s="377" t="str">
        <f>IFERROR(IF(ISERROR(DH151),"",CONCATENATE(ROUND(X_SHIFT_BP+IF(Tools!T$97&lt;=Tools!$D$47/2,-BX27,BX27),3),",",ROUND(WLS*$AP63,3)," ")),"")</f>
        <v/>
      </c>
      <c r="U122" s="377" t="str">
        <f>IFERROR(IF(ISERROR(DI151),"",CONCATENATE(ROUND(X_SHIFT_BP+IF(Tools!U$97&lt;=Tools!$D$47/2,-BY27,BY27),3),",",ROUND(WLS*$AP63,3)," ")),"")</f>
        <v/>
      </c>
      <c r="V122" s="377" t="str">
        <f>IFERROR(IF(ISERROR(DJ151),"",CONCATENATE(ROUND(X_SHIFT_BP+IF(Tools!V$97&lt;=Tools!$D$47/2,-BZ27,BZ27),3),",",ROUND(WLS*$AP63,3)," ")),"")</f>
        <v/>
      </c>
      <c r="W122" s="377" t="str">
        <f>IFERROR(IF(ISERROR(DK151),"",CONCATENATE(ROUND(X_SHIFT_BP+IF(Tools!W$97&lt;=Tools!$D$47/2,-CA27,CA27),3),",",ROUND(WLS*$AP63,3)," ")),"")</f>
        <v/>
      </c>
      <c r="X122" s="377" t="str">
        <f>IFERROR(IF(ISERROR(DL151),"",CONCATENATE(ROUND(X_SHIFT_BP+IF(Tools!X$97&lt;=Tools!$D$47/2,-CB27,CB27),3),",",ROUND(WLS*$AP63,3)," ")),"")</f>
        <v/>
      </c>
      <c r="Y122" s="377" t="str">
        <f>IFERROR(IF(ISERROR(DM151),"",CONCATENATE(ROUND(X_SHIFT_BP+IF(Tools!Y$97&lt;=Tools!$D$47/2,-CC27,CC27),3),",",ROUND(WLS*$AP63,3)," ")),"")</f>
        <v/>
      </c>
      <c r="Z122" s="377" t="str">
        <f>IFERROR(IF(ISERROR(DN151),"",CONCATENATE(ROUND(X_SHIFT_BP+IF(Tools!Z$97&lt;=Tools!$D$47/2,-CD27,CD27),3),",",ROUND(WLS*$AP63,3)," ")),"")</f>
        <v/>
      </c>
      <c r="AA122" s="129">
        <v>9</v>
      </c>
      <c r="AB122" s="245" t="str">
        <f t="shared" si="260"/>
        <v xml:space="preserve">Spline </v>
      </c>
      <c r="AC122" s="129" t="str">
        <v xml:space="preserve">155.435,2 </v>
      </c>
      <c r="AD122" s="245" t="str">
        <v/>
      </c>
      <c r="AE122" s="245" t="str">
        <v/>
      </c>
      <c r="AF122" s="245" t="str">
        <v/>
      </c>
      <c r="AG122" s="245" t="str">
        <v xml:space="preserve">156.195,2.7 </v>
      </c>
      <c r="AH122" s="245" t="str">
        <v xml:space="preserve">156.585,3.6 </v>
      </c>
      <c r="AI122" s="245" t="str">
        <v xml:space="preserve">156.885,5.4 </v>
      </c>
      <c r="AJ122" s="245" t="str">
        <v xml:space="preserve">156.475,7.2 </v>
      </c>
      <c r="AK122" s="245" t="str">
        <v xml:space="preserve">155.435,9 </v>
      </c>
      <c r="AL122" s="245" t="str">
        <v xml:space="preserve">155.435,10.1 </v>
      </c>
      <c r="AM122" s="245" t="str">
        <v xml:space="preserve">155.685,10.8 </v>
      </c>
      <c r="AN122" s="245" t="str">
        <v xml:space="preserve">156.285,12.6 </v>
      </c>
      <c r="AO122" s="245" t="str">
        <v xml:space="preserve">157.215,14.19 </v>
      </c>
      <c r="AP122" s="245" t="str">
        <v/>
      </c>
      <c r="AQ122" s="245" t="str">
        <v/>
      </c>
      <c r="AR122" s="245" t="str">
        <v/>
      </c>
      <c r="AS122" s="245" t="str">
        <v/>
      </c>
      <c r="AT122" s="245" t="str">
        <v/>
      </c>
      <c r="AU122" s="245" t="str">
        <v/>
      </c>
      <c r="AV122" s="245" t="str">
        <v/>
      </c>
      <c r="AW122" s="245" t="str">
        <v/>
      </c>
      <c r="AX122" s="245" t="str">
        <v/>
      </c>
      <c r="AY122" s="245" t="str">
        <v/>
      </c>
      <c r="AZ122" s="245" t="str">
        <v/>
      </c>
      <c r="BA122" s="245" t="str">
        <v/>
      </c>
      <c r="BB122" s="245" t="str">
        <v/>
      </c>
      <c r="BC122" s="376">
        <f>Tools!AD27</f>
        <v>20</v>
      </c>
      <c r="BD122" s="376">
        <f>IFERROR(Tools!AD27*STN_GAP,"")</f>
        <v>131.69999999999999</v>
      </c>
      <c r="BE122" s="496" t="e">
        <f>IFERROR(IF(ISNUMBER(DE122),NA(),IF(AND($DF122&lt;&gt;0,$DG122&gt;BE$97),NA(),IF($BD122&gt;LBP/2,-(-Tools!AE27),-Tools!AE27))),NA())</f>
        <v>#N/A</v>
      </c>
      <c r="BF122" s="376" t="e">
        <f>IFERROR(IF(AND($DF122&lt;&gt;0,$DG122&gt;BF$97),NA(),IF($BD122&gt;LBP/2,-(-Tools!AF27),-Tools!AF27)),NA())</f>
        <v>#N/A</v>
      </c>
      <c r="BG122" s="376" t="e">
        <f>IFERROR(IF(AND($DF122&lt;&gt;0,$DG122&gt;BG$97),NA(),IF($BD122&gt;LBP/2,-(-Tools!AG27),-Tools!AG27)),NA())</f>
        <v>#N/A</v>
      </c>
      <c r="BH122" s="376">
        <f>IFERROR(IF(AND($DF122&lt;&gt;0,$DG122&gt;BH$97),NA(),IF($BD122&gt;LBP/2,-(-Tools!AH27),-Tools!AH27)),NA())</f>
        <v>0.76</v>
      </c>
      <c r="BI122" s="376">
        <f>IFERROR(IF(AND($DF122&lt;&gt;0,$DG122&gt;BI$97),NA(),IF($BD122&gt;LBP/2,-(-Tools!AI27),-Tools!AI27)),NA())</f>
        <v>1.1499999999999999</v>
      </c>
      <c r="BJ122" s="376">
        <f>IFERROR(IF(AND($DF122&lt;&gt;0,$DG122&gt;BJ$97),NA(),IF($BD122&gt;LBP/2,-(-Tools!AJ27),-Tools!AJ27)),NA())</f>
        <v>1.45</v>
      </c>
      <c r="BK122" s="376">
        <f>IFERROR(IF(AND($DF122&lt;&gt;0,$DG122&gt;BK$97),NA(),IF($BD122&gt;LBP/2,-(-Tools!AK27),-Tools!AK27)),NA())</f>
        <v>1.04</v>
      </c>
      <c r="BL122" s="376">
        <f>IFERROR(IF(AND($DF122&lt;&gt;0,$DG122&gt;BL$97),NA(),IF($BD122&gt;LBP/2,-(-Tools!AL27),-Tools!AL27)),NA())</f>
        <v>0</v>
      </c>
      <c r="BM122" s="376">
        <f>IFERROR(IF(AND($DF122&lt;&gt;0,$DG122&gt;BM$97),NA(),IF($BD122&gt;LBP/2,-(-Tools!AM27),-Tools!AM27)),NA())</f>
        <v>0</v>
      </c>
      <c r="BN122" s="376">
        <f>IFERROR(IF(AND($DF122&lt;&gt;0,$DG122&gt;BN$97),NA(),IF($BD122&gt;LBP/2,-(-Tools!AN27),-Tools!AN27)),NA())</f>
        <v>0.25</v>
      </c>
      <c r="BO122" s="376">
        <f>IFERROR(IF(AND($DF122&lt;&gt;0,$DG122&gt;BO$97),NA(),IF($BD122&gt;LBP/2,-(-Tools!AO27),-Tools!AO27)),NA())</f>
        <v>0.85</v>
      </c>
      <c r="BP122" s="376">
        <f>IFERROR(IF(AND($DF122&lt;&gt;0,$DG122&gt;BP$97),NA(),IF($BD122&gt;LBP/2,-(-Tools!AP27),-Tools!AP27)),NA())</f>
        <v>1.78</v>
      </c>
      <c r="BQ122" s="376" t="e">
        <f>IFERROR(IF(AND($DF122&lt;&gt;0,$DG122&gt;BQ$97),NA(),IF($BD122&gt;LBP/2,-(-Tools!AQ27),-Tools!AQ27)),NA())</f>
        <v>#N/A</v>
      </c>
      <c r="BR122" s="376" t="e">
        <f>IFERROR(IF(AND($DF122&lt;&gt;0,$DG122&gt;BR$97),NA(),IF($BD122&gt;LBP/2,-(-Tools!AR27),-Tools!AR27)),NA())</f>
        <v>#N/A</v>
      </c>
      <c r="BS122" s="376" t="e">
        <f>IFERROR(IF(AND($DF122&lt;&gt;0,$DG122&gt;BS$97),NA(),IF($BD122&gt;LBP/2,-(-Tools!AS27),-Tools!AS27)),NA())</f>
        <v>#N/A</v>
      </c>
      <c r="BT122" s="376" t="e">
        <f>IFERROR(IF(AND($DF122&lt;&gt;0,$DG122&gt;BT$97),NA(),IF($BD122&gt;LBP/2,-(-Tools!AT27),-Tools!AT27)),NA())</f>
        <v>#N/A</v>
      </c>
      <c r="BU122" s="376" t="e">
        <f>IFERROR(IF(AND($DF122&lt;&gt;0,$DG122&gt;BU$97),NA(),IF($BD122&gt;LBP/2,-(-Tools!AU27),-Tools!AU27)),NA())</f>
        <v>#N/A</v>
      </c>
      <c r="BV122" s="376" t="e">
        <f>IFERROR(IF(AND($DF122&lt;&gt;0,$DG122&gt;BV$97),NA(),IF($BD122&gt;LBP/2,-(-Tools!AV27),-Tools!AV27)),NA())</f>
        <v>#N/A</v>
      </c>
      <c r="BW122" s="376" t="e">
        <f>IFERROR(IF(AND($DF122&lt;&gt;0,$DG122&gt;BW$97),NA(),IF($BD122&gt;LBP/2,-(-Tools!AW27),-Tools!AW27)),NA())</f>
        <v>#N/A</v>
      </c>
      <c r="BX122" s="376" t="e">
        <f>IFERROR(IF(AND($DF122&lt;&gt;0,$DG122&gt;BX$97),NA(),IF($BD122&gt;LBP/2,-(-Tools!AX27),-Tools!AX27)),NA())</f>
        <v>#N/A</v>
      </c>
      <c r="BY122" s="376" t="e">
        <f>IFERROR(IF(AND($DF122&lt;&gt;0,$DG122&gt;BY$97),NA(),IF($BD122&gt;LBP/2,-(-Tools!AY27),-Tools!AY27)),NA())</f>
        <v>#N/A</v>
      </c>
      <c r="BZ122" s="376" t="e">
        <f>IFERROR(IF(AND($DF122&lt;&gt;0,$DG122&gt;BZ$97),NA(),IF($BD122&gt;LBP/2,-(-Tools!AZ27),-Tools!AZ27)),NA())</f>
        <v>#N/A</v>
      </c>
      <c r="CA122" s="376" t="e">
        <f>IFERROR(IF(AND($DF122&lt;&gt;0,$DG122&gt;CA$97),NA(),IF($BD122&gt;LBP/2,-(-Tools!BA27),-Tools!BA27)),NA())</f>
        <v>#N/A</v>
      </c>
      <c r="CB122" s="376" t="e">
        <f>IFERROR(IF(AND($DF122&lt;&gt;0,$DG122&gt;CB$97),NA(),IF($BD122&gt;LBP/2,-(-Tools!BB27),-Tools!BB27)),NA())</f>
        <v>#N/A</v>
      </c>
      <c r="CC122" s="376" t="e">
        <f>IFERROR(IF(AND($DF122&lt;&gt;0,$DG122&gt;CC$97),NA(),IF($BD122&gt;LBP/2,-(-Tools!BC27),-Tools!BC27)),NA())</f>
        <v>#N/A</v>
      </c>
      <c r="CE122" s="425" t="b">
        <f t="shared" si="207"/>
        <v>1</v>
      </c>
      <c r="CF122" s="425" t="b">
        <f t="shared" si="208"/>
        <v>1</v>
      </c>
      <c r="CG122" s="425" t="b">
        <f t="shared" si="209"/>
        <v>0</v>
      </c>
      <c r="CH122" s="425" t="b">
        <f t="shared" si="210"/>
        <v>0</v>
      </c>
      <c r="CI122" s="425" t="b">
        <f t="shared" si="211"/>
        <v>0</v>
      </c>
      <c r="CJ122" s="425" t="b">
        <f t="shared" si="212"/>
        <v>0</v>
      </c>
      <c r="CK122" s="425" t="b">
        <f t="shared" si="213"/>
        <v>0</v>
      </c>
      <c r="CL122" s="425" t="b">
        <f t="shared" si="214"/>
        <v>0</v>
      </c>
      <c r="CM122" s="425" t="b">
        <f t="shared" si="215"/>
        <v>0</v>
      </c>
      <c r="CN122" s="425" t="b">
        <f t="shared" si="216"/>
        <v>0</v>
      </c>
      <c r="CO122" s="425" t="b">
        <f t="shared" si="217"/>
        <v>0</v>
      </c>
      <c r="CP122" s="425" t="b">
        <f t="shared" si="218"/>
        <v>0</v>
      </c>
      <c r="CQ122" s="425" t="b">
        <f t="shared" si="219"/>
        <v>0</v>
      </c>
      <c r="CR122" s="425" t="b">
        <f t="shared" si="220"/>
        <v>0</v>
      </c>
      <c r="CS122" s="425" t="b">
        <f t="shared" si="221"/>
        <v>0</v>
      </c>
      <c r="CT122" s="425" t="b">
        <f t="shared" si="222"/>
        <v>0</v>
      </c>
      <c r="CU122" s="425" t="b">
        <f t="shared" si="223"/>
        <v>0</v>
      </c>
      <c r="CV122" s="425" t="b">
        <f t="shared" si="224"/>
        <v>0</v>
      </c>
      <c r="CW122" s="425" t="b">
        <f t="shared" si="225"/>
        <v>0</v>
      </c>
      <c r="CX122" s="425" t="b">
        <f t="shared" si="226"/>
        <v>0</v>
      </c>
      <c r="CY122" s="425" t="b">
        <f t="shared" si="227"/>
        <v>0</v>
      </c>
      <c r="CZ122" s="425" t="b">
        <f t="shared" si="228"/>
        <v>0</v>
      </c>
      <c r="DA122" s="425" t="b">
        <f t="shared" si="229"/>
        <v>0</v>
      </c>
      <c r="DB122" s="425" t="b">
        <f t="shared" si="230"/>
        <v>0</v>
      </c>
      <c r="DC122" s="425"/>
      <c r="DD122" s="425">
        <f t="shared" si="261"/>
        <v>2</v>
      </c>
      <c r="DE122" s="425">
        <f t="shared" si="231"/>
        <v>1.1111111111111112</v>
      </c>
      <c r="DF122" s="425">
        <f t="shared" si="265"/>
        <v>1.8</v>
      </c>
      <c r="DG122" s="425">
        <f t="shared" si="266"/>
        <v>2.7</v>
      </c>
      <c r="DH122" s="425">
        <f>BC122</f>
        <v>20</v>
      </c>
      <c r="DI122" s="425"/>
      <c r="DJ122" s="425">
        <f t="shared" si="263"/>
        <v>0</v>
      </c>
      <c r="DK122" s="425" t="e">
        <f t="shared" si="180"/>
        <v>#N/A</v>
      </c>
      <c r="DL122" s="425" t="e">
        <f t="shared" si="181"/>
        <v>#N/A</v>
      </c>
      <c r="DM122" s="425" t="e">
        <f t="shared" si="182"/>
        <v>#N/A</v>
      </c>
      <c r="DN122" s="425">
        <f t="shared" si="183"/>
        <v>0.76</v>
      </c>
      <c r="DO122" s="425">
        <f t="shared" si="184"/>
        <v>1.1499999999999999</v>
      </c>
      <c r="DP122" s="425">
        <f t="shared" si="185"/>
        <v>1.45</v>
      </c>
      <c r="DQ122" s="425">
        <f t="shared" si="186"/>
        <v>1.04</v>
      </c>
      <c r="DR122" s="425">
        <f t="shared" si="187"/>
        <v>0</v>
      </c>
      <c r="DS122" s="425">
        <f t="shared" si="188"/>
        <v>0</v>
      </c>
      <c r="DT122" s="425">
        <f t="shared" si="189"/>
        <v>0.25</v>
      </c>
      <c r="DU122" s="425">
        <f t="shared" si="190"/>
        <v>0.85</v>
      </c>
      <c r="DV122" s="425">
        <f t="shared" si="191"/>
        <v>1.78</v>
      </c>
      <c r="DW122" s="425" t="e">
        <f t="shared" si="192"/>
        <v>#N/A</v>
      </c>
      <c r="DX122" s="425" t="e">
        <f t="shared" si="193"/>
        <v>#N/A</v>
      </c>
      <c r="DY122" s="425" t="e">
        <f t="shared" si="194"/>
        <v>#N/A</v>
      </c>
      <c r="DZ122" s="425" t="e">
        <f t="shared" si="195"/>
        <v>#N/A</v>
      </c>
      <c r="EA122" s="425" t="e">
        <f t="shared" si="196"/>
        <v>#N/A</v>
      </c>
      <c r="EB122" s="425" t="e">
        <f t="shared" si="197"/>
        <v>#N/A</v>
      </c>
      <c r="EC122" s="425" t="e">
        <f t="shared" si="198"/>
        <v>#N/A</v>
      </c>
      <c r="ED122" s="425" t="e">
        <f t="shared" si="199"/>
        <v>#N/A</v>
      </c>
      <c r="EE122" s="425" t="e">
        <f t="shared" si="200"/>
        <v>#N/A</v>
      </c>
      <c r="EF122" s="425" t="e">
        <f t="shared" si="201"/>
        <v>#N/A</v>
      </c>
      <c r="EG122" s="425" t="e">
        <f t="shared" si="202"/>
        <v>#N/A</v>
      </c>
      <c r="EH122" s="425" t="e">
        <f t="shared" si="203"/>
        <v>#N/A</v>
      </c>
      <c r="EI122" s="425" t="e">
        <f t="shared" si="204"/>
        <v>#N/A</v>
      </c>
      <c r="EJ122" s="425"/>
      <c r="EK122" s="425"/>
      <c r="EL122" s="425">
        <f t="shared" si="234"/>
        <v>2</v>
      </c>
      <c r="EM122" s="425">
        <f t="shared" si="264"/>
        <v>0</v>
      </c>
      <c r="EN122" s="425">
        <f t="shared" si="236"/>
        <v>0.9</v>
      </c>
      <c r="EO122" s="425">
        <f t="shared" si="237"/>
        <v>1.8</v>
      </c>
      <c r="EP122" s="425">
        <f t="shared" si="238"/>
        <v>2.7</v>
      </c>
      <c r="EQ122" s="425">
        <f t="shared" si="239"/>
        <v>3.6</v>
      </c>
      <c r="ER122" s="425">
        <f t="shared" si="240"/>
        <v>5.4</v>
      </c>
      <c r="ES122" s="425">
        <f t="shared" si="241"/>
        <v>7.2</v>
      </c>
      <c r="ET122" s="425">
        <f t="shared" si="242"/>
        <v>9</v>
      </c>
      <c r="EU122" s="425">
        <f t="shared" si="243"/>
        <v>10.1</v>
      </c>
      <c r="EV122" s="425">
        <f t="shared" si="244"/>
        <v>10.8</v>
      </c>
      <c r="EW122" s="425">
        <f t="shared" si="245"/>
        <v>12.6</v>
      </c>
      <c r="EX122" s="425">
        <f t="shared" si="246"/>
        <v>14.19</v>
      </c>
      <c r="EY122" s="425" t="e">
        <f t="shared" si="247"/>
        <v>#N/A</v>
      </c>
      <c r="EZ122" s="425" t="e">
        <f t="shared" si="248"/>
        <v>#N/A</v>
      </c>
      <c r="FA122" s="425" t="e">
        <f t="shared" si="249"/>
        <v>#N/A</v>
      </c>
      <c r="FB122" s="425" t="e">
        <f t="shared" si="250"/>
        <v>#N/A</v>
      </c>
      <c r="FC122" s="425" t="e">
        <f t="shared" si="251"/>
        <v>#N/A</v>
      </c>
      <c r="FD122" s="425" t="e">
        <f t="shared" si="252"/>
        <v>#N/A</v>
      </c>
      <c r="FE122" s="425" t="e">
        <f t="shared" si="253"/>
        <v>#N/A</v>
      </c>
      <c r="FF122" s="425" t="e">
        <f t="shared" si="254"/>
        <v>#N/A</v>
      </c>
      <c r="FG122" s="425" t="e">
        <f t="shared" si="255"/>
        <v>#N/A</v>
      </c>
      <c r="FH122" s="425" t="e">
        <f t="shared" si="256"/>
        <v>#N/A</v>
      </c>
      <c r="FI122" s="425" t="e">
        <f t="shared" si="257"/>
        <v>#N/A</v>
      </c>
      <c r="FJ122" s="425" t="e">
        <f t="shared" si="258"/>
        <v>#N/A</v>
      </c>
      <c r="FK122" s="425" t="e">
        <f t="shared" si="259"/>
        <v>#N/A</v>
      </c>
      <c r="GD122" s="129" t="s">
        <v>340</v>
      </c>
    </row>
    <row r="123" spans="1:199" x14ac:dyDescent="0.25">
      <c r="A123" s="131"/>
      <c r="B123" s="129">
        <f t="shared" ref="B123:Z123" si="267">25-COUNTBLANK(B98:B122)</f>
        <v>4</v>
      </c>
      <c r="C123" s="129">
        <f t="shared" si="267"/>
        <v>5</v>
      </c>
      <c r="D123" s="129">
        <f t="shared" si="267"/>
        <v>5</v>
      </c>
      <c r="E123" s="129">
        <f t="shared" si="267"/>
        <v>9</v>
      </c>
      <c r="F123" s="129">
        <f t="shared" si="267"/>
        <v>11</v>
      </c>
      <c r="G123" s="129">
        <f t="shared" si="267"/>
        <v>12</v>
      </c>
      <c r="H123" s="129">
        <f t="shared" si="267"/>
        <v>12</v>
      </c>
      <c r="I123" s="129">
        <f t="shared" si="267"/>
        <v>12</v>
      </c>
      <c r="J123" s="129">
        <f t="shared" si="267"/>
        <v>12</v>
      </c>
      <c r="K123" s="129">
        <f t="shared" si="267"/>
        <v>12</v>
      </c>
      <c r="L123" s="129">
        <f t="shared" si="267"/>
        <v>12</v>
      </c>
      <c r="M123" s="129">
        <f t="shared" si="267"/>
        <v>12</v>
      </c>
      <c r="N123" s="129">
        <f t="shared" si="267"/>
        <v>12</v>
      </c>
      <c r="O123" s="129">
        <f t="shared" si="267"/>
        <v>12</v>
      </c>
      <c r="P123" s="129">
        <f t="shared" si="267"/>
        <v>12</v>
      </c>
      <c r="Q123" s="129">
        <f t="shared" si="267"/>
        <v>12</v>
      </c>
      <c r="R123" s="129">
        <f t="shared" si="267"/>
        <v>12</v>
      </c>
      <c r="S123" s="129">
        <f t="shared" si="267"/>
        <v>12</v>
      </c>
      <c r="T123" s="129">
        <f t="shared" si="267"/>
        <v>12</v>
      </c>
      <c r="U123" s="129">
        <f t="shared" si="267"/>
        <v>12</v>
      </c>
      <c r="V123" s="129">
        <f t="shared" si="267"/>
        <v>12</v>
      </c>
      <c r="W123" s="129">
        <f t="shared" si="267"/>
        <v>11</v>
      </c>
      <c r="X123" s="129">
        <f t="shared" si="267"/>
        <v>11</v>
      </c>
      <c r="Y123" s="129">
        <f t="shared" si="267"/>
        <v>10</v>
      </c>
      <c r="Z123" s="129">
        <f t="shared" si="267"/>
        <v>9</v>
      </c>
      <c r="GD123" s="129" t="s">
        <v>339</v>
      </c>
    </row>
    <row r="124" spans="1:199" x14ac:dyDescent="0.25">
      <c r="A124" s="131"/>
      <c r="B124" s="129">
        <f t="shared" ref="B124:Z124" si="268">Max_WL_count-B123</f>
        <v>8</v>
      </c>
      <c r="C124" s="129">
        <f t="shared" si="268"/>
        <v>7</v>
      </c>
      <c r="D124" s="129">
        <f t="shared" si="268"/>
        <v>7</v>
      </c>
      <c r="E124" s="129">
        <f t="shared" si="268"/>
        <v>3</v>
      </c>
      <c r="F124" s="129">
        <f t="shared" si="268"/>
        <v>1</v>
      </c>
      <c r="G124" s="129">
        <f t="shared" si="268"/>
        <v>0</v>
      </c>
      <c r="H124" s="129">
        <f t="shared" si="268"/>
        <v>0</v>
      </c>
      <c r="I124" s="129">
        <f t="shared" si="268"/>
        <v>0</v>
      </c>
      <c r="J124" s="129">
        <f t="shared" si="268"/>
        <v>0</v>
      </c>
      <c r="K124" s="129">
        <f t="shared" si="268"/>
        <v>0</v>
      </c>
      <c r="L124" s="129">
        <f t="shared" si="268"/>
        <v>0</v>
      </c>
      <c r="M124" s="129">
        <f t="shared" si="268"/>
        <v>0</v>
      </c>
      <c r="N124" s="129">
        <f t="shared" si="268"/>
        <v>0</v>
      </c>
      <c r="O124" s="129">
        <f t="shared" si="268"/>
        <v>0</v>
      </c>
      <c r="P124" s="129">
        <f t="shared" si="268"/>
        <v>0</v>
      </c>
      <c r="Q124" s="129">
        <f t="shared" si="268"/>
        <v>0</v>
      </c>
      <c r="R124" s="129">
        <f t="shared" si="268"/>
        <v>0</v>
      </c>
      <c r="S124" s="129">
        <f t="shared" si="268"/>
        <v>0</v>
      </c>
      <c r="T124" s="129">
        <f t="shared" si="268"/>
        <v>0</v>
      </c>
      <c r="U124" s="129">
        <f t="shared" si="268"/>
        <v>0</v>
      </c>
      <c r="V124" s="129">
        <f t="shared" si="268"/>
        <v>0</v>
      </c>
      <c r="W124" s="129">
        <f t="shared" si="268"/>
        <v>1</v>
      </c>
      <c r="X124" s="129">
        <f t="shared" si="268"/>
        <v>1</v>
      </c>
      <c r="Y124" s="129">
        <f t="shared" si="268"/>
        <v>2</v>
      </c>
      <c r="Z124" s="129">
        <f t="shared" si="268"/>
        <v>3</v>
      </c>
      <c r="ER124" s="129" t="str">
        <f>IF(ER127="","",CONCATENATE("Spline ",DP127,",",0,",",EV127," ",ER127," "))</f>
        <v xml:space="preserve">Spline 3.2925,0,8.9 3.293,0,8.9 3.293,1.2,9 3.293,6.8,10.1 3.293,8.46,10.8 3.293,10.63,12.6 3.293,11.52,14.19  </v>
      </c>
    </row>
    <row r="125" spans="1:199" ht="23.25" x14ac:dyDescent="0.35">
      <c r="A125" s="131" t="s">
        <v>283</v>
      </c>
      <c r="AB125" s="390" t="s">
        <v>159</v>
      </c>
      <c r="AC125" s="390" t="s">
        <v>159</v>
      </c>
      <c r="AD125" s="390" t="s">
        <v>159</v>
      </c>
      <c r="AE125" s="391" t="s">
        <v>284</v>
      </c>
      <c r="AF125" s="390"/>
      <c r="AG125" s="390"/>
      <c r="AH125" s="390"/>
      <c r="AI125" s="390"/>
      <c r="AJ125" s="390"/>
      <c r="AK125" s="390"/>
      <c r="AL125" s="390"/>
      <c r="AM125" s="390"/>
      <c r="AN125" s="390"/>
      <c r="AO125" s="390"/>
      <c r="AP125" s="390"/>
      <c r="AQ125" s="390"/>
      <c r="AR125" s="390"/>
      <c r="AS125" s="390"/>
      <c r="AT125" s="390"/>
      <c r="AU125" s="390"/>
      <c r="AV125" s="390"/>
      <c r="AW125" s="390"/>
      <c r="AX125" s="390"/>
      <c r="AY125" s="390"/>
      <c r="AZ125" s="390"/>
      <c r="BA125" s="392"/>
      <c r="CO125" s="454"/>
      <c r="CP125" s="455">
        <f t="array" ref="CP125:DN125">TRANSPOSE(BC98:BC122)</f>
        <v>0</v>
      </c>
      <c r="CQ125" s="455">
        <v>0.5</v>
      </c>
      <c r="CR125" s="455">
        <v>1</v>
      </c>
      <c r="CS125" s="455">
        <v>1.5</v>
      </c>
      <c r="CT125" s="455">
        <v>2</v>
      </c>
      <c r="CU125" s="455">
        <v>3</v>
      </c>
      <c r="CV125" s="455">
        <v>4</v>
      </c>
      <c r="CW125" s="455">
        <v>5</v>
      </c>
      <c r="CX125" s="455">
        <v>6</v>
      </c>
      <c r="CY125" s="455">
        <v>7</v>
      </c>
      <c r="CZ125" s="455">
        <v>8</v>
      </c>
      <c r="DA125" s="455">
        <v>9</v>
      </c>
      <c r="DB125" s="455">
        <v>10</v>
      </c>
      <c r="DC125" s="455">
        <v>11</v>
      </c>
      <c r="DD125" s="455">
        <v>12</v>
      </c>
      <c r="DE125" s="455">
        <v>13</v>
      </c>
      <c r="DF125" s="455">
        <v>14</v>
      </c>
      <c r="DG125" s="455">
        <v>15</v>
      </c>
      <c r="DH125" s="455">
        <v>16</v>
      </c>
      <c r="DI125" s="455">
        <v>17</v>
      </c>
      <c r="DJ125" s="455">
        <v>18</v>
      </c>
      <c r="DK125" s="455">
        <v>18.5</v>
      </c>
      <c r="DL125" s="455">
        <v>19</v>
      </c>
      <c r="DM125" s="455">
        <v>19.5</v>
      </c>
      <c r="DN125" s="455">
        <v>20</v>
      </c>
      <c r="DP125" s="458"/>
      <c r="DQ125" s="458" t="s">
        <v>100</v>
      </c>
      <c r="DR125" s="459">
        <f t="shared" ref="DR125:EP125" si="269">DK97</f>
        <v>0</v>
      </c>
      <c r="DS125" s="459">
        <f t="shared" si="269"/>
        <v>0.9</v>
      </c>
      <c r="DT125" s="459">
        <f t="shared" si="269"/>
        <v>1.8</v>
      </c>
      <c r="DU125" s="459">
        <f t="shared" si="269"/>
        <v>2.7</v>
      </c>
      <c r="DV125" s="459">
        <f t="shared" si="269"/>
        <v>3.6</v>
      </c>
      <c r="DW125" s="459">
        <f t="shared" si="269"/>
        <v>5.4</v>
      </c>
      <c r="DX125" s="459">
        <f t="shared" si="269"/>
        <v>7.2</v>
      </c>
      <c r="DY125" s="459">
        <f t="shared" si="269"/>
        <v>9</v>
      </c>
      <c r="DZ125" s="459">
        <f t="shared" si="269"/>
        <v>10.1</v>
      </c>
      <c r="EA125" s="459">
        <f t="shared" si="269"/>
        <v>10.8</v>
      </c>
      <c r="EB125" s="459">
        <f t="shared" si="269"/>
        <v>12.6</v>
      </c>
      <c r="EC125" s="459">
        <f t="shared" si="269"/>
        <v>14.19</v>
      </c>
      <c r="ED125" s="459" t="e">
        <f t="shared" si="269"/>
        <v>#N/A</v>
      </c>
      <c r="EE125" s="459" t="e">
        <f t="shared" si="269"/>
        <v>#N/A</v>
      </c>
      <c r="EF125" s="459" t="e">
        <f t="shared" si="269"/>
        <v>#N/A</v>
      </c>
      <c r="EG125" s="459" t="e">
        <f t="shared" si="269"/>
        <v>#N/A</v>
      </c>
      <c r="EH125" s="459" t="e">
        <f t="shared" si="269"/>
        <v>#N/A</v>
      </c>
      <c r="EI125" s="459" t="e">
        <f t="shared" si="269"/>
        <v>#N/A</v>
      </c>
      <c r="EJ125" s="459" t="e">
        <f t="shared" si="269"/>
        <v>#N/A</v>
      </c>
      <c r="EK125" s="459" t="e">
        <f t="shared" si="269"/>
        <v>#N/A</v>
      </c>
      <c r="EL125" s="459" t="e">
        <f t="shared" si="269"/>
        <v>#N/A</v>
      </c>
      <c r="EM125" s="459" t="e">
        <f t="shared" si="269"/>
        <v>#N/A</v>
      </c>
      <c r="EN125" s="459" t="e">
        <f t="shared" si="269"/>
        <v>#N/A</v>
      </c>
      <c r="EO125" s="459" t="e">
        <f t="shared" si="269"/>
        <v>#N/A</v>
      </c>
      <c r="EP125" s="459" t="e">
        <f t="shared" si="269"/>
        <v>#N/A</v>
      </c>
      <c r="ER125" s="131" t="s">
        <v>338</v>
      </c>
      <c r="ES125" s="129" t="str">
        <f>CONCATENATE("Zoom Window ",-LBP*0.1,",0,0 ",LBP*1.1,",",BREADTH*0.6,",",DEPTH*1.1)</f>
        <v>Zoom Window -13.17,0,0 144.87,14.7,15.609</v>
      </c>
      <c r="FB125" s="458"/>
      <c r="FC125" s="458" t="s">
        <v>100</v>
      </c>
      <c r="FD125" s="459">
        <f>DK97</f>
        <v>0</v>
      </c>
      <c r="FE125" s="459">
        <f t="shared" ref="FE125:GB125" si="270">DL97</f>
        <v>0.9</v>
      </c>
      <c r="FF125" s="459">
        <f t="shared" si="270"/>
        <v>1.8</v>
      </c>
      <c r="FG125" s="459">
        <f t="shared" si="270"/>
        <v>2.7</v>
      </c>
      <c r="FH125" s="459">
        <f t="shared" si="270"/>
        <v>3.6</v>
      </c>
      <c r="FI125" s="459">
        <f t="shared" si="270"/>
        <v>5.4</v>
      </c>
      <c r="FJ125" s="459">
        <f t="shared" si="270"/>
        <v>7.2</v>
      </c>
      <c r="FK125" s="459">
        <f t="shared" si="270"/>
        <v>9</v>
      </c>
      <c r="FL125" s="459">
        <f t="shared" si="270"/>
        <v>10.1</v>
      </c>
      <c r="FM125" s="459">
        <f t="shared" si="270"/>
        <v>10.8</v>
      </c>
      <c r="FN125" s="459">
        <f t="shared" si="270"/>
        <v>12.6</v>
      </c>
      <c r="FO125" s="459">
        <f t="shared" si="270"/>
        <v>14.19</v>
      </c>
      <c r="FP125" s="459" t="e">
        <f t="shared" si="270"/>
        <v>#N/A</v>
      </c>
      <c r="FQ125" s="459" t="e">
        <f t="shared" si="270"/>
        <v>#N/A</v>
      </c>
      <c r="FR125" s="459" t="e">
        <f t="shared" si="270"/>
        <v>#N/A</v>
      </c>
      <c r="FS125" s="459" t="e">
        <f t="shared" si="270"/>
        <v>#N/A</v>
      </c>
      <c r="FT125" s="459" t="e">
        <f t="shared" si="270"/>
        <v>#N/A</v>
      </c>
      <c r="FU125" s="459" t="e">
        <f t="shared" si="270"/>
        <v>#N/A</v>
      </c>
      <c r="FV125" s="459" t="e">
        <f t="shared" si="270"/>
        <v>#N/A</v>
      </c>
      <c r="FW125" s="459" t="e">
        <f t="shared" si="270"/>
        <v>#N/A</v>
      </c>
      <c r="FX125" s="459" t="e">
        <f t="shared" si="270"/>
        <v>#N/A</v>
      </c>
      <c r="FY125" s="459" t="e">
        <f t="shared" si="270"/>
        <v>#N/A</v>
      </c>
      <c r="FZ125" s="459" t="e">
        <f t="shared" si="270"/>
        <v>#N/A</v>
      </c>
      <c r="GA125" s="459" t="e">
        <f t="shared" si="270"/>
        <v>#N/A</v>
      </c>
      <c r="GB125" s="459" t="e">
        <f t="shared" si="270"/>
        <v>#N/A</v>
      </c>
      <c r="GD125" s="129" t="str">
        <f>CONCATENATE("Zoom Window ",-LBP*0.1,",0,0")</f>
        <v>Zoom Window -13.17,0,0</v>
      </c>
      <c r="GE125" s="129" t="str">
        <f>CONCATENATE(LBP*1.1,",",BREADTH*0.6,",",DEPTH*1.1)</f>
        <v>144.87,14.7,15.609</v>
      </c>
      <c r="GH125" s="129" t="str">
        <f>GD125</f>
        <v>Zoom Window -13.17,0,0</v>
      </c>
      <c r="GI125" s="129" t="str">
        <f>GE125</f>
        <v>144.87,14.7,15.609</v>
      </c>
    </row>
    <row r="126" spans="1:199" x14ac:dyDescent="0.25">
      <c r="A126" s="374" t="str">
        <f t="shared" ref="A126:Z141" si="271">BE2</f>
        <v>STN/WL</v>
      </c>
      <c r="B126" s="374">
        <f t="shared" si="271"/>
        <v>0</v>
      </c>
      <c r="C126" s="374">
        <f t="shared" si="271"/>
        <v>0.5</v>
      </c>
      <c r="D126" s="374">
        <f t="shared" si="271"/>
        <v>1</v>
      </c>
      <c r="E126" s="374">
        <f t="shared" si="271"/>
        <v>1.5</v>
      </c>
      <c r="F126" s="374">
        <f t="shared" si="271"/>
        <v>2</v>
      </c>
      <c r="G126" s="374">
        <f t="shared" si="271"/>
        <v>3</v>
      </c>
      <c r="H126" s="374">
        <f t="shared" si="271"/>
        <v>4</v>
      </c>
      <c r="I126" s="374">
        <f t="shared" si="271"/>
        <v>5</v>
      </c>
      <c r="J126" s="374">
        <f t="shared" si="271"/>
        <v>6</v>
      </c>
      <c r="K126" s="374">
        <f t="shared" si="271"/>
        <v>7</v>
      </c>
      <c r="L126" s="374">
        <f t="shared" si="271"/>
        <v>8</v>
      </c>
      <c r="M126" s="374">
        <f t="shared" si="271"/>
        <v>9</v>
      </c>
      <c r="N126" s="374">
        <f t="shared" si="271"/>
        <v>10</v>
      </c>
      <c r="O126" s="374">
        <f t="shared" si="271"/>
        <v>11</v>
      </c>
      <c r="P126" s="374">
        <f t="shared" si="271"/>
        <v>12</v>
      </c>
      <c r="Q126" s="374">
        <f t="shared" si="271"/>
        <v>13</v>
      </c>
      <c r="R126" s="374">
        <f t="shared" si="271"/>
        <v>14</v>
      </c>
      <c r="S126" s="374">
        <f t="shared" si="271"/>
        <v>15</v>
      </c>
      <c r="T126" s="374">
        <f t="shared" si="271"/>
        <v>16</v>
      </c>
      <c r="U126" s="374">
        <f t="shared" si="271"/>
        <v>17</v>
      </c>
      <c r="V126" s="374">
        <f t="shared" si="271"/>
        <v>18</v>
      </c>
      <c r="W126" s="374">
        <f t="shared" si="271"/>
        <v>18.5</v>
      </c>
      <c r="X126" s="374">
        <f t="shared" si="271"/>
        <v>19</v>
      </c>
      <c r="Y126" s="374">
        <f t="shared" si="271"/>
        <v>19.5</v>
      </c>
      <c r="Z126" s="393">
        <f t="shared" si="271"/>
        <v>20</v>
      </c>
      <c r="AB126" s="390"/>
      <c r="AC126" s="390"/>
      <c r="AD126" s="390"/>
      <c r="AE126" s="394"/>
      <c r="AF126" s="390"/>
      <c r="AG126" s="390"/>
      <c r="AH126" s="390"/>
      <c r="AI126" s="390"/>
      <c r="AJ126" s="390"/>
      <c r="AK126" s="390"/>
      <c r="AL126" s="390"/>
      <c r="AM126" s="390"/>
      <c r="AN126" s="390"/>
      <c r="AO126" s="390"/>
      <c r="AP126" s="390"/>
      <c r="AQ126" s="390"/>
      <c r="AR126" s="390"/>
      <c r="AS126" s="390"/>
      <c r="AT126" s="390"/>
      <c r="AU126" s="390"/>
      <c r="AV126" s="390"/>
      <c r="AW126" s="390"/>
      <c r="AX126" s="390"/>
      <c r="AY126" s="390"/>
      <c r="AZ126" s="390"/>
      <c r="BA126" s="392"/>
      <c r="BC126" s="129" t="s">
        <v>296</v>
      </c>
      <c r="BD126" s="270"/>
      <c r="BE126" s="270"/>
      <c r="BF126" s="270"/>
      <c r="BG126" s="270"/>
      <c r="BH126" s="270"/>
      <c r="BI126" s="270"/>
      <c r="BJ126" s="270"/>
      <c r="BK126" s="270"/>
      <c r="BL126" s="270"/>
      <c r="BM126" s="270"/>
      <c r="BN126" s="270"/>
      <c r="BO126" s="270"/>
      <c r="BP126" s="270"/>
      <c r="BQ126" s="270"/>
      <c r="BR126" s="270"/>
      <c r="BS126" s="270"/>
      <c r="BT126" s="270"/>
      <c r="BU126" s="270"/>
      <c r="BV126" s="270"/>
      <c r="BW126" s="270"/>
      <c r="BX126" s="401"/>
      <c r="BY126" s="270"/>
      <c r="BZ126" s="270"/>
      <c r="CA126" s="270"/>
      <c r="CB126" s="270"/>
      <c r="CC126" s="270"/>
      <c r="CD126" s="270"/>
      <c r="CE126" s="270"/>
      <c r="CF126" s="270"/>
      <c r="CG126" s="270"/>
      <c r="CH126" s="270"/>
      <c r="CI126" s="270"/>
      <c r="CJ126" s="270"/>
      <c r="CK126" s="270"/>
      <c r="CL126" s="270"/>
      <c r="CM126" s="271"/>
      <c r="CO126" s="454" t="str">
        <f t="array" ref="CO126:DN151">TRANSPOSE(BD97:CC122)</f>
        <v>STN/WL</v>
      </c>
      <c r="CP126" s="454">
        <v>0</v>
      </c>
      <c r="CQ126" s="454">
        <v>3.2924999999999995</v>
      </c>
      <c r="CR126" s="454">
        <v>6.5849999999999991</v>
      </c>
      <c r="CS126" s="454">
        <v>9.8774999999999977</v>
      </c>
      <c r="CT126" s="454">
        <v>13.169999999999998</v>
      </c>
      <c r="CU126" s="454">
        <v>19.754999999999995</v>
      </c>
      <c r="CV126" s="454">
        <v>26.339999999999996</v>
      </c>
      <c r="CW126" s="454">
        <v>32.924999999999997</v>
      </c>
      <c r="CX126" s="454">
        <v>39.509999999999991</v>
      </c>
      <c r="CY126" s="454">
        <v>46.094999999999992</v>
      </c>
      <c r="CZ126" s="454">
        <v>52.679999999999993</v>
      </c>
      <c r="DA126" s="454">
        <v>59.264999999999993</v>
      </c>
      <c r="DB126" s="454">
        <v>65.849999999999994</v>
      </c>
      <c r="DC126" s="454">
        <v>72.434999999999988</v>
      </c>
      <c r="DD126" s="454">
        <v>79.019999999999982</v>
      </c>
      <c r="DE126" s="454">
        <v>85.60499999999999</v>
      </c>
      <c r="DF126" s="454">
        <v>92.189999999999984</v>
      </c>
      <c r="DG126" s="454">
        <v>98.774999999999991</v>
      </c>
      <c r="DH126" s="454">
        <v>105.35999999999999</v>
      </c>
      <c r="DI126" s="454">
        <v>111.94499999999998</v>
      </c>
      <c r="DJ126" s="454">
        <v>118.52999999999999</v>
      </c>
      <c r="DK126" s="454">
        <v>121.82249999999998</v>
      </c>
      <c r="DL126" s="454">
        <v>125.11499999999998</v>
      </c>
      <c r="DM126" s="454">
        <v>128.40749999999997</v>
      </c>
      <c r="DN126" s="454">
        <v>131.69999999999999</v>
      </c>
      <c r="DP126" s="458">
        <f t="shared" ref="DP126:DP150" si="272">AD3*STN_GAP</f>
        <v>0</v>
      </c>
      <c r="DQ126" s="458" t="str">
        <f t="shared" ref="DQ126:EP141" si="273">IFERROR(CONCATENATE(ROUND($DP126,3),",",ROUND(ABS(DJ98),3),",",ROUND(EL98,3)," "),"")</f>
        <v xml:space="preserve">0,0,9.9 </v>
      </c>
      <c r="DR126" s="458" t="str">
        <f t="shared" si="273"/>
        <v/>
      </c>
      <c r="DS126" s="458" t="str">
        <f t="shared" si="273"/>
        <v/>
      </c>
      <c r="DT126" s="458" t="str">
        <f t="shared" si="273"/>
        <v/>
      </c>
      <c r="DU126" s="458" t="str">
        <f t="shared" si="273"/>
        <v/>
      </c>
      <c r="DV126" s="458" t="str">
        <f t="shared" si="273"/>
        <v/>
      </c>
      <c r="DW126" s="458" t="str">
        <f t="shared" si="273"/>
        <v/>
      </c>
      <c r="DX126" s="458" t="str">
        <f t="shared" si="273"/>
        <v/>
      </c>
      <c r="DY126" s="458" t="str">
        <f t="shared" si="273"/>
        <v/>
      </c>
      <c r="DZ126" s="458" t="str">
        <f t="shared" si="273"/>
        <v xml:space="preserve">0,2.892,10.1 </v>
      </c>
      <c r="EA126" s="458" t="str">
        <f t="shared" si="273"/>
        <v xml:space="preserve">0,6.2,10.8 </v>
      </c>
      <c r="EB126" s="458" t="str">
        <f t="shared" si="273"/>
        <v xml:space="preserve">0,9.6,12.6 </v>
      </c>
      <c r="EC126" s="458" t="str">
        <f t="shared" si="273"/>
        <v xml:space="preserve">0,10.89,14.19 </v>
      </c>
      <c r="ED126" s="458" t="str">
        <f t="shared" si="273"/>
        <v/>
      </c>
      <c r="EE126" s="458" t="str">
        <f t="shared" si="273"/>
        <v/>
      </c>
      <c r="EF126" s="458" t="str">
        <f t="shared" si="273"/>
        <v/>
      </c>
      <c r="EG126" s="458" t="str">
        <f t="shared" si="273"/>
        <v/>
      </c>
      <c r="EH126" s="458" t="str">
        <f t="shared" si="273"/>
        <v/>
      </c>
      <c r="EI126" s="458" t="str">
        <f t="shared" si="273"/>
        <v/>
      </c>
      <c r="EJ126" s="458" t="str">
        <f t="shared" si="273"/>
        <v/>
      </c>
      <c r="EK126" s="458" t="str">
        <f t="shared" si="273"/>
        <v/>
      </c>
      <c r="EL126" s="458" t="str">
        <f t="shared" si="273"/>
        <v/>
      </c>
      <c r="EM126" s="458" t="str">
        <f t="shared" si="273"/>
        <v/>
      </c>
      <c r="EN126" s="458" t="str">
        <f t="shared" si="273"/>
        <v/>
      </c>
      <c r="EO126" s="458" t="str">
        <f t="shared" si="273"/>
        <v/>
      </c>
      <c r="EP126" s="458" t="str">
        <f t="shared" si="273"/>
        <v/>
      </c>
      <c r="ER126" s="457" t="str">
        <f>CONCATENATE(DQ126,DR126,DS126,DT126,DU126,DV126,DW126,DX126,DY126,DZ126,EA126,EB126,EC126,ED126,EE126,EF126,EG126,EH126,EI126,EJ126,EK126,EL126,EM126,EN126,EO126,EP126)</f>
        <v xml:space="preserve">0,0,9.9 0,2.892,10.1 0,6.2,10.8 0,9.6,12.6 0,10.89,14.19 </v>
      </c>
      <c r="ES126" s="186" t="str">
        <f>IF(ER126="","",CONCATENATE("Spline ",ER126," ",DP126,",",0,",",EV126))</f>
        <v>Spline 0,0,9.9 0,2.892,10.1 0,6.2,10.8 0,9.6,12.6 0,10.89,14.19  0,0,9.9</v>
      </c>
      <c r="ET126" s="129" t="str">
        <f>IF(ER126="","",CONCATENATE("Spline ",DP126,",",0,",",EV126," ",ER126," "))</f>
        <v xml:space="preserve">Spline 0,0,9.9 0,0,9.9 0,2.892,10.1 0,6.2,10.8 0,9.6,12.6 0,10.89,14.19  </v>
      </c>
      <c r="EU126" s="129">
        <f ca="1">COUNTIF(BP_1,NA())</f>
        <v>8</v>
      </c>
      <c r="EV126" s="129">
        <f t="shared" ref="EV126:EV150" si="274">IFERROR(BD128*1,VLOOKUP(Stn_WL,$AD$2:$BC$2,EU126+2,FALSE)*WLS)</f>
        <v>9.9</v>
      </c>
      <c r="EW126" s="129">
        <v>1</v>
      </c>
      <c r="EX126" s="129" t="str">
        <f t="shared" ref="EX126:EX150" si="275">IFERROR(CONCATENATE(DP126,",",HLOOKUP(DEPTH/WLS,$AE$2:$BC$27,EW126+1,FALSE),",",DEPTH," "),"")</f>
        <v xml:space="preserve">0,10.89,14.19 </v>
      </c>
      <c r="EY126" s="129" t="str">
        <f t="shared" ref="EY126:EY150" si="276">IF(ER126="","",CONCATENATE("Spline ",DP126,",",0,",",EV126," ",GC126,""))</f>
        <v>Spline 0,0,9.9 0,10.89,14.19 0,9.6,12.6 0,6.2,10.8 0,2.892,10.1 0,0,9.9</v>
      </c>
      <c r="EZ126" s="186" t="str">
        <f>CONCATENATE(DQ126,DR126,DS126,DT126,DU126,DV126,DW126,DX126,DY126,DZ126,EA126,EB126,EC126,ED126,EE126,EF126,EG126,EH126,EI126,EJ126,EK126,EL126,EM126,EN126,EO126,EP126," ")</f>
        <v xml:space="preserve">0,0,9.9 0,2.892,10.1 0,6.2,10.8 0,9.6,12.6 0,10.89,14.19  </v>
      </c>
      <c r="FB126" s="458">
        <f t="shared" ref="FB126:FB150" si="277">AD3*STN_GAP</f>
        <v>0</v>
      </c>
      <c r="FC126" s="460" t="str">
        <f>IFERROR(CONCATENATE(ROUND($DP126,3),",",-ROUND(ABS(DJ98),3),",",ROUND(EL98,3),""),"")</f>
        <v>0,0,9.9</v>
      </c>
      <c r="FD126" s="458" t="str">
        <f t="shared" ref="FD126:GB126" si="278">IFERROR(CONCATENATE(ROUND($DP126,3),",",-ROUND(ABS(DK98),3),",",ROUND(EM98,3)," "),"")</f>
        <v/>
      </c>
      <c r="FE126" s="458" t="str">
        <f t="shared" si="278"/>
        <v/>
      </c>
      <c r="FF126" s="458" t="str">
        <f t="shared" si="278"/>
        <v/>
      </c>
      <c r="FG126" s="458" t="str">
        <f t="shared" si="278"/>
        <v/>
      </c>
      <c r="FH126" s="458" t="str">
        <f t="shared" si="278"/>
        <v/>
      </c>
      <c r="FI126" s="458" t="str">
        <f t="shared" si="278"/>
        <v/>
      </c>
      <c r="FJ126" s="458" t="str">
        <f t="shared" si="278"/>
        <v/>
      </c>
      <c r="FK126" s="458" t="str">
        <f t="shared" si="278"/>
        <v/>
      </c>
      <c r="FL126" s="458" t="str">
        <f t="shared" si="278"/>
        <v xml:space="preserve">0,-2.892,10.1 </v>
      </c>
      <c r="FM126" s="458" t="str">
        <f t="shared" si="278"/>
        <v xml:space="preserve">0,-6.2,10.8 </v>
      </c>
      <c r="FN126" s="458" t="str">
        <f t="shared" si="278"/>
        <v xml:space="preserve">0,-9.6,12.6 </v>
      </c>
      <c r="FO126" s="458" t="str">
        <f t="shared" si="278"/>
        <v xml:space="preserve">0,-10.89,14.19 </v>
      </c>
      <c r="FP126" s="458" t="str">
        <f t="shared" si="278"/>
        <v/>
      </c>
      <c r="FQ126" s="458" t="str">
        <f t="shared" si="278"/>
        <v/>
      </c>
      <c r="FR126" s="458" t="str">
        <f t="shared" si="278"/>
        <v/>
      </c>
      <c r="FS126" s="458" t="str">
        <f t="shared" si="278"/>
        <v/>
      </c>
      <c r="FT126" s="458" t="str">
        <f t="shared" si="278"/>
        <v/>
      </c>
      <c r="FU126" s="458" t="str">
        <f t="shared" si="278"/>
        <v/>
      </c>
      <c r="FV126" s="458" t="str">
        <f t="shared" si="278"/>
        <v/>
      </c>
      <c r="FW126" s="458" t="str">
        <f t="shared" si="278"/>
        <v/>
      </c>
      <c r="FX126" s="458" t="str">
        <f t="shared" si="278"/>
        <v/>
      </c>
      <c r="FY126" s="458" t="str">
        <f t="shared" si="278"/>
        <v/>
      </c>
      <c r="FZ126" s="458" t="str">
        <f t="shared" si="278"/>
        <v/>
      </c>
      <c r="GA126" s="458" t="str">
        <f t="shared" si="278"/>
        <v/>
      </c>
      <c r="GB126" s="458" t="str">
        <f t="shared" si="278"/>
        <v/>
      </c>
      <c r="GC126" s="129" t="str">
        <f>CONCATENATE(EP126,EO126,EN126,EM126,EL126,EL126,EK126,EJ126,EI126,EH126,EG126,EF126,EE126,ED126,EC126,EB126,EA126,DZ126,DY126,DX126,DW126,DV126,DU126,DT126,DS126,DR126,FC126)</f>
        <v>0,10.89,14.19 0,9.6,12.6 0,6.2,10.8 0,2.892,10.1 0,0,9.9</v>
      </c>
      <c r="GD126" s="129" t="str">
        <f t="shared" ref="GD126:GD149" si="279">IF(GC126="","",CONCATENATE("Spline ",GC126,DP126,",",0,",",EV126))</f>
        <v>Spline 0,10.89,14.19 0,9.6,12.6 0,6.2,10.8 0,2.892,10.1 0,0,9.90,0,9.9</v>
      </c>
      <c r="GE126" s="461" t="str">
        <f>CONCATENATE(FD126,FE126,FF126,FG126,FH126,FI126,FJ126,FK126,FL126,FM126,FN126,FO126,FP126,FQ126,FR126,FS126,FT126,FU126,FV126,FW126,FX126,FY126,FZ126,GA126,GB126)</f>
        <v xml:space="preserve">0,-2.892,10.1 0,-6.2,10.8 0,-9.6,12.6 0,-10.89,14.19 </v>
      </c>
      <c r="GH126" s="129" t="str">
        <f>CONCATENATE("Spline ",EP126,EO126,EN126,EM126,EL126,EL126,EK126,EJ126,EI126,EH126,EG126,EF126,EE126,ED126,EC126,EB126,EA126,DZ126,DY126,DX126,DW126,DV126,DU126,DT126,DS126,DR126,FC126,IF(AE3=0," ",CONCATENATE("T ",FB126,",0,0 ")))</f>
        <v xml:space="preserve">Spline 0,10.89,14.19 0,9.6,12.6 0,6.2,10.8 0,2.892,10.1 0,0,9.9 </v>
      </c>
      <c r="GI126" s="129" t="str">
        <f>IF(AE3=0,"",CONCATENATE("Spline ",FB126,",",AE3,",0 ",FB126,",0,0  Join ",FB126,",0,0  ",EX126))</f>
        <v/>
      </c>
      <c r="GP126" s="129" t="str">
        <f t="shared" ref="GP126:GP150" si="280">IFERROR(CONCATENATE(ROUND($DP126,3),",",-ROUND(ABS(DJ98),3),",",ROUND(EL98,3)," "),CONCATENATE(AD3*STN_GAP,",0,0 "))</f>
        <v xml:space="preserve">0,0,9.9 </v>
      </c>
      <c r="GQ126" s="129" t="str">
        <f>CONCATENATE("Curve p=n d ",Q58," ",EP126,EO126,EN126,EM126,EL126,EK126,EJ126,EI126,EH126,EG126,EF126,EE126,ED126,EC126,EB126,EA126,DZ126,DY126,DX126,DW126,DV126,DU126,DT126,DS126,DR126,GP126,"_enter")</f>
        <v>Curve p=n d 3 0,10.89,14.19 0,9.6,12.6 0,6.2,10.8 0,2.892,10.1 0,0,9.9 _enter</v>
      </c>
    </row>
    <row r="127" spans="1:199" x14ac:dyDescent="0.25">
      <c r="A127" s="374">
        <f t="shared" si="271"/>
        <v>0</v>
      </c>
      <c r="B127" s="377" t="str">
        <f t="shared" ref="B127:B151" si="281">IFERROR(CONCATENATE(ROUND(B$126*STN_GAP,3),",",ROUND(Y_Shift_HB+BF3,3)," "),"")</f>
        <v xml:space="preserve">0,-18.698 </v>
      </c>
      <c r="C127" s="377" t="str">
        <f t="shared" ref="C127:C151" si="282">IFERROR(CONCATENATE(ROUND(C$126*STN_GAP,3),",",ROUND(Y_Shift_HB+BG3,3)," "),"")</f>
        <v xml:space="preserve">3.293,-18.698 </v>
      </c>
      <c r="D127" s="377" t="str">
        <f t="shared" ref="D127:D151" si="283">IFERROR(CONCATENATE(ROUND(D$126*STN_GAP,3),",",ROUND(Y_Shift_HB+BH3,3)," "),"")</f>
        <v xml:space="preserve">6.585,-18.698 </v>
      </c>
      <c r="E127" s="377" t="str">
        <f t="shared" ref="E127:E151" si="284">IFERROR(CONCATENATE(ROUND(E$126*STN_GAP,3),",",ROUND(Y_Shift_HB+BI3,3)," "),"")</f>
        <v xml:space="preserve">9.878,-18.698 </v>
      </c>
      <c r="F127" s="377" t="str">
        <f t="shared" ref="F127:F151" si="285">IFERROR(CONCATENATE(ROUND(F$126*STN_GAP,3),",",ROUND(Y_Shift_HB+BJ3,3)," "),"")</f>
        <v xml:space="preserve">13.17,-18.698 </v>
      </c>
      <c r="G127" s="377" t="str">
        <f t="shared" ref="G127:G151" si="286">IFERROR(CONCATENATE(ROUND(G$126*STN_GAP,3),",",ROUND(Y_Shift_HB+BK3,3)," "),"")</f>
        <v xml:space="preserve">19.755,-18.398 </v>
      </c>
      <c r="H127" s="377" t="str">
        <f t="shared" ref="H127:H151" si="287">IFERROR(CONCATENATE(ROUND(H$126*STN_GAP,3),",",ROUND(Y_Shift_HB+BL3,3)," "),"")</f>
        <v xml:space="preserve">26.34,-17.698 </v>
      </c>
      <c r="I127" s="377" t="str">
        <f t="shared" ref="I127:I151" si="288">IFERROR(CONCATENATE(ROUND(I$126*STN_GAP,3),",",ROUND(Y_Shift_HB+BM3,3)," "),"")</f>
        <v xml:space="preserve">32.925,-17.078 </v>
      </c>
      <c r="J127" s="377" t="str">
        <f t="shared" ref="J127:J151" si="289">IFERROR(CONCATENATE(ROUND(J$126*STN_GAP,3),",",ROUND(Y_Shift_HB+BN3,3)," "),"")</f>
        <v xml:space="preserve">39.51,-16.498 </v>
      </c>
      <c r="K127" s="377" t="str">
        <f t="shared" ref="K127:K151" si="290">IFERROR(CONCATENATE(ROUND(K$126*STN_GAP,3),",",ROUND(Y_Shift_HB+BO3,3)," "),"")</f>
        <v xml:space="preserve">46.095,-14.988 </v>
      </c>
      <c r="L127" s="377" t="str">
        <f t="shared" ref="L127:L151" si="291">IFERROR(CONCATENATE(ROUND(L$126*STN_GAP,3),",",ROUND(Y_Shift_HB+BP3,3)," "),"")</f>
        <v xml:space="preserve">52.68,-12.798 </v>
      </c>
      <c r="M127" s="377" t="str">
        <f t="shared" ref="M127:M151" si="292">IFERROR(CONCATENATE(ROUND(M$126*STN_GAP,3),",",ROUND(Y_Shift_HB+BQ3,3)," "),"")</f>
        <v xml:space="preserve">59.265,-11.498 </v>
      </c>
      <c r="N127" s="377" t="str">
        <f t="shared" ref="N127:N151" si="293">IFERROR(CONCATENATE(ROUND(N$126*STN_GAP,3),",",ROUND(Y_Shift_HB+BR3,3)," "),"")</f>
        <v xml:space="preserve">65.85,-10.448 </v>
      </c>
      <c r="O127" s="377" t="str">
        <f t="shared" ref="O127:O151" si="294">IFERROR(CONCATENATE(ROUND(O$126*STN_GAP,3),",",ROUND(Y_Shift_HB+BS3,3)," "),"")</f>
        <v xml:space="preserve">72.435,-10.098 </v>
      </c>
      <c r="P127" s="377" t="str">
        <f t="shared" ref="P127:P151" si="295">IFERROR(CONCATENATE(ROUND(P$126*STN_GAP,3),",",ROUND(Y_Shift_HB+BT3,3)," "),"")</f>
        <v xml:space="preserve">79.02,-10.848 </v>
      </c>
      <c r="Q127" s="377" t="str">
        <f t="shared" ref="Q127:Q151" si="296">IFERROR(CONCATENATE(ROUND(Q$126*STN_GAP,3),",",ROUND(Y_Shift_HB+BU3,3)," "),"")</f>
        <v xml:space="preserve">85.605,-11.998 </v>
      </c>
      <c r="R127" s="377" t="str">
        <f t="shared" ref="R127:R151" si="297">IFERROR(CONCATENATE(ROUND(R$126*STN_GAP,3),",",ROUND(Y_Shift_HB+BV3,3)," "),"")</f>
        <v xml:space="preserve">92.19,-13.348 </v>
      </c>
      <c r="S127" s="377" t="str">
        <f t="shared" ref="S127:S151" si="298">IFERROR(CONCATENATE(ROUND(S$126*STN_GAP,3),",",ROUND(Y_Shift_HB+BW3,3)," "),"")</f>
        <v xml:space="preserve">98.775,-14.898 </v>
      </c>
      <c r="T127" s="377" t="str">
        <f t="shared" ref="T127:T151" si="299">IFERROR(CONCATENATE(ROUND(T$126*STN_GAP,3),",",ROUND(Y_Shift_HB+BX3,3)," "),"")</f>
        <v xml:space="preserve">105.36,-16.478 </v>
      </c>
      <c r="U127" s="377" t="str">
        <f t="shared" ref="U127:U151" si="300">IFERROR(CONCATENATE(ROUND(U$126*STN_GAP,3),",",ROUND(Y_Shift_HB+BY3,3)," "),"")</f>
        <v xml:space="preserve">111.945,-18.048 </v>
      </c>
      <c r="V127" s="377" t="str">
        <f t="shared" ref="V127:V151" si="301">IFERROR(CONCATENATE(ROUND(V$126*STN_GAP,3),",",ROUND(Y_Shift_HB+BZ3,3)," "),"")</f>
        <v xml:space="preserve">118.53,-18.698 </v>
      </c>
      <c r="W127" s="377" t="str">
        <f t="shared" ref="W127:W151" si="302">IFERROR(CONCATENATE(ROUND(W$126*STN_GAP,3),",",ROUND(Y_Shift_HB+CA3,3)," "),"")</f>
        <v xml:space="preserve">121.823,-18.698 </v>
      </c>
      <c r="X127" s="377" t="str">
        <f t="shared" ref="X127:X151" si="303">IFERROR(CONCATENATE(ROUND(X$126*STN_GAP,3),",",ROUND(Y_Shift_HB+CB3,3)," "),"")</f>
        <v xml:space="preserve">125.115,-18.698 </v>
      </c>
      <c r="Y127" s="377" t="str">
        <f t="shared" ref="Y127:Y151" si="304">IFERROR(CONCATENATE(ROUND(Y$126*STN_GAP,3),",",ROUND(Y_Shift_HB+CC3,3)," "),"")</f>
        <v xml:space="preserve">128.408,-18.698 </v>
      </c>
      <c r="Z127" s="395" t="str">
        <f t="shared" ref="Z127:Z151" si="305">IFERROR(CONCATENATE(ROUND(Z$126*STN_GAP,3),",",ROUND(Y_Shift_HB+CD3,3)," "),"")</f>
        <v xml:space="preserve">131.7,-18.698 </v>
      </c>
      <c r="AB127" s="245" t="str">
        <f>IF(AC127="","  ",CONCATENATE("Zoom Window ",-LBP/20,",",Tools!Y_Shift_HB-BREADTH*6/10," ",LBP*21/20,",",Tools!Y_Shift_HB+BREADTH*6/10," ","Spline "))</f>
        <v xml:space="preserve">Zoom Window -6.585,-33.3983333333333 138.285,-3.99833333333333 Spline </v>
      </c>
      <c r="AC127" s="245" t="str">
        <f>Tools!B127</f>
        <v xml:space="preserve">0,-18.698 </v>
      </c>
      <c r="AD127" s="245" t="str">
        <f>Tools!C127</f>
        <v xml:space="preserve">3.293,-18.698 </v>
      </c>
      <c r="AE127" s="245" t="str">
        <f>Tools!D127</f>
        <v xml:space="preserve">6.585,-18.698 </v>
      </c>
      <c r="AF127" s="245" t="str">
        <f>Tools!E127</f>
        <v xml:space="preserve">9.878,-18.698 </v>
      </c>
      <c r="AG127" s="245" t="str">
        <f>Tools!F127</f>
        <v xml:space="preserve">13.17,-18.698 </v>
      </c>
      <c r="AH127" s="245" t="str">
        <f>Tools!G127</f>
        <v xml:space="preserve">19.755,-18.398 </v>
      </c>
      <c r="AI127" s="245" t="str">
        <f>Tools!H127</f>
        <v xml:space="preserve">26.34,-17.698 </v>
      </c>
      <c r="AJ127" s="245" t="str">
        <f>Tools!I127</f>
        <v xml:space="preserve">32.925,-17.078 </v>
      </c>
      <c r="AK127" s="245" t="str">
        <f>Tools!J127</f>
        <v xml:space="preserve">39.51,-16.498 </v>
      </c>
      <c r="AL127" s="245" t="str">
        <f>Tools!K127</f>
        <v xml:space="preserve">46.095,-14.988 </v>
      </c>
      <c r="AM127" s="245" t="str">
        <f>Tools!L127</f>
        <v xml:space="preserve">52.68,-12.798 </v>
      </c>
      <c r="AN127" s="245" t="str">
        <f>Tools!M127</f>
        <v xml:space="preserve">59.265,-11.498 </v>
      </c>
      <c r="AO127" s="245" t="str">
        <f>Tools!N127</f>
        <v xml:space="preserve">65.85,-10.448 </v>
      </c>
      <c r="AP127" s="245" t="str">
        <f>Tools!O127</f>
        <v xml:space="preserve">72.435,-10.098 </v>
      </c>
      <c r="AQ127" s="245" t="str">
        <f>Tools!P127</f>
        <v xml:space="preserve">79.02,-10.848 </v>
      </c>
      <c r="AR127" s="245" t="str">
        <f>Tools!Q127</f>
        <v xml:space="preserve">85.605,-11.998 </v>
      </c>
      <c r="AS127" s="245" t="str">
        <f>Tools!R127</f>
        <v xml:space="preserve">92.19,-13.348 </v>
      </c>
      <c r="AT127" s="245" t="str">
        <f>Tools!S127</f>
        <v xml:space="preserve">98.775,-14.898 </v>
      </c>
      <c r="AU127" s="245" t="str">
        <f>Tools!T127</f>
        <v xml:space="preserve">105.36,-16.478 </v>
      </c>
      <c r="AV127" s="245" t="str">
        <f>Tools!U127</f>
        <v xml:space="preserve">111.945,-18.048 </v>
      </c>
      <c r="AW127" s="245" t="str">
        <f>Tools!V127</f>
        <v xml:space="preserve">118.53,-18.698 </v>
      </c>
      <c r="AX127" s="245" t="str">
        <f>Tools!W127</f>
        <v xml:space="preserve">121.823,-18.698 </v>
      </c>
      <c r="AY127" s="245" t="str">
        <f>Tools!X127</f>
        <v xml:space="preserve">125.115,-18.698 </v>
      </c>
      <c r="AZ127" s="245" t="str">
        <f>Tools!Y127</f>
        <v xml:space="preserve">128.408,-18.698 </v>
      </c>
      <c r="BA127" s="396" t="str">
        <f>Tools!Z127</f>
        <v xml:space="preserve">131.7,-18.698 </v>
      </c>
      <c r="BC127" s="274" t="str">
        <f>'Rise, etc.'!O3</f>
        <v>Station:</v>
      </c>
      <c r="BD127" s="277" t="str">
        <f>'Rise, etc.'!P3</f>
        <v>Rise (in meters)</v>
      </c>
      <c r="BE127" s="277"/>
      <c r="BF127" s="277" t="s">
        <v>101</v>
      </c>
      <c r="BG127" s="277" t="s">
        <v>102</v>
      </c>
      <c r="BH127" s="277" t="s">
        <v>104</v>
      </c>
      <c r="BI127" s="277" t="s">
        <v>105</v>
      </c>
      <c r="BJ127" s="277" t="s">
        <v>106</v>
      </c>
      <c r="BK127" s="277" t="s">
        <v>107</v>
      </c>
      <c r="BL127" s="277" t="s">
        <v>108</v>
      </c>
      <c r="BM127" s="277"/>
      <c r="BN127" s="277"/>
      <c r="BO127" s="277"/>
      <c r="BP127" s="277"/>
      <c r="BQ127" s="291"/>
      <c r="BR127" s="277"/>
      <c r="BS127" s="277"/>
      <c r="BT127" s="277"/>
      <c r="BU127" s="277"/>
      <c r="BV127" s="277"/>
      <c r="BW127" s="277"/>
      <c r="BX127" s="277"/>
      <c r="BY127" s="277"/>
      <c r="BZ127" s="277"/>
      <c r="CA127" s="277"/>
      <c r="CB127" s="277"/>
      <c r="CC127" s="277"/>
      <c r="CD127" s="277"/>
      <c r="CE127" s="277"/>
      <c r="CF127" s="277"/>
      <c r="CG127" s="277"/>
      <c r="CH127" s="277"/>
      <c r="CI127" s="277"/>
      <c r="CJ127" s="277"/>
      <c r="CK127" s="277"/>
      <c r="CL127" s="277"/>
      <c r="CM127" s="276"/>
      <c r="CO127" s="454">
        <v>0</v>
      </c>
      <c r="CP127" s="454" t="e">
        <v>#N/A</v>
      </c>
      <c r="CQ127" s="454" t="e">
        <v>#N/A</v>
      </c>
      <c r="CR127" s="454" t="e">
        <v>#N/A</v>
      </c>
      <c r="CS127" s="454" t="e">
        <v>#N/A</v>
      </c>
      <c r="CT127" s="454" t="e">
        <v>#N/A</v>
      </c>
      <c r="CU127" s="454">
        <v>-0.3</v>
      </c>
      <c r="CV127" s="454">
        <v>-1</v>
      </c>
      <c r="CW127" s="454">
        <v>-1.62</v>
      </c>
      <c r="CX127" s="454">
        <v>-2.2000000000000002</v>
      </c>
      <c r="CY127" s="454">
        <v>-3.71</v>
      </c>
      <c r="CZ127" s="454">
        <v>-5.9</v>
      </c>
      <c r="DA127" s="454">
        <v>-7.2</v>
      </c>
      <c r="DB127" s="454">
        <v>-8.25</v>
      </c>
      <c r="DC127" s="454">
        <v>8.6</v>
      </c>
      <c r="DD127" s="454">
        <v>7.85</v>
      </c>
      <c r="DE127" s="454">
        <v>6.7</v>
      </c>
      <c r="DF127" s="454">
        <v>5.35</v>
      </c>
      <c r="DG127" s="454">
        <v>3.8</v>
      </c>
      <c r="DH127" s="454">
        <v>2.2200000000000002</v>
      </c>
      <c r="DI127" s="454">
        <v>0.65</v>
      </c>
      <c r="DJ127" s="454">
        <v>0</v>
      </c>
      <c r="DK127" s="454" t="e">
        <v>#N/A</v>
      </c>
      <c r="DL127" s="454" t="e">
        <v>#N/A</v>
      </c>
      <c r="DM127" s="454" t="e">
        <v>#N/A</v>
      </c>
      <c r="DN127" s="454" t="e">
        <v>#N/A</v>
      </c>
      <c r="DP127" s="458">
        <f t="shared" si="272"/>
        <v>3.2924999999999995</v>
      </c>
      <c r="DQ127" s="458" t="str">
        <f t="shared" si="273"/>
        <v xml:space="preserve">3.293,0,8.9 </v>
      </c>
      <c r="DR127" s="458" t="str">
        <f t="shared" ref="DR127:EO127" si="306">IFERROR(CONCATENATE(ROUND($DP127,3),",",ROUND(ABS(DK99),3),",",ROUND(EM99,3)," "),"")</f>
        <v/>
      </c>
      <c r="DS127" s="458" t="str">
        <f t="shared" si="306"/>
        <v/>
      </c>
      <c r="DT127" s="458" t="str">
        <f t="shared" si="306"/>
        <v/>
      </c>
      <c r="DU127" s="458" t="str">
        <f t="shared" si="306"/>
        <v/>
      </c>
      <c r="DV127" s="458" t="str">
        <f t="shared" si="306"/>
        <v/>
      </c>
      <c r="DW127" s="458" t="str">
        <f t="shared" si="306"/>
        <v/>
      </c>
      <c r="DX127" s="458" t="str">
        <f t="shared" si="306"/>
        <v/>
      </c>
      <c r="DY127" s="458" t="str">
        <f t="shared" si="306"/>
        <v xml:space="preserve">3.293,1.2,9 </v>
      </c>
      <c r="DZ127" s="458" t="str">
        <f t="shared" si="306"/>
        <v xml:space="preserve">3.293,6.8,10.1 </v>
      </c>
      <c r="EA127" s="458" t="str">
        <f t="shared" si="306"/>
        <v xml:space="preserve">3.293,8.46,10.8 </v>
      </c>
      <c r="EB127" s="458" t="str">
        <f t="shared" si="306"/>
        <v xml:space="preserve">3.293,10.63,12.6 </v>
      </c>
      <c r="EC127" s="458" t="str">
        <f t="shared" si="306"/>
        <v xml:space="preserve">3.293,11.52,14.19 </v>
      </c>
      <c r="ED127" s="458" t="str">
        <f t="shared" si="306"/>
        <v/>
      </c>
      <c r="EE127" s="458" t="str">
        <f t="shared" si="306"/>
        <v/>
      </c>
      <c r="EF127" s="458" t="str">
        <f t="shared" si="306"/>
        <v/>
      </c>
      <c r="EG127" s="458" t="str">
        <f t="shared" si="306"/>
        <v/>
      </c>
      <c r="EH127" s="458" t="str">
        <f t="shared" si="306"/>
        <v/>
      </c>
      <c r="EI127" s="458" t="str">
        <f t="shared" si="306"/>
        <v/>
      </c>
      <c r="EJ127" s="458" t="str">
        <f t="shared" si="306"/>
        <v/>
      </c>
      <c r="EK127" s="458" t="str">
        <f t="shared" si="306"/>
        <v/>
      </c>
      <c r="EL127" s="458" t="str">
        <f t="shared" si="306"/>
        <v/>
      </c>
      <c r="EM127" s="458" t="str">
        <f t="shared" si="306"/>
        <v/>
      </c>
      <c r="EN127" s="458" t="str">
        <f t="shared" si="306"/>
        <v/>
      </c>
      <c r="EO127" s="458" t="str">
        <f t="shared" si="306"/>
        <v/>
      </c>
      <c r="EP127" s="458" t="str">
        <f t="shared" si="273"/>
        <v/>
      </c>
      <c r="ER127" s="457" t="str">
        <f t="shared" ref="ER127:ER150" si="307">CONCATENATE(DQ127,DR127,DS127,DT127,DU127,DV127,DW127,DX127,DY127,DZ127,EA127,EB127,EC127,ED127,EE127,EF127,EG127,EH127,EI127,EJ127,EK127,EL127,EM127,EN127,EO127,EP127)</f>
        <v xml:space="preserve">3.293,0,8.9 3.293,1.2,9 3.293,6.8,10.1 3.293,8.46,10.8 3.293,10.63,12.6 3.293,11.52,14.19 </v>
      </c>
      <c r="ES127" s="186" t="str">
        <f>IF(ER127="","",CONCATENATE("Spline ",DP127,",",0,",",EV127," ",ER127," "))</f>
        <v xml:space="preserve">Spline 3.2925,0,8.9 3.293,0,8.9 3.293,1.2,9 3.293,6.8,10.1 3.293,8.46,10.8 3.293,10.63,12.6 3.293,11.52,14.19  </v>
      </c>
      <c r="ET127" s="129" t="str">
        <f t="shared" ref="ET127:ET150" si="308">IF(ER127="","",CONCATENATE("Spline ",DP127,",",0,",",EV127," ",ER127," "))</f>
        <v xml:space="preserve">Spline 3.2925,0,8.9 3.293,0,8.9 3.293,1.2,9 3.293,6.8,10.1 3.293,8.46,10.8 3.293,10.63,12.6 3.293,11.52,14.19  </v>
      </c>
      <c r="EU127" s="129">
        <f ca="1">COUNTIF(BP_2,NA())</f>
        <v>7</v>
      </c>
      <c r="EV127" s="129">
        <f t="shared" si="274"/>
        <v>8.9</v>
      </c>
      <c r="EW127" s="129">
        <v>2</v>
      </c>
      <c r="EX127" s="129" t="str">
        <f t="shared" si="275"/>
        <v xml:space="preserve">3.2925,11.52,14.19 </v>
      </c>
      <c r="EY127" s="129" t="str">
        <f t="shared" si="276"/>
        <v xml:space="preserve">Spline 3.2925,0,8.9 3.293,11.52,14.19 3.293,10.63,12.6 3.293,8.46,10.8 3.293,6.8,10.1 3.293,1.2,9 3.293,0,8.9 </v>
      </c>
      <c r="EZ127" s="186" t="str">
        <f t="shared" ref="EZ127:EZ150" si="309">CONCATENATE(DQ127,DR127,DS127,DT127,DU127,DV127,DW127,DX127,DY127,DZ127,EA127,EB127,EC127,ED127,EE127,EF127,EG127,EH127,EI127,EJ127,EK127,EL127,EM127,EN127,EO127,EP127," ")</f>
        <v xml:space="preserve">3.293,0,8.9 3.293,1.2,9 3.293,6.8,10.1 3.293,8.46,10.8 3.293,10.63,12.6 3.293,11.52,14.19  </v>
      </c>
      <c r="FB127" s="458">
        <f t="shared" si="277"/>
        <v>3.2924999999999995</v>
      </c>
      <c r="FC127" s="460" t="str">
        <f t="shared" ref="FC127:FC150" si="310">IFERROR(CONCATENATE(ROUND($DP127,3),",",-ROUND(ABS(DJ99),3),",",ROUND(EL99,3),""),"")</f>
        <v>3.293,0,8.9</v>
      </c>
      <c r="FD127" s="458" t="str">
        <f t="shared" ref="FD127:GB127" si="311">IFERROR(CONCATENATE(ROUND($DP127,3),",",-ROUND(ABS(DK99),3),",",ROUND(EM99,3)," "),"")</f>
        <v/>
      </c>
      <c r="FE127" s="458" t="str">
        <f t="shared" si="311"/>
        <v/>
      </c>
      <c r="FF127" s="458" t="str">
        <f t="shared" si="311"/>
        <v/>
      </c>
      <c r="FG127" s="458" t="str">
        <f t="shared" si="311"/>
        <v/>
      </c>
      <c r="FH127" s="458" t="str">
        <f t="shared" si="311"/>
        <v/>
      </c>
      <c r="FI127" s="458" t="str">
        <f t="shared" si="311"/>
        <v/>
      </c>
      <c r="FJ127" s="458" t="str">
        <f t="shared" si="311"/>
        <v/>
      </c>
      <c r="FK127" s="458" t="str">
        <f t="shared" si="311"/>
        <v xml:space="preserve">3.293,-1.2,9 </v>
      </c>
      <c r="FL127" s="458" t="str">
        <f t="shared" si="311"/>
        <v xml:space="preserve">3.293,-6.8,10.1 </v>
      </c>
      <c r="FM127" s="458" t="str">
        <f t="shared" si="311"/>
        <v xml:space="preserve">3.293,-8.46,10.8 </v>
      </c>
      <c r="FN127" s="458" t="str">
        <f t="shared" si="311"/>
        <v xml:space="preserve">3.293,-10.63,12.6 </v>
      </c>
      <c r="FO127" s="458" t="str">
        <f t="shared" si="311"/>
        <v xml:space="preserve">3.293,-11.52,14.19 </v>
      </c>
      <c r="FP127" s="458" t="str">
        <f t="shared" si="311"/>
        <v/>
      </c>
      <c r="FQ127" s="458" t="str">
        <f t="shared" si="311"/>
        <v/>
      </c>
      <c r="FR127" s="458" t="str">
        <f t="shared" si="311"/>
        <v/>
      </c>
      <c r="FS127" s="458" t="str">
        <f t="shared" si="311"/>
        <v/>
      </c>
      <c r="FT127" s="458" t="str">
        <f t="shared" si="311"/>
        <v/>
      </c>
      <c r="FU127" s="458" t="str">
        <f t="shared" si="311"/>
        <v/>
      </c>
      <c r="FV127" s="458" t="str">
        <f t="shared" si="311"/>
        <v/>
      </c>
      <c r="FW127" s="458" t="str">
        <f t="shared" si="311"/>
        <v/>
      </c>
      <c r="FX127" s="458" t="str">
        <f t="shared" si="311"/>
        <v/>
      </c>
      <c r="FY127" s="458" t="str">
        <f t="shared" si="311"/>
        <v/>
      </c>
      <c r="FZ127" s="458" t="str">
        <f t="shared" si="311"/>
        <v/>
      </c>
      <c r="GA127" s="458" t="str">
        <f t="shared" si="311"/>
        <v/>
      </c>
      <c r="GB127" s="458" t="str">
        <f t="shared" si="311"/>
        <v/>
      </c>
      <c r="GC127" s="129" t="str">
        <f t="shared" ref="GC127:GC150" si="312">CONCATENATE(EP127,EO127,EN127,EM127,EL127,EL127,EK127,EJ127,EI127,EH127,EG127,EF127,EE127,ED127,EC127,EB127,EA127,DZ127,DY127,DX127,DW127,DV127,DU127,DT127,DS127,DR127,DQ127)</f>
        <v xml:space="preserve">3.293,11.52,14.19 3.293,10.63,12.6 3.293,8.46,10.8 3.293,6.8,10.1 3.293,1.2,9 3.293,0,8.9 </v>
      </c>
      <c r="GD127" s="129" t="str">
        <f t="shared" si="279"/>
        <v>Spline 3.293,11.52,14.19 3.293,10.63,12.6 3.293,8.46,10.8 3.293,6.8,10.1 3.293,1.2,9 3.293,0,8.9 3.2925,0,8.9</v>
      </c>
      <c r="GE127" s="461" t="str">
        <f t="shared" ref="GE127:GE150" si="313">CONCATENATE(FD127,FE127,FF127,FG127,FH127,FI127,FJ127,FK127,FL127,FM127,FN127,FO127,FP127,FQ127,FR127,FS127,FT127,FU127,FV127,FW127,FX127,FY127,FZ127,GA127,GB127)</f>
        <v xml:space="preserve">3.293,-1.2,9 3.293,-6.8,10.1 3.293,-8.46,10.8 3.293,-10.63,12.6 3.293,-11.52,14.19 </v>
      </c>
      <c r="GH127" s="129" t="str">
        <f t="shared" ref="GH127:GH150" si="314">CONCATENATE("Spline ",EP127,EO127,EN127,EM127,EL127,EL127,EK127,EJ127,EI127,EH127,EG127,EF127,EE127,ED127,EC127,EB127,EA127,DZ127,DY127,DX127,DW127,DV127,DU127,DT127,DS127,DR127,FC127,IF(AE4=0," ",CONCATENATE("T ",FB127,",0,0 ")))</f>
        <v xml:space="preserve">Spline 3.293,11.52,14.19 3.293,10.63,12.6 3.293,8.46,10.8 3.293,6.8,10.1 3.293,1.2,9 3.293,0,8.9 </v>
      </c>
      <c r="GI127" s="129" t="str">
        <f t="shared" ref="GI127:GI149" si="315">IF(AE4=0,"",CONCATENATE("Spline ",FB127,",",AE4,",0 ",FB127,",0,0  Join ",FB127,",0,0  ",EX127))</f>
        <v/>
      </c>
      <c r="GP127" s="129" t="str">
        <f t="shared" si="280"/>
        <v xml:space="preserve">3.293,0,8.9 </v>
      </c>
      <c r="GQ127" s="129" t="str">
        <f t="shared" ref="GQ127:GQ150" si="316">CONCATENATE("Curve ",EP127,EO127,EN127,EM127,EL127,EK127,EJ127,EI127,EH127,EG127,EF127,EE127,ED127,EC127,EB127,EA127,DZ127,DY127,DX127,DW127,DV127,DU127,DT127,DS127,DR127,GP127,"_enter")</f>
        <v>Curve 3.293,11.52,14.19 3.293,10.63,12.6 3.293,8.46,10.8 3.293,6.8,10.1 3.293,1.2,9 3.293,0,8.9 _enter</v>
      </c>
    </row>
    <row r="128" spans="1:199" x14ac:dyDescent="0.25">
      <c r="A128" s="374">
        <f t="shared" si="271"/>
        <v>0.5</v>
      </c>
      <c r="B128" s="377" t="str">
        <f t="shared" si="281"/>
        <v xml:space="preserve">0,-18.698 </v>
      </c>
      <c r="C128" s="377" t="str">
        <f t="shared" si="282"/>
        <v xml:space="preserve">3.293,-18.698 </v>
      </c>
      <c r="D128" s="377" t="str">
        <f t="shared" si="283"/>
        <v xml:space="preserve">6.585,-18.698 </v>
      </c>
      <c r="E128" s="377" t="str">
        <f t="shared" si="284"/>
        <v xml:space="preserve">9.878,-18.698 </v>
      </c>
      <c r="F128" s="377" t="str">
        <f t="shared" si="285"/>
        <v xml:space="preserve">13.17,-18.298 </v>
      </c>
      <c r="G128" s="377" t="str">
        <f t="shared" si="286"/>
        <v xml:space="preserve">19.755,-17.028 </v>
      </c>
      <c r="H128" s="377" t="str">
        <f t="shared" si="287"/>
        <v xml:space="preserve">26.34,-15.528 </v>
      </c>
      <c r="I128" s="377" t="str">
        <f t="shared" si="288"/>
        <v xml:space="preserve">32.925,-13.888 </v>
      </c>
      <c r="J128" s="377" t="str">
        <f t="shared" si="289"/>
        <v xml:space="preserve">39.51,-12.108 </v>
      </c>
      <c r="K128" s="377" t="str">
        <f t="shared" si="290"/>
        <v xml:space="preserve">46.095,-10.118 </v>
      </c>
      <c r="L128" s="377" t="str">
        <f t="shared" si="291"/>
        <v xml:space="preserve">52.68,-8.538 </v>
      </c>
      <c r="M128" s="377" t="str">
        <f t="shared" si="292"/>
        <v xml:space="preserve">59.265,-7.918 </v>
      </c>
      <c r="N128" s="377" t="str">
        <f t="shared" si="293"/>
        <v xml:space="preserve">65.85,-7.858 </v>
      </c>
      <c r="O128" s="377" t="str">
        <f t="shared" si="294"/>
        <v xml:space="preserve">72.435,-8.048 </v>
      </c>
      <c r="P128" s="377" t="str">
        <f t="shared" si="295"/>
        <v xml:space="preserve">79.02,-8.678 </v>
      </c>
      <c r="Q128" s="377" t="str">
        <f t="shared" si="296"/>
        <v xml:space="preserve">85.605,-9.858 </v>
      </c>
      <c r="R128" s="377" t="str">
        <f t="shared" si="297"/>
        <v xml:space="preserve">92.19,-11.408 </v>
      </c>
      <c r="S128" s="377" t="str">
        <f t="shared" si="298"/>
        <v xml:space="preserve">98.775,-13.048 </v>
      </c>
      <c r="T128" s="377" t="str">
        <f t="shared" si="299"/>
        <v xml:space="preserve">105.36,-14.648 </v>
      </c>
      <c r="U128" s="377" t="str">
        <f t="shared" si="300"/>
        <v xml:space="preserve">111.945,-16.068 </v>
      </c>
      <c r="V128" s="377" t="str">
        <f t="shared" si="301"/>
        <v xml:space="preserve">118.53,-17.208 </v>
      </c>
      <c r="W128" s="377" t="str">
        <f t="shared" si="302"/>
        <v xml:space="preserve">121.823,-17.658 </v>
      </c>
      <c r="X128" s="377" t="str">
        <f t="shared" si="303"/>
        <v xml:space="preserve">125.115,-18.058 </v>
      </c>
      <c r="Y128" s="377" t="str">
        <f t="shared" si="304"/>
        <v xml:space="preserve">128.408,-18.698 </v>
      </c>
      <c r="Z128" s="395" t="str">
        <f t="shared" si="305"/>
        <v xml:space="preserve">131.7,-18.698 </v>
      </c>
      <c r="AB128" s="245" t="str">
        <f t="shared" ref="AB128:AB151" si="317">IF(AC128="","  ","Spline ")</f>
        <v xml:space="preserve">Spline </v>
      </c>
      <c r="AC128" s="245" t="str">
        <f>Tools!B128</f>
        <v xml:space="preserve">0,-18.698 </v>
      </c>
      <c r="AD128" s="245" t="str">
        <f>Tools!C128</f>
        <v xml:space="preserve">3.293,-18.698 </v>
      </c>
      <c r="AE128" s="245" t="str">
        <f>Tools!D128</f>
        <v xml:space="preserve">6.585,-18.698 </v>
      </c>
      <c r="AF128" s="245" t="str">
        <f>Tools!E128</f>
        <v xml:space="preserve">9.878,-18.698 </v>
      </c>
      <c r="AG128" s="245" t="str">
        <f>Tools!F128</f>
        <v xml:space="preserve">13.17,-18.298 </v>
      </c>
      <c r="AH128" s="245" t="str">
        <f>Tools!G128</f>
        <v xml:space="preserve">19.755,-17.028 </v>
      </c>
      <c r="AI128" s="245" t="str">
        <f>Tools!H128</f>
        <v xml:space="preserve">26.34,-15.528 </v>
      </c>
      <c r="AJ128" s="245" t="str">
        <f>Tools!I128</f>
        <v xml:space="preserve">32.925,-13.888 </v>
      </c>
      <c r="AK128" s="245" t="str">
        <f>Tools!J128</f>
        <v xml:space="preserve">39.51,-12.108 </v>
      </c>
      <c r="AL128" s="245" t="str">
        <f>Tools!K128</f>
        <v xml:space="preserve">46.095,-10.118 </v>
      </c>
      <c r="AM128" s="245" t="str">
        <f>Tools!L128</f>
        <v xml:space="preserve">52.68,-8.538 </v>
      </c>
      <c r="AN128" s="245" t="str">
        <f>Tools!M128</f>
        <v xml:space="preserve">59.265,-7.918 </v>
      </c>
      <c r="AO128" s="245" t="str">
        <f>Tools!N128</f>
        <v xml:space="preserve">65.85,-7.858 </v>
      </c>
      <c r="AP128" s="245" t="str">
        <f>Tools!O128</f>
        <v xml:space="preserve">72.435,-8.048 </v>
      </c>
      <c r="AQ128" s="245" t="str">
        <f>Tools!P128</f>
        <v xml:space="preserve">79.02,-8.678 </v>
      </c>
      <c r="AR128" s="245" t="str">
        <f>Tools!Q128</f>
        <v xml:space="preserve">85.605,-9.858 </v>
      </c>
      <c r="AS128" s="245" t="str">
        <f>Tools!R128</f>
        <v xml:space="preserve">92.19,-11.408 </v>
      </c>
      <c r="AT128" s="245" t="str">
        <f>Tools!S128</f>
        <v xml:space="preserve">98.775,-13.048 </v>
      </c>
      <c r="AU128" s="245" t="str">
        <f>Tools!T128</f>
        <v xml:space="preserve">105.36,-14.648 </v>
      </c>
      <c r="AV128" s="245" t="str">
        <f>Tools!U128</f>
        <v xml:space="preserve">111.945,-16.068 </v>
      </c>
      <c r="AW128" s="245" t="str">
        <f>Tools!V128</f>
        <v xml:space="preserve">118.53,-17.208 </v>
      </c>
      <c r="AX128" s="245" t="str">
        <f>Tools!W128</f>
        <v xml:space="preserve">121.823,-17.658 </v>
      </c>
      <c r="AY128" s="245" t="str">
        <f>Tools!X128</f>
        <v xml:space="preserve">125.115,-18.058 </v>
      </c>
      <c r="AZ128" s="245" t="str">
        <f>Tools!Y128</f>
        <v xml:space="preserve">128.408,-18.698 </v>
      </c>
      <c r="BA128" s="396" t="str">
        <f>Tools!Z128</f>
        <v xml:space="preserve">131.7,-18.698 </v>
      </c>
      <c r="BC128" s="274">
        <f>'Rise, etc.'!O4</f>
        <v>0</v>
      </c>
      <c r="BD128" s="277">
        <f>IF(ISNUMBER(VLOOKUP(BC128,'Rise, etc.'!O$3:P$28,2,FALSE)),VLOOKUP(BC128,'Rise, etc.'!O$3:P$28,2,FALSE),"-")</f>
        <v>9.9</v>
      </c>
      <c r="BE128" s="277">
        <f t="shared" ref="BE128" si="318">BD128/WLS</f>
        <v>5.5</v>
      </c>
      <c r="BF128" s="277">
        <f t="shared" ref="BF128:BF152" si="319">IF(ISNUMBER($BD128),(VLOOKUP(Stn_WL,OFFSET_A,COUNTIF($BN128:$CL128,TRUE)+2,FALSE)),"#NA")</f>
        <v>5.6111111111111107</v>
      </c>
      <c r="BG128" s="277">
        <f t="shared" ref="BG128:BG152" si="320">IF(ISNUMBER($BD128),(VLOOKUP(Stn_WL,OFFSET_A,COUNTIF($BN128:$CL128,TRUE)+3,FALSE)),"#NA")</f>
        <v>6</v>
      </c>
      <c r="BH128" s="277">
        <f t="shared" ref="BH128:BH152" si="321">IF(ISNUMBER($BD128),(VLOOKUP(Stn_WL,OFFSET_A,COUNTIF($BN128:$CL128,TRUE)+4,FALSE)),"#NA")</f>
        <v>7</v>
      </c>
      <c r="BI128" s="277">
        <f t="shared" ref="BI128:BI152" si="322">IF(ISNUMBER($BD128),(VLOOKUP(Stn_WL,OFFSET_A,COUNTIF($BN128:$CL128,TRUE)+5,FALSE)),"#NA")</f>
        <v>7.8833333333333329</v>
      </c>
      <c r="BJ128" s="277" t="str">
        <f t="shared" ref="BJ128:BJ152" si="323">IF(ISNUMBER($BD128),(VLOOKUP(Stn_WL,OFFSET_A,COUNTIF($BN128:$CL128,TRUE)+6,FALSE)),"#NA")</f>
        <v xml:space="preserve">  </v>
      </c>
      <c r="BK128" s="277" t="str">
        <f t="shared" ref="BK128:BK152" si="324">IF(ISNUMBER($BD128),(VLOOKUP(Stn_WL,OFFSET_A,COUNTIF($BN128:$CL128,TRUE)+7,FALSE)),"#NA")</f>
        <v xml:space="preserve">  </v>
      </c>
      <c r="BL128" s="277" t="str">
        <f t="shared" ref="BL128:BL152" si="325">IF(ISNUMBER($BD128),(VLOOKUP(Stn_WL,OFFSET_A,COUNTIF($BN128:$CL128,TRUE)+8,FALSE)),"#NA")</f>
        <v xml:space="preserve">  </v>
      </c>
      <c r="BM128" s="277"/>
      <c r="BN128" s="277" t="b">
        <f t="shared" ref="BN128:BN152" si="326">IF(AE$1&gt;=$BE128,FALSE,TRUE)</f>
        <v>1</v>
      </c>
      <c r="BO128" s="277" t="b">
        <f t="shared" ref="BO128:BO152" si="327">IF(AF$1&gt;=$BE128,FALSE,TRUE)</f>
        <v>1</v>
      </c>
      <c r="BP128" s="277" t="b">
        <f t="shared" ref="BP128:BP152" si="328">IF(AG$1&gt;=$BE128,FALSE,TRUE)</f>
        <v>1</v>
      </c>
      <c r="BQ128" s="277" t="b">
        <f t="shared" ref="BQ128:BQ152" si="329">IF(AH$1&gt;=$BE128,FALSE,TRUE)</f>
        <v>1</v>
      </c>
      <c r="BR128" s="277" t="b">
        <f t="shared" ref="BR128:BR152" si="330">IF(AI$1&gt;=$BE128,FALSE,TRUE)</f>
        <v>1</v>
      </c>
      <c r="BS128" s="277" t="b">
        <f t="shared" ref="BS128:BS152" si="331">IF(AJ$1&gt;=$BE128,FALSE,TRUE)</f>
        <v>1</v>
      </c>
      <c r="BT128" s="277" t="b">
        <f t="shared" ref="BT128:BT152" si="332">IF(AK$1&gt;=$BE128,FALSE,TRUE)</f>
        <v>1</v>
      </c>
      <c r="BU128" s="277" t="b">
        <f t="shared" ref="BU128:BU152" si="333">IF(AL$1&gt;=$BE128,FALSE,TRUE)</f>
        <v>1</v>
      </c>
      <c r="BV128" s="277" t="b">
        <f t="shared" ref="BV128:BV152" si="334">IF(AM$1&gt;=$BE128,FALSE,TRUE)</f>
        <v>0</v>
      </c>
      <c r="BW128" s="277" t="b">
        <f t="shared" ref="BW128:BW152" si="335">IF(AN$1&gt;=$BE128,FALSE,TRUE)</f>
        <v>0</v>
      </c>
      <c r="BX128" s="277" t="b">
        <f>IF(AO$1&gt;$BE128,FALSE,TRUE)</f>
        <v>0</v>
      </c>
      <c r="BY128" s="277" t="b">
        <f t="shared" ref="BY128:BY152" si="336">IF(AP$1&gt;=$BE128,FALSE,TRUE)</f>
        <v>0</v>
      </c>
      <c r="BZ128" s="277" t="b">
        <f t="shared" ref="BZ128:BZ152" si="337">IF(AQ$1&gt;=$BE128,FALSE,TRUE)</f>
        <v>0</v>
      </c>
      <c r="CA128" s="277" t="b">
        <f t="shared" ref="CA128:CA152" si="338">IF(AR$1&gt;=$BE128,FALSE,TRUE)</f>
        <v>0</v>
      </c>
      <c r="CB128" s="277" t="b">
        <f t="shared" ref="CB128:CB152" si="339">IF(AS$1&gt;=$BE128,FALSE,TRUE)</f>
        <v>0</v>
      </c>
      <c r="CC128" s="277" t="b">
        <f t="shared" ref="CC128:CC152" si="340">IF(AT$1&gt;=$BE128,FALSE,TRUE)</f>
        <v>0</v>
      </c>
      <c r="CD128" s="277" t="b">
        <f t="shared" ref="CD128:CD152" si="341">IF(AU$1&gt;=$BE128,FALSE,TRUE)</f>
        <v>0</v>
      </c>
      <c r="CE128" s="277" t="b">
        <f t="shared" ref="CE128:CE152" si="342">IF(AV$1&gt;=$BE128,FALSE,TRUE)</f>
        <v>0</v>
      </c>
      <c r="CF128" s="277" t="b">
        <f t="shared" ref="CF128:CF152" si="343">IF(AW$1&gt;=$BE128,FALSE,TRUE)</f>
        <v>0</v>
      </c>
      <c r="CG128" s="277" t="b">
        <f t="shared" ref="CG128:CG152" si="344">IF(AX$1&gt;=$BE128,FALSE,TRUE)</f>
        <v>0</v>
      </c>
      <c r="CH128" s="277" t="b">
        <f t="shared" ref="CH128:CH152" si="345">IF(AY$1&gt;=$BE128,FALSE,TRUE)</f>
        <v>0</v>
      </c>
      <c r="CI128" s="277" t="b">
        <f t="shared" ref="CI128:CI152" si="346">IF(AZ$1&gt;=$BE128,FALSE,TRUE)</f>
        <v>0</v>
      </c>
      <c r="CJ128" s="277" t="b">
        <f t="shared" ref="CJ128:CJ152" si="347">IF(BA$1&gt;=$BE128,FALSE,TRUE)</f>
        <v>0</v>
      </c>
      <c r="CK128" s="277" t="b">
        <f t="shared" ref="CK128:CK152" si="348">IF(BB$1&gt;=$BE128,FALSE,TRUE)</f>
        <v>0</v>
      </c>
      <c r="CL128" s="277" t="b">
        <f t="shared" ref="CL128:CL152" si="349">IF(BC$1&gt;=$BE128,FALSE,TRUE)</f>
        <v>0</v>
      </c>
      <c r="CM128" s="276">
        <f>COUNTIF(BN128:CL128,TRUE)</f>
        <v>8</v>
      </c>
      <c r="CO128" s="454">
        <v>0.9</v>
      </c>
      <c r="CP128" s="454" t="e">
        <v>#N/A</v>
      </c>
      <c r="CQ128" s="454" t="e">
        <v>#N/A</v>
      </c>
      <c r="CR128" s="454" t="e">
        <v>#N/A</v>
      </c>
      <c r="CS128" s="454" t="e">
        <v>#N/A</v>
      </c>
      <c r="CT128" s="454">
        <v>-0.4</v>
      </c>
      <c r="CU128" s="454">
        <v>-1.67</v>
      </c>
      <c r="CV128" s="454">
        <v>-3.17</v>
      </c>
      <c r="CW128" s="454">
        <v>-4.8099999999999996</v>
      </c>
      <c r="CX128" s="454">
        <v>-6.59</v>
      </c>
      <c r="CY128" s="454">
        <v>-8.58</v>
      </c>
      <c r="CZ128" s="454">
        <v>-10.16</v>
      </c>
      <c r="DA128" s="454">
        <v>-10.78</v>
      </c>
      <c r="DB128" s="454">
        <v>-10.84</v>
      </c>
      <c r="DC128" s="454">
        <v>10.65</v>
      </c>
      <c r="DD128" s="454">
        <v>10.02</v>
      </c>
      <c r="DE128" s="454">
        <v>8.84</v>
      </c>
      <c r="DF128" s="454">
        <v>7.29</v>
      </c>
      <c r="DG128" s="454">
        <v>5.65</v>
      </c>
      <c r="DH128" s="454">
        <v>4.05</v>
      </c>
      <c r="DI128" s="454">
        <v>2.63</v>
      </c>
      <c r="DJ128" s="454">
        <v>1.49</v>
      </c>
      <c r="DK128" s="454">
        <v>1.04</v>
      </c>
      <c r="DL128" s="454">
        <v>0.64</v>
      </c>
      <c r="DM128" s="454" t="e">
        <v>#N/A</v>
      </c>
      <c r="DN128" s="454" t="e">
        <v>#N/A</v>
      </c>
      <c r="DP128" s="458">
        <f t="shared" si="272"/>
        <v>6.5849999999999991</v>
      </c>
      <c r="DQ128" s="458" t="str">
        <f t="shared" si="273"/>
        <v xml:space="preserve">6.585,0,7.8 </v>
      </c>
      <c r="DR128" s="458" t="str">
        <f t="shared" ref="DR128:EO128" si="350">IFERROR(CONCATENATE(ROUND($DP128,3),",",ROUND(ABS(DK100),3),",",ROUND(EM100,3)," "),"")</f>
        <v/>
      </c>
      <c r="DS128" s="458" t="str">
        <f t="shared" si="350"/>
        <v/>
      </c>
      <c r="DT128" s="458" t="str">
        <f t="shared" si="350"/>
        <v/>
      </c>
      <c r="DU128" s="458" t="str">
        <f t="shared" si="350"/>
        <v/>
      </c>
      <c r="DV128" s="458" t="str">
        <f t="shared" si="350"/>
        <v/>
      </c>
      <c r="DW128" s="458" t="str">
        <f t="shared" si="350"/>
        <v/>
      </c>
      <c r="DX128" s="458" t="str">
        <f t="shared" si="350"/>
        <v/>
      </c>
      <c r="DY128" s="458" t="str">
        <f t="shared" si="350"/>
        <v xml:space="preserve">6.585,6.12,9 </v>
      </c>
      <c r="DZ128" s="458" t="str">
        <f t="shared" si="350"/>
        <v xml:space="preserve">6.585,8.8,10.1 </v>
      </c>
      <c r="EA128" s="458" t="str">
        <f t="shared" si="350"/>
        <v xml:space="preserve">6.585,9.84,10.8 </v>
      </c>
      <c r="EB128" s="458" t="str">
        <f t="shared" si="350"/>
        <v xml:space="preserve">6.585,11.33,12.6 </v>
      </c>
      <c r="EC128" s="458" t="str">
        <f t="shared" si="350"/>
        <v xml:space="preserve">6.585,11.9,14.19 </v>
      </c>
      <c r="ED128" s="458" t="str">
        <f t="shared" si="350"/>
        <v/>
      </c>
      <c r="EE128" s="458" t="str">
        <f t="shared" si="350"/>
        <v/>
      </c>
      <c r="EF128" s="458" t="str">
        <f t="shared" si="350"/>
        <v/>
      </c>
      <c r="EG128" s="458" t="str">
        <f t="shared" si="350"/>
        <v/>
      </c>
      <c r="EH128" s="458" t="str">
        <f t="shared" si="350"/>
        <v/>
      </c>
      <c r="EI128" s="458" t="str">
        <f t="shared" si="350"/>
        <v/>
      </c>
      <c r="EJ128" s="458" t="str">
        <f t="shared" si="350"/>
        <v/>
      </c>
      <c r="EK128" s="458" t="str">
        <f t="shared" si="350"/>
        <v/>
      </c>
      <c r="EL128" s="458" t="str">
        <f t="shared" si="350"/>
        <v/>
      </c>
      <c r="EM128" s="458" t="str">
        <f t="shared" si="350"/>
        <v/>
      </c>
      <c r="EN128" s="458" t="str">
        <f t="shared" si="350"/>
        <v/>
      </c>
      <c r="EO128" s="458" t="str">
        <f t="shared" si="350"/>
        <v/>
      </c>
      <c r="EP128" s="458" t="str">
        <f t="shared" si="273"/>
        <v/>
      </c>
      <c r="ER128" s="457" t="str">
        <f t="shared" si="307"/>
        <v xml:space="preserve">6.585,0,7.8 6.585,6.12,9 6.585,8.8,10.1 6.585,9.84,10.8 6.585,11.33,12.6 6.585,11.9,14.19 </v>
      </c>
      <c r="ES128" s="186" t="str">
        <f t="shared" ref="ES128:ES150" si="351">IF(ER128="","",CONCATENATE("Spline ",DP128,",",0,",",EV128," ",ER128," "))</f>
        <v xml:space="preserve">Spline 6.585,0,7.8 6.585,0,7.8 6.585,6.12,9 6.585,8.8,10.1 6.585,9.84,10.8 6.585,11.33,12.6 6.585,11.9,14.19  </v>
      </c>
      <c r="ET128" s="129" t="str">
        <f t="shared" si="308"/>
        <v xml:space="preserve">Spline 6.585,0,7.8 6.585,0,7.8 6.585,6.12,9 6.585,8.8,10.1 6.585,9.84,10.8 6.585,11.33,12.6 6.585,11.9,14.19  </v>
      </c>
      <c r="EU128" s="129">
        <f ca="1">COUNTIF(BP_3,NA())</f>
        <v>7</v>
      </c>
      <c r="EV128" s="129">
        <f t="shared" si="274"/>
        <v>7.8</v>
      </c>
      <c r="EW128" s="129">
        <v>3</v>
      </c>
      <c r="EX128" s="129" t="str">
        <f t="shared" si="275"/>
        <v xml:space="preserve">6.585,11.9,14.19 </v>
      </c>
      <c r="EY128" s="129" t="str">
        <f t="shared" si="276"/>
        <v xml:space="preserve">Spline 6.585,0,7.8 6.585,11.9,14.19 6.585,11.33,12.6 6.585,9.84,10.8 6.585,8.8,10.1 6.585,6.12,9 6.585,0,7.8 </v>
      </c>
      <c r="EZ128" s="186" t="str">
        <f t="shared" si="309"/>
        <v xml:space="preserve">6.585,0,7.8 6.585,6.12,9 6.585,8.8,10.1 6.585,9.84,10.8 6.585,11.33,12.6 6.585,11.9,14.19  </v>
      </c>
      <c r="FB128" s="458">
        <f t="shared" si="277"/>
        <v>6.5849999999999991</v>
      </c>
      <c r="FC128" s="460" t="str">
        <f t="shared" si="310"/>
        <v>6.585,0,7.8</v>
      </c>
      <c r="FD128" s="458" t="str">
        <f t="shared" ref="FD128:GB128" si="352">IFERROR(CONCATENATE(ROUND($DP128,3),",",-ROUND(ABS(DK100),3),",",ROUND(EM100,3)," "),"")</f>
        <v/>
      </c>
      <c r="FE128" s="458" t="str">
        <f t="shared" si="352"/>
        <v/>
      </c>
      <c r="FF128" s="458" t="str">
        <f t="shared" si="352"/>
        <v/>
      </c>
      <c r="FG128" s="458" t="str">
        <f t="shared" si="352"/>
        <v/>
      </c>
      <c r="FH128" s="458" t="str">
        <f t="shared" si="352"/>
        <v/>
      </c>
      <c r="FI128" s="458" t="str">
        <f t="shared" si="352"/>
        <v/>
      </c>
      <c r="FJ128" s="458" t="str">
        <f t="shared" si="352"/>
        <v/>
      </c>
      <c r="FK128" s="458" t="str">
        <f t="shared" si="352"/>
        <v xml:space="preserve">6.585,-6.12,9 </v>
      </c>
      <c r="FL128" s="458" t="str">
        <f t="shared" si="352"/>
        <v xml:space="preserve">6.585,-8.8,10.1 </v>
      </c>
      <c r="FM128" s="458" t="str">
        <f t="shared" si="352"/>
        <v xml:space="preserve">6.585,-9.84,10.8 </v>
      </c>
      <c r="FN128" s="458" t="str">
        <f t="shared" si="352"/>
        <v xml:space="preserve">6.585,-11.33,12.6 </v>
      </c>
      <c r="FO128" s="458" t="str">
        <f t="shared" si="352"/>
        <v xml:space="preserve">6.585,-11.9,14.19 </v>
      </c>
      <c r="FP128" s="458" t="str">
        <f t="shared" si="352"/>
        <v/>
      </c>
      <c r="FQ128" s="458" t="str">
        <f t="shared" si="352"/>
        <v/>
      </c>
      <c r="FR128" s="458" t="str">
        <f t="shared" si="352"/>
        <v/>
      </c>
      <c r="FS128" s="458" t="str">
        <f t="shared" si="352"/>
        <v/>
      </c>
      <c r="FT128" s="458" t="str">
        <f t="shared" si="352"/>
        <v/>
      </c>
      <c r="FU128" s="458" t="str">
        <f t="shared" si="352"/>
        <v/>
      </c>
      <c r="FV128" s="458" t="str">
        <f t="shared" si="352"/>
        <v/>
      </c>
      <c r="FW128" s="458" t="str">
        <f t="shared" si="352"/>
        <v/>
      </c>
      <c r="FX128" s="458" t="str">
        <f t="shared" si="352"/>
        <v/>
      </c>
      <c r="FY128" s="458" t="str">
        <f t="shared" si="352"/>
        <v/>
      </c>
      <c r="FZ128" s="458" t="str">
        <f t="shared" si="352"/>
        <v/>
      </c>
      <c r="GA128" s="458" t="str">
        <f t="shared" si="352"/>
        <v/>
      </c>
      <c r="GB128" s="458" t="str">
        <f t="shared" si="352"/>
        <v/>
      </c>
      <c r="GC128" s="129" t="str">
        <f t="shared" si="312"/>
        <v xml:space="preserve">6.585,11.9,14.19 6.585,11.33,12.6 6.585,9.84,10.8 6.585,8.8,10.1 6.585,6.12,9 6.585,0,7.8 </v>
      </c>
      <c r="GD128" s="129" t="str">
        <f t="shared" si="279"/>
        <v>Spline 6.585,11.9,14.19 6.585,11.33,12.6 6.585,9.84,10.8 6.585,8.8,10.1 6.585,6.12,9 6.585,0,7.8 6.585,0,7.8</v>
      </c>
      <c r="GE128" s="461" t="str">
        <f t="shared" si="313"/>
        <v xml:space="preserve">6.585,-6.12,9 6.585,-8.8,10.1 6.585,-9.84,10.8 6.585,-11.33,12.6 6.585,-11.9,14.19 </v>
      </c>
      <c r="GH128" s="129" t="str">
        <f t="shared" si="314"/>
        <v xml:space="preserve">Spline 6.585,11.9,14.19 6.585,11.33,12.6 6.585,9.84,10.8 6.585,8.8,10.1 6.585,6.12,9 6.585,0,7.8 </v>
      </c>
      <c r="GI128" s="129" t="str">
        <f t="shared" si="315"/>
        <v/>
      </c>
      <c r="GP128" s="129" t="str">
        <f t="shared" si="280"/>
        <v xml:space="preserve">6.585,0,7.8 </v>
      </c>
      <c r="GQ128" s="129" t="str">
        <f t="shared" si="316"/>
        <v>Curve 6.585,11.9,14.19 6.585,11.33,12.6 6.585,9.84,10.8 6.585,8.8,10.1 6.585,6.12,9 6.585,0,7.8 _enter</v>
      </c>
    </row>
    <row r="129" spans="1:199" x14ac:dyDescent="0.25">
      <c r="A129" s="374">
        <f t="shared" si="271"/>
        <v>1</v>
      </c>
      <c r="B129" s="377" t="str">
        <f t="shared" si="281"/>
        <v xml:space="preserve">0,-18.698 </v>
      </c>
      <c r="C129" s="377" t="str">
        <f t="shared" si="282"/>
        <v xml:space="preserve">3.293,-18.698 </v>
      </c>
      <c r="D129" s="377" t="str">
        <f t="shared" si="283"/>
        <v xml:space="preserve">6.585,-18.698 </v>
      </c>
      <c r="E129" s="377" t="str">
        <f t="shared" si="284"/>
        <v xml:space="preserve">9.878,-18.698 </v>
      </c>
      <c r="F129" s="377" t="str">
        <f t="shared" si="285"/>
        <v xml:space="preserve">13.17,-17.658 </v>
      </c>
      <c r="G129" s="377" t="str">
        <f t="shared" si="286"/>
        <v xml:space="preserve">19.755,-16.398 </v>
      </c>
      <c r="H129" s="377" t="str">
        <f t="shared" si="287"/>
        <v xml:space="preserve">26.34,-14.618 </v>
      </c>
      <c r="I129" s="377" t="str">
        <f t="shared" si="288"/>
        <v xml:space="preserve">32.925,-12.608 </v>
      </c>
      <c r="J129" s="377" t="str">
        <f t="shared" si="289"/>
        <v xml:space="preserve">39.51,-10.358 </v>
      </c>
      <c r="K129" s="377" t="str">
        <f t="shared" si="290"/>
        <v xml:space="preserve">46.095,-8.438 </v>
      </c>
      <c r="L129" s="377" t="str">
        <f t="shared" si="291"/>
        <v xml:space="preserve">52.68,-7.348 </v>
      </c>
      <c r="M129" s="377" t="str">
        <f t="shared" si="292"/>
        <v xml:space="preserve">59.265,-6.978 </v>
      </c>
      <c r="N129" s="377" t="str">
        <f t="shared" si="293"/>
        <v xml:space="preserve">65.85,-6.938 </v>
      </c>
      <c r="O129" s="377" t="str">
        <f t="shared" si="294"/>
        <v xml:space="preserve">72.435,-7.078 </v>
      </c>
      <c r="P129" s="377" t="str">
        <f t="shared" si="295"/>
        <v xml:space="preserve">79.02,-7.598 </v>
      </c>
      <c r="Q129" s="377" t="str">
        <f t="shared" si="296"/>
        <v xml:space="preserve">85.605,-8.668 </v>
      </c>
      <c r="R129" s="377" t="str">
        <f t="shared" si="297"/>
        <v xml:space="preserve">92.19,-10.548 </v>
      </c>
      <c r="S129" s="377" t="str">
        <f t="shared" si="298"/>
        <v xml:space="preserve">98.775,-11.898 </v>
      </c>
      <c r="T129" s="377" t="str">
        <f t="shared" si="299"/>
        <v xml:space="preserve">105.36,-13.598 </v>
      </c>
      <c r="U129" s="377" t="str">
        <f t="shared" si="300"/>
        <v xml:space="preserve">111.945,-15.178 </v>
      </c>
      <c r="V129" s="377" t="str">
        <f t="shared" si="301"/>
        <v xml:space="preserve">118.53,-16.468 </v>
      </c>
      <c r="W129" s="377" t="str">
        <f t="shared" si="302"/>
        <v xml:space="preserve">121.823,-16.998 </v>
      </c>
      <c r="X129" s="377" t="str">
        <f t="shared" si="303"/>
        <v xml:space="preserve">125.115,-17.428 </v>
      </c>
      <c r="Y129" s="377" t="str">
        <f t="shared" si="304"/>
        <v xml:space="preserve">128.408,-17.838 </v>
      </c>
      <c r="Z129" s="395" t="str">
        <f t="shared" si="305"/>
        <v xml:space="preserve">131.7,-18.698 </v>
      </c>
      <c r="AB129" s="245" t="str">
        <f t="shared" si="317"/>
        <v xml:space="preserve">Spline </v>
      </c>
      <c r="AC129" s="245" t="str">
        <f>Tools!B129</f>
        <v xml:space="preserve">0,-18.698 </v>
      </c>
      <c r="AD129" s="245" t="str">
        <f>Tools!C129</f>
        <v xml:space="preserve">3.293,-18.698 </v>
      </c>
      <c r="AE129" s="245" t="str">
        <f>Tools!D129</f>
        <v xml:space="preserve">6.585,-18.698 </v>
      </c>
      <c r="AF129" s="245" t="str">
        <f>Tools!E129</f>
        <v xml:space="preserve">9.878,-18.698 </v>
      </c>
      <c r="AG129" s="245" t="str">
        <f>Tools!F129</f>
        <v xml:space="preserve">13.17,-17.658 </v>
      </c>
      <c r="AH129" s="245" t="str">
        <f>Tools!G129</f>
        <v xml:space="preserve">19.755,-16.398 </v>
      </c>
      <c r="AI129" s="245" t="str">
        <f>Tools!H129</f>
        <v xml:space="preserve">26.34,-14.618 </v>
      </c>
      <c r="AJ129" s="245" t="str">
        <f>Tools!I129</f>
        <v xml:space="preserve">32.925,-12.608 </v>
      </c>
      <c r="AK129" s="245" t="str">
        <f>Tools!J129</f>
        <v xml:space="preserve">39.51,-10.358 </v>
      </c>
      <c r="AL129" s="245" t="str">
        <f>Tools!K129</f>
        <v xml:space="preserve">46.095,-8.438 </v>
      </c>
      <c r="AM129" s="245" t="str">
        <f>Tools!L129</f>
        <v xml:space="preserve">52.68,-7.348 </v>
      </c>
      <c r="AN129" s="245" t="str">
        <f>Tools!M129</f>
        <v xml:space="preserve">59.265,-6.978 </v>
      </c>
      <c r="AO129" s="245" t="str">
        <f>Tools!N129</f>
        <v xml:space="preserve">65.85,-6.938 </v>
      </c>
      <c r="AP129" s="245" t="str">
        <f>Tools!O129</f>
        <v xml:space="preserve">72.435,-7.078 </v>
      </c>
      <c r="AQ129" s="245" t="str">
        <f>Tools!P129</f>
        <v xml:space="preserve">79.02,-7.598 </v>
      </c>
      <c r="AR129" s="245" t="str">
        <f>Tools!Q129</f>
        <v xml:space="preserve">85.605,-8.668 </v>
      </c>
      <c r="AS129" s="245" t="str">
        <f>Tools!R129</f>
        <v xml:space="preserve">92.19,-10.548 </v>
      </c>
      <c r="AT129" s="245" t="str">
        <f>Tools!S129</f>
        <v xml:space="preserve">98.775,-11.898 </v>
      </c>
      <c r="AU129" s="245" t="str">
        <f>Tools!T129</f>
        <v xml:space="preserve">105.36,-13.598 </v>
      </c>
      <c r="AV129" s="245" t="str">
        <f>Tools!U129</f>
        <v xml:space="preserve">111.945,-15.178 </v>
      </c>
      <c r="AW129" s="245" t="str">
        <f>Tools!V129</f>
        <v xml:space="preserve">118.53,-16.468 </v>
      </c>
      <c r="AX129" s="245" t="str">
        <f>Tools!W129</f>
        <v xml:space="preserve">121.823,-16.998 </v>
      </c>
      <c r="AY129" s="245" t="str">
        <f>Tools!X129</f>
        <v xml:space="preserve">125.115,-17.428 </v>
      </c>
      <c r="AZ129" s="245" t="str">
        <f>Tools!Y129</f>
        <v xml:space="preserve">128.408,-17.838 </v>
      </c>
      <c r="BA129" s="396" t="str">
        <f>Tools!Z129</f>
        <v xml:space="preserve">131.7,-18.698 </v>
      </c>
      <c r="BC129" s="274">
        <f>'Rise, etc.'!O5</f>
        <v>0.5</v>
      </c>
      <c r="BD129" s="277">
        <f>IF(ISNUMBER(VLOOKUP(BC129,'Rise, etc.'!O$3:P$28,2,FALSE)),VLOOKUP(BC129,'Rise, etc.'!O$3:P$28,2,FALSE),"-")</f>
        <v>8.9</v>
      </c>
      <c r="BE129" s="277">
        <f t="shared" ref="BE129:BE152" si="353">BD129/WLS</f>
        <v>4.9444444444444446</v>
      </c>
      <c r="BF129" s="277">
        <f t="shared" si="319"/>
        <v>5</v>
      </c>
      <c r="BG129" s="277">
        <f t="shared" si="320"/>
        <v>5.6111111111111107</v>
      </c>
      <c r="BH129" s="277">
        <f t="shared" si="321"/>
        <v>6</v>
      </c>
      <c r="BI129" s="277">
        <f t="shared" si="322"/>
        <v>7</v>
      </c>
      <c r="BJ129" s="277">
        <f t="shared" si="323"/>
        <v>7.8833333333333329</v>
      </c>
      <c r="BK129" s="277" t="str">
        <f t="shared" si="324"/>
        <v xml:space="preserve">  </v>
      </c>
      <c r="BL129" s="277" t="str">
        <f t="shared" si="325"/>
        <v xml:space="preserve">  </v>
      </c>
      <c r="BM129" s="277"/>
      <c r="BN129" s="277" t="b">
        <f t="shared" si="326"/>
        <v>1</v>
      </c>
      <c r="BO129" s="277" t="b">
        <f t="shared" si="327"/>
        <v>1</v>
      </c>
      <c r="BP129" s="277" t="b">
        <f t="shared" si="328"/>
        <v>1</v>
      </c>
      <c r="BQ129" s="277" t="b">
        <f t="shared" si="329"/>
        <v>1</v>
      </c>
      <c r="BR129" s="277" t="b">
        <f t="shared" si="330"/>
        <v>1</v>
      </c>
      <c r="BS129" s="277" t="b">
        <f t="shared" si="331"/>
        <v>1</v>
      </c>
      <c r="BT129" s="277" t="b">
        <f t="shared" si="332"/>
        <v>1</v>
      </c>
      <c r="BU129" s="277" t="b">
        <f t="shared" si="333"/>
        <v>0</v>
      </c>
      <c r="BV129" s="277" t="b">
        <f t="shared" si="334"/>
        <v>0</v>
      </c>
      <c r="BW129" s="277" t="b">
        <f t="shared" si="335"/>
        <v>0</v>
      </c>
      <c r="BX129" s="277" t="b">
        <f t="shared" ref="BX129:BX152" si="354">IF(AO$1&gt;=$BE129,FALSE,TRUE)</f>
        <v>0</v>
      </c>
      <c r="BY129" s="277" t="b">
        <f t="shared" si="336"/>
        <v>0</v>
      </c>
      <c r="BZ129" s="277" t="b">
        <f t="shared" si="337"/>
        <v>0</v>
      </c>
      <c r="CA129" s="277" t="b">
        <f t="shared" si="338"/>
        <v>0</v>
      </c>
      <c r="CB129" s="277" t="b">
        <f t="shared" si="339"/>
        <v>0</v>
      </c>
      <c r="CC129" s="277" t="b">
        <f t="shared" si="340"/>
        <v>0</v>
      </c>
      <c r="CD129" s="277" t="b">
        <f t="shared" si="341"/>
        <v>0</v>
      </c>
      <c r="CE129" s="277" t="b">
        <f t="shared" si="342"/>
        <v>0</v>
      </c>
      <c r="CF129" s="277" t="b">
        <f t="shared" si="343"/>
        <v>0</v>
      </c>
      <c r="CG129" s="277" t="b">
        <f t="shared" si="344"/>
        <v>0</v>
      </c>
      <c r="CH129" s="277" t="b">
        <f t="shared" si="345"/>
        <v>0</v>
      </c>
      <c r="CI129" s="277" t="b">
        <f t="shared" si="346"/>
        <v>0</v>
      </c>
      <c r="CJ129" s="277" t="b">
        <f t="shared" si="347"/>
        <v>0</v>
      </c>
      <c r="CK129" s="277" t="b">
        <f t="shared" si="348"/>
        <v>0</v>
      </c>
      <c r="CL129" s="277" t="b">
        <f t="shared" si="349"/>
        <v>0</v>
      </c>
      <c r="CM129" s="276">
        <f t="shared" ref="CM129:CM152" si="355">COUNTIF(BN129:CL129,TRUE)</f>
        <v>7</v>
      </c>
      <c r="CO129" s="454">
        <v>1.8</v>
      </c>
      <c r="CP129" s="454" t="e">
        <v>#N/A</v>
      </c>
      <c r="CQ129" s="454" t="e">
        <v>#N/A</v>
      </c>
      <c r="CR129" s="454" t="e">
        <v>#N/A</v>
      </c>
      <c r="CS129" s="454" t="e">
        <v>#N/A</v>
      </c>
      <c r="CT129" s="454">
        <v>-1.04</v>
      </c>
      <c r="CU129" s="454">
        <v>-2.2999999999999998</v>
      </c>
      <c r="CV129" s="454">
        <v>-4.08</v>
      </c>
      <c r="CW129" s="454">
        <v>-6.09</v>
      </c>
      <c r="CX129" s="454">
        <v>-8.34</v>
      </c>
      <c r="CY129" s="454">
        <v>-10.26</v>
      </c>
      <c r="CZ129" s="454">
        <v>-11.35</v>
      </c>
      <c r="DA129" s="454">
        <v>-11.72</v>
      </c>
      <c r="DB129" s="454">
        <v>-11.76</v>
      </c>
      <c r="DC129" s="454">
        <v>11.62</v>
      </c>
      <c r="DD129" s="454">
        <v>11.1</v>
      </c>
      <c r="DE129" s="454">
        <v>10.029999999999999</v>
      </c>
      <c r="DF129" s="454">
        <v>8.15</v>
      </c>
      <c r="DG129" s="454">
        <v>6.8</v>
      </c>
      <c r="DH129" s="454">
        <v>5.0999999999999996</v>
      </c>
      <c r="DI129" s="454">
        <v>3.52</v>
      </c>
      <c r="DJ129" s="454">
        <v>2.23</v>
      </c>
      <c r="DK129" s="454">
        <v>1.7</v>
      </c>
      <c r="DL129" s="454">
        <v>1.27</v>
      </c>
      <c r="DM129" s="454">
        <v>0.86</v>
      </c>
      <c r="DN129" s="454" t="e">
        <v>#N/A</v>
      </c>
      <c r="DP129" s="458">
        <f t="shared" si="272"/>
        <v>9.8774999999999977</v>
      </c>
      <c r="DQ129" s="458" t="str">
        <f t="shared" si="273"/>
        <v xml:space="preserve">9.878,0,1.95 </v>
      </c>
      <c r="DR129" s="458" t="str">
        <f t="shared" ref="DR129:EO129" si="356">IFERROR(CONCATENATE(ROUND($DP129,3),",",ROUND(ABS(DK101),3),",",ROUND(EM101,3)," "),"")</f>
        <v/>
      </c>
      <c r="DS129" s="458" t="str">
        <f t="shared" si="356"/>
        <v/>
      </c>
      <c r="DT129" s="458" t="str">
        <f t="shared" si="356"/>
        <v/>
      </c>
      <c r="DU129" s="458" t="str">
        <f t="shared" si="356"/>
        <v xml:space="preserve">9.878,0.4,2.7 </v>
      </c>
      <c r="DV129" s="458" t="str">
        <f t="shared" si="356"/>
        <v xml:space="preserve">9.878,0.7,3.6 </v>
      </c>
      <c r="DW129" s="458" t="str">
        <f t="shared" si="356"/>
        <v xml:space="preserve">9.878,1.2,5.4 </v>
      </c>
      <c r="DX129" s="458" t="str">
        <f t="shared" si="356"/>
        <v xml:space="preserve">9.878,2.4,7.2 </v>
      </c>
      <c r="DY129" s="458" t="str">
        <f t="shared" si="356"/>
        <v xml:space="preserve">9.878,8.55,9 </v>
      </c>
      <c r="DZ129" s="458" t="str">
        <f t="shared" si="356"/>
        <v xml:space="preserve">9.878,10.14,10.1 </v>
      </c>
      <c r="EA129" s="458" t="str">
        <f t="shared" si="356"/>
        <v xml:space="preserve">9.878,10.78,10.8 </v>
      </c>
      <c r="EB129" s="458" t="str">
        <f t="shared" si="356"/>
        <v xml:space="preserve">9.878,11.77,12.6 </v>
      </c>
      <c r="EC129" s="458" t="str">
        <f t="shared" si="356"/>
        <v xml:space="preserve">9.878,12.1,14.19 </v>
      </c>
      <c r="ED129" s="458" t="str">
        <f t="shared" si="356"/>
        <v/>
      </c>
      <c r="EE129" s="458" t="str">
        <f t="shared" si="356"/>
        <v/>
      </c>
      <c r="EF129" s="458" t="str">
        <f t="shared" si="356"/>
        <v/>
      </c>
      <c r="EG129" s="458" t="str">
        <f t="shared" si="356"/>
        <v/>
      </c>
      <c r="EH129" s="458" t="str">
        <f t="shared" si="356"/>
        <v/>
      </c>
      <c r="EI129" s="458" t="str">
        <f t="shared" si="356"/>
        <v/>
      </c>
      <c r="EJ129" s="458" t="str">
        <f t="shared" si="356"/>
        <v/>
      </c>
      <c r="EK129" s="458" t="str">
        <f t="shared" si="356"/>
        <v/>
      </c>
      <c r="EL129" s="458" t="str">
        <f t="shared" si="356"/>
        <v/>
      </c>
      <c r="EM129" s="458" t="str">
        <f t="shared" si="356"/>
        <v/>
      </c>
      <c r="EN129" s="458" t="str">
        <f t="shared" si="356"/>
        <v/>
      </c>
      <c r="EO129" s="458" t="str">
        <f t="shared" si="356"/>
        <v/>
      </c>
      <c r="EP129" s="458" t="str">
        <f t="shared" si="273"/>
        <v/>
      </c>
      <c r="ER129" s="457" t="str">
        <f t="shared" si="307"/>
        <v xml:space="preserve">9.878,0,1.95 9.878,0.4,2.7 9.878,0.7,3.6 9.878,1.2,5.4 9.878,2.4,7.2 9.878,8.55,9 9.878,10.14,10.1 9.878,10.78,10.8 9.878,11.77,12.6 9.878,12.1,14.19 </v>
      </c>
      <c r="ES129" s="186" t="str">
        <f t="shared" si="351"/>
        <v xml:space="preserve">Spline 9.8775,0,1.95 9.878,0,1.95 9.878,0.4,2.7 9.878,0.7,3.6 9.878,1.2,5.4 9.878,2.4,7.2 9.878,8.55,9 9.878,10.14,10.1 9.878,10.78,10.8 9.878,11.77,12.6 9.878,12.1,14.19  </v>
      </c>
      <c r="ET129" s="129" t="str">
        <f t="shared" si="308"/>
        <v xml:space="preserve">Spline 9.8775,0,1.95 9.878,0,1.95 9.878,0.4,2.7 9.878,0.7,3.6 9.878,1.2,5.4 9.878,2.4,7.2 9.878,8.55,9 9.878,10.14,10.1 9.878,10.78,10.8 9.878,11.77,12.6 9.878,12.1,14.19  </v>
      </c>
      <c r="EU129" s="129">
        <f ca="1">COUNTIF(BP_4,NA())</f>
        <v>3</v>
      </c>
      <c r="EV129" s="129">
        <f t="shared" si="274"/>
        <v>1.95</v>
      </c>
      <c r="EW129" s="129">
        <v>4</v>
      </c>
      <c r="EX129" s="129" t="str">
        <f t="shared" si="275"/>
        <v xml:space="preserve">9.8775,12.1,14.19 </v>
      </c>
      <c r="EY129" s="129" t="str">
        <f t="shared" si="276"/>
        <v xml:space="preserve">Spline 9.8775,0,1.95 9.878,12.1,14.19 9.878,11.77,12.6 9.878,10.78,10.8 9.878,10.14,10.1 9.878,8.55,9 9.878,2.4,7.2 9.878,1.2,5.4 9.878,0.7,3.6 9.878,0.4,2.7 9.878,0,1.95 </v>
      </c>
      <c r="EZ129" s="186" t="str">
        <f t="shared" si="309"/>
        <v xml:space="preserve">9.878,0,1.95 9.878,0.4,2.7 9.878,0.7,3.6 9.878,1.2,5.4 9.878,2.4,7.2 9.878,8.55,9 9.878,10.14,10.1 9.878,10.78,10.8 9.878,11.77,12.6 9.878,12.1,14.19  </v>
      </c>
      <c r="FB129" s="458">
        <f t="shared" si="277"/>
        <v>9.8774999999999977</v>
      </c>
      <c r="FC129" s="460" t="str">
        <f t="shared" si="310"/>
        <v>9.878,0,1.95</v>
      </c>
      <c r="FD129" s="458" t="str">
        <f t="shared" ref="FD129:GB129" si="357">IFERROR(CONCATENATE(ROUND($DP129,3),",",-ROUND(ABS(DK101),3),",",ROUND(EM101,3)," "),"")</f>
        <v/>
      </c>
      <c r="FE129" s="458" t="str">
        <f t="shared" si="357"/>
        <v/>
      </c>
      <c r="FF129" s="458" t="str">
        <f t="shared" si="357"/>
        <v/>
      </c>
      <c r="FG129" s="458" t="str">
        <f t="shared" si="357"/>
        <v xml:space="preserve">9.878,-0.4,2.7 </v>
      </c>
      <c r="FH129" s="458" t="str">
        <f t="shared" si="357"/>
        <v xml:space="preserve">9.878,-0.7,3.6 </v>
      </c>
      <c r="FI129" s="458" t="str">
        <f t="shared" si="357"/>
        <v xml:space="preserve">9.878,-1.2,5.4 </v>
      </c>
      <c r="FJ129" s="458" t="str">
        <f t="shared" si="357"/>
        <v xml:space="preserve">9.878,-2.4,7.2 </v>
      </c>
      <c r="FK129" s="458" t="str">
        <f t="shared" si="357"/>
        <v xml:space="preserve">9.878,-8.55,9 </v>
      </c>
      <c r="FL129" s="458" t="str">
        <f t="shared" si="357"/>
        <v xml:space="preserve">9.878,-10.14,10.1 </v>
      </c>
      <c r="FM129" s="458" t="str">
        <f t="shared" si="357"/>
        <v xml:space="preserve">9.878,-10.78,10.8 </v>
      </c>
      <c r="FN129" s="458" t="str">
        <f t="shared" si="357"/>
        <v xml:space="preserve">9.878,-11.77,12.6 </v>
      </c>
      <c r="FO129" s="458" t="str">
        <f t="shared" si="357"/>
        <v xml:space="preserve">9.878,-12.1,14.19 </v>
      </c>
      <c r="FP129" s="458" t="str">
        <f t="shared" si="357"/>
        <v/>
      </c>
      <c r="FQ129" s="458" t="str">
        <f t="shared" si="357"/>
        <v/>
      </c>
      <c r="FR129" s="458" t="str">
        <f t="shared" si="357"/>
        <v/>
      </c>
      <c r="FS129" s="458" t="str">
        <f t="shared" si="357"/>
        <v/>
      </c>
      <c r="FT129" s="458" t="str">
        <f t="shared" si="357"/>
        <v/>
      </c>
      <c r="FU129" s="458" t="str">
        <f t="shared" si="357"/>
        <v/>
      </c>
      <c r="FV129" s="458" t="str">
        <f t="shared" si="357"/>
        <v/>
      </c>
      <c r="FW129" s="458" t="str">
        <f t="shared" si="357"/>
        <v/>
      </c>
      <c r="FX129" s="458" t="str">
        <f t="shared" si="357"/>
        <v/>
      </c>
      <c r="FY129" s="458" t="str">
        <f t="shared" si="357"/>
        <v/>
      </c>
      <c r="FZ129" s="458" t="str">
        <f t="shared" si="357"/>
        <v/>
      </c>
      <c r="GA129" s="458" t="str">
        <f t="shared" si="357"/>
        <v/>
      </c>
      <c r="GB129" s="458" t="str">
        <f t="shared" si="357"/>
        <v/>
      </c>
      <c r="GC129" s="129" t="str">
        <f t="shared" si="312"/>
        <v xml:space="preserve">9.878,12.1,14.19 9.878,11.77,12.6 9.878,10.78,10.8 9.878,10.14,10.1 9.878,8.55,9 9.878,2.4,7.2 9.878,1.2,5.4 9.878,0.7,3.6 9.878,0.4,2.7 9.878,0,1.95 </v>
      </c>
      <c r="GD129" s="129" t="str">
        <f t="shared" si="279"/>
        <v>Spline 9.878,12.1,14.19 9.878,11.77,12.6 9.878,10.78,10.8 9.878,10.14,10.1 9.878,8.55,9 9.878,2.4,7.2 9.878,1.2,5.4 9.878,0.7,3.6 9.878,0.4,2.7 9.878,0,1.95 9.8775,0,1.95</v>
      </c>
      <c r="GE129" s="461" t="str">
        <f t="shared" si="313"/>
        <v xml:space="preserve">9.878,-0.4,2.7 9.878,-0.7,3.6 9.878,-1.2,5.4 9.878,-2.4,7.2 9.878,-8.55,9 9.878,-10.14,10.1 9.878,-10.78,10.8 9.878,-11.77,12.6 9.878,-12.1,14.19 </v>
      </c>
      <c r="GH129" s="129" t="str">
        <f t="shared" si="314"/>
        <v xml:space="preserve">Spline 9.878,12.1,14.19 9.878,11.77,12.6 9.878,10.78,10.8 9.878,10.14,10.1 9.878,8.55,9 9.878,2.4,7.2 9.878,1.2,5.4 9.878,0.7,3.6 9.878,0.4,2.7 9.878,0,1.95 </v>
      </c>
      <c r="GI129" s="129" t="str">
        <f t="shared" si="315"/>
        <v/>
      </c>
      <c r="GP129" s="129" t="str">
        <f t="shared" si="280"/>
        <v xml:space="preserve">9.878,0,1.95 </v>
      </c>
      <c r="GQ129" s="129" t="str">
        <f t="shared" si="316"/>
        <v>Curve 9.878,12.1,14.19 9.878,11.77,12.6 9.878,10.78,10.8 9.878,10.14,10.1 9.878,8.55,9 9.878,2.4,7.2 9.878,1.2,5.4 9.878,0.7,3.6 9.878,0.4,2.7 9.878,0,1.95 _enter</v>
      </c>
    </row>
    <row r="130" spans="1:199" x14ac:dyDescent="0.25">
      <c r="A130" s="374">
        <f t="shared" si="271"/>
        <v>1.5</v>
      </c>
      <c r="B130" s="377" t="str">
        <f t="shared" si="281"/>
        <v xml:space="preserve">0,-18.698 </v>
      </c>
      <c r="C130" s="377" t="str">
        <f t="shared" si="282"/>
        <v xml:space="preserve">3.293,-18.698 </v>
      </c>
      <c r="D130" s="377" t="str">
        <f t="shared" si="283"/>
        <v xml:space="preserve">6.585,-18.698 </v>
      </c>
      <c r="E130" s="377" t="str">
        <f t="shared" si="284"/>
        <v xml:space="preserve">9.878,-18.298 </v>
      </c>
      <c r="F130" s="377" t="str">
        <f t="shared" si="285"/>
        <v xml:space="preserve">13.17,-17.198 </v>
      </c>
      <c r="G130" s="377" t="str">
        <f t="shared" si="286"/>
        <v xml:space="preserve">19.755,-15.998 </v>
      </c>
      <c r="H130" s="377" t="str">
        <f t="shared" si="287"/>
        <v xml:space="preserve">26.34,-13.898 </v>
      </c>
      <c r="I130" s="377" t="str">
        <f t="shared" si="288"/>
        <v xml:space="preserve">32.925,-11.328 </v>
      </c>
      <c r="J130" s="377" t="str">
        <f t="shared" si="289"/>
        <v xml:space="preserve">39.51,-8.878 </v>
      </c>
      <c r="K130" s="377" t="str">
        <f t="shared" si="290"/>
        <v xml:space="preserve">46.095,-7.448 </v>
      </c>
      <c r="L130" s="377" t="str">
        <f t="shared" si="291"/>
        <v xml:space="preserve">52.68,-6.798 </v>
      </c>
      <c r="M130" s="377" t="str">
        <f t="shared" si="292"/>
        <v xml:space="preserve">59.265,-6.578 </v>
      </c>
      <c r="N130" s="377" t="str">
        <f t="shared" si="293"/>
        <v xml:space="preserve">65.85,-6.558 </v>
      </c>
      <c r="O130" s="377" t="str">
        <f t="shared" si="294"/>
        <v xml:space="preserve">72.435,-6.658 </v>
      </c>
      <c r="P130" s="377" t="str">
        <f t="shared" si="295"/>
        <v xml:space="preserve">79.02,-7.068 </v>
      </c>
      <c r="Q130" s="377" t="str">
        <f t="shared" si="296"/>
        <v xml:space="preserve">85.605,-8.018 </v>
      </c>
      <c r="R130" s="377" t="str">
        <f t="shared" si="297"/>
        <v xml:space="preserve">92.19,-9.448 </v>
      </c>
      <c r="S130" s="377" t="str">
        <f t="shared" si="298"/>
        <v xml:space="preserve">98.775,-11.158 </v>
      </c>
      <c r="T130" s="377" t="str">
        <f t="shared" si="299"/>
        <v xml:space="preserve">105.36,-12.958 </v>
      </c>
      <c r="U130" s="377" t="str">
        <f t="shared" si="300"/>
        <v xml:space="preserve">111.945,-14.638 </v>
      </c>
      <c r="V130" s="377" t="str">
        <f t="shared" si="301"/>
        <v xml:space="preserve">118.53,-16.008 </v>
      </c>
      <c r="W130" s="377" t="str">
        <f t="shared" si="302"/>
        <v xml:space="preserve">121.823,-16.558 </v>
      </c>
      <c r="X130" s="377" t="str">
        <f t="shared" si="303"/>
        <v xml:space="preserve">125.115,-17.018 </v>
      </c>
      <c r="Y130" s="377" t="str">
        <f t="shared" si="304"/>
        <v xml:space="preserve">128.408,-17.408 </v>
      </c>
      <c r="Z130" s="395" t="str">
        <f t="shared" si="305"/>
        <v xml:space="preserve">131.7,-17.938 </v>
      </c>
      <c r="AB130" s="245" t="str">
        <f t="shared" si="317"/>
        <v xml:space="preserve">Spline </v>
      </c>
      <c r="AC130" s="245" t="str">
        <f>Tools!B130</f>
        <v xml:space="preserve">0,-18.698 </v>
      </c>
      <c r="AD130" s="245" t="str">
        <f>Tools!C130</f>
        <v xml:space="preserve">3.293,-18.698 </v>
      </c>
      <c r="AE130" s="245" t="str">
        <f>Tools!D130</f>
        <v xml:space="preserve">6.585,-18.698 </v>
      </c>
      <c r="AF130" s="245" t="str">
        <f>Tools!E130</f>
        <v xml:space="preserve">9.878,-18.298 </v>
      </c>
      <c r="AG130" s="245" t="str">
        <f>Tools!F130</f>
        <v xml:space="preserve">13.17,-17.198 </v>
      </c>
      <c r="AH130" s="245" t="str">
        <f>Tools!G130</f>
        <v xml:space="preserve">19.755,-15.998 </v>
      </c>
      <c r="AI130" s="245" t="str">
        <f>Tools!H130</f>
        <v xml:space="preserve">26.34,-13.898 </v>
      </c>
      <c r="AJ130" s="245" t="str">
        <f>Tools!I130</f>
        <v xml:space="preserve">32.925,-11.328 </v>
      </c>
      <c r="AK130" s="245" t="str">
        <f>Tools!J130</f>
        <v xml:space="preserve">39.51,-8.878 </v>
      </c>
      <c r="AL130" s="245" t="str">
        <f>Tools!K130</f>
        <v xml:space="preserve">46.095,-7.448 </v>
      </c>
      <c r="AM130" s="245" t="str">
        <f>Tools!L130</f>
        <v xml:space="preserve">52.68,-6.798 </v>
      </c>
      <c r="AN130" s="245" t="str">
        <f>Tools!M130</f>
        <v xml:space="preserve">59.265,-6.578 </v>
      </c>
      <c r="AO130" s="245" t="str">
        <f>Tools!N130</f>
        <v xml:space="preserve">65.85,-6.558 </v>
      </c>
      <c r="AP130" s="245" t="str">
        <f>Tools!O130</f>
        <v xml:space="preserve">72.435,-6.658 </v>
      </c>
      <c r="AQ130" s="245" t="str">
        <f>Tools!P130</f>
        <v xml:space="preserve">79.02,-7.068 </v>
      </c>
      <c r="AR130" s="245" t="str">
        <f>Tools!Q130</f>
        <v xml:space="preserve">85.605,-8.018 </v>
      </c>
      <c r="AS130" s="245" t="str">
        <f>Tools!R130</f>
        <v xml:space="preserve">92.19,-9.448 </v>
      </c>
      <c r="AT130" s="245" t="str">
        <f>Tools!S130</f>
        <v xml:space="preserve">98.775,-11.158 </v>
      </c>
      <c r="AU130" s="245" t="str">
        <f>Tools!T130</f>
        <v xml:space="preserve">105.36,-12.958 </v>
      </c>
      <c r="AV130" s="245" t="str">
        <f>Tools!U130</f>
        <v xml:space="preserve">111.945,-14.638 </v>
      </c>
      <c r="AW130" s="245" t="str">
        <f>Tools!V130</f>
        <v xml:space="preserve">118.53,-16.008 </v>
      </c>
      <c r="AX130" s="245" t="str">
        <f>Tools!W130</f>
        <v xml:space="preserve">121.823,-16.558 </v>
      </c>
      <c r="AY130" s="245" t="str">
        <f>Tools!X130</f>
        <v xml:space="preserve">125.115,-17.018 </v>
      </c>
      <c r="AZ130" s="245" t="str">
        <f>Tools!Y130</f>
        <v xml:space="preserve">128.408,-17.408 </v>
      </c>
      <c r="BA130" s="396" t="str">
        <f>Tools!Z130</f>
        <v xml:space="preserve">131.7,-17.938 </v>
      </c>
      <c r="BC130" s="274">
        <f>'Rise, etc.'!O6</f>
        <v>1</v>
      </c>
      <c r="BD130" s="277">
        <f>IF(ISNUMBER(VLOOKUP(BC130,'Rise, etc.'!O$3:P$28,2,FALSE)),VLOOKUP(BC130,'Rise, etc.'!O$3:P$28,2,FALSE),"-")</f>
        <v>7.8</v>
      </c>
      <c r="BE130" s="277">
        <f t="shared" si="353"/>
        <v>4.333333333333333</v>
      </c>
      <c r="BF130" s="277">
        <f t="shared" si="319"/>
        <v>5</v>
      </c>
      <c r="BG130" s="277">
        <f t="shared" si="320"/>
        <v>5.6111111111111107</v>
      </c>
      <c r="BH130" s="277">
        <f t="shared" si="321"/>
        <v>6</v>
      </c>
      <c r="BI130" s="277">
        <f t="shared" si="322"/>
        <v>7</v>
      </c>
      <c r="BJ130" s="277">
        <f t="shared" si="323"/>
        <v>7.8833333333333329</v>
      </c>
      <c r="BK130" s="277" t="str">
        <f t="shared" si="324"/>
        <v xml:space="preserve">  </v>
      </c>
      <c r="BL130" s="277" t="str">
        <f t="shared" si="325"/>
        <v xml:space="preserve">  </v>
      </c>
      <c r="BM130" s="277"/>
      <c r="BN130" s="277" t="b">
        <f t="shared" si="326"/>
        <v>1</v>
      </c>
      <c r="BO130" s="277" t="b">
        <f t="shared" si="327"/>
        <v>1</v>
      </c>
      <c r="BP130" s="277" t="b">
        <f t="shared" si="328"/>
        <v>1</v>
      </c>
      <c r="BQ130" s="277" t="b">
        <f t="shared" si="329"/>
        <v>1</v>
      </c>
      <c r="BR130" s="277" t="b">
        <f t="shared" si="330"/>
        <v>1</v>
      </c>
      <c r="BS130" s="277" t="b">
        <f t="shared" si="331"/>
        <v>1</v>
      </c>
      <c r="BT130" s="277" t="b">
        <f t="shared" si="332"/>
        <v>1</v>
      </c>
      <c r="BU130" s="277" t="b">
        <f t="shared" si="333"/>
        <v>0</v>
      </c>
      <c r="BV130" s="277" t="b">
        <f t="shared" si="334"/>
        <v>0</v>
      </c>
      <c r="BW130" s="277" t="b">
        <f t="shared" si="335"/>
        <v>0</v>
      </c>
      <c r="BX130" s="277" t="b">
        <f t="shared" si="354"/>
        <v>0</v>
      </c>
      <c r="BY130" s="277" t="b">
        <f t="shared" si="336"/>
        <v>0</v>
      </c>
      <c r="BZ130" s="277" t="b">
        <f t="shared" si="337"/>
        <v>0</v>
      </c>
      <c r="CA130" s="277" t="b">
        <f t="shared" si="338"/>
        <v>0</v>
      </c>
      <c r="CB130" s="277" t="b">
        <f t="shared" si="339"/>
        <v>0</v>
      </c>
      <c r="CC130" s="277" t="b">
        <f t="shared" si="340"/>
        <v>0</v>
      </c>
      <c r="CD130" s="277" t="b">
        <f t="shared" si="341"/>
        <v>0</v>
      </c>
      <c r="CE130" s="277" t="b">
        <f t="shared" si="342"/>
        <v>0</v>
      </c>
      <c r="CF130" s="277" t="b">
        <f t="shared" si="343"/>
        <v>0</v>
      </c>
      <c r="CG130" s="277" t="b">
        <f t="shared" si="344"/>
        <v>0</v>
      </c>
      <c r="CH130" s="277" t="b">
        <f t="shared" si="345"/>
        <v>0</v>
      </c>
      <c r="CI130" s="277" t="b">
        <f t="shared" si="346"/>
        <v>0</v>
      </c>
      <c r="CJ130" s="277" t="b">
        <f t="shared" si="347"/>
        <v>0</v>
      </c>
      <c r="CK130" s="277" t="b">
        <f t="shared" si="348"/>
        <v>0</v>
      </c>
      <c r="CL130" s="277" t="b">
        <f t="shared" si="349"/>
        <v>0</v>
      </c>
      <c r="CM130" s="276">
        <f t="shared" si="355"/>
        <v>7</v>
      </c>
      <c r="CO130" s="454">
        <v>2.7</v>
      </c>
      <c r="CP130" s="454" t="e">
        <v>#N/A</v>
      </c>
      <c r="CQ130" s="454" t="e">
        <v>#N/A</v>
      </c>
      <c r="CR130" s="454" t="e">
        <v>#N/A</v>
      </c>
      <c r="CS130" s="454">
        <v>-0.4</v>
      </c>
      <c r="CT130" s="454">
        <v>-1.5</v>
      </c>
      <c r="CU130" s="454">
        <v>-2.7</v>
      </c>
      <c r="CV130" s="454">
        <v>-4.8</v>
      </c>
      <c r="CW130" s="454">
        <v>-7.37</v>
      </c>
      <c r="CX130" s="454">
        <v>-9.82</v>
      </c>
      <c r="CY130" s="454">
        <v>-11.25</v>
      </c>
      <c r="CZ130" s="454">
        <v>-11.9</v>
      </c>
      <c r="DA130" s="454">
        <v>-12.12</v>
      </c>
      <c r="DB130" s="454">
        <v>-12.14</v>
      </c>
      <c r="DC130" s="454">
        <v>12.04</v>
      </c>
      <c r="DD130" s="454">
        <v>11.63</v>
      </c>
      <c r="DE130" s="454">
        <v>10.68</v>
      </c>
      <c r="DF130" s="454">
        <v>9.25</v>
      </c>
      <c r="DG130" s="454">
        <v>7.54</v>
      </c>
      <c r="DH130" s="454">
        <v>5.74</v>
      </c>
      <c r="DI130" s="454">
        <v>4.0599999999999996</v>
      </c>
      <c r="DJ130" s="454">
        <v>2.69</v>
      </c>
      <c r="DK130" s="454">
        <v>2.14</v>
      </c>
      <c r="DL130" s="454">
        <v>1.68</v>
      </c>
      <c r="DM130" s="454">
        <v>1.29</v>
      </c>
      <c r="DN130" s="454">
        <v>0.76</v>
      </c>
      <c r="DP130" s="458">
        <f t="shared" si="272"/>
        <v>13.169999999999998</v>
      </c>
      <c r="DQ130" s="458" t="str">
        <f t="shared" si="273"/>
        <v xml:space="preserve">13.17,0,0.57 </v>
      </c>
      <c r="DR130" s="458" t="str">
        <f t="shared" ref="DR130:EO130" si="358">IFERROR(CONCATENATE(ROUND($DP130,3),",",ROUND(ABS(DK102),3),",",ROUND(EM102,3)," "),"")</f>
        <v/>
      </c>
      <c r="DS130" s="458" t="str">
        <f t="shared" si="358"/>
        <v xml:space="preserve">13.17,0.4,0.9 </v>
      </c>
      <c r="DT130" s="458" t="str">
        <f t="shared" si="358"/>
        <v xml:space="preserve">13.17,1.04,1.8 </v>
      </c>
      <c r="DU130" s="458" t="str">
        <f t="shared" si="358"/>
        <v xml:space="preserve">13.17,1.5,2.7 </v>
      </c>
      <c r="DV130" s="458" t="str">
        <f t="shared" si="358"/>
        <v xml:space="preserve">13.17,1.7,3.6 </v>
      </c>
      <c r="DW130" s="458" t="str">
        <f t="shared" si="358"/>
        <v xml:space="preserve">13.17,2.7,5.4 </v>
      </c>
      <c r="DX130" s="458" t="str">
        <f t="shared" si="358"/>
        <v xml:space="preserve">13.17,5.5,7.2 </v>
      </c>
      <c r="DY130" s="458" t="str">
        <f t="shared" si="358"/>
        <v xml:space="preserve">13.17,9.9,9 </v>
      </c>
      <c r="DZ130" s="458" t="str">
        <f t="shared" si="358"/>
        <v xml:space="preserve">13.17,10.9,10.1 </v>
      </c>
      <c r="EA130" s="458" t="str">
        <f t="shared" si="358"/>
        <v xml:space="preserve">13.17,11.34,10.8 </v>
      </c>
      <c r="EB130" s="458" t="str">
        <f t="shared" si="358"/>
        <v xml:space="preserve">13.17,12,12.6 </v>
      </c>
      <c r="EC130" s="458" t="str">
        <f t="shared" si="358"/>
        <v xml:space="preserve">13.17,12.2,14.19 </v>
      </c>
      <c r="ED130" s="458" t="str">
        <f t="shared" si="358"/>
        <v/>
      </c>
      <c r="EE130" s="458" t="str">
        <f t="shared" si="358"/>
        <v/>
      </c>
      <c r="EF130" s="458" t="str">
        <f t="shared" si="358"/>
        <v/>
      </c>
      <c r="EG130" s="458" t="str">
        <f t="shared" si="358"/>
        <v/>
      </c>
      <c r="EH130" s="458" t="str">
        <f t="shared" si="358"/>
        <v/>
      </c>
      <c r="EI130" s="458" t="str">
        <f t="shared" si="358"/>
        <v/>
      </c>
      <c r="EJ130" s="458" t="str">
        <f t="shared" si="358"/>
        <v/>
      </c>
      <c r="EK130" s="458" t="str">
        <f t="shared" si="358"/>
        <v/>
      </c>
      <c r="EL130" s="458" t="str">
        <f t="shared" si="358"/>
        <v/>
      </c>
      <c r="EM130" s="458" t="str">
        <f t="shared" si="358"/>
        <v/>
      </c>
      <c r="EN130" s="458" t="str">
        <f t="shared" si="358"/>
        <v/>
      </c>
      <c r="EO130" s="458" t="str">
        <f t="shared" si="358"/>
        <v/>
      </c>
      <c r="EP130" s="458" t="str">
        <f t="shared" si="273"/>
        <v/>
      </c>
      <c r="ER130" s="457" t="str">
        <f t="shared" si="307"/>
        <v xml:space="preserve">13.17,0,0.57 13.17,0.4,0.9 13.17,1.04,1.8 13.17,1.5,2.7 13.17,1.7,3.6 13.17,2.7,5.4 13.17,5.5,7.2 13.17,9.9,9 13.17,10.9,10.1 13.17,11.34,10.8 13.17,12,12.6 13.17,12.2,14.19 </v>
      </c>
      <c r="ES130" s="186" t="str">
        <f t="shared" si="351"/>
        <v xml:space="preserve">Spline 13.17,0,0.57 13.17,0,0.57 13.17,0.4,0.9 13.17,1.04,1.8 13.17,1.5,2.7 13.17,1.7,3.6 13.17,2.7,5.4 13.17,5.5,7.2 13.17,9.9,9 13.17,10.9,10.1 13.17,11.34,10.8 13.17,12,12.6 13.17,12.2,14.19  </v>
      </c>
      <c r="ET130" s="129" t="str">
        <f t="shared" si="308"/>
        <v xml:space="preserve">Spline 13.17,0,0.57 13.17,0,0.57 13.17,0.4,0.9 13.17,1.04,1.8 13.17,1.5,2.7 13.17,1.7,3.6 13.17,2.7,5.4 13.17,5.5,7.2 13.17,9.9,9 13.17,10.9,10.1 13.17,11.34,10.8 13.17,12,12.6 13.17,12.2,14.19  </v>
      </c>
      <c r="EU130" s="129">
        <f ca="1">COUNTIF(BP_5,NA())</f>
        <v>1</v>
      </c>
      <c r="EV130" s="129">
        <f t="shared" si="274"/>
        <v>0.56999999999999995</v>
      </c>
      <c r="EW130" s="129">
        <v>5</v>
      </c>
      <c r="EX130" s="129" t="str">
        <f t="shared" si="275"/>
        <v xml:space="preserve">13.17,12.2,14.19 </v>
      </c>
      <c r="EY130" s="129" t="str">
        <f t="shared" si="276"/>
        <v xml:space="preserve">Spline 13.17,0,0.57 13.17,12.2,14.19 13.17,12,12.6 13.17,11.34,10.8 13.17,10.9,10.1 13.17,9.9,9 13.17,5.5,7.2 13.17,2.7,5.4 13.17,1.7,3.6 13.17,1.5,2.7 13.17,1.04,1.8 13.17,0.4,0.9 13.17,0,0.57 </v>
      </c>
      <c r="EZ130" s="186" t="str">
        <f t="shared" si="309"/>
        <v xml:space="preserve">13.17,0,0.57 13.17,0.4,0.9 13.17,1.04,1.8 13.17,1.5,2.7 13.17,1.7,3.6 13.17,2.7,5.4 13.17,5.5,7.2 13.17,9.9,9 13.17,10.9,10.1 13.17,11.34,10.8 13.17,12,12.6 13.17,12.2,14.19  </v>
      </c>
      <c r="FB130" s="458">
        <f t="shared" si="277"/>
        <v>13.169999999999998</v>
      </c>
      <c r="FC130" s="460" t="str">
        <f t="shared" si="310"/>
        <v>13.17,0,0.57</v>
      </c>
      <c r="FD130" s="458" t="str">
        <f t="shared" ref="FD130:GB130" si="359">IFERROR(CONCATENATE(ROUND($DP130,3),",",-ROUND(ABS(DK102),3),",",ROUND(EM102,3)," "),"")</f>
        <v/>
      </c>
      <c r="FE130" s="458" t="str">
        <f t="shared" si="359"/>
        <v xml:space="preserve">13.17,-0.4,0.9 </v>
      </c>
      <c r="FF130" s="458" t="str">
        <f t="shared" si="359"/>
        <v xml:space="preserve">13.17,-1.04,1.8 </v>
      </c>
      <c r="FG130" s="458" t="str">
        <f t="shared" si="359"/>
        <v xml:space="preserve">13.17,-1.5,2.7 </v>
      </c>
      <c r="FH130" s="458" t="str">
        <f t="shared" si="359"/>
        <v xml:space="preserve">13.17,-1.7,3.6 </v>
      </c>
      <c r="FI130" s="458" t="str">
        <f t="shared" si="359"/>
        <v xml:space="preserve">13.17,-2.7,5.4 </v>
      </c>
      <c r="FJ130" s="458" t="str">
        <f t="shared" si="359"/>
        <v xml:space="preserve">13.17,-5.5,7.2 </v>
      </c>
      <c r="FK130" s="458" t="str">
        <f t="shared" si="359"/>
        <v xml:space="preserve">13.17,-9.9,9 </v>
      </c>
      <c r="FL130" s="458" t="str">
        <f t="shared" si="359"/>
        <v xml:space="preserve">13.17,-10.9,10.1 </v>
      </c>
      <c r="FM130" s="458" t="str">
        <f t="shared" si="359"/>
        <v xml:space="preserve">13.17,-11.34,10.8 </v>
      </c>
      <c r="FN130" s="458" t="str">
        <f t="shared" si="359"/>
        <v xml:space="preserve">13.17,-12,12.6 </v>
      </c>
      <c r="FO130" s="458" t="str">
        <f t="shared" si="359"/>
        <v xml:space="preserve">13.17,-12.2,14.19 </v>
      </c>
      <c r="FP130" s="458" t="str">
        <f t="shared" si="359"/>
        <v/>
      </c>
      <c r="FQ130" s="458" t="str">
        <f t="shared" si="359"/>
        <v/>
      </c>
      <c r="FR130" s="458" t="str">
        <f t="shared" si="359"/>
        <v/>
      </c>
      <c r="FS130" s="458" t="str">
        <f t="shared" si="359"/>
        <v/>
      </c>
      <c r="FT130" s="458" t="str">
        <f t="shared" si="359"/>
        <v/>
      </c>
      <c r="FU130" s="458" t="str">
        <f t="shared" si="359"/>
        <v/>
      </c>
      <c r="FV130" s="458" t="str">
        <f t="shared" si="359"/>
        <v/>
      </c>
      <c r="FW130" s="458" t="str">
        <f t="shared" si="359"/>
        <v/>
      </c>
      <c r="FX130" s="458" t="str">
        <f t="shared" si="359"/>
        <v/>
      </c>
      <c r="FY130" s="458" t="str">
        <f t="shared" si="359"/>
        <v/>
      </c>
      <c r="FZ130" s="458" t="str">
        <f t="shared" si="359"/>
        <v/>
      </c>
      <c r="GA130" s="458" t="str">
        <f t="shared" si="359"/>
        <v/>
      </c>
      <c r="GB130" s="458" t="str">
        <f t="shared" si="359"/>
        <v/>
      </c>
      <c r="GC130" s="129" t="str">
        <f t="shared" si="312"/>
        <v xml:space="preserve">13.17,12.2,14.19 13.17,12,12.6 13.17,11.34,10.8 13.17,10.9,10.1 13.17,9.9,9 13.17,5.5,7.2 13.17,2.7,5.4 13.17,1.7,3.6 13.17,1.5,2.7 13.17,1.04,1.8 13.17,0.4,0.9 13.17,0,0.57 </v>
      </c>
      <c r="GD130" s="129" t="str">
        <f t="shared" si="279"/>
        <v>Spline 13.17,12.2,14.19 13.17,12,12.6 13.17,11.34,10.8 13.17,10.9,10.1 13.17,9.9,9 13.17,5.5,7.2 13.17,2.7,5.4 13.17,1.7,3.6 13.17,1.5,2.7 13.17,1.04,1.8 13.17,0.4,0.9 13.17,0,0.57 13.17,0,0.57</v>
      </c>
      <c r="GE130" s="461" t="str">
        <f t="shared" si="313"/>
        <v xml:space="preserve">13.17,-0.4,0.9 13.17,-1.04,1.8 13.17,-1.5,2.7 13.17,-1.7,3.6 13.17,-2.7,5.4 13.17,-5.5,7.2 13.17,-9.9,9 13.17,-10.9,10.1 13.17,-11.34,10.8 13.17,-12,12.6 13.17,-12.2,14.19 </v>
      </c>
      <c r="GH130" s="129" t="str">
        <f t="shared" si="314"/>
        <v xml:space="preserve">Spline 13.17,12.2,14.19 13.17,12,12.6 13.17,11.34,10.8 13.17,10.9,10.1 13.17,9.9,9 13.17,5.5,7.2 13.17,2.7,5.4 13.17,1.7,3.6 13.17,1.5,2.7 13.17,1.04,1.8 13.17,0.4,0.9 13.17,0,0.57 </v>
      </c>
      <c r="GI130" s="129" t="str">
        <f t="shared" si="315"/>
        <v/>
      </c>
      <c r="GP130" s="129" t="str">
        <f t="shared" si="280"/>
        <v xml:space="preserve">13.17,0,0.57 </v>
      </c>
      <c r="GQ130" s="129" t="str">
        <f t="shared" si="316"/>
        <v>Curve 13.17,12.2,14.19 13.17,12,12.6 13.17,11.34,10.8 13.17,10.9,10.1 13.17,9.9,9 13.17,5.5,7.2 13.17,2.7,5.4 13.17,1.7,3.6 13.17,1.5,2.7 13.17,1.04,1.8 13.17,0.4,0.9 13.17,0,0.57 _enter</v>
      </c>
    </row>
    <row r="131" spans="1:199" x14ac:dyDescent="0.25">
      <c r="A131" s="374">
        <f t="shared" si="271"/>
        <v>2</v>
      </c>
      <c r="B131" s="377" t="str">
        <f t="shared" si="281"/>
        <v xml:space="preserve">0,-18.698 </v>
      </c>
      <c r="C131" s="377" t="str">
        <f t="shared" si="282"/>
        <v xml:space="preserve">3.293,-18.698 </v>
      </c>
      <c r="D131" s="377" t="str">
        <f t="shared" si="283"/>
        <v xml:space="preserve">6.585,-18.698 </v>
      </c>
      <c r="E131" s="377" t="str">
        <f t="shared" si="284"/>
        <v xml:space="preserve">9.878,-17.998 </v>
      </c>
      <c r="F131" s="377" t="str">
        <f t="shared" si="285"/>
        <v xml:space="preserve">13.17,-16.998 </v>
      </c>
      <c r="G131" s="377" t="str">
        <f t="shared" si="286"/>
        <v xml:space="preserve">19.755,-15.598 </v>
      </c>
      <c r="H131" s="377" t="str">
        <f t="shared" si="287"/>
        <v xml:space="preserve">26.34,-12.898 </v>
      </c>
      <c r="I131" s="377" t="str">
        <f t="shared" si="288"/>
        <v xml:space="preserve">32.925,-9.668 </v>
      </c>
      <c r="J131" s="377" t="str">
        <f t="shared" si="289"/>
        <v xml:space="preserve">39.51,-7.778 </v>
      </c>
      <c r="K131" s="377" t="str">
        <f t="shared" si="290"/>
        <v xml:space="preserve">46.095,-6.838 </v>
      </c>
      <c r="L131" s="377" t="str">
        <f t="shared" si="291"/>
        <v xml:space="preserve">52.68,-6.518 </v>
      </c>
      <c r="M131" s="377" t="str">
        <f t="shared" si="292"/>
        <v xml:space="preserve">59.265,-6.448 </v>
      </c>
      <c r="N131" s="377" t="str">
        <f t="shared" si="293"/>
        <v xml:space="preserve">65.85,-6.448 </v>
      </c>
      <c r="O131" s="377" t="str">
        <f t="shared" si="294"/>
        <v xml:space="preserve">72.435,-6.488 </v>
      </c>
      <c r="P131" s="377" t="str">
        <f t="shared" si="295"/>
        <v xml:space="preserve">79.02,-6.778 </v>
      </c>
      <c r="Q131" s="377" t="str">
        <f t="shared" si="296"/>
        <v xml:space="preserve">85.605,-7.598 </v>
      </c>
      <c r="R131" s="377" t="str">
        <f t="shared" si="297"/>
        <v xml:space="preserve">92.19,-8.948 </v>
      </c>
      <c r="S131" s="377" t="str">
        <f t="shared" si="298"/>
        <v xml:space="preserve">98.775,-10.618 </v>
      </c>
      <c r="T131" s="377" t="str">
        <f t="shared" si="299"/>
        <v xml:space="preserve">105.36,-12.468 </v>
      </c>
      <c r="U131" s="377" t="str">
        <f t="shared" si="300"/>
        <v xml:space="preserve">111.945,-14.268 </v>
      </c>
      <c r="V131" s="377" t="str">
        <f t="shared" si="301"/>
        <v xml:space="preserve">118.53,-15.728 </v>
      </c>
      <c r="W131" s="377" t="str">
        <f t="shared" si="302"/>
        <v xml:space="preserve">121.823,-16.298 </v>
      </c>
      <c r="X131" s="377" t="str">
        <f t="shared" si="303"/>
        <v xml:space="preserve">125.115,-16.738 </v>
      </c>
      <c r="Y131" s="377" t="str">
        <f t="shared" si="304"/>
        <v xml:space="preserve">128.408,-17.098 </v>
      </c>
      <c r="Z131" s="395" t="str">
        <f t="shared" si="305"/>
        <v xml:space="preserve">131.7,-17.548 </v>
      </c>
      <c r="AB131" s="245" t="str">
        <f t="shared" si="317"/>
        <v xml:space="preserve">Spline </v>
      </c>
      <c r="AC131" s="245" t="str">
        <f>Tools!B131</f>
        <v xml:space="preserve">0,-18.698 </v>
      </c>
      <c r="AD131" s="245" t="str">
        <f>Tools!C131</f>
        <v xml:space="preserve">3.293,-18.698 </v>
      </c>
      <c r="AE131" s="245" t="str">
        <f>Tools!D131</f>
        <v xml:space="preserve">6.585,-18.698 </v>
      </c>
      <c r="AF131" s="245" t="str">
        <f>Tools!E131</f>
        <v xml:space="preserve">9.878,-17.998 </v>
      </c>
      <c r="AG131" s="245" t="str">
        <f>Tools!F131</f>
        <v xml:space="preserve">13.17,-16.998 </v>
      </c>
      <c r="AH131" s="245" t="str">
        <f>Tools!G131</f>
        <v xml:space="preserve">19.755,-15.598 </v>
      </c>
      <c r="AI131" s="245" t="str">
        <f>Tools!H131</f>
        <v xml:space="preserve">26.34,-12.898 </v>
      </c>
      <c r="AJ131" s="245" t="str">
        <f>Tools!I131</f>
        <v xml:space="preserve">32.925,-9.668 </v>
      </c>
      <c r="AK131" s="245" t="str">
        <f>Tools!J131</f>
        <v xml:space="preserve">39.51,-7.778 </v>
      </c>
      <c r="AL131" s="245" t="str">
        <f>Tools!K131</f>
        <v xml:space="preserve">46.095,-6.838 </v>
      </c>
      <c r="AM131" s="245" t="str">
        <f>Tools!L131</f>
        <v xml:space="preserve">52.68,-6.518 </v>
      </c>
      <c r="AN131" s="245" t="str">
        <f>Tools!M131</f>
        <v xml:space="preserve">59.265,-6.448 </v>
      </c>
      <c r="AO131" s="245" t="str">
        <f>Tools!N131</f>
        <v xml:space="preserve">65.85,-6.448 </v>
      </c>
      <c r="AP131" s="245" t="str">
        <f>Tools!O131</f>
        <v xml:space="preserve">72.435,-6.488 </v>
      </c>
      <c r="AQ131" s="245" t="str">
        <f>Tools!P131</f>
        <v xml:space="preserve">79.02,-6.778 </v>
      </c>
      <c r="AR131" s="245" t="str">
        <f>Tools!Q131</f>
        <v xml:space="preserve">85.605,-7.598 </v>
      </c>
      <c r="AS131" s="245" t="str">
        <f>Tools!R131</f>
        <v xml:space="preserve">92.19,-8.948 </v>
      </c>
      <c r="AT131" s="245" t="str">
        <f>Tools!S131</f>
        <v xml:space="preserve">98.775,-10.618 </v>
      </c>
      <c r="AU131" s="245" t="str">
        <f>Tools!T131</f>
        <v xml:space="preserve">105.36,-12.468 </v>
      </c>
      <c r="AV131" s="245" t="str">
        <f>Tools!U131</f>
        <v xml:space="preserve">111.945,-14.268 </v>
      </c>
      <c r="AW131" s="245" t="str">
        <f>Tools!V131</f>
        <v xml:space="preserve">118.53,-15.728 </v>
      </c>
      <c r="AX131" s="245" t="str">
        <f>Tools!W131</f>
        <v xml:space="preserve">121.823,-16.298 </v>
      </c>
      <c r="AY131" s="245" t="str">
        <f>Tools!X131</f>
        <v xml:space="preserve">125.115,-16.738 </v>
      </c>
      <c r="AZ131" s="245" t="str">
        <f>Tools!Y131</f>
        <v xml:space="preserve">128.408,-17.098 </v>
      </c>
      <c r="BA131" s="396" t="str">
        <f>Tools!Z131</f>
        <v xml:space="preserve">131.7,-17.548 </v>
      </c>
      <c r="BC131" s="274">
        <f>'Rise, etc.'!O7</f>
        <v>1.5</v>
      </c>
      <c r="BD131" s="277">
        <f>IF(ISNUMBER(VLOOKUP(BC131,'Rise, etc.'!O$3:P$28,2,FALSE)),VLOOKUP(BC131,'Rise, etc.'!O$3:P$28,2,FALSE),"-")</f>
        <v>1.95</v>
      </c>
      <c r="BE131" s="277">
        <f t="shared" si="353"/>
        <v>1.0833333333333333</v>
      </c>
      <c r="BF131" s="277">
        <f t="shared" si="319"/>
        <v>1.5</v>
      </c>
      <c r="BG131" s="277">
        <f t="shared" si="320"/>
        <v>2</v>
      </c>
      <c r="BH131" s="277">
        <f t="shared" si="321"/>
        <v>3</v>
      </c>
      <c r="BI131" s="277">
        <f t="shared" si="322"/>
        <v>4</v>
      </c>
      <c r="BJ131" s="277">
        <f t="shared" si="323"/>
        <v>5</v>
      </c>
      <c r="BK131" s="277">
        <f t="shared" si="324"/>
        <v>5.6111111111111107</v>
      </c>
      <c r="BL131" s="277">
        <f t="shared" si="325"/>
        <v>6</v>
      </c>
      <c r="BM131" s="277"/>
      <c r="BN131" s="277" t="b">
        <f t="shared" si="326"/>
        <v>1</v>
      </c>
      <c r="BO131" s="277" t="b">
        <f t="shared" si="327"/>
        <v>1</v>
      </c>
      <c r="BP131" s="277" t="b">
        <f t="shared" si="328"/>
        <v>1</v>
      </c>
      <c r="BQ131" s="277" t="b">
        <f t="shared" si="329"/>
        <v>0</v>
      </c>
      <c r="BR131" s="277" t="b">
        <f t="shared" si="330"/>
        <v>0</v>
      </c>
      <c r="BS131" s="277" t="b">
        <f t="shared" si="331"/>
        <v>0</v>
      </c>
      <c r="BT131" s="277" t="b">
        <f t="shared" si="332"/>
        <v>0</v>
      </c>
      <c r="BU131" s="277" t="b">
        <f t="shared" si="333"/>
        <v>0</v>
      </c>
      <c r="BV131" s="277" t="b">
        <f t="shared" si="334"/>
        <v>0</v>
      </c>
      <c r="BW131" s="277" t="b">
        <f t="shared" si="335"/>
        <v>0</v>
      </c>
      <c r="BX131" s="277" t="b">
        <f t="shared" si="354"/>
        <v>0</v>
      </c>
      <c r="BY131" s="277" t="b">
        <f t="shared" si="336"/>
        <v>0</v>
      </c>
      <c r="BZ131" s="277" t="b">
        <f t="shared" si="337"/>
        <v>0</v>
      </c>
      <c r="CA131" s="277" t="b">
        <f t="shared" si="338"/>
        <v>0</v>
      </c>
      <c r="CB131" s="277" t="b">
        <f t="shared" si="339"/>
        <v>0</v>
      </c>
      <c r="CC131" s="277" t="b">
        <f t="shared" si="340"/>
        <v>0</v>
      </c>
      <c r="CD131" s="277" t="b">
        <f t="shared" si="341"/>
        <v>0</v>
      </c>
      <c r="CE131" s="277" t="b">
        <f t="shared" si="342"/>
        <v>0</v>
      </c>
      <c r="CF131" s="277" t="b">
        <f t="shared" si="343"/>
        <v>0</v>
      </c>
      <c r="CG131" s="277" t="b">
        <f t="shared" si="344"/>
        <v>0</v>
      </c>
      <c r="CH131" s="277" t="b">
        <f t="shared" si="345"/>
        <v>0</v>
      </c>
      <c r="CI131" s="277" t="b">
        <f t="shared" si="346"/>
        <v>0</v>
      </c>
      <c r="CJ131" s="277" t="b">
        <f t="shared" si="347"/>
        <v>0</v>
      </c>
      <c r="CK131" s="277" t="b">
        <f t="shared" si="348"/>
        <v>0</v>
      </c>
      <c r="CL131" s="277" t="b">
        <f t="shared" si="349"/>
        <v>0</v>
      </c>
      <c r="CM131" s="276">
        <f t="shared" si="355"/>
        <v>3</v>
      </c>
      <c r="CO131" s="454">
        <v>3.6</v>
      </c>
      <c r="CP131" s="454" t="e">
        <v>#N/A</v>
      </c>
      <c r="CQ131" s="454" t="e">
        <v>#N/A</v>
      </c>
      <c r="CR131" s="454" t="e">
        <v>#N/A</v>
      </c>
      <c r="CS131" s="454">
        <v>-0.7</v>
      </c>
      <c r="CT131" s="454">
        <v>-1.7</v>
      </c>
      <c r="CU131" s="454">
        <v>-3.1</v>
      </c>
      <c r="CV131" s="454">
        <v>-5.8</v>
      </c>
      <c r="CW131" s="454">
        <v>-9.0299999999999994</v>
      </c>
      <c r="CX131" s="454">
        <v>-10.92</v>
      </c>
      <c r="CY131" s="454">
        <v>-11.86</v>
      </c>
      <c r="CZ131" s="454">
        <v>-12.18</v>
      </c>
      <c r="DA131" s="454">
        <v>-12.25</v>
      </c>
      <c r="DB131" s="454">
        <v>-12.25</v>
      </c>
      <c r="DC131" s="454">
        <v>12.21</v>
      </c>
      <c r="DD131" s="454">
        <v>11.92</v>
      </c>
      <c r="DE131" s="454">
        <v>11.1</v>
      </c>
      <c r="DF131" s="454">
        <v>9.75</v>
      </c>
      <c r="DG131" s="454">
        <v>8.08</v>
      </c>
      <c r="DH131" s="454">
        <v>6.23</v>
      </c>
      <c r="DI131" s="454">
        <v>4.43</v>
      </c>
      <c r="DJ131" s="454">
        <v>2.97</v>
      </c>
      <c r="DK131" s="454">
        <v>2.4</v>
      </c>
      <c r="DL131" s="454">
        <v>1.96</v>
      </c>
      <c r="DM131" s="454">
        <v>1.6</v>
      </c>
      <c r="DN131" s="454">
        <v>1.1499999999999999</v>
      </c>
      <c r="DO131" s="397"/>
      <c r="DP131" s="458">
        <f t="shared" si="272"/>
        <v>19.754999999999995</v>
      </c>
      <c r="DQ131" s="458" t="str">
        <f t="shared" si="273"/>
        <v/>
      </c>
      <c r="DR131" s="458" t="str">
        <f t="shared" ref="DR131:EO131" si="360">IFERROR(CONCATENATE(ROUND($DP131,3),",",ROUND(ABS(DK103),3),",",ROUND(EM103,3)," "),"")</f>
        <v xml:space="preserve">19.755,0.3,0 </v>
      </c>
      <c r="DS131" s="458" t="str">
        <f t="shared" si="360"/>
        <v xml:space="preserve">19.755,1.67,0.9 </v>
      </c>
      <c r="DT131" s="458" t="str">
        <f t="shared" si="360"/>
        <v xml:space="preserve">19.755,2.3,1.8 </v>
      </c>
      <c r="DU131" s="458" t="str">
        <f t="shared" si="360"/>
        <v xml:space="preserve">19.755,2.7,2.7 </v>
      </c>
      <c r="DV131" s="458" t="str">
        <f t="shared" si="360"/>
        <v xml:space="preserve">19.755,3.1,3.6 </v>
      </c>
      <c r="DW131" s="458" t="str">
        <f t="shared" si="360"/>
        <v xml:space="preserve">19.755,5.7,5.4 </v>
      </c>
      <c r="DX131" s="458" t="str">
        <f t="shared" si="360"/>
        <v xml:space="preserve">19.755,9.7,7.2 </v>
      </c>
      <c r="DY131" s="458" t="str">
        <f t="shared" si="360"/>
        <v xml:space="preserve">19.755,11.23,9 </v>
      </c>
      <c r="DZ131" s="458" t="str">
        <f t="shared" si="360"/>
        <v xml:space="preserve">19.755,11.7,10.1 </v>
      </c>
      <c r="EA131" s="458" t="str">
        <f t="shared" si="360"/>
        <v xml:space="preserve">19.755,11.93,10.8 </v>
      </c>
      <c r="EB131" s="458" t="str">
        <f t="shared" si="360"/>
        <v xml:space="preserve">19.755,12.21,12.6 </v>
      </c>
      <c r="EC131" s="458" t="str">
        <f t="shared" si="360"/>
        <v xml:space="preserve">19.755,12.23,14.19 </v>
      </c>
      <c r="ED131" s="458" t="str">
        <f t="shared" si="360"/>
        <v/>
      </c>
      <c r="EE131" s="458" t="str">
        <f t="shared" si="360"/>
        <v/>
      </c>
      <c r="EF131" s="458" t="str">
        <f t="shared" si="360"/>
        <v/>
      </c>
      <c r="EG131" s="458" t="str">
        <f t="shared" si="360"/>
        <v/>
      </c>
      <c r="EH131" s="458" t="str">
        <f t="shared" si="360"/>
        <v/>
      </c>
      <c r="EI131" s="458" t="str">
        <f t="shared" si="360"/>
        <v/>
      </c>
      <c r="EJ131" s="458" t="str">
        <f t="shared" si="360"/>
        <v/>
      </c>
      <c r="EK131" s="458" t="str">
        <f t="shared" si="360"/>
        <v/>
      </c>
      <c r="EL131" s="458" t="str">
        <f t="shared" si="360"/>
        <v/>
      </c>
      <c r="EM131" s="458" t="str">
        <f t="shared" si="360"/>
        <v/>
      </c>
      <c r="EN131" s="458" t="str">
        <f t="shared" si="360"/>
        <v/>
      </c>
      <c r="EO131" s="458" t="str">
        <f t="shared" si="360"/>
        <v/>
      </c>
      <c r="EP131" s="458" t="str">
        <f t="shared" si="273"/>
        <v/>
      </c>
      <c r="ER131" s="457" t="str">
        <f t="shared" si="307"/>
        <v xml:space="preserve">19.755,0.3,0 19.755,1.67,0.9 19.755,2.3,1.8 19.755,2.7,2.7 19.755,3.1,3.6 19.755,5.7,5.4 19.755,9.7,7.2 19.755,11.23,9 19.755,11.7,10.1 19.755,11.93,10.8 19.755,12.21,12.6 19.755,12.23,14.19 </v>
      </c>
      <c r="ES131" s="186" t="str">
        <f t="shared" ca="1" si="351"/>
        <v xml:space="preserve">Spline 19.755,0,0 19.755,0.3,0 19.755,1.67,0.9 19.755,2.3,1.8 19.755,2.7,2.7 19.755,3.1,3.6 19.755,5.7,5.4 19.755,9.7,7.2 19.755,11.23,9 19.755,11.7,10.1 19.755,11.93,10.8 19.755,12.21,12.6 19.755,12.23,14.19  </v>
      </c>
      <c r="ET131" s="129" t="str">
        <f t="shared" ca="1" si="308"/>
        <v xml:space="preserve">Spline 19.755,0,0 19.755,0.3,0 19.755,1.67,0.9 19.755,2.3,1.8 19.755,2.7,2.7 19.755,3.1,3.6 19.755,5.7,5.4 19.755,9.7,7.2 19.755,11.23,9 19.755,11.7,10.1 19.755,11.93,10.8 19.755,12.21,12.6 19.755,12.23,14.19  </v>
      </c>
      <c r="EU131" s="129">
        <f ca="1">COUNTIF(BP_6,NA())</f>
        <v>0</v>
      </c>
      <c r="EV131" s="129">
        <f t="shared" ca="1" si="274"/>
        <v>0</v>
      </c>
      <c r="EW131" s="129">
        <v>6</v>
      </c>
      <c r="EX131" s="129" t="str">
        <f t="shared" si="275"/>
        <v xml:space="preserve">19.755,12.23,14.19 </v>
      </c>
      <c r="EY131" s="129" t="str">
        <f t="shared" ca="1" si="276"/>
        <v xml:space="preserve">Spline 19.755,0,0 19.755,12.23,14.19 19.755,12.21,12.6 19.755,11.93,10.8 19.755,11.7,10.1 19.755,11.23,9 19.755,9.7,7.2 19.755,5.7,5.4 19.755,3.1,3.6 19.755,2.7,2.7 19.755,2.3,1.8 19.755,1.67,0.9 19.755,0.3,0 </v>
      </c>
      <c r="EZ131" s="186" t="str">
        <f t="shared" si="309"/>
        <v xml:space="preserve">19.755,0.3,0 19.755,1.67,0.9 19.755,2.3,1.8 19.755,2.7,2.7 19.755,3.1,3.6 19.755,5.7,5.4 19.755,9.7,7.2 19.755,11.23,9 19.755,11.7,10.1 19.755,11.93,10.8 19.755,12.21,12.6 19.755,12.23,14.19  </v>
      </c>
      <c r="FB131" s="458">
        <f t="shared" si="277"/>
        <v>19.754999999999995</v>
      </c>
      <c r="FC131" s="460" t="str">
        <f t="shared" si="310"/>
        <v/>
      </c>
      <c r="FD131" s="458" t="str">
        <f t="shared" ref="FD131:GB131" si="361">IFERROR(CONCATENATE(ROUND($DP131,3),",",-ROUND(ABS(DK103),3),",",ROUND(EM103,3)," "),"")</f>
        <v xml:space="preserve">19.755,-0.3,0 </v>
      </c>
      <c r="FE131" s="458" t="str">
        <f t="shared" si="361"/>
        <v xml:space="preserve">19.755,-1.67,0.9 </v>
      </c>
      <c r="FF131" s="458" t="str">
        <f t="shared" si="361"/>
        <v xml:space="preserve">19.755,-2.3,1.8 </v>
      </c>
      <c r="FG131" s="458" t="str">
        <f t="shared" si="361"/>
        <v xml:space="preserve">19.755,-2.7,2.7 </v>
      </c>
      <c r="FH131" s="458" t="str">
        <f t="shared" si="361"/>
        <v xml:space="preserve">19.755,-3.1,3.6 </v>
      </c>
      <c r="FI131" s="458" t="str">
        <f t="shared" si="361"/>
        <v xml:space="preserve">19.755,-5.7,5.4 </v>
      </c>
      <c r="FJ131" s="458" t="str">
        <f t="shared" si="361"/>
        <v xml:space="preserve">19.755,-9.7,7.2 </v>
      </c>
      <c r="FK131" s="458" t="str">
        <f t="shared" si="361"/>
        <v xml:space="preserve">19.755,-11.23,9 </v>
      </c>
      <c r="FL131" s="458" t="str">
        <f t="shared" si="361"/>
        <v xml:space="preserve">19.755,-11.7,10.1 </v>
      </c>
      <c r="FM131" s="458" t="str">
        <f t="shared" si="361"/>
        <v xml:space="preserve">19.755,-11.93,10.8 </v>
      </c>
      <c r="FN131" s="458" t="str">
        <f t="shared" si="361"/>
        <v xml:space="preserve">19.755,-12.21,12.6 </v>
      </c>
      <c r="FO131" s="458" t="str">
        <f t="shared" si="361"/>
        <v xml:space="preserve">19.755,-12.23,14.19 </v>
      </c>
      <c r="FP131" s="458" t="str">
        <f t="shared" si="361"/>
        <v/>
      </c>
      <c r="FQ131" s="458" t="str">
        <f t="shared" si="361"/>
        <v/>
      </c>
      <c r="FR131" s="458" t="str">
        <f t="shared" si="361"/>
        <v/>
      </c>
      <c r="FS131" s="458" t="str">
        <f t="shared" si="361"/>
        <v/>
      </c>
      <c r="FT131" s="458" t="str">
        <f t="shared" si="361"/>
        <v/>
      </c>
      <c r="FU131" s="458" t="str">
        <f t="shared" si="361"/>
        <v/>
      </c>
      <c r="FV131" s="458" t="str">
        <f t="shared" si="361"/>
        <v/>
      </c>
      <c r="FW131" s="458" t="str">
        <f t="shared" si="361"/>
        <v/>
      </c>
      <c r="FX131" s="458" t="str">
        <f t="shared" si="361"/>
        <v/>
      </c>
      <c r="FY131" s="458" t="str">
        <f t="shared" si="361"/>
        <v/>
      </c>
      <c r="FZ131" s="458" t="str">
        <f t="shared" si="361"/>
        <v/>
      </c>
      <c r="GA131" s="458" t="str">
        <f t="shared" si="361"/>
        <v/>
      </c>
      <c r="GB131" s="458" t="str">
        <f t="shared" si="361"/>
        <v/>
      </c>
      <c r="GC131" s="129" t="str">
        <f t="shared" si="312"/>
        <v xml:space="preserve">19.755,12.23,14.19 19.755,12.21,12.6 19.755,11.93,10.8 19.755,11.7,10.1 19.755,11.23,9 19.755,9.7,7.2 19.755,5.7,5.4 19.755,3.1,3.6 19.755,2.7,2.7 19.755,2.3,1.8 19.755,1.67,0.9 19.755,0.3,0 </v>
      </c>
      <c r="GD131" s="129" t="str">
        <f t="shared" ca="1" si="279"/>
        <v>Spline 19.755,12.23,14.19 19.755,12.21,12.6 19.755,11.93,10.8 19.755,11.7,10.1 19.755,11.23,9 19.755,9.7,7.2 19.755,5.7,5.4 19.755,3.1,3.6 19.755,2.7,2.7 19.755,2.3,1.8 19.755,1.67,0.9 19.755,0.3,0 19.755,0,0</v>
      </c>
      <c r="GE131" s="461" t="str">
        <f t="shared" si="313"/>
        <v xml:space="preserve">19.755,-0.3,0 19.755,-1.67,0.9 19.755,-2.3,1.8 19.755,-2.7,2.7 19.755,-3.1,3.6 19.755,-5.7,5.4 19.755,-9.7,7.2 19.755,-11.23,9 19.755,-11.7,10.1 19.755,-11.93,10.8 19.755,-12.21,12.6 19.755,-12.23,14.19 </v>
      </c>
      <c r="GH131" s="129" t="str">
        <f t="shared" si="314"/>
        <v xml:space="preserve">Spline 19.755,12.23,14.19 19.755,12.21,12.6 19.755,11.93,10.8 19.755,11.7,10.1 19.755,11.23,9 19.755,9.7,7.2 19.755,5.7,5.4 19.755,3.1,3.6 19.755,2.7,2.7 19.755,2.3,1.8 19.755,1.67,0.9 19.755,0.3,0 T 19.755,0,0 </v>
      </c>
      <c r="GI131" s="129" t="str">
        <f t="shared" si="315"/>
        <v xml:space="preserve">Spline 19.755,0.3,0 19.755,0,0  Join 19.755,0,0  19.755,12.23,14.19 </v>
      </c>
      <c r="GP131" s="129" t="str">
        <f t="shared" si="280"/>
        <v xml:space="preserve">19.755,0,0 </v>
      </c>
      <c r="GQ131" s="129" t="str">
        <f t="shared" si="316"/>
        <v>Curve 19.755,12.23,14.19 19.755,12.21,12.6 19.755,11.93,10.8 19.755,11.7,10.1 19.755,11.23,9 19.755,9.7,7.2 19.755,5.7,5.4 19.755,3.1,3.6 19.755,2.7,2.7 19.755,2.3,1.8 19.755,1.67,0.9 19.755,0.3,0 19.755,0,0 _enter</v>
      </c>
    </row>
    <row r="132" spans="1:199" x14ac:dyDescent="0.25">
      <c r="A132" s="374">
        <f t="shared" si="271"/>
        <v>3</v>
      </c>
      <c r="B132" s="377" t="str">
        <f t="shared" si="281"/>
        <v xml:space="preserve">0,-18.698 </v>
      </c>
      <c r="C132" s="377" t="str">
        <f t="shared" si="282"/>
        <v xml:space="preserve">3.293,-18.698 </v>
      </c>
      <c r="D132" s="377" t="str">
        <f t="shared" si="283"/>
        <v xml:space="preserve">6.585,-18.698 </v>
      </c>
      <c r="E132" s="377" t="str">
        <f t="shared" si="284"/>
        <v xml:space="preserve">9.878,-17.498 </v>
      </c>
      <c r="F132" s="377" t="str">
        <f t="shared" si="285"/>
        <v xml:space="preserve">13.17,-15.998 </v>
      </c>
      <c r="G132" s="377" t="str">
        <f t="shared" si="286"/>
        <v xml:space="preserve">19.755,-12.998 </v>
      </c>
      <c r="H132" s="377" t="str">
        <f t="shared" si="287"/>
        <v xml:space="preserve">26.34,-9.498 </v>
      </c>
      <c r="I132" s="377" t="str">
        <f t="shared" si="288"/>
        <v xml:space="preserve">32.925,-7.548 </v>
      </c>
      <c r="J132" s="377" t="str">
        <f t="shared" si="289"/>
        <v xml:space="preserve">39.51,-6.728 </v>
      </c>
      <c r="K132" s="377" t="str">
        <f t="shared" si="290"/>
        <v xml:space="preserve">46.095,-6.448 </v>
      </c>
      <c r="L132" s="377" t="str">
        <f t="shared" si="291"/>
        <v xml:space="preserve">52.68,-6.448 </v>
      </c>
      <c r="M132" s="377" t="str">
        <f t="shared" si="292"/>
        <v xml:space="preserve">59.265,-6.448 </v>
      </c>
      <c r="N132" s="377" t="str">
        <f t="shared" si="293"/>
        <v xml:space="preserve">65.85,-6.448 </v>
      </c>
      <c r="O132" s="377" t="str">
        <f t="shared" si="294"/>
        <v xml:space="preserve">72.435,-6.448 </v>
      </c>
      <c r="P132" s="377" t="str">
        <f t="shared" si="295"/>
        <v xml:space="preserve">79.02,-6.498 </v>
      </c>
      <c r="Q132" s="377" t="str">
        <f t="shared" si="296"/>
        <v xml:space="preserve">85.605,-7.058 </v>
      </c>
      <c r="R132" s="377" t="str">
        <f t="shared" si="297"/>
        <v xml:space="preserve">92.19,-8.198 </v>
      </c>
      <c r="S132" s="377" t="str">
        <f t="shared" si="298"/>
        <v xml:space="preserve">98.775,-9.788 </v>
      </c>
      <c r="T132" s="377" t="str">
        <f t="shared" si="299"/>
        <v xml:space="preserve">105.36,-11.678 </v>
      </c>
      <c r="U132" s="377" t="str">
        <f t="shared" si="300"/>
        <v xml:space="preserve">111.945,-13.668 </v>
      </c>
      <c r="V132" s="377" t="str">
        <f t="shared" si="301"/>
        <v xml:space="preserve">118.53,-15.448 </v>
      </c>
      <c r="W132" s="377" t="str">
        <f t="shared" si="302"/>
        <v xml:space="preserve">121.823,-16.128 </v>
      </c>
      <c r="X132" s="377" t="str">
        <f t="shared" si="303"/>
        <v xml:space="preserve">125.115,-16.598 </v>
      </c>
      <c r="Y132" s="377" t="str">
        <f t="shared" si="304"/>
        <v xml:space="preserve">128.408,-16.928 </v>
      </c>
      <c r="Z132" s="395" t="str">
        <f t="shared" si="305"/>
        <v xml:space="preserve">131.7,-17.248 </v>
      </c>
      <c r="AB132" s="245" t="str">
        <f t="shared" si="317"/>
        <v xml:space="preserve">Spline </v>
      </c>
      <c r="AC132" s="245" t="str">
        <f>Tools!B132</f>
        <v xml:space="preserve">0,-18.698 </v>
      </c>
      <c r="AD132" s="245" t="str">
        <f>Tools!C132</f>
        <v xml:space="preserve">3.293,-18.698 </v>
      </c>
      <c r="AE132" s="245" t="str">
        <f>Tools!D132</f>
        <v xml:space="preserve">6.585,-18.698 </v>
      </c>
      <c r="AF132" s="245" t="str">
        <f>Tools!E132</f>
        <v xml:space="preserve">9.878,-17.498 </v>
      </c>
      <c r="AG132" s="245" t="str">
        <f>Tools!F132</f>
        <v xml:space="preserve">13.17,-15.998 </v>
      </c>
      <c r="AH132" s="245" t="str">
        <f>Tools!G132</f>
        <v xml:space="preserve">19.755,-12.998 </v>
      </c>
      <c r="AI132" s="245" t="str">
        <f>Tools!H132</f>
        <v xml:space="preserve">26.34,-9.498 </v>
      </c>
      <c r="AJ132" s="245" t="str">
        <f>Tools!I132</f>
        <v xml:space="preserve">32.925,-7.548 </v>
      </c>
      <c r="AK132" s="245" t="str">
        <f>Tools!J132</f>
        <v xml:space="preserve">39.51,-6.728 </v>
      </c>
      <c r="AL132" s="245" t="str">
        <f>Tools!K132</f>
        <v xml:space="preserve">46.095,-6.448 </v>
      </c>
      <c r="AM132" s="245" t="str">
        <f>Tools!L132</f>
        <v xml:space="preserve">52.68,-6.448 </v>
      </c>
      <c r="AN132" s="245" t="str">
        <f>Tools!M132</f>
        <v xml:space="preserve">59.265,-6.448 </v>
      </c>
      <c r="AO132" s="245" t="str">
        <f>Tools!N132</f>
        <v xml:space="preserve">65.85,-6.448 </v>
      </c>
      <c r="AP132" s="245" t="str">
        <f>Tools!O132</f>
        <v xml:space="preserve">72.435,-6.448 </v>
      </c>
      <c r="AQ132" s="245" t="str">
        <f>Tools!P132</f>
        <v xml:space="preserve">79.02,-6.498 </v>
      </c>
      <c r="AR132" s="245" t="str">
        <f>Tools!Q132</f>
        <v xml:space="preserve">85.605,-7.058 </v>
      </c>
      <c r="AS132" s="245" t="str">
        <f>Tools!R132</f>
        <v xml:space="preserve">92.19,-8.198 </v>
      </c>
      <c r="AT132" s="245" t="str">
        <f>Tools!S132</f>
        <v xml:space="preserve">98.775,-9.788 </v>
      </c>
      <c r="AU132" s="245" t="str">
        <f>Tools!T132</f>
        <v xml:space="preserve">105.36,-11.678 </v>
      </c>
      <c r="AV132" s="245" t="str">
        <f>Tools!U132</f>
        <v xml:space="preserve">111.945,-13.668 </v>
      </c>
      <c r="AW132" s="245" t="str">
        <f>Tools!V132</f>
        <v xml:space="preserve">118.53,-15.448 </v>
      </c>
      <c r="AX132" s="245" t="str">
        <f>Tools!W132</f>
        <v xml:space="preserve">121.823,-16.128 </v>
      </c>
      <c r="AY132" s="245" t="str">
        <f>Tools!X132</f>
        <v xml:space="preserve">125.115,-16.598 </v>
      </c>
      <c r="AZ132" s="245" t="str">
        <f>Tools!Y132</f>
        <v xml:space="preserve">128.408,-16.928 </v>
      </c>
      <c r="BA132" s="396" t="str">
        <f>Tools!Z132</f>
        <v xml:space="preserve">131.7,-17.248 </v>
      </c>
      <c r="BC132" s="274">
        <f>'Rise, etc.'!O8</f>
        <v>2</v>
      </c>
      <c r="BD132" s="277">
        <f>IF(ISNUMBER(VLOOKUP(BC132,'Rise, etc.'!O$3:P$28,2,FALSE)),VLOOKUP(BC132,'Rise, etc.'!O$3:P$28,2,FALSE),"-")</f>
        <v>0.56999999999999995</v>
      </c>
      <c r="BE132" s="277">
        <f t="shared" si="353"/>
        <v>0.31666666666666665</v>
      </c>
      <c r="BF132" s="277">
        <f t="shared" si="319"/>
        <v>0.5</v>
      </c>
      <c r="BG132" s="277">
        <f t="shared" si="320"/>
        <v>1</v>
      </c>
      <c r="BH132" s="277">
        <f t="shared" si="321"/>
        <v>1.5</v>
      </c>
      <c r="BI132" s="277">
        <f t="shared" si="322"/>
        <v>2</v>
      </c>
      <c r="BJ132" s="277">
        <f t="shared" si="323"/>
        <v>3</v>
      </c>
      <c r="BK132" s="277">
        <f t="shared" si="324"/>
        <v>4</v>
      </c>
      <c r="BL132" s="277">
        <f t="shared" si="325"/>
        <v>5</v>
      </c>
      <c r="BM132" s="277"/>
      <c r="BN132" s="277" t="b">
        <f t="shared" si="326"/>
        <v>1</v>
      </c>
      <c r="BO132" s="277" t="b">
        <f t="shared" si="327"/>
        <v>0</v>
      </c>
      <c r="BP132" s="277" t="b">
        <f t="shared" si="328"/>
        <v>0</v>
      </c>
      <c r="BQ132" s="277" t="b">
        <f t="shared" si="329"/>
        <v>0</v>
      </c>
      <c r="BR132" s="277" t="b">
        <f t="shared" si="330"/>
        <v>0</v>
      </c>
      <c r="BS132" s="277" t="b">
        <f t="shared" si="331"/>
        <v>0</v>
      </c>
      <c r="BT132" s="277" t="b">
        <f t="shared" si="332"/>
        <v>0</v>
      </c>
      <c r="BU132" s="277" t="b">
        <f t="shared" si="333"/>
        <v>0</v>
      </c>
      <c r="BV132" s="277" t="b">
        <f t="shared" si="334"/>
        <v>0</v>
      </c>
      <c r="BW132" s="277" t="b">
        <f t="shared" si="335"/>
        <v>0</v>
      </c>
      <c r="BX132" s="277" t="b">
        <f t="shared" si="354"/>
        <v>0</v>
      </c>
      <c r="BY132" s="277" t="b">
        <f t="shared" si="336"/>
        <v>0</v>
      </c>
      <c r="BZ132" s="277" t="b">
        <f t="shared" si="337"/>
        <v>0</v>
      </c>
      <c r="CA132" s="277" t="b">
        <f t="shared" si="338"/>
        <v>0</v>
      </c>
      <c r="CB132" s="277" t="b">
        <f t="shared" si="339"/>
        <v>0</v>
      </c>
      <c r="CC132" s="277" t="b">
        <f t="shared" si="340"/>
        <v>0</v>
      </c>
      <c r="CD132" s="277" t="b">
        <f t="shared" si="341"/>
        <v>0</v>
      </c>
      <c r="CE132" s="277" t="b">
        <f t="shared" si="342"/>
        <v>0</v>
      </c>
      <c r="CF132" s="277" t="b">
        <f t="shared" si="343"/>
        <v>0</v>
      </c>
      <c r="CG132" s="277" t="b">
        <f t="shared" si="344"/>
        <v>0</v>
      </c>
      <c r="CH132" s="277" t="b">
        <f t="shared" si="345"/>
        <v>0</v>
      </c>
      <c r="CI132" s="277" t="b">
        <f t="shared" si="346"/>
        <v>0</v>
      </c>
      <c r="CJ132" s="277" t="b">
        <f t="shared" si="347"/>
        <v>0</v>
      </c>
      <c r="CK132" s="277" t="b">
        <f t="shared" si="348"/>
        <v>0</v>
      </c>
      <c r="CL132" s="277" t="b">
        <f t="shared" si="349"/>
        <v>0</v>
      </c>
      <c r="CM132" s="276">
        <f t="shared" si="355"/>
        <v>1</v>
      </c>
      <c r="CO132" s="454">
        <v>5.4</v>
      </c>
      <c r="CP132" s="454" t="e">
        <v>#N/A</v>
      </c>
      <c r="CQ132" s="454" t="e">
        <v>#N/A</v>
      </c>
      <c r="CR132" s="454" t="e">
        <v>#N/A</v>
      </c>
      <c r="CS132" s="454">
        <v>-1.2</v>
      </c>
      <c r="CT132" s="454">
        <v>-2.7</v>
      </c>
      <c r="CU132" s="454">
        <v>-5.7</v>
      </c>
      <c r="CV132" s="454">
        <v>-9.1999999999999993</v>
      </c>
      <c r="CW132" s="454">
        <v>-11.15</v>
      </c>
      <c r="CX132" s="454">
        <v>-11.97</v>
      </c>
      <c r="CY132" s="454">
        <v>-12.25</v>
      </c>
      <c r="CZ132" s="454">
        <v>-12.25</v>
      </c>
      <c r="DA132" s="454">
        <v>-12.25</v>
      </c>
      <c r="DB132" s="454">
        <v>-12.25</v>
      </c>
      <c r="DC132" s="454">
        <v>12.25</v>
      </c>
      <c r="DD132" s="454">
        <v>12.2</v>
      </c>
      <c r="DE132" s="454">
        <v>11.64</v>
      </c>
      <c r="DF132" s="454">
        <v>10.5</v>
      </c>
      <c r="DG132" s="454">
        <v>8.91</v>
      </c>
      <c r="DH132" s="454">
        <v>7.02</v>
      </c>
      <c r="DI132" s="454">
        <v>5.03</v>
      </c>
      <c r="DJ132" s="454">
        <v>3.25</v>
      </c>
      <c r="DK132" s="454">
        <v>2.57</v>
      </c>
      <c r="DL132" s="454">
        <v>2.1</v>
      </c>
      <c r="DM132" s="454">
        <v>1.77</v>
      </c>
      <c r="DN132" s="454">
        <v>1.45</v>
      </c>
      <c r="DO132" s="397"/>
      <c r="DP132" s="458">
        <f t="shared" si="272"/>
        <v>26.339999999999996</v>
      </c>
      <c r="DQ132" s="458" t="str">
        <f t="shared" si="273"/>
        <v/>
      </c>
      <c r="DR132" s="458" t="str">
        <f t="shared" ref="DR132:EO132" si="362">IFERROR(CONCATENATE(ROUND($DP132,3),",",ROUND(ABS(DK104),3),",",ROUND(EM104,3)," "),"")</f>
        <v xml:space="preserve">26.34,1,0 </v>
      </c>
      <c r="DS132" s="458" t="str">
        <f t="shared" si="362"/>
        <v xml:space="preserve">26.34,3.17,0.9 </v>
      </c>
      <c r="DT132" s="458" t="str">
        <f t="shared" si="362"/>
        <v xml:space="preserve">26.34,4.08,1.8 </v>
      </c>
      <c r="DU132" s="458" t="str">
        <f t="shared" si="362"/>
        <v xml:space="preserve">26.34,4.8,2.7 </v>
      </c>
      <c r="DV132" s="458" t="str">
        <f t="shared" si="362"/>
        <v xml:space="preserve">26.34,5.8,3.6 </v>
      </c>
      <c r="DW132" s="458" t="str">
        <f t="shared" si="362"/>
        <v xml:space="preserve">26.34,9.2,5.4 </v>
      </c>
      <c r="DX132" s="458" t="str">
        <f t="shared" si="362"/>
        <v xml:space="preserve">26.34,11.17,7.2 </v>
      </c>
      <c r="DY132" s="458" t="str">
        <f t="shared" si="362"/>
        <v xml:space="preserve">26.34,11.91,9 </v>
      </c>
      <c r="DZ132" s="458" t="str">
        <f t="shared" si="362"/>
        <v xml:space="preserve">26.34,12.14,10.1 </v>
      </c>
      <c r="EA132" s="458" t="str">
        <f t="shared" si="362"/>
        <v xml:space="preserve">26.34,12.2,10.8 </v>
      </c>
      <c r="EB132" s="458" t="str">
        <f t="shared" si="362"/>
        <v xml:space="preserve">26.34,12.25,12.6 </v>
      </c>
      <c r="EC132" s="458" t="str">
        <f t="shared" si="362"/>
        <v xml:space="preserve">26.34,12.25,14.19 </v>
      </c>
      <c r="ED132" s="458" t="str">
        <f t="shared" si="362"/>
        <v/>
      </c>
      <c r="EE132" s="458" t="str">
        <f t="shared" si="362"/>
        <v/>
      </c>
      <c r="EF132" s="458" t="str">
        <f t="shared" si="362"/>
        <v/>
      </c>
      <c r="EG132" s="458" t="str">
        <f t="shared" si="362"/>
        <v/>
      </c>
      <c r="EH132" s="458" t="str">
        <f t="shared" si="362"/>
        <v/>
      </c>
      <c r="EI132" s="458" t="str">
        <f t="shared" si="362"/>
        <v/>
      </c>
      <c r="EJ132" s="458" t="str">
        <f t="shared" si="362"/>
        <v/>
      </c>
      <c r="EK132" s="458" t="str">
        <f t="shared" si="362"/>
        <v/>
      </c>
      <c r="EL132" s="458" t="str">
        <f t="shared" si="362"/>
        <v/>
      </c>
      <c r="EM132" s="458" t="str">
        <f t="shared" si="362"/>
        <v/>
      </c>
      <c r="EN132" s="458" t="str">
        <f t="shared" si="362"/>
        <v/>
      </c>
      <c r="EO132" s="458" t="str">
        <f t="shared" si="362"/>
        <v/>
      </c>
      <c r="EP132" s="458" t="str">
        <f t="shared" si="273"/>
        <v/>
      </c>
      <c r="ER132" s="457" t="str">
        <f t="shared" si="307"/>
        <v xml:space="preserve">26.34,1,0 26.34,3.17,0.9 26.34,4.08,1.8 26.34,4.8,2.7 26.34,5.8,3.6 26.34,9.2,5.4 26.34,11.17,7.2 26.34,11.91,9 26.34,12.14,10.1 26.34,12.2,10.8 26.34,12.25,12.6 26.34,12.25,14.19 </v>
      </c>
      <c r="ES132" s="186" t="str">
        <f t="shared" ca="1" si="351"/>
        <v xml:space="preserve">Spline 26.34,0,0 26.34,1,0 26.34,3.17,0.9 26.34,4.08,1.8 26.34,4.8,2.7 26.34,5.8,3.6 26.34,9.2,5.4 26.34,11.17,7.2 26.34,11.91,9 26.34,12.14,10.1 26.34,12.2,10.8 26.34,12.25,12.6 26.34,12.25,14.19  </v>
      </c>
      <c r="ET132" s="129" t="str">
        <f t="shared" ca="1" si="308"/>
        <v xml:space="preserve">Spline 26.34,0,0 26.34,1,0 26.34,3.17,0.9 26.34,4.08,1.8 26.34,4.8,2.7 26.34,5.8,3.6 26.34,9.2,5.4 26.34,11.17,7.2 26.34,11.91,9 26.34,12.14,10.1 26.34,12.2,10.8 26.34,12.25,12.6 26.34,12.25,14.19  </v>
      </c>
      <c r="EU132" s="129">
        <f ca="1">COUNTIF(BP_7,NA())</f>
        <v>0</v>
      </c>
      <c r="EV132" s="129">
        <f t="shared" ca="1" si="274"/>
        <v>0</v>
      </c>
      <c r="EW132" s="129">
        <v>7</v>
      </c>
      <c r="EX132" s="129" t="str">
        <f t="shared" si="275"/>
        <v xml:space="preserve">26.34,12.25,14.19 </v>
      </c>
      <c r="EY132" s="129" t="str">
        <f t="shared" ca="1" si="276"/>
        <v xml:space="preserve">Spline 26.34,0,0 26.34,12.25,14.19 26.34,12.25,12.6 26.34,12.2,10.8 26.34,12.14,10.1 26.34,11.91,9 26.34,11.17,7.2 26.34,9.2,5.4 26.34,5.8,3.6 26.34,4.8,2.7 26.34,4.08,1.8 26.34,3.17,0.9 26.34,1,0 </v>
      </c>
      <c r="EZ132" s="186" t="str">
        <f t="shared" si="309"/>
        <v xml:space="preserve">26.34,1,0 26.34,3.17,0.9 26.34,4.08,1.8 26.34,4.8,2.7 26.34,5.8,3.6 26.34,9.2,5.4 26.34,11.17,7.2 26.34,11.91,9 26.34,12.14,10.1 26.34,12.2,10.8 26.34,12.25,12.6 26.34,12.25,14.19  </v>
      </c>
      <c r="FB132" s="458">
        <f t="shared" si="277"/>
        <v>26.339999999999996</v>
      </c>
      <c r="FC132" s="460" t="str">
        <f t="shared" si="310"/>
        <v/>
      </c>
      <c r="FD132" s="458" t="str">
        <f t="shared" ref="FD132:GB132" si="363">IFERROR(CONCATENATE(ROUND($DP132,3),",",-ROUND(ABS(DK104),3),",",ROUND(EM104,3)," "),"")</f>
        <v xml:space="preserve">26.34,-1,0 </v>
      </c>
      <c r="FE132" s="458" t="str">
        <f t="shared" si="363"/>
        <v xml:space="preserve">26.34,-3.17,0.9 </v>
      </c>
      <c r="FF132" s="458" t="str">
        <f t="shared" si="363"/>
        <v xml:space="preserve">26.34,-4.08,1.8 </v>
      </c>
      <c r="FG132" s="458" t="str">
        <f t="shared" si="363"/>
        <v xml:space="preserve">26.34,-4.8,2.7 </v>
      </c>
      <c r="FH132" s="458" t="str">
        <f t="shared" si="363"/>
        <v xml:space="preserve">26.34,-5.8,3.6 </v>
      </c>
      <c r="FI132" s="458" t="str">
        <f t="shared" si="363"/>
        <v xml:space="preserve">26.34,-9.2,5.4 </v>
      </c>
      <c r="FJ132" s="458" t="str">
        <f t="shared" si="363"/>
        <v xml:space="preserve">26.34,-11.17,7.2 </v>
      </c>
      <c r="FK132" s="458" t="str">
        <f t="shared" si="363"/>
        <v xml:space="preserve">26.34,-11.91,9 </v>
      </c>
      <c r="FL132" s="458" t="str">
        <f t="shared" si="363"/>
        <v xml:space="preserve">26.34,-12.14,10.1 </v>
      </c>
      <c r="FM132" s="458" t="str">
        <f t="shared" si="363"/>
        <v xml:space="preserve">26.34,-12.2,10.8 </v>
      </c>
      <c r="FN132" s="458" t="str">
        <f t="shared" si="363"/>
        <v xml:space="preserve">26.34,-12.25,12.6 </v>
      </c>
      <c r="FO132" s="458" t="str">
        <f t="shared" si="363"/>
        <v xml:space="preserve">26.34,-12.25,14.19 </v>
      </c>
      <c r="FP132" s="458" t="str">
        <f t="shared" si="363"/>
        <v/>
      </c>
      <c r="FQ132" s="458" t="str">
        <f t="shared" si="363"/>
        <v/>
      </c>
      <c r="FR132" s="458" t="str">
        <f t="shared" si="363"/>
        <v/>
      </c>
      <c r="FS132" s="458" t="str">
        <f t="shared" si="363"/>
        <v/>
      </c>
      <c r="FT132" s="458" t="str">
        <f t="shared" si="363"/>
        <v/>
      </c>
      <c r="FU132" s="458" t="str">
        <f t="shared" si="363"/>
        <v/>
      </c>
      <c r="FV132" s="458" t="str">
        <f t="shared" si="363"/>
        <v/>
      </c>
      <c r="FW132" s="458" t="str">
        <f t="shared" si="363"/>
        <v/>
      </c>
      <c r="FX132" s="458" t="str">
        <f t="shared" si="363"/>
        <v/>
      </c>
      <c r="FY132" s="458" t="str">
        <f t="shared" si="363"/>
        <v/>
      </c>
      <c r="FZ132" s="458" t="str">
        <f t="shared" si="363"/>
        <v/>
      </c>
      <c r="GA132" s="458" t="str">
        <f t="shared" si="363"/>
        <v/>
      </c>
      <c r="GB132" s="458" t="str">
        <f t="shared" si="363"/>
        <v/>
      </c>
      <c r="GC132" s="129" t="str">
        <f t="shared" si="312"/>
        <v xml:space="preserve">26.34,12.25,14.19 26.34,12.25,12.6 26.34,12.2,10.8 26.34,12.14,10.1 26.34,11.91,9 26.34,11.17,7.2 26.34,9.2,5.4 26.34,5.8,3.6 26.34,4.8,2.7 26.34,4.08,1.8 26.34,3.17,0.9 26.34,1,0 </v>
      </c>
      <c r="GD132" s="129" t="str">
        <f t="shared" ca="1" si="279"/>
        <v>Spline 26.34,12.25,14.19 26.34,12.25,12.6 26.34,12.2,10.8 26.34,12.14,10.1 26.34,11.91,9 26.34,11.17,7.2 26.34,9.2,5.4 26.34,5.8,3.6 26.34,4.8,2.7 26.34,4.08,1.8 26.34,3.17,0.9 26.34,1,0 26.34,0,0</v>
      </c>
      <c r="GE132" s="461" t="str">
        <f t="shared" si="313"/>
        <v xml:space="preserve">26.34,-1,0 26.34,-3.17,0.9 26.34,-4.08,1.8 26.34,-4.8,2.7 26.34,-5.8,3.6 26.34,-9.2,5.4 26.34,-11.17,7.2 26.34,-11.91,9 26.34,-12.14,10.1 26.34,-12.2,10.8 26.34,-12.25,12.6 26.34,-12.25,14.19 </v>
      </c>
      <c r="GH132" s="129" t="str">
        <f t="shared" si="314"/>
        <v xml:space="preserve">Spline 26.34,12.25,14.19 26.34,12.25,12.6 26.34,12.2,10.8 26.34,12.14,10.1 26.34,11.91,9 26.34,11.17,7.2 26.34,9.2,5.4 26.34,5.8,3.6 26.34,4.8,2.7 26.34,4.08,1.8 26.34,3.17,0.9 26.34,1,0 T 26.34,0,0 </v>
      </c>
      <c r="GI132" s="129" t="str">
        <f t="shared" si="315"/>
        <v xml:space="preserve">Spline 26.34,1,0 26.34,0,0  Join 26.34,0,0  26.34,12.25,14.19 </v>
      </c>
      <c r="GP132" s="129" t="str">
        <f t="shared" si="280"/>
        <v xml:space="preserve">26.34,0,0 </v>
      </c>
      <c r="GQ132" s="129" t="str">
        <f t="shared" si="316"/>
        <v>Curve 26.34,12.25,14.19 26.34,12.25,12.6 26.34,12.2,10.8 26.34,12.14,10.1 26.34,11.91,9 26.34,11.17,7.2 26.34,9.2,5.4 26.34,5.8,3.6 26.34,4.8,2.7 26.34,4.08,1.8 26.34,3.17,0.9 26.34,1,0 26.34,0,0 _enter</v>
      </c>
    </row>
    <row r="133" spans="1:199" x14ac:dyDescent="0.25">
      <c r="A133" s="374">
        <f t="shared" si="271"/>
        <v>4</v>
      </c>
      <c r="B133" s="377" t="str">
        <f t="shared" si="281"/>
        <v xml:space="preserve">0,-18.698 </v>
      </c>
      <c r="C133" s="377" t="str">
        <f t="shared" si="282"/>
        <v xml:space="preserve">3.293,-18.698 </v>
      </c>
      <c r="D133" s="377" t="str">
        <f t="shared" si="283"/>
        <v xml:space="preserve">6.585,-18.698 </v>
      </c>
      <c r="E133" s="377" t="str">
        <f t="shared" si="284"/>
        <v xml:space="preserve">9.878,-16.298 </v>
      </c>
      <c r="F133" s="377" t="str">
        <f t="shared" si="285"/>
        <v xml:space="preserve">13.17,-13.198 </v>
      </c>
      <c r="G133" s="377" t="str">
        <f t="shared" si="286"/>
        <v xml:space="preserve">19.755,-8.998 </v>
      </c>
      <c r="H133" s="377" t="str">
        <f t="shared" si="287"/>
        <v xml:space="preserve">26.34,-7.528 </v>
      </c>
      <c r="I133" s="377" t="str">
        <f t="shared" si="288"/>
        <v xml:space="preserve">32.925,-6.748 </v>
      </c>
      <c r="J133" s="377" t="str">
        <f t="shared" si="289"/>
        <v xml:space="preserve">39.51,-6.448 </v>
      </c>
      <c r="K133" s="377" t="str">
        <f t="shared" si="290"/>
        <v xml:space="preserve">46.095,-6.448 </v>
      </c>
      <c r="L133" s="377" t="str">
        <f t="shared" si="291"/>
        <v xml:space="preserve">52.68,-6.448 </v>
      </c>
      <c r="M133" s="377" t="str">
        <f t="shared" si="292"/>
        <v xml:space="preserve">59.265,-6.448 </v>
      </c>
      <c r="N133" s="377" t="str">
        <f t="shared" si="293"/>
        <v xml:space="preserve">65.85,-6.448 </v>
      </c>
      <c r="O133" s="377" t="str">
        <f t="shared" si="294"/>
        <v xml:space="preserve">72.435,-6.448 </v>
      </c>
      <c r="P133" s="377" t="str">
        <f t="shared" si="295"/>
        <v xml:space="preserve">79.02,-6.448 </v>
      </c>
      <c r="Q133" s="377" t="str">
        <f t="shared" si="296"/>
        <v xml:space="preserve">85.605,-6.728 </v>
      </c>
      <c r="R133" s="377" t="str">
        <f t="shared" si="297"/>
        <v xml:space="preserve">92.19,-7.638 </v>
      </c>
      <c r="S133" s="377" t="str">
        <f t="shared" si="298"/>
        <v xml:space="preserve">98.775,-9.058 </v>
      </c>
      <c r="T133" s="377" t="str">
        <f t="shared" si="299"/>
        <v xml:space="preserve">105.36,-10.888 </v>
      </c>
      <c r="U133" s="377" t="str">
        <f t="shared" si="300"/>
        <v xml:space="preserve">111.945,-13.008 </v>
      </c>
      <c r="V133" s="377" t="str">
        <f t="shared" si="301"/>
        <v xml:space="preserve">118.53,-15.188 </v>
      </c>
      <c r="W133" s="377" t="str">
        <f t="shared" si="302"/>
        <v xml:space="preserve">121.823,-16.148 </v>
      </c>
      <c r="X133" s="377" t="str">
        <f t="shared" si="303"/>
        <v xml:space="preserve">125.115,-16.898 </v>
      </c>
      <c r="Y133" s="377" t="str">
        <f t="shared" si="304"/>
        <v xml:space="preserve">128.408,-17.388 </v>
      </c>
      <c r="Z133" s="395" t="str">
        <f t="shared" si="305"/>
        <v xml:space="preserve">131.7,-17.658 </v>
      </c>
      <c r="AB133" s="245" t="str">
        <f t="shared" si="317"/>
        <v xml:space="preserve">Spline </v>
      </c>
      <c r="AC133" s="245" t="str">
        <f>Tools!B133</f>
        <v xml:space="preserve">0,-18.698 </v>
      </c>
      <c r="AD133" s="245" t="str">
        <f>Tools!C133</f>
        <v xml:space="preserve">3.293,-18.698 </v>
      </c>
      <c r="AE133" s="245" t="str">
        <f>Tools!D133</f>
        <v xml:space="preserve">6.585,-18.698 </v>
      </c>
      <c r="AF133" s="245" t="str">
        <f>Tools!E133</f>
        <v xml:space="preserve">9.878,-16.298 </v>
      </c>
      <c r="AG133" s="245" t="str">
        <f>Tools!F133</f>
        <v xml:space="preserve">13.17,-13.198 </v>
      </c>
      <c r="AH133" s="245" t="str">
        <f>Tools!G133</f>
        <v xml:space="preserve">19.755,-8.998 </v>
      </c>
      <c r="AI133" s="245" t="str">
        <f>Tools!H133</f>
        <v xml:space="preserve">26.34,-7.528 </v>
      </c>
      <c r="AJ133" s="245" t="str">
        <f>Tools!I133</f>
        <v xml:space="preserve">32.925,-6.748 </v>
      </c>
      <c r="AK133" s="245" t="str">
        <f>Tools!J133</f>
        <v xml:space="preserve">39.51,-6.448 </v>
      </c>
      <c r="AL133" s="245" t="str">
        <f>Tools!K133</f>
        <v xml:space="preserve">46.095,-6.448 </v>
      </c>
      <c r="AM133" s="245" t="str">
        <f>Tools!L133</f>
        <v xml:space="preserve">52.68,-6.448 </v>
      </c>
      <c r="AN133" s="245" t="str">
        <f>Tools!M133</f>
        <v xml:space="preserve">59.265,-6.448 </v>
      </c>
      <c r="AO133" s="245" t="str">
        <f>Tools!N133</f>
        <v xml:space="preserve">65.85,-6.448 </v>
      </c>
      <c r="AP133" s="245" t="str">
        <f>Tools!O133</f>
        <v xml:space="preserve">72.435,-6.448 </v>
      </c>
      <c r="AQ133" s="245" t="str">
        <f>Tools!P133</f>
        <v xml:space="preserve">79.02,-6.448 </v>
      </c>
      <c r="AR133" s="245" t="str">
        <f>Tools!Q133</f>
        <v xml:space="preserve">85.605,-6.728 </v>
      </c>
      <c r="AS133" s="245" t="str">
        <f>Tools!R133</f>
        <v xml:space="preserve">92.19,-7.638 </v>
      </c>
      <c r="AT133" s="245" t="str">
        <f>Tools!S133</f>
        <v xml:space="preserve">98.775,-9.058 </v>
      </c>
      <c r="AU133" s="245" t="str">
        <f>Tools!T133</f>
        <v xml:space="preserve">105.36,-10.888 </v>
      </c>
      <c r="AV133" s="245" t="str">
        <f>Tools!U133</f>
        <v xml:space="preserve">111.945,-13.008 </v>
      </c>
      <c r="AW133" s="245" t="str">
        <f>Tools!V133</f>
        <v xml:space="preserve">118.53,-15.188 </v>
      </c>
      <c r="AX133" s="245" t="str">
        <f>Tools!W133</f>
        <v xml:space="preserve">121.823,-16.148 </v>
      </c>
      <c r="AY133" s="245" t="str">
        <f>Tools!X133</f>
        <v xml:space="preserve">125.115,-16.898 </v>
      </c>
      <c r="AZ133" s="245" t="str">
        <f>Tools!Y133</f>
        <v xml:space="preserve">128.408,-17.388 </v>
      </c>
      <c r="BA133" s="396" t="str">
        <f>Tools!Z133</f>
        <v xml:space="preserve">131.7,-17.658 </v>
      </c>
      <c r="BC133" s="274">
        <f>'Rise, etc.'!O9</f>
        <v>3</v>
      </c>
      <c r="BD133" s="277" t="str">
        <f>IF(ISNUMBER(VLOOKUP(BC133,'Rise, etc.'!O$3:P$28,2,FALSE)),VLOOKUP(BC133,'Rise, etc.'!O$3:P$28,2,FALSE),"-")</f>
        <v>-</v>
      </c>
      <c r="BE133" s="277" t="e">
        <f t="shared" si="353"/>
        <v>#VALUE!</v>
      </c>
      <c r="BF133" s="277" t="str">
        <f t="shared" si="319"/>
        <v>#NA</v>
      </c>
      <c r="BG133" s="277" t="str">
        <f t="shared" si="320"/>
        <v>#NA</v>
      </c>
      <c r="BH133" s="277" t="str">
        <f t="shared" si="321"/>
        <v>#NA</v>
      </c>
      <c r="BI133" s="277" t="str">
        <f t="shared" si="322"/>
        <v>#NA</v>
      </c>
      <c r="BJ133" s="277" t="str">
        <f t="shared" si="323"/>
        <v>#NA</v>
      </c>
      <c r="BK133" s="277" t="str">
        <f t="shared" si="324"/>
        <v>#NA</v>
      </c>
      <c r="BL133" s="277" t="str">
        <f t="shared" si="325"/>
        <v>#NA</v>
      </c>
      <c r="BM133" s="277"/>
      <c r="BN133" s="277" t="e">
        <f t="shared" si="326"/>
        <v>#VALUE!</v>
      </c>
      <c r="BO133" s="277" t="e">
        <f t="shared" si="327"/>
        <v>#VALUE!</v>
      </c>
      <c r="BP133" s="277" t="e">
        <f t="shared" si="328"/>
        <v>#VALUE!</v>
      </c>
      <c r="BQ133" s="277" t="e">
        <f t="shared" si="329"/>
        <v>#VALUE!</v>
      </c>
      <c r="BR133" s="277" t="e">
        <f t="shared" si="330"/>
        <v>#VALUE!</v>
      </c>
      <c r="BS133" s="277" t="e">
        <f t="shared" si="331"/>
        <v>#VALUE!</v>
      </c>
      <c r="BT133" s="277" t="e">
        <f t="shared" si="332"/>
        <v>#VALUE!</v>
      </c>
      <c r="BU133" s="277" t="e">
        <f t="shared" si="333"/>
        <v>#VALUE!</v>
      </c>
      <c r="BV133" s="277" t="e">
        <f t="shared" si="334"/>
        <v>#VALUE!</v>
      </c>
      <c r="BW133" s="277" t="e">
        <f t="shared" si="335"/>
        <v>#VALUE!</v>
      </c>
      <c r="BX133" s="277" t="e">
        <f t="shared" si="354"/>
        <v>#VALUE!</v>
      </c>
      <c r="BY133" s="277" t="e">
        <f t="shared" si="336"/>
        <v>#VALUE!</v>
      </c>
      <c r="BZ133" s="277" t="e">
        <f t="shared" si="337"/>
        <v>#VALUE!</v>
      </c>
      <c r="CA133" s="277" t="e">
        <f t="shared" si="338"/>
        <v>#VALUE!</v>
      </c>
      <c r="CB133" s="277" t="e">
        <f t="shared" si="339"/>
        <v>#VALUE!</v>
      </c>
      <c r="CC133" s="277" t="e">
        <f t="shared" si="340"/>
        <v>#VALUE!</v>
      </c>
      <c r="CD133" s="277" t="e">
        <f t="shared" si="341"/>
        <v>#VALUE!</v>
      </c>
      <c r="CE133" s="277" t="e">
        <f t="shared" si="342"/>
        <v>#VALUE!</v>
      </c>
      <c r="CF133" s="277" t="e">
        <f t="shared" si="343"/>
        <v>#VALUE!</v>
      </c>
      <c r="CG133" s="277" t="e">
        <f t="shared" si="344"/>
        <v>#VALUE!</v>
      </c>
      <c r="CH133" s="277" t="e">
        <f t="shared" si="345"/>
        <v>#VALUE!</v>
      </c>
      <c r="CI133" s="277" t="e">
        <f t="shared" si="346"/>
        <v>#VALUE!</v>
      </c>
      <c r="CJ133" s="277" t="e">
        <f t="shared" si="347"/>
        <v>#VALUE!</v>
      </c>
      <c r="CK133" s="277" t="e">
        <f t="shared" si="348"/>
        <v>#VALUE!</v>
      </c>
      <c r="CL133" s="277" t="e">
        <f t="shared" si="349"/>
        <v>#VALUE!</v>
      </c>
      <c r="CM133" s="276">
        <f t="shared" si="355"/>
        <v>0</v>
      </c>
      <c r="CO133" s="454">
        <v>7.2</v>
      </c>
      <c r="CP133" s="454" t="e">
        <v>#N/A</v>
      </c>
      <c r="CQ133" s="454" t="e">
        <v>#N/A</v>
      </c>
      <c r="CR133" s="454" t="e">
        <v>#N/A</v>
      </c>
      <c r="CS133" s="454">
        <v>-2.4</v>
      </c>
      <c r="CT133" s="454">
        <v>-5.5</v>
      </c>
      <c r="CU133" s="454">
        <v>-9.6999999999999993</v>
      </c>
      <c r="CV133" s="454">
        <v>-11.17</v>
      </c>
      <c r="CW133" s="454">
        <v>-11.95</v>
      </c>
      <c r="CX133" s="454">
        <v>-12.25</v>
      </c>
      <c r="CY133" s="454">
        <v>-12.25</v>
      </c>
      <c r="CZ133" s="454">
        <v>-12.25</v>
      </c>
      <c r="DA133" s="454">
        <v>-12.25</v>
      </c>
      <c r="DB133" s="454">
        <v>-12.25</v>
      </c>
      <c r="DC133" s="454">
        <v>12.25</v>
      </c>
      <c r="DD133" s="454">
        <v>12.25</v>
      </c>
      <c r="DE133" s="454">
        <v>11.97</v>
      </c>
      <c r="DF133" s="454">
        <v>11.06</v>
      </c>
      <c r="DG133" s="454">
        <v>9.64</v>
      </c>
      <c r="DH133" s="454">
        <v>7.81</v>
      </c>
      <c r="DI133" s="454">
        <v>5.69</v>
      </c>
      <c r="DJ133" s="454">
        <v>3.51</v>
      </c>
      <c r="DK133" s="454">
        <v>2.5499999999999998</v>
      </c>
      <c r="DL133" s="454">
        <v>1.8</v>
      </c>
      <c r="DM133" s="454">
        <v>1.31</v>
      </c>
      <c r="DN133" s="454">
        <v>1.04</v>
      </c>
      <c r="DO133" s="397"/>
      <c r="DP133" s="458">
        <f t="shared" si="272"/>
        <v>32.924999999999997</v>
      </c>
      <c r="DQ133" s="458" t="str">
        <f t="shared" si="273"/>
        <v/>
      </c>
      <c r="DR133" s="458" t="str">
        <f t="shared" ref="DR133:EO133" si="364">IFERROR(CONCATENATE(ROUND($DP133,3),",",ROUND(ABS(DK105),3),",",ROUND(EM105,3)," "),"")</f>
        <v xml:space="preserve">32.925,1.62,0 </v>
      </c>
      <c r="DS133" s="458" t="str">
        <f t="shared" si="364"/>
        <v xml:space="preserve">32.925,4.81,0.9 </v>
      </c>
      <c r="DT133" s="458" t="str">
        <f t="shared" si="364"/>
        <v xml:space="preserve">32.925,6.09,1.8 </v>
      </c>
      <c r="DU133" s="458" t="str">
        <f t="shared" si="364"/>
        <v xml:space="preserve">32.925,7.37,2.7 </v>
      </c>
      <c r="DV133" s="458" t="str">
        <f t="shared" si="364"/>
        <v xml:space="preserve">32.925,9.03,3.6 </v>
      </c>
      <c r="DW133" s="458" t="str">
        <f t="shared" si="364"/>
        <v xml:space="preserve">32.925,11.15,5.4 </v>
      </c>
      <c r="DX133" s="458" t="str">
        <f t="shared" si="364"/>
        <v xml:space="preserve">32.925,11.95,7.2 </v>
      </c>
      <c r="DY133" s="458" t="str">
        <f t="shared" si="364"/>
        <v xml:space="preserve">32.925,12.22,9 </v>
      </c>
      <c r="DZ133" s="458" t="str">
        <f t="shared" si="364"/>
        <v xml:space="preserve">32.925,12.25,10.1 </v>
      </c>
      <c r="EA133" s="458" t="str">
        <f t="shared" si="364"/>
        <v xml:space="preserve">32.925,12.25,10.8 </v>
      </c>
      <c r="EB133" s="458" t="str">
        <f t="shared" si="364"/>
        <v xml:space="preserve">32.925,12.25,12.6 </v>
      </c>
      <c r="EC133" s="458" t="str">
        <f t="shared" si="364"/>
        <v xml:space="preserve">32.925,12.25,14.19 </v>
      </c>
      <c r="ED133" s="458" t="str">
        <f t="shared" si="364"/>
        <v/>
      </c>
      <c r="EE133" s="458" t="str">
        <f t="shared" si="364"/>
        <v/>
      </c>
      <c r="EF133" s="458" t="str">
        <f t="shared" si="364"/>
        <v/>
      </c>
      <c r="EG133" s="458" t="str">
        <f t="shared" si="364"/>
        <v/>
      </c>
      <c r="EH133" s="458" t="str">
        <f t="shared" si="364"/>
        <v/>
      </c>
      <c r="EI133" s="458" t="str">
        <f t="shared" si="364"/>
        <v/>
      </c>
      <c r="EJ133" s="458" t="str">
        <f t="shared" si="364"/>
        <v/>
      </c>
      <c r="EK133" s="458" t="str">
        <f t="shared" si="364"/>
        <v/>
      </c>
      <c r="EL133" s="458" t="str">
        <f t="shared" si="364"/>
        <v/>
      </c>
      <c r="EM133" s="458" t="str">
        <f t="shared" si="364"/>
        <v/>
      </c>
      <c r="EN133" s="458" t="str">
        <f t="shared" si="364"/>
        <v/>
      </c>
      <c r="EO133" s="458" t="str">
        <f t="shared" si="364"/>
        <v/>
      </c>
      <c r="EP133" s="458" t="str">
        <f t="shared" si="273"/>
        <v/>
      </c>
      <c r="ER133" s="457" t="str">
        <f t="shared" si="307"/>
        <v xml:space="preserve">32.925,1.62,0 32.925,4.81,0.9 32.925,6.09,1.8 32.925,7.37,2.7 32.925,9.03,3.6 32.925,11.15,5.4 32.925,11.95,7.2 32.925,12.22,9 32.925,12.25,10.1 32.925,12.25,10.8 32.925,12.25,12.6 32.925,12.25,14.19 </v>
      </c>
      <c r="ES133" s="186" t="str">
        <f t="shared" ca="1" si="351"/>
        <v xml:space="preserve">Spline 32.925,0,0 32.925,1.62,0 32.925,4.81,0.9 32.925,6.09,1.8 32.925,7.37,2.7 32.925,9.03,3.6 32.925,11.15,5.4 32.925,11.95,7.2 32.925,12.22,9 32.925,12.25,10.1 32.925,12.25,10.8 32.925,12.25,12.6 32.925,12.25,14.19  </v>
      </c>
      <c r="ET133" s="129" t="str">
        <f t="shared" ca="1" si="308"/>
        <v xml:space="preserve">Spline 32.925,0,0 32.925,1.62,0 32.925,4.81,0.9 32.925,6.09,1.8 32.925,7.37,2.7 32.925,9.03,3.6 32.925,11.15,5.4 32.925,11.95,7.2 32.925,12.22,9 32.925,12.25,10.1 32.925,12.25,10.8 32.925,12.25,12.6 32.925,12.25,14.19  </v>
      </c>
      <c r="EU133" s="129">
        <f ca="1">COUNTIF(BP_8,NA())</f>
        <v>0</v>
      </c>
      <c r="EV133" s="129">
        <f t="shared" ca="1" si="274"/>
        <v>0</v>
      </c>
      <c r="EW133" s="129">
        <v>8</v>
      </c>
      <c r="EX133" s="129" t="str">
        <f t="shared" si="275"/>
        <v xml:space="preserve">32.925,12.25,14.19 </v>
      </c>
      <c r="EY133" s="129" t="str">
        <f t="shared" ca="1" si="276"/>
        <v xml:space="preserve">Spline 32.925,0,0 32.925,12.25,14.19 32.925,12.25,12.6 32.925,12.25,10.8 32.925,12.25,10.1 32.925,12.22,9 32.925,11.95,7.2 32.925,11.15,5.4 32.925,9.03,3.6 32.925,7.37,2.7 32.925,6.09,1.8 32.925,4.81,0.9 32.925,1.62,0 </v>
      </c>
      <c r="EZ133" s="186" t="str">
        <f t="shared" si="309"/>
        <v xml:space="preserve">32.925,1.62,0 32.925,4.81,0.9 32.925,6.09,1.8 32.925,7.37,2.7 32.925,9.03,3.6 32.925,11.15,5.4 32.925,11.95,7.2 32.925,12.22,9 32.925,12.25,10.1 32.925,12.25,10.8 32.925,12.25,12.6 32.925,12.25,14.19  </v>
      </c>
      <c r="FB133" s="458">
        <f t="shared" si="277"/>
        <v>32.924999999999997</v>
      </c>
      <c r="FC133" s="460" t="str">
        <f t="shared" si="310"/>
        <v/>
      </c>
      <c r="FD133" s="458" t="str">
        <f t="shared" ref="FD133:GB133" si="365">IFERROR(CONCATENATE(ROUND($DP133,3),",",-ROUND(ABS(DK105),3),",",ROUND(EM105,3)," "),"")</f>
        <v xml:space="preserve">32.925,-1.62,0 </v>
      </c>
      <c r="FE133" s="458" t="str">
        <f t="shared" si="365"/>
        <v xml:space="preserve">32.925,-4.81,0.9 </v>
      </c>
      <c r="FF133" s="458" t="str">
        <f t="shared" si="365"/>
        <v xml:space="preserve">32.925,-6.09,1.8 </v>
      </c>
      <c r="FG133" s="458" t="str">
        <f t="shared" si="365"/>
        <v xml:space="preserve">32.925,-7.37,2.7 </v>
      </c>
      <c r="FH133" s="458" t="str">
        <f t="shared" si="365"/>
        <v xml:space="preserve">32.925,-9.03,3.6 </v>
      </c>
      <c r="FI133" s="458" t="str">
        <f t="shared" si="365"/>
        <v xml:space="preserve">32.925,-11.15,5.4 </v>
      </c>
      <c r="FJ133" s="458" t="str">
        <f t="shared" si="365"/>
        <v xml:space="preserve">32.925,-11.95,7.2 </v>
      </c>
      <c r="FK133" s="458" t="str">
        <f t="shared" si="365"/>
        <v xml:space="preserve">32.925,-12.22,9 </v>
      </c>
      <c r="FL133" s="458" t="str">
        <f t="shared" si="365"/>
        <v xml:space="preserve">32.925,-12.25,10.1 </v>
      </c>
      <c r="FM133" s="458" t="str">
        <f t="shared" si="365"/>
        <v xml:space="preserve">32.925,-12.25,10.8 </v>
      </c>
      <c r="FN133" s="458" t="str">
        <f t="shared" si="365"/>
        <v xml:space="preserve">32.925,-12.25,12.6 </v>
      </c>
      <c r="FO133" s="458" t="str">
        <f t="shared" si="365"/>
        <v xml:space="preserve">32.925,-12.25,14.19 </v>
      </c>
      <c r="FP133" s="458" t="str">
        <f t="shared" si="365"/>
        <v/>
      </c>
      <c r="FQ133" s="458" t="str">
        <f t="shared" si="365"/>
        <v/>
      </c>
      <c r="FR133" s="458" t="str">
        <f t="shared" si="365"/>
        <v/>
      </c>
      <c r="FS133" s="458" t="str">
        <f t="shared" si="365"/>
        <v/>
      </c>
      <c r="FT133" s="458" t="str">
        <f t="shared" si="365"/>
        <v/>
      </c>
      <c r="FU133" s="458" t="str">
        <f t="shared" si="365"/>
        <v/>
      </c>
      <c r="FV133" s="458" t="str">
        <f t="shared" si="365"/>
        <v/>
      </c>
      <c r="FW133" s="458" t="str">
        <f t="shared" si="365"/>
        <v/>
      </c>
      <c r="FX133" s="458" t="str">
        <f t="shared" si="365"/>
        <v/>
      </c>
      <c r="FY133" s="458" t="str">
        <f t="shared" si="365"/>
        <v/>
      </c>
      <c r="FZ133" s="458" t="str">
        <f t="shared" si="365"/>
        <v/>
      </c>
      <c r="GA133" s="458" t="str">
        <f t="shared" si="365"/>
        <v/>
      </c>
      <c r="GB133" s="458" t="str">
        <f t="shared" si="365"/>
        <v/>
      </c>
      <c r="GC133" s="129" t="str">
        <f t="shared" si="312"/>
        <v xml:space="preserve">32.925,12.25,14.19 32.925,12.25,12.6 32.925,12.25,10.8 32.925,12.25,10.1 32.925,12.22,9 32.925,11.95,7.2 32.925,11.15,5.4 32.925,9.03,3.6 32.925,7.37,2.7 32.925,6.09,1.8 32.925,4.81,0.9 32.925,1.62,0 </v>
      </c>
      <c r="GD133" s="129" t="str">
        <f t="shared" ca="1" si="279"/>
        <v>Spline 32.925,12.25,14.19 32.925,12.25,12.6 32.925,12.25,10.8 32.925,12.25,10.1 32.925,12.22,9 32.925,11.95,7.2 32.925,11.15,5.4 32.925,9.03,3.6 32.925,7.37,2.7 32.925,6.09,1.8 32.925,4.81,0.9 32.925,1.62,0 32.925,0,0</v>
      </c>
      <c r="GE133" s="461" t="str">
        <f t="shared" si="313"/>
        <v xml:space="preserve">32.925,-1.62,0 32.925,-4.81,0.9 32.925,-6.09,1.8 32.925,-7.37,2.7 32.925,-9.03,3.6 32.925,-11.15,5.4 32.925,-11.95,7.2 32.925,-12.22,9 32.925,-12.25,10.1 32.925,-12.25,10.8 32.925,-12.25,12.6 32.925,-12.25,14.19 </v>
      </c>
      <c r="GH133" s="129" t="str">
        <f t="shared" si="314"/>
        <v xml:space="preserve">Spline 32.925,12.25,14.19 32.925,12.25,12.6 32.925,12.25,10.8 32.925,12.25,10.1 32.925,12.22,9 32.925,11.95,7.2 32.925,11.15,5.4 32.925,9.03,3.6 32.925,7.37,2.7 32.925,6.09,1.8 32.925,4.81,0.9 32.925,1.62,0 T 32.925,0,0 </v>
      </c>
      <c r="GI133" s="129" t="str">
        <f t="shared" si="315"/>
        <v xml:space="preserve">Spline 32.925,1.62,0 32.925,0,0  Join 32.925,0,0  32.925,12.25,14.19 </v>
      </c>
      <c r="GP133" s="129" t="str">
        <f t="shared" si="280"/>
        <v xml:space="preserve">32.925,0,0 </v>
      </c>
      <c r="GQ133" s="129" t="str">
        <f t="shared" si="316"/>
        <v>Curve 32.925,12.25,14.19 32.925,12.25,12.6 32.925,12.25,10.8 32.925,12.25,10.1 32.925,12.22,9 32.925,11.95,7.2 32.925,11.15,5.4 32.925,9.03,3.6 32.925,7.37,2.7 32.925,6.09,1.8 32.925,4.81,0.9 32.925,1.62,0 32.925,0,0 _enter</v>
      </c>
    </row>
    <row r="134" spans="1:199" x14ac:dyDescent="0.25">
      <c r="A134" s="374">
        <f t="shared" si="271"/>
        <v>5</v>
      </c>
      <c r="B134" s="377" t="str">
        <f t="shared" si="281"/>
        <v xml:space="preserve">0,-18.698 </v>
      </c>
      <c r="C134" s="377" t="str">
        <f t="shared" si="282"/>
        <v xml:space="preserve">3.293,-17.498 </v>
      </c>
      <c r="D134" s="377" t="str">
        <f t="shared" si="283"/>
        <v xml:space="preserve">6.585,-12.578 </v>
      </c>
      <c r="E134" s="377" t="str">
        <f t="shared" si="284"/>
        <v xml:space="preserve">9.878,-10.148 </v>
      </c>
      <c r="F134" s="377" t="str">
        <f t="shared" si="285"/>
        <v xml:space="preserve">13.17,-8.798 </v>
      </c>
      <c r="G134" s="377" t="str">
        <f t="shared" si="286"/>
        <v xml:space="preserve">19.755,-7.468 </v>
      </c>
      <c r="H134" s="377" t="str">
        <f t="shared" si="287"/>
        <v xml:space="preserve">26.34,-6.788 </v>
      </c>
      <c r="I134" s="377" t="str">
        <f t="shared" si="288"/>
        <v xml:space="preserve">32.925,-6.478 </v>
      </c>
      <c r="J134" s="377" t="str">
        <f t="shared" si="289"/>
        <v xml:space="preserve">39.51,-6.448 </v>
      </c>
      <c r="K134" s="377" t="str">
        <f t="shared" si="290"/>
        <v xml:space="preserve">46.095,-6.448 </v>
      </c>
      <c r="L134" s="377" t="str">
        <f t="shared" si="291"/>
        <v xml:space="preserve">52.68,-6.448 </v>
      </c>
      <c r="M134" s="377" t="str">
        <f t="shared" si="292"/>
        <v xml:space="preserve">59.265,-6.448 </v>
      </c>
      <c r="N134" s="377" t="str">
        <f t="shared" si="293"/>
        <v xml:space="preserve">65.85,-6.448 </v>
      </c>
      <c r="O134" s="377" t="str">
        <f t="shared" si="294"/>
        <v xml:space="preserve">72.435,-6.448 </v>
      </c>
      <c r="P134" s="377" t="str">
        <f t="shared" si="295"/>
        <v xml:space="preserve">79.02,-6.448 </v>
      </c>
      <c r="Q134" s="377" t="str">
        <f t="shared" si="296"/>
        <v xml:space="preserve">85.605,-6.518 </v>
      </c>
      <c r="R134" s="377" t="str">
        <f t="shared" si="297"/>
        <v xml:space="preserve">92.19,-7.238 </v>
      </c>
      <c r="S134" s="377" t="str">
        <f t="shared" si="298"/>
        <v xml:space="preserve">98.775,-8.438 </v>
      </c>
      <c r="T134" s="377" t="str">
        <f t="shared" si="299"/>
        <v xml:space="preserve">105.36,-10.068 </v>
      </c>
      <c r="U134" s="377" t="str">
        <f t="shared" si="300"/>
        <v xml:space="preserve">111.945,-12.108 </v>
      </c>
      <c r="V134" s="377" t="str">
        <f t="shared" si="301"/>
        <v xml:space="preserve">118.53,-14.418 </v>
      </c>
      <c r="W134" s="377" t="str">
        <f t="shared" si="302"/>
        <v xml:space="preserve">121.823,-15.578 </v>
      </c>
      <c r="X134" s="377" t="str">
        <f t="shared" si="303"/>
        <v xml:space="preserve">125.115,-16.698 </v>
      </c>
      <c r="Y134" s="377" t="str">
        <f t="shared" si="304"/>
        <v xml:space="preserve">128.408,-17.698 </v>
      </c>
      <c r="Z134" s="395" t="str">
        <f t="shared" si="305"/>
        <v xml:space="preserve">131.7,-18.698 </v>
      </c>
      <c r="AB134" s="245" t="str">
        <f t="shared" si="317"/>
        <v xml:space="preserve">Spline </v>
      </c>
      <c r="AC134" s="245" t="str">
        <f>Tools!B134</f>
        <v xml:space="preserve">0,-18.698 </v>
      </c>
      <c r="AD134" s="245" t="str">
        <f>Tools!C134</f>
        <v xml:space="preserve">3.293,-17.498 </v>
      </c>
      <c r="AE134" s="245" t="str">
        <f>Tools!D134</f>
        <v xml:space="preserve">6.585,-12.578 </v>
      </c>
      <c r="AF134" s="245" t="str">
        <f>Tools!E134</f>
        <v xml:space="preserve">9.878,-10.148 </v>
      </c>
      <c r="AG134" s="245" t="str">
        <f>Tools!F134</f>
        <v xml:space="preserve">13.17,-8.798 </v>
      </c>
      <c r="AH134" s="245" t="str">
        <f>Tools!G134</f>
        <v xml:space="preserve">19.755,-7.468 </v>
      </c>
      <c r="AI134" s="245" t="str">
        <f>Tools!H134</f>
        <v xml:space="preserve">26.34,-6.788 </v>
      </c>
      <c r="AJ134" s="245" t="str">
        <f>Tools!I134</f>
        <v xml:space="preserve">32.925,-6.478 </v>
      </c>
      <c r="AK134" s="245" t="str">
        <f>Tools!J134</f>
        <v xml:space="preserve">39.51,-6.448 </v>
      </c>
      <c r="AL134" s="245" t="str">
        <f>Tools!K134</f>
        <v xml:space="preserve">46.095,-6.448 </v>
      </c>
      <c r="AM134" s="245" t="str">
        <f>Tools!L134</f>
        <v xml:space="preserve">52.68,-6.448 </v>
      </c>
      <c r="AN134" s="245" t="str">
        <f>Tools!M134</f>
        <v xml:space="preserve">59.265,-6.448 </v>
      </c>
      <c r="AO134" s="245" t="str">
        <f>Tools!N134</f>
        <v xml:space="preserve">65.85,-6.448 </v>
      </c>
      <c r="AP134" s="245" t="str">
        <f>Tools!O134</f>
        <v xml:space="preserve">72.435,-6.448 </v>
      </c>
      <c r="AQ134" s="245" t="str">
        <f>Tools!P134</f>
        <v xml:space="preserve">79.02,-6.448 </v>
      </c>
      <c r="AR134" s="245" t="str">
        <f>Tools!Q134</f>
        <v xml:space="preserve">85.605,-6.518 </v>
      </c>
      <c r="AS134" s="245" t="str">
        <f>Tools!R134</f>
        <v xml:space="preserve">92.19,-7.238 </v>
      </c>
      <c r="AT134" s="245" t="str">
        <f>Tools!S134</f>
        <v xml:space="preserve">98.775,-8.438 </v>
      </c>
      <c r="AU134" s="245" t="str">
        <f>Tools!T134</f>
        <v xml:space="preserve">105.36,-10.068 </v>
      </c>
      <c r="AV134" s="245" t="str">
        <f>Tools!U134</f>
        <v xml:space="preserve">111.945,-12.108 </v>
      </c>
      <c r="AW134" s="245" t="str">
        <f>Tools!V134</f>
        <v xml:space="preserve">118.53,-14.418 </v>
      </c>
      <c r="AX134" s="245" t="str">
        <f>Tools!W134</f>
        <v xml:space="preserve">121.823,-15.578 </v>
      </c>
      <c r="AY134" s="245" t="str">
        <f>Tools!X134</f>
        <v xml:space="preserve">125.115,-16.698 </v>
      </c>
      <c r="AZ134" s="245" t="str">
        <f>Tools!Y134</f>
        <v xml:space="preserve">128.408,-17.698 </v>
      </c>
      <c r="BA134" s="396" t="str">
        <f>Tools!Z134</f>
        <v xml:space="preserve">131.7,-18.698 </v>
      </c>
      <c r="BC134" s="274">
        <f>'Rise, etc.'!O10</f>
        <v>4</v>
      </c>
      <c r="BD134" s="277" t="str">
        <f>IF(ISNUMBER(VLOOKUP(BC134,'Rise, etc.'!O$3:P$28,2,FALSE)),VLOOKUP(BC134,'Rise, etc.'!O$3:P$28,2,FALSE),"-")</f>
        <v>-</v>
      </c>
      <c r="BE134" s="277" t="e">
        <f t="shared" si="353"/>
        <v>#VALUE!</v>
      </c>
      <c r="BF134" s="277" t="str">
        <f t="shared" si="319"/>
        <v>#NA</v>
      </c>
      <c r="BG134" s="277" t="str">
        <f t="shared" si="320"/>
        <v>#NA</v>
      </c>
      <c r="BH134" s="277" t="str">
        <f t="shared" si="321"/>
        <v>#NA</v>
      </c>
      <c r="BI134" s="277" t="str">
        <f t="shared" si="322"/>
        <v>#NA</v>
      </c>
      <c r="BJ134" s="277" t="str">
        <f t="shared" si="323"/>
        <v>#NA</v>
      </c>
      <c r="BK134" s="277" t="str">
        <f t="shared" si="324"/>
        <v>#NA</v>
      </c>
      <c r="BL134" s="277" t="str">
        <f t="shared" si="325"/>
        <v>#NA</v>
      </c>
      <c r="BM134" s="277"/>
      <c r="BN134" s="277" t="e">
        <f t="shared" si="326"/>
        <v>#VALUE!</v>
      </c>
      <c r="BO134" s="277" t="e">
        <f t="shared" si="327"/>
        <v>#VALUE!</v>
      </c>
      <c r="BP134" s="277" t="e">
        <f t="shared" si="328"/>
        <v>#VALUE!</v>
      </c>
      <c r="BQ134" s="277" t="e">
        <f t="shared" si="329"/>
        <v>#VALUE!</v>
      </c>
      <c r="BR134" s="277" t="e">
        <f t="shared" si="330"/>
        <v>#VALUE!</v>
      </c>
      <c r="BS134" s="277" t="e">
        <f t="shared" si="331"/>
        <v>#VALUE!</v>
      </c>
      <c r="BT134" s="277" t="e">
        <f t="shared" si="332"/>
        <v>#VALUE!</v>
      </c>
      <c r="BU134" s="277" t="e">
        <f t="shared" si="333"/>
        <v>#VALUE!</v>
      </c>
      <c r="BV134" s="277" t="e">
        <f t="shared" si="334"/>
        <v>#VALUE!</v>
      </c>
      <c r="BW134" s="277" t="e">
        <f t="shared" si="335"/>
        <v>#VALUE!</v>
      </c>
      <c r="BX134" s="277" t="e">
        <f t="shared" si="354"/>
        <v>#VALUE!</v>
      </c>
      <c r="BY134" s="277" t="e">
        <f t="shared" si="336"/>
        <v>#VALUE!</v>
      </c>
      <c r="BZ134" s="277" t="e">
        <f t="shared" si="337"/>
        <v>#VALUE!</v>
      </c>
      <c r="CA134" s="277" t="e">
        <f t="shared" si="338"/>
        <v>#VALUE!</v>
      </c>
      <c r="CB134" s="277" t="e">
        <f t="shared" si="339"/>
        <v>#VALUE!</v>
      </c>
      <c r="CC134" s="277" t="e">
        <f t="shared" si="340"/>
        <v>#VALUE!</v>
      </c>
      <c r="CD134" s="277" t="e">
        <f t="shared" si="341"/>
        <v>#VALUE!</v>
      </c>
      <c r="CE134" s="277" t="e">
        <f t="shared" si="342"/>
        <v>#VALUE!</v>
      </c>
      <c r="CF134" s="277" t="e">
        <f t="shared" si="343"/>
        <v>#VALUE!</v>
      </c>
      <c r="CG134" s="277" t="e">
        <f t="shared" si="344"/>
        <v>#VALUE!</v>
      </c>
      <c r="CH134" s="277" t="e">
        <f t="shared" si="345"/>
        <v>#VALUE!</v>
      </c>
      <c r="CI134" s="277" t="e">
        <f t="shared" si="346"/>
        <v>#VALUE!</v>
      </c>
      <c r="CJ134" s="277" t="e">
        <f t="shared" si="347"/>
        <v>#VALUE!</v>
      </c>
      <c r="CK134" s="277" t="e">
        <f t="shared" si="348"/>
        <v>#VALUE!</v>
      </c>
      <c r="CL134" s="277" t="e">
        <f t="shared" si="349"/>
        <v>#VALUE!</v>
      </c>
      <c r="CM134" s="276">
        <f t="shared" si="355"/>
        <v>0</v>
      </c>
      <c r="CO134" s="454">
        <v>9</v>
      </c>
      <c r="CP134" s="454" t="e">
        <v>#N/A</v>
      </c>
      <c r="CQ134" s="454">
        <v>-1.2</v>
      </c>
      <c r="CR134" s="454">
        <v>-6.12</v>
      </c>
      <c r="CS134" s="454">
        <v>-8.5500000000000007</v>
      </c>
      <c r="CT134" s="454">
        <v>-9.9</v>
      </c>
      <c r="CU134" s="454">
        <v>-11.23</v>
      </c>
      <c r="CV134" s="454">
        <v>-11.91</v>
      </c>
      <c r="CW134" s="454">
        <v>-12.22</v>
      </c>
      <c r="CX134" s="454">
        <v>-12.25</v>
      </c>
      <c r="CY134" s="454">
        <v>-12.25</v>
      </c>
      <c r="CZ134" s="454">
        <v>-12.25</v>
      </c>
      <c r="DA134" s="454">
        <v>-12.25</v>
      </c>
      <c r="DB134" s="454">
        <v>-12.25</v>
      </c>
      <c r="DC134" s="454">
        <v>12.25</v>
      </c>
      <c r="DD134" s="454">
        <v>12.25</v>
      </c>
      <c r="DE134" s="454">
        <v>12.18</v>
      </c>
      <c r="DF134" s="454">
        <v>11.46</v>
      </c>
      <c r="DG134" s="454">
        <v>10.26</v>
      </c>
      <c r="DH134" s="454">
        <v>8.6300000000000008</v>
      </c>
      <c r="DI134" s="454">
        <v>6.59</v>
      </c>
      <c r="DJ134" s="454">
        <v>4.28</v>
      </c>
      <c r="DK134" s="454">
        <v>3.12</v>
      </c>
      <c r="DL134" s="454">
        <v>2</v>
      </c>
      <c r="DM134" s="454">
        <v>1</v>
      </c>
      <c r="DN134" s="454">
        <v>0</v>
      </c>
      <c r="DO134" s="397"/>
      <c r="DP134" s="458">
        <f t="shared" si="272"/>
        <v>39.509999999999991</v>
      </c>
      <c r="DQ134" s="458" t="str">
        <f t="shared" si="273"/>
        <v/>
      </c>
      <c r="DR134" s="458" t="str">
        <f t="shared" ref="DR134:EO134" si="366">IFERROR(CONCATENATE(ROUND($DP134,3),",",ROUND(ABS(DK106),3),",",ROUND(EM106,3)," "),"")</f>
        <v xml:space="preserve">39.51,2.2,0 </v>
      </c>
      <c r="DS134" s="458" t="str">
        <f t="shared" si="366"/>
        <v xml:space="preserve">39.51,6.59,0.9 </v>
      </c>
      <c r="DT134" s="458" t="str">
        <f t="shared" si="366"/>
        <v xml:space="preserve">39.51,8.34,1.8 </v>
      </c>
      <c r="DU134" s="458" t="str">
        <f t="shared" si="366"/>
        <v xml:space="preserve">39.51,9.82,2.7 </v>
      </c>
      <c r="DV134" s="458" t="str">
        <f t="shared" si="366"/>
        <v xml:space="preserve">39.51,10.92,3.6 </v>
      </c>
      <c r="DW134" s="458" t="str">
        <f t="shared" si="366"/>
        <v xml:space="preserve">39.51,11.97,5.4 </v>
      </c>
      <c r="DX134" s="458" t="str">
        <f t="shared" si="366"/>
        <v xml:space="preserve">39.51,12.25,7.2 </v>
      </c>
      <c r="DY134" s="458" t="str">
        <f t="shared" si="366"/>
        <v xml:space="preserve">39.51,12.25,9 </v>
      </c>
      <c r="DZ134" s="458" t="str">
        <f t="shared" si="366"/>
        <v xml:space="preserve">39.51,12.25,10.1 </v>
      </c>
      <c r="EA134" s="458" t="str">
        <f t="shared" si="366"/>
        <v xml:space="preserve">39.51,12.25,10.8 </v>
      </c>
      <c r="EB134" s="458" t="str">
        <f t="shared" si="366"/>
        <v xml:space="preserve">39.51,12.25,12.6 </v>
      </c>
      <c r="EC134" s="458" t="str">
        <f t="shared" si="366"/>
        <v xml:space="preserve">39.51,12.25,14.19 </v>
      </c>
      <c r="ED134" s="458" t="str">
        <f t="shared" si="366"/>
        <v/>
      </c>
      <c r="EE134" s="458" t="str">
        <f t="shared" si="366"/>
        <v/>
      </c>
      <c r="EF134" s="458" t="str">
        <f t="shared" si="366"/>
        <v/>
      </c>
      <c r="EG134" s="458" t="str">
        <f t="shared" si="366"/>
        <v/>
      </c>
      <c r="EH134" s="458" t="str">
        <f t="shared" si="366"/>
        <v/>
      </c>
      <c r="EI134" s="458" t="str">
        <f t="shared" si="366"/>
        <v/>
      </c>
      <c r="EJ134" s="458" t="str">
        <f t="shared" si="366"/>
        <v/>
      </c>
      <c r="EK134" s="458" t="str">
        <f t="shared" si="366"/>
        <v/>
      </c>
      <c r="EL134" s="458" t="str">
        <f t="shared" si="366"/>
        <v/>
      </c>
      <c r="EM134" s="458" t="str">
        <f t="shared" si="366"/>
        <v/>
      </c>
      <c r="EN134" s="458" t="str">
        <f t="shared" si="366"/>
        <v/>
      </c>
      <c r="EO134" s="458" t="str">
        <f t="shared" si="366"/>
        <v/>
      </c>
      <c r="EP134" s="458" t="str">
        <f t="shared" si="273"/>
        <v/>
      </c>
      <c r="ER134" s="457" t="str">
        <f t="shared" si="307"/>
        <v xml:space="preserve">39.51,2.2,0 39.51,6.59,0.9 39.51,8.34,1.8 39.51,9.82,2.7 39.51,10.92,3.6 39.51,11.97,5.4 39.51,12.25,7.2 39.51,12.25,9 39.51,12.25,10.1 39.51,12.25,10.8 39.51,12.25,12.6 39.51,12.25,14.19 </v>
      </c>
      <c r="ES134" s="186" t="str">
        <f t="shared" ca="1" si="351"/>
        <v xml:space="preserve">Spline 39.51,0,0 39.51,2.2,0 39.51,6.59,0.9 39.51,8.34,1.8 39.51,9.82,2.7 39.51,10.92,3.6 39.51,11.97,5.4 39.51,12.25,7.2 39.51,12.25,9 39.51,12.25,10.1 39.51,12.25,10.8 39.51,12.25,12.6 39.51,12.25,14.19  </v>
      </c>
      <c r="ET134" s="129" t="str">
        <f t="shared" ca="1" si="308"/>
        <v xml:space="preserve">Spline 39.51,0,0 39.51,2.2,0 39.51,6.59,0.9 39.51,8.34,1.8 39.51,9.82,2.7 39.51,10.92,3.6 39.51,11.97,5.4 39.51,12.25,7.2 39.51,12.25,9 39.51,12.25,10.1 39.51,12.25,10.8 39.51,12.25,12.6 39.51,12.25,14.19  </v>
      </c>
      <c r="EU134" s="129">
        <f ca="1">COUNTIF(BP_9,NA())</f>
        <v>0</v>
      </c>
      <c r="EV134" s="129">
        <f t="shared" ca="1" si="274"/>
        <v>0</v>
      </c>
      <c r="EW134" s="129">
        <v>9</v>
      </c>
      <c r="EX134" s="129" t="str">
        <f t="shared" si="275"/>
        <v xml:space="preserve">39.51,12.25,14.19 </v>
      </c>
      <c r="EY134" s="129" t="str">
        <f t="shared" ca="1" si="276"/>
        <v xml:space="preserve">Spline 39.51,0,0 39.51,12.25,14.19 39.51,12.25,12.6 39.51,12.25,10.8 39.51,12.25,10.1 39.51,12.25,9 39.51,12.25,7.2 39.51,11.97,5.4 39.51,10.92,3.6 39.51,9.82,2.7 39.51,8.34,1.8 39.51,6.59,0.9 39.51,2.2,0 </v>
      </c>
      <c r="EZ134" s="186" t="str">
        <f t="shared" si="309"/>
        <v xml:space="preserve">39.51,2.2,0 39.51,6.59,0.9 39.51,8.34,1.8 39.51,9.82,2.7 39.51,10.92,3.6 39.51,11.97,5.4 39.51,12.25,7.2 39.51,12.25,9 39.51,12.25,10.1 39.51,12.25,10.8 39.51,12.25,12.6 39.51,12.25,14.19  </v>
      </c>
      <c r="FB134" s="458">
        <f t="shared" si="277"/>
        <v>39.509999999999991</v>
      </c>
      <c r="FC134" s="460" t="str">
        <f t="shared" si="310"/>
        <v/>
      </c>
      <c r="FD134" s="458" t="str">
        <f t="shared" ref="FD134:GB134" si="367">IFERROR(CONCATENATE(ROUND($DP134,3),",",-ROUND(ABS(DK106),3),",",ROUND(EM106,3)," "),"")</f>
        <v xml:space="preserve">39.51,-2.2,0 </v>
      </c>
      <c r="FE134" s="458" t="str">
        <f t="shared" si="367"/>
        <v xml:space="preserve">39.51,-6.59,0.9 </v>
      </c>
      <c r="FF134" s="458" t="str">
        <f t="shared" si="367"/>
        <v xml:space="preserve">39.51,-8.34,1.8 </v>
      </c>
      <c r="FG134" s="458" t="str">
        <f t="shared" si="367"/>
        <v xml:space="preserve">39.51,-9.82,2.7 </v>
      </c>
      <c r="FH134" s="458" t="str">
        <f t="shared" si="367"/>
        <v xml:space="preserve">39.51,-10.92,3.6 </v>
      </c>
      <c r="FI134" s="458" t="str">
        <f t="shared" si="367"/>
        <v xml:space="preserve">39.51,-11.97,5.4 </v>
      </c>
      <c r="FJ134" s="458" t="str">
        <f t="shared" si="367"/>
        <v xml:space="preserve">39.51,-12.25,7.2 </v>
      </c>
      <c r="FK134" s="458" t="str">
        <f t="shared" si="367"/>
        <v xml:space="preserve">39.51,-12.25,9 </v>
      </c>
      <c r="FL134" s="458" t="str">
        <f t="shared" si="367"/>
        <v xml:space="preserve">39.51,-12.25,10.1 </v>
      </c>
      <c r="FM134" s="458" t="str">
        <f t="shared" si="367"/>
        <v xml:space="preserve">39.51,-12.25,10.8 </v>
      </c>
      <c r="FN134" s="458" t="str">
        <f t="shared" si="367"/>
        <v xml:space="preserve">39.51,-12.25,12.6 </v>
      </c>
      <c r="FO134" s="458" t="str">
        <f t="shared" si="367"/>
        <v xml:space="preserve">39.51,-12.25,14.19 </v>
      </c>
      <c r="FP134" s="458" t="str">
        <f t="shared" si="367"/>
        <v/>
      </c>
      <c r="FQ134" s="458" t="str">
        <f t="shared" si="367"/>
        <v/>
      </c>
      <c r="FR134" s="458" t="str">
        <f t="shared" si="367"/>
        <v/>
      </c>
      <c r="FS134" s="458" t="str">
        <f t="shared" si="367"/>
        <v/>
      </c>
      <c r="FT134" s="458" t="str">
        <f t="shared" si="367"/>
        <v/>
      </c>
      <c r="FU134" s="458" t="str">
        <f t="shared" si="367"/>
        <v/>
      </c>
      <c r="FV134" s="458" t="str">
        <f t="shared" si="367"/>
        <v/>
      </c>
      <c r="FW134" s="458" t="str">
        <f t="shared" si="367"/>
        <v/>
      </c>
      <c r="FX134" s="458" t="str">
        <f t="shared" si="367"/>
        <v/>
      </c>
      <c r="FY134" s="458" t="str">
        <f t="shared" si="367"/>
        <v/>
      </c>
      <c r="FZ134" s="458" t="str">
        <f t="shared" si="367"/>
        <v/>
      </c>
      <c r="GA134" s="458" t="str">
        <f t="shared" si="367"/>
        <v/>
      </c>
      <c r="GB134" s="458" t="str">
        <f t="shared" si="367"/>
        <v/>
      </c>
      <c r="GC134" s="129" t="str">
        <f t="shared" si="312"/>
        <v xml:space="preserve">39.51,12.25,14.19 39.51,12.25,12.6 39.51,12.25,10.8 39.51,12.25,10.1 39.51,12.25,9 39.51,12.25,7.2 39.51,11.97,5.4 39.51,10.92,3.6 39.51,9.82,2.7 39.51,8.34,1.8 39.51,6.59,0.9 39.51,2.2,0 </v>
      </c>
      <c r="GD134" s="129" t="str">
        <f t="shared" ca="1" si="279"/>
        <v>Spline 39.51,12.25,14.19 39.51,12.25,12.6 39.51,12.25,10.8 39.51,12.25,10.1 39.51,12.25,9 39.51,12.25,7.2 39.51,11.97,5.4 39.51,10.92,3.6 39.51,9.82,2.7 39.51,8.34,1.8 39.51,6.59,0.9 39.51,2.2,0 39.51,0,0</v>
      </c>
      <c r="GE134" s="461" t="str">
        <f t="shared" si="313"/>
        <v xml:space="preserve">39.51,-2.2,0 39.51,-6.59,0.9 39.51,-8.34,1.8 39.51,-9.82,2.7 39.51,-10.92,3.6 39.51,-11.97,5.4 39.51,-12.25,7.2 39.51,-12.25,9 39.51,-12.25,10.1 39.51,-12.25,10.8 39.51,-12.25,12.6 39.51,-12.25,14.19 </v>
      </c>
      <c r="GH134" s="129" t="str">
        <f t="shared" si="314"/>
        <v xml:space="preserve">Spline 39.51,12.25,14.19 39.51,12.25,12.6 39.51,12.25,10.8 39.51,12.25,10.1 39.51,12.25,9 39.51,12.25,7.2 39.51,11.97,5.4 39.51,10.92,3.6 39.51,9.82,2.7 39.51,8.34,1.8 39.51,6.59,0.9 39.51,2.2,0 T 39.51,0,0 </v>
      </c>
      <c r="GI134" s="129" t="str">
        <f t="shared" si="315"/>
        <v xml:space="preserve">Spline 39.51,2.2,0 39.51,0,0  Join 39.51,0,0  39.51,12.25,14.19 </v>
      </c>
      <c r="GP134" s="129" t="str">
        <f t="shared" si="280"/>
        <v xml:space="preserve">39.51,0,0 </v>
      </c>
      <c r="GQ134" s="129" t="str">
        <f t="shared" si="316"/>
        <v>Curve 39.51,12.25,14.19 39.51,12.25,12.6 39.51,12.25,10.8 39.51,12.25,10.1 39.51,12.25,9 39.51,12.25,7.2 39.51,11.97,5.4 39.51,10.92,3.6 39.51,9.82,2.7 39.51,8.34,1.8 39.51,6.59,0.9 39.51,2.2,0 39.51,0,0 _enter</v>
      </c>
    </row>
    <row r="135" spans="1:199" x14ac:dyDescent="0.25">
      <c r="A135" s="374">
        <f t="shared" si="271"/>
        <v>5.6111111111111107</v>
      </c>
      <c r="B135" s="377" t="str">
        <f t="shared" si="281"/>
        <v xml:space="preserve">0,-15.806 </v>
      </c>
      <c r="C135" s="377" t="str">
        <f t="shared" si="282"/>
        <v xml:space="preserve">3.293,-11.898 </v>
      </c>
      <c r="D135" s="377" t="str">
        <f t="shared" si="283"/>
        <v xml:space="preserve">6.585,-9.898 </v>
      </c>
      <c r="E135" s="377" t="str">
        <f t="shared" si="284"/>
        <v xml:space="preserve">9.878,-8.558 </v>
      </c>
      <c r="F135" s="377" t="str">
        <f t="shared" si="285"/>
        <v xml:space="preserve">13.17,-7.798 </v>
      </c>
      <c r="G135" s="377" t="str">
        <f t="shared" si="286"/>
        <v xml:space="preserve">19.755,-6.998 </v>
      </c>
      <c r="H135" s="377" t="str">
        <f t="shared" si="287"/>
        <v xml:space="preserve">26.34,-6.558 </v>
      </c>
      <c r="I135" s="377" t="str">
        <f t="shared" si="288"/>
        <v xml:space="preserve">32.925,-6.448 </v>
      </c>
      <c r="J135" s="377" t="str">
        <f t="shared" si="289"/>
        <v xml:space="preserve">39.51,-6.448 </v>
      </c>
      <c r="K135" s="377" t="str">
        <f t="shared" si="290"/>
        <v xml:space="preserve">46.095,-6.448 </v>
      </c>
      <c r="L135" s="377" t="str">
        <f t="shared" si="291"/>
        <v xml:space="preserve">52.68,-6.448 </v>
      </c>
      <c r="M135" s="377" t="str">
        <f t="shared" si="292"/>
        <v xml:space="preserve">59.265,-6.448 </v>
      </c>
      <c r="N135" s="377" t="str">
        <f t="shared" si="293"/>
        <v xml:space="preserve">65.85,-6.448 </v>
      </c>
      <c r="O135" s="377" t="str">
        <f t="shared" si="294"/>
        <v xml:space="preserve">72.435,-6.448 </v>
      </c>
      <c r="P135" s="377" t="str">
        <f t="shared" si="295"/>
        <v xml:space="preserve">79.02,-6.448 </v>
      </c>
      <c r="Q135" s="377" t="str">
        <f t="shared" si="296"/>
        <v xml:space="preserve">85.605,-6.478 </v>
      </c>
      <c r="R135" s="377" t="str">
        <f t="shared" si="297"/>
        <v xml:space="preserve">92.19,-7.028 </v>
      </c>
      <c r="S135" s="377" t="str">
        <f t="shared" si="298"/>
        <v xml:space="preserve">98.775,-8.098 </v>
      </c>
      <c r="T135" s="377" t="str">
        <f t="shared" si="299"/>
        <v xml:space="preserve">105.36,-9.578 </v>
      </c>
      <c r="U135" s="377" t="str">
        <f t="shared" si="300"/>
        <v xml:space="preserve">111.945,-11.478 </v>
      </c>
      <c r="V135" s="377" t="str">
        <f t="shared" si="301"/>
        <v xml:space="preserve">118.53,-13.728 </v>
      </c>
      <c r="W135" s="377" t="str">
        <f t="shared" si="302"/>
        <v xml:space="preserve">121.823,-14.908 </v>
      </c>
      <c r="X135" s="377" t="str">
        <f t="shared" si="303"/>
        <v xml:space="preserve">125.115,-16.088 </v>
      </c>
      <c r="Y135" s="377" t="str">
        <f t="shared" si="304"/>
        <v xml:space="preserve">128.408,-17.258 </v>
      </c>
      <c r="Z135" s="395" t="str">
        <f t="shared" si="305"/>
        <v xml:space="preserve">131.7,-18.698 </v>
      </c>
      <c r="AB135" s="245" t="str">
        <f t="shared" si="317"/>
        <v xml:space="preserve">Spline </v>
      </c>
      <c r="AC135" s="245" t="str">
        <f>Tools!B135</f>
        <v xml:space="preserve">0,-15.806 </v>
      </c>
      <c r="AD135" s="245" t="str">
        <f>Tools!C135</f>
        <v xml:space="preserve">3.293,-11.898 </v>
      </c>
      <c r="AE135" s="245" t="str">
        <f>Tools!D135</f>
        <v xml:space="preserve">6.585,-9.898 </v>
      </c>
      <c r="AF135" s="245" t="str">
        <f>Tools!E135</f>
        <v xml:space="preserve">9.878,-8.558 </v>
      </c>
      <c r="AG135" s="245" t="str">
        <f>Tools!F135</f>
        <v xml:space="preserve">13.17,-7.798 </v>
      </c>
      <c r="AH135" s="245" t="str">
        <f>Tools!G135</f>
        <v xml:space="preserve">19.755,-6.998 </v>
      </c>
      <c r="AI135" s="245" t="str">
        <f>Tools!H135</f>
        <v xml:space="preserve">26.34,-6.558 </v>
      </c>
      <c r="AJ135" s="245" t="str">
        <f>Tools!I135</f>
        <v xml:space="preserve">32.925,-6.448 </v>
      </c>
      <c r="AK135" s="245" t="str">
        <f>Tools!J135</f>
        <v xml:space="preserve">39.51,-6.448 </v>
      </c>
      <c r="AL135" s="245" t="str">
        <f>Tools!K135</f>
        <v xml:space="preserve">46.095,-6.448 </v>
      </c>
      <c r="AM135" s="245" t="str">
        <f>Tools!L135</f>
        <v xml:space="preserve">52.68,-6.448 </v>
      </c>
      <c r="AN135" s="245" t="str">
        <f>Tools!M135</f>
        <v xml:space="preserve">59.265,-6.448 </v>
      </c>
      <c r="AO135" s="245" t="str">
        <f>Tools!N135</f>
        <v xml:space="preserve">65.85,-6.448 </v>
      </c>
      <c r="AP135" s="245" t="str">
        <f>Tools!O135</f>
        <v xml:space="preserve">72.435,-6.448 </v>
      </c>
      <c r="AQ135" s="245" t="str">
        <f>Tools!P135</f>
        <v xml:space="preserve">79.02,-6.448 </v>
      </c>
      <c r="AR135" s="245" t="str">
        <f>Tools!Q135</f>
        <v xml:space="preserve">85.605,-6.478 </v>
      </c>
      <c r="AS135" s="245" t="str">
        <f>Tools!R135</f>
        <v xml:space="preserve">92.19,-7.028 </v>
      </c>
      <c r="AT135" s="245" t="str">
        <f>Tools!S135</f>
        <v xml:space="preserve">98.775,-8.098 </v>
      </c>
      <c r="AU135" s="245" t="str">
        <f>Tools!T135</f>
        <v xml:space="preserve">105.36,-9.578 </v>
      </c>
      <c r="AV135" s="245" t="str">
        <f>Tools!U135</f>
        <v xml:space="preserve">111.945,-11.478 </v>
      </c>
      <c r="AW135" s="245" t="str">
        <f>Tools!V135</f>
        <v xml:space="preserve">118.53,-13.728 </v>
      </c>
      <c r="AX135" s="245" t="str">
        <f>Tools!W135</f>
        <v xml:space="preserve">121.823,-14.908 </v>
      </c>
      <c r="AY135" s="245" t="str">
        <f>Tools!X135</f>
        <v xml:space="preserve">125.115,-16.088 </v>
      </c>
      <c r="AZ135" s="245" t="str">
        <f>Tools!Y135</f>
        <v xml:space="preserve">128.408,-17.258 </v>
      </c>
      <c r="BA135" s="396" t="str">
        <f>Tools!Z135</f>
        <v xml:space="preserve">131.7,-18.698 </v>
      </c>
      <c r="BC135" s="274">
        <f>'Rise, etc.'!O11</f>
        <v>5</v>
      </c>
      <c r="BD135" s="277" t="str">
        <f>IF(ISNUMBER(VLOOKUP(BC135,'Rise, etc.'!O$3:P$28,2,FALSE)),VLOOKUP(BC135,'Rise, etc.'!O$3:P$28,2,FALSE),"-")</f>
        <v>-</v>
      </c>
      <c r="BE135" s="277" t="e">
        <f t="shared" si="353"/>
        <v>#VALUE!</v>
      </c>
      <c r="BF135" s="277" t="str">
        <f t="shared" si="319"/>
        <v>#NA</v>
      </c>
      <c r="BG135" s="277" t="str">
        <f t="shared" si="320"/>
        <v>#NA</v>
      </c>
      <c r="BH135" s="277" t="str">
        <f t="shared" si="321"/>
        <v>#NA</v>
      </c>
      <c r="BI135" s="277" t="str">
        <f t="shared" si="322"/>
        <v>#NA</v>
      </c>
      <c r="BJ135" s="277" t="str">
        <f t="shared" si="323"/>
        <v>#NA</v>
      </c>
      <c r="BK135" s="277" t="str">
        <f t="shared" si="324"/>
        <v>#NA</v>
      </c>
      <c r="BL135" s="277" t="str">
        <f t="shared" si="325"/>
        <v>#NA</v>
      </c>
      <c r="BM135" s="277"/>
      <c r="BN135" s="277" t="e">
        <f t="shared" si="326"/>
        <v>#VALUE!</v>
      </c>
      <c r="BO135" s="277" t="e">
        <f t="shared" si="327"/>
        <v>#VALUE!</v>
      </c>
      <c r="BP135" s="277" t="e">
        <f t="shared" si="328"/>
        <v>#VALUE!</v>
      </c>
      <c r="BQ135" s="277" t="e">
        <f t="shared" si="329"/>
        <v>#VALUE!</v>
      </c>
      <c r="BR135" s="277" t="e">
        <f t="shared" si="330"/>
        <v>#VALUE!</v>
      </c>
      <c r="BS135" s="277" t="e">
        <f t="shared" si="331"/>
        <v>#VALUE!</v>
      </c>
      <c r="BT135" s="277" t="e">
        <f t="shared" si="332"/>
        <v>#VALUE!</v>
      </c>
      <c r="BU135" s="277" t="e">
        <f t="shared" si="333"/>
        <v>#VALUE!</v>
      </c>
      <c r="BV135" s="277" t="e">
        <f t="shared" si="334"/>
        <v>#VALUE!</v>
      </c>
      <c r="BW135" s="277" t="e">
        <f t="shared" si="335"/>
        <v>#VALUE!</v>
      </c>
      <c r="BX135" s="277" t="e">
        <f t="shared" si="354"/>
        <v>#VALUE!</v>
      </c>
      <c r="BY135" s="277" t="e">
        <f t="shared" si="336"/>
        <v>#VALUE!</v>
      </c>
      <c r="BZ135" s="277" t="e">
        <f t="shared" si="337"/>
        <v>#VALUE!</v>
      </c>
      <c r="CA135" s="277" t="e">
        <f t="shared" si="338"/>
        <v>#VALUE!</v>
      </c>
      <c r="CB135" s="277" t="e">
        <f t="shared" si="339"/>
        <v>#VALUE!</v>
      </c>
      <c r="CC135" s="277" t="e">
        <f t="shared" si="340"/>
        <v>#VALUE!</v>
      </c>
      <c r="CD135" s="277" t="e">
        <f t="shared" si="341"/>
        <v>#VALUE!</v>
      </c>
      <c r="CE135" s="277" t="e">
        <f t="shared" si="342"/>
        <v>#VALUE!</v>
      </c>
      <c r="CF135" s="277" t="e">
        <f t="shared" si="343"/>
        <v>#VALUE!</v>
      </c>
      <c r="CG135" s="277" t="e">
        <f t="shared" si="344"/>
        <v>#VALUE!</v>
      </c>
      <c r="CH135" s="277" t="e">
        <f t="shared" si="345"/>
        <v>#VALUE!</v>
      </c>
      <c r="CI135" s="277" t="e">
        <f t="shared" si="346"/>
        <v>#VALUE!</v>
      </c>
      <c r="CJ135" s="277" t="e">
        <f t="shared" si="347"/>
        <v>#VALUE!</v>
      </c>
      <c r="CK135" s="277" t="e">
        <f t="shared" si="348"/>
        <v>#VALUE!</v>
      </c>
      <c r="CL135" s="277" t="e">
        <f t="shared" si="349"/>
        <v>#VALUE!</v>
      </c>
      <c r="CM135" s="276">
        <f t="shared" si="355"/>
        <v>0</v>
      </c>
      <c r="CO135" s="454">
        <v>10.1</v>
      </c>
      <c r="CP135" s="454">
        <v>-2.8919999999999999</v>
      </c>
      <c r="CQ135" s="454">
        <v>-6.8</v>
      </c>
      <c r="CR135" s="454">
        <v>-8.8000000000000007</v>
      </c>
      <c r="CS135" s="454">
        <v>-10.14</v>
      </c>
      <c r="CT135" s="454">
        <v>-10.9</v>
      </c>
      <c r="CU135" s="454">
        <v>-11.7</v>
      </c>
      <c r="CV135" s="454">
        <v>-12.14</v>
      </c>
      <c r="CW135" s="454">
        <v>-12.25</v>
      </c>
      <c r="CX135" s="454">
        <v>-12.25</v>
      </c>
      <c r="CY135" s="454">
        <v>-12.25</v>
      </c>
      <c r="CZ135" s="454">
        <v>-12.25</v>
      </c>
      <c r="DA135" s="454">
        <v>-12.25</v>
      </c>
      <c r="DB135" s="454">
        <v>-12.25</v>
      </c>
      <c r="DC135" s="454">
        <v>12.25</v>
      </c>
      <c r="DD135" s="454">
        <v>12.25</v>
      </c>
      <c r="DE135" s="454">
        <v>12.22</v>
      </c>
      <c r="DF135" s="454">
        <v>11.67</v>
      </c>
      <c r="DG135" s="454">
        <v>10.6</v>
      </c>
      <c r="DH135" s="454">
        <v>9.1199999999999992</v>
      </c>
      <c r="DI135" s="454">
        <v>7.22</v>
      </c>
      <c r="DJ135" s="454">
        <v>4.97</v>
      </c>
      <c r="DK135" s="454">
        <v>3.79</v>
      </c>
      <c r="DL135" s="454">
        <v>2.61</v>
      </c>
      <c r="DM135" s="454">
        <v>1.44</v>
      </c>
      <c r="DN135" s="454">
        <v>0</v>
      </c>
      <c r="DO135" s="397"/>
      <c r="DP135" s="458">
        <f t="shared" si="272"/>
        <v>46.094999999999992</v>
      </c>
      <c r="DQ135" s="458" t="str">
        <f t="shared" si="273"/>
        <v/>
      </c>
      <c r="DR135" s="458" t="str">
        <f t="shared" ref="DR135:EO135" si="368">IFERROR(CONCATENATE(ROUND($DP135,3),",",ROUND(ABS(DK107),3),",",ROUND(EM107,3)," "),"")</f>
        <v xml:space="preserve">46.095,3.71,0 </v>
      </c>
      <c r="DS135" s="458" t="str">
        <f t="shared" si="368"/>
        <v xml:space="preserve">46.095,8.58,0.9 </v>
      </c>
      <c r="DT135" s="458" t="str">
        <f t="shared" si="368"/>
        <v xml:space="preserve">46.095,10.26,1.8 </v>
      </c>
      <c r="DU135" s="458" t="str">
        <f t="shared" si="368"/>
        <v xml:space="preserve">46.095,11.25,2.7 </v>
      </c>
      <c r="DV135" s="458" t="str">
        <f t="shared" si="368"/>
        <v xml:space="preserve">46.095,11.86,3.6 </v>
      </c>
      <c r="DW135" s="458" t="str">
        <f t="shared" si="368"/>
        <v xml:space="preserve">46.095,12.25,5.4 </v>
      </c>
      <c r="DX135" s="458" t="str">
        <f t="shared" si="368"/>
        <v xml:space="preserve">46.095,12.25,7.2 </v>
      </c>
      <c r="DY135" s="458" t="str">
        <f t="shared" si="368"/>
        <v xml:space="preserve">46.095,12.25,9 </v>
      </c>
      <c r="DZ135" s="458" t="str">
        <f t="shared" si="368"/>
        <v xml:space="preserve">46.095,12.25,10.1 </v>
      </c>
      <c r="EA135" s="458" t="str">
        <f t="shared" si="368"/>
        <v xml:space="preserve">46.095,12.25,10.8 </v>
      </c>
      <c r="EB135" s="458" t="str">
        <f t="shared" si="368"/>
        <v xml:space="preserve">46.095,12.25,12.6 </v>
      </c>
      <c r="EC135" s="458" t="str">
        <f t="shared" si="368"/>
        <v xml:space="preserve">46.095,12.25,14.19 </v>
      </c>
      <c r="ED135" s="458" t="str">
        <f t="shared" si="368"/>
        <v/>
      </c>
      <c r="EE135" s="458" t="str">
        <f t="shared" si="368"/>
        <v/>
      </c>
      <c r="EF135" s="458" t="str">
        <f t="shared" si="368"/>
        <v/>
      </c>
      <c r="EG135" s="458" t="str">
        <f t="shared" si="368"/>
        <v/>
      </c>
      <c r="EH135" s="458" t="str">
        <f t="shared" si="368"/>
        <v/>
      </c>
      <c r="EI135" s="458" t="str">
        <f t="shared" si="368"/>
        <v/>
      </c>
      <c r="EJ135" s="458" t="str">
        <f t="shared" si="368"/>
        <v/>
      </c>
      <c r="EK135" s="458" t="str">
        <f t="shared" si="368"/>
        <v/>
      </c>
      <c r="EL135" s="458" t="str">
        <f t="shared" si="368"/>
        <v/>
      </c>
      <c r="EM135" s="458" t="str">
        <f t="shared" si="368"/>
        <v/>
      </c>
      <c r="EN135" s="458" t="str">
        <f t="shared" si="368"/>
        <v/>
      </c>
      <c r="EO135" s="458" t="str">
        <f t="shared" si="368"/>
        <v/>
      </c>
      <c r="EP135" s="458" t="str">
        <f t="shared" si="273"/>
        <v/>
      </c>
      <c r="ER135" s="457" t="str">
        <f t="shared" si="307"/>
        <v xml:space="preserve">46.095,3.71,0 46.095,8.58,0.9 46.095,10.26,1.8 46.095,11.25,2.7 46.095,11.86,3.6 46.095,12.25,5.4 46.095,12.25,7.2 46.095,12.25,9 46.095,12.25,10.1 46.095,12.25,10.8 46.095,12.25,12.6 46.095,12.25,14.19 </v>
      </c>
      <c r="ES135" s="186" t="str">
        <f t="shared" ca="1" si="351"/>
        <v xml:space="preserve">Spline 46.095,0,0 46.095,3.71,0 46.095,8.58,0.9 46.095,10.26,1.8 46.095,11.25,2.7 46.095,11.86,3.6 46.095,12.25,5.4 46.095,12.25,7.2 46.095,12.25,9 46.095,12.25,10.1 46.095,12.25,10.8 46.095,12.25,12.6 46.095,12.25,14.19  </v>
      </c>
      <c r="ET135" s="129" t="str">
        <f t="shared" ca="1" si="308"/>
        <v xml:space="preserve">Spline 46.095,0,0 46.095,3.71,0 46.095,8.58,0.9 46.095,10.26,1.8 46.095,11.25,2.7 46.095,11.86,3.6 46.095,12.25,5.4 46.095,12.25,7.2 46.095,12.25,9 46.095,12.25,10.1 46.095,12.25,10.8 46.095,12.25,12.6 46.095,12.25,14.19  </v>
      </c>
      <c r="EU135" s="129">
        <f ca="1">COUNTIF(BP_10,NA())</f>
        <v>0</v>
      </c>
      <c r="EV135" s="129">
        <f t="shared" ca="1" si="274"/>
        <v>0</v>
      </c>
      <c r="EW135" s="129">
        <v>10</v>
      </c>
      <c r="EX135" s="129" t="str">
        <f t="shared" si="275"/>
        <v xml:space="preserve">46.095,12.25,14.19 </v>
      </c>
      <c r="EY135" s="129" t="str">
        <f t="shared" ca="1" si="276"/>
        <v xml:space="preserve">Spline 46.095,0,0 46.095,12.25,14.19 46.095,12.25,12.6 46.095,12.25,10.8 46.095,12.25,10.1 46.095,12.25,9 46.095,12.25,7.2 46.095,12.25,5.4 46.095,11.86,3.6 46.095,11.25,2.7 46.095,10.26,1.8 46.095,8.58,0.9 46.095,3.71,0 </v>
      </c>
      <c r="EZ135" s="186" t="str">
        <f t="shared" si="309"/>
        <v xml:space="preserve">46.095,3.71,0 46.095,8.58,0.9 46.095,10.26,1.8 46.095,11.25,2.7 46.095,11.86,3.6 46.095,12.25,5.4 46.095,12.25,7.2 46.095,12.25,9 46.095,12.25,10.1 46.095,12.25,10.8 46.095,12.25,12.6 46.095,12.25,14.19  </v>
      </c>
      <c r="FB135" s="458">
        <f t="shared" si="277"/>
        <v>46.094999999999992</v>
      </c>
      <c r="FC135" s="460" t="str">
        <f t="shared" si="310"/>
        <v/>
      </c>
      <c r="FD135" s="458" t="str">
        <f t="shared" ref="FD135:GB135" si="369">IFERROR(CONCATENATE(ROUND($DP135,3),",",-ROUND(ABS(DK107),3),",",ROUND(EM107,3)," "),"")</f>
        <v xml:space="preserve">46.095,-3.71,0 </v>
      </c>
      <c r="FE135" s="458" t="str">
        <f t="shared" si="369"/>
        <v xml:space="preserve">46.095,-8.58,0.9 </v>
      </c>
      <c r="FF135" s="458" t="str">
        <f t="shared" si="369"/>
        <v xml:space="preserve">46.095,-10.26,1.8 </v>
      </c>
      <c r="FG135" s="458" t="str">
        <f t="shared" si="369"/>
        <v xml:space="preserve">46.095,-11.25,2.7 </v>
      </c>
      <c r="FH135" s="458" t="str">
        <f t="shared" si="369"/>
        <v xml:space="preserve">46.095,-11.86,3.6 </v>
      </c>
      <c r="FI135" s="458" t="str">
        <f t="shared" si="369"/>
        <v xml:space="preserve">46.095,-12.25,5.4 </v>
      </c>
      <c r="FJ135" s="458" t="str">
        <f t="shared" si="369"/>
        <v xml:space="preserve">46.095,-12.25,7.2 </v>
      </c>
      <c r="FK135" s="458" t="str">
        <f t="shared" si="369"/>
        <v xml:space="preserve">46.095,-12.25,9 </v>
      </c>
      <c r="FL135" s="458" t="str">
        <f t="shared" si="369"/>
        <v xml:space="preserve">46.095,-12.25,10.1 </v>
      </c>
      <c r="FM135" s="458" t="str">
        <f t="shared" si="369"/>
        <v xml:space="preserve">46.095,-12.25,10.8 </v>
      </c>
      <c r="FN135" s="458" t="str">
        <f t="shared" si="369"/>
        <v xml:space="preserve">46.095,-12.25,12.6 </v>
      </c>
      <c r="FO135" s="458" t="str">
        <f t="shared" si="369"/>
        <v xml:space="preserve">46.095,-12.25,14.19 </v>
      </c>
      <c r="FP135" s="458" t="str">
        <f t="shared" si="369"/>
        <v/>
      </c>
      <c r="FQ135" s="458" t="str">
        <f t="shared" si="369"/>
        <v/>
      </c>
      <c r="FR135" s="458" t="str">
        <f t="shared" si="369"/>
        <v/>
      </c>
      <c r="FS135" s="458" t="str">
        <f t="shared" si="369"/>
        <v/>
      </c>
      <c r="FT135" s="458" t="str">
        <f t="shared" si="369"/>
        <v/>
      </c>
      <c r="FU135" s="458" t="str">
        <f t="shared" si="369"/>
        <v/>
      </c>
      <c r="FV135" s="458" t="str">
        <f t="shared" si="369"/>
        <v/>
      </c>
      <c r="FW135" s="458" t="str">
        <f t="shared" si="369"/>
        <v/>
      </c>
      <c r="FX135" s="458" t="str">
        <f t="shared" si="369"/>
        <v/>
      </c>
      <c r="FY135" s="458" t="str">
        <f t="shared" si="369"/>
        <v/>
      </c>
      <c r="FZ135" s="458" t="str">
        <f t="shared" si="369"/>
        <v/>
      </c>
      <c r="GA135" s="458" t="str">
        <f t="shared" si="369"/>
        <v/>
      </c>
      <c r="GB135" s="458" t="str">
        <f t="shared" si="369"/>
        <v/>
      </c>
      <c r="GC135" s="129" t="str">
        <f t="shared" si="312"/>
        <v xml:space="preserve">46.095,12.25,14.19 46.095,12.25,12.6 46.095,12.25,10.8 46.095,12.25,10.1 46.095,12.25,9 46.095,12.25,7.2 46.095,12.25,5.4 46.095,11.86,3.6 46.095,11.25,2.7 46.095,10.26,1.8 46.095,8.58,0.9 46.095,3.71,0 </v>
      </c>
      <c r="GD135" s="129" t="str">
        <f t="shared" ca="1" si="279"/>
        <v>Spline 46.095,12.25,14.19 46.095,12.25,12.6 46.095,12.25,10.8 46.095,12.25,10.1 46.095,12.25,9 46.095,12.25,7.2 46.095,12.25,5.4 46.095,11.86,3.6 46.095,11.25,2.7 46.095,10.26,1.8 46.095,8.58,0.9 46.095,3.71,0 46.095,0,0</v>
      </c>
      <c r="GE135" s="461" t="str">
        <f t="shared" si="313"/>
        <v xml:space="preserve">46.095,-3.71,0 46.095,-8.58,0.9 46.095,-10.26,1.8 46.095,-11.25,2.7 46.095,-11.86,3.6 46.095,-12.25,5.4 46.095,-12.25,7.2 46.095,-12.25,9 46.095,-12.25,10.1 46.095,-12.25,10.8 46.095,-12.25,12.6 46.095,-12.25,14.19 </v>
      </c>
      <c r="GH135" s="129" t="str">
        <f t="shared" si="314"/>
        <v xml:space="preserve">Spline 46.095,12.25,14.19 46.095,12.25,12.6 46.095,12.25,10.8 46.095,12.25,10.1 46.095,12.25,9 46.095,12.25,7.2 46.095,12.25,5.4 46.095,11.86,3.6 46.095,11.25,2.7 46.095,10.26,1.8 46.095,8.58,0.9 46.095,3.71,0 T 46.095,0,0 </v>
      </c>
      <c r="GI135" s="129" t="str">
        <f t="shared" si="315"/>
        <v xml:space="preserve">Spline 46.095,3.71,0 46.095,0,0  Join 46.095,0,0  46.095,12.25,14.19 </v>
      </c>
      <c r="GP135" s="129" t="str">
        <f t="shared" si="280"/>
        <v xml:space="preserve">46.095,0,0 </v>
      </c>
      <c r="GQ135" s="129" t="str">
        <f t="shared" si="316"/>
        <v>Curve 46.095,12.25,14.19 46.095,12.25,12.6 46.095,12.25,10.8 46.095,12.25,10.1 46.095,12.25,9 46.095,12.25,7.2 46.095,12.25,5.4 46.095,11.86,3.6 46.095,11.25,2.7 46.095,10.26,1.8 46.095,8.58,0.9 46.095,3.71,0 46.095,0,0 _enter</v>
      </c>
    </row>
    <row r="136" spans="1:199" x14ac:dyDescent="0.25">
      <c r="A136" s="374">
        <f t="shared" si="271"/>
        <v>6</v>
      </c>
      <c r="B136" s="377" t="str">
        <f t="shared" si="281"/>
        <v xml:space="preserve">0,-12.498 </v>
      </c>
      <c r="C136" s="377" t="str">
        <f t="shared" si="282"/>
        <v xml:space="preserve">3.293,-10.238 </v>
      </c>
      <c r="D136" s="377" t="str">
        <f t="shared" si="283"/>
        <v xml:space="preserve">6.585,-8.858 </v>
      </c>
      <c r="E136" s="377" t="str">
        <f t="shared" si="284"/>
        <v xml:space="preserve">9.878,-7.918 </v>
      </c>
      <c r="F136" s="377" t="str">
        <f t="shared" si="285"/>
        <v xml:space="preserve">13.17,-7.358 </v>
      </c>
      <c r="G136" s="377" t="str">
        <f t="shared" si="286"/>
        <v xml:space="preserve">19.755,-6.768 </v>
      </c>
      <c r="H136" s="377" t="str">
        <f t="shared" si="287"/>
        <v xml:space="preserve">26.34,-6.498 </v>
      </c>
      <c r="I136" s="377" t="str">
        <f t="shared" si="288"/>
        <v xml:space="preserve">32.925,-6.448 </v>
      </c>
      <c r="J136" s="377" t="str">
        <f t="shared" si="289"/>
        <v xml:space="preserve">39.51,-6.448 </v>
      </c>
      <c r="K136" s="377" t="str">
        <f t="shared" si="290"/>
        <v xml:space="preserve">46.095,-6.448 </v>
      </c>
      <c r="L136" s="377" t="str">
        <f t="shared" si="291"/>
        <v xml:space="preserve">52.68,-6.448 </v>
      </c>
      <c r="M136" s="377" t="str">
        <f t="shared" si="292"/>
        <v xml:space="preserve">59.265,-6.448 </v>
      </c>
      <c r="N136" s="377" t="str">
        <f t="shared" si="293"/>
        <v xml:space="preserve">65.85,-6.448 </v>
      </c>
      <c r="O136" s="377" t="str">
        <f t="shared" si="294"/>
        <v xml:space="preserve">72.435,-6.448 </v>
      </c>
      <c r="P136" s="377" t="str">
        <f t="shared" si="295"/>
        <v xml:space="preserve">79.02,-6.448 </v>
      </c>
      <c r="Q136" s="377" t="str">
        <f t="shared" si="296"/>
        <v xml:space="preserve">85.605,-6.468 </v>
      </c>
      <c r="R136" s="377" t="str">
        <f t="shared" si="297"/>
        <v xml:space="preserve">92.19,-6.908 </v>
      </c>
      <c r="S136" s="377" t="str">
        <f t="shared" si="298"/>
        <v xml:space="preserve">98.775,-7.898 </v>
      </c>
      <c r="T136" s="377" t="str">
        <f t="shared" si="299"/>
        <v xml:space="preserve">105.36,-9.268 </v>
      </c>
      <c r="U136" s="377" t="str">
        <f t="shared" si="300"/>
        <v xml:space="preserve">111.945,-11.058 </v>
      </c>
      <c r="V136" s="377" t="str">
        <f t="shared" si="301"/>
        <v xml:space="preserve">118.53,-13.228 </v>
      </c>
      <c r="W136" s="377" t="str">
        <f t="shared" si="302"/>
        <v xml:space="preserve">121.823,-14.398 </v>
      </c>
      <c r="X136" s="377" t="str">
        <f t="shared" si="303"/>
        <v xml:space="preserve">125.115,-15.598 </v>
      </c>
      <c r="Y136" s="377" t="str">
        <f t="shared" si="304"/>
        <v xml:space="preserve">128.408,-16.958 </v>
      </c>
      <c r="Z136" s="395" t="str">
        <f t="shared" si="305"/>
        <v xml:space="preserve">131.7,-18.448 </v>
      </c>
      <c r="AB136" s="245" t="str">
        <f t="shared" si="317"/>
        <v xml:space="preserve">Spline </v>
      </c>
      <c r="AC136" s="245" t="str">
        <f>Tools!B136</f>
        <v xml:space="preserve">0,-12.498 </v>
      </c>
      <c r="AD136" s="245" t="str">
        <f>Tools!C136</f>
        <v xml:space="preserve">3.293,-10.238 </v>
      </c>
      <c r="AE136" s="245" t="str">
        <f>Tools!D136</f>
        <v xml:space="preserve">6.585,-8.858 </v>
      </c>
      <c r="AF136" s="245" t="str">
        <f>Tools!E136</f>
        <v xml:space="preserve">9.878,-7.918 </v>
      </c>
      <c r="AG136" s="245" t="str">
        <f>Tools!F136</f>
        <v xml:space="preserve">13.17,-7.358 </v>
      </c>
      <c r="AH136" s="245" t="str">
        <f>Tools!G136</f>
        <v xml:space="preserve">19.755,-6.768 </v>
      </c>
      <c r="AI136" s="245" t="str">
        <f>Tools!H136</f>
        <v xml:space="preserve">26.34,-6.498 </v>
      </c>
      <c r="AJ136" s="245" t="str">
        <f>Tools!I136</f>
        <v xml:space="preserve">32.925,-6.448 </v>
      </c>
      <c r="AK136" s="245" t="str">
        <f>Tools!J136</f>
        <v xml:space="preserve">39.51,-6.448 </v>
      </c>
      <c r="AL136" s="245" t="str">
        <f>Tools!K136</f>
        <v xml:space="preserve">46.095,-6.448 </v>
      </c>
      <c r="AM136" s="245" t="str">
        <f>Tools!L136</f>
        <v xml:space="preserve">52.68,-6.448 </v>
      </c>
      <c r="AN136" s="245" t="str">
        <f>Tools!M136</f>
        <v xml:space="preserve">59.265,-6.448 </v>
      </c>
      <c r="AO136" s="245" t="str">
        <f>Tools!N136</f>
        <v xml:space="preserve">65.85,-6.448 </v>
      </c>
      <c r="AP136" s="245" t="str">
        <f>Tools!O136</f>
        <v xml:space="preserve">72.435,-6.448 </v>
      </c>
      <c r="AQ136" s="245" t="str">
        <f>Tools!P136</f>
        <v xml:space="preserve">79.02,-6.448 </v>
      </c>
      <c r="AR136" s="245" t="str">
        <f>Tools!Q136</f>
        <v xml:space="preserve">85.605,-6.468 </v>
      </c>
      <c r="AS136" s="245" t="str">
        <f>Tools!R136</f>
        <v xml:space="preserve">92.19,-6.908 </v>
      </c>
      <c r="AT136" s="245" t="str">
        <f>Tools!S136</f>
        <v xml:space="preserve">98.775,-7.898 </v>
      </c>
      <c r="AU136" s="245" t="str">
        <f>Tools!T136</f>
        <v xml:space="preserve">105.36,-9.268 </v>
      </c>
      <c r="AV136" s="245" t="str">
        <f>Tools!U136</f>
        <v xml:space="preserve">111.945,-11.058 </v>
      </c>
      <c r="AW136" s="245" t="str">
        <f>Tools!V136</f>
        <v xml:space="preserve">118.53,-13.228 </v>
      </c>
      <c r="AX136" s="245" t="str">
        <f>Tools!W136</f>
        <v xml:space="preserve">121.823,-14.398 </v>
      </c>
      <c r="AY136" s="245" t="str">
        <f>Tools!X136</f>
        <v xml:space="preserve">125.115,-15.598 </v>
      </c>
      <c r="AZ136" s="245" t="str">
        <f>Tools!Y136</f>
        <v xml:space="preserve">128.408,-16.958 </v>
      </c>
      <c r="BA136" s="396" t="str">
        <f>Tools!Z136</f>
        <v xml:space="preserve">131.7,-18.448 </v>
      </c>
      <c r="BC136" s="274">
        <f>'Rise, etc.'!O12</f>
        <v>6</v>
      </c>
      <c r="BD136" s="277" t="str">
        <f>IF(ISNUMBER(VLOOKUP(BC136,'Rise, etc.'!O$3:P$28,2,FALSE)),VLOOKUP(BC136,'Rise, etc.'!O$3:P$28,2,FALSE),"-")</f>
        <v>-</v>
      </c>
      <c r="BE136" s="277" t="e">
        <f t="shared" si="353"/>
        <v>#VALUE!</v>
      </c>
      <c r="BF136" s="277" t="str">
        <f t="shared" si="319"/>
        <v>#NA</v>
      </c>
      <c r="BG136" s="277" t="str">
        <f t="shared" si="320"/>
        <v>#NA</v>
      </c>
      <c r="BH136" s="277" t="str">
        <f t="shared" si="321"/>
        <v>#NA</v>
      </c>
      <c r="BI136" s="277" t="str">
        <f t="shared" si="322"/>
        <v>#NA</v>
      </c>
      <c r="BJ136" s="277" t="str">
        <f t="shared" si="323"/>
        <v>#NA</v>
      </c>
      <c r="BK136" s="277" t="str">
        <f t="shared" si="324"/>
        <v>#NA</v>
      </c>
      <c r="BL136" s="277" t="str">
        <f t="shared" si="325"/>
        <v>#NA</v>
      </c>
      <c r="BM136" s="277"/>
      <c r="BN136" s="277" t="e">
        <f t="shared" si="326"/>
        <v>#VALUE!</v>
      </c>
      <c r="BO136" s="277" t="e">
        <f t="shared" si="327"/>
        <v>#VALUE!</v>
      </c>
      <c r="BP136" s="277" t="e">
        <f t="shared" si="328"/>
        <v>#VALUE!</v>
      </c>
      <c r="BQ136" s="277" t="e">
        <f t="shared" si="329"/>
        <v>#VALUE!</v>
      </c>
      <c r="BR136" s="277" t="e">
        <f t="shared" si="330"/>
        <v>#VALUE!</v>
      </c>
      <c r="BS136" s="277" t="e">
        <f t="shared" si="331"/>
        <v>#VALUE!</v>
      </c>
      <c r="BT136" s="277" t="e">
        <f t="shared" si="332"/>
        <v>#VALUE!</v>
      </c>
      <c r="BU136" s="277" t="e">
        <f t="shared" si="333"/>
        <v>#VALUE!</v>
      </c>
      <c r="BV136" s="277" t="e">
        <f t="shared" si="334"/>
        <v>#VALUE!</v>
      </c>
      <c r="BW136" s="277" t="e">
        <f t="shared" si="335"/>
        <v>#VALUE!</v>
      </c>
      <c r="BX136" s="277" t="e">
        <f t="shared" si="354"/>
        <v>#VALUE!</v>
      </c>
      <c r="BY136" s="277" t="e">
        <f t="shared" si="336"/>
        <v>#VALUE!</v>
      </c>
      <c r="BZ136" s="277" t="e">
        <f t="shared" si="337"/>
        <v>#VALUE!</v>
      </c>
      <c r="CA136" s="277" t="e">
        <f t="shared" si="338"/>
        <v>#VALUE!</v>
      </c>
      <c r="CB136" s="277" t="e">
        <f t="shared" si="339"/>
        <v>#VALUE!</v>
      </c>
      <c r="CC136" s="277" t="e">
        <f t="shared" si="340"/>
        <v>#VALUE!</v>
      </c>
      <c r="CD136" s="277" t="e">
        <f t="shared" si="341"/>
        <v>#VALUE!</v>
      </c>
      <c r="CE136" s="277" t="e">
        <f t="shared" si="342"/>
        <v>#VALUE!</v>
      </c>
      <c r="CF136" s="277" t="e">
        <f t="shared" si="343"/>
        <v>#VALUE!</v>
      </c>
      <c r="CG136" s="277" t="e">
        <f t="shared" si="344"/>
        <v>#VALUE!</v>
      </c>
      <c r="CH136" s="277" t="e">
        <f t="shared" si="345"/>
        <v>#VALUE!</v>
      </c>
      <c r="CI136" s="277" t="e">
        <f t="shared" si="346"/>
        <v>#VALUE!</v>
      </c>
      <c r="CJ136" s="277" t="e">
        <f t="shared" si="347"/>
        <v>#VALUE!</v>
      </c>
      <c r="CK136" s="277" t="e">
        <f t="shared" si="348"/>
        <v>#VALUE!</v>
      </c>
      <c r="CL136" s="277" t="e">
        <f t="shared" si="349"/>
        <v>#VALUE!</v>
      </c>
      <c r="CM136" s="276">
        <f t="shared" si="355"/>
        <v>0</v>
      </c>
      <c r="CO136" s="454">
        <v>10.8</v>
      </c>
      <c r="CP136" s="454">
        <v>-6.2</v>
      </c>
      <c r="CQ136" s="454">
        <v>-8.4600000000000009</v>
      </c>
      <c r="CR136" s="454">
        <v>-9.84</v>
      </c>
      <c r="CS136" s="454">
        <v>-10.78</v>
      </c>
      <c r="CT136" s="454">
        <v>-11.34</v>
      </c>
      <c r="CU136" s="454">
        <v>-11.93</v>
      </c>
      <c r="CV136" s="454">
        <v>-12.2</v>
      </c>
      <c r="CW136" s="454">
        <v>-12.25</v>
      </c>
      <c r="CX136" s="454">
        <v>-12.25</v>
      </c>
      <c r="CY136" s="454">
        <v>-12.25</v>
      </c>
      <c r="CZ136" s="454">
        <v>-12.25</v>
      </c>
      <c r="DA136" s="454">
        <v>-12.25</v>
      </c>
      <c r="DB136" s="454">
        <v>-12.25</v>
      </c>
      <c r="DC136" s="454">
        <v>12.25</v>
      </c>
      <c r="DD136" s="454">
        <v>12.25</v>
      </c>
      <c r="DE136" s="454">
        <v>12.23</v>
      </c>
      <c r="DF136" s="454">
        <v>11.79</v>
      </c>
      <c r="DG136" s="454">
        <v>10.8</v>
      </c>
      <c r="DH136" s="454">
        <v>9.43</v>
      </c>
      <c r="DI136" s="454">
        <v>7.64</v>
      </c>
      <c r="DJ136" s="454">
        <v>5.47</v>
      </c>
      <c r="DK136" s="454">
        <v>4.3</v>
      </c>
      <c r="DL136" s="454">
        <v>3.1</v>
      </c>
      <c r="DM136" s="454">
        <v>1.74</v>
      </c>
      <c r="DN136" s="454">
        <v>0.25</v>
      </c>
      <c r="DO136" s="397"/>
      <c r="DP136" s="458">
        <f t="shared" si="272"/>
        <v>52.679999999999993</v>
      </c>
      <c r="DQ136" s="458" t="str">
        <f t="shared" si="273"/>
        <v/>
      </c>
      <c r="DR136" s="458" t="str">
        <f t="shared" ref="DR136:EO136" si="370">IFERROR(CONCATENATE(ROUND($DP136,3),",",ROUND(ABS(DK108),3),",",ROUND(EM108,3)," "),"")</f>
        <v xml:space="preserve">52.68,5.9,0 </v>
      </c>
      <c r="DS136" s="458" t="str">
        <f t="shared" si="370"/>
        <v xml:space="preserve">52.68,10.16,0.9 </v>
      </c>
      <c r="DT136" s="458" t="str">
        <f t="shared" si="370"/>
        <v xml:space="preserve">52.68,11.35,1.8 </v>
      </c>
      <c r="DU136" s="458" t="str">
        <f t="shared" si="370"/>
        <v xml:space="preserve">52.68,11.9,2.7 </v>
      </c>
      <c r="DV136" s="458" t="str">
        <f t="shared" si="370"/>
        <v xml:space="preserve">52.68,12.18,3.6 </v>
      </c>
      <c r="DW136" s="458" t="str">
        <f t="shared" si="370"/>
        <v xml:space="preserve">52.68,12.25,5.4 </v>
      </c>
      <c r="DX136" s="458" t="str">
        <f t="shared" si="370"/>
        <v xml:space="preserve">52.68,12.25,7.2 </v>
      </c>
      <c r="DY136" s="458" t="str">
        <f t="shared" si="370"/>
        <v xml:space="preserve">52.68,12.25,9 </v>
      </c>
      <c r="DZ136" s="458" t="str">
        <f t="shared" si="370"/>
        <v xml:space="preserve">52.68,12.25,10.1 </v>
      </c>
      <c r="EA136" s="458" t="str">
        <f t="shared" si="370"/>
        <v xml:space="preserve">52.68,12.25,10.8 </v>
      </c>
      <c r="EB136" s="458" t="str">
        <f t="shared" si="370"/>
        <v xml:space="preserve">52.68,12.25,12.6 </v>
      </c>
      <c r="EC136" s="458" t="str">
        <f t="shared" si="370"/>
        <v xml:space="preserve">52.68,12.25,14.19 </v>
      </c>
      <c r="ED136" s="458" t="str">
        <f t="shared" si="370"/>
        <v/>
      </c>
      <c r="EE136" s="458" t="str">
        <f t="shared" si="370"/>
        <v/>
      </c>
      <c r="EF136" s="458" t="str">
        <f t="shared" si="370"/>
        <v/>
      </c>
      <c r="EG136" s="458" t="str">
        <f t="shared" si="370"/>
        <v/>
      </c>
      <c r="EH136" s="458" t="str">
        <f t="shared" si="370"/>
        <v/>
      </c>
      <c r="EI136" s="458" t="str">
        <f t="shared" si="370"/>
        <v/>
      </c>
      <c r="EJ136" s="458" t="str">
        <f t="shared" si="370"/>
        <v/>
      </c>
      <c r="EK136" s="458" t="str">
        <f t="shared" si="370"/>
        <v/>
      </c>
      <c r="EL136" s="458" t="str">
        <f t="shared" si="370"/>
        <v/>
      </c>
      <c r="EM136" s="458" t="str">
        <f t="shared" si="370"/>
        <v/>
      </c>
      <c r="EN136" s="458" t="str">
        <f t="shared" si="370"/>
        <v/>
      </c>
      <c r="EO136" s="458" t="str">
        <f t="shared" si="370"/>
        <v/>
      </c>
      <c r="EP136" s="458" t="str">
        <f t="shared" si="273"/>
        <v/>
      </c>
      <c r="ER136" s="457" t="str">
        <f t="shared" si="307"/>
        <v xml:space="preserve">52.68,5.9,0 52.68,10.16,0.9 52.68,11.35,1.8 52.68,11.9,2.7 52.68,12.18,3.6 52.68,12.25,5.4 52.68,12.25,7.2 52.68,12.25,9 52.68,12.25,10.1 52.68,12.25,10.8 52.68,12.25,12.6 52.68,12.25,14.19 </v>
      </c>
      <c r="ES136" s="186" t="str">
        <f t="shared" ca="1" si="351"/>
        <v xml:space="preserve">Spline 52.68,0,0 52.68,5.9,0 52.68,10.16,0.9 52.68,11.35,1.8 52.68,11.9,2.7 52.68,12.18,3.6 52.68,12.25,5.4 52.68,12.25,7.2 52.68,12.25,9 52.68,12.25,10.1 52.68,12.25,10.8 52.68,12.25,12.6 52.68,12.25,14.19  </v>
      </c>
      <c r="ET136" s="129" t="str">
        <f t="shared" ca="1" si="308"/>
        <v xml:space="preserve">Spline 52.68,0,0 52.68,5.9,0 52.68,10.16,0.9 52.68,11.35,1.8 52.68,11.9,2.7 52.68,12.18,3.6 52.68,12.25,5.4 52.68,12.25,7.2 52.68,12.25,9 52.68,12.25,10.1 52.68,12.25,10.8 52.68,12.25,12.6 52.68,12.25,14.19  </v>
      </c>
      <c r="EU136" s="129">
        <f ca="1">COUNTIF(BP_11,NA())</f>
        <v>0</v>
      </c>
      <c r="EV136" s="129">
        <f t="shared" ca="1" si="274"/>
        <v>0</v>
      </c>
      <c r="EW136" s="129">
        <v>11</v>
      </c>
      <c r="EX136" s="129" t="str">
        <f t="shared" si="275"/>
        <v xml:space="preserve">52.68,12.25,14.19 </v>
      </c>
      <c r="EY136" s="129" t="str">
        <f t="shared" ca="1" si="276"/>
        <v xml:space="preserve">Spline 52.68,0,0 52.68,12.25,14.19 52.68,12.25,12.6 52.68,12.25,10.8 52.68,12.25,10.1 52.68,12.25,9 52.68,12.25,7.2 52.68,12.25,5.4 52.68,12.18,3.6 52.68,11.9,2.7 52.68,11.35,1.8 52.68,10.16,0.9 52.68,5.9,0 </v>
      </c>
      <c r="EZ136" s="186" t="str">
        <f t="shared" si="309"/>
        <v xml:space="preserve">52.68,5.9,0 52.68,10.16,0.9 52.68,11.35,1.8 52.68,11.9,2.7 52.68,12.18,3.6 52.68,12.25,5.4 52.68,12.25,7.2 52.68,12.25,9 52.68,12.25,10.1 52.68,12.25,10.8 52.68,12.25,12.6 52.68,12.25,14.19  </v>
      </c>
      <c r="FB136" s="458">
        <f t="shared" si="277"/>
        <v>52.679999999999993</v>
      </c>
      <c r="FC136" s="460" t="str">
        <f t="shared" si="310"/>
        <v/>
      </c>
      <c r="FD136" s="458" t="str">
        <f t="shared" ref="FD136:GB136" si="371">IFERROR(CONCATENATE(ROUND($DP136,3),",",-ROUND(ABS(DK108),3),",",ROUND(EM108,3)," "),"")</f>
        <v xml:space="preserve">52.68,-5.9,0 </v>
      </c>
      <c r="FE136" s="458" t="str">
        <f t="shared" si="371"/>
        <v xml:space="preserve">52.68,-10.16,0.9 </v>
      </c>
      <c r="FF136" s="458" t="str">
        <f t="shared" si="371"/>
        <v xml:space="preserve">52.68,-11.35,1.8 </v>
      </c>
      <c r="FG136" s="458" t="str">
        <f t="shared" si="371"/>
        <v xml:space="preserve">52.68,-11.9,2.7 </v>
      </c>
      <c r="FH136" s="458" t="str">
        <f t="shared" si="371"/>
        <v xml:space="preserve">52.68,-12.18,3.6 </v>
      </c>
      <c r="FI136" s="458" t="str">
        <f t="shared" si="371"/>
        <v xml:space="preserve">52.68,-12.25,5.4 </v>
      </c>
      <c r="FJ136" s="458" t="str">
        <f t="shared" si="371"/>
        <v xml:space="preserve">52.68,-12.25,7.2 </v>
      </c>
      <c r="FK136" s="458" t="str">
        <f t="shared" si="371"/>
        <v xml:space="preserve">52.68,-12.25,9 </v>
      </c>
      <c r="FL136" s="458" t="str">
        <f t="shared" si="371"/>
        <v xml:space="preserve">52.68,-12.25,10.1 </v>
      </c>
      <c r="FM136" s="458" t="str">
        <f t="shared" si="371"/>
        <v xml:space="preserve">52.68,-12.25,10.8 </v>
      </c>
      <c r="FN136" s="458" t="str">
        <f t="shared" si="371"/>
        <v xml:space="preserve">52.68,-12.25,12.6 </v>
      </c>
      <c r="FO136" s="458" t="str">
        <f t="shared" si="371"/>
        <v xml:space="preserve">52.68,-12.25,14.19 </v>
      </c>
      <c r="FP136" s="458" t="str">
        <f t="shared" si="371"/>
        <v/>
      </c>
      <c r="FQ136" s="458" t="str">
        <f t="shared" si="371"/>
        <v/>
      </c>
      <c r="FR136" s="458" t="str">
        <f t="shared" si="371"/>
        <v/>
      </c>
      <c r="FS136" s="458" t="str">
        <f t="shared" si="371"/>
        <v/>
      </c>
      <c r="FT136" s="458" t="str">
        <f t="shared" si="371"/>
        <v/>
      </c>
      <c r="FU136" s="458" t="str">
        <f t="shared" si="371"/>
        <v/>
      </c>
      <c r="FV136" s="458" t="str">
        <f t="shared" si="371"/>
        <v/>
      </c>
      <c r="FW136" s="458" t="str">
        <f t="shared" si="371"/>
        <v/>
      </c>
      <c r="FX136" s="458" t="str">
        <f t="shared" si="371"/>
        <v/>
      </c>
      <c r="FY136" s="458" t="str">
        <f t="shared" si="371"/>
        <v/>
      </c>
      <c r="FZ136" s="458" t="str">
        <f t="shared" si="371"/>
        <v/>
      </c>
      <c r="GA136" s="458" t="str">
        <f t="shared" si="371"/>
        <v/>
      </c>
      <c r="GB136" s="458" t="str">
        <f t="shared" si="371"/>
        <v/>
      </c>
      <c r="GC136" s="129" t="str">
        <f t="shared" si="312"/>
        <v xml:space="preserve">52.68,12.25,14.19 52.68,12.25,12.6 52.68,12.25,10.8 52.68,12.25,10.1 52.68,12.25,9 52.68,12.25,7.2 52.68,12.25,5.4 52.68,12.18,3.6 52.68,11.9,2.7 52.68,11.35,1.8 52.68,10.16,0.9 52.68,5.9,0 </v>
      </c>
      <c r="GD136" s="129" t="str">
        <f t="shared" ca="1" si="279"/>
        <v>Spline 52.68,12.25,14.19 52.68,12.25,12.6 52.68,12.25,10.8 52.68,12.25,10.1 52.68,12.25,9 52.68,12.25,7.2 52.68,12.25,5.4 52.68,12.18,3.6 52.68,11.9,2.7 52.68,11.35,1.8 52.68,10.16,0.9 52.68,5.9,0 52.68,0,0</v>
      </c>
      <c r="GE136" s="461" t="str">
        <f t="shared" si="313"/>
        <v xml:space="preserve">52.68,-5.9,0 52.68,-10.16,0.9 52.68,-11.35,1.8 52.68,-11.9,2.7 52.68,-12.18,3.6 52.68,-12.25,5.4 52.68,-12.25,7.2 52.68,-12.25,9 52.68,-12.25,10.1 52.68,-12.25,10.8 52.68,-12.25,12.6 52.68,-12.25,14.19 </v>
      </c>
      <c r="GH136" s="129" t="str">
        <f t="shared" si="314"/>
        <v xml:space="preserve">Spline 52.68,12.25,14.19 52.68,12.25,12.6 52.68,12.25,10.8 52.68,12.25,10.1 52.68,12.25,9 52.68,12.25,7.2 52.68,12.25,5.4 52.68,12.18,3.6 52.68,11.9,2.7 52.68,11.35,1.8 52.68,10.16,0.9 52.68,5.9,0 T 52.68,0,0 </v>
      </c>
      <c r="GI136" s="129" t="str">
        <f t="shared" si="315"/>
        <v xml:space="preserve">Spline 52.68,5.9,0 52.68,0,0  Join 52.68,0,0  52.68,12.25,14.19 </v>
      </c>
      <c r="GP136" s="129" t="str">
        <f t="shared" si="280"/>
        <v xml:space="preserve">52.68,0,0 </v>
      </c>
      <c r="GQ136" s="129" t="str">
        <f t="shared" si="316"/>
        <v>Curve 52.68,12.25,14.19 52.68,12.25,12.6 52.68,12.25,10.8 52.68,12.25,10.1 52.68,12.25,9 52.68,12.25,7.2 52.68,12.25,5.4 52.68,12.18,3.6 52.68,11.9,2.7 52.68,11.35,1.8 52.68,10.16,0.9 52.68,5.9,0 52.68,0,0 _enter</v>
      </c>
    </row>
    <row r="137" spans="1:199" x14ac:dyDescent="0.25">
      <c r="A137" s="374">
        <f t="shared" si="271"/>
        <v>7</v>
      </c>
      <c r="B137" s="377" t="str">
        <f t="shared" si="281"/>
        <v xml:space="preserve">0,-9.098 </v>
      </c>
      <c r="C137" s="377" t="str">
        <f t="shared" si="282"/>
        <v xml:space="preserve">3.293,-8.068 </v>
      </c>
      <c r="D137" s="377" t="str">
        <f t="shared" si="283"/>
        <v xml:space="preserve">6.585,-7.368 </v>
      </c>
      <c r="E137" s="377" t="str">
        <f t="shared" si="284"/>
        <v xml:space="preserve">9.878,-6.928 </v>
      </c>
      <c r="F137" s="377" t="str">
        <f t="shared" si="285"/>
        <v xml:space="preserve">13.17,-6.698 </v>
      </c>
      <c r="G137" s="377" t="str">
        <f t="shared" si="286"/>
        <v xml:space="preserve">19.755,-6.488 </v>
      </c>
      <c r="H137" s="377" t="str">
        <f t="shared" si="287"/>
        <v xml:space="preserve">26.34,-6.448 </v>
      </c>
      <c r="I137" s="377" t="str">
        <f t="shared" si="288"/>
        <v xml:space="preserve">32.925,-6.448 </v>
      </c>
      <c r="J137" s="377" t="str">
        <f t="shared" si="289"/>
        <v xml:space="preserve">39.51,-6.448 </v>
      </c>
      <c r="K137" s="377" t="str">
        <f t="shared" si="290"/>
        <v xml:space="preserve">46.095,-6.448 </v>
      </c>
      <c r="L137" s="377" t="str">
        <f t="shared" si="291"/>
        <v xml:space="preserve">52.68,-6.448 </v>
      </c>
      <c r="M137" s="377" t="str">
        <f t="shared" si="292"/>
        <v xml:space="preserve">59.265,-6.448 </v>
      </c>
      <c r="N137" s="377" t="str">
        <f t="shared" si="293"/>
        <v xml:space="preserve">65.85,-6.448 </v>
      </c>
      <c r="O137" s="377" t="str">
        <f t="shared" si="294"/>
        <v xml:space="preserve">72.435,-6.448 </v>
      </c>
      <c r="P137" s="377" t="str">
        <f t="shared" si="295"/>
        <v xml:space="preserve">79.02,-6.448 </v>
      </c>
      <c r="Q137" s="377" t="str">
        <f t="shared" si="296"/>
        <v xml:space="preserve">85.605,-6.468 </v>
      </c>
      <c r="R137" s="377" t="str">
        <f t="shared" si="297"/>
        <v xml:space="preserve">92.19,-6.628 </v>
      </c>
      <c r="S137" s="377" t="str">
        <f t="shared" si="298"/>
        <v xml:space="preserve">98.775,-7.408 </v>
      </c>
      <c r="T137" s="377" t="str">
        <f t="shared" si="299"/>
        <v xml:space="preserve">105.36,-8.498 </v>
      </c>
      <c r="U137" s="377" t="str">
        <f t="shared" si="300"/>
        <v xml:space="preserve">111.945,-9.968 </v>
      </c>
      <c r="V137" s="377" t="str">
        <f t="shared" si="301"/>
        <v xml:space="preserve">118.53,-11.858 </v>
      </c>
      <c r="W137" s="377" t="str">
        <f t="shared" si="302"/>
        <v xml:space="preserve">121.823,-12.988 </v>
      </c>
      <c r="X137" s="377" t="str">
        <f t="shared" si="303"/>
        <v xml:space="preserve">125.115,-14.278 </v>
      </c>
      <c r="Y137" s="377" t="str">
        <f t="shared" si="304"/>
        <v xml:space="preserve">128.408,-15.908 </v>
      </c>
      <c r="Z137" s="395" t="str">
        <f t="shared" si="305"/>
        <v xml:space="preserve">131.7,-17.848 </v>
      </c>
      <c r="AB137" s="245" t="str">
        <f t="shared" si="317"/>
        <v xml:space="preserve">Spline </v>
      </c>
      <c r="AC137" s="245" t="str">
        <f>Tools!B137</f>
        <v xml:space="preserve">0,-9.098 </v>
      </c>
      <c r="AD137" s="245" t="str">
        <f>Tools!C137</f>
        <v xml:space="preserve">3.293,-8.068 </v>
      </c>
      <c r="AE137" s="245" t="str">
        <f>Tools!D137</f>
        <v xml:space="preserve">6.585,-7.368 </v>
      </c>
      <c r="AF137" s="245" t="str">
        <f>Tools!E137</f>
        <v xml:space="preserve">9.878,-6.928 </v>
      </c>
      <c r="AG137" s="245" t="str">
        <f>Tools!F137</f>
        <v xml:space="preserve">13.17,-6.698 </v>
      </c>
      <c r="AH137" s="245" t="str">
        <f>Tools!G137</f>
        <v xml:space="preserve">19.755,-6.488 </v>
      </c>
      <c r="AI137" s="245" t="str">
        <f>Tools!H137</f>
        <v xml:space="preserve">26.34,-6.448 </v>
      </c>
      <c r="AJ137" s="245" t="str">
        <f>Tools!I137</f>
        <v xml:space="preserve">32.925,-6.448 </v>
      </c>
      <c r="AK137" s="245" t="str">
        <f>Tools!J137</f>
        <v xml:space="preserve">39.51,-6.448 </v>
      </c>
      <c r="AL137" s="245" t="str">
        <f>Tools!K137</f>
        <v xml:space="preserve">46.095,-6.448 </v>
      </c>
      <c r="AM137" s="245" t="str">
        <f>Tools!L137</f>
        <v xml:space="preserve">52.68,-6.448 </v>
      </c>
      <c r="AN137" s="245" t="str">
        <f>Tools!M137</f>
        <v xml:space="preserve">59.265,-6.448 </v>
      </c>
      <c r="AO137" s="245" t="str">
        <f>Tools!N137</f>
        <v xml:space="preserve">65.85,-6.448 </v>
      </c>
      <c r="AP137" s="245" t="str">
        <f>Tools!O137</f>
        <v xml:space="preserve">72.435,-6.448 </v>
      </c>
      <c r="AQ137" s="245" t="str">
        <f>Tools!P137</f>
        <v xml:space="preserve">79.02,-6.448 </v>
      </c>
      <c r="AR137" s="245" t="str">
        <f>Tools!Q137</f>
        <v xml:space="preserve">85.605,-6.468 </v>
      </c>
      <c r="AS137" s="245" t="str">
        <f>Tools!R137</f>
        <v xml:space="preserve">92.19,-6.628 </v>
      </c>
      <c r="AT137" s="245" t="str">
        <f>Tools!S137</f>
        <v xml:space="preserve">98.775,-7.408 </v>
      </c>
      <c r="AU137" s="245" t="str">
        <f>Tools!T137</f>
        <v xml:space="preserve">105.36,-8.498 </v>
      </c>
      <c r="AV137" s="245" t="str">
        <f>Tools!U137</f>
        <v xml:space="preserve">111.945,-9.968 </v>
      </c>
      <c r="AW137" s="245" t="str">
        <f>Tools!V137</f>
        <v xml:space="preserve">118.53,-11.858 </v>
      </c>
      <c r="AX137" s="245" t="str">
        <f>Tools!W137</f>
        <v xml:space="preserve">121.823,-12.988 </v>
      </c>
      <c r="AY137" s="245" t="str">
        <f>Tools!X137</f>
        <v xml:space="preserve">125.115,-14.278 </v>
      </c>
      <c r="AZ137" s="245" t="str">
        <f>Tools!Y137</f>
        <v xml:space="preserve">128.408,-15.908 </v>
      </c>
      <c r="BA137" s="396" t="str">
        <f>Tools!Z137</f>
        <v xml:space="preserve">131.7,-17.848 </v>
      </c>
      <c r="BC137" s="274">
        <f>'Rise, etc.'!O13</f>
        <v>7</v>
      </c>
      <c r="BD137" s="277" t="str">
        <f>IF(ISNUMBER(VLOOKUP(BC137,'Rise, etc.'!O$3:P$28,2,FALSE)),VLOOKUP(BC137,'Rise, etc.'!O$3:P$28,2,FALSE),"-")</f>
        <v>-</v>
      </c>
      <c r="BE137" s="277" t="e">
        <f t="shared" si="353"/>
        <v>#VALUE!</v>
      </c>
      <c r="BF137" s="277" t="str">
        <f t="shared" si="319"/>
        <v>#NA</v>
      </c>
      <c r="BG137" s="277" t="str">
        <f t="shared" si="320"/>
        <v>#NA</v>
      </c>
      <c r="BH137" s="277" t="str">
        <f t="shared" si="321"/>
        <v>#NA</v>
      </c>
      <c r="BI137" s="277" t="str">
        <f t="shared" si="322"/>
        <v>#NA</v>
      </c>
      <c r="BJ137" s="277" t="str">
        <f t="shared" si="323"/>
        <v>#NA</v>
      </c>
      <c r="BK137" s="277" t="str">
        <f t="shared" si="324"/>
        <v>#NA</v>
      </c>
      <c r="BL137" s="277" t="str">
        <f t="shared" si="325"/>
        <v>#NA</v>
      </c>
      <c r="BM137" s="277"/>
      <c r="BN137" s="277" t="e">
        <f t="shared" si="326"/>
        <v>#VALUE!</v>
      </c>
      <c r="BO137" s="277" t="e">
        <f t="shared" si="327"/>
        <v>#VALUE!</v>
      </c>
      <c r="BP137" s="277" t="e">
        <f t="shared" si="328"/>
        <v>#VALUE!</v>
      </c>
      <c r="BQ137" s="277" t="e">
        <f t="shared" si="329"/>
        <v>#VALUE!</v>
      </c>
      <c r="BR137" s="277" t="e">
        <f t="shared" si="330"/>
        <v>#VALUE!</v>
      </c>
      <c r="BS137" s="277" t="e">
        <f t="shared" si="331"/>
        <v>#VALUE!</v>
      </c>
      <c r="BT137" s="277" t="e">
        <f t="shared" si="332"/>
        <v>#VALUE!</v>
      </c>
      <c r="BU137" s="277" t="e">
        <f t="shared" si="333"/>
        <v>#VALUE!</v>
      </c>
      <c r="BV137" s="277" t="e">
        <f t="shared" si="334"/>
        <v>#VALUE!</v>
      </c>
      <c r="BW137" s="277" t="e">
        <f t="shared" si="335"/>
        <v>#VALUE!</v>
      </c>
      <c r="BX137" s="277" t="e">
        <f t="shared" si="354"/>
        <v>#VALUE!</v>
      </c>
      <c r="BY137" s="277" t="e">
        <f t="shared" si="336"/>
        <v>#VALUE!</v>
      </c>
      <c r="BZ137" s="277" t="e">
        <f t="shared" si="337"/>
        <v>#VALUE!</v>
      </c>
      <c r="CA137" s="277" t="e">
        <f t="shared" si="338"/>
        <v>#VALUE!</v>
      </c>
      <c r="CB137" s="277" t="e">
        <f t="shared" si="339"/>
        <v>#VALUE!</v>
      </c>
      <c r="CC137" s="277" t="e">
        <f t="shared" si="340"/>
        <v>#VALUE!</v>
      </c>
      <c r="CD137" s="277" t="e">
        <f t="shared" si="341"/>
        <v>#VALUE!</v>
      </c>
      <c r="CE137" s="277" t="e">
        <f t="shared" si="342"/>
        <v>#VALUE!</v>
      </c>
      <c r="CF137" s="277" t="e">
        <f t="shared" si="343"/>
        <v>#VALUE!</v>
      </c>
      <c r="CG137" s="277" t="e">
        <f t="shared" si="344"/>
        <v>#VALUE!</v>
      </c>
      <c r="CH137" s="277" t="e">
        <f t="shared" si="345"/>
        <v>#VALUE!</v>
      </c>
      <c r="CI137" s="277" t="e">
        <f t="shared" si="346"/>
        <v>#VALUE!</v>
      </c>
      <c r="CJ137" s="277" t="e">
        <f t="shared" si="347"/>
        <v>#VALUE!</v>
      </c>
      <c r="CK137" s="277" t="e">
        <f t="shared" si="348"/>
        <v>#VALUE!</v>
      </c>
      <c r="CL137" s="277" t="e">
        <f t="shared" si="349"/>
        <v>#VALUE!</v>
      </c>
      <c r="CM137" s="276">
        <f t="shared" si="355"/>
        <v>0</v>
      </c>
      <c r="CO137" s="454">
        <v>12.6</v>
      </c>
      <c r="CP137" s="454">
        <v>-9.6</v>
      </c>
      <c r="CQ137" s="454">
        <v>-10.63</v>
      </c>
      <c r="CR137" s="454">
        <v>-11.33</v>
      </c>
      <c r="CS137" s="454">
        <v>-11.77</v>
      </c>
      <c r="CT137" s="454">
        <v>-12</v>
      </c>
      <c r="CU137" s="454">
        <v>-12.21</v>
      </c>
      <c r="CV137" s="454">
        <v>-12.25</v>
      </c>
      <c r="CW137" s="454">
        <v>-12.25</v>
      </c>
      <c r="CX137" s="454">
        <v>-12.25</v>
      </c>
      <c r="CY137" s="454">
        <v>-12.25</v>
      </c>
      <c r="CZ137" s="454">
        <v>-12.25</v>
      </c>
      <c r="DA137" s="454">
        <v>-12.25</v>
      </c>
      <c r="DB137" s="454">
        <v>-12.25</v>
      </c>
      <c r="DC137" s="454">
        <v>12.25</v>
      </c>
      <c r="DD137" s="454">
        <v>12.25</v>
      </c>
      <c r="DE137" s="454">
        <v>12.23</v>
      </c>
      <c r="DF137" s="454">
        <v>12.07</v>
      </c>
      <c r="DG137" s="454">
        <v>11.29</v>
      </c>
      <c r="DH137" s="454">
        <v>10.199999999999999</v>
      </c>
      <c r="DI137" s="454">
        <v>8.73</v>
      </c>
      <c r="DJ137" s="454">
        <v>6.84</v>
      </c>
      <c r="DK137" s="454">
        <v>5.71</v>
      </c>
      <c r="DL137" s="454">
        <v>4.42</v>
      </c>
      <c r="DM137" s="454">
        <v>2.79</v>
      </c>
      <c r="DN137" s="454">
        <v>0.85</v>
      </c>
      <c r="DO137" s="397"/>
      <c r="DP137" s="458">
        <f t="shared" si="272"/>
        <v>59.264999999999993</v>
      </c>
      <c r="DQ137" s="458" t="str">
        <f t="shared" si="273"/>
        <v/>
      </c>
      <c r="DR137" s="458" t="str">
        <f t="shared" ref="DR137:EO137" si="372">IFERROR(CONCATENATE(ROUND($DP137,3),",",ROUND(ABS(DK109),3),",",ROUND(EM109,3)," "),"")</f>
        <v xml:space="preserve">59.265,7.2,0 </v>
      </c>
      <c r="DS137" s="458" t="str">
        <f t="shared" si="372"/>
        <v xml:space="preserve">59.265,10.78,0.9 </v>
      </c>
      <c r="DT137" s="458" t="str">
        <f t="shared" si="372"/>
        <v xml:space="preserve">59.265,11.72,1.8 </v>
      </c>
      <c r="DU137" s="458" t="str">
        <f t="shared" si="372"/>
        <v xml:space="preserve">59.265,12.12,2.7 </v>
      </c>
      <c r="DV137" s="458" t="str">
        <f t="shared" si="372"/>
        <v xml:space="preserve">59.265,12.25,3.6 </v>
      </c>
      <c r="DW137" s="458" t="str">
        <f t="shared" si="372"/>
        <v xml:space="preserve">59.265,12.25,5.4 </v>
      </c>
      <c r="DX137" s="458" t="str">
        <f t="shared" si="372"/>
        <v xml:space="preserve">59.265,12.25,7.2 </v>
      </c>
      <c r="DY137" s="458" t="str">
        <f t="shared" si="372"/>
        <v xml:space="preserve">59.265,12.25,9 </v>
      </c>
      <c r="DZ137" s="458" t="str">
        <f t="shared" si="372"/>
        <v xml:space="preserve">59.265,12.25,10.1 </v>
      </c>
      <c r="EA137" s="458" t="str">
        <f t="shared" si="372"/>
        <v xml:space="preserve">59.265,12.25,10.8 </v>
      </c>
      <c r="EB137" s="458" t="str">
        <f t="shared" si="372"/>
        <v xml:space="preserve">59.265,12.25,12.6 </v>
      </c>
      <c r="EC137" s="458" t="str">
        <f t="shared" si="372"/>
        <v xml:space="preserve">59.265,12.25,14.19 </v>
      </c>
      <c r="ED137" s="458" t="str">
        <f t="shared" si="372"/>
        <v/>
      </c>
      <c r="EE137" s="458" t="str">
        <f t="shared" si="372"/>
        <v/>
      </c>
      <c r="EF137" s="458" t="str">
        <f t="shared" si="372"/>
        <v/>
      </c>
      <c r="EG137" s="458" t="str">
        <f t="shared" si="372"/>
        <v/>
      </c>
      <c r="EH137" s="458" t="str">
        <f t="shared" si="372"/>
        <v/>
      </c>
      <c r="EI137" s="458" t="str">
        <f t="shared" si="372"/>
        <v/>
      </c>
      <c r="EJ137" s="458" t="str">
        <f t="shared" si="372"/>
        <v/>
      </c>
      <c r="EK137" s="458" t="str">
        <f t="shared" si="372"/>
        <v/>
      </c>
      <c r="EL137" s="458" t="str">
        <f t="shared" si="372"/>
        <v/>
      </c>
      <c r="EM137" s="458" t="str">
        <f t="shared" si="372"/>
        <v/>
      </c>
      <c r="EN137" s="458" t="str">
        <f t="shared" si="372"/>
        <v/>
      </c>
      <c r="EO137" s="458" t="str">
        <f t="shared" si="372"/>
        <v/>
      </c>
      <c r="EP137" s="458" t="str">
        <f t="shared" si="273"/>
        <v/>
      </c>
      <c r="ER137" s="457" t="str">
        <f t="shared" si="307"/>
        <v xml:space="preserve">59.265,7.2,0 59.265,10.78,0.9 59.265,11.72,1.8 59.265,12.12,2.7 59.265,12.25,3.6 59.265,12.25,5.4 59.265,12.25,7.2 59.265,12.25,9 59.265,12.25,10.1 59.265,12.25,10.8 59.265,12.25,12.6 59.265,12.25,14.19 </v>
      </c>
      <c r="ES137" s="186" t="str">
        <f t="shared" ca="1" si="351"/>
        <v xml:space="preserve">Spline 59.265,0,0 59.265,7.2,0 59.265,10.78,0.9 59.265,11.72,1.8 59.265,12.12,2.7 59.265,12.25,3.6 59.265,12.25,5.4 59.265,12.25,7.2 59.265,12.25,9 59.265,12.25,10.1 59.265,12.25,10.8 59.265,12.25,12.6 59.265,12.25,14.19  </v>
      </c>
      <c r="ET137" s="129" t="str">
        <f t="shared" ca="1" si="308"/>
        <v xml:space="preserve">Spline 59.265,0,0 59.265,7.2,0 59.265,10.78,0.9 59.265,11.72,1.8 59.265,12.12,2.7 59.265,12.25,3.6 59.265,12.25,5.4 59.265,12.25,7.2 59.265,12.25,9 59.265,12.25,10.1 59.265,12.25,10.8 59.265,12.25,12.6 59.265,12.25,14.19  </v>
      </c>
      <c r="EU137" s="129">
        <f ca="1">COUNTIF(BP_12,NA())</f>
        <v>0</v>
      </c>
      <c r="EV137" s="129">
        <f t="shared" ca="1" si="274"/>
        <v>0</v>
      </c>
      <c r="EW137" s="129">
        <v>12</v>
      </c>
      <c r="EX137" s="129" t="str">
        <f t="shared" si="275"/>
        <v xml:space="preserve">59.265,12.25,14.19 </v>
      </c>
      <c r="EY137" s="129" t="str">
        <f t="shared" ca="1" si="276"/>
        <v xml:space="preserve">Spline 59.265,0,0 59.265,12.25,14.19 59.265,12.25,12.6 59.265,12.25,10.8 59.265,12.25,10.1 59.265,12.25,9 59.265,12.25,7.2 59.265,12.25,5.4 59.265,12.25,3.6 59.265,12.12,2.7 59.265,11.72,1.8 59.265,10.78,0.9 59.265,7.2,0 </v>
      </c>
      <c r="EZ137" s="186" t="str">
        <f t="shared" si="309"/>
        <v xml:space="preserve">59.265,7.2,0 59.265,10.78,0.9 59.265,11.72,1.8 59.265,12.12,2.7 59.265,12.25,3.6 59.265,12.25,5.4 59.265,12.25,7.2 59.265,12.25,9 59.265,12.25,10.1 59.265,12.25,10.8 59.265,12.25,12.6 59.265,12.25,14.19  </v>
      </c>
      <c r="FB137" s="458">
        <f t="shared" si="277"/>
        <v>59.264999999999993</v>
      </c>
      <c r="FC137" s="460" t="str">
        <f t="shared" si="310"/>
        <v/>
      </c>
      <c r="FD137" s="458" t="str">
        <f t="shared" ref="FD137:GB137" si="373">IFERROR(CONCATENATE(ROUND($DP137,3),",",-ROUND(ABS(DK109),3),",",ROUND(EM109,3)," "),"")</f>
        <v xml:space="preserve">59.265,-7.2,0 </v>
      </c>
      <c r="FE137" s="458" t="str">
        <f t="shared" si="373"/>
        <v xml:space="preserve">59.265,-10.78,0.9 </v>
      </c>
      <c r="FF137" s="458" t="str">
        <f t="shared" si="373"/>
        <v xml:space="preserve">59.265,-11.72,1.8 </v>
      </c>
      <c r="FG137" s="458" t="str">
        <f t="shared" si="373"/>
        <v xml:space="preserve">59.265,-12.12,2.7 </v>
      </c>
      <c r="FH137" s="458" t="str">
        <f t="shared" si="373"/>
        <v xml:space="preserve">59.265,-12.25,3.6 </v>
      </c>
      <c r="FI137" s="458" t="str">
        <f t="shared" si="373"/>
        <v xml:space="preserve">59.265,-12.25,5.4 </v>
      </c>
      <c r="FJ137" s="458" t="str">
        <f t="shared" si="373"/>
        <v xml:space="preserve">59.265,-12.25,7.2 </v>
      </c>
      <c r="FK137" s="458" t="str">
        <f t="shared" si="373"/>
        <v xml:space="preserve">59.265,-12.25,9 </v>
      </c>
      <c r="FL137" s="458" t="str">
        <f t="shared" si="373"/>
        <v xml:space="preserve">59.265,-12.25,10.1 </v>
      </c>
      <c r="FM137" s="458" t="str">
        <f t="shared" si="373"/>
        <v xml:space="preserve">59.265,-12.25,10.8 </v>
      </c>
      <c r="FN137" s="458" t="str">
        <f t="shared" si="373"/>
        <v xml:space="preserve">59.265,-12.25,12.6 </v>
      </c>
      <c r="FO137" s="458" t="str">
        <f t="shared" si="373"/>
        <v xml:space="preserve">59.265,-12.25,14.19 </v>
      </c>
      <c r="FP137" s="458" t="str">
        <f t="shared" si="373"/>
        <v/>
      </c>
      <c r="FQ137" s="458" t="str">
        <f t="shared" si="373"/>
        <v/>
      </c>
      <c r="FR137" s="458" t="str">
        <f t="shared" si="373"/>
        <v/>
      </c>
      <c r="FS137" s="458" t="str">
        <f t="shared" si="373"/>
        <v/>
      </c>
      <c r="FT137" s="458" t="str">
        <f t="shared" si="373"/>
        <v/>
      </c>
      <c r="FU137" s="458" t="str">
        <f t="shared" si="373"/>
        <v/>
      </c>
      <c r="FV137" s="458" t="str">
        <f t="shared" si="373"/>
        <v/>
      </c>
      <c r="FW137" s="458" t="str">
        <f t="shared" si="373"/>
        <v/>
      </c>
      <c r="FX137" s="458" t="str">
        <f t="shared" si="373"/>
        <v/>
      </c>
      <c r="FY137" s="458" t="str">
        <f t="shared" si="373"/>
        <v/>
      </c>
      <c r="FZ137" s="458" t="str">
        <f t="shared" si="373"/>
        <v/>
      </c>
      <c r="GA137" s="458" t="str">
        <f t="shared" si="373"/>
        <v/>
      </c>
      <c r="GB137" s="458" t="str">
        <f t="shared" si="373"/>
        <v/>
      </c>
      <c r="GC137" s="129" t="str">
        <f t="shared" si="312"/>
        <v xml:space="preserve">59.265,12.25,14.19 59.265,12.25,12.6 59.265,12.25,10.8 59.265,12.25,10.1 59.265,12.25,9 59.265,12.25,7.2 59.265,12.25,5.4 59.265,12.25,3.6 59.265,12.12,2.7 59.265,11.72,1.8 59.265,10.78,0.9 59.265,7.2,0 </v>
      </c>
      <c r="GD137" s="129" t="str">
        <f t="shared" ca="1" si="279"/>
        <v>Spline 59.265,12.25,14.19 59.265,12.25,12.6 59.265,12.25,10.8 59.265,12.25,10.1 59.265,12.25,9 59.265,12.25,7.2 59.265,12.25,5.4 59.265,12.25,3.6 59.265,12.12,2.7 59.265,11.72,1.8 59.265,10.78,0.9 59.265,7.2,0 59.265,0,0</v>
      </c>
      <c r="GE137" s="461" t="str">
        <f t="shared" si="313"/>
        <v xml:space="preserve">59.265,-7.2,0 59.265,-10.78,0.9 59.265,-11.72,1.8 59.265,-12.12,2.7 59.265,-12.25,3.6 59.265,-12.25,5.4 59.265,-12.25,7.2 59.265,-12.25,9 59.265,-12.25,10.1 59.265,-12.25,10.8 59.265,-12.25,12.6 59.265,-12.25,14.19 </v>
      </c>
      <c r="GH137" s="129" t="str">
        <f t="shared" si="314"/>
        <v xml:space="preserve">Spline 59.265,12.25,14.19 59.265,12.25,12.6 59.265,12.25,10.8 59.265,12.25,10.1 59.265,12.25,9 59.265,12.25,7.2 59.265,12.25,5.4 59.265,12.25,3.6 59.265,12.12,2.7 59.265,11.72,1.8 59.265,10.78,0.9 59.265,7.2,0 T 59.265,0,0 </v>
      </c>
      <c r="GI137" s="129" t="str">
        <f t="shared" si="315"/>
        <v xml:space="preserve">Spline 59.265,7.2,0 59.265,0,0  Join 59.265,0,0  59.265,12.25,14.19 </v>
      </c>
      <c r="GP137" s="129" t="str">
        <f t="shared" si="280"/>
        <v xml:space="preserve">59.265,0,0 </v>
      </c>
      <c r="GQ137" s="129" t="str">
        <f t="shared" si="316"/>
        <v>Curve 59.265,12.25,14.19 59.265,12.25,12.6 59.265,12.25,10.8 59.265,12.25,10.1 59.265,12.25,9 59.265,12.25,7.2 59.265,12.25,5.4 59.265,12.25,3.6 59.265,12.12,2.7 59.265,11.72,1.8 59.265,10.78,0.9 59.265,7.2,0 59.265,0,0 _enter</v>
      </c>
    </row>
    <row r="138" spans="1:199" x14ac:dyDescent="0.25">
      <c r="A138" s="374">
        <f t="shared" si="271"/>
        <v>7.8833333333333329</v>
      </c>
      <c r="B138" s="377" t="str">
        <f t="shared" si="281"/>
        <v xml:space="preserve">0,-7.808 </v>
      </c>
      <c r="C138" s="377" t="str">
        <f t="shared" si="282"/>
        <v xml:space="preserve">3.293,-7.178 </v>
      </c>
      <c r="D138" s="377" t="str">
        <f t="shared" si="283"/>
        <v xml:space="preserve">6.585,-6.798 </v>
      </c>
      <c r="E138" s="377" t="str">
        <f t="shared" si="284"/>
        <v xml:space="preserve">9.878,-6.598 </v>
      </c>
      <c r="F138" s="377" t="str">
        <f t="shared" si="285"/>
        <v xml:space="preserve">13.17,-6.498 </v>
      </c>
      <c r="G138" s="377" t="str">
        <f t="shared" si="286"/>
        <v xml:space="preserve">19.755,-6.468 </v>
      </c>
      <c r="H138" s="377" t="str">
        <f t="shared" si="287"/>
        <v xml:space="preserve">26.34,-6.448 </v>
      </c>
      <c r="I138" s="377" t="str">
        <f t="shared" si="288"/>
        <v xml:space="preserve">32.925,-6.448 </v>
      </c>
      <c r="J138" s="377" t="str">
        <f t="shared" si="289"/>
        <v xml:space="preserve">39.51,-6.448 </v>
      </c>
      <c r="K138" s="377" t="str">
        <f t="shared" si="290"/>
        <v xml:space="preserve">46.095,-6.448 </v>
      </c>
      <c r="L138" s="377" t="str">
        <f t="shared" si="291"/>
        <v xml:space="preserve">52.68,-6.448 </v>
      </c>
      <c r="M138" s="377" t="str">
        <f t="shared" si="292"/>
        <v xml:space="preserve">59.265,-6.448 </v>
      </c>
      <c r="N138" s="377" t="str">
        <f t="shared" si="293"/>
        <v xml:space="preserve">65.85,-6.448 </v>
      </c>
      <c r="O138" s="377" t="str">
        <f t="shared" si="294"/>
        <v xml:space="preserve">72.435,-6.448 </v>
      </c>
      <c r="P138" s="377" t="str">
        <f t="shared" si="295"/>
        <v xml:space="preserve">79.02,-6.448 </v>
      </c>
      <c r="Q138" s="377" t="str">
        <f t="shared" si="296"/>
        <v xml:space="preserve">85.605,-6.448 </v>
      </c>
      <c r="R138" s="377" t="str">
        <f t="shared" si="297"/>
        <v xml:space="preserve">92.19,-6.468 </v>
      </c>
      <c r="S138" s="377" t="str">
        <f t="shared" si="298"/>
        <v xml:space="preserve">98.775,-6.548 </v>
      </c>
      <c r="T138" s="377" t="str">
        <f t="shared" si="299"/>
        <v xml:space="preserve">105.36,-6.948 </v>
      </c>
      <c r="U138" s="377" t="str">
        <f t="shared" si="300"/>
        <v xml:space="preserve">111.945,-7.758 </v>
      </c>
      <c r="V138" s="377" t="str">
        <f t="shared" si="301"/>
        <v xml:space="preserve">118.53,-8.928 </v>
      </c>
      <c r="W138" s="377" t="str">
        <f t="shared" si="302"/>
        <v xml:space="preserve">121.823,-10.598 </v>
      </c>
      <c r="X138" s="377" t="str">
        <f t="shared" si="303"/>
        <v xml:space="preserve">125.115,-12.938 </v>
      </c>
      <c r="Y138" s="377" t="str">
        <f t="shared" si="304"/>
        <v xml:space="preserve">128.408,-14.598 </v>
      </c>
      <c r="Z138" s="395" t="str">
        <f t="shared" si="305"/>
        <v xml:space="preserve">131.7,-16.918 </v>
      </c>
      <c r="AB138" s="245" t="str">
        <f t="shared" si="317"/>
        <v xml:space="preserve">Spline </v>
      </c>
      <c r="AC138" s="245" t="str">
        <f>Tools!B138</f>
        <v xml:space="preserve">0,-7.808 </v>
      </c>
      <c r="AD138" s="245" t="str">
        <f>Tools!C138</f>
        <v xml:space="preserve">3.293,-7.178 </v>
      </c>
      <c r="AE138" s="245" t="str">
        <f>Tools!D138</f>
        <v xml:space="preserve">6.585,-6.798 </v>
      </c>
      <c r="AF138" s="245" t="str">
        <f>Tools!E138</f>
        <v xml:space="preserve">9.878,-6.598 </v>
      </c>
      <c r="AG138" s="245" t="str">
        <f>Tools!F138</f>
        <v xml:space="preserve">13.17,-6.498 </v>
      </c>
      <c r="AH138" s="245" t="str">
        <f>Tools!G138</f>
        <v xml:space="preserve">19.755,-6.468 </v>
      </c>
      <c r="AI138" s="245" t="str">
        <f>Tools!H138</f>
        <v xml:space="preserve">26.34,-6.448 </v>
      </c>
      <c r="AJ138" s="245" t="str">
        <f>Tools!I138</f>
        <v xml:space="preserve">32.925,-6.448 </v>
      </c>
      <c r="AK138" s="245" t="str">
        <f>Tools!J138</f>
        <v xml:space="preserve">39.51,-6.448 </v>
      </c>
      <c r="AL138" s="245" t="str">
        <f>Tools!K138</f>
        <v xml:space="preserve">46.095,-6.448 </v>
      </c>
      <c r="AM138" s="245" t="str">
        <f>Tools!L138</f>
        <v xml:space="preserve">52.68,-6.448 </v>
      </c>
      <c r="AN138" s="245" t="str">
        <f>Tools!M138</f>
        <v xml:space="preserve">59.265,-6.448 </v>
      </c>
      <c r="AO138" s="245" t="str">
        <f>Tools!N138</f>
        <v xml:space="preserve">65.85,-6.448 </v>
      </c>
      <c r="AP138" s="245" t="str">
        <f>Tools!O138</f>
        <v xml:space="preserve">72.435,-6.448 </v>
      </c>
      <c r="AQ138" s="245" t="str">
        <f>Tools!P138</f>
        <v xml:space="preserve">79.02,-6.448 </v>
      </c>
      <c r="AR138" s="245" t="str">
        <f>Tools!Q138</f>
        <v xml:space="preserve">85.605,-6.448 </v>
      </c>
      <c r="AS138" s="245" t="str">
        <f>Tools!R138</f>
        <v xml:space="preserve">92.19,-6.468 </v>
      </c>
      <c r="AT138" s="245" t="str">
        <f>Tools!S138</f>
        <v xml:space="preserve">98.775,-6.548 </v>
      </c>
      <c r="AU138" s="245" t="str">
        <f>Tools!T138</f>
        <v xml:space="preserve">105.36,-6.948 </v>
      </c>
      <c r="AV138" s="245" t="str">
        <f>Tools!U138</f>
        <v xml:space="preserve">111.945,-7.758 </v>
      </c>
      <c r="AW138" s="245" t="str">
        <f>Tools!V138</f>
        <v xml:space="preserve">118.53,-8.928 </v>
      </c>
      <c r="AX138" s="245" t="str">
        <f>Tools!W138</f>
        <v xml:space="preserve">121.823,-10.598 </v>
      </c>
      <c r="AY138" s="245" t="str">
        <f>Tools!X138</f>
        <v xml:space="preserve">125.115,-12.938 </v>
      </c>
      <c r="AZ138" s="245" t="str">
        <f>Tools!Y138</f>
        <v xml:space="preserve">128.408,-14.598 </v>
      </c>
      <c r="BA138" s="396" t="str">
        <f>Tools!Z138</f>
        <v xml:space="preserve">131.7,-16.918 </v>
      </c>
      <c r="BC138" s="274">
        <f>'Rise, etc.'!O14</f>
        <v>8</v>
      </c>
      <c r="BD138" s="277" t="str">
        <f>IF(ISNUMBER(VLOOKUP(BC138,'Rise, etc.'!O$3:P$28,2,FALSE)),VLOOKUP(BC138,'Rise, etc.'!O$3:P$28,2,FALSE),"-")</f>
        <v>-</v>
      </c>
      <c r="BE138" s="277" t="e">
        <f t="shared" si="353"/>
        <v>#VALUE!</v>
      </c>
      <c r="BF138" s="277" t="str">
        <f t="shared" si="319"/>
        <v>#NA</v>
      </c>
      <c r="BG138" s="277" t="str">
        <f t="shared" si="320"/>
        <v>#NA</v>
      </c>
      <c r="BH138" s="277" t="str">
        <f t="shared" si="321"/>
        <v>#NA</v>
      </c>
      <c r="BI138" s="277" t="str">
        <f t="shared" si="322"/>
        <v>#NA</v>
      </c>
      <c r="BJ138" s="277" t="str">
        <f t="shared" si="323"/>
        <v>#NA</v>
      </c>
      <c r="BK138" s="277" t="str">
        <f t="shared" si="324"/>
        <v>#NA</v>
      </c>
      <c r="BL138" s="277" t="str">
        <f t="shared" si="325"/>
        <v>#NA</v>
      </c>
      <c r="BM138" s="277"/>
      <c r="BN138" s="277" t="e">
        <f t="shared" si="326"/>
        <v>#VALUE!</v>
      </c>
      <c r="BO138" s="277" t="e">
        <f t="shared" si="327"/>
        <v>#VALUE!</v>
      </c>
      <c r="BP138" s="277" t="e">
        <f t="shared" si="328"/>
        <v>#VALUE!</v>
      </c>
      <c r="BQ138" s="277" t="e">
        <f t="shared" si="329"/>
        <v>#VALUE!</v>
      </c>
      <c r="BR138" s="277" t="e">
        <f t="shared" si="330"/>
        <v>#VALUE!</v>
      </c>
      <c r="BS138" s="277" t="e">
        <f t="shared" si="331"/>
        <v>#VALUE!</v>
      </c>
      <c r="BT138" s="277" t="e">
        <f t="shared" si="332"/>
        <v>#VALUE!</v>
      </c>
      <c r="BU138" s="277" t="e">
        <f t="shared" si="333"/>
        <v>#VALUE!</v>
      </c>
      <c r="BV138" s="277" t="e">
        <f t="shared" si="334"/>
        <v>#VALUE!</v>
      </c>
      <c r="BW138" s="277" t="e">
        <f t="shared" si="335"/>
        <v>#VALUE!</v>
      </c>
      <c r="BX138" s="277" t="e">
        <f t="shared" si="354"/>
        <v>#VALUE!</v>
      </c>
      <c r="BY138" s="277" t="e">
        <f t="shared" si="336"/>
        <v>#VALUE!</v>
      </c>
      <c r="BZ138" s="277" t="e">
        <f t="shared" si="337"/>
        <v>#VALUE!</v>
      </c>
      <c r="CA138" s="277" t="e">
        <f t="shared" si="338"/>
        <v>#VALUE!</v>
      </c>
      <c r="CB138" s="277" t="e">
        <f t="shared" si="339"/>
        <v>#VALUE!</v>
      </c>
      <c r="CC138" s="277" t="e">
        <f t="shared" si="340"/>
        <v>#VALUE!</v>
      </c>
      <c r="CD138" s="277" t="e">
        <f t="shared" si="341"/>
        <v>#VALUE!</v>
      </c>
      <c r="CE138" s="277" t="e">
        <f t="shared" si="342"/>
        <v>#VALUE!</v>
      </c>
      <c r="CF138" s="277" t="e">
        <f t="shared" si="343"/>
        <v>#VALUE!</v>
      </c>
      <c r="CG138" s="277" t="e">
        <f t="shared" si="344"/>
        <v>#VALUE!</v>
      </c>
      <c r="CH138" s="277" t="e">
        <f t="shared" si="345"/>
        <v>#VALUE!</v>
      </c>
      <c r="CI138" s="277" t="e">
        <f t="shared" si="346"/>
        <v>#VALUE!</v>
      </c>
      <c r="CJ138" s="277" t="e">
        <f t="shared" si="347"/>
        <v>#VALUE!</v>
      </c>
      <c r="CK138" s="277" t="e">
        <f t="shared" si="348"/>
        <v>#VALUE!</v>
      </c>
      <c r="CL138" s="277" t="e">
        <f t="shared" si="349"/>
        <v>#VALUE!</v>
      </c>
      <c r="CM138" s="276">
        <f t="shared" si="355"/>
        <v>0</v>
      </c>
      <c r="CO138" s="454">
        <v>14.19</v>
      </c>
      <c r="CP138" s="454">
        <v>-10.89</v>
      </c>
      <c r="CQ138" s="454">
        <v>-11.52</v>
      </c>
      <c r="CR138" s="454">
        <v>-11.9</v>
      </c>
      <c r="CS138" s="454">
        <v>-12.1</v>
      </c>
      <c r="CT138" s="454">
        <v>-12.2</v>
      </c>
      <c r="CU138" s="454">
        <v>-12.23</v>
      </c>
      <c r="CV138" s="454">
        <v>-12.25</v>
      </c>
      <c r="CW138" s="454">
        <v>-12.25</v>
      </c>
      <c r="CX138" s="454">
        <v>-12.25</v>
      </c>
      <c r="CY138" s="454">
        <v>-12.25</v>
      </c>
      <c r="CZ138" s="454">
        <v>-12.25</v>
      </c>
      <c r="DA138" s="454">
        <v>-12.25</v>
      </c>
      <c r="DB138" s="454">
        <v>-12.25</v>
      </c>
      <c r="DC138" s="454">
        <v>12.25</v>
      </c>
      <c r="DD138" s="454">
        <v>12.25</v>
      </c>
      <c r="DE138" s="454">
        <v>12.25</v>
      </c>
      <c r="DF138" s="454">
        <v>12.23</v>
      </c>
      <c r="DG138" s="454">
        <v>12.15</v>
      </c>
      <c r="DH138" s="454">
        <v>11.75</v>
      </c>
      <c r="DI138" s="454">
        <v>10.94</v>
      </c>
      <c r="DJ138" s="454">
        <v>9.77</v>
      </c>
      <c r="DK138" s="454">
        <v>8.1</v>
      </c>
      <c r="DL138" s="454">
        <v>5.76</v>
      </c>
      <c r="DM138" s="454">
        <v>4.0999999999999996</v>
      </c>
      <c r="DN138" s="454">
        <v>1.78</v>
      </c>
      <c r="DO138" s="397"/>
      <c r="DP138" s="458">
        <f t="shared" si="272"/>
        <v>65.849999999999994</v>
      </c>
      <c r="DQ138" s="458" t="str">
        <f t="shared" si="273"/>
        <v/>
      </c>
      <c r="DR138" s="458" t="str">
        <f t="shared" ref="DR138:EO138" si="374">IFERROR(CONCATENATE(ROUND($DP138,3),",",ROUND(ABS(DK110),3),",",ROUND(EM110,3)," "),"")</f>
        <v xml:space="preserve">65.85,8.25,0 </v>
      </c>
      <c r="DS138" s="458" t="str">
        <f t="shared" si="374"/>
        <v xml:space="preserve">65.85,10.84,0.9 </v>
      </c>
      <c r="DT138" s="458" t="str">
        <f t="shared" si="374"/>
        <v xml:space="preserve">65.85,11.76,1.8 </v>
      </c>
      <c r="DU138" s="458" t="str">
        <f t="shared" si="374"/>
        <v xml:space="preserve">65.85,12.14,2.7 </v>
      </c>
      <c r="DV138" s="458" t="str">
        <f t="shared" si="374"/>
        <v xml:space="preserve">65.85,12.25,3.6 </v>
      </c>
      <c r="DW138" s="458" t="str">
        <f t="shared" si="374"/>
        <v xml:space="preserve">65.85,12.25,5.4 </v>
      </c>
      <c r="DX138" s="458" t="str">
        <f t="shared" si="374"/>
        <v xml:space="preserve">65.85,12.25,7.2 </v>
      </c>
      <c r="DY138" s="458" t="str">
        <f t="shared" si="374"/>
        <v xml:space="preserve">65.85,12.25,9 </v>
      </c>
      <c r="DZ138" s="458" t="str">
        <f t="shared" si="374"/>
        <v xml:space="preserve">65.85,12.25,10.1 </v>
      </c>
      <c r="EA138" s="458" t="str">
        <f t="shared" si="374"/>
        <v xml:space="preserve">65.85,12.25,10.8 </v>
      </c>
      <c r="EB138" s="458" t="str">
        <f t="shared" si="374"/>
        <v xml:space="preserve">65.85,12.25,12.6 </v>
      </c>
      <c r="EC138" s="458" t="str">
        <f t="shared" si="374"/>
        <v xml:space="preserve">65.85,12.25,14.19 </v>
      </c>
      <c r="ED138" s="458" t="str">
        <f t="shared" si="374"/>
        <v/>
      </c>
      <c r="EE138" s="458" t="str">
        <f t="shared" si="374"/>
        <v/>
      </c>
      <c r="EF138" s="458" t="str">
        <f t="shared" si="374"/>
        <v/>
      </c>
      <c r="EG138" s="458" t="str">
        <f t="shared" si="374"/>
        <v/>
      </c>
      <c r="EH138" s="458" t="str">
        <f t="shared" si="374"/>
        <v/>
      </c>
      <c r="EI138" s="458" t="str">
        <f t="shared" si="374"/>
        <v/>
      </c>
      <c r="EJ138" s="458" t="str">
        <f t="shared" si="374"/>
        <v/>
      </c>
      <c r="EK138" s="458" t="str">
        <f t="shared" si="374"/>
        <v/>
      </c>
      <c r="EL138" s="458" t="str">
        <f t="shared" si="374"/>
        <v/>
      </c>
      <c r="EM138" s="458" t="str">
        <f t="shared" si="374"/>
        <v/>
      </c>
      <c r="EN138" s="458" t="str">
        <f t="shared" si="374"/>
        <v/>
      </c>
      <c r="EO138" s="458" t="str">
        <f t="shared" si="374"/>
        <v/>
      </c>
      <c r="EP138" s="458" t="str">
        <f t="shared" si="273"/>
        <v/>
      </c>
      <c r="ER138" s="457" t="str">
        <f t="shared" si="307"/>
        <v xml:space="preserve">65.85,8.25,0 65.85,10.84,0.9 65.85,11.76,1.8 65.85,12.14,2.7 65.85,12.25,3.6 65.85,12.25,5.4 65.85,12.25,7.2 65.85,12.25,9 65.85,12.25,10.1 65.85,12.25,10.8 65.85,12.25,12.6 65.85,12.25,14.19 </v>
      </c>
      <c r="ES138" s="186" t="str">
        <f t="shared" ca="1" si="351"/>
        <v xml:space="preserve">Spline 65.85,0,0 65.85,8.25,0 65.85,10.84,0.9 65.85,11.76,1.8 65.85,12.14,2.7 65.85,12.25,3.6 65.85,12.25,5.4 65.85,12.25,7.2 65.85,12.25,9 65.85,12.25,10.1 65.85,12.25,10.8 65.85,12.25,12.6 65.85,12.25,14.19  </v>
      </c>
      <c r="ET138" s="129" t="str">
        <f t="shared" ca="1" si="308"/>
        <v xml:space="preserve">Spline 65.85,0,0 65.85,8.25,0 65.85,10.84,0.9 65.85,11.76,1.8 65.85,12.14,2.7 65.85,12.25,3.6 65.85,12.25,5.4 65.85,12.25,7.2 65.85,12.25,9 65.85,12.25,10.1 65.85,12.25,10.8 65.85,12.25,12.6 65.85,12.25,14.19  </v>
      </c>
      <c r="EU138" s="129">
        <f ca="1">COUNTIF(BP_13,NA())</f>
        <v>0</v>
      </c>
      <c r="EV138" s="129">
        <f t="shared" ca="1" si="274"/>
        <v>0</v>
      </c>
      <c r="EW138" s="129">
        <v>13</v>
      </c>
      <c r="EX138" s="129" t="str">
        <f t="shared" si="275"/>
        <v xml:space="preserve">65.85,12.25,14.19 </v>
      </c>
      <c r="EY138" s="129" t="str">
        <f t="shared" ca="1" si="276"/>
        <v xml:space="preserve">Spline 65.85,0,0 65.85,12.25,14.19 65.85,12.25,12.6 65.85,12.25,10.8 65.85,12.25,10.1 65.85,12.25,9 65.85,12.25,7.2 65.85,12.25,5.4 65.85,12.25,3.6 65.85,12.14,2.7 65.85,11.76,1.8 65.85,10.84,0.9 65.85,8.25,0 </v>
      </c>
      <c r="EZ138" s="186" t="str">
        <f t="shared" si="309"/>
        <v xml:space="preserve">65.85,8.25,0 65.85,10.84,0.9 65.85,11.76,1.8 65.85,12.14,2.7 65.85,12.25,3.6 65.85,12.25,5.4 65.85,12.25,7.2 65.85,12.25,9 65.85,12.25,10.1 65.85,12.25,10.8 65.85,12.25,12.6 65.85,12.25,14.19  </v>
      </c>
      <c r="FB138" s="458">
        <f t="shared" si="277"/>
        <v>65.849999999999994</v>
      </c>
      <c r="FC138" s="460" t="str">
        <f t="shared" si="310"/>
        <v/>
      </c>
      <c r="FD138" s="458" t="str">
        <f t="shared" ref="FD138:GB138" si="375">IFERROR(CONCATENATE(ROUND($DP138,3),",",-ROUND(ABS(DK110),3),",",ROUND(EM110,3)," "),"")</f>
        <v xml:space="preserve">65.85,-8.25,0 </v>
      </c>
      <c r="FE138" s="458" t="str">
        <f t="shared" si="375"/>
        <v xml:space="preserve">65.85,-10.84,0.9 </v>
      </c>
      <c r="FF138" s="458" t="str">
        <f t="shared" si="375"/>
        <v xml:space="preserve">65.85,-11.76,1.8 </v>
      </c>
      <c r="FG138" s="458" t="str">
        <f t="shared" si="375"/>
        <v xml:space="preserve">65.85,-12.14,2.7 </v>
      </c>
      <c r="FH138" s="458" t="str">
        <f t="shared" si="375"/>
        <v xml:space="preserve">65.85,-12.25,3.6 </v>
      </c>
      <c r="FI138" s="458" t="str">
        <f t="shared" si="375"/>
        <v xml:space="preserve">65.85,-12.25,5.4 </v>
      </c>
      <c r="FJ138" s="458" t="str">
        <f t="shared" si="375"/>
        <v xml:space="preserve">65.85,-12.25,7.2 </v>
      </c>
      <c r="FK138" s="458" t="str">
        <f t="shared" si="375"/>
        <v xml:space="preserve">65.85,-12.25,9 </v>
      </c>
      <c r="FL138" s="458" t="str">
        <f t="shared" si="375"/>
        <v xml:space="preserve">65.85,-12.25,10.1 </v>
      </c>
      <c r="FM138" s="458" t="str">
        <f t="shared" si="375"/>
        <v xml:space="preserve">65.85,-12.25,10.8 </v>
      </c>
      <c r="FN138" s="458" t="str">
        <f t="shared" si="375"/>
        <v xml:space="preserve">65.85,-12.25,12.6 </v>
      </c>
      <c r="FO138" s="458" t="str">
        <f t="shared" si="375"/>
        <v xml:space="preserve">65.85,-12.25,14.19 </v>
      </c>
      <c r="FP138" s="458" t="str">
        <f t="shared" si="375"/>
        <v/>
      </c>
      <c r="FQ138" s="458" t="str">
        <f t="shared" si="375"/>
        <v/>
      </c>
      <c r="FR138" s="458" t="str">
        <f t="shared" si="375"/>
        <v/>
      </c>
      <c r="FS138" s="458" t="str">
        <f t="shared" si="375"/>
        <v/>
      </c>
      <c r="FT138" s="458" t="str">
        <f t="shared" si="375"/>
        <v/>
      </c>
      <c r="FU138" s="458" t="str">
        <f t="shared" si="375"/>
        <v/>
      </c>
      <c r="FV138" s="458" t="str">
        <f t="shared" si="375"/>
        <v/>
      </c>
      <c r="FW138" s="458" t="str">
        <f t="shared" si="375"/>
        <v/>
      </c>
      <c r="FX138" s="458" t="str">
        <f t="shared" si="375"/>
        <v/>
      </c>
      <c r="FY138" s="458" t="str">
        <f t="shared" si="375"/>
        <v/>
      </c>
      <c r="FZ138" s="458" t="str">
        <f t="shared" si="375"/>
        <v/>
      </c>
      <c r="GA138" s="458" t="str">
        <f t="shared" si="375"/>
        <v/>
      </c>
      <c r="GB138" s="458" t="str">
        <f t="shared" si="375"/>
        <v/>
      </c>
      <c r="GC138" s="129" t="str">
        <f t="shared" si="312"/>
        <v xml:space="preserve">65.85,12.25,14.19 65.85,12.25,12.6 65.85,12.25,10.8 65.85,12.25,10.1 65.85,12.25,9 65.85,12.25,7.2 65.85,12.25,5.4 65.85,12.25,3.6 65.85,12.14,2.7 65.85,11.76,1.8 65.85,10.84,0.9 65.85,8.25,0 </v>
      </c>
      <c r="GD138" s="129" t="str">
        <f t="shared" ca="1" si="279"/>
        <v>Spline 65.85,12.25,14.19 65.85,12.25,12.6 65.85,12.25,10.8 65.85,12.25,10.1 65.85,12.25,9 65.85,12.25,7.2 65.85,12.25,5.4 65.85,12.25,3.6 65.85,12.14,2.7 65.85,11.76,1.8 65.85,10.84,0.9 65.85,8.25,0 65.85,0,0</v>
      </c>
      <c r="GE138" s="461" t="str">
        <f t="shared" si="313"/>
        <v xml:space="preserve">65.85,-8.25,0 65.85,-10.84,0.9 65.85,-11.76,1.8 65.85,-12.14,2.7 65.85,-12.25,3.6 65.85,-12.25,5.4 65.85,-12.25,7.2 65.85,-12.25,9 65.85,-12.25,10.1 65.85,-12.25,10.8 65.85,-12.25,12.6 65.85,-12.25,14.19 </v>
      </c>
      <c r="GH138" s="129" t="str">
        <f t="shared" si="314"/>
        <v xml:space="preserve">Spline 65.85,12.25,14.19 65.85,12.25,12.6 65.85,12.25,10.8 65.85,12.25,10.1 65.85,12.25,9 65.85,12.25,7.2 65.85,12.25,5.4 65.85,12.25,3.6 65.85,12.14,2.7 65.85,11.76,1.8 65.85,10.84,0.9 65.85,8.25,0 T 65.85,0,0 </v>
      </c>
      <c r="GI138" s="129" t="str">
        <f t="shared" si="315"/>
        <v xml:space="preserve">Spline 65.85,8.25,0 65.85,0,0  Join 65.85,0,0  65.85,12.25,14.19 </v>
      </c>
      <c r="GP138" s="129" t="str">
        <f t="shared" si="280"/>
        <v xml:space="preserve">65.85,0,0 </v>
      </c>
      <c r="GQ138" s="129" t="str">
        <f t="shared" si="316"/>
        <v>Curve 65.85,12.25,14.19 65.85,12.25,12.6 65.85,12.25,10.8 65.85,12.25,10.1 65.85,12.25,9 65.85,12.25,7.2 65.85,12.25,5.4 65.85,12.25,3.6 65.85,12.14,2.7 65.85,11.76,1.8 65.85,10.84,0.9 65.85,8.25,0 65.85,0,0 _enter</v>
      </c>
    </row>
    <row r="139" spans="1:199" x14ac:dyDescent="0.25">
      <c r="A139" s="374" t="str">
        <f t="shared" si="271"/>
        <v xml:space="preserve">  </v>
      </c>
      <c r="B139" s="377" t="str">
        <f t="shared" si="281"/>
        <v/>
      </c>
      <c r="C139" s="377" t="str">
        <f t="shared" si="282"/>
        <v/>
      </c>
      <c r="D139" s="377" t="str">
        <f t="shared" si="283"/>
        <v/>
      </c>
      <c r="E139" s="377" t="str">
        <f t="shared" si="284"/>
        <v/>
      </c>
      <c r="F139" s="377" t="str">
        <f t="shared" si="285"/>
        <v/>
      </c>
      <c r="G139" s="377" t="str">
        <f t="shared" si="286"/>
        <v/>
      </c>
      <c r="H139" s="377" t="str">
        <f t="shared" si="287"/>
        <v/>
      </c>
      <c r="I139" s="377" t="str">
        <f t="shared" si="288"/>
        <v/>
      </c>
      <c r="J139" s="377" t="str">
        <f t="shared" si="289"/>
        <v/>
      </c>
      <c r="K139" s="377" t="str">
        <f t="shared" si="290"/>
        <v/>
      </c>
      <c r="L139" s="377" t="str">
        <f t="shared" si="291"/>
        <v/>
      </c>
      <c r="M139" s="377" t="str">
        <f t="shared" si="292"/>
        <v/>
      </c>
      <c r="N139" s="377" t="str">
        <f t="shared" si="293"/>
        <v/>
      </c>
      <c r="O139" s="377" t="str">
        <f t="shared" si="294"/>
        <v/>
      </c>
      <c r="P139" s="377" t="str">
        <f t="shared" si="295"/>
        <v/>
      </c>
      <c r="Q139" s="377" t="str">
        <f t="shared" si="296"/>
        <v/>
      </c>
      <c r="R139" s="377" t="str">
        <f t="shared" si="297"/>
        <v/>
      </c>
      <c r="S139" s="377" t="str">
        <f t="shared" si="298"/>
        <v/>
      </c>
      <c r="T139" s="377" t="str">
        <f t="shared" si="299"/>
        <v/>
      </c>
      <c r="U139" s="377" t="str">
        <f t="shared" si="300"/>
        <v/>
      </c>
      <c r="V139" s="377" t="str">
        <f t="shared" si="301"/>
        <v/>
      </c>
      <c r="W139" s="377" t="str">
        <f t="shared" si="302"/>
        <v/>
      </c>
      <c r="X139" s="377" t="str">
        <f t="shared" si="303"/>
        <v/>
      </c>
      <c r="Y139" s="377" t="str">
        <f t="shared" si="304"/>
        <v/>
      </c>
      <c r="Z139" s="395" t="str">
        <f t="shared" si="305"/>
        <v/>
      </c>
      <c r="AB139" s="245" t="str">
        <f t="shared" si="317"/>
        <v xml:space="preserve">  </v>
      </c>
      <c r="AC139" s="245" t="str">
        <f>Tools!B139</f>
        <v/>
      </c>
      <c r="AD139" s="245" t="str">
        <f>Tools!C139</f>
        <v/>
      </c>
      <c r="AE139" s="245" t="str">
        <f>Tools!D139</f>
        <v/>
      </c>
      <c r="AF139" s="245" t="str">
        <f>Tools!E139</f>
        <v/>
      </c>
      <c r="AG139" s="245" t="str">
        <f>Tools!F139</f>
        <v/>
      </c>
      <c r="AH139" s="245" t="str">
        <f>Tools!G139</f>
        <v/>
      </c>
      <c r="AI139" s="245" t="str">
        <f>Tools!H139</f>
        <v/>
      </c>
      <c r="AJ139" s="245" t="str">
        <f>Tools!I139</f>
        <v/>
      </c>
      <c r="AK139" s="245" t="str">
        <f>Tools!J139</f>
        <v/>
      </c>
      <c r="AL139" s="245" t="str">
        <f>Tools!K139</f>
        <v/>
      </c>
      <c r="AM139" s="245" t="str">
        <f>Tools!L139</f>
        <v/>
      </c>
      <c r="AN139" s="245" t="str">
        <f>Tools!M139</f>
        <v/>
      </c>
      <c r="AO139" s="245" t="str">
        <f>Tools!N139</f>
        <v/>
      </c>
      <c r="AP139" s="245" t="str">
        <f>Tools!O139</f>
        <v/>
      </c>
      <c r="AQ139" s="245" t="str">
        <f>Tools!P139</f>
        <v/>
      </c>
      <c r="AR139" s="245" t="str">
        <f>Tools!Q139</f>
        <v/>
      </c>
      <c r="AS139" s="245" t="str">
        <f>Tools!R139</f>
        <v/>
      </c>
      <c r="AT139" s="245" t="str">
        <f>Tools!S139</f>
        <v/>
      </c>
      <c r="AU139" s="245" t="str">
        <f>Tools!T139</f>
        <v/>
      </c>
      <c r="AV139" s="245" t="str">
        <f>Tools!U139</f>
        <v/>
      </c>
      <c r="AW139" s="245" t="str">
        <f>Tools!V139</f>
        <v/>
      </c>
      <c r="AX139" s="245" t="str">
        <f>Tools!W139</f>
        <v/>
      </c>
      <c r="AY139" s="245" t="str">
        <f>Tools!X139</f>
        <v/>
      </c>
      <c r="AZ139" s="245" t="str">
        <f>Tools!Y139</f>
        <v/>
      </c>
      <c r="BA139" s="396" t="str">
        <f>Tools!Z139</f>
        <v/>
      </c>
      <c r="BC139" s="274">
        <f>'Rise, etc.'!O15</f>
        <v>9</v>
      </c>
      <c r="BD139" s="277" t="str">
        <f>IF(ISNUMBER(VLOOKUP(BC139,'Rise, etc.'!O$3:P$28,2,FALSE)),VLOOKUP(BC139,'Rise, etc.'!O$3:P$28,2,FALSE),"-")</f>
        <v>-</v>
      </c>
      <c r="BE139" s="277" t="e">
        <f t="shared" si="353"/>
        <v>#VALUE!</v>
      </c>
      <c r="BF139" s="277" t="str">
        <f t="shared" si="319"/>
        <v>#NA</v>
      </c>
      <c r="BG139" s="277" t="str">
        <f t="shared" si="320"/>
        <v>#NA</v>
      </c>
      <c r="BH139" s="277" t="str">
        <f t="shared" si="321"/>
        <v>#NA</v>
      </c>
      <c r="BI139" s="277" t="str">
        <f t="shared" si="322"/>
        <v>#NA</v>
      </c>
      <c r="BJ139" s="277" t="str">
        <f t="shared" si="323"/>
        <v>#NA</v>
      </c>
      <c r="BK139" s="277" t="str">
        <f t="shared" si="324"/>
        <v>#NA</v>
      </c>
      <c r="BL139" s="277" t="str">
        <f t="shared" si="325"/>
        <v>#NA</v>
      </c>
      <c r="BM139" s="277"/>
      <c r="BN139" s="277" t="e">
        <f t="shared" si="326"/>
        <v>#VALUE!</v>
      </c>
      <c r="BO139" s="277" t="e">
        <f t="shared" si="327"/>
        <v>#VALUE!</v>
      </c>
      <c r="BP139" s="277" t="e">
        <f t="shared" si="328"/>
        <v>#VALUE!</v>
      </c>
      <c r="BQ139" s="277" t="e">
        <f t="shared" si="329"/>
        <v>#VALUE!</v>
      </c>
      <c r="BR139" s="277" t="e">
        <f t="shared" si="330"/>
        <v>#VALUE!</v>
      </c>
      <c r="BS139" s="277" t="e">
        <f t="shared" si="331"/>
        <v>#VALUE!</v>
      </c>
      <c r="BT139" s="277" t="e">
        <f t="shared" si="332"/>
        <v>#VALUE!</v>
      </c>
      <c r="BU139" s="277" t="e">
        <f t="shared" si="333"/>
        <v>#VALUE!</v>
      </c>
      <c r="BV139" s="277" t="e">
        <f t="shared" si="334"/>
        <v>#VALUE!</v>
      </c>
      <c r="BW139" s="277" t="e">
        <f t="shared" si="335"/>
        <v>#VALUE!</v>
      </c>
      <c r="BX139" s="277" t="e">
        <f t="shared" si="354"/>
        <v>#VALUE!</v>
      </c>
      <c r="BY139" s="277" t="e">
        <f t="shared" si="336"/>
        <v>#VALUE!</v>
      </c>
      <c r="BZ139" s="277" t="e">
        <f t="shared" si="337"/>
        <v>#VALUE!</v>
      </c>
      <c r="CA139" s="277" t="e">
        <f t="shared" si="338"/>
        <v>#VALUE!</v>
      </c>
      <c r="CB139" s="277" t="e">
        <f t="shared" si="339"/>
        <v>#VALUE!</v>
      </c>
      <c r="CC139" s="277" t="e">
        <f t="shared" si="340"/>
        <v>#VALUE!</v>
      </c>
      <c r="CD139" s="277" t="e">
        <f t="shared" si="341"/>
        <v>#VALUE!</v>
      </c>
      <c r="CE139" s="277" t="e">
        <f t="shared" si="342"/>
        <v>#VALUE!</v>
      </c>
      <c r="CF139" s="277" t="e">
        <f t="shared" si="343"/>
        <v>#VALUE!</v>
      </c>
      <c r="CG139" s="277" t="e">
        <f t="shared" si="344"/>
        <v>#VALUE!</v>
      </c>
      <c r="CH139" s="277" t="e">
        <f t="shared" si="345"/>
        <v>#VALUE!</v>
      </c>
      <c r="CI139" s="277" t="e">
        <f t="shared" si="346"/>
        <v>#VALUE!</v>
      </c>
      <c r="CJ139" s="277" t="e">
        <f t="shared" si="347"/>
        <v>#VALUE!</v>
      </c>
      <c r="CK139" s="277" t="e">
        <f t="shared" si="348"/>
        <v>#VALUE!</v>
      </c>
      <c r="CL139" s="277" t="e">
        <f t="shared" si="349"/>
        <v>#VALUE!</v>
      </c>
      <c r="CM139" s="276">
        <f t="shared" si="355"/>
        <v>0</v>
      </c>
      <c r="CO139" s="454" t="e">
        <v>#N/A</v>
      </c>
      <c r="CP139" s="454" t="e">
        <v>#N/A</v>
      </c>
      <c r="CQ139" s="454" t="e">
        <v>#N/A</v>
      </c>
      <c r="CR139" s="454" t="e">
        <v>#N/A</v>
      </c>
      <c r="CS139" s="454" t="e">
        <v>#N/A</v>
      </c>
      <c r="CT139" s="454" t="e">
        <v>#N/A</v>
      </c>
      <c r="CU139" s="454" t="e">
        <v>#N/A</v>
      </c>
      <c r="CV139" s="454" t="e">
        <v>#N/A</v>
      </c>
      <c r="CW139" s="454" t="e">
        <v>#N/A</v>
      </c>
      <c r="CX139" s="454" t="e">
        <v>#N/A</v>
      </c>
      <c r="CY139" s="454" t="e">
        <v>#N/A</v>
      </c>
      <c r="CZ139" s="454" t="e">
        <v>#N/A</v>
      </c>
      <c r="DA139" s="454" t="e">
        <v>#N/A</v>
      </c>
      <c r="DB139" s="454" t="e">
        <v>#N/A</v>
      </c>
      <c r="DC139" s="454" t="e">
        <v>#N/A</v>
      </c>
      <c r="DD139" s="454" t="e">
        <v>#N/A</v>
      </c>
      <c r="DE139" s="454" t="e">
        <v>#N/A</v>
      </c>
      <c r="DF139" s="454" t="e">
        <v>#N/A</v>
      </c>
      <c r="DG139" s="454" t="e">
        <v>#N/A</v>
      </c>
      <c r="DH139" s="454" t="e">
        <v>#N/A</v>
      </c>
      <c r="DI139" s="454" t="e">
        <v>#N/A</v>
      </c>
      <c r="DJ139" s="454" t="e">
        <v>#N/A</v>
      </c>
      <c r="DK139" s="454" t="e">
        <v>#N/A</v>
      </c>
      <c r="DL139" s="454" t="e">
        <v>#N/A</v>
      </c>
      <c r="DM139" s="454" t="e">
        <v>#N/A</v>
      </c>
      <c r="DN139" s="454" t="e">
        <v>#N/A</v>
      </c>
      <c r="DO139" s="397"/>
      <c r="DP139" s="458">
        <f t="shared" si="272"/>
        <v>72.434999999999988</v>
      </c>
      <c r="DQ139" s="458" t="str">
        <f t="shared" si="273"/>
        <v/>
      </c>
      <c r="DR139" s="458" t="str">
        <f t="shared" ref="DR139:EO139" si="376">IFERROR(CONCATENATE(ROUND($DP139,3),",",ROUND(ABS(DK111),3),",",ROUND(EM111,3)," "),"")</f>
        <v xml:space="preserve">72.435,8.6,0 </v>
      </c>
      <c r="DS139" s="458" t="str">
        <f t="shared" si="376"/>
        <v xml:space="preserve">72.435,10.65,0.9 </v>
      </c>
      <c r="DT139" s="458" t="str">
        <f t="shared" si="376"/>
        <v xml:space="preserve">72.435,11.62,1.8 </v>
      </c>
      <c r="DU139" s="458" t="str">
        <f t="shared" si="376"/>
        <v xml:space="preserve">72.435,12.04,2.7 </v>
      </c>
      <c r="DV139" s="458" t="str">
        <f t="shared" si="376"/>
        <v xml:space="preserve">72.435,12.21,3.6 </v>
      </c>
      <c r="DW139" s="458" t="str">
        <f t="shared" si="376"/>
        <v xml:space="preserve">72.435,12.25,5.4 </v>
      </c>
      <c r="DX139" s="458" t="str">
        <f t="shared" si="376"/>
        <v xml:space="preserve">72.435,12.25,7.2 </v>
      </c>
      <c r="DY139" s="458" t="str">
        <f t="shared" si="376"/>
        <v xml:space="preserve">72.435,12.25,9 </v>
      </c>
      <c r="DZ139" s="458" t="str">
        <f t="shared" si="376"/>
        <v xml:space="preserve">72.435,12.25,10.1 </v>
      </c>
      <c r="EA139" s="458" t="str">
        <f t="shared" si="376"/>
        <v xml:space="preserve">72.435,12.25,10.8 </v>
      </c>
      <c r="EB139" s="458" t="str">
        <f t="shared" si="376"/>
        <v xml:space="preserve">72.435,12.25,12.6 </v>
      </c>
      <c r="EC139" s="458" t="str">
        <f t="shared" si="376"/>
        <v xml:space="preserve">72.435,12.25,14.19 </v>
      </c>
      <c r="ED139" s="458" t="str">
        <f t="shared" si="376"/>
        <v/>
      </c>
      <c r="EE139" s="458" t="str">
        <f t="shared" si="376"/>
        <v/>
      </c>
      <c r="EF139" s="458" t="str">
        <f t="shared" si="376"/>
        <v/>
      </c>
      <c r="EG139" s="458" t="str">
        <f t="shared" si="376"/>
        <v/>
      </c>
      <c r="EH139" s="458" t="str">
        <f t="shared" si="376"/>
        <v/>
      </c>
      <c r="EI139" s="458" t="str">
        <f t="shared" si="376"/>
        <v/>
      </c>
      <c r="EJ139" s="458" t="str">
        <f t="shared" si="376"/>
        <v/>
      </c>
      <c r="EK139" s="458" t="str">
        <f t="shared" si="376"/>
        <v/>
      </c>
      <c r="EL139" s="458" t="str">
        <f t="shared" si="376"/>
        <v/>
      </c>
      <c r="EM139" s="458" t="str">
        <f t="shared" si="376"/>
        <v/>
      </c>
      <c r="EN139" s="458" t="str">
        <f t="shared" si="376"/>
        <v/>
      </c>
      <c r="EO139" s="458" t="str">
        <f t="shared" si="376"/>
        <v/>
      </c>
      <c r="EP139" s="458" t="str">
        <f t="shared" si="273"/>
        <v/>
      </c>
      <c r="ER139" s="457" t="str">
        <f t="shared" si="307"/>
        <v xml:space="preserve">72.435,8.6,0 72.435,10.65,0.9 72.435,11.62,1.8 72.435,12.04,2.7 72.435,12.21,3.6 72.435,12.25,5.4 72.435,12.25,7.2 72.435,12.25,9 72.435,12.25,10.1 72.435,12.25,10.8 72.435,12.25,12.6 72.435,12.25,14.19 </v>
      </c>
      <c r="ES139" s="186" t="str">
        <f t="shared" ca="1" si="351"/>
        <v xml:space="preserve">Spline 72.435,0,0 72.435,8.6,0 72.435,10.65,0.9 72.435,11.62,1.8 72.435,12.04,2.7 72.435,12.21,3.6 72.435,12.25,5.4 72.435,12.25,7.2 72.435,12.25,9 72.435,12.25,10.1 72.435,12.25,10.8 72.435,12.25,12.6 72.435,12.25,14.19  </v>
      </c>
      <c r="ET139" s="129" t="str">
        <f t="shared" ca="1" si="308"/>
        <v xml:space="preserve">Spline 72.435,0,0 72.435,8.6,0 72.435,10.65,0.9 72.435,11.62,1.8 72.435,12.04,2.7 72.435,12.21,3.6 72.435,12.25,5.4 72.435,12.25,7.2 72.435,12.25,9 72.435,12.25,10.1 72.435,12.25,10.8 72.435,12.25,12.6 72.435,12.25,14.19  </v>
      </c>
      <c r="EU139" s="129">
        <f ca="1">COUNTIF(BP_14,NA())</f>
        <v>0</v>
      </c>
      <c r="EV139" s="129">
        <f t="shared" ca="1" si="274"/>
        <v>0</v>
      </c>
      <c r="EW139" s="129">
        <v>14</v>
      </c>
      <c r="EX139" s="129" t="str">
        <f t="shared" si="275"/>
        <v xml:space="preserve">72.435,12.25,14.19 </v>
      </c>
      <c r="EY139" s="129" t="str">
        <f t="shared" ca="1" si="276"/>
        <v xml:space="preserve">Spline 72.435,0,0 72.435,12.25,14.19 72.435,12.25,12.6 72.435,12.25,10.8 72.435,12.25,10.1 72.435,12.25,9 72.435,12.25,7.2 72.435,12.25,5.4 72.435,12.21,3.6 72.435,12.04,2.7 72.435,11.62,1.8 72.435,10.65,0.9 72.435,8.6,0 </v>
      </c>
      <c r="EZ139" s="186" t="str">
        <f t="shared" si="309"/>
        <v xml:space="preserve">72.435,8.6,0 72.435,10.65,0.9 72.435,11.62,1.8 72.435,12.04,2.7 72.435,12.21,3.6 72.435,12.25,5.4 72.435,12.25,7.2 72.435,12.25,9 72.435,12.25,10.1 72.435,12.25,10.8 72.435,12.25,12.6 72.435,12.25,14.19  </v>
      </c>
      <c r="FB139" s="458">
        <f t="shared" si="277"/>
        <v>72.434999999999988</v>
      </c>
      <c r="FC139" s="460" t="str">
        <f t="shared" si="310"/>
        <v/>
      </c>
      <c r="FD139" s="458" t="str">
        <f t="shared" ref="FD139:GB139" si="377">IFERROR(CONCATENATE(ROUND($DP139,3),",",-ROUND(ABS(DK111),3),",",ROUND(EM111,3)," "),"")</f>
        <v xml:space="preserve">72.435,-8.6,0 </v>
      </c>
      <c r="FE139" s="458" t="str">
        <f t="shared" si="377"/>
        <v xml:space="preserve">72.435,-10.65,0.9 </v>
      </c>
      <c r="FF139" s="458" t="str">
        <f t="shared" si="377"/>
        <v xml:space="preserve">72.435,-11.62,1.8 </v>
      </c>
      <c r="FG139" s="458" t="str">
        <f t="shared" si="377"/>
        <v xml:space="preserve">72.435,-12.04,2.7 </v>
      </c>
      <c r="FH139" s="458" t="str">
        <f t="shared" si="377"/>
        <v xml:space="preserve">72.435,-12.21,3.6 </v>
      </c>
      <c r="FI139" s="458" t="str">
        <f t="shared" si="377"/>
        <v xml:space="preserve">72.435,-12.25,5.4 </v>
      </c>
      <c r="FJ139" s="458" t="str">
        <f t="shared" si="377"/>
        <v xml:space="preserve">72.435,-12.25,7.2 </v>
      </c>
      <c r="FK139" s="458" t="str">
        <f t="shared" si="377"/>
        <v xml:space="preserve">72.435,-12.25,9 </v>
      </c>
      <c r="FL139" s="458" t="str">
        <f t="shared" si="377"/>
        <v xml:space="preserve">72.435,-12.25,10.1 </v>
      </c>
      <c r="FM139" s="458" t="str">
        <f t="shared" si="377"/>
        <v xml:space="preserve">72.435,-12.25,10.8 </v>
      </c>
      <c r="FN139" s="458" t="str">
        <f t="shared" si="377"/>
        <v xml:space="preserve">72.435,-12.25,12.6 </v>
      </c>
      <c r="FO139" s="458" t="str">
        <f t="shared" si="377"/>
        <v xml:space="preserve">72.435,-12.25,14.19 </v>
      </c>
      <c r="FP139" s="458" t="str">
        <f t="shared" si="377"/>
        <v/>
      </c>
      <c r="FQ139" s="458" t="str">
        <f t="shared" si="377"/>
        <v/>
      </c>
      <c r="FR139" s="458" t="str">
        <f t="shared" si="377"/>
        <v/>
      </c>
      <c r="FS139" s="458" t="str">
        <f t="shared" si="377"/>
        <v/>
      </c>
      <c r="FT139" s="458" t="str">
        <f t="shared" si="377"/>
        <v/>
      </c>
      <c r="FU139" s="458" t="str">
        <f t="shared" si="377"/>
        <v/>
      </c>
      <c r="FV139" s="458" t="str">
        <f t="shared" si="377"/>
        <v/>
      </c>
      <c r="FW139" s="458" t="str">
        <f t="shared" si="377"/>
        <v/>
      </c>
      <c r="FX139" s="458" t="str">
        <f t="shared" si="377"/>
        <v/>
      </c>
      <c r="FY139" s="458" t="str">
        <f t="shared" si="377"/>
        <v/>
      </c>
      <c r="FZ139" s="458" t="str">
        <f t="shared" si="377"/>
        <v/>
      </c>
      <c r="GA139" s="458" t="str">
        <f t="shared" si="377"/>
        <v/>
      </c>
      <c r="GB139" s="458" t="str">
        <f t="shared" si="377"/>
        <v/>
      </c>
      <c r="GC139" s="129" t="str">
        <f t="shared" si="312"/>
        <v xml:space="preserve">72.435,12.25,14.19 72.435,12.25,12.6 72.435,12.25,10.8 72.435,12.25,10.1 72.435,12.25,9 72.435,12.25,7.2 72.435,12.25,5.4 72.435,12.21,3.6 72.435,12.04,2.7 72.435,11.62,1.8 72.435,10.65,0.9 72.435,8.6,0 </v>
      </c>
      <c r="GD139" s="129" t="str">
        <f t="shared" ca="1" si="279"/>
        <v>Spline 72.435,12.25,14.19 72.435,12.25,12.6 72.435,12.25,10.8 72.435,12.25,10.1 72.435,12.25,9 72.435,12.25,7.2 72.435,12.25,5.4 72.435,12.21,3.6 72.435,12.04,2.7 72.435,11.62,1.8 72.435,10.65,0.9 72.435,8.6,0 72.435,0,0</v>
      </c>
      <c r="GE139" s="461" t="str">
        <f t="shared" si="313"/>
        <v xml:space="preserve">72.435,-8.6,0 72.435,-10.65,0.9 72.435,-11.62,1.8 72.435,-12.04,2.7 72.435,-12.21,3.6 72.435,-12.25,5.4 72.435,-12.25,7.2 72.435,-12.25,9 72.435,-12.25,10.1 72.435,-12.25,10.8 72.435,-12.25,12.6 72.435,-12.25,14.19 </v>
      </c>
      <c r="GH139" s="129" t="str">
        <f t="shared" si="314"/>
        <v xml:space="preserve">Spline 72.435,12.25,14.19 72.435,12.25,12.6 72.435,12.25,10.8 72.435,12.25,10.1 72.435,12.25,9 72.435,12.25,7.2 72.435,12.25,5.4 72.435,12.21,3.6 72.435,12.04,2.7 72.435,11.62,1.8 72.435,10.65,0.9 72.435,8.6,0 T 72.435,0,0 </v>
      </c>
      <c r="GI139" s="129" t="str">
        <f t="shared" si="315"/>
        <v xml:space="preserve">Spline 72.435,8.6,0 72.435,0,0  Join 72.435,0,0  72.435,12.25,14.19 </v>
      </c>
      <c r="GP139" s="129" t="str">
        <f t="shared" si="280"/>
        <v xml:space="preserve">72.435,0,0 </v>
      </c>
      <c r="GQ139" s="129" t="str">
        <f t="shared" si="316"/>
        <v>Curve 72.435,12.25,14.19 72.435,12.25,12.6 72.435,12.25,10.8 72.435,12.25,10.1 72.435,12.25,9 72.435,12.25,7.2 72.435,12.25,5.4 72.435,12.21,3.6 72.435,12.04,2.7 72.435,11.62,1.8 72.435,10.65,0.9 72.435,8.6,0 72.435,0,0 _enter</v>
      </c>
    </row>
    <row r="140" spans="1:199" x14ac:dyDescent="0.25">
      <c r="A140" s="374" t="str">
        <f t="shared" si="271"/>
        <v xml:space="preserve">  </v>
      </c>
      <c r="B140" s="377" t="str">
        <f t="shared" si="281"/>
        <v/>
      </c>
      <c r="C140" s="377" t="str">
        <f t="shared" si="282"/>
        <v/>
      </c>
      <c r="D140" s="377" t="str">
        <f t="shared" si="283"/>
        <v/>
      </c>
      <c r="E140" s="377" t="str">
        <f t="shared" si="284"/>
        <v/>
      </c>
      <c r="F140" s="377" t="str">
        <f t="shared" si="285"/>
        <v/>
      </c>
      <c r="G140" s="377" t="str">
        <f t="shared" si="286"/>
        <v/>
      </c>
      <c r="H140" s="377" t="str">
        <f t="shared" si="287"/>
        <v/>
      </c>
      <c r="I140" s="377" t="str">
        <f t="shared" si="288"/>
        <v/>
      </c>
      <c r="J140" s="377" t="str">
        <f t="shared" si="289"/>
        <v/>
      </c>
      <c r="K140" s="377" t="str">
        <f t="shared" si="290"/>
        <v/>
      </c>
      <c r="L140" s="377" t="str">
        <f t="shared" si="291"/>
        <v/>
      </c>
      <c r="M140" s="377" t="str">
        <f t="shared" si="292"/>
        <v/>
      </c>
      <c r="N140" s="377" t="str">
        <f t="shared" si="293"/>
        <v/>
      </c>
      <c r="O140" s="377" t="str">
        <f t="shared" si="294"/>
        <v/>
      </c>
      <c r="P140" s="377" t="str">
        <f t="shared" si="295"/>
        <v/>
      </c>
      <c r="Q140" s="377" t="str">
        <f t="shared" si="296"/>
        <v/>
      </c>
      <c r="R140" s="377" t="str">
        <f t="shared" si="297"/>
        <v/>
      </c>
      <c r="S140" s="377" t="str">
        <f t="shared" si="298"/>
        <v/>
      </c>
      <c r="T140" s="377" t="str">
        <f t="shared" si="299"/>
        <v/>
      </c>
      <c r="U140" s="377" t="str">
        <f t="shared" si="300"/>
        <v/>
      </c>
      <c r="V140" s="377" t="str">
        <f t="shared" si="301"/>
        <v/>
      </c>
      <c r="W140" s="377" t="str">
        <f t="shared" si="302"/>
        <v/>
      </c>
      <c r="X140" s="377" t="str">
        <f t="shared" si="303"/>
        <v/>
      </c>
      <c r="Y140" s="377" t="str">
        <f t="shared" si="304"/>
        <v/>
      </c>
      <c r="Z140" s="395" t="str">
        <f t="shared" si="305"/>
        <v/>
      </c>
      <c r="AB140" s="245" t="str">
        <f t="shared" si="317"/>
        <v xml:space="preserve">  </v>
      </c>
      <c r="AC140" s="245" t="str">
        <f>Tools!B140</f>
        <v/>
      </c>
      <c r="AD140" s="245" t="str">
        <f>Tools!C140</f>
        <v/>
      </c>
      <c r="AE140" s="245" t="str">
        <f>Tools!D140</f>
        <v/>
      </c>
      <c r="AF140" s="245" t="str">
        <f>Tools!E140</f>
        <v/>
      </c>
      <c r="AG140" s="245" t="str">
        <f>Tools!F140</f>
        <v/>
      </c>
      <c r="AH140" s="245" t="str">
        <f>Tools!G140</f>
        <v/>
      </c>
      <c r="AI140" s="245" t="str">
        <f>Tools!H140</f>
        <v/>
      </c>
      <c r="AJ140" s="245" t="str">
        <f>Tools!I140</f>
        <v/>
      </c>
      <c r="AK140" s="245" t="str">
        <f>Tools!J140</f>
        <v/>
      </c>
      <c r="AL140" s="245" t="str">
        <f>Tools!K140</f>
        <v/>
      </c>
      <c r="AM140" s="245" t="str">
        <f>Tools!L140</f>
        <v/>
      </c>
      <c r="AN140" s="245" t="str">
        <f>Tools!M140</f>
        <v/>
      </c>
      <c r="AO140" s="245" t="str">
        <f>Tools!N140</f>
        <v/>
      </c>
      <c r="AP140" s="245" t="str">
        <f>Tools!O140</f>
        <v/>
      </c>
      <c r="AQ140" s="245" t="str">
        <f>Tools!P140</f>
        <v/>
      </c>
      <c r="AR140" s="245" t="str">
        <f>Tools!Q140</f>
        <v/>
      </c>
      <c r="AS140" s="245" t="str">
        <f>Tools!R140</f>
        <v/>
      </c>
      <c r="AT140" s="245" t="str">
        <f>Tools!S140</f>
        <v/>
      </c>
      <c r="AU140" s="245" t="str">
        <f>Tools!T140</f>
        <v/>
      </c>
      <c r="AV140" s="245" t="str">
        <f>Tools!U140</f>
        <v/>
      </c>
      <c r="AW140" s="245" t="str">
        <f>Tools!V140</f>
        <v/>
      </c>
      <c r="AX140" s="245" t="str">
        <f>Tools!W140</f>
        <v/>
      </c>
      <c r="AY140" s="245" t="str">
        <f>Tools!X140</f>
        <v/>
      </c>
      <c r="AZ140" s="245" t="str">
        <f>Tools!Y140</f>
        <v/>
      </c>
      <c r="BA140" s="396" t="str">
        <f>Tools!Z140</f>
        <v/>
      </c>
      <c r="BC140" s="274">
        <f>'Rise, etc.'!O16</f>
        <v>10</v>
      </c>
      <c r="BD140" s="277" t="str">
        <f>IF(ISNUMBER(VLOOKUP(BC140,'Rise, etc.'!O$3:P$28,2,FALSE)),VLOOKUP(BC140,'Rise, etc.'!O$3:P$28,2,FALSE),"-")</f>
        <v>-</v>
      </c>
      <c r="BE140" s="277" t="e">
        <f t="shared" si="353"/>
        <v>#VALUE!</v>
      </c>
      <c r="BF140" s="277" t="str">
        <f t="shared" si="319"/>
        <v>#NA</v>
      </c>
      <c r="BG140" s="277" t="str">
        <f t="shared" si="320"/>
        <v>#NA</v>
      </c>
      <c r="BH140" s="277" t="str">
        <f t="shared" si="321"/>
        <v>#NA</v>
      </c>
      <c r="BI140" s="277" t="str">
        <f t="shared" si="322"/>
        <v>#NA</v>
      </c>
      <c r="BJ140" s="277" t="str">
        <f t="shared" si="323"/>
        <v>#NA</v>
      </c>
      <c r="BK140" s="277" t="str">
        <f t="shared" si="324"/>
        <v>#NA</v>
      </c>
      <c r="BL140" s="277" t="str">
        <f t="shared" si="325"/>
        <v>#NA</v>
      </c>
      <c r="BM140" s="277"/>
      <c r="BN140" s="277" t="e">
        <f t="shared" si="326"/>
        <v>#VALUE!</v>
      </c>
      <c r="BO140" s="277" t="e">
        <f t="shared" si="327"/>
        <v>#VALUE!</v>
      </c>
      <c r="BP140" s="277" t="e">
        <f t="shared" si="328"/>
        <v>#VALUE!</v>
      </c>
      <c r="BQ140" s="277" t="e">
        <f t="shared" si="329"/>
        <v>#VALUE!</v>
      </c>
      <c r="BR140" s="277" t="e">
        <f t="shared" si="330"/>
        <v>#VALUE!</v>
      </c>
      <c r="BS140" s="277" t="e">
        <f t="shared" si="331"/>
        <v>#VALUE!</v>
      </c>
      <c r="BT140" s="277" t="e">
        <f t="shared" si="332"/>
        <v>#VALUE!</v>
      </c>
      <c r="BU140" s="277" t="e">
        <f t="shared" si="333"/>
        <v>#VALUE!</v>
      </c>
      <c r="BV140" s="277" t="e">
        <f t="shared" si="334"/>
        <v>#VALUE!</v>
      </c>
      <c r="BW140" s="277" t="e">
        <f t="shared" si="335"/>
        <v>#VALUE!</v>
      </c>
      <c r="BX140" s="277" t="e">
        <f t="shared" si="354"/>
        <v>#VALUE!</v>
      </c>
      <c r="BY140" s="277" t="e">
        <f t="shared" si="336"/>
        <v>#VALUE!</v>
      </c>
      <c r="BZ140" s="277" t="e">
        <f t="shared" si="337"/>
        <v>#VALUE!</v>
      </c>
      <c r="CA140" s="277" t="e">
        <f t="shared" si="338"/>
        <v>#VALUE!</v>
      </c>
      <c r="CB140" s="277" t="e">
        <f t="shared" si="339"/>
        <v>#VALUE!</v>
      </c>
      <c r="CC140" s="277" t="e">
        <f t="shared" si="340"/>
        <v>#VALUE!</v>
      </c>
      <c r="CD140" s="277" t="e">
        <f t="shared" si="341"/>
        <v>#VALUE!</v>
      </c>
      <c r="CE140" s="277" t="e">
        <f t="shared" si="342"/>
        <v>#VALUE!</v>
      </c>
      <c r="CF140" s="277" t="e">
        <f t="shared" si="343"/>
        <v>#VALUE!</v>
      </c>
      <c r="CG140" s="277" t="e">
        <f t="shared" si="344"/>
        <v>#VALUE!</v>
      </c>
      <c r="CH140" s="277" t="e">
        <f t="shared" si="345"/>
        <v>#VALUE!</v>
      </c>
      <c r="CI140" s="277" t="e">
        <f t="shared" si="346"/>
        <v>#VALUE!</v>
      </c>
      <c r="CJ140" s="277" t="e">
        <f t="shared" si="347"/>
        <v>#VALUE!</v>
      </c>
      <c r="CK140" s="277" t="e">
        <f t="shared" si="348"/>
        <v>#VALUE!</v>
      </c>
      <c r="CL140" s="277" t="e">
        <f t="shared" si="349"/>
        <v>#VALUE!</v>
      </c>
      <c r="CM140" s="276">
        <f t="shared" si="355"/>
        <v>0</v>
      </c>
      <c r="CO140" s="454" t="e">
        <v>#N/A</v>
      </c>
      <c r="CP140" s="454" t="e">
        <v>#N/A</v>
      </c>
      <c r="CQ140" s="454" t="e">
        <v>#N/A</v>
      </c>
      <c r="CR140" s="454" t="e">
        <v>#N/A</v>
      </c>
      <c r="CS140" s="454" t="e">
        <v>#N/A</v>
      </c>
      <c r="CT140" s="454" t="e">
        <v>#N/A</v>
      </c>
      <c r="CU140" s="454" t="e">
        <v>#N/A</v>
      </c>
      <c r="CV140" s="454" t="e">
        <v>#N/A</v>
      </c>
      <c r="CW140" s="454" t="e">
        <v>#N/A</v>
      </c>
      <c r="CX140" s="454" t="e">
        <v>#N/A</v>
      </c>
      <c r="CY140" s="454" t="e">
        <v>#N/A</v>
      </c>
      <c r="CZ140" s="454" t="e">
        <v>#N/A</v>
      </c>
      <c r="DA140" s="454" t="e">
        <v>#N/A</v>
      </c>
      <c r="DB140" s="454" t="e">
        <v>#N/A</v>
      </c>
      <c r="DC140" s="454" t="e">
        <v>#N/A</v>
      </c>
      <c r="DD140" s="454" t="e">
        <v>#N/A</v>
      </c>
      <c r="DE140" s="454" t="e">
        <v>#N/A</v>
      </c>
      <c r="DF140" s="454" t="e">
        <v>#N/A</v>
      </c>
      <c r="DG140" s="454" t="e">
        <v>#N/A</v>
      </c>
      <c r="DH140" s="454" t="e">
        <v>#N/A</v>
      </c>
      <c r="DI140" s="454" t="e">
        <v>#N/A</v>
      </c>
      <c r="DJ140" s="454" t="e">
        <v>#N/A</v>
      </c>
      <c r="DK140" s="454" t="e">
        <v>#N/A</v>
      </c>
      <c r="DL140" s="454" t="e">
        <v>#N/A</v>
      </c>
      <c r="DM140" s="454" t="e">
        <v>#N/A</v>
      </c>
      <c r="DN140" s="454" t="e">
        <v>#N/A</v>
      </c>
      <c r="DO140" s="397"/>
      <c r="DP140" s="458">
        <f t="shared" si="272"/>
        <v>79.019999999999982</v>
      </c>
      <c r="DQ140" s="458" t="str">
        <f t="shared" si="273"/>
        <v/>
      </c>
      <c r="DR140" s="458" t="str">
        <f t="shared" ref="DR140:EO140" si="378">IFERROR(CONCATENATE(ROUND($DP140,3),",",ROUND(ABS(DK112),3),",",ROUND(EM112,3)," "),"")</f>
        <v xml:space="preserve">79.02,7.85,0 </v>
      </c>
      <c r="DS140" s="458" t="str">
        <f t="shared" si="378"/>
        <v xml:space="preserve">79.02,10.02,0.9 </v>
      </c>
      <c r="DT140" s="458" t="str">
        <f t="shared" si="378"/>
        <v xml:space="preserve">79.02,11.1,1.8 </v>
      </c>
      <c r="DU140" s="458" t="str">
        <f t="shared" si="378"/>
        <v xml:space="preserve">79.02,11.63,2.7 </v>
      </c>
      <c r="DV140" s="458" t="str">
        <f t="shared" si="378"/>
        <v xml:space="preserve">79.02,11.92,3.6 </v>
      </c>
      <c r="DW140" s="458" t="str">
        <f t="shared" si="378"/>
        <v xml:space="preserve">79.02,12.2,5.4 </v>
      </c>
      <c r="DX140" s="458" t="str">
        <f t="shared" si="378"/>
        <v xml:space="preserve">79.02,12.25,7.2 </v>
      </c>
      <c r="DY140" s="458" t="str">
        <f t="shared" si="378"/>
        <v xml:space="preserve">79.02,12.25,9 </v>
      </c>
      <c r="DZ140" s="458" t="str">
        <f t="shared" si="378"/>
        <v xml:space="preserve">79.02,12.25,10.1 </v>
      </c>
      <c r="EA140" s="458" t="str">
        <f t="shared" si="378"/>
        <v xml:space="preserve">79.02,12.25,10.8 </v>
      </c>
      <c r="EB140" s="458" t="str">
        <f t="shared" si="378"/>
        <v xml:space="preserve">79.02,12.25,12.6 </v>
      </c>
      <c r="EC140" s="458" t="str">
        <f t="shared" si="378"/>
        <v xml:space="preserve">79.02,12.25,14.19 </v>
      </c>
      <c r="ED140" s="458" t="str">
        <f t="shared" si="378"/>
        <v/>
      </c>
      <c r="EE140" s="458" t="str">
        <f t="shared" si="378"/>
        <v/>
      </c>
      <c r="EF140" s="458" t="str">
        <f t="shared" si="378"/>
        <v/>
      </c>
      <c r="EG140" s="458" t="str">
        <f t="shared" si="378"/>
        <v/>
      </c>
      <c r="EH140" s="458" t="str">
        <f t="shared" si="378"/>
        <v/>
      </c>
      <c r="EI140" s="458" t="str">
        <f t="shared" si="378"/>
        <v/>
      </c>
      <c r="EJ140" s="458" t="str">
        <f t="shared" si="378"/>
        <v/>
      </c>
      <c r="EK140" s="458" t="str">
        <f t="shared" si="378"/>
        <v/>
      </c>
      <c r="EL140" s="458" t="str">
        <f t="shared" si="378"/>
        <v/>
      </c>
      <c r="EM140" s="458" t="str">
        <f t="shared" si="378"/>
        <v/>
      </c>
      <c r="EN140" s="458" t="str">
        <f t="shared" si="378"/>
        <v/>
      </c>
      <c r="EO140" s="458" t="str">
        <f t="shared" si="378"/>
        <v/>
      </c>
      <c r="EP140" s="458" t="str">
        <f t="shared" si="273"/>
        <v/>
      </c>
      <c r="ER140" s="457" t="str">
        <f t="shared" si="307"/>
        <v xml:space="preserve">79.02,7.85,0 79.02,10.02,0.9 79.02,11.1,1.8 79.02,11.63,2.7 79.02,11.92,3.6 79.02,12.2,5.4 79.02,12.25,7.2 79.02,12.25,9 79.02,12.25,10.1 79.02,12.25,10.8 79.02,12.25,12.6 79.02,12.25,14.19 </v>
      </c>
      <c r="ES140" s="186" t="str">
        <f t="shared" ca="1" si="351"/>
        <v xml:space="preserve">Spline 79.02,0,0 79.02,7.85,0 79.02,10.02,0.9 79.02,11.1,1.8 79.02,11.63,2.7 79.02,11.92,3.6 79.02,12.2,5.4 79.02,12.25,7.2 79.02,12.25,9 79.02,12.25,10.1 79.02,12.25,10.8 79.02,12.25,12.6 79.02,12.25,14.19  </v>
      </c>
      <c r="ET140" s="129" t="str">
        <f t="shared" ca="1" si="308"/>
        <v xml:space="preserve">Spline 79.02,0,0 79.02,7.85,0 79.02,10.02,0.9 79.02,11.1,1.8 79.02,11.63,2.7 79.02,11.92,3.6 79.02,12.2,5.4 79.02,12.25,7.2 79.02,12.25,9 79.02,12.25,10.1 79.02,12.25,10.8 79.02,12.25,12.6 79.02,12.25,14.19  </v>
      </c>
      <c r="EU140" s="129">
        <f ca="1">COUNTIF(BP_15,NA())</f>
        <v>0</v>
      </c>
      <c r="EV140" s="129">
        <f t="shared" ca="1" si="274"/>
        <v>0</v>
      </c>
      <c r="EW140" s="129">
        <v>15</v>
      </c>
      <c r="EX140" s="129" t="str">
        <f t="shared" si="275"/>
        <v xml:space="preserve">79.02,12.25,14.19 </v>
      </c>
      <c r="EY140" s="129" t="str">
        <f t="shared" ca="1" si="276"/>
        <v xml:space="preserve">Spline 79.02,0,0 79.02,12.25,14.19 79.02,12.25,12.6 79.02,12.25,10.8 79.02,12.25,10.1 79.02,12.25,9 79.02,12.25,7.2 79.02,12.2,5.4 79.02,11.92,3.6 79.02,11.63,2.7 79.02,11.1,1.8 79.02,10.02,0.9 79.02,7.85,0 </v>
      </c>
      <c r="EZ140" s="186" t="str">
        <f t="shared" si="309"/>
        <v xml:space="preserve">79.02,7.85,0 79.02,10.02,0.9 79.02,11.1,1.8 79.02,11.63,2.7 79.02,11.92,3.6 79.02,12.2,5.4 79.02,12.25,7.2 79.02,12.25,9 79.02,12.25,10.1 79.02,12.25,10.8 79.02,12.25,12.6 79.02,12.25,14.19  </v>
      </c>
      <c r="FB140" s="458">
        <f t="shared" si="277"/>
        <v>79.019999999999982</v>
      </c>
      <c r="FC140" s="460" t="str">
        <f t="shared" si="310"/>
        <v/>
      </c>
      <c r="FD140" s="458" t="str">
        <f t="shared" ref="FD140:GB140" si="379">IFERROR(CONCATENATE(ROUND($DP140,3),",",-ROUND(ABS(DK112),3),",",ROUND(EM112,3)," "),"")</f>
        <v xml:space="preserve">79.02,-7.85,0 </v>
      </c>
      <c r="FE140" s="458" t="str">
        <f t="shared" si="379"/>
        <v xml:space="preserve">79.02,-10.02,0.9 </v>
      </c>
      <c r="FF140" s="458" t="str">
        <f t="shared" si="379"/>
        <v xml:space="preserve">79.02,-11.1,1.8 </v>
      </c>
      <c r="FG140" s="458" t="str">
        <f t="shared" si="379"/>
        <v xml:space="preserve">79.02,-11.63,2.7 </v>
      </c>
      <c r="FH140" s="458" t="str">
        <f t="shared" si="379"/>
        <v xml:space="preserve">79.02,-11.92,3.6 </v>
      </c>
      <c r="FI140" s="458" t="str">
        <f t="shared" si="379"/>
        <v xml:space="preserve">79.02,-12.2,5.4 </v>
      </c>
      <c r="FJ140" s="458" t="str">
        <f t="shared" si="379"/>
        <v xml:space="preserve">79.02,-12.25,7.2 </v>
      </c>
      <c r="FK140" s="458" t="str">
        <f t="shared" si="379"/>
        <v xml:space="preserve">79.02,-12.25,9 </v>
      </c>
      <c r="FL140" s="458" t="str">
        <f t="shared" si="379"/>
        <v xml:space="preserve">79.02,-12.25,10.1 </v>
      </c>
      <c r="FM140" s="458" t="str">
        <f t="shared" si="379"/>
        <v xml:space="preserve">79.02,-12.25,10.8 </v>
      </c>
      <c r="FN140" s="458" t="str">
        <f t="shared" si="379"/>
        <v xml:space="preserve">79.02,-12.25,12.6 </v>
      </c>
      <c r="FO140" s="458" t="str">
        <f t="shared" si="379"/>
        <v xml:space="preserve">79.02,-12.25,14.19 </v>
      </c>
      <c r="FP140" s="458" t="str">
        <f t="shared" si="379"/>
        <v/>
      </c>
      <c r="FQ140" s="458" t="str">
        <f t="shared" si="379"/>
        <v/>
      </c>
      <c r="FR140" s="458" t="str">
        <f t="shared" si="379"/>
        <v/>
      </c>
      <c r="FS140" s="458" t="str">
        <f t="shared" si="379"/>
        <v/>
      </c>
      <c r="FT140" s="458" t="str">
        <f t="shared" si="379"/>
        <v/>
      </c>
      <c r="FU140" s="458" t="str">
        <f t="shared" si="379"/>
        <v/>
      </c>
      <c r="FV140" s="458" t="str">
        <f t="shared" si="379"/>
        <v/>
      </c>
      <c r="FW140" s="458" t="str">
        <f t="shared" si="379"/>
        <v/>
      </c>
      <c r="FX140" s="458" t="str">
        <f t="shared" si="379"/>
        <v/>
      </c>
      <c r="FY140" s="458" t="str">
        <f t="shared" si="379"/>
        <v/>
      </c>
      <c r="FZ140" s="458" t="str">
        <f t="shared" si="379"/>
        <v/>
      </c>
      <c r="GA140" s="458" t="str">
        <f t="shared" si="379"/>
        <v/>
      </c>
      <c r="GB140" s="458" t="str">
        <f t="shared" si="379"/>
        <v/>
      </c>
      <c r="GC140" s="129" t="str">
        <f t="shared" si="312"/>
        <v xml:space="preserve">79.02,12.25,14.19 79.02,12.25,12.6 79.02,12.25,10.8 79.02,12.25,10.1 79.02,12.25,9 79.02,12.25,7.2 79.02,12.2,5.4 79.02,11.92,3.6 79.02,11.63,2.7 79.02,11.1,1.8 79.02,10.02,0.9 79.02,7.85,0 </v>
      </c>
      <c r="GD140" s="129" t="str">
        <f t="shared" ca="1" si="279"/>
        <v>Spline 79.02,12.25,14.19 79.02,12.25,12.6 79.02,12.25,10.8 79.02,12.25,10.1 79.02,12.25,9 79.02,12.25,7.2 79.02,12.2,5.4 79.02,11.92,3.6 79.02,11.63,2.7 79.02,11.1,1.8 79.02,10.02,0.9 79.02,7.85,0 79.02,0,0</v>
      </c>
      <c r="GE140" s="461" t="str">
        <f t="shared" si="313"/>
        <v xml:space="preserve">79.02,-7.85,0 79.02,-10.02,0.9 79.02,-11.1,1.8 79.02,-11.63,2.7 79.02,-11.92,3.6 79.02,-12.2,5.4 79.02,-12.25,7.2 79.02,-12.25,9 79.02,-12.25,10.1 79.02,-12.25,10.8 79.02,-12.25,12.6 79.02,-12.25,14.19 </v>
      </c>
      <c r="GH140" s="129" t="str">
        <f t="shared" si="314"/>
        <v xml:space="preserve">Spline 79.02,12.25,14.19 79.02,12.25,12.6 79.02,12.25,10.8 79.02,12.25,10.1 79.02,12.25,9 79.02,12.25,7.2 79.02,12.2,5.4 79.02,11.92,3.6 79.02,11.63,2.7 79.02,11.1,1.8 79.02,10.02,0.9 79.02,7.85,0 T 79.02,0,0 </v>
      </c>
      <c r="GI140" s="129" t="str">
        <f t="shared" si="315"/>
        <v xml:space="preserve">Spline 79.02,7.85,0 79.02,0,0  Join 79.02,0,0  79.02,12.25,14.19 </v>
      </c>
      <c r="GP140" s="129" t="str">
        <f t="shared" si="280"/>
        <v xml:space="preserve">79.02,0,0 </v>
      </c>
      <c r="GQ140" s="129" t="str">
        <f t="shared" si="316"/>
        <v>Curve 79.02,12.25,14.19 79.02,12.25,12.6 79.02,12.25,10.8 79.02,12.25,10.1 79.02,12.25,9 79.02,12.25,7.2 79.02,12.2,5.4 79.02,11.92,3.6 79.02,11.63,2.7 79.02,11.1,1.8 79.02,10.02,0.9 79.02,7.85,0 79.02,0,0 _enter</v>
      </c>
    </row>
    <row r="141" spans="1:199" x14ac:dyDescent="0.25">
      <c r="A141" s="374" t="str">
        <f t="shared" si="271"/>
        <v xml:space="preserve">  </v>
      </c>
      <c r="B141" s="377" t="str">
        <f t="shared" si="281"/>
        <v/>
      </c>
      <c r="C141" s="377" t="str">
        <f t="shared" si="282"/>
        <v/>
      </c>
      <c r="D141" s="377" t="str">
        <f t="shared" si="283"/>
        <v/>
      </c>
      <c r="E141" s="377" t="str">
        <f t="shared" si="284"/>
        <v/>
      </c>
      <c r="F141" s="377" t="str">
        <f t="shared" si="285"/>
        <v/>
      </c>
      <c r="G141" s="377" t="str">
        <f t="shared" si="286"/>
        <v/>
      </c>
      <c r="H141" s="377" t="str">
        <f t="shared" si="287"/>
        <v/>
      </c>
      <c r="I141" s="377" t="str">
        <f t="shared" si="288"/>
        <v/>
      </c>
      <c r="J141" s="377" t="str">
        <f t="shared" si="289"/>
        <v/>
      </c>
      <c r="K141" s="377" t="str">
        <f t="shared" si="290"/>
        <v/>
      </c>
      <c r="L141" s="377" t="str">
        <f t="shared" si="291"/>
        <v/>
      </c>
      <c r="M141" s="377" t="str">
        <f t="shared" si="292"/>
        <v/>
      </c>
      <c r="N141" s="377" t="str">
        <f t="shared" si="293"/>
        <v/>
      </c>
      <c r="O141" s="377" t="str">
        <f t="shared" si="294"/>
        <v/>
      </c>
      <c r="P141" s="377" t="str">
        <f t="shared" si="295"/>
        <v/>
      </c>
      <c r="Q141" s="377" t="str">
        <f t="shared" si="296"/>
        <v/>
      </c>
      <c r="R141" s="377" t="str">
        <f t="shared" si="297"/>
        <v/>
      </c>
      <c r="S141" s="377" t="str">
        <f t="shared" si="298"/>
        <v/>
      </c>
      <c r="T141" s="377" t="str">
        <f t="shared" si="299"/>
        <v/>
      </c>
      <c r="U141" s="377" t="str">
        <f t="shared" si="300"/>
        <v/>
      </c>
      <c r="V141" s="377" t="str">
        <f t="shared" si="301"/>
        <v/>
      </c>
      <c r="W141" s="377" t="str">
        <f t="shared" si="302"/>
        <v/>
      </c>
      <c r="X141" s="377" t="str">
        <f t="shared" si="303"/>
        <v/>
      </c>
      <c r="Y141" s="377" t="str">
        <f t="shared" si="304"/>
        <v/>
      </c>
      <c r="Z141" s="395" t="str">
        <f t="shared" si="305"/>
        <v/>
      </c>
      <c r="AB141" s="245" t="str">
        <f t="shared" si="317"/>
        <v xml:space="preserve">  </v>
      </c>
      <c r="AC141" s="245" t="str">
        <f>Tools!B141</f>
        <v/>
      </c>
      <c r="AD141" s="245" t="str">
        <f>Tools!C141</f>
        <v/>
      </c>
      <c r="AE141" s="245" t="str">
        <f>Tools!D141</f>
        <v/>
      </c>
      <c r="AF141" s="245" t="str">
        <f>Tools!E141</f>
        <v/>
      </c>
      <c r="AG141" s="245" t="str">
        <f>Tools!F141</f>
        <v/>
      </c>
      <c r="AH141" s="245" t="str">
        <f>Tools!G141</f>
        <v/>
      </c>
      <c r="AI141" s="245" t="str">
        <f>Tools!H141</f>
        <v/>
      </c>
      <c r="AJ141" s="245" t="str">
        <f>Tools!I141</f>
        <v/>
      </c>
      <c r="AK141" s="245" t="str">
        <f>Tools!J141</f>
        <v/>
      </c>
      <c r="AL141" s="245" t="str">
        <f>Tools!K141</f>
        <v/>
      </c>
      <c r="AM141" s="245" t="str">
        <f>Tools!L141</f>
        <v/>
      </c>
      <c r="AN141" s="245" t="str">
        <f>Tools!M141</f>
        <v/>
      </c>
      <c r="AO141" s="245" t="str">
        <f>Tools!N141</f>
        <v/>
      </c>
      <c r="AP141" s="245" t="str">
        <f>Tools!O141</f>
        <v/>
      </c>
      <c r="AQ141" s="245" t="str">
        <f>Tools!P141</f>
        <v/>
      </c>
      <c r="AR141" s="245" t="str">
        <f>Tools!Q141</f>
        <v/>
      </c>
      <c r="AS141" s="245" t="str">
        <f>Tools!R141</f>
        <v/>
      </c>
      <c r="AT141" s="245" t="str">
        <f>Tools!S141</f>
        <v/>
      </c>
      <c r="AU141" s="245" t="str">
        <f>Tools!T141</f>
        <v/>
      </c>
      <c r="AV141" s="245" t="str">
        <f>Tools!U141</f>
        <v/>
      </c>
      <c r="AW141" s="245" t="str">
        <f>Tools!V141</f>
        <v/>
      </c>
      <c r="AX141" s="245" t="str">
        <f>Tools!W141</f>
        <v/>
      </c>
      <c r="AY141" s="245" t="str">
        <f>Tools!X141</f>
        <v/>
      </c>
      <c r="AZ141" s="245" t="str">
        <f>Tools!Y141</f>
        <v/>
      </c>
      <c r="BA141" s="396" t="str">
        <f>Tools!Z141</f>
        <v/>
      </c>
      <c r="BC141" s="274">
        <f>'Rise, etc.'!O17</f>
        <v>11</v>
      </c>
      <c r="BD141" s="277" t="str">
        <f>IF(ISNUMBER(VLOOKUP(BC141,'Rise, etc.'!O$3:P$28,2,FALSE)),VLOOKUP(BC141,'Rise, etc.'!O$3:P$28,2,FALSE),"-")</f>
        <v>-</v>
      </c>
      <c r="BE141" s="277" t="e">
        <f t="shared" si="353"/>
        <v>#VALUE!</v>
      </c>
      <c r="BF141" s="277" t="str">
        <f t="shared" si="319"/>
        <v>#NA</v>
      </c>
      <c r="BG141" s="277" t="str">
        <f t="shared" si="320"/>
        <v>#NA</v>
      </c>
      <c r="BH141" s="277" t="str">
        <f t="shared" si="321"/>
        <v>#NA</v>
      </c>
      <c r="BI141" s="277" t="str">
        <f t="shared" si="322"/>
        <v>#NA</v>
      </c>
      <c r="BJ141" s="277" t="str">
        <f t="shared" si="323"/>
        <v>#NA</v>
      </c>
      <c r="BK141" s="277" t="str">
        <f t="shared" si="324"/>
        <v>#NA</v>
      </c>
      <c r="BL141" s="277" t="str">
        <f t="shared" si="325"/>
        <v>#NA</v>
      </c>
      <c r="BM141" s="277"/>
      <c r="BN141" s="277" t="e">
        <f t="shared" si="326"/>
        <v>#VALUE!</v>
      </c>
      <c r="BO141" s="277" t="e">
        <f t="shared" si="327"/>
        <v>#VALUE!</v>
      </c>
      <c r="BP141" s="277" t="e">
        <f t="shared" si="328"/>
        <v>#VALUE!</v>
      </c>
      <c r="BQ141" s="277" t="e">
        <f t="shared" si="329"/>
        <v>#VALUE!</v>
      </c>
      <c r="BR141" s="277" t="e">
        <f t="shared" si="330"/>
        <v>#VALUE!</v>
      </c>
      <c r="BS141" s="277" t="e">
        <f t="shared" si="331"/>
        <v>#VALUE!</v>
      </c>
      <c r="BT141" s="277" t="e">
        <f t="shared" si="332"/>
        <v>#VALUE!</v>
      </c>
      <c r="BU141" s="277" t="e">
        <f t="shared" si="333"/>
        <v>#VALUE!</v>
      </c>
      <c r="BV141" s="277" t="e">
        <f t="shared" si="334"/>
        <v>#VALUE!</v>
      </c>
      <c r="BW141" s="277" t="e">
        <f t="shared" si="335"/>
        <v>#VALUE!</v>
      </c>
      <c r="BX141" s="277" t="e">
        <f t="shared" si="354"/>
        <v>#VALUE!</v>
      </c>
      <c r="BY141" s="277" t="e">
        <f t="shared" si="336"/>
        <v>#VALUE!</v>
      </c>
      <c r="BZ141" s="277" t="e">
        <f t="shared" si="337"/>
        <v>#VALUE!</v>
      </c>
      <c r="CA141" s="277" t="e">
        <f t="shared" si="338"/>
        <v>#VALUE!</v>
      </c>
      <c r="CB141" s="277" t="e">
        <f t="shared" si="339"/>
        <v>#VALUE!</v>
      </c>
      <c r="CC141" s="277" t="e">
        <f t="shared" si="340"/>
        <v>#VALUE!</v>
      </c>
      <c r="CD141" s="277" t="e">
        <f t="shared" si="341"/>
        <v>#VALUE!</v>
      </c>
      <c r="CE141" s="277" t="e">
        <f t="shared" si="342"/>
        <v>#VALUE!</v>
      </c>
      <c r="CF141" s="277" t="e">
        <f t="shared" si="343"/>
        <v>#VALUE!</v>
      </c>
      <c r="CG141" s="277" t="e">
        <f t="shared" si="344"/>
        <v>#VALUE!</v>
      </c>
      <c r="CH141" s="277" t="e">
        <f t="shared" si="345"/>
        <v>#VALUE!</v>
      </c>
      <c r="CI141" s="277" t="e">
        <f t="shared" si="346"/>
        <v>#VALUE!</v>
      </c>
      <c r="CJ141" s="277" t="e">
        <f t="shared" si="347"/>
        <v>#VALUE!</v>
      </c>
      <c r="CK141" s="277" t="e">
        <f t="shared" si="348"/>
        <v>#VALUE!</v>
      </c>
      <c r="CL141" s="277" t="e">
        <f t="shared" si="349"/>
        <v>#VALUE!</v>
      </c>
      <c r="CM141" s="276">
        <f t="shared" si="355"/>
        <v>0</v>
      </c>
      <c r="CO141" s="454" t="e">
        <v>#N/A</v>
      </c>
      <c r="CP141" s="454" t="e">
        <v>#N/A</v>
      </c>
      <c r="CQ141" s="454" t="e">
        <v>#N/A</v>
      </c>
      <c r="CR141" s="454" t="e">
        <v>#N/A</v>
      </c>
      <c r="CS141" s="454" t="e">
        <v>#N/A</v>
      </c>
      <c r="CT141" s="454" t="e">
        <v>#N/A</v>
      </c>
      <c r="CU141" s="454" t="e">
        <v>#N/A</v>
      </c>
      <c r="CV141" s="454" t="e">
        <v>#N/A</v>
      </c>
      <c r="CW141" s="454" t="e">
        <v>#N/A</v>
      </c>
      <c r="CX141" s="454" t="e">
        <v>#N/A</v>
      </c>
      <c r="CY141" s="454" t="e">
        <v>#N/A</v>
      </c>
      <c r="CZ141" s="454" t="e">
        <v>#N/A</v>
      </c>
      <c r="DA141" s="454" t="e">
        <v>#N/A</v>
      </c>
      <c r="DB141" s="454" t="e">
        <v>#N/A</v>
      </c>
      <c r="DC141" s="454" t="e">
        <v>#N/A</v>
      </c>
      <c r="DD141" s="454" t="e">
        <v>#N/A</v>
      </c>
      <c r="DE141" s="454" t="e">
        <v>#N/A</v>
      </c>
      <c r="DF141" s="454" t="e">
        <v>#N/A</v>
      </c>
      <c r="DG141" s="454" t="e">
        <v>#N/A</v>
      </c>
      <c r="DH141" s="454" t="e">
        <v>#N/A</v>
      </c>
      <c r="DI141" s="454" t="e">
        <v>#N/A</v>
      </c>
      <c r="DJ141" s="454" t="e">
        <v>#N/A</v>
      </c>
      <c r="DK141" s="454" t="e">
        <v>#N/A</v>
      </c>
      <c r="DL141" s="454" t="e">
        <v>#N/A</v>
      </c>
      <c r="DM141" s="454" t="e">
        <v>#N/A</v>
      </c>
      <c r="DN141" s="454" t="e">
        <v>#N/A</v>
      </c>
      <c r="DO141" s="397"/>
      <c r="DP141" s="458">
        <f t="shared" si="272"/>
        <v>85.60499999999999</v>
      </c>
      <c r="DQ141" s="458" t="str">
        <f t="shared" si="273"/>
        <v/>
      </c>
      <c r="DR141" s="458" t="str">
        <f t="shared" ref="DR141:EO141" si="380">IFERROR(CONCATENATE(ROUND($DP141,3),",",ROUND(ABS(DK113),3),",",ROUND(EM113,3)," "),"")</f>
        <v xml:space="preserve">85.605,6.7,0 </v>
      </c>
      <c r="DS141" s="458" t="str">
        <f t="shared" si="380"/>
        <v xml:space="preserve">85.605,8.84,0.9 </v>
      </c>
      <c r="DT141" s="458" t="str">
        <f t="shared" si="380"/>
        <v xml:space="preserve">85.605,10.03,1.8 </v>
      </c>
      <c r="DU141" s="458" t="str">
        <f t="shared" si="380"/>
        <v xml:space="preserve">85.605,10.68,2.7 </v>
      </c>
      <c r="DV141" s="458" t="str">
        <f t="shared" si="380"/>
        <v xml:space="preserve">85.605,11.1,3.6 </v>
      </c>
      <c r="DW141" s="458" t="str">
        <f t="shared" si="380"/>
        <v xml:space="preserve">85.605,11.64,5.4 </v>
      </c>
      <c r="DX141" s="458" t="str">
        <f t="shared" si="380"/>
        <v xml:space="preserve">85.605,11.97,7.2 </v>
      </c>
      <c r="DY141" s="458" t="str">
        <f t="shared" si="380"/>
        <v xml:space="preserve">85.605,12.18,9 </v>
      </c>
      <c r="DZ141" s="458" t="str">
        <f t="shared" si="380"/>
        <v xml:space="preserve">85.605,12.22,10.1 </v>
      </c>
      <c r="EA141" s="458" t="str">
        <f t="shared" si="380"/>
        <v xml:space="preserve">85.605,12.23,10.8 </v>
      </c>
      <c r="EB141" s="458" t="str">
        <f t="shared" si="380"/>
        <v xml:space="preserve">85.605,12.23,12.6 </v>
      </c>
      <c r="EC141" s="458" t="str">
        <f t="shared" si="380"/>
        <v xml:space="preserve">85.605,12.25,14.19 </v>
      </c>
      <c r="ED141" s="458" t="str">
        <f t="shared" si="380"/>
        <v/>
      </c>
      <c r="EE141" s="458" t="str">
        <f t="shared" si="380"/>
        <v/>
      </c>
      <c r="EF141" s="458" t="str">
        <f t="shared" si="380"/>
        <v/>
      </c>
      <c r="EG141" s="458" t="str">
        <f t="shared" si="380"/>
        <v/>
      </c>
      <c r="EH141" s="458" t="str">
        <f t="shared" si="380"/>
        <v/>
      </c>
      <c r="EI141" s="458" t="str">
        <f t="shared" si="380"/>
        <v/>
      </c>
      <c r="EJ141" s="458" t="str">
        <f t="shared" si="380"/>
        <v/>
      </c>
      <c r="EK141" s="458" t="str">
        <f t="shared" si="380"/>
        <v/>
      </c>
      <c r="EL141" s="458" t="str">
        <f t="shared" si="380"/>
        <v/>
      </c>
      <c r="EM141" s="458" t="str">
        <f t="shared" si="380"/>
        <v/>
      </c>
      <c r="EN141" s="458" t="str">
        <f t="shared" si="380"/>
        <v/>
      </c>
      <c r="EO141" s="458" t="str">
        <f t="shared" si="380"/>
        <v/>
      </c>
      <c r="EP141" s="458" t="str">
        <f t="shared" si="273"/>
        <v/>
      </c>
      <c r="ER141" s="457" t="str">
        <f t="shared" si="307"/>
        <v xml:space="preserve">85.605,6.7,0 85.605,8.84,0.9 85.605,10.03,1.8 85.605,10.68,2.7 85.605,11.1,3.6 85.605,11.64,5.4 85.605,11.97,7.2 85.605,12.18,9 85.605,12.22,10.1 85.605,12.23,10.8 85.605,12.23,12.6 85.605,12.25,14.19 </v>
      </c>
      <c r="ES141" s="186" t="str">
        <f t="shared" ca="1" si="351"/>
        <v xml:space="preserve">Spline 85.605,0,0 85.605,6.7,0 85.605,8.84,0.9 85.605,10.03,1.8 85.605,10.68,2.7 85.605,11.1,3.6 85.605,11.64,5.4 85.605,11.97,7.2 85.605,12.18,9 85.605,12.22,10.1 85.605,12.23,10.8 85.605,12.23,12.6 85.605,12.25,14.19  </v>
      </c>
      <c r="ET141" s="129" t="str">
        <f t="shared" ca="1" si="308"/>
        <v xml:space="preserve">Spline 85.605,0,0 85.605,6.7,0 85.605,8.84,0.9 85.605,10.03,1.8 85.605,10.68,2.7 85.605,11.1,3.6 85.605,11.64,5.4 85.605,11.97,7.2 85.605,12.18,9 85.605,12.22,10.1 85.605,12.23,10.8 85.605,12.23,12.6 85.605,12.25,14.19  </v>
      </c>
      <c r="EU141" s="129">
        <f ca="1">COUNTIF(BP_16,NA())</f>
        <v>0</v>
      </c>
      <c r="EV141" s="129">
        <f t="shared" ca="1" si="274"/>
        <v>0</v>
      </c>
      <c r="EW141" s="129">
        <v>16</v>
      </c>
      <c r="EX141" s="129" t="str">
        <f t="shared" si="275"/>
        <v xml:space="preserve">85.605,12.25,14.19 </v>
      </c>
      <c r="EY141" s="129" t="str">
        <f t="shared" ca="1" si="276"/>
        <v xml:space="preserve">Spline 85.605,0,0 85.605,12.25,14.19 85.605,12.23,12.6 85.605,12.23,10.8 85.605,12.22,10.1 85.605,12.18,9 85.605,11.97,7.2 85.605,11.64,5.4 85.605,11.1,3.6 85.605,10.68,2.7 85.605,10.03,1.8 85.605,8.84,0.9 85.605,6.7,0 </v>
      </c>
      <c r="EZ141" s="186" t="str">
        <f t="shared" si="309"/>
        <v xml:space="preserve">85.605,6.7,0 85.605,8.84,0.9 85.605,10.03,1.8 85.605,10.68,2.7 85.605,11.1,3.6 85.605,11.64,5.4 85.605,11.97,7.2 85.605,12.18,9 85.605,12.22,10.1 85.605,12.23,10.8 85.605,12.23,12.6 85.605,12.25,14.19  </v>
      </c>
      <c r="FB141" s="458">
        <f t="shared" si="277"/>
        <v>85.60499999999999</v>
      </c>
      <c r="FC141" s="460" t="str">
        <f t="shared" si="310"/>
        <v/>
      </c>
      <c r="FD141" s="458" t="str">
        <f t="shared" ref="FD141:GB141" si="381">IFERROR(CONCATENATE(ROUND($DP141,3),",",-ROUND(ABS(DK113),3),",",ROUND(EM113,3)," "),"")</f>
        <v xml:space="preserve">85.605,-6.7,0 </v>
      </c>
      <c r="FE141" s="458" t="str">
        <f t="shared" si="381"/>
        <v xml:space="preserve">85.605,-8.84,0.9 </v>
      </c>
      <c r="FF141" s="458" t="str">
        <f t="shared" si="381"/>
        <v xml:space="preserve">85.605,-10.03,1.8 </v>
      </c>
      <c r="FG141" s="458" t="str">
        <f t="shared" si="381"/>
        <v xml:space="preserve">85.605,-10.68,2.7 </v>
      </c>
      <c r="FH141" s="458" t="str">
        <f t="shared" si="381"/>
        <v xml:space="preserve">85.605,-11.1,3.6 </v>
      </c>
      <c r="FI141" s="458" t="str">
        <f t="shared" si="381"/>
        <v xml:space="preserve">85.605,-11.64,5.4 </v>
      </c>
      <c r="FJ141" s="458" t="str">
        <f t="shared" si="381"/>
        <v xml:space="preserve">85.605,-11.97,7.2 </v>
      </c>
      <c r="FK141" s="458" t="str">
        <f t="shared" si="381"/>
        <v xml:space="preserve">85.605,-12.18,9 </v>
      </c>
      <c r="FL141" s="458" t="str">
        <f t="shared" si="381"/>
        <v xml:space="preserve">85.605,-12.22,10.1 </v>
      </c>
      <c r="FM141" s="458" t="str">
        <f t="shared" si="381"/>
        <v xml:space="preserve">85.605,-12.23,10.8 </v>
      </c>
      <c r="FN141" s="458" t="str">
        <f t="shared" si="381"/>
        <v xml:space="preserve">85.605,-12.23,12.6 </v>
      </c>
      <c r="FO141" s="458" t="str">
        <f t="shared" si="381"/>
        <v xml:space="preserve">85.605,-12.25,14.19 </v>
      </c>
      <c r="FP141" s="458" t="str">
        <f t="shared" si="381"/>
        <v/>
      </c>
      <c r="FQ141" s="458" t="str">
        <f t="shared" si="381"/>
        <v/>
      </c>
      <c r="FR141" s="458" t="str">
        <f t="shared" si="381"/>
        <v/>
      </c>
      <c r="FS141" s="458" t="str">
        <f t="shared" si="381"/>
        <v/>
      </c>
      <c r="FT141" s="458" t="str">
        <f t="shared" si="381"/>
        <v/>
      </c>
      <c r="FU141" s="458" t="str">
        <f t="shared" si="381"/>
        <v/>
      </c>
      <c r="FV141" s="458" t="str">
        <f t="shared" si="381"/>
        <v/>
      </c>
      <c r="FW141" s="458" t="str">
        <f t="shared" si="381"/>
        <v/>
      </c>
      <c r="FX141" s="458" t="str">
        <f t="shared" si="381"/>
        <v/>
      </c>
      <c r="FY141" s="458" t="str">
        <f t="shared" si="381"/>
        <v/>
      </c>
      <c r="FZ141" s="458" t="str">
        <f t="shared" si="381"/>
        <v/>
      </c>
      <c r="GA141" s="458" t="str">
        <f t="shared" si="381"/>
        <v/>
      </c>
      <c r="GB141" s="458" t="str">
        <f t="shared" si="381"/>
        <v/>
      </c>
      <c r="GC141" s="129" t="str">
        <f t="shared" si="312"/>
        <v xml:space="preserve">85.605,12.25,14.19 85.605,12.23,12.6 85.605,12.23,10.8 85.605,12.22,10.1 85.605,12.18,9 85.605,11.97,7.2 85.605,11.64,5.4 85.605,11.1,3.6 85.605,10.68,2.7 85.605,10.03,1.8 85.605,8.84,0.9 85.605,6.7,0 </v>
      </c>
      <c r="GD141" s="129" t="str">
        <f t="shared" ca="1" si="279"/>
        <v>Spline 85.605,12.25,14.19 85.605,12.23,12.6 85.605,12.23,10.8 85.605,12.22,10.1 85.605,12.18,9 85.605,11.97,7.2 85.605,11.64,5.4 85.605,11.1,3.6 85.605,10.68,2.7 85.605,10.03,1.8 85.605,8.84,0.9 85.605,6.7,0 85.605,0,0</v>
      </c>
      <c r="GE141" s="461" t="str">
        <f t="shared" si="313"/>
        <v xml:space="preserve">85.605,-6.7,0 85.605,-8.84,0.9 85.605,-10.03,1.8 85.605,-10.68,2.7 85.605,-11.1,3.6 85.605,-11.64,5.4 85.605,-11.97,7.2 85.605,-12.18,9 85.605,-12.22,10.1 85.605,-12.23,10.8 85.605,-12.23,12.6 85.605,-12.25,14.19 </v>
      </c>
      <c r="GH141" s="129" t="str">
        <f t="shared" si="314"/>
        <v xml:space="preserve">Spline 85.605,12.25,14.19 85.605,12.23,12.6 85.605,12.23,10.8 85.605,12.22,10.1 85.605,12.18,9 85.605,11.97,7.2 85.605,11.64,5.4 85.605,11.1,3.6 85.605,10.68,2.7 85.605,10.03,1.8 85.605,8.84,0.9 85.605,6.7,0 T 85.605,0,0 </v>
      </c>
      <c r="GI141" s="129" t="str">
        <f t="shared" si="315"/>
        <v xml:space="preserve">Spline 85.605,6.7,0 85.605,0,0  Join 85.605,0,0  85.605,12.25,14.19 </v>
      </c>
      <c r="GP141" s="129" t="str">
        <f t="shared" si="280"/>
        <v xml:space="preserve">85.605,0,0 </v>
      </c>
      <c r="GQ141" s="129" t="str">
        <f t="shared" si="316"/>
        <v>Curve 85.605,12.25,14.19 85.605,12.23,12.6 85.605,12.23,10.8 85.605,12.22,10.1 85.605,12.18,9 85.605,11.97,7.2 85.605,11.64,5.4 85.605,11.1,3.6 85.605,10.68,2.7 85.605,10.03,1.8 85.605,8.84,0.9 85.605,6.7,0 85.605,0,0 _enter</v>
      </c>
    </row>
    <row r="142" spans="1:199" x14ac:dyDescent="0.25">
      <c r="A142" s="374" t="str">
        <f t="shared" ref="A142:A151" si="382">BE18</f>
        <v xml:space="preserve">  </v>
      </c>
      <c r="B142" s="377" t="str">
        <f t="shared" si="281"/>
        <v/>
      </c>
      <c r="C142" s="377" t="str">
        <f t="shared" si="282"/>
        <v/>
      </c>
      <c r="D142" s="377" t="str">
        <f t="shared" si="283"/>
        <v/>
      </c>
      <c r="E142" s="377" t="str">
        <f t="shared" si="284"/>
        <v/>
      </c>
      <c r="F142" s="377" t="str">
        <f t="shared" si="285"/>
        <v/>
      </c>
      <c r="G142" s="377" t="str">
        <f t="shared" si="286"/>
        <v/>
      </c>
      <c r="H142" s="377" t="str">
        <f t="shared" si="287"/>
        <v/>
      </c>
      <c r="I142" s="377" t="str">
        <f t="shared" si="288"/>
        <v/>
      </c>
      <c r="J142" s="377" t="str">
        <f t="shared" si="289"/>
        <v/>
      </c>
      <c r="K142" s="377" t="str">
        <f t="shared" si="290"/>
        <v/>
      </c>
      <c r="L142" s="377" t="str">
        <f t="shared" si="291"/>
        <v/>
      </c>
      <c r="M142" s="377" t="str">
        <f t="shared" si="292"/>
        <v/>
      </c>
      <c r="N142" s="377" t="str">
        <f t="shared" si="293"/>
        <v/>
      </c>
      <c r="O142" s="377" t="str">
        <f t="shared" si="294"/>
        <v/>
      </c>
      <c r="P142" s="377" t="str">
        <f t="shared" si="295"/>
        <v/>
      </c>
      <c r="Q142" s="377" t="str">
        <f t="shared" si="296"/>
        <v/>
      </c>
      <c r="R142" s="377" t="str">
        <f t="shared" si="297"/>
        <v/>
      </c>
      <c r="S142" s="377" t="str">
        <f t="shared" si="298"/>
        <v/>
      </c>
      <c r="T142" s="377" t="str">
        <f t="shared" si="299"/>
        <v/>
      </c>
      <c r="U142" s="377" t="str">
        <f t="shared" si="300"/>
        <v/>
      </c>
      <c r="V142" s="377" t="str">
        <f t="shared" si="301"/>
        <v/>
      </c>
      <c r="W142" s="377" t="str">
        <f t="shared" si="302"/>
        <v/>
      </c>
      <c r="X142" s="377" t="str">
        <f t="shared" si="303"/>
        <v/>
      </c>
      <c r="Y142" s="377" t="str">
        <f t="shared" si="304"/>
        <v/>
      </c>
      <c r="Z142" s="395" t="str">
        <f t="shared" si="305"/>
        <v/>
      </c>
      <c r="AB142" s="245" t="str">
        <f t="shared" si="317"/>
        <v xml:space="preserve">  </v>
      </c>
      <c r="AC142" s="245" t="str">
        <f>Tools!B142</f>
        <v/>
      </c>
      <c r="AD142" s="245" t="str">
        <f>Tools!C142</f>
        <v/>
      </c>
      <c r="AE142" s="245" t="str">
        <f>Tools!D142</f>
        <v/>
      </c>
      <c r="AF142" s="245" t="str">
        <f>Tools!E142</f>
        <v/>
      </c>
      <c r="AG142" s="245" t="str">
        <f>Tools!F142</f>
        <v/>
      </c>
      <c r="AH142" s="245" t="str">
        <f>Tools!G142</f>
        <v/>
      </c>
      <c r="AI142" s="245" t="str">
        <f>Tools!H142</f>
        <v/>
      </c>
      <c r="AJ142" s="245" t="str">
        <f>Tools!I142</f>
        <v/>
      </c>
      <c r="AK142" s="245" t="str">
        <f>Tools!J142</f>
        <v/>
      </c>
      <c r="AL142" s="245" t="str">
        <f>Tools!K142</f>
        <v/>
      </c>
      <c r="AM142" s="245" t="str">
        <f>Tools!L142</f>
        <v/>
      </c>
      <c r="AN142" s="245" t="str">
        <f>Tools!M142</f>
        <v/>
      </c>
      <c r="AO142" s="245" t="str">
        <f>Tools!N142</f>
        <v/>
      </c>
      <c r="AP142" s="245" t="str">
        <f>Tools!O142</f>
        <v/>
      </c>
      <c r="AQ142" s="245" t="str">
        <f>Tools!P142</f>
        <v/>
      </c>
      <c r="AR142" s="245" t="str">
        <f>Tools!Q142</f>
        <v/>
      </c>
      <c r="AS142" s="245" t="str">
        <f>Tools!R142</f>
        <v/>
      </c>
      <c r="AT142" s="245" t="str">
        <f>Tools!S142</f>
        <v/>
      </c>
      <c r="AU142" s="245" t="str">
        <f>Tools!T142</f>
        <v/>
      </c>
      <c r="AV142" s="245" t="str">
        <f>Tools!U142</f>
        <v/>
      </c>
      <c r="AW142" s="245" t="str">
        <f>Tools!V142</f>
        <v/>
      </c>
      <c r="AX142" s="245" t="str">
        <f>Tools!W142</f>
        <v/>
      </c>
      <c r="AY142" s="245" t="str">
        <f>Tools!X142</f>
        <v/>
      </c>
      <c r="AZ142" s="245" t="str">
        <f>Tools!Y142</f>
        <v/>
      </c>
      <c r="BA142" s="396" t="str">
        <f>Tools!Z142</f>
        <v/>
      </c>
      <c r="BC142" s="274">
        <f>'Rise, etc.'!O18</f>
        <v>12</v>
      </c>
      <c r="BD142" s="277" t="str">
        <f>IF(ISNUMBER(VLOOKUP(BC142,'Rise, etc.'!O$3:P$28,2,FALSE)),VLOOKUP(BC142,'Rise, etc.'!O$3:P$28,2,FALSE),"-")</f>
        <v>-</v>
      </c>
      <c r="BE142" s="277" t="e">
        <f t="shared" si="353"/>
        <v>#VALUE!</v>
      </c>
      <c r="BF142" s="277" t="str">
        <f t="shared" si="319"/>
        <v>#NA</v>
      </c>
      <c r="BG142" s="277" t="str">
        <f t="shared" si="320"/>
        <v>#NA</v>
      </c>
      <c r="BH142" s="277" t="str">
        <f t="shared" si="321"/>
        <v>#NA</v>
      </c>
      <c r="BI142" s="277" t="str">
        <f t="shared" si="322"/>
        <v>#NA</v>
      </c>
      <c r="BJ142" s="277" t="str">
        <f t="shared" si="323"/>
        <v>#NA</v>
      </c>
      <c r="BK142" s="277" t="str">
        <f t="shared" si="324"/>
        <v>#NA</v>
      </c>
      <c r="BL142" s="277" t="str">
        <f t="shared" si="325"/>
        <v>#NA</v>
      </c>
      <c r="BM142" s="277"/>
      <c r="BN142" s="277" t="e">
        <f t="shared" si="326"/>
        <v>#VALUE!</v>
      </c>
      <c r="BO142" s="277" t="e">
        <f t="shared" si="327"/>
        <v>#VALUE!</v>
      </c>
      <c r="BP142" s="277" t="e">
        <f t="shared" si="328"/>
        <v>#VALUE!</v>
      </c>
      <c r="BQ142" s="277" t="e">
        <f t="shared" si="329"/>
        <v>#VALUE!</v>
      </c>
      <c r="BR142" s="277" t="e">
        <f t="shared" si="330"/>
        <v>#VALUE!</v>
      </c>
      <c r="BS142" s="277" t="e">
        <f t="shared" si="331"/>
        <v>#VALUE!</v>
      </c>
      <c r="BT142" s="277" t="e">
        <f t="shared" si="332"/>
        <v>#VALUE!</v>
      </c>
      <c r="BU142" s="277" t="e">
        <f t="shared" si="333"/>
        <v>#VALUE!</v>
      </c>
      <c r="BV142" s="277" t="e">
        <f t="shared" si="334"/>
        <v>#VALUE!</v>
      </c>
      <c r="BW142" s="277" t="e">
        <f t="shared" si="335"/>
        <v>#VALUE!</v>
      </c>
      <c r="BX142" s="277" t="e">
        <f t="shared" si="354"/>
        <v>#VALUE!</v>
      </c>
      <c r="BY142" s="277" t="e">
        <f t="shared" si="336"/>
        <v>#VALUE!</v>
      </c>
      <c r="BZ142" s="277" t="e">
        <f t="shared" si="337"/>
        <v>#VALUE!</v>
      </c>
      <c r="CA142" s="277" t="e">
        <f t="shared" si="338"/>
        <v>#VALUE!</v>
      </c>
      <c r="CB142" s="277" t="e">
        <f t="shared" si="339"/>
        <v>#VALUE!</v>
      </c>
      <c r="CC142" s="277" t="e">
        <f t="shared" si="340"/>
        <v>#VALUE!</v>
      </c>
      <c r="CD142" s="277" t="e">
        <f t="shared" si="341"/>
        <v>#VALUE!</v>
      </c>
      <c r="CE142" s="277" t="e">
        <f t="shared" si="342"/>
        <v>#VALUE!</v>
      </c>
      <c r="CF142" s="277" t="e">
        <f t="shared" si="343"/>
        <v>#VALUE!</v>
      </c>
      <c r="CG142" s="277" t="e">
        <f t="shared" si="344"/>
        <v>#VALUE!</v>
      </c>
      <c r="CH142" s="277" t="e">
        <f t="shared" si="345"/>
        <v>#VALUE!</v>
      </c>
      <c r="CI142" s="277" t="e">
        <f t="shared" si="346"/>
        <v>#VALUE!</v>
      </c>
      <c r="CJ142" s="277" t="e">
        <f t="shared" si="347"/>
        <v>#VALUE!</v>
      </c>
      <c r="CK142" s="277" t="e">
        <f t="shared" si="348"/>
        <v>#VALUE!</v>
      </c>
      <c r="CL142" s="277" t="e">
        <f t="shared" si="349"/>
        <v>#VALUE!</v>
      </c>
      <c r="CM142" s="276">
        <f t="shared" si="355"/>
        <v>0</v>
      </c>
      <c r="CO142" s="454" t="e">
        <v>#N/A</v>
      </c>
      <c r="CP142" s="454" t="e">
        <v>#N/A</v>
      </c>
      <c r="CQ142" s="454" t="e">
        <v>#N/A</v>
      </c>
      <c r="CR142" s="454" t="e">
        <v>#N/A</v>
      </c>
      <c r="CS142" s="454" t="e">
        <v>#N/A</v>
      </c>
      <c r="CT142" s="454" t="e">
        <v>#N/A</v>
      </c>
      <c r="CU142" s="454" t="e">
        <v>#N/A</v>
      </c>
      <c r="CV142" s="454" t="e">
        <v>#N/A</v>
      </c>
      <c r="CW142" s="454" t="e">
        <v>#N/A</v>
      </c>
      <c r="CX142" s="454" t="e">
        <v>#N/A</v>
      </c>
      <c r="CY142" s="454" t="e">
        <v>#N/A</v>
      </c>
      <c r="CZ142" s="454" t="e">
        <v>#N/A</v>
      </c>
      <c r="DA142" s="454" t="e">
        <v>#N/A</v>
      </c>
      <c r="DB142" s="454" t="e">
        <v>#N/A</v>
      </c>
      <c r="DC142" s="454" t="e">
        <v>#N/A</v>
      </c>
      <c r="DD142" s="454" t="e">
        <v>#N/A</v>
      </c>
      <c r="DE142" s="454" t="e">
        <v>#N/A</v>
      </c>
      <c r="DF142" s="454" t="e">
        <v>#N/A</v>
      </c>
      <c r="DG142" s="454" t="e">
        <v>#N/A</v>
      </c>
      <c r="DH142" s="454" t="e">
        <v>#N/A</v>
      </c>
      <c r="DI142" s="454" t="e">
        <v>#N/A</v>
      </c>
      <c r="DJ142" s="454" t="e">
        <v>#N/A</v>
      </c>
      <c r="DK142" s="454" t="e">
        <v>#N/A</v>
      </c>
      <c r="DL142" s="454" t="e">
        <v>#N/A</v>
      </c>
      <c r="DM142" s="454" t="e">
        <v>#N/A</v>
      </c>
      <c r="DN142" s="454" t="e">
        <v>#N/A</v>
      </c>
      <c r="DO142" s="397"/>
      <c r="DP142" s="458">
        <f t="shared" si="272"/>
        <v>92.189999999999984</v>
      </c>
      <c r="DQ142" s="458" t="str">
        <f t="shared" ref="DQ142:DQ150" si="383">IFERROR(CONCATENATE(ROUND($DP142,3),",",ROUND(ABS(DJ114),3),",",ROUND(EL114,3)," "),"")</f>
        <v/>
      </c>
      <c r="DR142" s="458" t="str">
        <f t="shared" ref="DR142:EP150" si="384">IFERROR(CONCATENATE(ROUND($DP142,3),",",ROUND(ABS(DK114),3),",",ROUND(EM114,3)," "),"")</f>
        <v xml:space="preserve">92.19,5.35,0 </v>
      </c>
      <c r="DS142" s="458" t="str">
        <f t="shared" si="384"/>
        <v xml:space="preserve">92.19,7.29,0.9 </v>
      </c>
      <c r="DT142" s="458" t="str">
        <f t="shared" si="384"/>
        <v xml:space="preserve">92.19,8.15,1.8 </v>
      </c>
      <c r="DU142" s="458" t="str">
        <f t="shared" si="384"/>
        <v xml:space="preserve">92.19,9.25,2.7 </v>
      </c>
      <c r="DV142" s="458" t="str">
        <f t="shared" si="384"/>
        <v xml:space="preserve">92.19,9.75,3.6 </v>
      </c>
      <c r="DW142" s="458" t="str">
        <f t="shared" si="384"/>
        <v xml:space="preserve">92.19,10.5,5.4 </v>
      </c>
      <c r="DX142" s="458" t="str">
        <f t="shared" si="384"/>
        <v xml:space="preserve">92.19,11.06,7.2 </v>
      </c>
      <c r="DY142" s="458" t="str">
        <f t="shared" si="384"/>
        <v xml:space="preserve">92.19,11.46,9 </v>
      </c>
      <c r="DZ142" s="458" t="str">
        <f t="shared" si="384"/>
        <v xml:space="preserve">92.19,11.67,10.1 </v>
      </c>
      <c r="EA142" s="458" t="str">
        <f t="shared" si="384"/>
        <v xml:space="preserve">92.19,11.79,10.8 </v>
      </c>
      <c r="EB142" s="458" t="str">
        <f t="shared" si="384"/>
        <v xml:space="preserve">92.19,12.07,12.6 </v>
      </c>
      <c r="EC142" s="458" t="str">
        <f t="shared" si="384"/>
        <v xml:space="preserve">92.19,12.23,14.19 </v>
      </c>
      <c r="ED142" s="458" t="str">
        <f t="shared" si="384"/>
        <v/>
      </c>
      <c r="EE142" s="458" t="str">
        <f t="shared" si="384"/>
        <v/>
      </c>
      <c r="EF142" s="458" t="str">
        <f t="shared" si="384"/>
        <v/>
      </c>
      <c r="EG142" s="458" t="str">
        <f t="shared" si="384"/>
        <v/>
      </c>
      <c r="EH142" s="458" t="str">
        <f t="shared" si="384"/>
        <v/>
      </c>
      <c r="EI142" s="458" t="str">
        <f t="shared" si="384"/>
        <v/>
      </c>
      <c r="EJ142" s="458" t="str">
        <f t="shared" si="384"/>
        <v/>
      </c>
      <c r="EK142" s="458" t="str">
        <f t="shared" si="384"/>
        <v/>
      </c>
      <c r="EL142" s="458" t="str">
        <f t="shared" si="384"/>
        <v/>
      </c>
      <c r="EM142" s="458" t="str">
        <f t="shared" si="384"/>
        <v/>
      </c>
      <c r="EN142" s="458" t="str">
        <f t="shared" si="384"/>
        <v/>
      </c>
      <c r="EO142" s="458" t="str">
        <f t="shared" si="384"/>
        <v/>
      </c>
      <c r="EP142" s="458" t="str">
        <f t="shared" si="384"/>
        <v/>
      </c>
      <c r="ER142" s="457" t="str">
        <f t="shared" si="307"/>
        <v xml:space="preserve">92.19,5.35,0 92.19,7.29,0.9 92.19,8.15,1.8 92.19,9.25,2.7 92.19,9.75,3.6 92.19,10.5,5.4 92.19,11.06,7.2 92.19,11.46,9 92.19,11.67,10.1 92.19,11.79,10.8 92.19,12.07,12.6 92.19,12.23,14.19 </v>
      </c>
      <c r="ES142" s="186" t="str">
        <f t="shared" ca="1" si="351"/>
        <v xml:space="preserve">Spline 92.19,0,0 92.19,5.35,0 92.19,7.29,0.9 92.19,8.15,1.8 92.19,9.25,2.7 92.19,9.75,3.6 92.19,10.5,5.4 92.19,11.06,7.2 92.19,11.46,9 92.19,11.67,10.1 92.19,11.79,10.8 92.19,12.07,12.6 92.19,12.23,14.19  </v>
      </c>
      <c r="ET142" s="129" t="str">
        <f t="shared" ca="1" si="308"/>
        <v xml:space="preserve">Spline 92.19,0,0 92.19,5.35,0 92.19,7.29,0.9 92.19,8.15,1.8 92.19,9.25,2.7 92.19,9.75,3.6 92.19,10.5,5.4 92.19,11.06,7.2 92.19,11.46,9 92.19,11.67,10.1 92.19,11.79,10.8 92.19,12.07,12.6 92.19,12.23,14.19  </v>
      </c>
      <c r="EU142" s="129">
        <f ca="1">COUNTIF(BP_17,NA())</f>
        <v>0</v>
      </c>
      <c r="EV142" s="129">
        <f t="shared" ca="1" si="274"/>
        <v>0</v>
      </c>
      <c r="EW142" s="129">
        <v>17</v>
      </c>
      <c r="EX142" s="129" t="str">
        <f t="shared" si="275"/>
        <v xml:space="preserve">92.19,12.23,14.19 </v>
      </c>
      <c r="EY142" s="129" t="str">
        <f t="shared" ca="1" si="276"/>
        <v xml:space="preserve">Spline 92.19,0,0 92.19,12.23,14.19 92.19,12.07,12.6 92.19,11.79,10.8 92.19,11.67,10.1 92.19,11.46,9 92.19,11.06,7.2 92.19,10.5,5.4 92.19,9.75,3.6 92.19,9.25,2.7 92.19,8.15,1.8 92.19,7.29,0.9 92.19,5.35,0 </v>
      </c>
      <c r="EZ142" s="186" t="str">
        <f t="shared" si="309"/>
        <v xml:space="preserve">92.19,5.35,0 92.19,7.29,0.9 92.19,8.15,1.8 92.19,9.25,2.7 92.19,9.75,3.6 92.19,10.5,5.4 92.19,11.06,7.2 92.19,11.46,9 92.19,11.67,10.1 92.19,11.79,10.8 92.19,12.07,12.6 92.19,12.23,14.19  </v>
      </c>
      <c r="FB142" s="458">
        <f t="shared" si="277"/>
        <v>92.189999999999984</v>
      </c>
      <c r="FC142" s="460" t="str">
        <f t="shared" si="310"/>
        <v/>
      </c>
      <c r="FD142" s="458" t="str">
        <f t="shared" ref="FD142:GB142" si="385">IFERROR(CONCATENATE(ROUND($DP142,3),",",-ROUND(ABS(DK114),3),",",ROUND(EM114,3)," "),"")</f>
        <v xml:space="preserve">92.19,-5.35,0 </v>
      </c>
      <c r="FE142" s="458" t="str">
        <f t="shared" si="385"/>
        <v xml:space="preserve">92.19,-7.29,0.9 </v>
      </c>
      <c r="FF142" s="458" t="str">
        <f t="shared" si="385"/>
        <v xml:space="preserve">92.19,-8.15,1.8 </v>
      </c>
      <c r="FG142" s="458" t="str">
        <f t="shared" si="385"/>
        <v xml:space="preserve">92.19,-9.25,2.7 </v>
      </c>
      <c r="FH142" s="458" t="str">
        <f t="shared" si="385"/>
        <v xml:space="preserve">92.19,-9.75,3.6 </v>
      </c>
      <c r="FI142" s="458" t="str">
        <f t="shared" si="385"/>
        <v xml:space="preserve">92.19,-10.5,5.4 </v>
      </c>
      <c r="FJ142" s="458" t="str">
        <f t="shared" si="385"/>
        <v xml:space="preserve">92.19,-11.06,7.2 </v>
      </c>
      <c r="FK142" s="458" t="str">
        <f t="shared" si="385"/>
        <v xml:space="preserve">92.19,-11.46,9 </v>
      </c>
      <c r="FL142" s="458" t="str">
        <f t="shared" si="385"/>
        <v xml:space="preserve">92.19,-11.67,10.1 </v>
      </c>
      <c r="FM142" s="458" t="str">
        <f t="shared" si="385"/>
        <v xml:space="preserve">92.19,-11.79,10.8 </v>
      </c>
      <c r="FN142" s="458" t="str">
        <f t="shared" si="385"/>
        <v xml:space="preserve">92.19,-12.07,12.6 </v>
      </c>
      <c r="FO142" s="458" t="str">
        <f t="shared" si="385"/>
        <v xml:space="preserve">92.19,-12.23,14.19 </v>
      </c>
      <c r="FP142" s="458" t="str">
        <f t="shared" si="385"/>
        <v/>
      </c>
      <c r="FQ142" s="458" t="str">
        <f t="shared" si="385"/>
        <v/>
      </c>
      <c r="FR142" s="458" t="str">
        <f t="shared" si="385"/>
        <v/>
      </c>
      <c r="FS142" s="458" t="str">
        <f t="shared" si="385"/>
        <v/>
      </c>
      <c r="FT142" s="458" t="str">
        <f t="shared" si="385"/>
        <v/>
      </c>
      <c r="FU142" s="458" t="str">
        <f t="shared" si="385"/>
        <v/>
      </c>
      <c r="FV142" s="458" t="str">
        <f t="shared" si="385"/>
        <v/>
      </c>
      <c r="FW142" s="458" t="str">
        <f t="shared" si="385"/>
        <v/>
      </c>
      <c r="FX142" s="458" t="str">
        <f t="shared" si="385"/>
        <v/>
      </c>
      <c r="FY142" s="458" t="str">
        <f t="shared" si="385"/>
        <v/>
      </c>
      <c r="FZ142" s="458" t="str">
        <f t="shared" si="385"/>
        <v/>
      </c>
      <c r="GA142" s="458" t="str">
        <f t="shared" si="385"/>
        <v/>
      </c>
      <c r="GB142" s="458" t="str">
        <f t="shared" si="385"/>
        <v/>
      </c>
      <c r="GC142" s="129" t="str">
        <f t="shared" si="312"/>
        <v xml:space="preserve">92.19,12.23,14.19 92.19,12.07,12.6 92.19,11.79,10.8 92.19,11.67,10.1 92.19,11.46,9 92.19,11.06,7.2 92.19,10.5,5.4 92.19,9.75,3.6 92.19,9.25,2.7 92.19,8.15,1.8 92.19,7.29,0.9 92.19,5.35,0 </v>
      </c>
      <c r="GD142" s="129" t="str">
        <f t="shared" ca="1" si="279"/>
        <v>Spline 92.19,12.23,14.19 92.19,12.07,12.6 92.19,11.79,10.8 92.19,11.67,10.1 92.19,11.46,9 92.19,11.06,7.2 92.19,10.5,5.4 92.19,9.75,3.6 92.19,9.25,2.7 92.19,8.15,1.8 92.19,7.29,0.9 92.19,5.35,0 92.19,0,0</v>
      </c>
      <c r="GE142" s="461" t="str">
        <f t="shared" si="313"/>
        <v xml:space="preserve">92.19,-5.35,0 92.19,-7.29,0.9 92.19,-8.15,1.8 92.19,-9.25,2.7 92.19,-9.75,3.6 92.19,-10.5,5.4 92.19,-11.06,7.2 92.19,-11.46,9 92.19,-11.67,10.1 92.19,-11.79,10.8 92.19,-12.07,12.6 92.19,-12.23,14.19 </v>
      </c>
      <c r="GH142" s="129" t="str">
        <f t="shared" si="314"/>
        <v xml:space="preserve">Spline 92.19,12.23,14.19 92.19,12.07,12.6 92.19,11.79,10.8 92.19,11.67,10.1 92.19,11.46,9 92.19,11.06,7.2 92.19,10.5,5.4 92.19,9.75,3.6 92.19,9.25,2.7 92.19,8.15,1.8 92.19,7.29,0.9 92.19,5.35,0 T 92.19,0,0 </v>
      </c>
      <c r="GI142" s="129" t="str">
        <f t="shared" si="315"/>
        <v xml:space="preserve">Spline 92.19,5.35,0 92.19,0,0  Join 92.19,0,0  92.19,12.23,14.19 </v>
      </c>
      <c r="GP142" s="129" t="str">
        <f t="shared" si="280"/>
        <v xml:space="preserve">92.19,0,0 </v>
      </c>
      <c r="GQ142" s="129" t="str">
        <f t="shared" si="316"/>
        <v>Curve 92.19,12.23,14.19 92.19,12.07,12.6 92.19,11.79,10.8 92.19,11.67,10.1 92.19,11.46,9 92.19,11.06,7.2 92.19,10.5,5.4 92.19,9.75,3.6 92.19,9.25,2.7 92.19,8.15,1.8 92.19,7.29,0.9 92.19,5.35,0 92.19,0,0 _enter</v>
      </c>
    </row>
    <row r="143" spans="1:199" x14ac:dyDescent="0.25">
      <c r="A143" s="374" t="str">
        <f t="shared" si="382"/>
        <v xml:space="preserve">  </v>
      </c>
      <c r="B143" s="377" t="str">
        <f t="shared" si="281"/>
        <v/>
      </c>
      <c r="C143" s="377" t="str">
        <f t="shared" si="282"/>
        <v/>
      </c>
      <c r="D143" s="377" t="str">
        <f t="shared" si="283"/>
        <v/>
      </c>
      <c r="E143" s="377" t="str">
        <f t="shared" si="284"/>
        <v/>
      </c>
      <c r="F143" s="377" t="str">
        <f t="shared" si="285"/>
        <v/>
      </c>
      <c r="G143" s="377" t="str">
        <f t="shared" si="286"/>
        <v/>
      </c>
      <c r="H143" s="377" t="str">
        <f t="shared" si="287"/>
        <v/>
      </c>
      <c r="I143" s="377" t="str">
        <f t="shared" si="288"/>
        <v/>
      </c>
      <c r="J143" s="377" t="str">
        <f t="shared" si="289"/>
        <v/>
      </c>
      <c r="K143" s="377" t="str">
        <f t="shared" si="290"/>
        <v/>
      </c>
      <c r="L143" s="377" t="str">
        <f t="shared" si="291"/>
        <v/>
      </c>
      <c r="M143" s="377" t="str">
        <f t="shared" si="292"/>
        <v/>
      </c>
      <c r="N143" s="377" t="str">
        <f t="shared" si="293"/>
        <v/>
      </c>
      <c r="O143" s="377" t="str">
        <f t="shared" si="294"/>
        <v/>
      </c>
      <c r="P143" s="377" t="str">
        <f t="shared" si="295"/>
        <v/>
      </c>
      <c r="Q143" s="377" t="str">
        <f t="shared" si="296"/>
        <v/>
      </c>
      <c r="R143" s="377" t="str">
        <f t="shared" si="297"/>
        <v/>
      </c>
      <c r="S143" s="377" t="str">
        <f t="shared" si="298"/>
        <v/>
      </c>
      <c r="T143" s="377" t="str">
        <f t="shared" si="299"/>
        <v/>
      </c>
      <c r="U143" s="377" t="str">
        <f t="shared" si="300"/>
        <v/>
      </c>
      <c r="V143" s="377" t="str">
        <f t="shared" si="301"/>
        <v/>
      </c>
      <c r="W143" s="377" t="str">
        <f t="shared" si="302"/>
        <v/>
      </c>
      <c r="X143" s="377" t="str">
        <f t="shared" si="303"/>
        <v/>
      </c>
      <c r="Y143" s="377" t="str">
        <f t="shared" si="304"/>
        <v/>
      </c>
      <c r="Z143" s="395" t="str">
        <f t="shared" si="305"/>
        <v/>
      </c>
      <c r="AB143" s="245" t="str">
        <f t="shared" si="317"/>
        <v xml:space="preserve">  </v>
      </c>
      <c r="AC143" s="245" t="str">
        <f>Tools!B143</f>
        <v/>
      </c>
      <c r="AD143" s="245" t="str">
        <f>Tools!C143</f>
        <v/>
      </c>
      <c r="AE143" s="245" t="str">
        <f>Tools!D143</f>
        <v/>
      </c>
      <c r="AF143" s="245" t="str">
        <f>Tools!E143</f>
        <v/>
      </c>
      <c r="AG143" s="245" t="str">
        <f>Tools!F143</f>
        <v/>
      </c>
      <c r="AH143" s="245" t="str">
        <f>Tools!G143</f>
        <v/>
      </c>
      <c r="AI143" s="245" t="str">
        <f>Tools!H143</f>
        <v/>
      </c>
      <c r="AJ143" s="245" t="str">
        <f>Tools!I143</f>
        <v/>
      </c>
      <c r="AK143" s="245" t="str">
        <f>Tools!J143</f>
        <v/>
      </c>
      <c r="AL143" s="245" t="str">
        <f>Tools!K143</f>
        <v/>
      </c>
      <c r="AM143" s="245" t="str">
        <f>Tools!L143</f>
        <v/>
      </c>
      <c r="AN143" s="245" t="str">
        <f>Tools!M143</f>
        <v/>
      </c>
      <c r="AO143" s="245" t="str">
        <f>Tools!N143</f>
        <v/>
      </c>
      <c r="AP143" s="245" t="str">
        <f>Tools!O143</f>
        <v/>
      </c>
      <c r="AQ143" s="245" t="str">
        <f>Tools!P143</f>
        <v/>
      </c>
      <c r="AR143" s="245" t="str">
        <f>Tools!Q143</f>
        <v/>
      </c>
      <c r="AS143" s="245" t="str">
        <f>Tools!R143</f>
        <v/>
      </c>
      <c r="AT143" s="245" t="str">
        <f>Tools!S143</f>
        <v/>
      </c>
      <c r="AU143" s="245" t="str">
        <f>Tools!T143</f>
        <v/>
      </c>
      <c r="AV143" s="245" t="str">
        <f>Tools!U143</f>
        <v/>
      </c>
      <c r="AW143" s="245" t="str">
        <f>Tools!V143</f>
        <v/>
      </c>
      <c r="AX143" s="245" t="str">
        <f>Tools!W143</f>
        <v/>
      </c>
      <c r="AY143" s="245" t="str">
        <f>Tools!X143</f>
        <v/>
      </c>
      <c r="AZ143" s="245" t="str">
        <f>Tools!Y143</f>
        <v/>
      </c>
      <c r="BA143" s="396" t="str">
        <f>Tools!Z143</f>
        <v/>
      </c>
      <c r="BC143" s="274">
        <f>'Rise, etc.'!O19</f>
        <v>13</v>
      </c>
      <c r="BD143" s="277" t="str">
        <f>IF(ISNUMBER(VLOOKUP(BC143,'Rise, etc.'!O$3:P$28,2,FALSE)),VLOOKUP(BC143,'Rise, etc.'!O$3:P$28,2,FALSE),"-")</f>
        <v>-</v>
      </c>
      <c r="BE143" s="277" t="e">
        <f t="shared" si="353"/>
        <v>#VALUE!</v>
      </c>
      <c r="BF143" s="277" t="str">
        <f t="shared" si="319"/>
        <v>#NA</v>
      </c>
      <c r="BG143" s="277" t="str">
        <f t="shared" si="320"/>
        <v>#NA</v>
      </c>
      <c r="BH143" s="277" t="str">
        <f t="shared" si="321"/>
        <v>#NA</v>
      </c>
      <c r="BI143" s="277" t="str">
        <f t="shared" si="322"/>
        <v>#NA</v>
      </c>
      <c r="BJ143" s="277" t="str">
        <f t="shared" si="323"/>
        <v>#NA</v>
      </c>
      <c r="BK143" s="277" t="str">
        <f t="shared" si="324"/>
        <v>#NA</v>
      </c>
      <c r="BL143" s="277" t="str">
        <f t="shared" si="325"/>
        <v>#NA</v>
      </c>
      <c r="BM143" s="277"/>
      <c r="BN143" s="277" t="e">
        <f t="shared" si="326"/>
        <v>#VALUE!</v>
      </c>
      <c r="BO143" s="277" t="e">
        <f t="shared" si="327"/>
        <v>#VALUE!</v>
      </c>
      <c r="BP143" s="277" t="e">
        <f t="shared" si="328"/>
        <v>#VALUE!</v>
      </c>
      <c r="BQ143" s="277" t="e">
        <f t="shared" si="329"/>
        <v>#VALUE!</v>
      </c>
      <c r="BR143" s="277" t="e">
        <f t="shared" si="330"/>
        <v>#VALUE!</v>
      </c>
      <c r="BS143" s="277" t="e">
        <f t="shared" si="331"/>
        <v>#VALUE!</v>
      </c>
      <c r="BT143" s="277" t="e">
        <f t="shared" si="332"/>
        <v>#VALUE!</v>
      </c>
      <c r="BU143" s="277" t="e">
        <f t="shared" si="333"/>
        <v>#VALUE!</v>
      </c>
      <c r="BV143" s="277" t="e">
        <f t="shared" si="334"/>
        <v>#VALUE!</v>
      </c>
      <c r="BW143" s="277" t="e">
        <f t="shared" si="335"/>
        <v>#VALUE!</v>
      </c>
      <c r="BX143" s="277" t="e">
        <f t="shared" si="354"/>
        <v>#VALUE!</v>
      </c>
      <c r="BY143" s="277" t="e">
        <f t="shared" si="336"/>
        <v>#VALUE!</v>
      </c>
      <c r="BZ143" s="277" t="e">
        <f t="shared" si="337"/>
        <v>#VALUE!</v>
      </c>
      <c r="CA143" s="277" t="e">
        <f t="shared" si="338"/>
        <v>#VALUE!</v>
      </c>
      <c r="CB143" s="277" t="e">
        <f t="shared" si="339"/>
        <v>#VALUE!</v>
      </c>
      <c r="CC143" s="277" t="e">
        <f t="shared" si="340"/>
        <v>#VALUE!</v>
      </c>
      <c r="CD143" s="277" t="e">
        <f t="shared" si="341"/>
        <v>#VALUE!</v>
      </c>
      <c r="CE143" s="277" t="e">
        <f t="shared" si="342"/>
        <v>#VALUE!</v>
      </c>
      <c r="CF143" s="277" t="e">
        <f t="shared" si="343"/>
        <v>#VALUE!</v>
      </c>
      <c r="CG143" s="277" t="e">
        <f t="shared" si="344"/>
        <v>#VALUE!</v>
      </c>
      <c r="CH143" s="277" t="e">
        <f t="shared" si="345"/>
        <v>#VALUE!</v>
      </c>
      <c r="CI143" s="277" t="e">
        <f t="shared" si="346"/>
        <v>#VALUE!</v>
      </c>
      <c r="CJ143" s="277" t="e">
        <f t="shared" si="347"/>
        <v>#VALUE!</v>
      </c>
      <c r="CK143" s="277" t="e">
        <f t="shared" si="348"/>
        <v>#VALUE!</v>
      </c>
      <c r="CL143" s="277" t="e">
        <f t="shared" si="349"/>
        <v>#VALUE!</v>
      </c>
      <c r="CM143" s="276">
        <f t="shared" si="355"/>
        <v>0</v>
      </c>
      <c r="CO143" s="454" t="e">
        <v>#N/A</v>
      </c>
      <c r="CP143" s="454" t="e">
        <v>#N/A</v>
      </c>
      <c r="CQ143" s="454" t="e">
        <v>#N/A</v>
      </c>
      <c r="CR143" s="454" t="e">
        <v>#N/A</v>
      </c>
      <c r="CS143" s="454" t="e">
        <v>#N/A</v>
      </c>
      <c r="CT143" s="454" t="e">
        <v>#N/A</v>
      </c>
      <c r="CU143" s="454" t="e">
        <v>#N/A</v>
      </c>
      <c r="CV143" s="454" t="e">
        <v>#N/A</v>
      </c>
      <c r="CW143" s="454" t="e">
        <v>#N/A</v>
      </c>
      <c r="CX143" s="454" t="e">
        <v>#N/A</v>
      </c>
      <c r="CY143" s="454" t="e">
        <v>#N/A</v>
      </c>
      <c r="CZ143" s="454" t="e">
        <v>#N/A</v>
      </c>
      <c r="DA143" s="454" t="e">
        <v>#N/A</v>
      </c>
      <c r="DB143" s="454" t="e">
        <v>#N/A</v>
      </c>
      <c r="DC143" s="454" t="e">
        <v>#N/A</v>
      </c>
      <c r="DD143" s="454" t="e">
        <v>#N/A</v>
      </c>
      <c r="DE143" s="454" t="e">
        <v>#N/A</v>
      </c>
      <c r="DF143" s="454" t="e">
        <v>#N/A</v>
      </c>
      <c r="DG143" s="454" t="e">
        <v>#N/A</v>
      </c>
      <c r="DH143" s="454" t="e">
        <v>#N/A</v>
      </c>
      <c r="DI143" s="454" t="e">
        <v>#N/A</v>
      </c>
      <c r="DJ143" s="454" t="e">
        <v>#N/A</v>
      </c>
      <c r="DK143" s="454" t="e">
        <v>#N/A</v>
      </c>
      <c r="DL143" s="454" t="e">
        <v>#N/A</v>
      </c>
      <c r="DM143" s="454" t="e">
        <v>#N/A</v>
      </c>
      <c r="DN143" s="454" t="e">
        <v>#N/A</v>
      </c>
      <c r="DO143" s="397"/>
      <c r="DP143" s="458">
        <f t="shared" si="272"/>
        <v>98.774999999999991</v>
      </c>
      <c r="DQ143" s="458" t="str">
        <f t="shared" si="383"/>
        <v/>
      </c>
      <c r="DR143" s="458" t="str">
        <f t="shared" ref="DR143:EO143" si="386">IFERROR(CONCATENATE(ROUND($DP143,3),",",ROUND(ABS(DK115),3),",",ROUND(EM115,3)," "),"")</f>
        <v xml:space="preserve">98.775,3.8,0 </v>
      </c>
      <c r="DS143" s="458" t="str">
        <f t="shared" si="386"/>
        <v xml:space="preserve">98.775,5.65,0.9 </v>
      </c>
      <c r="DT143" s="458" t="str">
        <f t="shared" si="386"/>
        <v xml:space="preserve">98.775,6.8,1.8 </v>
      </c>
      <c r="DU143" s="458" t="str">
        <f t="shared" si="386"/>
        <v xml:space="preserve">98.775,7.54,2.7 </v>
      </c>
      <c r="DV143" s="458" t="str">
        <f t="shared" si="386"/>
        <v xml:space="preserve">98.775,8.08,3.6 </v>
      </c>
      <c r="DW143" s="458" t="str">
        <f t="shared" si="386"/>
        <v xml:space="preserve">98.775,8.91,5.4 </v>
      </c>
      <c r="DX143" s="458" t="str">
        <f t="shared" si="386"/>
        <v xml:space="preserve">98.775,9.64,7.2 </v>
      </c>
      <c r="DY143" s="458" t="str">
        <f t="shared" si="386"/>
        <v xml:space="preserve">98.775,10.26,9 </v>
      </c>
      <c r="DZ143" s="458" t="str">
        <f t="shared" si="386"/>
        <v xml:space="preserve">98.775,10.6,10.1 </v>
      </c>
      <c r="EA143" s="458" t="str">
        <f t="shared" si="386"/>
        <v xml:space="preserve">98.775,10.8,10.8 </v>
      </c>
      <c r="EB143" s="458" t="str">
        <f t="shared" si="386"/>
        <v xml:space="preserve">98.775,11.29,12.6 </v>
      </c>
      <c r="EC143" s="458" t="str">
        <f t="shared" si="386"/>
        <v xml:space="preserve">98.775,12.15,14.19 </v>
      </c>
      <c r="ED143" s="458" t="str">
        <f t="shared" si="386"/>
        <v/>
      </c>
      <c r="EE143" s="458" t="str">
        <f t="shared" si="386"/>
        <v/>
      </c>
      <c r="EF143" s="458" t="str">
        <f t="shared" si="386"/>
        <v/>
      </c>
      <c r="EG143" s="458" t="str">
        <f t="shared" si="386"/>
        <v/>
      </c>
      <c r="EH143" s="458" t="str">
        <f t="shared" si="386"/>
        <v/>
      </c>
      <c r="EI143" s="458" t="str">
        <f t="shared" si="386"/>
        <v/>
      </c>
      <c r="EJ143" s="458" t="str">
        <f t="shared" si="386"/>
        <v/>
      </c>
      <c r="EK143" s="458" t="str">
        <f t="shared" si="386"/>
        <v/>
      </c>
      <c r="EL143" s="458" t="str">
        <f t="shared" si="386"/>
        <v/>
      </c>
      <c r="EM143" s="458" t="str">
        <f t="shared" si="386"/>
        <v/>
      </c>
      <c r="EN143" s="458" t="str">
        <f t="shared" si="386"/>
        <v/>
      </c>
      <c r="EO143" s="458" t="str">
        <f t="shared" si="386"/>
        <v/>
      </c>
      <c r="EP143" s="458" t="str">
        <f t="shared" si="384"/>
        <v/>
      </c>
      <c r="ER143" s="457" t="str">
        <f t="shared" si="307"/>
        <v xml:space="preserve">98.775,3.8,0 98.775,5.65,0.9 98.775,6.8,1.8 98.775,7.54,2.7 98.775,8.08,3.6 98.775,8.91,5.4 98.775,9.64,7.2 98.775,10.26,9 98.775,10.6,10.1 98.775,10.8,10.8 98.775,11.29,12.6 98.775,12.15,14.19 </v>
      </c>
      <c r="ES143" s="186" t="str">
        <f t="shared" ca="1" si="351"/>
        <v xml:space="preserve">Spline 98.775,0,0 98.775,3.8,0 98.775,5.65,0.9 98.775,6.8,1.8 98.775,7.54,2.7 98.775,8.08,3.6 98.775,8.91,5.4 98.775,9.64,7.2 98.775,10.26,9 98.775,10.6,10.1 98.775,10.8,10.8 98.775,11.29,12.6 98.775,12.15,14.19  </v>
      </c>
      <c r="ET143" s="129" t="str">
        <f t="shared" ca="1" si="308"/>
        <v xml:space="preserve">Spline 98.775,0,0 98.775,3.8,0 98.775,5.65,0.9 98.775,6.8,1.8 98.775,7.54,2.7 98.775,8.08,3.6 98.775,8.91,5.4 98.775,9.64,7.2 98.775,10.26,9 98.775,10.6,10.1 98.775,10.8,10.8 98.775,11.29,12.6 98.775,12.15,14.19  </v>
      </c>
      <c r="EU143" s="129">
        <f ca="1">COUNTIF(BP_18,NA())</f>
        <v>0</v>
      </c>
      <c r="EV143" s="129">
        <f t="shared" ca="1" si="274"/>
        <v>0</v>
      </c>
      <c r="EW143" s="129">
        <v>18</v>
      </c>
      <c r="EX143" s="129" t="str">
        <f t="shared" si="275"/>
        <v xml:space="preserve">98.775,12.15,14.19 </v>
      </c>
      <c r="EY143" s="129" t="str">
        <f t="shared" ca="1" si="276"/>
        <v xml:space="preserve">Spline 98.775,0,0 98.775,12.15,14.19 98.775,11.29,12.6 98.775,10.8,10.8 98.775,10.6,10.1 98.775,10.26,9 98.775,9.64,7.2 98.775,8.91,5.4 98.775,8.08,3.6 98.775,7.54,2.7 98.775,6.8,1.8 98.775,5.65,0.9 98.775,3.8,0 </v>
      </c>
      <c r="EZ143" s="186" t="str">
        <f t="shared" si="309"/>
        <v xml:space="preserve">98.775,3.8,0 98.775,5.65,0.9 98.775,6.8,1.8 98.775,7.54,2.7 98.775,8.08,3.6 98.775,8.91,5.4 98.775,9.64,7.2 98.775,10.26,9 98.775,10.6,10.1 98.775,10.8,10.8 98.775,11.29,12.6 98.775,12.15,14.19  </v>
      </c>
      <c r="FB143" s="458">
        <f t="shared" si="277"/>
        <v>98.774999999999991</v>
      </c>
      <c r="FC143" s="460" t="str">
        <f t="shared" si="310"/>
        <v/>
      </c>
      <c r="FD143" s="458" t="str">
        <f t="shared" ref="FD143:GB143" si="387">IFERROR(CONCATENATE(ROUND($DP143,3),",",-ROUND(ABS(DK115),3),",",ROUND(EM115,3)," "),"")</f>
        <v xml:space="preserve">98.775,-3.8,0 </v>
      </c>
      <c r="FE143" s="458" t="str">
        <f t="shared" si="387"/>
        <v xml:space="preserve">98.775,-5.65,0.9 </v>
      </c>
      <c r="FF143" s="458" t="str">
        <f t="shared" si="387"/>
        <v xml:space="preserve">98.775,-6.8,1.8 </v>
      </c>
      <c r="FG143" s="458" t="str">
        <f t="shared" si="387"/>
        <v xml:space="preserve">98.775,-7.54,2.7 </v>
      </c>
      <c r="FH143" s="458" t="str">
        <f t="shared" si="387"/>
        <v xml:space="preserve">98.775,-8.08,3.6 </v>
      </c>
      <c r="FI143" s="458" t="str">
        <f t="shared" si="387"/>
        <v xml:space="preserve">98.775,-8.91,5.4 </v>
      </c>
      <c r="FJ143" s="458" t="str">
        <f t="shared" si="387"/>
        <v xml:space="preserve">98.775,-9.64,7.2 </v>
      </c>
      <c r="FK143" s="458" t="str">
        <f t="shared" si="387"/>
        <v xml:space="preserve">98.775,-10.26,9 </v>
      </c>
      <c r="FL143" s="458" t="str">
        <f t="shared" si="387"/>
        <v xml:space="preserve">98.775,-10.6,10.1 </v>
      </c>
      <c r="FM143" s="458" t="str">
        <f t="shared" si="387"/>
        <v xml:space="preserve">98.775,-10.8,10.8 </v>
      </c>
      <c r="FN143" s="458" t="str">
        <f t="shared" si="387"/>
        <v xml:space="preserve">98.775,-11.29,12.6 </v>
      </c>
      <c r="FO143" s="458" t="str">
        <f t="shared" si="387"/>
        <v xml:space="preserve">98.775,-12.15,14.19 </v>
      </c>
      <c r="FP143" s="458" t="str">
        <f t="shared" si="387"/>
        <v/>
      </c>
      <c r="FQ143" s="458" t="str">
        <f t="shared" si="387"/>
        <v/>
      </c>
      <c r="FR143" s="458" t="str">
        <f t="shared" si="387"/>
        <v/>
      </c>
      <c r="FS143" s="458" t="str">
        <f t="shared" si="387"/>
        <v/>
      </c>
      <c r="FT143" s="458" t="str">
        <f t="shared" si="387"/>
        <v/>
      </c>
      <c r="FU143" s="458" t="str">
        <f t="shared" si="387"/>
        <v/>
      </c>
      <c r="FV143" s="458" t="str">
        <f t="shared" si="387"/>
        <v/>
      </c>
      <c r="FW143" s="458" t="str">
        <f t="shared" si="387"/>
        <v/>
      </c>
      <c r="FX143" s="458" t="str">
        <f t="shared" si="387"/>
        <v/>
      </c>
      <c r="FY143" s="458" t="str">
        <f t="shared" si="387"/>
        <v/>
      </c>
      <c r="FZ143" s="458" t="str">
        <f t="shared" si="387"/>
        <v/>
      </c>
      <c r="GA143" s="458" t="str">
        <f t="shared" si="387"/>
        <v/>
      </c>
      <c r="GB143" s="458" t="str">
        <f t="shared" si="387"/>
        <v/>
      </c>
      <c r="GC143" s="129" t="str">
        <f t="shared" si="312"/>
        <v xml:space="preserve">98.775,12.15,14.19 98.775,11.29,12.6 98.775,10.8,10.8 98.775,10.6,10.1 98.775,10.26,9 98.775,9.64,7.2 98.775,8.91,5.4 98.775,8.08,3.6 98.775,7.54,2.7 98.775,6.8,1.8 98.775,5.65,0.9 98.775,3.8,0 </v>
      </c>
      <c r="GD143" s="129" t="str">
        <f t="shared" ca="1" si="279"/>
        <v>Spline 98.775,12.15,14.19 98.775,11.29,12.6 98.775,10.8,10.8 98.775,10.6,10.1 98.775,10.26,9 98.775,9.64,7.2 98.775,8.91,5.4 98.775,8.08,3.6 98.775,7.54,2.7 98.775,6.8,1.8 98.775,5.65,0.9 98.775,3.8,0 98.775,0,0</v>
      </c>
      <c r="GE143" s="461" t="str">
        <f t="shared" si="313"/>
        <v xml:space="preserve">98.775,-3.8,0 98.775,-5.65,0.9 98.775,-6.8,1.8 98.775,-7.54,2.7 98.775,-8.08,3.6 98.775,-8.91,5.4 98.775,-9.64,7.2 98.775,-10.26,9 98.775,-10.6,10.1 98.775,-10.8,10.8 98.775,-11.29,12.6 98.775,-12.15,14.19 </v>
      </c>
      <c r="GH143" s="129" t="str">
        <f t="shared" si="314"/>
        <v xml:space="preserve">Spline 98.775,12.15,14.19 98.775,11.29,12.6 98.775,10.8,10.8 98.775,10.6,10.1 98.775,10.26,9 98.775,9.64,7.2 98.775,8.91,5.4 98.775,8.08,3.6 98.775,7.54,2.7 98.775,6.8,1.8 98.775,5.65,0.9 98.775,3.8,0 T 98.775,0,0 </v>
      </c>
      <c r="GI143" s="129" t="str">
        <f t="shared" si="315"/>
        <v xml:space="preserve">Spline 98.775,3.8,0 98.775,0,0  Join 98.775,0,0  98.775,12.15,14.19 </v>
      </c>
      <c r="GP143" s="129" t="str">
        <f t="shared" si="280"/>
        <v xml:space="preserve">98.775,0,0 </v>
      </c>
      <c r="GQ143" s="129" t="str">
        <f t="shared" si="316"/>
        <v>Curve 98.775,12.15,14.19 98.775,11.29,12.6 98.775,10.8,10.8 98.775,10.6,10.1 98.775,10.26,9 98.775,9.64,7.2 98.775,8.91,5.4 98.775,8.08,3.6 98.775,7.54,2.7 98.775,6.8,1.8 98.775,5.65,0.9 98.775,3.8,0 98.775,0,0 _enter</v>
      </c>
    </row>
    <row r="144" spans="1:199" x14ac:dyDescent="0.25">
      <c r="A144" s="374" t="str">
        <f t="shared" si="382"/>
        <v xml:space="preserve">  </v>
      </c>
      <c r="B144" s="377" t="str">
        <f t="shared" si="281"/>
        <v/>
      </c>
      <c r="C144" s="377" t="str">
        <f t="shared" si="282"/>
        <v/>
      </c>
      <c r="D144" s="377" t="str">
        <f t="shared" si="283"/>
        <v/>
      </c>
      <c r="E144" s="377" t="str">
        <f t="shared" si="284"/>
        <v/>
      </c>
      <c r="F144" s="377" t="str">
        <f t="shared" si="285"/>
        <v/>
      </c>
      <c r="G144" s="377" t="str">
        <f t="shared" si="286"/>
        <v/>
      </c>
      <c r="H144" s="377" t="str">
        <f t="shared" si="287"/>
        <v/>
      </c>
      <c r="I144" s="377" t="str">
        <f t="shared" si="288"/>
        <v/>
      </c>
      <c r="J144" s="377" t="str">
        <f t="shared" si="289"/>
        <v/>
      </c>
      <c r="K144" s="377" t="str">
        <f t="shared" si="290"/>
        <v/>
      </c>
      <c r="L144" s="377" t="str">
        <f t="shared" si="291"/>
        <v/>
      </c>
      <c r="M144" s="377" t="str">
        <f t="shared" si="292"/>
        <v/>
      </c>
      <c r="N144" s="377" t="str">
        <f t="shared" si="293"/>
        <v/>
      </c>
      <c r="O144" s="377" t="str">
        <f t="shared" si="294"/>
        <v/>
      </c>
      <c r="P144" s="377" t="str">
        <f t="shared" si="295"/>
        <v/>
      </c>
      <c r="Q144" s="377" t="str">
        <f t="shared" si="296"/>
        <v/>
      </c>
      <c r="R144" s="377" t="str">
        <f t="shared" si="297"/>
        <v/>
      </c>
      <c r="S144" s="377" t="str">
        <f t="shared" si="298"/>
        <v/>
      </c>
      <c r="T144" s="377" t="str">
        <f t="shared" si="299"/>
        <v/>
      </c>
      <c r="U144" s="377" t="str">
        <f t="shared" si="300"/>
        <v/>
      </c>
      <c r="V144" s="377" t="str">
        <f t="shared" si="301"/>
        <v/>
      </c>
      <c r="W144" s="377" t="str">
        <f t="shared" si="302"/>
        <v/>
      </c>
      <c r="X144" s="377" t="str">
        <f t="shared" si="303"/>
        <v/>
      </c>
      <c r="Y144" s="377" t="str">
        <f t="shared" si="304"/>
        <v/>
      </c>
      <c r="Z144" s="395" t="str">
        <f t="shared" si="305"/>
        <v/>
      </c>
      <c r="AB144" s="245" t="str">
        <f t="shared" si="317"/>
        <v xml:space="preserve">  </v>
      </c>
      <c r="AC144" s="245" t="str">
        <f>Tools!B144</f>
        <v/>
      </c>
      <c r="AD144" s="245" t="str">
        <f>Tools!C144</f>
        <v/>
      </c>
      <c r="AE144" s="245" t="str">
        <f>Tools!D144</f>
        <v/>
      </c>
      <c r="AF144" s="245" t="str">
        <f>Tools!E144</f>
        <v/>
      </c>
      <c r="AG144" s="245" t="str">
        <f>Tools!F144</f>
        <v/>
      </c>
      <c r="AH144" s="245" t="str">
        <f>Tools!G144</f>
        <v/>
      </c>
      <c r="AI144" s="245" t="str">
        <f>Tools!H144</f>
        <v/>
      </c>
      <c r="AJ144" s="245" t="str">
        <f>Tools!I144</f>
        <v/>
      </c>
      <c r="AK144" s="245" t="str">
        <f>Tools!J144</f>
        <v/>
      </c>
      <c r="AL144" s="245" t="str">
        <f>Tools!K144</f>
        <v/>
      </c>
      <c r="AM144" s="245" t="str">
        <f>Tools!L144</f>
        <v/>
      </c>
      <c r="AN144" s="245" t="str">
        <f>Tools!M144</f>
        <v/>
      </c>
      <c r="AO144" s="245" t="str">
        <f>Tools!N144</f>
        <v/>
      </c>
      <c r="AP144" s="245" t="str">
        <f>Tools!O144</f>
        <v/>
      </c>
      <c r="AQ144" s="245" t="str">
        <f>Tools!P144</f>
        <v/>
      </c>
      <c r="AR144" s="245" t="str">
        <f>Tools!Q144</f>
        <v/>
      </c>
      <c r="AS144" s="245" t="str">
        <f>Tools!R144</f>
        <v/>
      </c>
      <c r="AT144" s="245" t="str">
        <f>Tools!S144</f>
        <v/>
      </c>
      <c r="AU144" s="245" t="str">
        <f>Tools!T144</f>
        <v/>
      </c>
      <c r="AV144" s="245" t="str">
        <f>Tools!U144</f>
        <v/>
      </c>
      <c r="AW144" s="245" t="str">
        <f>Tools!V144</f>
        <v/>
      </c>
      <c r="AX144" s="245" t="str">
        <f>Tools!W144</f>
        <v/>
      </c>
      <c r="AY144" s="245" t="str">
        <f>Tools!X144</f>
        <v/>
      </c>
      <c r="AZ144" s="245" t="str">
        <f>Tools!Y144</f>
        <v/>
      </c>
      <c r="BA144" s="396" t="str">
        <f>Tools!Z144</f>
        <v/>
      </c>
      <c r="BC144" s="274">
        <f>'Rise, etc.'!O20</f>
        <v>14</v>
      </c>
      <c r="BD144" s="277" t="str">
        <f>IF(ISNUMBER(VLOOKUP(BC144,'Rise, etc.'!O$3:P$28,2,FALSE)),VLOOKUP(BC144,'Rise, etc.'!O$3:P$28,2,FALSE),"-")</f>
        <v>-</v>
      </c>
      <c r="BE144" s="277" t="e">
        <f t="shared" si="353"/>
        <v>#VALUE!</v>
      </c>
      <c r="BF144" s="277" t="str">
        <f t="shared" si="319"/>
        <v>#NA</v>
      </c>
      <c r="BG144" s="277" t="str">
        <f t="shared" si="320"/>
        <v>#NA</v>
      </c>
      <c r="BH144" s="277" t="str">
        <f t="shared" si="321"/>
        <v>#NA</v>
      </c>
      <c r="BI144" s="277" t="str">
        <f t="shared" si="322"/>
        <v>#NA</v>
      </c>
      <c r="BJ144" s="277" t="str">
        <f t="shared" si="323"/>
        <v>#NA</v>
      </c>
      <c r="BK144" s="277" t="str">
        <f t="shared" si="324"/>
        <v>#NA</v>
      </c>
      <c r="BL144" s="277" t="str">
        <f t="shared" si="325"/>
        <v>#NA</v>
      </c>
      <c r="BM144" s="277"/>
      <c r="BN144" s="277" t="e">
        <f t="shared" si="326"/>
        <v>#VALUE!</v>
      </c>
      <c r="BO144" s="277" t="e">
        <f t="shared" si="327"/>
        <v>#VALUE!</v>
      </c>
      <c r="BP144" s="277" t="e">
        <f t="shared" si="328"/>
        <v>#VALUE!</v>
      </c>
      <c r="BQ144" s="277" t="e">
        <f t="shared" si="329"/>
        <v>#VALUE!</v>
      </c>
      <c r="BR144" s="277" t="e">
        <f t="shared" si="330"/>
        <v>#VALUE!</v>
      </c>
      <c r="BS144" s="277" t="e">
        <f t="shared" si="331"/>
        <v>#VALUE!</v>
      </c>
      <c r="BT144" s="277" t="e">
        <f t="shared" si="332"/>
        <v>#VALUE!</v>
      </c>
      <c r="BU144" s="277" t="e">
        <f t="shared" si="333"/>
        <v>#VALUE!</v>
      </c>
      <c r="BV144" s="277" t="e">
        <f t="shared" si="334"/>
        <v>#VALUE!</v>
      </c>
      <c r="BW144" s="277" t="e">
        <f t="shared" si="335"/>
        <v>#VALUE!</v>
      </c>
      <c r="BX144" s="277" t="e">
        <f t="shared" si="354"/>
        <v>#VALUE!</v>
      </c>
      <c r="BY144" s="277" t="e">
        <f t="shared" si="336"/>
        <v>#VALUE!</v>
      </c>
      <c r="BZ144" s="277" t="e">
        <f t="shared" si="337"/>
        <v>#VALUE!</v>
      </c>
      <c r="CA144" s="277" t="e">
        <f t="shared" si="338"/>
        <v>#VALUE!</v>
      </c>
      <c r="CB144" s="277" t="e">
        <f t="shared" si="339"/>
        <v>#VALUE!</v>
      </c>
      <c r="CC144" s="277" t="e">
        <f t="shared" si="340"/>
        <v>#VALUE!</v>
      </c>
      <c r="CD144" s="277" t="e">
        <f t="shared" si="341"/>
        <v>#VALUE!</v>
      </c>
      <c r="CE144" s="277" t="e">
        <f t="shared" si="342"/>
        <v>#VALUE!</v>
      </c>
      <c r="CF144" s="277" t="e">
        <f t="shared" si="343"/>
        <v>#VALUE!</v>
      </c>
      <c r="CG144" s="277" t="e">
        <f t="shared" si="344"/>
        <v>#VALUE!</v>
      </c>
      <c r="CH144" s="277" t="e">
        <f t="shared" si="345"/>
        <v>#VALUE!</v>
      </c>
      <c r="CI144" s="277" t="e">
        <f t="shared" si="346"/>
        <v>#VALUE!</v>
      </c>
      <c r="CJ144" s="277" t="e">
        <f t="shared" si="347"/>
        <v>#VALUE!</v>
      </c>
      <c r="CK144" s="277" t="e">
        <f t="shared" si="348"/>
        <v>#VALUE!</v>
      </c>
      <c r="CL144" s="277" t="e">
        <f t="shared" si="349"/>
        <v>#VALUE!</v>
      </c>
      <c r="CM144" s="276">
        <f t="shared" si="355"/>
        <v>0</v>
      </c>
      <c r="CO144" s="454" t="e">
        <v>#N/A</v>
      </c>
      <c r="CP144" s="454" t="e">
        <v>#N/A</v>
      </c>
      <c r="CQ144" s="454" t="e">
        <v>#N/A</v>
      </c>
      <c r="CR144" s="454" t="e">
        <v>#N/A</v>
      </c>
      <c r="CS144" s="454" t="e">
        <v>#N/A</v>
      </c>
      <c r="CT144" s="454" t="e">
        <v>#N/A</v>
      </c>
      <c r="CU144" s="454" t="e">
        <v>#N/A</v>
      </c>
      <c r="CV144" s="454" t="e">
        <v>#N/A</v>
      </c>
      <c r="CW144" s="454" t="e">
        <v>#N/A</v>
      </c>
      <c r="CX144" s="454" t="e">
        <v>#N/A</v>
      </c>
      <c r="CY144" s="454" t="e">
        <v>#N/A</v>
      </c>
      <c r="CZ144" s="454" t="e">
        <v>#N/A</v>
      </c>
      <c r="DA144" s="454" t="e">
        <v>#N/A</v>
      </c>
      <c r="DB144" s="454" t="e">
        <v>#N/A</v>
      </c>
      <c r="DC144" s="454" t="e">
        <v>#N/A</v>
      </c>
      <c r="DD144" s="454" t="e">
        <v>#N/A</v>
      </c>
      <c r="DE144" s="454" t="e">
        <v>#N/A</v>
      </c>
      <c r="DF144" s="454" t="e">
        <v>#N/A</v>
      </c>
      <c r="DG144" s="454" t="e">
        <v>#N/A</v>
      </c>
      <c r="DH144" s="454" t="e">
        <v>#N/A</v>
      </c>
      <c r="DI144" s="454" t="e">
        <v>#N/A</v>
      </c>
      <c r="DJ144" s="454" t="e">
        <v>#N/A</v>
      </c>
      <c r="DK144" s="454" t="e">
        <v>#N/A</v>
      </c>
      <c r="DL144" s="454" t="e">
        <v>#N/A</v>
      </c>
      <c r="DM144" s="454" t="e">
        <v>#N/A</v>
      </c>
      <c r="DN144" s="454" t="e">
        <v>#N/A</v>
      </c>
      <c r="DO144" s="397"/>
      <c r="DP144" s="458">
        <f t="shared" si="272"/>
        <v>105.35999999999999</v>
      </c>
      <c r="DQ144" s="458" t="str">
        <f t="shared" si="383"/>
        <v/>
      </c>
      <c r="DR144" s="458" t="str">
        <f t="shared" ref="DR144:EO144" si="388">IFERROR(CONCATENATE(ROUND($DP144,3),",",ROUND(ABS(DK116),3),",",ROUND(EM116,3)," "),"")</f>
        <v xml:space="preserve">105.36,2.22,0 </v>
      </c>
      <c r="DS144" s="458" t="str">
        <f t="shared" si="388"/>
        <v xml:space="preserve">105.36,4.05,0.9 </v>
      </c>
      <c r="DT144" s="458" t="str">
        <f t="shared" si="388"/>
        <v xml:space="preserve">105.36,5.1,1.8 </v>
      </c>
      <c r="DU144" s="458" t="str">
        <f t="shared" si="388"/>
        <v xml:space="preserve">105.36,5.74,2.7 </v>
      </c>
      <c r="DV144" s="458" t="str">
        <f t="shared" si="388"/>
        <v xml:space="preserve">105.36,6.23,3.6 </v>
      </c>
      <c r="DW144" s="458" t="str">
        <f t="shared" si="388"/>
        <v xml:space="preserve">105.36,7.02,5.4 </v>
      </c>
      <c r="DX144" s="458" t="str">
        <f t="shared" si="388"/>
        <v xml:space="preserve">105.36,7.81,7.2 </v>
      </c>
      <c r="DY144" s="458" t="str">
        <f t="shared" si="388"/>
        <v xml:space="preserve">105.36,8.63,9 </v>
      </c>
      <c r="DZ144" s="458" t="str">
        <f t="shared" si="388"/>
        <v xml:space="preserve">105.36,9.12,10.1 </v>
      </c>
      <c r="EA144" s="458" t="str">
        <f t="shared" si="388"/>
        <v xml:space="preserve">105.36,9.43,10.8 </v>
      </c>
      <c r="EB144" s="458" t="str">
        <f t="shared" si="388"/>
        <v xml:space="preserve">105.36,10.2,12.6 </v>
      </c>
      <c r="EC144" s="458" t="str">
        <f t="shared" si="388"/>
        <v xml:space="preserve">105.36,11.75,14.19 </v>
      </c>
      <c r="ED144" s="458" t="str">
        <f t="shared" si="388"/>
        <v/>
      </c>
      <c r="EE144" s="458" t="str">
        <f t="shared" si="388"/>
        <v/>
      </c>
      <c r="EF144" s="458" t="str">
        <f t="shared" si="388"/>
        <v/>
      </c>
      <c r="EG144" s="458" t="str">
        <f t="shared" si="388"/>
        <v/>
      </c>
      <c r="EH144" s="458" t="str">
        <f t="shared" si="388"/>
        <v/>
      </c>
      <c r="EI144" s="458" t="str">
        <f t="shared" si="388"/>
        <v/>
      </c>
      <c r="EJ144" s="458" t="str">
        <f t="shared" si="388"/>
        <v/>
      </c>
      <c r="EK144" s="458" t="str">
        <f t="shared" si="388"/>
        <v/>
      </c>
      <c r="EL144" s="458" t="str">
        <f t="shared" si="388"/>
        <v/>
      </c>
      <c r="EM144" s="458" t="str">
        <f t="shared" si="388"/>
        <v/>
      </c>
      <c r="EN144" s="458" t="str">
        <f t="shared" si="388"/>
        <v/>
      </c>
      <c r="EO144" s="458" t="str">
        <f t="shared" si="388"/>
        <v/>
      </c>
      <c r="EP144" s="458" t="str">
        <f t="shared" si="384"/>
        <v/>
      </c>
      <c r="ER144" s="457" t="str">
        <f t="shared" si="307"/>
        <v xml:space="preserve">105.36,2.22,0 105.36,4.05,0.9 105.36,5.1,1.8 105.36,5.74,2.7 105.36,6.23,3.6 105.36,7.02,5.4 105.36,7.81,7.2 105.36,8.63,9 105.36,9.12,10.1 105.36,9.43,10.8 105.36,10.2,12.6 105.36,11.75,14.19 </v>
      </c>
      <c r="ES144" s="186" t="str">
        <f t="shared" ca="1" si="351"/>
        <v xml:space="preserve">Spline 105.36,0,0 105.36,2.22,0 105.36,4.05,0.9 105.36,5.1,1.8 105.36,5.74,2.7 105.36,6.23,3.6 105.36,7.02,5.4 105.36,7.81,7.2 105.36,8.63,9 105.36,9.12,10.1 105.36,9.43,10.8 105.36,10.2,12.6 105.36,11.75,14.19  </v>
      </c>
      <c r="ET144" s="129" t="str">
        <f t="shared" ca="1" si="308"/>
        <v xml:space="preserve">Spline 105.36,0,0 105.36,2.22,0 105.36,4.05,0.9 105.36,5.1,1.8 105.36,5.74,2.7 105.36,6.23,3.6 105.36,7.02,5.4 105.36,7.81,7.2 105.36,8.63,9 105.36,9.12,10.1 105.36,9.43,10.8 105.36,10.2,12.6 105.36,11.75,14.19  </v>
      </c>
      <c r="EU144" s="129">
        <f ca="1">COUNTIF(BP_19,NA())</f>
        <v>0</v>
      </c>
      <c r="EV144" s="129">
        <f t="shared" ca="1" si="274"/>
        <v>0</v>
      </c>
      <c r="EW144" s="129">
        <v>19</v>
      </c>
      <c r="EX144" s="129" t="str">
        <f t="shared" si="275"/>
        <v xml:space="preserve">105.36,11.75,14.19 </v>
      </c>
      <c r="EY144" s="129" t="str">
        <f t="shared" ca="1" si="276"/>
        <v xml:space="preserve">Spline 105.36,0,0 105.36,11.75,14.19 105.36,10.2,12.6 105.36,9.43,10.8 105.36,9.12,10.1 105.36,8.63,9 105.36,7.81,7.2 105.36,7.02,5.4 105.36,6.23,3.6 105.36,5.74,2.7 105.36,5.1,1.8 105.36,4.05,0.9 105.36,2.22,0 </v>
      </c>
      <c r="EZ144" s="186" t="str">
        <f t="shared" si="309"/>
        <v xml:space="preserve">105.36,2.22,0 105.36,4.05,0.9 105.36,5.1,1.8 105.36,5.74,2.7 105.36,6.23,3.6 105.36,7.02,5.4 105.36,7.81,7.2 105.36,8.63,9 105.36,9.12,10.1 105.36,9.43,10.8 105.36,10.2,12.6 105.36,11.75,14.19  </v>
      </c>
      <c r="FB144" s="458">
        <f t="shared" si="277"/>
        <v>105.35999999999999</v>
      </c>
      <c r="FC144" s="460" t="str">
        <f t="shared" si="310"/>
        <v/>
      </c>
      <c r="FD144" s="458" t="str">
        <f t="shared" ref="FD144:GB144" si="389">IFERROR(CONCATENATE(ROUND($DP144,3),",",-ROUND(ABS(DK116),3),",",ROUND(EM116,3)," "),"")</f>
        <v xml:space="preserve">105.36,-2.22,0 </v>
      </c>
      <c r="FE144" s="458" t="str">
        <f t="shared" si="389"/>
        <v xml:space="preserve">105.36,-4.05,0.9 </v>
      </c>
      <c r="FF144" s="458" t="str">
        <f t="shared" si="389"/>
        <v xml:space="preserve">105.36,-5.1,1.8 </v>
      </c>
      <c r="FG144" s="458" t="str">
        <f t="shared" si="389"/>
        <v xml:space="preserve">105.36,-5.74,2.7 </v>
      </c>
      <c r="FH144" s="458" t="str">
        <f t="shared" si="389"/>
        <v xml:space="preserve">105.36,-6.23,3.6 </v>
      </c>
      <c r="FI144" s="458" t="str">
        <f t="shared" si="389"/>
        <v xml:space="preserve">105.36,-7.02,5.4 </v>
      </c>
      <c r="FJ144" s="458" t="str">
        <f t="shared" si="389"/>
        <v xml:space="preserve">105.36,-7.81,7.2 </v>
      </c>
      <c r="FK144" s="458" t="str">
        <f t="shared" si="389"/>
        <v xml:space="preserve">105.36,-8.63,9 </v>
      </c>
      <c r="FL144" s="458" t="str">
        <f t="shared" si="389"/>
        <v xml:space="preserve">105.36,-9.12,10.1 </v>
      </c>
      <c r="FM144" s="458" t="str">
        <f t="shared" si="389"/>
        <v xml:space="preserve">105.36,-9.43,10.8 </v>
      </c>
      <c r="FN144" s="458" t="str">
        <f t="shared" si="389"/>
        <v xml:space="preserve">105.36,-10.2,12.6 </v>
      </c>
      <c r="FO144" s="458" t="str">
        <f t="shared" si="389"/>
        <v xml:space="preserve">105.36,-11.75,14.19 </v>
      </c>
      <c r="FP144" s="458" t="str">
        <f t="shared" si="389"/>
        <v/>
      </c>
      <c r="FQ144" s="458" t="str">
        <f t="shared" si="389"/>
        <v/>
      </c>
      <c r="FR144" s="458" t="str">
        <f t="shared" si="389"/>
        <v/>
      </c>
      <c r="FS144" s="458" t="str">
        <f t="shared" si="389"/>
        <v/>
      </c>
      <c r="FT144" s="458" t="str">
        <f t="shared" si="389"/>
        <v/>
      </c>
      <c r="FU144" s="458" t="str">
        <f t="shared" si="389"/>
        <v/>
      </c>
      <c r="FV144" s="458" t="str">
        <f t="shared" si="389"/>
        <v/>
      </c>
      <c r="FW144" s="458" t="str">
        <f t="shared" si="389"/>
        <v/>
      </c>
      <c r="FX144" s="458" t="str">
        <f t="shared" si="389"/>
        <v/>
      </c>
      <c r="FY144" s="458" t="str">
        <f t="shared" si="389"/>
        <v/>
      </c>
      <c r="FZ144" s="458" t="str">
        <f t="shared" si="389"/>
        <v/>
      </c>
      <c r="GA144" s="458" t="str">
        <f t="shared" si="389"/>
        <v/>
      </c>
      <c r="GB144" s="458" t="str">
        <f t="shared" si="389"/>
        <v/>
      </c>
      <c r="GC144" s="129" t="str">
        <f t="shared" si="312"/>
        <v xml:space="preserve">105.36,11.75,14.19 105.36,10.2,12.6 105.36,9.43,10.8 105.36,9.12,10.1 105.36,8.63,9 105.36,7.81,7.2 105.36,7.02,5.4 105.36,6.23,3.6 105.36,5.74,2.7 105.36,5.1,1.8 105.36,4.05,0.9 105.36,2.22,0 </v>
      </c>
      <c r="GD144" s="129" t="str">
        <f t="shared" ca="1" si="279"/>
        <v>Spline 105.36,11.75,14.19 105.36,10.2,12.6 105.36,9.43,10.8 105.36,9.12,10.1 105.36,8.63,9 105.36,7.81,7.2 105.36,7.02,5.4 105.36,6.23,3.6 105.36,5.74,2.7 105.36,5.1,1.8 105.36,4.05,0.9 105.36,2.22,0 105.36,0,0</v>
      </c>
      <c r="GE144" s="461" t="str">
        <f t="shared" si="313"/>
        <v xml:space="preserve">105.36,-2.22,0 105.36,-4.05,0.9 105.36,-5.1,1.8 105.36,-5.74,2.7 105.36,-6.23,3.6 105.36,-7.02,5.4 105.36,-7.81,7.2 105.36,-8.63,9 105.36,-9.12,10.1 105.36,-9.43,10.8 105.36,-10.2,12.6 105.36,-11.75,14.19 </v>
      </c>
      <c r="GH144" s="129" t="str">
        <f t="shared" si="314"/>
        <v xml:space="preserve">Spline 105.36,11.75,14.19 105.36,10.2,12.6 105.36,9.43,10.8 105.36,9.12,10.1 105.36,8.63,9 105.36,7.81,7.2 105.36,7.02,5.4 105.36,6.23,3.6 105.36,5.74,2.7 105.36,5.1,1.8 105.36,4.05,0.9 105.36,2.22,0 T 105.36,0,0 </v>
      </c>
      <c r="GI144" s="129" t="str">
        <f t="shared" si="315"/>
        <v xml:space="preserve">Spline 105.36,2.22,0 105.36,0,0  Join 105.36,0,0  105.36,11.75,14.19 </v>
      </c>
      <c r="GP144" s="129" t="str">
        <f t="shared" si="280"/>
        <v xml:space="preserve">105.36,0,0 </v>
      </c>
      <c r="GQ144" s="129" t="str">
        <f t="shared" si="316"/>
        <v>Curve 105.36,11.75,14.19 105.36,10.2,12.6 105.36,9.43,10.8 105.36,9.12,10.1 105.36,8.63,9 105.36,7.81,7.2 105.36,7.02,5.4 105.36,6.23,3.6 105.36,5.74,2.7 105.36,5.1,1.8 105.36,4.05,0.9 105.36,2.22,0 105.36,0,0 _enter</v>
      </c>
    </row>
    <row r="145" spans="1:199" x14ac:dyDescent="0.25">
      <c r="A145" s="374" t="str">
        <f t="shared" si="382"/>
        <v xml:space="preserve">  </v>
      </c>
      <c r="B145" s="377" t="str">
        <f t="shared" si="281"/>
        <v/>
      </c>
      <c r="C145" s="377" t="str">
        <f t="shared" si="282"/>
        <v/>
      </c>
      <c r="D145" s="377" t="str">
        <f t="shared" si="283"/>
        <v/>
      </c>
      <c r="E145" s="377" t="str">
        <f t="shared" si="284"/>
        <v/>
      </c>
      <c r="F145" s="377" t="str">
        <f t="shared" si="285"/>
        <v/>
      </c>
      <c r="G145" s="377" t="str">
        <f t="shared" si="286"/>
        <v/>
      </c>
      <c r="H145" s="377" t="str">
        <f t="shared" si="287"/>
        <v/>
      </c>
      <c r="I145" s="377" t="str">
        <f t="shared" si="288"/>
        <v/>
      </c>
      <c r="J145" s="377" t="str">
        <f t="shared" si="289"/>
        <v/>
      </c>
      <c r="K145" s="377" t="str">
        <f t="shared" si="290"/>
        <v/>
      </c>
      <c r="L145" s="377" t="str">
        <f t="shared" si="291"/>
        <v/>
      </c>
      <c r="M145" s="377" t="str">
        <f t="shared" si="292"/>
        <v/>
      </c>
      <c r="N145" s="377" t="str">
        <f t="shared" si="293"/>
        <v/>
      </c>
      <c r="O145" s="377" t="str">
        <f t="shared" si="294"/>
        <v/>
      </c>
      <c r="P145" s="377" t="str">
        <f t="shared" si="295"/>
        <v/>
      </c>
      <c r="Q145" s="377" t="str">
        <f t="shared" si="296"/>
        <v/>
      </c>
      <c r="R145" s="377" t="str">
        <f t="shared" si="297"/>
        <v/>
      </c>
      <c r="S145" s="377" t="str">
        <f t="shared" si="298"/>
        <v/>
      </c>
      <c r="T145" s="377" t="str">
        <f t="shared" si="299"/>
        <v/>
      </c>
      <c r="U145" s="377" t="str">
        <f t="shared" si="300"/>
        <v/>
      </c>
      <c r="V145" s="377" t="str">
        <f t="shared" si="301"/>
        <v/>
      </c>
      <c r="W145" s="377" t="str">
        <f t="shared" si="302"/>
        <v/>
      </c>
      <c r="X145" s="377" t="str">
        <f t="shared" si="303"/>
        <v/>
      </c>
      <c r="Y145" s="377" t="str">
        <f t="shared" si="304"/>
        <v/>
      </c>
      <c r="Z145" s="395" t="str">
        <f t="shared" si="305"/>
        <v/>
      </c>
      <c r="AB145" s="245" t="str">
        <f t="shared" si="317"/>
        <v xml:space="preserve">  </v>
      </c>
      <c r="AC145" s="245" t="str">
        <f>Tools!B145</f>
        <v/>
      </c>
      <c r="AD145" s="245" t="str">
        <f>Tools!C145</f>
        <v/>
      </c>
      <c r="AE145" s="245" t="str">
        <f>Tools!D145</f>
        <v/>
      </c>
      <c r="AF145" s="245" t="str">
        <f>Tools!E145</f>
        <v/>
      </c>
      <c r="AG145" s="245" t="str">
        <f>Tools!F145</f>
        <v/>
      </c>
      <c r="AH145" s="245" t="str">
        <f>Tools!G145</f>
        <v/>
      </c>
      <c r="AI145" s="245" t="str">
        <f>Tools!H145</f>
        <v/>
      </c>
      <c r="AJ145" s="245" t="str">
        <f>Tools!I145</f>
        <v/>
      </c>
      <c r="AK145" s="245" t="str">
        <f>Tools!J145</f>
        <v/>
      </c>
      <c r="AL145" s="245" t="str">
        <f>Tools!K145</f>
        <v/>
      </c>
      <c r="AM145" s="245" t="str">
        <f>Tools!L145</f>
        <v/>
      </c>
      <c r="AN145" s="245" t="str">
        <f>Tools!M145</f>
        <v/>
      </c>
      <c r="AO145" s="245" t="str">
        <f>Tools!N145</f>
        <v/>
      </c>
      <c r="AP145" s="245" t="str">
        <f>Tools!O145</f>
        <v/>
      </c>
      <c r="AQ145" s="245" t="str">
        <f>Tools!P145</f>
        <v/>
      </c>
      <c r="AR145" s="245" t="str">
        <f>Tools!Q145</f>
        <v/>
      </c>
      <c r="AS145" s="245" t="str">
        <f>Tools!R145</f>
        <v/>
      </c>
      <c r="AT145" s="245" t="str">
        <f>Tools!S145</f>
        <v/>
      </c>
      <c r="AU145" s="245" t="str">
        <f>Tools!T145</f>
        <v/>
      </c>
      <c r="AV145" s="245" t="str">
        <f>Tools!U145</f>
        <v/>
      </c>
      <c r="AW145" s="245" t="str">
        <f>Tools!V145</f>
        <v/>
      </c>
      <c r="AX145" s="245" t="str">
        <f>Tools!W145</f>
        <v/>
      </c>
      <c r="AY145" s="245" t="str">
        <f>Tools!X145</f>
        <v/>
      </c>
      <c r="AZ145" s="245" t="str">
        <f>Tools!Y145</f>
        <v/>
      </c>
      <c r="BA145" s="396" t="str">
        <f>Tools!Z145</f>
        <v/>
      </c>
      <c r="BC145" s="274">
        <f>'Rise, etc.'!O21</f>
        <v>15</v>
      </c>
      <c r="BD145" s="277" t="str">
        <f>IF(ISNUMBER(VLOOKUP(BC145,'Rise, etc.'!O$3:P$28,2,FALSE)),VLOOKUP(BC145,'Rise, etc.'!O$3:P$28,2,FALSE),"-")</f>
        <v>-</v>
      </c>
      <c r="BE145" s="277" t="e">
        <f t="shared" si="353"/>
        <v>#VALUE!</v>
      </c>
      <c r="BF145" s="277" t="str">
        <f t="shared" si="319"/>
        <v>#NA</v>
      </c>
      <c r="BG145" s="277" t="str">
        <f t="shared" si="320"/>
        <v>#NA</v>
      </c>
      <c r="BH145" s="277" t="str">
        <f t="shared" si="321"/>
        <v>#NA</v>
      </c>
      <c r="BI145" s="277" t="str">
        <f t="shared" si="322"/>
        <v>#NA</v>
      </c>
      <c r="BJ145" s="277" t="str">
        <f t="shared" si="323"/>
        <v>#NA</v>
      </c>
      <c r="BK145" s="277" t="str">
        <f t="shared" si="324"/>
        <v>#NA</v>
      </c>
      <c r="BL145" s="277" t="str">
        <f t="shared" si="325"/>
        <v>#NA</v>
      </c>
      <c r="BM145" s="277"/>
      <c r="BN145" s="277" t="e">
        <f t="shared" si="326"/>
        <v>#VALUE!</v>
      </c>
      <c r="BO145" s="277" t="e">
        <f t="shared" si="327"/>
        <v>#VALUE!</v>
      </c>
      <c r="BP145" s="277" t="e">
        <f t="shared" si="328"/>
        <v>#VALUE!</v>
      </c>
      <c r="BQ145" s="277" t="e">
        <f t="shared" si="329"/>
        <v>#VALUE!</v>
      </c>
      <c r="BR145" s="277" t="e">
        <f t="shared" si="330"/>
        <v>#VALUE!</v>
      </c>
      <c r="BS145" s="277" t="e">
        <f t="shared" si="331"/>
        <v>#VALUE!</v>
      </c>
      <c r="BT145" s="277" t="e">
        <f t="shared" si="332"/>
        <v>#VALUE!</v>
      </c>
      <c r="BU145" s="277" t="e">
        <f t="shared" si="333"/>
        <v>#VALUE!</v>
      </c>
      <c r="BV145" s="277" t="e">
        <f t="shared" si="334"/>
        <v>#VALUE!</v>
      </c>
      <c r="BW145" s="277" t="e">
        <f t="shared" si="335"/>
        <v>#VALUE!</v>
      </c>
      <c r="BX145" s="277" t="e">
        <f t="shared" si="354"/>
        <v>#VALUE!</v>
      </c>
      <c r="BY145" s="277" t="e">
        <f t="shared" si="336"/>
        <v>#VALUE!</v>
      </c>
      <c r="BZ145" s="277" t="e">
        <f t="shared" si="337"/>
        <v>#VALUE!</v>
      </c>
      <c r="CA145" s="277" t="e">
        <f t="shared" si="338"/>
        <v>#VALUE!</v>
      </c>
      <c r="CB145" s="277" t="e">
        <f t="shared" si="339"/>
        <v>#VALUE!</v>
      </c>
      <c r="CC145" s="277" t="e">
        <f t="shared" si="340"/>
        <v>#VALUE!</v>
      </c>
      <c r="CD145" s="277" t="e">
        <f t="shared" si="341"/>
        <v>#VALUE!</v>
      </c>
      <c r="CE145" s="277" t="e">
        <f t="shared" si="342"/>
        <v>#VALUE!</v>
      </c>
      <c r="CF145" s="277" t="e">
        <f t="shared" si="343"/>
        <v>#VALUE!</v>
      </c>
      <c r="CG145" s="277" t="e">
        <f t="shared" si="344"/>
        <v>#VALUE!</v>
      </c>
      <c r="CH145" s="277" t="e">
        <f t="shared" si="345"/>
        <v>#VALUE!</v>
      </c>
      <c r="CI145" s="277" t="e">
        <f t="shared" si="346"/>
        <v>#VALUE!</v>
      </c>
      <c r="CJ145" s="277" t="e">
        <f t="shared" si="347"/>
        <v>#VALUE!</v>
      </c>
      <c r="CK145" s="277" t="e">
        <f t="shared" si="348"/>
        <v>#VALUE!</v>
      </c>
      <c r="CL145" s="277" t="e">
        <f t="shared" si="349"/>
        <v>#VALUE!</v>
      </c>
      <c r="CM145" s="276">
        <f t="shared" si="355"/>
        <v>0</v>
      </c>
      <c r="CO145" s="454" t="e">
        <v>#N/A</v>
      </c>
      <c r="CP145" s="454" t="e">
        <v>#N/A</v>
      </c>
      <c r="CQ145" s="454" t="e">
        <v>#N/A</v>
      </c>
      <c r="CR145" s="454" t="e">
        <v>#N/A</v>
      </c>
      <c r="CS145" s="454" t="e">
        <v>#N/A</v>
      </c>
      <c r="CT145" s="454" t="e">
        <v>#N/A</v>
      </c>
      <c r="CU145" s="454" t="e">
        <v>#N/A</v>
      </c>
      <c r="CV145" s="454" t="e">
        <v>#N/A</v>
      </c>
      <c r="CW145" s="454" t="e">
        <v>#N/A</v>
      </c>
      <c r="CX145" s="454" t="e">
        <v>#N/A</v>
      </c>
      <c r="CY145" s="454" t="e">
        <v>#N/A</v>
      </c>
      <c r="CZ145" s="454" t="e">
        <v>#N/A</v>
      </c>
      <c r="DA145" s="454" t="e">
        <v>#N/A</v>
      </c>
      <c r="DB145" s="454" t="e">
        <v>#N/A</v>
      </c>
      <c r="DC145" s="454" t="e">
        <v>#N/A</v>
      </c>
      <c r="DD145" s="454" t="e">
        <v>#N/A</v>
      </c>
      <c r="DE145" s="454" t="e">
        <v>#N/A</v>
      </c>
      <c r="DF145" s="454" t="e">
        <v>#N/A</v>
      </c>
      <c r="DG145" s="454" t="e">
        <v>#N/A</v>
      </c>
      <c r="DH145" s="454" t="e">
        <v>#N/A</v>
      </c>
      <c r="DI145" s="454" t="e">
        <v>#N/A</v>
      </c>
      <c r="DJ145" s="454" t="e">
        <v>#N/A</v>
      </c>
      <c r="DK145" s="454" t="e">
        <v>#N/A</v>
      </c>
      <c r="DL145" s="454" t="e">
        <v>#N/A</v>
      </c>
      <c r="DM145" s="454" t="e">
        <v>#N/A</v>
      </c>
      <c r="DN145" s="454" t="e">
        <v>#N/A</v>
      </c>
      <c r="DO145" s="397"/>
      <c r="DP145" s="458">
        <f t="shared" si="272"/>
        <v>111.94499999999998</v>
      </c>
      <c r="DQ145" s="458" t="str">
        <f t="shared" si="383"/>
        <v/>
      </c>
      <c r="DR145" s="458" t="str">
        <f t="shared" ref="DR145:EO145" si="390">IFERROR(CONCATENATE(ROUND($DP145,3),",",ROUND(ABS(DK117),3),",",ROUND(EM117,3)," "),"")</f>
        <v xml:space="preserve">111.945,0.65,0 </v>
      </c>
      <c r="DS145" s="458" t="str">
        <f t="shared" si="390"/>
        <v xml:space="preserve">111.945,2.63,0.9 </v>
      </c>
      <c r="DT145" s="458" t="str">
        <f t="shared" si="390"/>
        <v xml:space="preserve">111.945,3.52,1.8 </v>
      </c>
      <c r="DU145" s="458" t="str">
        <f t="shared" si="390"/>
        <v xml:space="preserve">111.945,4.06,2.7 </v>
      </c>
      <c r="DV145" s="458" t="str">
        <f t="shared" si="390"/>
        <v xml:space="preserve">111.945,4.43,3.6 </v>
      </c>
      <c r="DW145" s="458" t="str">
        <f t="shared" si="390"/>
        <v xml:space="preserve">111.945,5.03,5.4 </v>
      </c>
      <c r="DX145" s="458" t="str">
        <f t="shared" si="390"/>
        <v xml:space="preserve">111.945,5.69,7.2 </v>
      </c>
      <c r="DY145" s="458" t="str">
        <f t="shared" si="390"/>
        <v xml:space="preserve">111.945,6.59,9 </v>
      </c>
      <c r="DZ145" s="458" t="str">
        <f t="shared" si="390"/>
        <v xml:space="preserve">111.945,7.22,10.1 </v>
      </c>
      <c r="EA145" s="458" t="str">
        <f t="shared" si="390"/>
        <v xml:space="preserve">111.945,7.64,10.8 </v>
      </c>
      <c r="EB145" s="458" t="str">
        <f t="shared" si="390"/>
        <v xml:space="preserve">111.945,8.73,12.6 </v>
      </c>
      <c r="EC145" s="458" t="str">
        <f t="shared" si="390"/>
        <v xml:space="preserve">111.945,10.94,14.19 </v>
      </c>
      <c r="ED145" s="458" t="str">
        <f t="shared" si="390"/>
        <v/>
      </c>
      <c r="EE145" s="458" t="str">
        <f t="shared" si="390"/>
        <v/>
      </c>
      <c r="EF145" s="458" t="str">
        <f t="shared" si="390"/>
        <v/>
      </c>
      <c r="EG145" s="458" t="str">
        <f t="shared" si="390"/>
        <v/>
      </c>
      <c r="EH145" s="458" t="str">
        <f t="shared" si="390"/>
        <v/>
      </c>
      <c r="EI145" s="458" t="str">
        <f t="shared" si="390"/>
        <v/>
      </c>
      <c r="EJ145" s="458" t="str">
        <f t="shared" si="390"/>
        <v/>
      </c>
      <c r="EK145" s="458" t="str">
        <f t="shared" si="390"/>
        <v/>
      </c>
      <c r="EL145" s="458" t="str">
        <f t="shared" si="390"/>
        <v/>
      </c>
      <c r="EM145" s="458" t="str">
        <f t="shared" si="390"/>
        <v/>
      </c>
      <c r="EN145" s="458" t="str">
        <f t="shared" si="390"/>
        <v/>
      </c>
      <c r="EO145" s="458" t="str">
        <f t="shared" si="390"/>
        <v/>
      </c>
      <c r="EP145" s="458" t="str">
        <f t="shared" si="384"/>
        <v/>
      </c>
      <c r="ER145" s="457" t="str">
        <f t="shared" si="307"/>
        <v xml:space="preserve">111.945,0.65,0 111.945,2.63,0.9 111.945,3.52,1.8 111.945,4.06,2.7 111.945,4.43,3.6 111.945,5.03,5.4 111.945,5.69,7.2 111.945,6.59,9 111.945,7.22,10.1 111.945,7.64,10.8 111.945,8.73,12.6 111.945,10.94,14.19 </v>
      </c>
      <c r="ES145" s="186" t="str">
        <f t="shared" ca="1" si="351"/>
        <v xml:space="preserve">Spline 111.945,0,0 111.945,0.65,0 111.945,2.63,0.9 111.945,3.52,1.8 111.945,4.06,2.7 111.945,4.43,3.6 111.945,5.03,5.4 111.945,5.69,7.2 111.945,6.59,9 111.945,7.22,10.1 111.945,7.64,10.8 111.945,8.73,12.6 111.945,10.94,14.19  </v>
      </c>
      <c r="ET145" s="129" t="str">
        <f t="shared" ca="1" si="308"/>
        <v xml:space="preserve">Spline 111.945,0,0 111.945,0.65,0 111.945,2.63,0.9 111.945,3.52,1.8 111.945,4.06,2.7 111.945,4.43,3.6 111.945,5.03,5.4 111.945,5.69,7.2 111.945,6.59,9 111.945,7.22,10.1 111.945,7.64,10.8 111.945,8.73,12.6 111.945,10.94,14.19  </v>
      </c>
      <c r="EU145" s="129">
        <f ca="1">COUNTIF(BP_20,NA())</f>
        <v>0</v>
      </c>
      <c r="EV145" s="129">
        <f t="shared" ca="1" si="274"/>
        <v>0</v>
      </c>
      <c r="EW145" s="129">
        <v>20</v>
      </c>
      <c r="EX145" s="129" t="str">
        <f t="shared" si="275"/>
        <v xml:space="preserve">111.945,10.94,14.19 </v>
      </c>
      <c r="EY145" s="129" t="str">
        <f t="shared" ca="1" si="276"/>
        <v xml:space="preserve">Spline 111.945,0,0 111.945,10.94,14.19 111.945,8.73,12.6 111.945,7.64,10.8 111.945,7.22,10.1 111.945,6.59,9 111.945,5.69,7.2 111.945,5.03,5.4 111.945,4.43,3.6 111.945,4.06,2.7 111.945,3.52,1.8 111.945,2.63,0.9 111.945,0.65,0 </v>
      </c>
      <c r="EZ145" s="186" t="str">
        <f t="shared" si="309"/>
        <v xml:space="preserve">111.945,0.65,0 111.945,2.63,0.9 111.945,3.52,1.8 111.945,4.06,2.7 111.945,4.43,3.6 111.945,5.03,5.4 111.945,5.69,7.2 111.945,6.59,9 111.945,7.22,10.1 111.945,7.64,10.8 111.945,8.73,12.6 111.945,10.94,14.19  </v>
      </c>
      <c r="FB145" s="458">
        <f t="shared" si="277"/>
        <v>111.94499999999998</v>
      </c>
      <c r="FC145" s="460" t="str">
        <f t="shared" si="310"/>
        <v/>
      </c>
      <c r="FD145" s="458" t="str">
        <f t="shared" ref="FD145:GB145" si="391">IFERROR(CONCATENATE(ROUND($DP145,3),",",-ROUND(ABS(DK117),3),",",ROUND(EM117,3)," "),"")</f>
        <v xml:space="preserve">111.945,-0.65,0 </v>
      </c>
      <c r="FE145" s="458" t="str">
        <f t="shared" si="391"/>
        <v xml:space="preserve">111.945,-2.63,0.9 </v>
      </c>
      <c r="FF145" s="458" t="str">
        <f t="shared" si="391"/>
        <v xml:space="preserve">111.945,-3.52,1.8 </v>
      </c>
      <c r="FG145" s="458" t="str">
        <f t="shared" si="391"/>
        <v xml:space="preserve">111.945,-4.06,2.7 </v>
      </c>
      <c r="FH145" s="458" t="str">
        <f t="shared" si="391"/>
        <v xml:space="preserve">111.945,-4.43,3.6 </v>
      </c>
      <c r="FI145" s="458" t="str">
        <f t="shared" si="391"/>
        <v xml:space="preserve">111.945,-5.03,5.4 </v>
      </c>
      <c r="FJ145" s="458" t="str">
        <f t="shared" si="391"/>
        <v xml:space="preserve">111.945,-5.69,7.2 </v>
      </c>
      <c r="FK145" s="458" t="str">
        <f t="shared" si="391"/>
        <v xml:space="preserve">111.945,-6.59,9 </v>
      </c>
      <c r="FL145" s="458" t="str">
        <f t="shared" si="391"/>
        <v xml:space="preserve">111.945,-7.22,10.1 </v>
      </c>
      <c r="FM145" s="458" t="str">
        <f t="shared" si="391"/>
        <v xml:space="preserve">111.945,-7.64,10.8 </v>
      </c>
      <c r="FN145" s="458" t="str">
        <f t="shared" si="391"/>
        <v xml:space="preserve">111.945,-8.73,12.6 </v>
      </c>
      <c r="FO145" s="458" t="str">
        <f t="shared" si="391"/>
        <v xml:space="preserve">111.945,-10.94,14.19 </v>
      </c>
      <c r="FP145" s="458" t="str">
        <f t="shared" si="391"/>
        <v/>
      </c>
      <c r="FQ145" s="458" t="str">
        <f t="shared" si="391"/>
        <v/>
      </c>
      <c r="FR145" s="458" t="str">
        <f t="shared" si="391"/>
        <v/>
      </c>
      <c r="FS145" s="458" t="str">
        <f t="shared" si="391"/>
        <v/>
      </c>
      <c r="FT145" s="458" t="str">
        <f t="shared" si="391"/>
        <v/>
      </c>
      <c r="FU145" s="458" t="str">
        <f t="shared" si="391"/>
        <v/>
      </c>
      <c r="FV145" s="458" t="str">
        <f t="shared" si="391"/>
        <v/>
      </c>
      <c r="FW145" s="458" t="str">
        <f t="shared" si="391"/>
        <v/>
      </c>
      <c r="FX145" s="458" t="str">
        <f t="shared" si="391"/>
        <v/>
      </c>
      <c r="FY145" s="458" t="str">
        <f t="shared" si="391"/>
        <v/>
      </c>
      <c r="FZ145" s="458" t="str">
        <f t="shared" si="391"/>
        <v/>
      </c>
      <c r="GA145" s="458" t="str">
        <f t="shared" si="391"/>
        <v/>
      </c>
      <c r="GB145" s="458" t="str">
        <f t="shared" si="391"/>
        <v/>
      </c>
      <c r="GC145" s="129" t="str">
        <f t="shared" si="312"/>
        <v xml:space="preserve">111.945,10.94,14.19 111.945,8.73,12.6 111.945,7.64,10.8 111.945,7.22,10.1 111.945,6.59,9 111.945,5.69,7.2 111.945,5.03,5.4 111.945,4.43,3.6 111.945,4.06,2.7 111.945,3.52,1.8 111.945,2.63,0.9 111.945,0.65,0 </v>
      </c>
      <c r="GD145" s="129" t="str">
        <f t="shared" ca="1" si="279"/>
        <v>Spline 111.945,10.94,14.19 111.945,8.73,12.6 111.945,7.64,10.8 111.945,7.22,10.1 111.945,6.59,9 111.945,5.69,7.2 111.945,5.03,5.4 111.945,4.43,3.6 111.945,4.06,2.7 111.945,3.52,1.8 111.945,2.63,0.9 111.945,0.65,0 111.945,0,0</v>
      </c>
      <c r="GE145" s="461" t="str">
        <f t="shared" si="313"/>
        <v xml:space="preserve">111.945,-0.65,0 111.945,-2.63,0.9 111.945,-3.52,1.8 111.945,-4.06,2.7 111.945,-4.43,3.6 111.945,-5.03,5.4 111.945,-5.69,7.2 111.945,-6.59,9 111.945,-7.22,10.1 111.945,-7.64,10.8 111.945,-8.73,12.6 111.945,-10.94,14.19 </v>
      </c>
      <c r="GH145" s="129" t="str">
        <f t="shared" si="314"/>
        <v xml:space="preserve">Spline 111.945,10.94,14.19 111.945,8.73,12.6 111.945,7.64,10.8 111.945,7.22,10.1 111.945,6.59,9 111.945,5.69,7.2 111.945,5.03,5.4 111.945,4.43,3.6 111.945,4.06,2.7 111.945,3.52,1.8 111.945,2.63,0.9 111.945,0.65,0 T 111.945,0,0 </v>
      </c>
      <c r="GI145" s="129" t="str">
        <f t="shared" si="315"/>
        <v xml:space="preserve">Spline 111.945,0.65,0 111.945,0,0  Join 111.945,0,0  111.945,10.94,14.19 </v>
      </c>
      <c r="GP145" s="129" t="str">
        <f t="shared" si="280"/>
        <v xml:space="preserve">111.945,0,0 </v>
      </c>
      <c r="GQ145" s="129" t="str">
        <f t="shared" si="316"/>
        <v>Curve 111.945,10.94,14.19 111.945,8.73,12.6 111.945,7.64,10.8 111.945,7.22,10.1 111.945,6.59,9 111.945,5.69,7.2 111.945,5.03,5.4 111.945,4.43,3.6 111.945,4.06,2.7 111.945,3.52,1.8 111.945,2.63,0.9 111.945,0.65,0 111.945,0,0 _enter</v>
      </c>
    </row>
    <row r="146" spans="1:199" x14ac:dyDescent="0.25">
      <c r="A146" s="374" t="str">
        <f t="shared" si="382"/>
        <v xml:space="preserve">  </v>
      </c>
      <c r="B146" s="377" t="str">
        <f t="shared" si="281"/>
        <v/>
      </c>
      <c r="C146" s="377" t="str">
        <f t="shared" si="282"/>
        <v/>
      </c>
      <c r="D146" s="377" t="str">
        <f t="shared" si="283"/>
        <v/>
      </c>
      <c r="E146" s="377" t="str">
        <f t="shared" si="284"/>
        <v/>
      </c>
      <c r="F146" s="377" t="str">
        <f t="shared" si="285"/>
        <v/>
      </c>
      <c r="G146" s="377" t="str">
        <f t="shared" si="286"/>
        <v/>
      </c>
      <c r="H146" s="377" t="str">
        <f t="shared" si="287"/>
        <v/>
      </c>
      <c r="I146" s="377" t="str">
        <f t="shared" si="288"/>
        <v/>
      </c>
      <c r="J146" s="377" t="str">
        <f t="shared" si="289"/>
        <v/>
      </c>
      <c r="K146" s="377" t="str">
        <f t="shared" si="290"/>
        <v/>
      </c>
      <c r="L146" s="377" t="str">
        <f t="shared" si="291"/>
        <v/>
      </c>
      <c r="M146" s="377" t="str">
        <f t="shared" si="292"/>
        <v/>
      </c>
      <c r="N146" s="377" t="str">
        <f t="shared" si="293"/>
        <v/>
      </c>
      <c r="O146" s="377" t="str">
        <f t="shared" si="294"/>
        <v/>
      </c>
      <c r="P146" s="377" t="str">
        <f t="shared" si="295"/>
        <v/>
      </c>
      <c r="Q146" s="377" t="str">
        <f t="shared" si="296"/>
        <v/>
      </c>
      <c r="R146" s="377" t="str">
        <f t="shared" si="297"/>
        <v/>
      </c>
      <c r="S146" s="377" t="str">
        <f t="shared" si="298"/>
        <v/>
      </c>
      <c r="T146" s="377" t="str">
        <f t="shared" si="299"/>
        <v/>
      </c>
      <c r="U146" s="377" t="str">
        <f t="shared" si="300"/>
        <v/>
      </c>
      <c r="V146" s="377" t="str">
        <f t="shared" si="301"/>
        <v/>
      </c>
      <c r="W146" s="377" t="str">
        <f t="shared" si="302"/>
        <v/>
      </c>
      <c r="X146" s="377" t="str">
        <f t="shared" si="303"/>
        <v/>
      </c>
      <c r="Y146" s="377" t="str">
        <f t="shared" si="304"/>
        <v/>
      </c>
      <c r="Z146" s="395" t="str">
        <f t="shared" si="305"/>
        <v/>
      </c>
      <c r="AB146" s="245" t="str">
        <f t="shared" si="317"/>
        <v xml:space="preserve">  </v>
      </c>
      <c r="AC146" s="245" t="str">
        <f>Tools!B146</f>
        <v/>
      </c>
      <c r="AD146" s="245" t="str">
        <f>Tools!C146</f>
        <v/>
      </c>
      <c r="AE146" s="245" t="str">
        <f>Tools!D146</f>
        <v/>
      </c>
      <c r="AF146" s="245" t="str">
        <f>Tools!E146</f>
        <v/>
      </c>
      <c r="AG146" s="245" t="str">
        <f>Tools!F146</f>
        <v/>
      </c>
      <c r="AH146" s="245" t="str">
        <f>Tools!G146</f>
        <v/>
      </c>
      <c r="AI146" s="245" t="str">
        <f>Tools!H146</f>
        <v/>
      </c>
      <c r="AJ146" s="245" t="str">
        <f>Tools!I146</f>
        <v/>
      </c>
      <c r="AK146" s="245" t="str">
        <f>Tools!J146</f>
        <v/>
      </c>
      <c r="AL146" s="245" t="str">
        <f>Tools!K146</f>
        <v/>
      </c>
      <c r="AM146" s="245" t="str">
        <f>Tools!L146</f>
        <v/>
      </c>
      <c r="AN146" s="245" t="str">
        <f>Tools!M146</f>
        <v/>
      </c>
      <c r="AO146" s="245" t="str">
        <f>Tools!N146</f>
        <v/>
      </c>
      <c r="AP146" s="245" t="str">
        <f>Tools!O146</f>
        <v/>
      </c>
      <c r="AQ146" s="245" t="str">
        <f>Tools!P146</f>
        <v/>
      </c>
      <c r="AR146" s="245" t="str">
        <f>Tools!Q146</f>
        <v/>
      </c>
      <c r="AS146" s="245" t="str">
        <f>Tools!R146</f>
        <v/>
      </c>
      <c r="AT146" s="245" t="str">
        <f>Tools!S146</f>
        <v/>
      </c>
      <c r="AU146" s="245" t="str">
        <f>Tools!T146</f>
        <v/>
      </c>
      <c r="AV146" s="245" t="str">
        <f>Tools!U146</f>
        <v/>
      </c>
      <c r="AW146" s="245" t="str">
        <f>Tools!V146</f>
        <v/>
      </c>
      <c r="AX146" s="245" t="str">
        <f>Tools!W146</f>
        <v/>
      </c>
      <c r="AY146" s="245" t="str">
        <f>Tools!X146</f>
        <v/>
      </c>
      <c r="AZ146" s="245" t="str">
        <f>Tools!Y146</f>
        <v/>
      </c>
      <c r="BA146" s="396" t="str">
        <f>Tools!Z146</f>
        <v/>
      </c>
      <c r="BC146" s="274">
        <f>'Rise, etc.'!O22</f>
        <v>16</v>
      </c>
      <c r="BD146" s="277" t="str">
        <f>IF(ISNUMBER(VLOOKUP(BC146,'Rise, etc.'!O$3:P$28,2,FALSE)),VLOOKUP(BC146,'Rise, etc.'!O$3:P$28,2,FALSE),"-")</f>
        <v>-</v>
      </c>
      <c r="BE146" s="277" t="e">
        <f t="shared" si="353"/>
        <v>#VALUE!</v>
      </c>
      <c r="BF146" s="277" t="str">
        <f t="shared" si="319"/>
        <v>#NA</v>
      </c>
      <c r="BG146" s="277" t="str">
        <f t="shared" si="320"/>
        <v>#NA</v>
      </c>
      <c r="BH146" s="277" t="str">
        <f t="shared" si="321"/>
        <v>#NA</v>
      </c>
      <c r="BI146" s="277" t="str">
        <f t="shared" si="322"/>
        <v>#NA</v>
      </c>
      <c r="BJ146" s="277" t="str">
        <f t="shared" si="323"/>
        <v>#NA</v>
      </c>
      <c r="BK146" s="277" t="str">
        <f t="shared" si="324"/>
        <v>#NA</v>
      </c>
      <c r="BL146" s="277" t="str">
        <f t="shared" si="325"/>
        <v>#NA</v>
      </c>
      <c r="BM146" s="277"/>
      <c r="BN146" s="277" t="e">
        <f t="shared" si="326"/>
        <v>#VALUE!</v>
      </c>
      <c r="BO146" s="277" t="e">
        <f t="shared" si="327"/>
        <v>#VALUE!</v>
      </c>
      <c r="BP146" s="277" t="e">
        <f t="shared" si="328"/>
        <v>#VALUE!</v>
      </c>
      <c r="BQ146" s="277" t="e">
        <f t="shared" si="329"/>
        <v>#VALUE!</v>
      </c>
      <c r="BR146" s="277" t="e">
        <f t="shared" si="330"/>
        <v>#VALUE!</v>
      </c>
      <c r="BS146" s="277" t="e">
        <f t="shared" si="331"/>
        <v>#VALUE!</v>
      </c>
      <c r="BT146" s="277" t="e">
        <f t="shared" si="332"/>
        <v>#VALUE!</v>
      </c>
      <c r="BU146" s="277" t="e">
        <f t="shared" si="333"/>
        <v>#VALUE!</v>
      </c>
      <c r="BV146" s="277" t="e">
        <f t="shared" si="334"/>
        <v>#VALUE!</v>
      </c>
      <c r="BW146" s="277" t="e">
        <f t="shared" si="335"/>
        <v>#VALUE!</v>
      </c>
      <c r="BX146" s="277" t="e">
        <f t="shared" si="354"/>
        <v>#VALUE!</v>
      </c>
      <c r="BY146" s="277" t="e">
        <f t="shared" si="336"/>
        <v>#VALUE!</v>
      </c>
      <c r="BZ146" s="277" t="e">
        <f t="shared" si="337"/>
        <v>#VALUE!</v>
      </c>
      <c r="CA146" s="277" t="e">
        <f t="shared" si="338"/>
        <v>#VALUE!</v>
      </c>
      <c r="CB146" s="277" t="e">
        <f t="shared" si="339"/>
        <v>#VALUE!</v>
      </c>
      <c r="CC146" s="277" t="e">
        <f t="shared" si="340"/>
        <v>#VALUE!</v>
      </c>
      <c r="CD146" s="277" t="e">
        <f t="shared" si="341"/>
        <v>#VALUE!</v>
      </c>
      <c r="CE146" s="277" t="e">
        <f t="shared" si="342"/>
        <v>#VALUE!</v>
      </c>
      <c r="CF146" s="277" t="e">
        <f t="shared" si="343"/>
        <v>#VALUE!</v>
      </c>
      <c r="CG146" s="277" t="e">
        <f t="shared" si="344"/>
        <v>#VALUE!</v>
      </c>
      <c r="CH146" s="277" t="e">
        <f t="shared" si="345"/>
        <v>#VALUE!</v>
      </c>
      <c r="CI146" s="277" t="e">
        <f t="shared" si="346"/>
        <v>#VALUE!</v>
      </c>
      <c r="CJ146" s="277" t="e">
        <f t="shared" si="347"/>
        <v>#VALUE!</v>
      </c>
      <c r="CK146" s="277" t="e">
        <f t="shared" si="348"/>
        <v>#VALUE!</v>
      </c>
      <c r="CL146" s="277" t="e">
        <f t="shared" si="349"/>
        <v>#VALUE!</v>
      </c>
      <c r="CM146" s="276">
        <f t="shared" si="355"/>
        <v>0</v>
      </c>
      <c r="CO146" s="454" t="e">
        <v>#N/A</v>
      </c>
      <c r="CP146" s="454" t="e">
        <v>#N/A</v>
      </c>
      <c r="CQ146" s="454" t="e">
        <v>#N/A</v>
      </c>
      <c r="CR146" s="454" t="e">
        <v>#N/A</v>
      </c>
      <c r="CS146" s="454" t="e">
        <v>#N/A</v>
      </c>
      <c r="CT146" s="454" t="e">
        <v>#N/A</v>
      </c>
      <c r="CU146" s="454" t="e">
        <v>#N/A</v>
      </c>
      <c r="CV146" s="454" t="e">
        <v>#N/A</v>
      </c>
      <c r="CW146" s="454" t="e">
        <v>#N/A</v>
      </c>
      <c r="CX146" s="454" t="e">
        <v>#N/A</v>
      </c>
      <c r="CY146" s="454" t="e">
        <v>#N/A</v>
      </c>
      <c r="CZ146" s="454" t="e">
        <v>#N/A</v>
      </c>
      <c r="DA146" s="454" t="e">
        <v>#N/A</v>
      </c>
      <c r="DB146" s="454" t="e">
        <v>#N/A</v>
      </c>
      <c r="DC146" s="454" t="e">
        <v>#N/A</v>
      </c>
      <c r="DD146" s="454" t="e">
        <v>#N/A</v>
      </c>
      <c r="DE146" s="454" t="e">
        <v>#N/A</v>
      </c>
      <c r="DF146" s="454" t="e">
        <v>#N/A</v>
      </c>
      <c r="DG146" s="454" t="e">
        <v>#N/A</v>
      </c>
      <c r="DH146" s="454" t="e">
        <v>#N/A</v>
      </c>
      <c r="DI146" s="454" t="e">
        <v>#N/A</v>
      </c>
      <c r="DJ146" s="454" t="e">
        <v>#N/A</v>
      </c>
      <c r="DK146" s="454" t="e">
        <v>#N/A</v>
      </c>
      <c r="DL146" s="454" t="e">
        <v>#N/A</v>
      </c>
      <c r="DM146" s="454" t="e">
        <v>#N/A</v>
      </c>
      <c r="DN146" s="454" t="e">
        <v>#N/A</v>
      </c>
      <c r="DO146" s="397"/>
      <c r="DP146" s="458">
        <f t="shared" si="272"/>
        <v>118.52999999999999</v>
      </c>
      <c r="DQ146" s="458" t="str">
        <f t="shared" si="383"/>
        <v/>
      </c>
      <c r="DR146" s="458" t="str">
        <f t="shared" ref="DR146:EO146" si="392">IFERROR(CONCATENATE(ROUND($DP146,3),",",ROUND(ABS(DK118),3),",",ROUND(EM118,3)," "),"")</f>
        <v xml:space="preserve">118.53,0,0 </v>
      </c>
      <c r="DS146" s="458" t="str">
        <f t="shared" si="392"/>
        <v xml:space="preserve">118.53,1.49,0.9 </v>
      </c>
      <c r="DT146" s="458" t="str">
        <f t="shared" si="392"/>
        <v xml:space="preserve">118.53,2.23,1.8 </v>
      </c>
      <c r="DU146" s="458" t="str">
        <f t="shared" si="392"/>
        <v xml:space="preserve">118.53,2.69,2.7 </v>
      </c>
      <c r="DV146" s="458" t="str">
        <f t="shared" si="392"/>
        <v xml:space="preserve">118.53,2.97,3.6 </v>
      </c>
      <c r="DW146" s="458" t="str">
        <f t="shared" si="392"/>
        <v xml:space="preserve">118.53,3.25,5.4 </v>
      </c>
      <c r="DX146" s="458" t="str">
        <f t="shared" si="392"/>
        <v xml:space="preserve">118.53,3.51,7.2 </v>
      </c>
      <c r="DY146" s="458" t="str">
        <f t="shared" si="392"/>
        <v xml:space="preserve">118.53,4.28,9 </v>
      </c>
      <c r="DZ146" s="458" t="str">
        <f t="shared" si="392"/>
        <v xml:space="preserve">118.53,4.97,10.1 </v>
      </c>
      <c r="EA146" s="458" t="str">
        <f t="shared" si="392"/>
        <v xml:space="preserve">118.53,5.47,10.8 </v>
      </c>
      <c r="EB146" s="458" t="str">
        <f t="shared" si="392"/>
        <v xml:space="preserve">118.53,6.84,12.6 </v>
      </c>
      <c r="EC146" s="458" t="str">
        <f t="shared" si="392"/>
        <v xml:space="preserve">118.53,9.77,14.19 </v>
      </c>
      <c r="ED146" s="458" t="str">
        <f t="shared" si="392"/>
        <v/>
      </c>
      <c r="EE146" s="458" t="str">
        <f t="shared" si="392"/>
        <v/>
      </c>
      <c r="EF146" s="458" t="str">
        <f t="shared" si="392"/>
        <v/>
      </c>
      <c r="EG146" s="458" t="str">
        <f t="shared" si="392"/>
        <v/>
      </c>
      <c r="EH146" s="458" t="str">
        <f t="shared" si="392"/>
        <v/>
      </c>
      <c r="EI146" s="458" t="str">
        <f t="shared" si="392"/>
        <v/>
      </c>
      <c r="EJ146" s="458" t="str">
        <f t="shared" si="392"/>
        <v/>
      </c>
      <c r="EK146" s="458" t="str">
        <f t="shared" si="392"/>
        <v/>
      </c>
      <c r="EL146" s="458" t="str">
        <f t="shared" si="392"/>
        <v/>
      </c>
      <c r="EM146" s="458" t="str">
        <f t="shared" si="392"/>
        <v/>
      </c>
      <c r="EN146" s="458" t="str">
        <f t="shared" si="392"/>
        <v/>
      </c>
      <c r="EO146" s="458" t="str">
        <f t="shared" si="392"/>
        <v/>
      </c>
      <c r="EP146" s="458" t="str">
        <f t="shared" si="384"/>
        <v/>
      </c>
      <c r="ER146" s="457" t="str">
        <f t="shared" si="307"/>
        <v xml:space="preserve">118.53,0,0 118.53,1.49,0.9 118.53,2.23,1.8 118.53,2.69,2.7 118.53,2.97,3.6 118.53,3.25,5.4 118.53,3.51,7.2 118.53,4.28,9 118.53,4.97,10.1 118.53,5.47,10.8 118.53,6.84,12.6 118.53,9.77,14.19 </v>
      </c>
      <c r="ES146" s="186" t="str">
        <f t="shared" ca="1" si="351"/>
        <v xml:space="preserve">Spline 118.53,0,0 118.53,0,0 118.53,1.49,0.9 118.53,2.23,1.8 118.53,2.69,2.7 118.53,2.97,3.6 118.53,3.25,5.4 118.53,3.51,7.2 118.53,4.28,9 118.53,4.97,10.1 118.53,5.47,10.8 118.53,6.84,12.6 118.53,9.77,14.19  </v>
      </c>
      <c r="ET146" s="129" t="str">
        <f t="shared" ca="1" si="308"/>
        <v xml:space="preserve">Spline 118.53,0,0 118.53,0,0 118.53,1.49,0.9 118.53,2.23,1.8 118.53,2.69,2.7 118.53,2.97,3.6 118.53,3.25,5.4 118.53,3.51,7.2 118.53,4.28,9 118.53,4.97,10.1 118.53,5.47,10.8 118.53,6.84,12.6 118.53,9.77,14.19  </v>
      </c>
      <c r="EU146" s="129">
        <f ca="1">COUNTIF(BP_21,NA())</f>
        <v>0</v>
      </c>
      <c r="EV146" s="129">
        <f t="shared" ca="1" si="274"/>
        <v>0</v>
      </c>
      <c r="EW146" s="129">
        <v>21</v>
      </c>
      <c r="EX146" s="129" t="str">
        <f t="shared" si="275"/>
        <v xml:space="preserve">118.53,9.77,14.19 </v>
      </c>
      <c r="EY146" s="129" t="str">
        <f t="shared" ca="1" si="276"/>
        <v xml:space="preserve">Spline 118.53,0,0 118.53,9.77,14.19 118.53,6.84,12.6 118.53,5.47,10.8 118.53,4.97,10.1 118.53,4.28,9 118.53,3.51,7.2 118.53,3.25,5.4 118.53,2.97,3.6 118.53,2.69,2.7 118.53,2.23,1.8 118.53,1.49,0.9 118.53,0,0 </v>
      </c>
      <c r="EZ146" s="186" t="str">
        <f t="shared" si="309"/>
        <v xml:space="preserve">118.53,0,0 118.53,1.49,0.9 118.53,2.23,1.8 118.53,2.69,2.7 118.53,2.97,3.6 118.53,3.25,5.4 118.53,3.51,7.2 118.53,4.28,9 118.53,4.97,10.1 118.53,5.47,10.8 118.53,6.84,12.6 118.53,9.77,14.19  </v>
      </c>
      <c r="FB146" s="458">
        <f t="shared" si="277"/>
        <v>118.52999999999999</v>
      </c>
      <c r="FC146" s="460" t="str">
        <f t="shared" si="310"/>
        <v/>
      </c>
      <c r="FD146" s="458" t="str">
        <f t="shared" ref="FD146:GB146" si="393">IFERROR(CONCATENATE(ROUND($DP146,3),",",-ROUND(ABS(DK118),3),",",ROUND(EM118,3)," "),"")</f>
        <v xml:space="preserve">118.53,0,0 </v>
      </c>
      <c r="FE146" s="458" t="str">
        <f t="shared" si="393"/>
        <v xml:space="preserve">118.53,-1.49,0.9 </v>
      </c>
      <c r="FF146" s="458" t="str">
        <f t="shared" si="393"/>
        <v xml:space="preserve">118.53,-2.23,1.8 </v>
      </c>
      <c r="FG146" s="458" t="str">
        <f t="shared" si="393"/>
        <v xml:space="preserve">118.53,-2.69,2.7 </v>
      </c>
      <c r="FH146" s="458" t="str">
        <f t="shared" si="393"/>
        <v xml:space="preserve">118.53,-2.97,3.6 </v>
      </c>
      <c r="FI146" s="458" t="str">
        <f t="shared" si="393"/>
        <v xml:space="preserve">118.53,-3.25,5.4 </v>
      </c>
      <c r="FJ146" s="458" t="str">
        <f t="shared" si="393"/>
        <v xml:space="preserve">118.53,-3.51,7.2 </v>
      </c>
      <c r="FK146" s="458" t="str">
        <f t="shared" si="393"/>
        <v xml:space="preserve">118.53,-4.28,9 </v>
      </c>
      <c r="FL146" s="458" t="str">
        <f t="shared" si="393"/>
        <v xml:space="preserve">118.53,-4.97,10.1 </v>
      </c>
      <c r="FM146" s="458" t="str">
        <f t="shared" si="393"/>
        <v xml:space="preserve">118.53,-5.47,10.8 </v>
      </c>
      <c r="FN146" s="458" t="str">
        <f t="shared" si="393"/>
        <v xml:space="preserve">118.53,-6.84,12.6 </v>
      </c>
      <c r="FO146" s="458" t="str">
        <f t="shared" si="393"/>
        <v xml:space="preserve">118.53,-9.77,14.19 </v>
      </c>
      <c r="FP146" s="458" t="str">
        <f t="shared" si="393"/>
        <v/>
      </c>
      <c r="FQ146" s="458" t="str">
        <f t="shared" si="393"/>
        <v/>
      </c>
      <c r="FR146" s="458" t="str">
        <f t="shared" si="393"/>
        <v/>
      </c>
      <c r="FS146" s="458" t="str">
        <f t="shared" si="393"/>
        <v/>
      </c>
      <c r="FT146" s="458" t="str">
        <f t="shared" si="393"/>
        <v/>
      </c>
      <c r="FU146" s="458" t="str">
        <f t="shared" si="393"/>
        <v/>
      </c>
      <c r="FV146" s="458" t="str">
        <f t="shared" si="393"/>
        <v/>
      </c>
      <c r="FW146" s="458" t="str">
        <f t="shared" si="393"/>
        <v/>
      </c>
      <c r="FX146" s="458" t="str">
        <f t="shared" si="393"/>
        <v/>
      </c>
      <c r="FY146" s="458" t="str">
        <f t="shared" si="393"/>
        <v/>
      </c>
      <c r="FZ146" s="458" t="str">
        <f t="shared" si="393"/>
        <v/>
      </c>
      <c r="GA146" s="458" t="str">
        <f t="shared" si="393"/>
        <v/>
      </c>
      <c r="GB146" s="458" t="str">
        <f t="shared" si="393"/>
        <v/>
      </c>
      <c r="GC146" s="129" t="str">
        <f t="shared" si="312"/>
        <v xml:space="preserve">118.53,9.77,14.19 118.53,6.84,12.6 118.53,5.47,10.8 118.53,4.97,10.1 118.53,4.28,9 118.53,3.51,7.2 118.53,3.25,5.4 118.53,2.97,3.6 118.53,2.69,2.7 118.53,2.23,1.8 118.53,1.49,0.9 118.53,0,0 </v>
      </c>
      <c r="GD146" s="129" t="str">
        <f t="shared" ca="1" si="279"/>
        <v>Spline 118.53,9.77,14.19 118.53,6.84,12.6 118.53,5.47,10.8 118.53,4.97,10.1 118.53,4.28,9 118.53,3.51,7.2 118.53,3.25,5.4 118.53,2.97,3.6 118.53,2.69,2.7 118.53,2.23,1.8 118.53,1.49,0.9 118.53,0,0 118.53,0,0</v>
      </c>
      <c r="GE146" s="461" t="str">
        <f t="shared" si="313"/>
        <v xml:space="preserve">118.53,0,0 118.53,-1.49,0.9 118.53,-2.23,1.8 118.53,-2.69,2.7 118.53,-2.97,3.6 118.53,-3.25,5.4 118.53,-3.51,7.2 118.53,-4.28,9 118.53,-4.97,10.1 118.53,-5.47,10.8 118.53,-6.84,12.6 118.53,-9.77,14.19 </v>
      </c>
      <c r="GH146" s="129" t="str">
        <f t="shared" si="314"/>
        <v xml:space="preserve">Spline 118.53,9.77,14.19 118.53,6.84,12.6 118.53,5.47,10.8 118.53,4.97,10.1 118.53,4.28,9 118.53,3.51,7.2 118.53,3.25,5.4 118.53,2.97,3.6 118.53,2.69,2.7 118.53,2.23,1.8 118.53,1.49,0.9 118.53,0,0  </v>
      </c>
      <c r="GI146" s="129" t="str">
        <f t="shared" si="315"/>
        <v/>
      </c>
      <c r="GP146" s="129" t="str">
        <f t="shared" si="280"/>
        <v xml:space="preserve">118.53,0,0 </v>
      </c>
      <c r="GQ146" s="129" t="str">
        <f t="shared" si="316"/>
        <v>Curve 118.53,9.77,14.19 118.53,6.84,12.6 118.53,5.47,10.8 118.53,4.97,10.1 118.53,4.28,9 118.53,3.51,7.2 118.53,3.25,5.4 118.53,2.97,3.6 118.53,2.69,2.7 118.53,2.23,1.8 118.53,1.49,0.9 118.53,0,0 118.53,0,0 _enter</v>
      </c>
    </row>
    <row r="147" spans="1:199" x14ac:dyDescent="0.25">
      <c r="A147" s="374" t="str">
        <f t="shared" si="382"/>
        <v xml:space="preserve">  </v>
      </c>
      <c r="B147" s="377" t="str">
        <f t="shared" si="281"/>
        <v/>
      </c>
      <c r="C147" s="377" t="str">
        <f t="shared" si="282"/>
        <v/>
      </c>
      <c r="D147" s="377" t="str">
        <f t="shared" si="283"/>
        <v/>
      </c>
      <c r="E147" s="377" t="str">
        <f t="shared" si="284"/>
        <v/>
      </c>
      <c r="F147" s="377" t="str">
        <f t="shared" si="285"/>
        <v/>
      </c>
      <c r="G147" s="377" t="str">
        <f t="shared" si="286"/>
        <v/>
      </c>
      <c r="H147" s="377" t="str">
        <f t="shared" si="287"/>
        <v/>
      </c>
      <c r="I147" s="377" t="str">
        <f t="shared" si="288"/>
        <v/>
      </c>
      <c r="J147" s="377" t="str">
        <f t="shared" si="289"/>
        <v/>
      </c>
      <c r="K147" s="377" t="str">
        <f t="shared" si="290"/>
        <v/>
      </c>
      <c r="L147" s="377" t="str">
        <f t="shared" si="291"/>
        <v/>
      </c>
      <c r="M147" s="377" t="str">
        <f t="shared" si="292"/>
        <v/>
      </c>
      <c r="N147" s="377" t="str">
        <f t="shared" si="293"/>
        <v/>
      </c>
      <c r="O147" s="377" t="str">
        <f t="shared" si="294"/>
        <v/>
      </c>
      <c r="P147" s="377" t="str">
        <f t="shared" si="295"/>
        <v/>
      </c>
      <c r="Q147" s="377" t="str">
        <f t="shared" si="296"/>
        <v/>
      </c>
      <c r="R147" s="377" t="str">
        <f t="shared" si="297"/>
        <v/>
      </c>
      <c r="S147" s="377" t="str">
        <f t="shared" si="298"/>
        <v/>
      </c>
      <c r="T147" s="377" t="str">
        <f t="shared" si="299"/>
        <v/>
      </c>
      <c r="U147" s="377" t="str">
        <f t="shared" si="300"/>
        <v/>
      </c>
      <c r="V147" s="377" t="str">
        <f t="shared" si="301"/>
        <v/>
      </c>
      <c r="W147" s="377" t="str">
        <f t="shared" si="302"/>
        <v/>
      </c>
      <c r="X147" s="377" t="str">
        <f t="shared" si="303"/>
        <v/>
      </c>
      <c r="Y147" s="377" t="str">
        <f t="shared" si="304"/>
        <v/>
      </c>
      <c r="Z147" s="395" t="str">
        <f t="shared" si="305"/>
        <v/>
      </c>
      <c r="AB147" s="245" t="str">
        <f t="shared" si="317"/>
        <v xml:space="preserve">  </v>
      </c>
      <c r="AC147" s="245" t="str">
        <f>Tools!B147</f>
        <v/>
      </c>
      <c r="AD147" s="245" t="str">
        <f>Tools!C147</f>
        <v/>
      </c>
      <c r="AE147" s="245" t="str">
        <f>Tools!D147</f>
        <v/>
      </c>
      <c r="AF147" s="245" t="str">
        <f>Tools!E147</f>
        <v/>
      </c>
      <c r="AG147" s="245" t="str">
        <f>Tools!F147</f>
        <v/>
      </c>
      <c r="AH147" s="245" t="str">
        <f>Tools!G147</f>
        <v/>
      </c>
      <c r="AI147" s="245" t="str">
        <f>Tools!H147</f>
        <v/>
      </c>
      <c r="AJ147" s="245" t="str">
        <f>Tools!I147</f>
        <v/>
      </c>
      <c r="AK147" s="245" t="str">
        <f>Tools!J147</f>
        <v/>
      </c>
      <c r="AL147" s="245" t="str">
        <f>Tools!K147</f>
        <v/>
      </c>
      <c r="AM147" s="245" t="str">
        <f>Tools!L147</f>
        <v/>
      </c>
      <c r="AN147" s="245" t="str">
        <f>Tools!M147</f>
        <v/>
      </c>
      <c r="AO147" s="245" t="str">
        <f>Tools!N147</f>
        <v/>
      </c>
      <c r="AP147" s="245" t="str">
        <f>Tools!O147</f>
        <v/>
      </c>
      <c r="AQ147" s="245" t="str">
        <f>Tools!P147</f>
        <v/>
      </c>
      <c r="AR147" s="245" t="str">
        <f>Tools!Q147</f>
        <v/>
      </c>
      <c r="AS147" s="245" t="str">
        <f>Tools!R147</f>
        <v/>
      </c>
      <c r="AT147" s="245" t="str">
        <f>Tools!S147</f>
        <v/>
      </c>
      <c r="AU147" s="245" t="str">
        <f>Tools!T147</f>
        <v/>
      </c>
      <c r="AV147" s="245" t="str">
        <f>Tools!U147</f>
        <v/>
      </c>
      <c r="AW147" s="245" t="str">
        <f>Tools!V147</f>
        <v/>
      </c>
      <c r="AX147" s="245" t="str">
        <f>Tools!W147</f>
        <v/>
      </c>
      <c r="AY147" s="245" t="str">
        <f>Tools!X147</f>
        <v/>
      </c>
      <c r="AZ147" s="245" t="str">
        <f>Tools!Y147</f>
        <v/>
      </c>
      <c r="BA147" s="396" t="str">
        <f>Tools!Z147</f>
        <v/>
      </c>
      <c r="BC147" s="274">
        <f>'Rise, etc.'!O23</f>
        <v>17</v>
      </c>
      <c r="BD147" s="277" t="str">
        <f>IF(ISNUMBER(VLOOKUP(BC147,'Rise, etc.'!O$3:P$28,2,FALSE)),VLOOKUP(BC147,'Rise, etc.'!O$3:P$28,2,FALSE),"-")</f>
        <v>-</v>
      </c>
      <c r="BE147" s="277" t="e">
        <f t="shared" si="353"/>
        <v>#VALUE!</v>
      </c>
      <c r="BF147" s="277" t="str">
        <f t="shared" si="319"/>
        <v>#NA</v>
      </c>
      <c r="BG147" s="277" t="str">
        <f t="shared" si="320"/>
        <v>#NA</v>
      </c>
      <c r="BH147" s="277" t="str">
        <f t="shared" si="321"/>
        <v>#NA</v>
      </c>
      <c r="BI147" s="277" t="str">
        <f t="shared" si="322"/>
        <v>#NA</v>
      </c>
      <c r="BJ147" s="277" t="str">
        <f t="shared" si="323"/>
        <v>#NA</v>
      </c>
      <c r="BK147" s="277" t="str">
        <f t="shared" si="324"/>
        <v>#NA</v>
      </c>
      <c r="BL147" s="277" t="str">
        <f t="shared" si="325"/>
        <v>#NA</v>
      </c>
      <c r="BM147" s="277"/>
      <c r="BN147" s="277" t="e">
        <f t="shared" si="326"/>
        <v>#VALUE!</v>
      </c>
      <c r="BO147" s="277" t="e">
        <f t="shared" si="327"/>
        <v>#VALUE!</v>
      </c>
      <c r="BP147" s="277" t="e">
        <f t="shared" si="328"/>
        <v>#VALUE!</v>
      </c>
      <c r="BQ147" s="277" t="e">
        <f t="shared" si="329"/>
        <v>#VALUE!</v>
      </c>
      <c r="BR147" s="277" t="e">
        <f t="shared" si="330"/>
        <v>#VALUE!</v>
      </c>
      <c r="BS147" s="277" t="e">
        <f t="shared" si="331"/>
        <v>#VALUE!</v>
      </c>
      <c r="BT147" s="277" t="e">
        <f t="shared" si="332"/>
        <v>#VALUE!</v>
      </c>
      <c r="BU147" s="277" t="e">
        <f t="shared" si="333"/>
        <v>#VALUE!</v>
      </c>
      <c r="BV147" s="277" t="e">
        <f t="shared" si="334"/>
        <v>#VALUE!</v>
      </c>
      <c r="BW147" s="277" t="e">
        <f t="shared" si="335"/>
        <v>#VALUE!</v>
      </c>
      <c r="BX147" s="277" t="e">
        <f t="shared" si="354"/>
        <v>#VALUE!</v>
      </c>
      <c r="BY147" s="277" t="e">
        <f t="shared" si="336"/>
        <v>#VALUE!</v>
      </c>
      <c r="BZ147" s="277" t="e">
        <f t="shared" si="337"/>
        <v>#VALUE!</v>
      </c>
      <c r="CA147" s="277" t="e">
        <f t="shared" si="338"/>
        <v>#VALUE!</v>
      </c>
      <c r="CB147" s="277" t="e">
        <f t="shared" si="339"/>
        <v>#VALUE!</v>
      </c>
      <c r="CC147" s="277" t="e">
        <f t="shared" si="340"/>
        <v>#VALUE!</v>
      </c>
      <c r="CD147" s="277" t="e">
        <f t="shared" si="341"/>
        <v>#VALUE!</v>
      </c>
      <c r="CE147" s="277" t="e">
        <f t="shared" si="342"/>
        <v>#VALUE!</v>
      </c>
      <c r="CF147" s="277" t="e">
        <f t="shared" si="343"/>
        <v>#VALUE!</v>
      </c>
      <c r="CG147" s="277" t="e">
        <f t="shared" si="344"/>
        <v>#VALUE!</v>
      </c>
      <c r="CH147" s="277" t="e">
        <f t="shared" si="345"/>
        <v>#VALUE!</v>
      </c>
      <c r="CI147" s="277" t="e">
        <f t="shared" si="346"/>
        <v>#VALUE!</v>
      </c>
      <c r="CJ147" s="277" t="e">
        <f t="shared" si="347"/>
        <v>#VALUE!</v>
      </c>
      <c r="CK147" s="277" t="e">
        <f t="shared" si="348"/>
        <v>#VALUE!</v>
      </c>
      <c r="CL147" s="277" t="e">
        <f t="shared" si="349"/>
        <v>#VALUE!</v>
      </c>
      <c r="CM147" s="276">
        <f t="shared" si="355"/>
        <v>0</v>
      </c>
      <c r="CO147" s="454" t="e">
        <v>#N/A</v>
      </c>
      <c r="CP147" s="454" t="e">
        <v>#N/A</v>
      </c>
      <c r="CQ147" s="454" t="e">
        <v>#N/A</v>
      </c>
      <c r="CR147" s="454" t="e">
        <v>#N/A</v>
      </c>
      <c r="CS147" s="454" t="e">
        <v>#N/A</v>
      </c>
      <c r="CT147" s="454" t="e">
        <v>#N/A</v>
      </c>
      <c r="CU147" s="454" t="e">
        <v>#N/A</v>
      </c>
      <c r="CV147" s="454" t="e">
        <v>#N/A</v>
      </c>
      <c r="CW147" s="454" t="e">
        <v>#N/A</v>
      </c>
      <c r="CX147" s="454" t="e">
        <v>#N/A</v>
      </c>
      <c r="CY147" s="454" t="e">
        <v>#N/A</v>
      </c>
      <c r="CZ147" s="454" t="e">
        <v>#N/A</v>
      </c>
      <c r="DA147" s="454" t="e">
        <v>#N/A</v>
      </c>
      <c r="DB147" s="454" t="e">
        <v>#N/A</v>
      </c>
      <c r="DC147" s="454" t="e">
        <v>#N/A</v>
      </c>
      <c r="DD147" s="454" t="e">
        <v>#N/A</v>
      </c>
      <c r="DE147" s="454" t="e">
        <v>#N/A</v>
      </c>
      <c r="DF147" s="454" t="e">
        <v>#N/A</v>
      </c>
      <c r="DG147" s="454" t="e">
        <v>#N/A</v>
      </c>
      <c r="DH147" s="454" t="e">
        <v>#N/A</v>
      </c>
      <c r="DI147" s="454" t="e">
        <v>#N/A</v>
      </c>
      <c r="DJ147" s="454" t="e">
        <v>#N/A</v>
      </c>
      <c r="DK147" s="454" t="e">
        <v>#N/A</v>
      </c>
      <c r="DL147" s="454" t="e">
        <v>#N/A</v>
      </c>
      <c r="DM147" s="454" t="e">
        <v>#N/A</v>
      </c>
      <c r="DN147" s="454" t="e">
        <v>#N/A</v>
      </c>
      <c r="DO147" s="397"/>
      <c r="DP147" s="458">
        <f t="shared" si="272"/>
        <v>121.82249999999998</v>
      </c>
      <c r="DQ147" s="458" t="str">
        <f t="shared" si="383"/>
        <v xml:space="preserve">121.823,0,0.32 </v>
      </c>
      <c r="DR147" s="458" t="str">
        <f t="shared" ref="DR147:EO147" si="394">IFERROR(CONCATENATE(ROUND($DP147,3),",",ROUND(ABS(DK119),3),",",ROUND(EM119,3)," "),"")</f>
        <v/>
      </c>
      <c r="DS147" s="458" t="str">
        <f t="shared" si="394"/>
        <v xml:space="preserve">121.823,1.04,0.9 </v>
      </c>
      <c r="DT147" s="458" t="str">
        <f t="shared" si="394"/>
        <v xml:space="preserve">121.823,1.7,1.8 </v>
      </c>
      <c r="DU147" s="458" t="str">
        <f t="shared" si="394"/>
        <v xml:space="preserve">121.823,2.14,2.7 </v>
      </c>
      <c r="DV147" s="458" t="str">
        <f t="shared" si="394"/>
        <v xml:space="preserve">121.823,2.4,3.6 </v>
      </c>
      <c r="DW147" s="458" t="str">
        <f t="shared" si="394"/>
        <v xml:space="preserve">121.823,2.57,5.4 </v>
      </c>
      <c r="DX147" s="458" t="str">
        <f t="shared" si="394"/>
        <v xml:space="preserve">121.823,2.55,7.2 </v>
      </c>
      <c r="DY147" s="458" t="str">
        <f t="shared" si="394"/>
        <v xml:space="preserve">121.823,3.12,9 </v>
      </c>
      <c r="DZ147" s="458" t="str">
        <f t="shared" si="394"/>
        <v xml:space="preserve">121.823,3.79,10.1 </v>
      </c>
      <c r="EA147" s="458" t="str">
        <f t="shared" si="394"/>
        <v xml:space="preserve">121.823,4.3,10.8 </v>
      </c>
      <c r="EB147" s="458" t="str">
        <f t="shared" si="394"/>
        <v xml:space="preserve">121.823,5.71,12.6 </v>
      </c>
      <c r="EC147" s="458" t="str">
        <f t="shared" si="394"/>
        <v xml:space="preserve">121.823,8.1,14.19 </v>
      </c>
      <c r="ED147" s="458" t="str">
        <f t="shared" si="394"/>
        <v/>
      </c>
      <c r="EE147" s="458" t="str">
        <f t="shared" si="394"/>
        <v/>
      </c>
      <c r="EF147" s="458" t="str">
        <f t="shared" si="394"/>
        <v/>
      </c>
      <c r="EG147" s="458" t="str">
        <f t="shared" si="394"/>
        <v/>
      </c>
      <c r="EH147" s="458" t="str">
        <f t="shared" si="394"/>
        <v/>
      </c>
      <c r="EI147" s="458" t="str">
        <f t="shared" si="394"/>
        <v/>
      </c>
      <c r="EJ147" s="458" t="str">
        <f t="shared" si="394"/>
        <v/>
      </c>
      <c r="EK147" s="458" t="str">
        <f t="shared" si="394"/>
        <v/>
      </c>
      <c r="EL147" s="458" t="str">
        <f t="shared" si="394"/>
        <v/>
      </c>
      <c r="EM147" s="458" t="str">
        <f t="shared" si="394"/>
        <v/>
      </c>
      <c r="EN147" s="458" t="str">
        <f t="shared" si="394"/>
        <v/>
      </c>
      <c r="EO147" s="458" t="str">
        <f t="shared" si="394"/>
        <v/>
      </c>
      <c r="EP147" s="458" t="str">
        <f t="shared" si="384"/>
        <v/>
      </c>
      <c r="ER147" s="457" t="str">
        <f t="shared" si="307"/>
        <v xml:space="preserve">121.823,0,0.32 121.823,1.04,0.9 121.823,1.7,1.8 121.823,2.14,2.7 121.823,2.4,3.6 121.823,2.57,5.4 121.823,2.55,7.2 121.823,3.12,9 121.823,3.79,10.1 121.823,4.3,10.8 121.823,5.71,12.6 121.823,8.1,14.19 </v>
      </c>
      <c r="ES147" s="186" t="str">
        <f t="shared" si="351"/>
        <v xml:space="preserve">Spline 121.8225,0,0.32 121.823,0,0.32 121.823,1.04,0.9 121.823,1.7,1.8 121.823,2.14,2.7 121.823,2.4,3.6 121.823,2.57,5.4 121.823,2.55,7.2 121.823,3.12,9 121.823,3.79,10.1 121.823,4.3,10.8 121.823,5.71,12.6 121.823,8.1,14.19  </v>
      </c>
      <c r="ET147" s="129" t="str">
        <f t="shared" si="308"/>
        <v xml:space="preserve">Spline 121.8225,0,0.32 121.823,0,0.32 121.823,1.04,0.9 121.823,1.7,1.8 121.823,2.14,2.7 121.823,2.4,3.6 121.823,2.57,5.4 121.823,2.55,7.2 121.823,3.12,9 121.823,3.79,10.1 121.823,4.3,10.8 121.823,5.71,12.6 121.823,8.1,14.19  </v>
      </c>
      <c r="EU147" s="129">
        <f ca="1">COUNTIF(BP_22,NA())</f>
        <v>1</v>
      </c>
      <c r="EV147" s="129">
        <f t="shared" si="274"/>
        <v>0.32</v>
      </c>
      <c r="EW147" s="129">
        <v>22</v>
      </c>
      <c r="EX147" s="129" t="str">
        <f t="shared" si="275"/>
        <v xml:space="preserve">121.8225,8.1,14.19 </v>
      </c>
      <c r="EY147" s="129" t="str">
        <f t="shared" si="276"/>
        <v xml:space="preserve">Spline 121.8225,0,0.32 121.823,8.1,14.19 121.823,5.71,12.6 121.823,4.3,10.8 121.823,3.79,10.1 121.823,3.12,9 121.823,2.55,7.2 121.823,2.57,5.4 121.823,2.4,3.6 121.823,2.14,2.7 121.823,1.7,1.8 121.823,1.04,0.9 121.823,0,0.32 </v>
      </c>
      <c r="EZ147" s="186" t="str">
        <f t="shared" si="309"/>
        <v xml:space="preserve">121.823,0,0.32 121.823,1.04,0.9 121.823,1.7,1.8 121.823,2.14,2.7 121.823,2.4,3.6 121.823,2.57,5.4 121.823,2.55,7.2 121.823,3.12,9 121.823,3.79,10.1 121.823,4.3,10.8 121.823,5.71,12.6 121.823,8.1,14.19  </v>
      </c>
      <c r="FB147" s="458">
        <f t="shared" si="277"/>
        <v>121.82249999999998</v>
      </c>
      <c r="FC147" s="460" t="str">
        <f t="shared" si="310"/>
        <v>121.823,0,0.32</v>
      </c>
      <c r="FD147" s="458" t="str">
        <f t="shared" ref="FD147:GB147" si="395">IFERROR(CONCATENATE(ROUND($DP147,3),",",-ROUND(ABS(DK119),3),",",ROUND(EM119,3)," "),"")</f>
        <v/>
      </c>
      <c r="FE147" s="458" t="str">
        <f t="shared" si="395"/>
        <v xml:space="preserve">121.823,-1.04,0.9 </v>
      </c>
      <c r="FF147" s="458" t="str">
        <f t="shared" si="395"/>
        <v xml:space="preserve">121.823,-1.7,1.8 </v>
      </c>
      <c r="FG147" s="458" t="str">
        <f t="shared" si="395"/>
        <v xml:space="preserve">121.823,-2.14,2.7 </v>
      </c>
      <c r="FH147" s="458" t="str">
        <f t="shared" si="395"/>
        <v xml:space="preserve">121.823,-2.4,3.6 </v>
      </c>
      <c r="FI147" s="458" t="str">
        <f t="shared" si="395"/>
        <v xml:space="preserve">121.823,-2.57,5.4 </v>
      </c>
      <c r="FJ147" s="458" t="str">
        <f t="shared" si="395"/>
        <v xml:space="preserve">121.823,-2.55,7.2 </v>
      </c>
      <c r="FK147" s="458" t="str">
        <f t="shared" si="395"/>
        <v xml:space="preserve">121.823,-3.12,9 </v>
      </c>
      <c r="FL147" s="458" t="str">
        <f t="shared" si="395"/>
        <v xml:space="preserve">121.823,-3.79,10.1 </v>
      </c>
      <c r="FM147" s="458" t="str">
        <f t="shared" si="395"/>
        <v xml:space="preserve">121.823,-4.3,10.8 </v>
      </c>
      <c r="FN147" s="458" t="str">
        <f t="shared" si="395"/>
        <v xml:space="preserve">121.823,-5.71,12.6 </v>
      </c>
      <c r="FO147" s="458" t="str">
        <f t="shared" si="395"/>
        <v xml:space="preserve">121.823,-8.1,14.19 </v>
      </c>
      <c r="FP147" s="458" t="str">
        <f t="shared" si="395"/>
        <v/>
      </c>
      <c r="FQ147" s="458" t="str">
        <f t="shared" si="395"/>
        <v/>
      </c>
      <c r="FR147" s="458" t="str">
        <f t="shared" si="395"/>
        <v/>
      </c>
      <c r="FS147" s="458" t="str">
        <f t="shared" si="395"/>
        <v/>
      </c>
      <c r="FT147" s="458" t="str">
        <f t="shared" si="395"/>
        <v/>
      </c>
      <c r="FU147" s="458" t="str">
        <f t="shared" si="395"/>
        <v/>
      </c>
      <c r="FV147" s="458" t="str">
        <f t="shared" si="395"/>
        <v/>
      </c>
      <c r="FW147" s="458" t="str">
        <f t="shared" si="395"/>
        <v/>
      </c>
      <c r="FX147" s="458" t="str">
        <f t="shared" si="395"/>
        <v/>
      </c>
      <c r="FY147" s="458" t="str">
        <f t="shared" si="395"/>
        <v/>
      </c>
      <c r="FZ147" s="458" t="str">
        <f t="shared" si="395"/>
        <v/>
      </c>
      <c r="GA147" s="458" t="str">
        <f t="shared" si="395"/>
        <v/>
      </c>
      <c r="GB147" s="458" t="str">
        <f t="shared" si="395"/>
        <v/>
      </c>
      <c r="GC147" s="129" t="str">
        <f t="shared" si="312"/>
        <v xml:space="preserve">121.823,8.1,14.19 121.823,5.71,12.6 121.823,4.3,10.8 121.823,3.79,10.1 121.823,3.12,9 121.823,2.55,7.2 121.823,2.57,5.4 121.823,2.4,3.6 121.823,2.14,2.7 121.823,1.7,1.8 121.823,1.04,0.9 121.823,0,0.32 </v>
      </c>
      <c r="GD147" s="129" t="str">
        <f t="shared" si="279"/>
        <v>Spline 121.823,8.1,14.19 121.823,5.71,12.6 121.823,4.3,10.8 121.823,3.79,10.1 121.823,3.12,9 121.823,2.55,7.2 121.823,2.57,5.4 121.823,2.4,3.6 121.823,2.14,2.7 121.823,1.7,1.8 121.823,1.04,0.9 121.823,0,0.32 121.8225,0,0.32</v>
      </c>
      <c r="GE147" s="461" t="str">
        <f t="shared" si="313"/>
        <v xml:space="preserve">121.823,-1.04,0.9 121.823,-1.7,1.8 121.823,-2.14,2.7 121.823,-2.4,3.6 121.823,-2.57,5.4 121.823,-2.55,7.2 121.823,-3.12,9 121.823,-3.79,10.1 121.823,-4.3,10.8 121.823,-5.71,12.6 121.823,-8.1,14.19 </v>
      </c>
      <c r="GH147" s="129" t="str">
        <f t="shared" si="314"/>
        <v xml:space="preserve">Spline 121.823,8.1,14.19 121.823,5.71,12.6 121.823,4.3,10.8 121.823,3.79,10.1 121.823,3.12,9 121.823,2.55,7.2 121.823,2.57,5.4 121.823,2.4,3.6 121.823,2.14,2.7 121.823,1.7,1.8 121.823,1.04,0.9 121.823,0,0.32 </v>
      </c>
      <c r="GI147" s="129" t="str">
        <f t="shared" si="315"/>
        <v/>
      </c>
      <c r="GP147" s="129" t="str">
        <f t="shared" si="280"/>
        <v xml:space="preserve">121.823,0,0.32 </v>
      </c>
      <c r="GQ147" s="129" t="str">
        <f t="shared" si="316"/>
        <v>Curve 121.823,8.1,14.19 121.823,5.71,12.6 121.823,4.3,10.8 121.823,3.79,10.1 121.823,3.12,9 121.823,2.55,7.2 121.823,2.57,5.4 121.823,2.4,3.6 121.823,2.14,2.7 121.823,1.7,1.8 121.823,1.04,0.9 121.823,0,0.32 _enter</v>
      </c>
    </row>
    <row r="148" spans="1:199" x14ac:dyDescent="0.25">
      <c r="A148" s="374" t="str">
        <f t="shared" si="382"/>
        <v xml:space="preserve">  </v>
      </c>
      <c r="B148" s="377" t="str">
        <f t="shared" si="281"/>
        <v/>
      </c>
      <c r="C148" s="377" t="str">
        <f t="shared" si="282"/>
        <v/>
      </c>
      <c r="D148" s="377" t="str">
        <f t="shared" si="283"/>
        <v/>
      </c>
      <c r="E148" s="377" t="str">
        <f t="shared" si="284"/>
        <v/>
      </c>
      <c r="F148" s="377" t="str">
        <f t="shared" si="285"/>
        <v/>
      </c>
      <c r="G148" s="377" t="str">
        <f t="shared" si="286"/>
        <v/>
      </c>
      <c r="H148" s="377" t="str">
        <f t="shared" si="287"/>
        <v/>
      </c>
      <c r="I148" s="377" t="str">
        <f t="shared" si="288"/>
        <v/>
      </c>
      <c r="J148" s="377" t="str">
        <f t="shared" si="289"/>
        <v/>
      </c>
      <c r="K148" s="377" t="str">
        <f t="shared" si="290"/>
        <v/>
      </c>
      <c r="L148" s="377" t="str">
        <f t="shared" si="291"/>
        <v/>
      </c>
      <c r="M148" s="377" t="str">
        <f t="shared" si="292"/>
        <v/>
      </c>
      <c r="N148" s="377" t="str">
        <f t="shared" si="293"/>
        <v/>
      </c>
      <c r="O148" s="377" t="str">
        <f t="shared" si="294"/>
        <v/>
      </c>
      <c r="P148" s="377" t="str">
        <f t="shared" si="295"/>
        <v/>
      </c>
      <c r="Q148" s="377" t="str">
        <f t="shared" si="296"/>
        <v/>
      </c>
      <c r="R148" s="377" t="str">
        <f t="shared" si="297"/>
        <v/>
      </c>
      <c r="S148" s="377" t="str">
        <f t="shared" si="298"/>
        <v/>
      </c>
      <c r="T148" s="377" t="str">
        <f t="shared" si="299"/>
        <v/>
      </c>
      <c r="U148" s="377" t="str">
        <f t="shared" si="300"/>
        <v/>
      </c>
      <c r="V148" s="377" t="str">
        <f t="shared" si="301"/>
        <v/>
      </c>
      <c r="W148" s="377" t="str">
        <f t="shared" si="302"/>
        <v/>
      </c>
      <c r="X148" s="377" t="str">
        <f t="shared" si="303"/>
        <v/>
      </c>
      <c r="Y148" s="377" t="str">
        <f t="shared" si="304"/>
        <v/>
      </c>
      <c r="Z148" s="395" t="str">
        <f t="shared" si="305"/>
        <v/>
      </c>
      <c r="AB148" s="245" t="str">
        <f t="shared" si="317"/>
        <v xml:space="preserve">  </v>
      </c>
      <c r="AC148" s="245" t="str">
        <f>Tools!B148</f>
        <v/>
      </c>
      <c r="AD148" s="245" t="str">
        <f>Tools!C148</f>
        <v/>
      </c>
      <c r="AE148" s="245" t="str">
        <f>Tools!D148</f>
        <v/>
      </c>
      <c r="AF148" s="245" t="str">
        <f>Tools!E148</f>
        <v/>
      </c>
      <c r="AG148" s="245" t="str">
        <f>Tools!F148</f>
        <v/>
      </c>
      <c r="AH148" s="245" t="str">
        <f>Tools!G148</f>
        <v/>
      </c>
      <c r="AI148" s="245" t="str">
        <f>Tools!H148</f>
        <v/>
      </c>
      <c r="AJ148" s="245" t="str">
        <f>Tools!I148</f>
        <v/>
      </c>
      <c r="AK148" s="245" t="str">
        <f>Tools!J148</f>
        <v/>
      </c>
      <c r="AL148" s="245" t="str">
        <f>Tools!K148</f>
        <v/>
      </c>
      <c r="AM148" s="245" t="str">
        <f>Tools!L148</f>
        <v/>
      </c>
      <c r="AN148" s="245" t="str">
        <f>Tools!M148</f>
        <v/>
      </c>
      <c r="AO148" s="245" t="str">
        <f>Tools!N148</f>
        <v/>
      </c>
      <c r="AP148" s="245" t="str">
        <f>Tools!O148</f>
        <v/>
      </c>
      <c r="AQ148" s="245" t="str">
        <f>Tools!P148</f>
        <v/>
      </c>
      <c r="AR148" s="245" t="str">
        <f>Tools!Q148</f>
        <v/>
      </c>
      <c r="AS148" s="245" t="str">
        <f>Tools!R148</f>
        <v/>
      </c>
      <c r="AT148" s="245" t="str">
        <f>Tools!S148</f>
        <v/>
      </c>
      <c r="AU148" s="245" t="str">
        <f>Tools!T148</f>
        <v/>
      </c>
      <c r="AV148" s="245" t="str">
        <f>Tools!U148</f>
        <v/>
      </c>
      <c r="AW148" s="245" t="str">
        <f>Tools!V148</f>
        <v/>
      </c>
      <c r="AX148" s="245" t="str">
        <f>Tools!W148</f>
        <v/>
      </c>
      <c r="AY148" s="245" t="str">
        <f>Tools!X148</f>
        <v/>
      </c>
      <c r="AZ148" s="245" t="str">
        <f>Tools!Y148</f>
        <v/>
      </c>
      <c r="BA148" s="396" t="str">
        <f>Tools!Z148</f>
        <v/>
      </c>
      <c r="BC148" s="274">
        <f>'Rise, etc.'!O24</f>
        <v>18</v>
      </c>
      <c r="BD148" s="277" t="str">
        <f>IF(ISNUMBER(VLOOKUP(BC148,'Rise, etc.'!O$3:P$28,2,FALSE)),VLOOKUP(BC148,'Rise, etc.'!O$3:P$28,2,FALSE),"-")</f>
        <v>-</v>
      </c>
      <c r="BE148" s="277" t="e">
        <f t="shared" si="353"/>
        <v>#VALUE!</v>
      </c>
      <c r="BF148" s="277" t="str">
        <f t="shared" si="319"/>
        <v>#NA</v>
      </c>
      <c r="BG148" s="277" t="str">
        <f t="shared" si="320"/>
        <v>#NA</v>
      </c>
      <c r="BH148" s="277" t="str">
        <f t="shared" si="321"/>
        <v>#NA</v>
      </c>
      <c r="BI148" s="277" t="str">
        <f t="shared" si="322"/>
        <v>#NA</v>
      </c>
      <c r="BJ148" s="277" t="str">
        <f t="shared" si="323"/>
        <v>#NA</v>
      </c>
      <c r="BK148" s="277" t="str">
        <f t="shared" si="324"/>
        <v>#NA</v>
      </c>
      <c r="BL148" s="277" t="str">
        <f t="shared" si="325"/>
        <v>#NA</v>
      </c>
      <c r="BM148" s="277"/>
      <c r="BN148" s="277" t="e">
        <f t="shared" si="326"/>
        <v>#VALUE!</v>
      </c>
      <c r="BO148" s="277" t="e">
        <f t="shared" si="327"/>
        <v>#VALUE!</v>
      </c>
      <c r="BP148" s="277" t="e">
        <f t="shared" si="328"/>
        <v>#VALUE!</v>
      </c>
      <c r="BQ148" s="277" t="e">
        <f t="shared" si="329"/>
        <v>#VALUE!</v>
      </c>
      <c r="BR148" s="277" t="e">
        <f t="shared" si="330"/>
        <v>#VALUE!</v>
      </c>
      <c r="BS148" s="277" t="e">
        <f t="shared" si="331"/>
        <v>#VALUE!</v>
      </c>
      <c r="BT148" s="277" t="e">
        <f t="shared" si="332"/>
        <v>#VALUE!</v>
      </c>
      <c r="BU148" s="277" t="e">
        <f t="shared" si="333"/>
        <v>#VALUE!</v>
      </c>
      <c r="BV148" s="277" t="e">
        <f t="shared" si="334"/>
        <v>#VALUE!</v>
      </c>
      <c r="BW148" s="277" t="e">
        <f t="shared" si="335"/>
        <v>#VALUE!</v>
      </c>
      <c r="BX148" s="277" t="e">
        <f t="shared" si="354"/>
        <v>#VALUE!</v>
      </c>
      <c r="BY148" s="277" t="e">
        <f t="shared" si="336"/>
        <v>#VALUE!</v>
      </c>
      <c r="BZ148" s="277" t="e">
        <f t="shared" si="337"/>
        <v>#VALUE!</v>
      </c>
      <c r="CA148" s="277" t="e">
        <f t="shared" si="338"/>
        <v>#VALUE!</v>
      </c>
      <c r="CB148" s="277" t="e">
        <f t="shared" si="339"/>
        <v>#VALUE!</v>
      </c>
      <c r="CC148" s="277" t="e">
        <f t="shared" si="340"/>
        <v>#VALUE!</v>
      </c>
      <c r="CD148" s="277" t="e">
        <f t="shared" si="341"/>
        <v>#VALUE!</v>
      </c>
      <c r="CE148" s="277" t="e">
        <f t="shared" si="342"/>
        <v>#VALUE!</v>
      </c>
      <c r="CF148" s="277" t="e">
        <f t="shared" si="343"/>
        <v>#VALUE!</v>
      </c>
      <c r="CG148" s="277" t="e">
        <f t="shared" si="344"/>
        <v>#VALUE!</v>
      </c>
      <c r="CH148" s="277" t="e">
        <f t="shared" si="345"/>
        <v>#VALUE!</v>
      </c>
      <c r="CI148" s="277" t="e">
        <f t="shared" si="346"/>
        <v>#VALUE!</v>
      </c>
      <c r="CJ148" s="277" t="e">
        <f t="shared" si="347"/>
        <v>#VALUE!</v>
      </c>
      <c r="CK148" s="277" t="e">
        <f t="shared" si="348"/>
        <v>#VALUE!</v>
      </c>
      <c r="CL148" s="277" t="e">
        <f t="shared" si="349"/>
        <v>#VALUE!</v>
      </c>
      <c r="CM148" s="276">
        <f t="shared" si="355"/>
        <v>0</v>
      </c>
      <c r="CO148" s="454" t="e">
        <v>#N/A</v>
      </c>
      <c r="CP148" s="454" t="e">
        <v>#N/A</v>
      </c>
      <c r="CQ148" s="454" t="e">
        <v>#N/A</v>
      </c>
      <c r="CR148" s="454" t="e">
        <v>#N/A</v>
      </c>
      <c r="CS148" s="454" t="e">
        <v>#N/A</v>
      </c>
      <c r="CT148" s="454" t="e">
        <v>#N/A</v>
      </c>
      <c r="CU148" s="454" t="e">
        <v>#N/A</v>
      </c>
      <c r="CV148" s="454" t="e">
        <v>#N/A</v>
      </c>
      <c r="CW148" s="454" t="e">
        <v>#N/A</v>
      </c>
      <c r="CX148" s="454" t="e">
        <v>#N/A</v>
      </c>
      <c r="CY148" s="454" t="e">
        <v>#N/A</v>
      </c>
      <c r="CZ148" s="454" t="e">
        <v>#N/A</v>
      </c>
      <c r="DA148" s="454" t="e">
        <v>#N/A</v>
      </c>
      <c r="DB148" s="454" t="e">
        <v>#N/A</v>
      </c>
      <c r="DC148" s="454" t="e">
        <v>#N/A</v>
      </c>
      <c r="DD148" s="454" t="e">
        <v>#N/A</v>
      </c>
      <c r="DE148" s="454" t="e">
        <v>#N/A</v>
      </c>
      <c r="DF148" s="454" t="e">
        <v>#N/A</v>
      </c>
      <c r="DG148" s="454" t="e">
        <v>#N/A</v>
      </c>
      <c r="DH148" s="454" t="e">
        <v>#N/A</v>
      </c>
      <c r="DI148" s="454" t="e">
        <v>#N/A</v>
      </c>
      <c r="DJ148" s="454" t="e">
        <v>#N/A</v>
      </c>
      <c r="DK148" s="454" t="e">
        <v>#N/A</v>
      </c>
      <c r="DL148" s="454" t="e">
        <v>#N/A</v>
      </c>
      <c r="DM148" s="454" t="e">
        <v>#N/A</v>
      </c>
      <c r="DN148" s="454" t="e">
        <v>#N/A</v>
      </c>
      <c r="DP148" s="458">
        <f t="shared" si="272"/>
        <v>125.11499999999998</v>
      </c>
      <c r="DQ148" s="458" t="str">
        <f t="shared" si="383"/>
        <v xml:space="preserve">125.115,0,0.66 </v>
      </c>
      <c r="DR148" s="458" t="str">
        <f t="shared" ref="DR148:EO148" si="396">IFERROR(CONCATENATE(ROUND($DP148,3),",",ROUND(ABS(DK120),3),",",ROUND(EM120,3)," "),"")</f>
        <v/>
      </c>
      <c r="DS148" s="458" t="str">
        <f t="shared" si="396"/>
        <v xml:space="preserve">125.115,0.64,0.9 </v>
      </c>
      <c r="DT148" s="458" t="str">
        <f t="shared" si="396"/>
        <v xml:space="preserve">125.115,1.27,1.8 </v>
      </c>
      <c r="DU148" s="458" t="str">
        <f t="shared" si="396"/>
        <v xml:space="preserve">125.115,1.68,2.7 </v>
      </c>
      <c r="DV148" s="458" t="str">
        <f t="shared" si="396"/>
        <v xml:space="preserve">125.115,1.96,3.6 </v>
      </c>
      <c r="DW148" s="458" t="str">
        <f t="shared" si="396"/>
        <v xml:space="preserve">125.115,2.1,5.4 </v>
      </c>
      <c r="DX148" s="458" t="str">
        <f t="shared" si="396"/>
        <v xml:space="preserve">125.115,1.8,7.2 </v>
      </c>
      <c r="DY148" s="458" t="str">
        <f t="shared" si="396"/>
        <v xml:space="preserve">125.115,2,9 </v>
      </c>
      <c r="DZ148" s="458" t="str">
        <f t="shared" si="396"/>
        <v xml:space="preserve">125.115,2.61,10.1 </v>
      </c>
      <c r="EA148" s="458" t="str">
        <f t="shared" si="396"/>
        <v xml:space="preserve">125.115,3.1,10.8 </v>
      </c>
      <c r="EB148" s="458" t="str">
        <f t="shared" si="396"/>
        <v xml:space="preserve">125.115,4.42,12.6 </v>
      </c>
      <c r="EC148" s="458" t="str">
        <f t="shared" si="396"/>
        <v xml:space="preserve">125.115,5.76,14.19 </v>
      </c>
      <c r="ED148" s="458" t="str">
        <f t="shared" si="396"/>
        <v/>
      </c>
      <c r="EE148" s="458" t="str">
        <f t="shared" si="396"/>
        <v/>
      </c>
      <c r="EF148" s="458" t="str">
        <f t="shared" si="396"/>
        <v/>
      </c>
      <c r="EG148" s="458" t="str">
        <f t="shared" si="396"/>
        <v/>
      </c>
      <c r="EH148" s="458" t="str">
        <f t="shared" si="396"/>
        <v/>
      </c>
      <c r="EI148" s="458" t="str">
        <f t="shared" si="396"/>
        <v/>
      </c>
      <c r="EJ148" s="458" t="str">
        <f t="shared" si="396"/>
        <v/>
      </c>
      <c r="EK148" s="458" t="str">
        <f t="shared" si="396"/>
        <v/>
      </c>
      <c r="EL148" s="458" t="str">
        <f t="shared" si="396"/>
        <v/>
      </c>
      <c r="EM148" s="458" t="str">
        <f t="shared" si="396"/>
        <v/>
      </c>
      <c r="EN148" s="458" t="str">
        <f t="shared" si="396"/>
        <v/>
      </c>
      <c r="EO148" s="458" t="str">
        <f t="shared" si="396"/>
        <v/>
      </c>
      <c r="EP148" s="458" t="str">
        <f t="shared" si="384"/>
        <v/>
      </c>
      <c r="ER148" s="457" t="str">
        <f t="shared" si="307"/>
        <v xml:space="preserve">125.115,0,0.66 125.115,0.64,0.9 125.115,1.27,1.8 125.115,1.68,2.7 125.115,1.96,3.6 125.115,2.1,5.4 125.115,1.8,7.2 125.115,2,9 125.115,2.61,10.1 125.115,3.1,10.8 125.115,4.42,12.6 125.115,5.76,14.19 </v>
      </c>
      <c r="ES148" s="186" t="str">
        <f t="shared" si="351"/>
        <v xml:space="preserve">Spline 125.115,0,0.66 125.115,0,0.66 125.115,0.64,0.9 125.115,1.27,1.8 125.115,1.68,2.7 125.115,1.96,3.6 125.115,2.1,5.4 125.115,1.8,7.2 125.115,2,9 125.115,2.61,10.1 125.115,3.1,10.8 125.115,4.42,12.6 125.115,5.76,14.19  </v>
      </c>
      <c r="ET148" s="129" t="str">
        <f t="shared" si="308"/>
        <v xml:space="preserve">Spline 125.115,0,0.66 125.115,0,0.66 125.115,0.64,0.9 125.115,1.27,1.8 125.115,1.68,2.7 125.115,1.96,3.6 125.115,2.1,5.4 125.115,1.8,7.2 125.115,2,9 125.115,2.61,10.1 125.115,3.1,10.8 125.115,4.42,12.6 125.115,5.76,14.19  </v>
      </c>
      <c r="EU148" s="129">
        <f ca="1">COUNTIF(BP_23,NA())</f>
        <v>1</v>
      </c>
      <c r="EV148" s="129">
        <f t="shared" si="274"/>
        <v>0.66</v>
      </c>
      <c r="EW148" s="129">
        <v>23</v>
      </c>
      <c r="EX148" s="129" t="str">
        <f t="shared" si="275"/>
        <v xml:space="preserve">125.115,5.76,14.19 </v>
      </c>
      <c r="EY148" s="129" t="str">
        <f t="shared" si="276"/>
        <v xml:space="preserve">Spline 125.115,0,0.66 125.115,5.76,14.19 125.115,4.42,12.6 125.115,3.1,10.8 125.115,2.61,10.1 125.115,2,9 125.115,1.8,7.2 125.115,2.1,5.4 125.115,1.96,3.6 125.115,1.68,2.7 125.115,1.27,1.8 125.115,0.64,0.9 125.115,0,0.66 </v>
      </c>
      <c r="EZ148" s="186" t="str">
        <f t="shared" si="309"/>
        <v xml:space="preserve">125.115,0,0.66 125.115,0.64,0.9 125.115,1.27,1.8 125.115,1.68,2.7 125.115,1.96,3.6 125.115,2.1,5.4 125.115,1.8,7.2 125.115,2,9 125.115,2.61,10.1 125.115,3.1,10.8 125.115,4.42,12.6 125.115,5.76,14.19  </v>
      </c>
      <c r="FB148" s="458">
        <f t="shared" si="277"/>
        <v>125.11499999999998</v>
      </c>
      <c r="FC148" s="460" t="str">
        <f t="shared" si="310"/>
        <v>125.115,0,0.66</v>
      </c>
      <c r="FD148" s="458" t="str">
        <f t="shared" ref="FD148:GB148" si="397">IFERROR(CONCATENATE(ROUND($DP148,3),",",-ROUND(ABS(DK120),3),",",ROUND(EM120,3)," "),"")</f>
        <v/>
      </c>
      <c r="FE148" s="458" t="str">
        <f t="shared" si="397"/>
        <v xml:space="preserve">125.115,-0.64,0.9 </v>
      </c>
      <c r="FF148" s="458" t="str">
        <f t="shared" si="397"/>
        <v xml:space="preserve">125.115,-1.27,1.8 </v>
      </c>
      <c r="FG148" s="458" t="str">
        <f t="shared" si="397"/>
        <v xml:space="preserve">125.115,-1.68,2.7 </v>
      </c>
      <c r="FH148" s="458" t="str">
        <f t="shared" si="397"/>
        <v xml:space="preserve">125.115,-1.96,3.6 </v>
      </c>
      <c r="FI148" s="458" t="str">
        <f t="shared" si="397"/>
        <v xml:space="preserve">125.115,-2.1,5.4 </v>
      </c>
      <c r="FJ148" s="458" t="str">
        <f t="shared" si="397"/>
        <v xml:space="preserve">125.115,-1.8,7.2 </v>
      </c>
      <c r="FK148" s="458" t="str">
        <f t="shared" si="397"/>
        <v xml:space="preserve">125.115,-2,9 </v>
      </c>
      <c r="FL148" s="458" t="str">
        <f t="shared" si="397"/>
        <v xml:space="preserve">125.115,-2.61,10.1 </v>
      </c>
      <c r="FM148" s="458" t="str">
        <f t="shared" si="397"/>
        <v xml:space="preserve">125.115,-3.1,10.8 </v>
      </c>
      <c r="FN148" s="458" t="str">
        <f t="shared" si="397"/>
        <v xml:space="preserve">125.115,-4.42,12.6 </v>
      </c>
      <c r="FO148" s="458" t="str">
        <f t="shared" si="397"/>
        <v xml:space="preserve">125.115,-5.76,14.19 </v>
      </c>
      <c r="FP148" s="458" t="str">
        <f t="shared" si="397"/>
        <v/>
      </c>
      <c r="FQ148" s="458" t="str">
        <f t="shared" si="397"/>
        <v/>
      </c>
      <c r="FR148" s="458" t="str">
        <f t="shared" si="397"/>
        <v/>
      </c>
      <c r="FS148" s="458" t="str">
        <f t="shared" si="397"/>
        <v/>
      </c>
      <c r="FT148" s="458" t="str">
        <f t="shared" si="397"/>
        <v/>
      </c>
      <c r="FU148" s="458" t="str">
        <f t="shared" si="397"/>
        <v/>
      </c>
      <c r="FV148" s="458" t="str">
        <f t="shared" si="397"/>
        <v/>
      </c>
      <c r="FW148" s="458" t="str">
        <f t="shared" si="397"/>
        <v/>
      </c>
      <c r="FX148" s="458" t="str">
        <f t="shared" si="397"/>
        <v/>
      </c>
      <c r="FY148" s="458" t="str">
        <f t="shared" si="397"/>
        <v/>
      </c>
      <c r="FZ148" s="458" t="str">
        <f t="shared" si="397"/>
        <v/>
      </c>
      <c r="GA148" s="458" t="str">
        <f t="shared" si="397"/>
        <v/>
      </c>
      <c r="GB148" s="458" t="str">
        <f t="shared" si="397"/>
        <v/>
      </c>
      <c r="GC148" s="129" t="str">
        <f t="shared" si="312"/>
        <v xml:space="preserve">125.115,5.76,14.19 125.115,4.42,12.6 125.115,3.1,10.8 125.115,2.61,10.1 125.115,2,9 125.115,1.8,7.2 125.115,2.1,5.4 125.115,1.96,3.6 125.115,1.68,2.7 125.115,1.27,1.8 125.115,0.64,0.9 125.115,0,0.66 </v>
      </c>
      <c r="GD148" s="129" t="str">
        <f t="shared" si="279"/>
        <v>Spline 125.115,5.76,14.19 125.115,4.42,12.6 125.115,3.1,10.8 125.115,2.61,10.1 125.115,2,9 125.115,1.8,7.2 125.115,2.1,5.4 125.115,1.96,3.6 125.115,1.68,2.7 125.115,1.27,1.8 125.115,0.64,0.9 125.115,0,0.66 125.115,0,0.66</v>
      </c>
      <c r="GE148" s="461" t="str">
        <f t="shared" si="313"/>
        <v xml:space="preserve">125.115,-0.64,0.9 125.115,-1.27,1.8 125.115,-1.68,2.7 125.115,-1.96,3.6 125.115,-2.1,5.4 125.115,-1.8,7.2 125.115,-2,9 125.115,-2.61,10.1 125.115,-3.1,10.8 125.115,-4.42,12.6 125.115,-5.76,14.19 </v>
      </c>
      <c r="GH148" s="129" t="str">
        <f t="shared" si="314"/>
        <v xml:space="preserve">Spline 125.115,5.76,14.19 125.115,4.42,12.6 125.115,3.1,10.8 125.115,2.61,10.1 125.115,2,9 125.115,1.8,7.2 125.115,2.1,5.4 125.115,1.96,3.6 125.115,1.68,2.7 125.115,1.27,1.8 125.115,0.64,0.9 125.115,0,0.66 </v>
      </c>
      <c r="GI148" s="129" t="str">
        <f t="shared" si="315"/>
        <v/>
      </c>
      <c r="GP148" s="129" t="str">
        <f t="shared" si="280"/>
        <v xml:space="preserve">125.115,0,0.66 </v>
      </c>
      <c r="GQ148" s="129" t="str">
        <f t="shared" si="316"/>
        <v>Curve 125.115,5.76,14.19 125.115,4.42,12.6 125.115,3.1,10.8 125.115,2.61,10.1 125.115,2,9 125.115,1.8,7.2 125.115,2.1,5.4 125.115,1.96,3.6 125.115,1.68,2.7 125.115,1.27,1.8 125.115,0.64,0.9 125.115,0,0.66 _enter</v>
      </c>
    </row>
    <row r="149" spans="1:199" ht="20.25" customHeight="1" x14ac:dyDescent="0.25">
      <c r="A149" s="374" t="str">
        <f t="shared" si="382"/>
        <v xml:space="preserve">  </v>
      </c>
      <c r="B149" s="377" t="str">
        <f t="shared" si="281"/>
        <v/>
      </c>
      <c r="C149" s="377" t="str">
        <f t="shared" si="282"/>
        <v/>
      </c>
      <c r="D149" s="377" t="str">
        <f t="shared" si="283"/>
        <v/>
      </c>
      <c r="E149" s="377" t="str">
        <f t="shared" si="284"/>
        <v/>
      </c>
      <c r="F149" s="377" t="str">
        <f t="shared" si="285"/>
        <v/>
      </c>
      <c r="G149" s="377" t="str">
        <f t="shared" si="286"/>
        <v/>
      </c>
      <c r="H149" s="377" t="str">
        <f t="shared" si="287"/>
        <v/>
      </c>
      <c r="I149" s="377" t="str">
        <f t="shared" si="288"/>
        <v/>
      </c>
      <c r="J149" s="377" t="str">
        <f t="shared" si="289"/>
        <v/>
      </c>
      <c r="K149" s="377" t="str">
        <f t="shared" si="290"/>
        <v/>
      </c>
      <c r="L149" s="377" t="str">
        <f t="shared" si="291"/>
        <v/>
      </c>
      <c r="M149" s="377" t="str">
        <f t="shared" si="292"/>
        <v/>
      </c>
      <c r="N149" s="377" t="str">
        <f t="shared" si="293"/>
        <v/>
      </c>
      <c r="O149" s="377" t="str">
        <f t="shared" si="294"/>
        <v/>
      </c>
      <c r="P149" s="377" t="str">
        <f t="shared" si="295"/>
        <v/>
      </c>
      <c r="Q149" s="377" t="str">
        <f t="shared" si="296"/>
        <v/>
      </c>
      <c r="R149" s="377" t="str">
        <f t="shared" si="297"/>
        <v/>
      </c>
      <c r="S149" s="377" t="str">
        <f t="shared" si="298"/>
        <v/>
      </c>
      <c r="T149" s="377" t="str">
        <f t="shared" si="299"/>
        <v/>
      </c>
      <c r="U149" s="377" t="str">
        <f t="shared" si="300"/>
        <v/>
      </c>
      <c r="V149" s="377" t="str">
        <f t="shared" si="301"/>
        <v/>
      </c>
      <c r="W149" s="377" t="str">
        <f t="shared" si="302"/>
        <v/>
      </c>
      <c r="X149" s="377" t="str">
        <f t="shared" si="303"/>
        <v/>
      </c>
      <c r="Y149" s="377" t="str">
        <f t="shared" si="304"/>
        <v/>
      </c>
      <c r="Z149" s="395" t="str">
        <f t="shared" si="305"/>
        <v/>
      </c>
      <c r="AB149" s="245" t="str">
        <f t="shared" si="317"/>
        <v xml:space="preserve">  </v>
      </c>
      <c r="AC149" s="245" t="str">
        <f>Tools!B149</f>
        <v/>
      </c>
      <c r="AD149" s="245" t="str">
        <f>Tools!C149</f>
        <v/>
      </c>
      <c r="AE149" s="245" t="str">
        <f>Tools!D149</f>
        <v/>
      </c>
      <c r="AF149" s="245" t="str">
        <f>Tools!E149</f>
        <v/>
      </c>
      <c r="AG149" s="245" t="str">
        <f>Tools!F149</f>
        <v/>
      </c>
      <c r="AH149" s="245" t="str">
        <f>Tools!G149</f>
        <v/>
      </c>
      <c r="AI149" s="245" t="str">
        <f>Tools!H149</f>
        <v/>
      </c>
      <c r="AJ149" s="245" t="str">
        <f>Tools!I149</f>
        <v/>
      </c>
      <c r="AK149" s="245" t="str">
        <f>Tools!J149</f>
        <v/>
      </c>
      <c r="AL149" s="245" t="str">
        <f>Tools!K149</f>
        <v/>
      </c>
      <c r="AM149" s="245" t="str">
        <f>Tools!L149</f>
        <v/>
      </c>
      <c r="AN149" s="245" t="str">
        <f>Tools!M149</f>
        <v/>
      </c>
      <c r="AO149" s="245" t="str">
        <f>Tools!N149</f>
        <v/>
      </c>
      <c r="AP149" s="245" t="str">
        <f>Tools!O149</f>
        <v/>
      </c>
      <c r="AQ149" s="245" t="str">
        <f>Tools!P149</f>
        <v/>
      </c>
      <c r="AR149" s="245" t="str">
        <f>Tools!Q149</f>
        <v/>
      </c>
      <c r="AS149" s="245" t="str">
        <f>Tools!R149</f>
        <v/>
      </c>
      <c r="AT149" s="245" t="str">
        <f>Tools!S149</f>
        <v/>
      </c>
      <c r="AU149" s="245" t="str">
        <f>Tools!T149</f>
        <v/>
      </c>
      <c r="AV149" s="245" t="str">
        <f>Tools!U149</f>
        <v/>
      </c>
      <c r="AW149" s="245" t="str">
        <f>Tools!V149</f>
        <v/>
      </c>
      <c r="AX149" s="245" t="str">
        <f>Tools!W149</f>
        <v/>
      </c>
      <c r="AY149" s="245" t="str">
        <f>Tools!X149</f>
        <v/>
      </c>
      <c r="AZ149" s="245" t="str">
        <f>Tools!Y149</f>
        <v/>
      </c>
      <c r="BA149" s="396" t="str">
        <f>Tools!Z149</f>
        <v/>
      </c>
      <c r="BC149" s="274">
        <f>'Rise, etc.'!O25</f>
        <v>18.5</v>
      </c>
      <c r="BD149" s="277">
        <f>IF(ISNUMBER(VLOOKUP(BC149,'Rise, etc.'!O$3:P$28,2,FALSE)),VLOOKUP(BC149,'Rise, etc.'!O$3:P$28,2,FALSE),"-")</f>
        <v>0.32</v>
      </c>
      <c r="BE149" s="277">
        <f t="shared" si="353"/>
        <v>0.17777777777777778</v>
      </c>
      <c r="BF149" s="277">
        <f t="shared" si="319"/>
        <v>0.5</v>
      </c>
      <c r="BG149" s="277">
        <f t="shared" si="320"/>
        <v>1</v>
      </c>
      <c r="BH149" s="277">
        <f t="shared" si="321"/>
        <v>1.5</v>
      </c>
      <c r="BI149" s="277">
        <f t="shared" si="322"/>
        <v>2</v>
      </c>
      <c r="BJ149" s="277">
        <f t="shared" si="323"/>
        <v>3</v>
      </c>
      <c r="BK149" s="277">
        <f t="shared" si="324"/>
        <v>4</v>
      </c>
      <c r="BL149" s="277">
        <f t="shared" si="325"/>
        <v>5</v>
      </c>
      <c r="BM149" s="277"/>
      <c r="BN149" s="277" t="b">
        <f t="shared" si="326"/>
        <v>1</v>
      </c>
      <c r="BO149" s="277" t="b">
        <f t="shared" si="327"/>
        <v>0</v>
      </c>
      <c r="BP149" s="277" t="b">
        <f t="shared" si="328"/>
        <v>0</v>
      </c>
      <c r="BQ149" s="277" t="b">
        <f t="shared" si="329"/>
        <v>0</v>
      </c>
      <c r="BR149" s="277" t="b">
        <f t="shared" si="330"/>
        <v>0</v>
      </c>
      <c r="BS149" s="277" t="b">
        <f t="shared" si="331"/>
        <v>0</v>
      </c>
      <c r="BT149" s="277" t="b">
        <f t="shared" si="332"/>
        <v>0</v>
      </c>
      <c r="BU149" s="277" t="b">
        <f t="shared" si="333"/>
        <v>0</v>
      </c>
      <c r="BV149" s="277" t="b">
        <f t="shared" si="334"/>
        <v>0</v>
      </c>
      <c r="BW149" s="277" t="b">
        <f t="shared" si="335"/>
        <v>0</v>
      </c>
      <c r="BX149" s="277" t="b">
        <f t="shared" si="354"/>
        <v>0</v>
      </c>
      <c r="BY149" s="277" t="b">
        <f t="shared" si="336"/>
        <v>0</v>
      </c>
      <c r="BZ149" s="277" t="b">
        <f t="shared" si="337"/>
        <v>0</v>
      </c>
      <c r="CA149" s="277" t="b">
        <f t="shared" si="338"/>
        <v>0</v>
      </c>
      <c r="CB149" s="277" t="b">
        <f t="shared" si="339"/>
        <v>0</v>
      </c>
      <c r="CC149" s="277" t="b">
        <f t="shared" si="340"/>
        <v>0</v>
      </c>
      <c r="CD149" s="277" t="b">
        <f t="shared" si="341"/>
        <v>0</v>
      </c>
      <c r="CE149" s="277" t="b">
        <f t="shared" si="342"/>
        <v>0</v>
      </c>
      <c r="CF149" s="277" t="b">
        <f t="shared" si="343"/>
        <v>0</v>
      </c>
      <c r="CG149" s="277" t="b">
        <f t="shared" si="344"/>
        <v>0</v>
      </c>
      <c r="CH149" s="277" t="b">
        <f t="shared" si="345"/>
        <v>0</v>
      </c>
      <c r="CI149" s="277" t="b">
        <f t="shared" si="346"/>
        <v>0</v>
      </c>
      <c r="CJ149" s="277" t="b">
        <f t="shared" si="347"/>
        <v>0</v>
      </c>
      <c r="CK149" s="277" t="b">
        <f t="shared" si="348"/>
        <v>0</v>
      </c>
      <c r="CL149" s="277" t="b">
        <f t="shared" si="349"/>
        <v>0</v>
      </c>
      <c r="CM149" s="276">
        <f t="shared" si="355"/>
        <v>1</v>
      </c>
      <c r="CO149" s="454" t="e">
        <v>#N/A</v>
      </c>
      <c r="CP149" s="454" t="e">
        <v>#N/A</v>
      </c>
      <c r="CQ149" s="454" t="e">
        <v>#N/A</v>
      </c>
      <c r="CR149" s="454" t="e">
        <v>#N/A</v>
      </c>
      <c r="CS149" s="454" t="e">
        <v>#N/A</v>
      </c>
      <c r="CT149" s="454" t="e">
        <v>#N/A</v>
      </c>
      <c r="CU149" s="454" t="e">
        <v>#N/A</v>
      </c>
      <c r="CV149" s="454" t="e">
        <v>#N/A</v>
      </c>
      <c r="CW149" s="454" t="e">
        <v>#N/A</v>
      </c>
      <c r="CX149" s="454" t="e">
        <v>#N/A</v>
      </c>
      <c r="CY149" s="454" t="e">
        <v>#N/A</v>
      </c>
      <c r="CZ149" s="454" t="e">
        <v>#N/A</v>
      </c>
      <c r="DA149" s="454" t="e">
        <v>#N/A</v>
      </c>
      <c r="DB149" s="454" t="e">
        <v>#N/A</v>
      </c>
      <c r="DC149" s="454" t="e">
        <v>#N/A</v>
      </c>
      <c r="DD149" s="454" t="e">
        <v>#N/A</v>
      </c>
      <c r="DE149" s="454" t="e">
        <v>#N/A</v>
      </c>
      <c r="DF149" s="454" t="e">
        <v>#N/A</v>
      </c>
      <c r="DG149" s="454" t="e">
        <v>#N/A</v>
      </c>
      <c r="DH149" s="454" t="e">
        <v>#N/A</v>
      </c>
      <c r="DI149" s="454" t="e">
        <v>#N/A</v>
      </c>
      <c r="DJ149" s="454" t="e">
        <v>#N/A</v>
      </c>
      <c r="DK149" s="454" t="e">
        <v>#N/A</v>
      </c>
      <c r="DL149" s="454" t="e">
        <v>#N/A</v>
      </c>
      <c r="DM149" s="454" t="e">
        <v>#N/A</v>
      </c>
      <c r="DN149" s="454" t="e">
        <v>#N/A</v>
      </c>
      <c r="DP149" s="458">
        <f t="shared" si="272"/>
        <v>128.40749999999997</v>
      </c>
      <c r="DQ149" s="458" t="str">
        <f t="shared" si="383"/>
        <v xml:space="preserve">128.408,0,1 </v>
      </c>
      <c r="DR149" s="458" t="str">
        <f t="shared" ref="DR149:EO149" si="398">IFERROR(CONCATENATE(ROUND($DP149,3),",",ROUND(ABS(DK121),3),",",ROUND(EM121,3)," "),"")</f>
        <v/>
      </c>
      <c r="DS149" s="458" t="str">
        <f t="shared" si="398"/>
        <v/>
      </c>
      <c r="DT149" s="458" t="str">
        <f t="shared" si="398"/>
        <v xml:space="preserve">128.408,0.86,1.8 </v>
      </c>
      <c r="DU149" s="458" t="str">
        <f t="shared" si="398"/>
        <v xml:space="preserve">128.408,1.29,2.7 </v>
      </c>
      <c r="DV149" s="458" t="str">
        <f t="shared" si="398"/>
        <v xml:space="preserve">128.408,1.6,3.6 </v>
      </c>
      <c r="DW149" s="458" t="str">
        <f t="shared" si="398"/>
        <v xml:space="preserve">128.408,1.77,5.4 </v>
      </c>
      <c r="DX149" s="458" t="str">
        <f t="shared" si="398"/>
        <v xml:space="preserve">128.408,1.31,7.2 </v>
      </c>
      <c r="DY149" s="458" t="str">
        <f t="shared" si="398"/>
        <v xml:space="preserve">128.408,1,9 </v>
      </c>
      <c r="DZ149" s="458" t="str">
        <f t="shared" si="398"/>
        <v xml:space="preserve">128.408,1.44,10.1 </v>
      </c>
      <c r="EA149" s="458" t="str">
        <f t="shared" si="398"/>
        <v xml:space="preserve">128.408,1.74,10.8 </v>
      </c>
      <c r="EB149" s="458" t="str">
        <f t="shared" si="398"/>
        <v xml:space="preserve">128.408,2.79,12.6 </v>
      </c>
      <c r="EC149" s="458" t="str">
        <f t="shared" si="398"/>
        <v xml:space="preserve">128.408,4.1,14.19 </v>
      </c>
      <c r="ED149" s="458" t="str">
        <f t="shared" si="398"/>
        <v/>
      </c>
      <c r="EE149" s="458" t="str">
        <f t="shared" si="398"/>
        <v/>
      </c>
      <c r="EF149" s="458" t="str">
        <f t="shared" si="398"/>
        <v/>
      </c>
      <c r="EG149" s="458" t="str">
        <f t="shared" si="398"/>
        <v/>
      </c>
      <c r="EH149" s="458" t="str">
        <f t="shared" si="398"/>
        <v/>
      </c>
      <c r="EI149" s="458" t="str">
        <f t="shared" si="398"/>
        <v/>
      </c>
      <c r="EJ149" s="458" t="str">
        <f t="shared" si="398"/>
        <v/>
      </c>
      <c r="EK149" s="458" t="str">
        <f t="shared" si="398"/>
        <v/>
      </c>
      <c r="EL149" s="458" t="str">
        <f t="shared" si="398"/>
        <v/>
      </c>
      <c r="EM149" s="458" t="str">
        <f t="shared" si="398"/>
        <v/>
      </c>
      <c r="EN149" s="458" t="str">
        <f t="shared" si="398"/>
        <v/>
      </c>
      <c r="EO149" s="458" t="str">
        <f t="shared" si="398"/>
        <v/>
      </c>
      <c r="EP149" s="458" t="str">
        <f t="shared" si="384"/>
        <v/>
      </c>
      <c r="ER149" s="457" t="str">
        <f t="shared" si="307"/>
        <v xml:space="preserve">128.408,0,1 128.408,0.86,1.8 128.408,1.29,2.7 128.408,1.6,3.6 128.408,1.77,5.4 128.408,1.31,7.2 128.408,1,9 128.408,1.44,10.1 128.408,1.74,10.8 128.408,2.79,12.6 128.408,4.1,14.19 </v>
      </c>
      <c r="ES149" s="186" t="str">
        <f t="shared" si="351"/>
        <v xml:space="preserve">Spline 128.4075,0,1 128.408,0,1 128.408,0.86,1.8 128.408,1.29,2.7 128.408,1.6,3.6 128.408,1.77,5.4 128.408,1.31,7.2 128.408,1,9 128.408,1.44,10.1 128.408,1.74,10.8 128.408,2.79,12.6 128.408,4.1,14.19  </v>
      </c>
      <c r="ET149" s="129" t="str">
        <f t="shared" si="308"/>
        <v xml:space="preserve">Spline 128.4075,0,1 128.408,0,1 128.408,0.86,1.8 128.408,1.29,2.7 128.408,1.6,3.6 128.408,1.77,5.4 128.408,1.31,7.2 128.408,1,9 128.408,1.44,10.1 128.408,1.74,10.8 128.408,2.79,12.6 128.408,4.1,14.19  </v>
      </c>
      <c r="EU149" s="129">
        <f ca="1">COUNTIF(BP_24,NA())</f>
        <v>2</v>
      </c>
      <c r="EV149" s="129">
        <f t="shared" si="274"/>
        <v>1</v>
      </c>
      <c r="EW149" s="129">
        <v>24</v>
      </c>
      <c r="EX149" s="129" t="str">
        <f t="shared" si="275"/>
        <v xml:space="preserve">128.4075,4.1,14.19 </v>
      </c>
      <c r="EY149" s="129" t="str">
        <f t="shared" si="276"/>
        <v xml:space="preserve">Spline 128.4075,0,1 128.408,4.1,14.19 128.408,2.79,12.6 128.408,1.74,10.8 128.408,1.44,10.1 128.408,1,9 128.408,1.31,7.2 128.408,1.77,5.4 128.408,1.6,3.6 128.408,1.29,2.7 128.408,0.86,1.8 128.408,0,1 </v>
      </c>
      <c r="EZ149" s="186" t="str">
        <f t="shared" si="309"/>
        <v xml:space="preserve">128.408,0,1 128.408,0.86,1.8 128.408,1.29,2.7 128.408,1.6,3.6 128.408,1.77,5.4 128.408,1.31,7.2 128.408,1,9 128.408,1.44,10.1 128.408,1.74,10.8 128.408,2.79,12.6 128.408,4.1,14.19  </v>
      </c>
      <c r="FB149" s="458">
        <f t="shared" si="277"/>
        <v>128.40749999999997</v>
      </c>
      <c r="FC149" s="460" t="str">
        <f t="shared" si="310"/>
        <v>128.408,0,1</v>
      </c>
      <c r="FD149" s="458" t="str">
        <f t="shared" ref="FD149:GB149" si="399">IFERROR(CONCATENATE(ROUND($DP149,3),",",-ROUND(ABS(DK121),3),",",ROUND(EM121,3)," "),"")</f>
        <v/>
      </c>
      <c r="FE149" s="458" t="str">
        <f t="shared" si="399"/>
        <v/>
      </c>
      <c r="FF149" s="458" t="str">
        <f t="shared" si="399"/>
        <v xml:space="preserve">128.408,-0.86,1.8 </v>
      </c>
      <c r="FG149" s="458" t="str">
        <f t="shared" si="399"/>
        <v xml:space="preserve">128.408,-1.29,2.7 </v>
      </c>
      <c r="FH149" s="458" t="str">
        <f t="shared" si="399"/>
        <v xml:space="preserve">128.408,-1.6,3.6 </v>
      </c>
      <c r="FI149" s="458" t="str">
        <f t="shared" si="399"/>
        <v xml:space="preserve">128.408,-1.77,5.4 </v>
      </c>
      <c r="FJ149" s="458" t="str">
        <f t="shared" si="399"/>
        <v xml:space="preserve">128.408,-1.31,7.2 </v>
      </c>
      <c r="FK149" s="458" t="str">
        <f t="shared" si="399"/>
        <v xml:space="preserve">128.408,-1,9 </v>
      </c>
      <c r="FL149" s="458" t="str">
        <f t="shared" si="399"/>
        <v xml:space="preserve">128.408,-1.44,10.1 </v>
      </c>
      <c r="FM149" s="458" t="str">
        <f t="shared" si="399"/>
        <v xml:space="preserve">128.408,-1.74,10.8 </v>
      </c>
      <c r="FN149" s="458" t="str">
        <f t="shared" si="399"/>
        <v xml:space="preserve">128.408,-2.79,12.6 </v>
      </c>
      <c r="FO149" s="458" t="str">
        <f t="shared" si="399"/>
        <v xml:space="preserve">128.408,-4.1,14.19 </v>
      </c>
      <c r="FP149" s="458" t="str">
        <f t="shared" si="399"/>
        <v/>
      </c>
      <c r="FQ149" s="458" t="str">
        <f t="shared" si="399"/>
        <v/>
      </c>
      <c r="FR149" s="458" t="str">
        <f t="shared" si="399"/>
        <v/>
      </c>
      <c r="FS149" s="458" t="str">
        <f t="shared" si="399"/>
        <v/>
      </c>
      <c r="FT149" s="458" t="str">
        <f t="shared" si="399"/>
        <v/>
      </c>
      <c r="FU149" s="458" t="str">
        <f t="shared" si="399"/>
        <v/>
      </c>
      <c r="FV149" s="458" t="str">
        <f t="shared" si="399"/>
        <v/>
      </c>
      <c r="FW149" s="458" t="str">
        <f t="shared" si="399"/>
        <v/>
      </c>
      <c r="FX149" s="458" t="str">
        <f t="shared" si="399"/>
        <v/>
      </c>
      <c r="FY149" s="458" t="str">
        <f t="shared" si="399"/>
        <v/>
      </c>
      <c r="FZ149" s="458" t="str">
        <f t="shared" si="399"/>
        <v/>
      </c>
      <c r="GA149" s="458" t="str">
        <f t="shared" si="399"/>
        <v/>
      </c>
      <c r="GB149" s="458" t="str">
        <f t="shared" si="399"/>
        <v/>
      </c>
      <c r="GC149" s="129" t="str">
        <f t="shared" si="312"/>
        <v xml:space="preserve">128.408,4.1,14.19 128.408,2.79,12.6 128.408,1.74,10.8 128.408,1.44,10.1 128.408,1,9 128.408,1.31,7.2 128.408,1.77,5.4 128.408,1.6,3.6 128.408,1.29,2.7 128.408,0.86,1.8 128.408,0,1 </v>
      </c>
      <c r="GD149" s="129" t="str">
        <f t="shared" si="279"/>
        <v>Spline 128.408,4.1,14.19 128.408,2.79,12.6 128.408,1.74,10.8 128.408,1.44,10.1 128.408,1,9 128.408,1.31,7.2 128.408,1.77,5.4 128.408,1.6,3.6 128.408,1.29,2.7 128.408,0.86,1.8 128.408,0,1 128.4075,0,1</v>
      </c>
      <c r="GE149" s="461" t="str">
        <f t="shared" si="313"/>
        <v xml:space="preserve">128.408,-0.86,1.8 128.408,-1.29,2.7 128.408,-1.6,3.6 128.408,-1.77,5.4 128.408,-1.31,7.2 128.408,-1,9 128.408,-1.44,10.1 128.408,-1.74,10.8 128.408,-2.79,12.6 128.408,-4.1,14.19 </v>
      </c>
      <c r="GH149" s="129" t="str">
        <f t="shared" si="314"/>
        <v xml:space="preserve">Spline 128.408,4.1,14.19 128.408,2.79,12.6 128.408,1.74,10.8 128.408,1.44,10.1 128.408,1,9 128.408,1.31,7.2 128.408,1.77,5.4 128.408,1.6,3.6 128.408,1.29,2.7 128.408,0.86,1.8 128.408,0,1 </v>
      </c>
      <c r="GI149" s="129" t="str">
        <f t="shared" si="315"/>
        <v/>
      </c>
      <c r="GP149" s="129" t="str">
        <f t="shared" si="280"/>
        <v xml:space="preserve">128.408,0,1 </v>
      </c>
      <c r="GQ149" s="129" t="str">
        <f t="shared" si="316"/>
        <v>Curve 128.408,4.1,14.19 128.408,2.79,12.6 128.408,1.74,10.8 128.408,1.44,10.1 128.408,1,9 128.408,1.31,7.2 128.408,1.77,5.4 128.408,1.6,3.6 128.408,1.29,2.7 128.408,0.86,1.8 128.408,0,1 _enter</v>
      </c>
    </row>
    <row r="150" spans="1:199" x14ac:dyDescent="0.25">
      <c r="A150" s="374" t="str">
        <f t="shared" si="382"/>
        <v xml:space="preserve">  </v>
      </c>
      <c r="B150" s="377" t="str">
        <f t="shared" si="281"/>
        <v/>
      </c>
      <c r="C150" s="377" t="str">
        <f t="shared" si="282"/>
        <v/>
      </c>
      <c r="D150" s="377" t="str">
        <f t="shared" si="283"/>
        <v/>
      </c>
      <c r="E150" s="377" t="str">
        <f t="shared" si="284"/>
        <v/>
      </c>
      <c r="F150" s="377" t="str">
        <f t="shared" si="285"/>
        <v/>
      </c>
      <c r="G150" s="377" t="str">
        <f t="shared" si="286"/>
        <v/>
      </c>
      <c r="H150" s="377" t="str">
        <f t="shared" si="287"/>
        <v/>
      </c>
      <c r="I150" s="377" t="str">
        <f t="shared" si="288"/>
        <v/>
      </c>
      <c r="J150" s="377" t="str">
        <f t="shared" si="289"/>
        <v/>
      </c>
      <c r="K150" s="377" t="str">
        <f t="shared" si="290"/>
        <v/>
      </c>
      <c r="L150" s="377" t="str">
        <f t="shared" si="291"/>
        <v/>
      </c>
      <c r="M150" s="377" t="str">
        <f t="shared" si="292"/>
        <v/>
      </c>
      <c r="N150" s="377" t="str">
        <f t="shared" si="293"/>
        <v/>
      </c>
      <c r="O150" s="377" t="str">
        <f t="shared" si="294"/>
        <v/>
      </c>
      <c r="P150" s="377" t="str">
        <f t="shared" si="295"/>
        <v/>
      </c>
      <c r="Q150" s="377" t="str">
        <f t="shared" si="296"/>
        <v/>
      </c>
      <c r="R150" s="377" t="str">
        <f t="shared" si="297"/>
        <v/>
      </c>
      <c r="S150" s="377" t="str">
        <f t="shared" si="298"/>
        <v/>
      </c>
      <c r="T150" s="377" t="str">
        <f t="shared" si="299"/>
        <v/>
      </c>
      <c r="U150" s="377" t="str">
        <f t="shared" si="300"/>
        <v/>
      </c>
      <c r="V150" s="377" t="str">
        <f t="shared" si="301"/>
        <v/>
      </c>
      <c r="W150" s="377" t="str">
        <f t="shared" si="302"/>
        <v/>
      </c>
      <c r="X150" s="377" t="str">
        <f t="shared" si="303"/>
        <v/>
      </c>
      <c r="Y150" s="377" t="str">
        <f t="shared" si="304"/>
        <v/>
      </c>
      <c r="Z150" s="395" t="str">
        <f t="shared" si="305"/>
        <v/>
      </c>
      <c r="AB150" s="245" t="str">
        <f t="shared" si="317"/>
        <v xml:space="preserve">  </v>
      </c>
      <c r="AC150" s="245" t="str">
        <f>Tools!B150</f>
        <v/>
      </c>
      <c r="AD150" s="245" t="str">
        <f>Tools!C150</f>
        <v/>
      </c>
      <c r="AE150" s="245" t="str">
        <f>Tools!D150</f>
        <v/>
      </c>
      <c r="AF150" s="245" t="str">
        <f>Tools!E150</f>
        <v/>
      </c>
      <c r="AG150" s="245" t="str">
        <f>Tools!F150</f>
        <v/>
      </c>
      <c r="AH150" s="245" t="str">
        <f>Tools!G150</f>
        <v/>
      </c>
      <c r="AI150" s="245" t="str">
        <f>Tools!H150</f>
        <v/>
      </c>
      <c r="AJ150" s="245" t="str">
        <f>Tools!I150</f>
        <v/>
      </c>
      <c r="AK150" s="245" t="str">
        <f>Tools!J150</f>
        <v/>
      </c>
      <c r="AL150" s="245" t="str">
        <f>Tools!K150</f>
        <v/>
      </c>
      <c r="AM150" s="245" t="str">
        <f>Tools!L150</f>
        <v/>
      </c>
      <c r="AN150" s="245" t="str">
        <f>Tools!M150</f>
        <v/>
      </c>
      <c r="AO150" s="245" t="str">
        <f>Tools!N150</f>
        <v/>
      </c>
      <c r="AP150" s="245" t="str">
        <f>Tools!O150</f>
        <v/>
      </c>
      <c r="AQ150" s="245" t="str">
        <f>Tools!P150</f>
        <v/>
      </c>
      <c r="AR150" s="245" t="str">
        <f>Tools!Q150</f>
        <v/>
      </c>
      <c r="AS150" s="245" t="str">
        <f>Tools!R150</f>
        <v/>
      </c>
      <c r="AT150" s="245" t="str">
        <f>Tools!S150</f>
        <v/>
      </c>
      <c r="AU150" s="245" t="str">
        <f>Tools!T150</f>
        <v/>
      </c>
      <c r="AV150" s="245" t="str">
        <f>Tools!U150</f>
        <v/>
      </c>
      <c r="AW150" s="245" t="str">
        <f>Tools!V150</f>
        <v/>
      </c>
      <c r="AX150" s="245" t="str">
        <f>Tools!W150</f>
        <v/>
      </c>
      <c r="AY150" s="245" t="str">
        <f>Tools!X150</f>
        <v/>
      </c>
      <c r="AZ150" s="245" t="str">
        <f>Tools!Y150</f>
        <v/>
      </c>
      <c r="BA150" s="396" t="str">
        <f>Tools!Z150</f>
        <v/>
      </c>
      <c r="BC150" s="274">
        <f>'Rise, etc.'!O26</f>
        <v>19</v>
      </c>
      <c r="BD150" s="277">
        <f>IF(ISNUMBER(VLOOKUP(BC150,'Rise, etc.'!O$3:P$28,2,FALSE)),VLOOKUP(BC150,'Rise, etc.'!O$3:P$28,2,FALSE),"-")</f>
        <v>0.66</v>
      </c>
      <c r="BE150" s="277">
        <f t="shared" si="353"/>
        <v>0.3666666666666667</v>
      </c>
      <c r="BF150" s="277">
        <f t="shared" si="319"/>
        <v>0.5</v>
      </c>
      <c r="BG150" s="277">
        <f t="shared" si="320"/>
        <v>1</v>
      </c>
      <c r="BH150" s="277">
        <f t="shared" si="321"/>
        <v>1.5</v>
      </c>
      <c r="BI150" s="277">
        <f t="shared" si="322"/>
        <v>2</v>
      </c>
      <c r="BJ150" s="277">
        <f t="shared" si="323"/>
        <v>3</v>
      </c>
      <c r="BK150" s="277">
        <f t="shared" si="324"/>
        <v>4</v>
      </c>
      <c r="BL150" s="277">
        <f t="shared" si="325"/>
        <v>5</v>
      </c>
      <c r="BM150" s="277"/>
      <c r="BN150" s="277" t="b">
        <f t="shared" si="326"/>
        <v>1</v>
      </c>
      <c r="BO150" s="277" t="b">
        <f t="shared" si="327"/>
        <v>0</v>
      </c>
      <c r="BP150" s="277" t="b">
        <f t="shared" si="328"/>
        <v>0</v>
      </c>
      <c r="BQ150" s="277" t="b">
        <f t="shared" si="329"/>
        <v>0</v>
      </c>
      <c r="BR150" s="277" t="b">
        <f t="shared" si="330"/>
        <v>0</v>
      </c>
      <c r="BS150" s="277" t="b">
        <f t="shared" si="331"/>
        <v>0</v>
      </c>
      <c r="BT150" s="277" t="b">
        <f t="shared" si="332"/>
        <v>0</v>
      </c>
      <c r="BU150" s="277" t="b">
        <f t="shared" si="333"/>
        <v>0</v>
      </c>
      <c r="BV150" s="277" t="b">
        <f t="shared" si="334"/>
        <v>0</v>
      </c>
      <c r="BW150" s="277" t="b">
        <f t="shared" si="335"/>
        <v>0</v>
      </c>
      <c r="BX150" s="277" t="b">
        <f t="shared" si="354"/>
        <v>0</v>
      </c>
      <c r="BY150" s="277" t="b">
        <f t="shared" si="336"/>
        <v>0</v>
      </c>
      <c r="BZ150" s="277" t="b">
        <f t="shared" si="337"/>
        <v>0</v>
      </c>
      <c r="CA150" s="277" t="b">
        <f t="shared" si="338"/>
        <v>0</v>
      </c>
      <c r="CB150" s="277" t="b">
        <f t="shared" si="339"/>
        <v>0</v>
      </c>
      <c r="CC150" s="277" t="b">
        <f t="shared" si="340"/>
        <v>0</v>
      </c>
      <c r="CD150" s="277" t="b">
        <f t="shared" si="341"/>
        <v>0</v>
      </c>
      <c r="CE150" s="277" t="b">
        <f t="shared" si="342"/>
        <v>0</v>
      </c>
      <c r="CF150" s="277" t="b">
        <f t="shared" si="343"/>
        <v>0</v>
      </c>
      <c r="CG150" s="277" t="b">
        <f t="shared" si="344"/>
        <v>0</v>
      </c>
      <c r="CH150" s="277" t="b">
        <f t="shared" si="345"/>
        <v>0</v>
      </c>
      <c r="CI150" s="277" t="b">
        <f t="shared" si="346"/>
        <v>0</v>
      </c>
      <c r="CJ150" s="277" t="b">
        <f t="shared" si="347"/>
        <v>0</v>
      </c>
      <c r="CK150" s="277" t="b">
        <f t="shared" si="348"/>
        <v>0</v>
      </c>
      <c r="CL150" s="277" t="b">
        <f t="shared" si="349"/>
        <v>0</v>
      </c>
      <c r="CM150" s="276">
        <f t="shared" si="355"/>
        <v>1</v>
      </c>
      <c r="CO150" s="454" t="e">
        <v>#N/A</v>
      </c>
      <c r="CP150" s="454" t="e">
        <v>#N/A</v>
      </c>
      <c r="CQ150" s="454" t="e">
        <v>#N/A</v>
      </c>
      <c r="CR150" s="454" t="e">
        <v>#N/A</v>
      </c>
      <c r="CS150" s="454" t="e">
        <v>#N/A</v>
      </c>
      <c r="CT150" s="454" t="e">
        <v>#N/A</v>
      </c>
      <c r="CU150" s="454" t="e">
        <v>#N/A</v>
      </c>
      <c r="CV150" s="454" t="e">
        <v>#N/A</v>
      </c>
      <c r="CW150" s="454" t="e">
        <v>#N/A</v>
      </c>
      <c r="CX150" s="454" t="e">
        <v>#N/A</v>
      </c>
      <c r="CY150" s="454" t="e">
        <v>#N/A</v>
      </c>
      <c r="CZ150" s="454" t="e">
        <v>#N/A</v>
      </c>
      <c r="DA150" s="454" t="e">
        <v>#N/A</v>
      </c>
      <c r="DB150" s="454" t="e">
        <v>#N/A</v>
      </c>
      <c r="DC150" s="454" t="e">
        <v>#N/A</v>
      </c>
      <c r="DD150" s="454" t="e">
        <v>#N/A</v>
      </c>
      <c r="DE150" s="454" t="e">
        <v>#N/A</v>
      </c>
      <c r="DF150" s="454" t="e">
        <v>#N/A</v>
      </c>
      <c r="DG150" s="454" t="e">
        <v>#N/A</v>
      </c>
      <c r="DH150" s="454" t="e">
        <v>#N/A</v>
      </c>
      <c r="DI150" s="454" t="e">
        <v>#N/A</v>
      </c>
      <c r="DJ150" s="454" t="e">
        <v>#N/A</v>
      </c>
      <c r="DK150" s="454" t="e">
        <v>#N/A</v>
      </c>
      <c r="DL150" s="454" t="e">
        <v>#N/A</v>
      </c>
      <c r="DM150" s="454" t="e">
        <v>#N/A</v>
      </c>
      <c r="DN150" s="454" t="e">
        <v>#N/A</v>
      </c>
      <c r="DP150" s="458">
        <f t="shared" si="272"/>
        <v>131.69999999999999</v>
      </c>
      <c r="DQ150" s="458" t="str">
        <f t="shared" si="383"/>
        <v xml:space="preserve">131.7,0,2 </v>
      </c>
      <c r="DR150" s="458" t="str">
        <f t="shared" ref="DR150:EO150" si="400">IFERROR(CONCATENATE(ROUND($DP150,3),",",ROUND(ABS(DK122),3),",",ROUND(EM122,3)," "),"")</f>
        <v/>
      </c>
      <c r="DS150" s="458" t="str">
        <f t="shared" si="400"/>
        <v/>
      </c>
      <c r="DT150" s="458" t="str">
        <f t="shared" si="400"/>
        <v/>
      </c>
      <c r="DU150" s="458" t="str">
        <f t="shared" si="400"/>
        <v xml:space="preserve">131.7,0.76,2.7 </v>
      </c>
      <c r="DV150" s="458" t="str">
        <f t="shared" si="400"/>
        <v xml:space="preserve">131.7,1.15,3.6 </v>
      </c>
      <c r="DW150" s="458" t="str">
        <f t="shared" si="400"/>
        <v xml:space="preserve">131.7,1.45,5.4 </v>
      </c>
      <c r="DX150" s="458" t="str">
        <f t="shared" si="400"/>
        <v xml:space="preserve">131.7,1.04,7.2 </v>
      </c>
      <c r="DY150" s="458" t="str">
        <f t="shared" si="400"/>
        <v xml:space="preserve">131.7,0,9 </v>
      </c>
      <c r="DZ150" s="458" t="str">
        <f t="shared" si="400"/>
        <v xml:space="preserve">131.7,0,10.1 </v>
      </c>
      <c r="EA150" s="458" t="str">
        <f t="shared" si="400"/>
        <v xml:space="preserve">131.7,0.25,10.8 </v>
      </c>
      <c r="EB150" s="458" t="str">
        <f t="shared" si="400"/>
        <v xml:space="preserve">131.7,0.85,12.6 </v>
      </c>
      <c r="EC150" s="458" t="str">
        <f t="shared" si="400"/>
        <v xml:space="preserve">131.7,1.78,14.19 </v>
      </c>
      <c r="ED150" s="458" t="str">
        <f t="shared" si="400"/>
        <v/>
      </c>
      <c r="EE150" s="458" t="str">
        <f t="shared" si="400"/>
        <v/>
      </c>
      <c r="EF150" s="458" t="str">
        <f t="shared" si="400"/>
        <v/>
      </c>
      <c r="EG150" s="458" t="str">
        <f t="shared" si="400"/>
        <v/>
      </c>
      <c r="EH150" s="458" t="str">
        <f t="shared" si="400"/>
        <v/>
      </c>
      <c r="EI150" s="458" t="str">
        <f t="shared" si="400"/>
        <v/>
      </c>
      <c r="EJ150" s="458" t="str">
        <f t="shared" si="400"/>
        <v/>
      </c>
      <c r="EK150" s="458" t="str">
        <f t="shared" si="400"/>
        <v/>
      </c>
      <c r="EL150" s="458" t="str">
        <f t="shared" si="400"/>
        <v/>
      </c>
      <c r="EM150" s="458" t="str">
        <f t="shared" si="400"/>
        <v/>
      </c>
      <c r="EN150" s="458" t="str">
        <f t="shared" si="400"/>
        <v/>
      </c>
      <c r="EO150" s="458" t="str">
        <f t="shared" si="400"/>
        <v/>
      </c>
      <c r="EP150" s="458" t="str">
        <f t="shared" si="384"/>
        <v/>
      </c>
      <c r="ER150" s="457" t="str">
        <f t="shared" si="307"/>
        <v xml:space="preserve">131.7,0,2 131.7,0.76,2.7 131.7,1.15,3.6 131.7,1.45,5.4 131.7,1.04,7.2 131.7,0,9 131.7,0,10.1 131.7,0.25,10.8 131.7,0.85,12.6 131.7,1.78,14.19 </v>
      </c>
      <c r="ES150" s="186" t="str">
        <f t="shared" si="351"/>
        <v xml:space="preserve">Spline 131.7,0,2 131.7,0,2 131.7,0.76,2.7 131.7,1.15,3.6 131.7,1.45,5.4 131.7,1.04,7.2 131.7,0,9 131.7,0,10.1 131.7,0.25,10.8 131.7,0.85,12.6 131.7,1.78,14.19  </v>
      </c>
      <c r="ET150" s="129" t="str">
        <f t="shared" si="308"/>
        <v xml:space="preserve">Spline 131.7,0,2 131.7,0,2 131.7,0.76,2.7 131.7,1.15,3.6 131.7,1.45,5.4 131.7,1.04,7.2 131.7,0,9 131.7,0,10.1 131.7,0.25,10.8 131.7,0.85,12.6 131.7,1.78,14.19  </v>
      </c>
      <c r="EU150" s="129">
        <f ca="1">COUNTIF(BP_25,NA())</f>
        <v>3</v>
      </c>
      <c r="EV150" s="129">
        <f t="shared" si="274"/>
        <v>2</v>
      </c>
      <c r="EW150" s="129">
        <v>25</v>
      </c>
      <c r="EX150" s="129" t="str">
        <f t="shared" si="275"/>
        <v xml:space="preserve">131.7,1.78,14.19 </v>
      </c>
      <c r="EY150" s="129" t="str">
        <f t="shared" si="276"/>
        <v xml:space="preserve">Spline 131.7,0,2 131.7,1.78,14.19 131.7,0.85,12.6 131.7,0.25,10.8 131.7,0,10.1 131.7,0,9 131.7,1.04,7.2 131.7,1.45,5.4 131.7,1.15,3.6 131.7,0.76,2.7 131.7,0,2 </v>
      </c>
      <c r="EZ150" s="186" t="str">
        <f t="shared" si="309"/>
        <v xml:space="preserve">131.7,0,2 131.7,0.76,2.7 131.7,1.15,3.6 131.7,1.45,5.4 131.7,1.04,7.2 131.7,0,9 131.7,0,10.1 131.7,0.25,10.8 131.7,0.85,12.6 131.7,1.78,14.19  </v>
      </c>
      <c r="FB150" s="458">
        <f t="shared" si="277"/>
        <v>131.69999999999999</v>
      </c>
      <c r="FC150" s="460" t="str">
        <f t="shared" si="310"/>
        <v>131.7,0,2</v>
      </c>
      <c r="FD150" s="458" t="str">
        <f t="shared" ref="FD150:GB150" si="401">IFERROR(CONCATENATE(ROUND($DP150,3),",",-ROUND(ABS(DK122),3),",",ROUND(EM122,3)," "),"")</f>
        <v/>
      </c>
      <c r="FE150" s="458" t="str">
        <f t="shared" si="401"/>
        <v/>
      </c>
      <c r="FF150" s="458" t="str">
        <f t="shared" si="401"/>
        <v/>
      </c>
      <c r="FG150" s="458" t="str">
        <f t="shared" si="401"/>
        <v xml:space="preserve">131.7,-0.76,2.7 </v>
      </c>
      <c r="FH150" s="458" t="str">
        <f t="shared" si="401"/>
        <v xml:space="preserve">131.7,-1.15,3.6 </v>
      </c>
      <c r="FI150" s="458" t="str">
        <f t="shared" si="401"/>
        <v xml:space="preserve">131.7,-1.45,5.4 </v>
      </c>
      <c r="FJ150" s="458" t="str">
        <f t="shared" si="401"/>
        <v xml:space="preserve">131.7,-1.04,7.2 </v>
      </c>
      <c r="FK150" s="458" t="str">
        <f t="shared" si="401"/>
        <v xml:space="preserve">131.7,0,9 </v>
      </c>
      <c r="FL150" s="458" t="str">
        <f t="shared" si="401"/>
        <v xml:space="preserve">131.7,0,10.1 </v>
      </c>
      <c r="FM150" s="458" t="str">
        <f t="shared" si="401"/>
        <v xml:space="preserve">131.7,-0.25,10.8 </v>
      </c>
      <c r="FN150" s="458" t="str">
        <f t="shared" si="401"/>
        <v xml:space="preserve">131.7,-0.85,12.6 </v>
      </c>
      <c r="FO150" s="458" t="str">
        <f t="shared" si="401"/>
        <v xml:space="preserve">131.7,-1.78,14.19 </v>
      </c>
      <c r="FP150" s="458" t="str">
        <f t="shared" si="401"/>
        <v/>
      </c>
      <c r="FQ150" s="458" t="str">
        <f t="shared" si="401"/>
        <v/>
      </c>
      <c r="FR150" s="458" t="str">
        <f t="shared" si="401"/>
        <v/>
      </c>
      <c r="FS150" s="458" t="str">
        <f t="shared" si="401"/>
        <v/>
      </c>
      <c r="FT150" s="458" t="str">
        <f t="shared" si="401"/>
        <v/>
      </c>
      <c r="FU150" s="458" t="str">
        <f t="shared" si="401"/>
        <v/>
      </c>
      <c r="FV150" s="458" t="str">
        <f t="shared" si="401"/>
        <v/>
      </c>
      <c r="FW150" s="458" t="str">
        <f t="shared" si="401"/>
        <v/>
      </c>
      <c r="FX150" s="458" t="str">
        <f t="shared" si="401"/>
        <v/>
      </c>
      <c r="FY150" s="458" t="str">
        <f t="shared" si="401"/>
        <v/>
      </c>
      <c r="FZ150" s="458" t="str">
        <f t="shared" si="401"/>
        <v/>
      </c>
      <c r="GA150" s="458" t="str">
        <f t="shared" si="401"/>
        <v/>
      </c>
      <c r="GB150" s="458" t="str">
        <f t="shared" si="401"/>
        <v/>
      </c>
      <c r="GC150" s="129" t="str">
        <f t="shared" si="312"/>
        <v xml:space="preserve">131.7,1.78,14.19 131.7,0.85,12.6 131.7,0.25,10.8 131.7,0,10.1 131.7,0,9 131.7,1.04,7.2 131.7,1.45,5.4 131.7,1.15,3.6 131.7,0.76,2.7 131.7,0,2 </v>
      </c>
      <c r="GD150" s="129" t="str">
        <f>IF(GC150="","",CONCATENATE("Spline ",GC150,DP150,",",0,",",EV150))</f>
        <v>Spline 131.7,1.78,14.19 131.7,0.85,12.6 131.7,0.25,10.8 131.7,0,10.1 131.7,0,9 131.7,1.04,7.2 131.7,1.45,5.4 131.7,1.15,3.6 131.7,0.76,2.7 131.7,0,2 131.7,0,2</v>
      </c>
      <c r="GE150" s="461" t="str">
        <f t="shared" si="313"/>
        <v xml:space="preserve">131.7,-0.76,2.7 131.7,-1.15,3.6 131.7,-1.45,5.4 131.7,-1.04,7.2 131.7,0,9 131.7,0,10.1 131.7,-0.25,10.8 131.7,-0.85,12.6 131.7,-1.78,14.19 </v>
      </c>
      <c r="GH150" s="129" t="str">
        <f t="shared" si="314"/>
        <v xml:space="preserve">Spline 131.7,1.78,14.19 131.7,0.85,12.6 131.7,0.25,10.8 131.7,0,10.1 131.7,0,9 131.7,1.04,7.2 131.7,1.45,5.4 131.7,1.15,3.6 131.7,0.76,2.7 131.7,0,2 </v>
      </c>
      <c r="GI150" s="129" t="str">
        <f>IF(AE27=0,"",CONCATENATE("Spline ",FB150,",",AE27,",0 ",FB150,",0,0  Join ",FB150,",0,0  ",EX150,"  "))</f>
        <v/>
      </c>
      <c r="GP150" s="129" t="str">
        <f t="shared" si="280"/>
        <v xml:space="preserve">131.7,0,2 </v>
      </c>
      <c r="GQ150" s="129" t="str">
        <f t="shared" si="316"/>
        <v>Curve 131.7,1.78,14.19 131.7,0.85,12.6 131.7,0.25,10.8 131.7,0,10.1 131.7,0,9 131.7,1.04,7.2 131.7,1.45,5.4 131.7,1.15,3.6 131.7,0.76,2.7 131.7,0,2 _enter</v>
      </c>
    </row>
    <row r="151" spans="1:199" x14ac:dyDescent="0.25">
      <c r="A151" s="374" t="str">
        <f t="shared" si="382"/>
        <v xml:space="preserve">  </v>
      </c>
      <c r="B151" s="377" t="str">
        <f t="shared" si="281"/>
        <v/>
      </c>
      <c r="C151" s="377" t="str">
        <f t="shared" si="282"/>
        <v/>
      </c>
      <c r="D151" s="377" t="str">
        <f t="shared" si="283"/>
        <v/>
      </c>
      <c r="E151" s="377" t="str">
        <f t="shared" si="284"/>
        <v/>
      </c>
      <c r="F151" s="377" t="str">
        <f t="shared" si="285"/>
        <v/>
      </c>
      <c r="G151" s="377" t="str">
        <f t="shared" si="286"/>
        <v/>
      </c>
      <c r="H151" s="377" t="str">
        <f t="shared" si="287"/>
        <v/>
      </c>
      <c r="I151" s="377" t="str">
        <f t="shared" si="288"/>
        <v/>
      </c>
      <c r="J151" s="377" t="str">
        <f t="shared" si="289"/>
        <v/>
      </c>
      <c r="K151" s="377" t="str">
        <f t="shared" si="290"/>
        <v/>
      </c>
      <c r="L151" s="377" t="str">
        <f t="shared" si="291"/>
        <v/>
      </c>
      <c r="M151" s="377" t="str">
        <f t="shared" si="292"/>
        <v/>
      </c>
      <c r="N151" s="377" t="str">
        <f t="shared" si="293"/>
        <v/>
      </c>
      <c r="O151" s="377" t="str">
        <f t="shared" si="294"/>
        <v/>
      </c>
      <c r="P151" s="377" t="str">
        <f t="shared" si="295"/>
        <v/>
      </c>
      <c r="Q151" s="377" t="str">
        <f t="shared" si="296"/>
        <v/>
      </c>
      <c r="R151" s="377" t="str">
        <f t="shared" si="297"/>
        <v/>
      </c>
      <c r="S151" s="377" t="str">
        <f t="shared" si="298"/>
        <v/>
      </c>
      <c r="T151" s="377" t="str">
        <f t="shared" si="299"/>
        <v/>
      </c>
      <c r="U151" s="377" t="str">
        <f t="shared" si="300"/>
        <v/>
      </c>
      <c r="V151" s="377" t="str">
        <f t="shared" si="301"/>
        <v/>
      </c>
      <c r="W151" s="377" t="str">
        <f t="shared" si="302"/>
        <v/>
      </c>
      <c r="X151" s="377" t="str">
        <f t="shared" si="303"/>
        <v/>
      </c>
      <c r="Y151" s="377" t="str">
        <f t="shared" si="304"/>
        <v/>
      </c>
      <c r="Z151" s="395" t="str">
        <f t="shared" si="305"/>
        <v/>
      </c>
      <c r="AB151" s="245" t="str">
        <f t="shared" si="317"/>
        <v xml:space="preserve">  </v>
      </c>
      <c r="AC151" s="245" t="str">
        <f>Tools!B151</f>
        <v/>
      </c>
      <c r="AD151" s="245" t="str">
        <f>Tools!C151</f>
        <v/>
      </c>
      <c r="AE151" s="245" t="str">
        <f>Tools!D151</f>
        <v/>
      </c>
      <c r="AF151" s="245" t="str">
        <f>Tools!E151</f>
        <v/>
      </c>
      <c r="AG151" s="245" t="str">
        <f>Tools!F151</f>
        <v/>
      </c>
      <c r="AH151" s="245" t="str">
        <f>Tools!G151</f>
        <v/>
      </c>
      <c r="AI151" s="245" t="str">
        <f>Tools!H151</f>
        <v/>
      </c>
      <c r="AJ151" s="245" t="str">
        <f>Tools!I151</f>
        <v/>
      </c>
      <c r="AK151" s="245" t="str">
        <f>Tools!J151</f>
        <v/>
      </c>
      <c r="AL151" s="245" t="str">
        <f>Tools!K151</f>
        <v/>
      </c>
      <c r="AM151" s="245" t="str">
        <f>Tools!L151</f>
        <v/>
      </c>
      <c r="AN151" s="245" t="str">
        <f>Tools!M151</f>
        <v/>
      </c>
      <c r="AO151" s="245" t="str">
        <f>Tools!N151</f>
        <v/>
      </c>
      <c r="AP151" s="245" t="str">
        <f>Tools!O151</f>
        <v/>
      </c>
      <c r="AQ151" s="245" t="str">
        <f>Tools!P151</f>
        <v/>
      </c>
      <c r="AR151" s="245" t="str">
        <f>Tools!Q151</f>
        <v/>
      </c>
      <c r="AS151" s="245" t="str">
        <f>Tools!R151</f>
        <v/>
      </c>
      <c r="AT151" s="245" t="str">
        <f>Tools!S151</f>
        <v/>
      </c>
      <c r="AU151" s="245" t="str">
        <f>Tools!T151</f>
        <v/>
      </c>
      <c r="AV151" s="245" t="str">
        <f>Tools!U151</f>
        <v/>
      </c>
      <c r="AW151" s="245" t="str">
        <f>Tools!V151</f>
        <v/>
      </c>
      <c r="AX151" s="245" t="str">
        <f>Tools!W151</f>
        <v/>
      </c>
      <c r="AY151" s="245" t="str">
        <f>Tools!X151</f>
        <v/>
      </c>
      <c r="AZ151" s="245" t="str">
        <f>Tools!Y151</f>
        <v/>
      </c>
      <c r="BA151" s="396" t="str">
        <f>Tools!Z151</f>
        <v/>
      </c>
      <c r="BC151" s="274">
        <f>'Rise, etc.'!O27</f>
        <v>19.5</v>
      </c>
      <c r="BD151" s="277">
        <f>IF(ISNUMBER(VLOOKUP(BC151,'Rise, etc.'!O$3:P$28,2,FALSE)),VLOOKUP(BC151,'Rise, etc.'!O$3:P$28,2,FALSE),"-")</f>
        <v>1</v>
      </c>
      <c r="BE151" s="277">
        <f t="shared" si="353"/>
        <v>0.55555555555555558</v>
      </c>
      <c r="BF151" s="277">
        <f t="shared" si="319"/>
        <v>1</v>
      </c>
      <c r="BG151" s="277">
        <f t="shared" si="320"/>
        <v>1.5</v>
      </c>
      <c r="BH151" s="277">
        <f t="shared" si="321"/>
        <v>2</v>
      </c>
      <c r="BI151" s="277">
        <f t="shared" si="322"/>
        <v>3</v>
      </c>
      <c r="BJ151" s="277">
        <f t="shared" si="323"/>
        <v>4</v>
      </c>
      <c r="BK151" s="277">
        <f t="shared" si="324"/>
        <v>5</v>
      </c>
      <c r="BL151" s="277">
        <f t="shared" si="325"/>
        <v>5.6111111111111107</v>
      </c>
      <c r="BM151" s="277"/>
      <c r="BN151" s="277" t="b">
        <f t="shared" si="326"/>
        <v>1</v>
      </c>
      <c r="BO151" s="277" t="b">
        <f t="shared" si="327"/>
        <v>1</v>
      </c>
      <c r="BP151" s="277" t="b">
        <f t="shared" si="328"/>
        <v>0</v>
      </c>
      <c r="BQ151" s="277" t="b">
        <f t="shared" si="329"/>
        <v>0</v>
      </c>
      <c r="BR151" s="277" t="b">
        <f t="shared" si="330"/>
        <v>0</v>
      </c>
      <c r="BS151" s="277" t="b">
        <f t="shared" si="331"/>
        <v>0</v>
      </c>
      <c r="BT151" s="277" t="b">
        <f t="shared" si="332"/>
        <v>0</v>
      </c>
      <c r="BU151" s="277" t="b">
        <f t="shared" si="333"/>
        <v>0</v>
      </c>
      <c r="BV151" s="277" t="b">
        <f t="shared" si="334"/>
        <v>0</v>
      </c>
      <c r="BW151" s="277" t="b">
        <f t="shared" si="335"/>
        <v>0</v>
      </c>
      <c r="BX151" s="277" t="b">
        <f t="shared" si="354"/>
        <v>0</v>
      </c>
      <c r="BY151" s="277" t="b">
        <f t="shared" si="336"/>
        <v>0</v>
      </c>
      <c r="BZ151" s="277" t="b">
        <f t="shared" si="337"/>
        <v>0</v>
      </c>
      <c r="CA151" s="277" t="b">
        <f t="shared" si="338"/>
        <v>0</v>
      </c>
      <c r="CB151" s="277" t="b">
        <f t="shared" si="339"/>
        <v>0</v>
      </c>
      <c r="CC151" s="277" t="b">
        <f t="shared" si="340"/>
        <v>0</v>
      </c>
      <c r="CD151" s="277" t="b">
        <f t="shared" si="341"/>
        <v>0</v>
      </c>
      <c r="CE151" s="277" t="b">
        <f t="shared" si="342"/>
        <v>0</v>
      </c>
      <c r="CF151" s="277" t="b">
        <f t="shared" si="343"/>
        <v>0</v>
      </c>
      <c r="CG151" s="277" t="b">
        <f t="shared" si="344"/>
        <v>0</v>
      </c>
      <c r="CH151" s="277" t="b">
        <f t="shared" si="345"/>
        <v>0</v>
      </c>
      <c r="CI151" s="277" t="b">
        <f t="shared" si="346"/>
        <v>0</v>
      </c>
      <c r="CJ151" s="277" t="b">
        <f t="shared" si="347"/>
        <v>0</v>
      </c>
      <c r="CK151" s="277" t="b">
        <f t="shared" si="348"/>
        <v>0</v>
      </c>
      <c r="CL151" s="277" t="b">
        <f t="shared" si="349"/>
        <v>0</v>
      </c>
      <c r="CM151" s="276">
        <f t="shared" si="355"/>
        <v>2</v>
      </c>
      <c r="CO151" s="454" t="e">
        <v>#N/A</v>
      </c>
      <c r="CP151" s="454" t="e">
        <v>#N/A</v>
      </c>
      <c r="CQ151" s="454" t="e">
        <v>#N/A</v>
      </c>
      <c r="CR151" s="454" t="e">
        <v>#N/A</v>
      </c>
      <c r="CS151" s="454" t="e">
        <v>#N/A</v>
      </c>
      <c r="CT151" s="454" t="e">
        <v>#N/A</v>
      </c>
      <c r="CU151" s="454" t="e">
        <v>#N/A</v>
      </c>
      <c r="CV151" s="454" t="e">
        <v>#N/A</v>
      </c>
      <c r="CW151" s="454" t="e">
        <v>#N/A</v>
      </c>
      <c r="CX151" s="454" t="e">
        <v>#N/A</v>
      </c>
      <c r="CY151" s="454" t="e">
        <v>#N/A</v>
      </c>
      <c r="CZ151" s="454" t="e">
        <v>#N/A</v>
      </c>
      <c r="DA151" s="454" t="e">
        <v>#N/A</v>
      </c>
      <c r="DB151" s="454" t="e">
        <v>#N/A</v>
      </c>
      <c r="DC151" s="454" t="e">
        <v>#N/A</v>
      </c>
      <c r="DD151" s="454" t="e">
        <v>#N/A</v>
      </c>
      <c r="DE151" s="454" t="e">
        <v>#N/A</v>
      </c>
      <c r="DF151" s="454" t="e">
        <v>#N/A</v>
      </c>
      <c r="DG151" s="454" t="e">
        <v>#N/A</v>
      </c>
      <c r="DH151" s="454" t="e">
        <v>#N/A</v>
      </c>
      <c r="DI151" s="454" t="e">
        <v>#N/A</v>
      </c>
      <c r="DJ151" s="454" t="e">
        <v>#N/A</v>
      </c>
      <c r="DK151" s="454" t="e">
        <v>#N/A</v>
      </c>
      <c r="DL151" s="454" t="e">
        <v>#N/A</v>
      </c>
      <c r="DM151" s="454" t="e">
        <v>#N/A</v>
      </c>
      <c r="DN151" s="454" t="e">
        <v>#N/A</v>
      </c>
      <c r="DP151" s="458"/>
      <c r="DQ151" s="458"/>
      <c r="DR151" s="458"/>
      <c r="DS151" s="458"/>
      <c r="DT151" s="458"/>
      <c r="DU151" s="458"/>
      <c r="DV151" s="458"/>
      <c r="DW151" s="458"/>
      <c r="DX151" s="458"/>
      <c r="DY151" s="458"/>
      <c r="DZ151" s="458"/>
      <c r="EA151" s="458"/>
      <c r="EB151" s="458"/>
      <c r="EC151" s="458"/>
      <c r="ED151" s="458"/>
      <c r="EE151" s="458"/>
      <c r="EF151" s="458"/>
      <c r="EG151" s="458"/>
      <c r="EH151" s="458"/>
      <c r="EI151" s="458"/>
      <c r="EJ151" s="458"/>
      <c r="EK151" s="458"/>
      <c r="EL151" s="458"/>
      <c r="EM151" s="458"/>
      <c r="EN151" s="458"/>
      <c r="EO151" s="458"/>
      <c r="EP151" s="458"/>
      <c r="ES151" s="129" t="str">
        <f>CONCATENATE("1,1,1 0,0,0 t undo 1 Loft ",EX126,EX127,EX128,EX129,EX130,EX131,EX132,EX133,EX134,EX135,EX136,EX137,EX138,EX139,EX140,EX141,EX142,EX143,EX144,EX145,EX146,EX147,EX148,EX149,EX150," C")</f>
        <v>1,1,1 0,0,0 t undo 1 Loft 0,10.89,14.19 3.2925,11.52,14.19 6.585,11.9,14.19 9.8775,12.1,14.19 13.17,12.2,14.19 19.755,12.23,14.19 26.34,12.25,14.19 32.925,12.25,14.19 39.51,12.25,14.19 46.095,12.25,14.19 52.68,12.25,14.19 59.265,12.25,14.19 65.85,12.25,14.19 72.435,12.25,14.19 79.02,12.25,14.19 85.605,12.25,14.19 92.19,12.23,14.19 98.775,12.15,14.19 105.36,11.75,14.19 111.945,10.94,14.19 118.53,9.77,14.19 121.8225,8.1,14.19 125.115,5.76,14.19 128.4075,4.1,14.19 131.7,1.78,14.19  C</v>
      </c>
      <c r="ET151" s="129" t="str">
        <f>CONCATENATE("Mirror3d ",LBP/2,",",HLOOKUP(DEPTH/WLS,AD2:BC27,ROUND(Long_Div/2,0),FALSE),",",DEPTH,"  ZX 0,0,0 No  ")</f>
        <v xml:space="preserve">Mirror3d 65.85,12.25,14.19  ZX 0,0,0 No  </v>
      </c>
      <c r="FB151" s="458"/>
      <c r="FC151" s="458"/>
      <c r="FD151" s="458"/>
      <c r="FE151" s="458"/>
      <c r="FF151" s="458"/>
      <c r="FG151" s="458"/>
      <c r="FH151" s="458"/>
      <c r="FI151" s="458"/>
      <c r="FJ151" s="458"/>
      <c r="FK151" s="458"/>
      <c r="FL151" s="458"/>
      <c r="FM151" s="458"/>
      <c r="FN151" s="458"/>
      <c r="FO151" s="458"/>
      <c r="FP151" s="458"/>
      <c r="FQ151" s="458"/>
      <c r="FR151" s="458"/>
      <c r="FS151" s="458"/>
      <c r="FT151" s="458"/>
      <c r="FU151" s="458"/>
      <c r="FV151" s="458"/>
      <c r="FW151" s="458"/>
      <c r="FX151" s="458"/>
      <c r="FY151" s="458"/>
      <c r="FZ151" s="458"/>
      <c r="GA151" s="458"/>
      <c r="GB151" s="458"/>
      <c r="GD151" s="129" t="str">
        <f>CONCATENATE("Loft ",EX126,EX127,EX128,EX129,EX130,EX131,EX132,EX133,EX134,EX135,EX136,EX137,EX138,EX139,EX140,EX141,EX142,EX143,EX144,EX145,EX146,EX147,EX148,EX149,EX150," ")</f>
        <v xml:space="preserve">Loft 0,10.89,14.19 3.2925,11.52,14.19 6.585,11.9,14.19 9.8775,12.1,14.19 13.17,12.2,14.19 19.755,12.23,14.19 26.34,12.25,14.19 32.925,12.25,14.19 39.51,12.25,14.19 46.095,12.25,14.19 52.68,12.25,14.19 59.265,12.25,14.19 65.85,12.25,14.19 72.435,12.25,14.19 79.02,12.25,14.19 85.605,12.25,14.19 92.19,12.23,14.19 98.775,12.15,14.19 105.36,11.75,14.19 111.945,10.94,14.19 118.53,9.77,14.19 121.8225,8.1,14.19 125.115,5.76,14.19 128.4075,4.1,14.19 131.7,1.78,14.19  </v>
      </c>
      <c r="GF151" s="129" t="s">
        <v>159</v>
      </c>
      <c r="GH151" s="129" t="str">
        <f>CONCATENATE("Loft ",EX126,EX127,EX128,EX129,EX130,EX131,EX132,EX133,EX134,EX135,EX136,EX137,EX138,EX139,EX140,EX141,EX142,EX143,EX144,EX145,EX146,EX147,EX148,EX149,EX150," C")</f>
        <v>Loft 0,10.89,14.19 3.2925,11.52,14.19 6.585,11.9,14.19 9.8775,12.1,14.19 13.17,12.2,14.19 19.755,12.23,14.19 26.34,12.25,14.19 32.925,12.25,14.19 39.51,12.25,14.19 46.095,12.25,14.19 52.68,12.25,14.19 59.265,12.25,14.19 65.85,12.25,14.19 72.435,12.25,14.19 79.02,12.25,14.19 85.605,12.25,14.19 92.19,12.23,14.19 98.775,12.15,14.19 105.36,11.75,14.19 111.945,10.94,14.19 118.53,9.77,14.19 121.8225,8.1,14.19 125.115,5.76,14.19 128.4075,4.1,14.19 131.7,1.78,14.19  C</v>
      </c>
      <c r="GI151" s="129" t="str">
        <f>ET151</f>
        <v xml:space="preserve">Mirror3d 65.85,12.25,14.19  ZX 0,0,0 No  </v>
      </c>
      <c r="GQ151" s="129" t="s">
        <v>380</v>
      </c>
    </row>
    <row r="152" spans="1:199" x14ac:dyDescent="0.25">
      <c r="A152" s="131"/>
      <c r="BC152" s="281">
        <f>'Rise, etc.'!O28</f>
        <v>20</v>
      </c>
      <c r="BD152" s="282">
        <f>IF(ISNUMBER(VLOOKUP(BC152,'Rise, etc.'!O$3:P$28,2,FALSE)),VLOOKUP(BC152,'Rise, etc.'!O$3:P$28,2,FALSE),"-")</f>
        <v>2</v>
      </c>
      <c r="BE152" s="277">
        <f t="shared" si="353"/>
        <v>1.1111111111111112</v>
      </c>
      <c r="BF152" s="277">
        <f t="shared" si="319"/>
        <v>1.5</v>
      </c>
      <c r="BG152" s="277">
        <f t="shared" si="320"/>
        <v>2</v>
      </c>
      <c r="BH152" s="277">
        <f t="shared" si="321"/>
        <v>3</v>
      </c>
      <c r="BI152" s="277">
        <f t="shared" si="322"/>
        <v>4</v>
      </c>
      <c r="BJ152" s="277">
        <f t="shared" si="323"/>
        <v>5</v>
      </c>
      <c r="BK152" s="277">
        <f t="shared" si="324"/>
        <v>5.6111111111111107</v>
      </c>
      <c r="BL152" s="277">
        <f t="shared" si="325"/>
        <v>6</v>
      </c>
      <c r="BM152" s="282"/>
      <c r="BN152" s="282" t="b">
        <f t="shared" si="326"/>
        <v>1</v>
      </c>
      <c r="BO152" s="282" t="b">
        <f t="shared" si="327"/>
        <v>1</v>
      </c>
      <c r="BP152" s="282" t="b">
        <f t="shared" si="328"/>
        <v>1</v>
      </c>
      <c r="BQ152" s="282" t="b">
        <f t="shared" si="329"/>
        <v>0</v>
      </c>
      <c r="BR152" s="282" t="b">
        <f t="shared" si="330"/>
        <v>0</v>
      </c>
      <c r="BS152" s="282" t="b">
        <f t="shared" si="331"/>
        <v>0</v>
      </c>
      <c r="BT152" s="282" t="b">
        <f t="shared" si="332"/>
        <v>0</v>
      </c>
      <c r="BU152" s="282" t="b">
        <f t="shared" si="333"/>
        <v>0</v>
      </c>
      <c r="BV152" s="282" t="b">
        <f t="shared" si="334"/>
        <v>0</v>
      </c>
      <c r="BW152" s="282" t="b">
        <f t="shared" si="335"/>
        <v>0</v>
      </c>
      <c r="BX152" s="282" t="b">
        <f t="shared" si="354"/>
        <v>0</v>
      </c>
      <c r="BY152" s="282" t="b">
        <f t="shared" si="336"/>
        <v>0</v>
      </c>
      <c r="BZ152" s="282" t="b">
        <f t="shared" si="337"/>
        <v>0</v>
      </c>
      <c r="CA152" s="282" t="b">
        <f t="shared" si="338"/>
        <v>0</v>
      </c>
      <c r="CB152" s="282" t="b">
        <f t="shared" si="339"/>
        <v>0</v>
      </c>
      <c r="CC152" s="282" t="b">
        <f t="shared" si="340"/>
        <v>0</v>
      </c>
      <c r="CD152" s="282" t="b">
        <f t="shared" si="341"/>
        <v>0</v>
      </c>
      <c r="CE152" s="282" t="b">
        <f t="shared" si="342"/>
        <v>0</v>
      </c>
      <c r="CF152" s="282" t="b">
        <f t="shared" si="343"/>
        <v>0</v>
      </c>
      <c r="CG152" s="282" t="b">
        <f t="shared" si="344"/>
        <v>0</v>
      </c>
      <c r="CH152" s="282" t="b">
        <f t="shared" si="345"/>
        <v>0</v>
      </c>
      <c r="CI152" s="282" t="b">
        <f t="shared" si="346"/>
        <v>0</v>
      </c>
      <c r="CJ152" s="282" t="b">
        <f t="shared" si="347"/>
        <v>0</v>
      </c>
      <c r="CK152" s="282" t="b">
        <f t="shared" si="348"/>
        <v>0</v>
      </c>
      <c r="CL152" s="282" t="b">
        <f t="shared" si="349"/>
        <v>0</v>
      </c>
      <c r="CM152" s="290">
        <f t="shared" si="355"/>
        <v>3</v>
      </c>
      <c r="GH152" s="129" t="s">
        <v>341</v>
      </c>
      <c r="GI152" s="129" t="str">
        <f>"Selectsimilar -10,0,0  Delete"</f>
        <v>Selectsimilar -10,0,0  Delete</v>
      </c>
    </row>
    <row r="153" spans="1:199" x14ac:dyDescent="0.25">
      <c r="A153" s="402" t="s">
        <v>297</v>
      </c>
      <c r="AB153" s="402" t="s">
        <v>298</v>
      </c>
      <c r="ES153" s="129" t="str">
        <f>CONCATENATE("1,1,1 0,0,0 undo Loft ",EX126,EX127,EX128,EX129,EX130,EX131,EX132,EX133,EX134,EX135,EX136,EX137,EX138,EX139,EX140,EX141,EX142,EX143,EX144,EX145,EX146,EX147,EX148,EX149,EX150)</f>
        <v xml:space="preserve">1,1,1 0,0,0 undo Loft 0,10.89,14.19 3.2925,11.52,14.19 6.585,11.9,14.19 9.8775,12.1,14.19 13.17,12.2,14.19 19.755,12.23,14.19 26.34,12.25,14.19 32.925,12.25,14.19 39.51,12.25,14.19 46.095,12.25,14.19 52.68,12.25,14.19 59.265,12.25,14.19 65.85,12.25,14.19 72.435,12.25,14.19 79.02,12.25,14.19 85.605,12.25,14.19 92.19,12.23,14.19 98.775,12.15,14.19 105.36,11.75,14.19 111.945,10.94,14.19 118.53,9.77,14.19 121.8225,8.1,14.19 125.115,5.76,14.19 128.4075,4.1,14.19 131.7,1.78,14.19 </v>
      </c>
    </row>
    <row r="154" spans="1:199" x14ac:dyDescent="0.25">
      <c r="A154" s="131"/>
      <c r="B154" s="403" t="s">
        <v>299</v>
      </c>
      <c r="C154" s="299">
        <f>IF(ISNUMBER(CAD!M2),CAD!M2,CAD!M3)</f>
        <v>70</v>
      </c>
      <c r="D154" s="129" t="s">
        <v>149</v>
      </c>
      <c r="F154" s="403" t="s">
        <v>146</v>
      </c>
      <c r="G154" s="299">
        <f>CAD!G2</f>
        <v>1</v>
      </c>
      <c r="H154" s="129" t="s">
        <v>300</v>
      </c>
      <c r="I154" s="403" t="s">
        <v>152</v>
      </c>
      <c r="J154" s="299">
        <f>CAD!G3</f>
        <v>2</v>
      </c>
      <c r="K154" s="129" t="s">
        <v>300</v>
      </c>
      <c r="M154" s="129" t="str">
        <f>CONCATENATE("Zoom Window ",-0.1*BA_Station_Scale_in_x*LBP,",",-0.1*BA_Y_scale_of_WL*DEPTH," ",1.1*BA_Station_Scale_in_x*LBP,",",1.1*BA_Y_scale_of_WL*DEPTH," ")</f>
        <v xml:space="preserve">Zoom Window -13.17,-2.838 144.87,31.218 </v>
      </c>
      <c r="AB154" s="131"/>
      <c r="AC154" s="404" t="s">
        <v>301</v>
      </c>
      <c r="AD154" s="405">
        <f>IF(ISNUMBER(CAD!R2),CAD!R2,CAD!R3)</f>
        <v>500</v>
      </c>
      <c r="AE154" s="131" t="s">
        <v>149</v>
      </c>
      <c r="AF154" s="131"/>
      <c r="AG154" s="131"/>
      <c r="AH154" s="131"/>
      <c r="AI154" s="131"/>
      <c r="AJ154" s="131"/>
      <c r="AK154" s="131"/>
      <c r="AL154" s="131"/>
      <c r="CO154" s="129" t="s">
        <v>100</v>
      </c>
      <c r="CP154" s="129">
        <f t="array" ref="CP154:DN154">TRANSPOSE(DE98:DE122)</f>
        <v>5.5</v>
      </c>
      <c r="CQ154" s="129">
        <v>4.9444444444444446</v>
      </c>
      <c r="CR154" s="129">
        <v>4.333333333333333</v>
      </c>
      <c r="CS154" s="129">
        <v>1.0833333333333333</v>
      </c>
      <c r="CT154" s="129">
        <v>0.31666666666666665</v>
      </c>
      <c r="CU154" s="129" t="str">
        <v>-</v>
      </c>
      <c r="CV154" s="129" t="str">
        <v>-</v>
      </c>
      <c r="CW154" s="129" t="str">
        <v>-</v>
      </c>
      <c r="CX154" s="129" t="str">
        <v>-</v>
      </c>
      <c r="CY154" s="129" t="str">
        <v>-</v>
      </c>
      <c r="CZ154" s="129" t="str">
        <v>-</v>
      </c>
      <c r="DA154" s="129" t="str">
        <v>-</v>
      </c>
      <c r="DB154" s="129" t="str">
        <v>-</v>
      </c>
      <c r="DC154" s="129" t="str">
        <v>-</v>
      </c>
      <c r="DD154" s="129" t="str">
        <v>-</v>
      </c>
      <c r="DE154" s="129" t="str">
        <v>-</v>
      </c>
      <c r="DF154" s="129" t="str">
        <v>-</v>
      </c>
      <c r="DG154" s="129" t="str">
        <v>-</v>
      </c>
      <c r="DH154" s="129" t="str">
        <v>-</v>
      </c>
      <c r="DI154" s="129" t="str">
        <v>-</v>
      </c>
      <c r="DJ154" s="129" t="str">
        <v>-</v>
      </c>
      <c r="DK154" s="129">
        <v>0.17777777777777778</v>
      </c>
      <c r="DL154" s="129">
        <v>0.3666666666666667</v>
      </c>
      <c r="DM154" s="129">
        <v>0.55555555555555558</v>
      </c>
      <c r="DN154" s="129">
        <v>1.1111111111111112</v>
      </c>
    </row>
    <row r="155" spans="1:199" x14ac:dyDescent="0.25">
      <c r="A155" s="406" t="str">
        <f t="shared" ref="A155:Z170" si="402">A69</f>
        <v>STN/WL</v>
      </c>
      <c r="B155" s="406">
        <f t="shared" si="402"/>
        <v>0</v>
      </c>
      <c r="C155" s="406">
        <f t="shared" si="402"/>
        <v>0.5</v>
      </c>
      <c r="D155" s="406">
        <f t="shared" si="402"/>
        <v>1</v>
      </c>
      <c r="E155" s="406">
        <f t="shared" si="402"/>
        <v>1.5</v>
      </c>
      <c r="F155" s="406">
        <f t="shared" si="402"/>
        <v>2</v>
      </c>
      <c r="G155" s="406">
        <f t="shared" si="402"/>
        <v>3</v>
      </c>
      <c r="H155" s="406">
        <f t="shared" si="402"/>
        <v>4</v>
      </c>
      <c r="I155" s="407">
        <f t="shared" si="402"/>
        <v>5</v>
      </c>
      <c r="J155" s="406">
        <f t="shared" si="402"/>
        <v>5.6111111111111107</v>
      </c>
      <c r="K155" s="406">
        <f t="shared" si="402"/>
        <v>6</v>
      </c>
      <c r="L155" s="406">
        <f t="shared" si="402"/>
        <v>7</v>
      </c>
      <c r="M155" s="406">
        <f t="shared" si="402"/>
        <v>7.8833333333333329</v>
      </c>
      <c r="N155" s="406" t="str">
        <f t="shared" si="402"/>
        <v xml:space="preserve">  </v>
      </c>
      <c r="O155" s="406" t="str">
        <f t="shared" si="402"/>
        <v xml:space="preserve">  </v>
      </c>
      <c r="P155" s="406" t="str">
        <f t="shared" si="402"/>
        <v xml:space="preserve">  </v>
      </c>
      <c r="Q155" s="406" t="str">
        <f t="shared" si="402"/>
        <v xml:space="preserve">  </v>
      </c>
      <c r="R155" s="406" t="str">
        <f t="shared" si="402"/>
        <v xml:space="preserve">  </v>
      </c>
      <c r="S155" s="406" t="str">
        <f t="shared" si="402"/>
        <v xml:space="preserve">  </v>
      </c>
      <c r="T155" s="406" t="str">
        <f t="shared" si="402"/>
        <v xml:space="preserve">  </v>
      </c>
      <c r="U155" s="406" t="str">
        <f t="shared" si="402"/>
        <v xml:space="preserve">  </v>
      </c>
      <c r="V155" s="406" t="str">
        <f t="shared" si="402"/>
        <v xml:space="preserve">  </v>
      </c>
      <c r="W155" s="406" t="str">
        <f t="shared" si="402"/>
        <v xml:space="preserve">  </v>
      </c>
      <c r="X155" s="406" t="str">
        <f t="shared" si="402"/>
        <v xml:space="preserve">  </v>
      </c>
      <c r="Y155" s="406" t="str">
        <f t="shared" si="402"/>
        <v xml:space="preserve">  </v>
      </c>
      <c r="Z155" s="406" t="str">
        <f t="shared" si="402"/>
        <v xml:space="preserve">  </v>
      </c>
      <c r="AB155" s="408" t="str">
        <f t="shared" ref="AB155:AQ180" si="403">A69</f>
        <v>STN/WL</v>
      </c>
      <c r="AC155" s="408">
        <f t="shared" si="403"/>
        <v>0</v>
      </c>
      <c r="AD155" s="408">
        <f t="shared" si="403"/>
        <v>0.5</v>
      </c>
      <c r="AE155" s="408">
        <f t="shared" si="403"/>
        <v>1</v>
      </c>
      <c r="AF155" s="408">
        <f t="shared" si="403"/>
        <v>1.5</v>
      </c>
      <c r="AG155" s="408">
        <f t="shared" si="403"/>
        <v>2</v>
      </c>
      <c r="AH155" s="408">
        <f t="shared" si="403"/>
        <v>3</v>
      </c>
      <c r="AI155" s="408">
        <f t="shared" si="403"/>
        <v>4</v>
      </c>
      <c r="AJ155" s="408">
        <f t="shared" si="403"/>
        <v>5</v>
      </c>
      <c r="AK155" s="408">
        <f t="shared" si="403"/>
        <v>5.6111111111111107</v>
      </c>
      <c r="AL155" s="408">
        <f t="shared" si="403"/>
        <v>6</v>
      </c>
      <c r="AM155" s="408">
        <f t="shared" si="403"/>
        <v>7</v>
      </c>
      <c r="AN155" s="408">
        <f t="shared" si="403"/>
        <v>7.8833333333333329</v>
      </c>
      <c r="AO155" s="408" t="str">
        <f t="shared" si="403"/>
        <v xml:space="preserve">  </v>
      </c>
      <c r="AP155" s="408" t="str">
        <f t="shared" si="403"/>
        <v xml:space="preserve">  </v>
      </c>
      <c r="AQ155" s="408" t="str">
        <f t="shared" si="403"/>
        <v xml:space="preserve">  </v>
      </c>
      <c r="AR155" s="408" t="str">
        <f t="shared" ref="AR155:BA155" si="404">Q69</f>
        <v xml:space="preserve">  </v>
      </c>
      <c r="AS155" s="408" t="str">
        <f t="shared" si="404"/>
        <v xml:space="preserve">  </v>
      </c>
      <c r="AT155" s="408" t="str">
        <f t="shared" si="404"/>
        <v xml:space="preserve">  </v>
      </c>
      <c r="AU155" s="408" t="str">
        <f t="shared" si="404"/>
        <v xml:space="preserve">  </v>
      </c>
      <c r="AV155" s="408" t="str">
        <f t="shared" si="404"/>
        <v xml:space="preserve">  </v>
      </c>
      <c r="AW155" s="408" t="str">
        <f t="shared" si="404"/>
        <v xml:space="preserve">  </v>
      </c>
      <c r="AX155" s="408" t="str">
        <f t="shared" si="404"/>
        <v xml:space="preserve">  </v>
      </c>
      <c r="AY155" s="408" t="str">
        <f t="shared" si="404"/>
        <v xml:space="preserve">  </v>
      </c>
      <c r="AZ155" s="408" t="str">
        <f t="shared" si="404"/>
        <v xml:space="preserve">  </v>
      </c>
      <c r="BA155" s="408" t="str">
        <f t="shared" si="404"/>
        <v xml:space="preserve">  </v>
      </c>
    </row>
    <row r="156" spans="1:199" s="397" customFormat="1" x14ac:dyDescent="0.25">
      <c r="A156" s="406">
        <f t="shared" si="402"/>
        <v>0</v>
      </c>
      <c r="B156" s="377" t="str">
        <f t="shared" ref="B156:Z156" si="405">IFERROR(CONCATENATE(ROUND($A156*STN_GAP*BA_Station_Scale_in_x+B70/Bonjean_Area_Scale,3),",",ROUND(B$69*WLS*BA_Y_scale_of_WL,3)," "),"")</f>
        <v xml:space="preserve">0,0 </v>
      </c>
      <c r="C156" s="377" t="str">
        <f t="shared" si="405"/>
        <v xml:space="preserve">0,1.8 </v>
      </c>
      <c r="D156" s="377" t="str">
        <f t="shared" si="405"/>
        <v xml:space="preserve">0,3.6 </v>
      </c>
      <c r="E156" s="377" t="str">
        <f t="shared" si="405"/>
        <v xml:space="preserve">0,5.4 </v>
      </c>
      <c r="F156" s="377" t="str">
        <f t="shared" si="405"/>
        <v xml:space="preserve">0,7.2 </v>
      </c>
      <c r="G156" s="377" t="str">
        <f t="shared" si="405"/>
        <v xml:space="preserve">0,10.8 </v>
      </c>
      <c r="H156" s="377" t="str">
        <f t="shared" si="405"/>
        <v xml:space="preserve">0,14.4 </v>
      </c>
      <c r="I156" s="377" t="str">
        <f t="shared" si="405"/>
        <v xml:space="preserve">0,18 </v>
      </c>
      <c r="J156" s="377" t="str">
        <f t="shared" si="405"/>
        <v xml:space="preserve">0.008,20.2 </v>
      </c>
      <c r="K156" s="377" t="str">
        <f t="shared" si="405"/>
        <v xml:space="preserve">0.099,21.6 </v>
      </c>
      <c r="L156" s="377" t="str">
        <f t="shared" si="405"/>
        <v xml:space="preserve">0.505,25.2 </v>
      </c>
      <c r="M156" s="377" t="str">
        <f t="shared" si="405"/>
        <v xml:space="preserve">0.971,28.38 </v>
      </c>
      <c r="N156" s="377" t="str">
        <f t="shared" si="405"/>
        <v/>
      </c>
      <c r="O156" s="377" t="str">
        <f t="shared" si="405"/>
        <v/>
      </c>
      <c r="P156" s="377" t="str">
        <f t="shared" si="405"/>
        <v/>
      </c>
      <c r="Q156" s="377" t="str">
        <f t="shared" si="405"/>
        <v/>
      </c>
      <c r="R156" s="377" t="str">
        <f t="shared" si="405"/>
        <v/>
      </c>
      <c r="S156" s="377" t="str">
        <f t="shared" si="405"/>
        <v/>
      </c>
      <c r="T156" s="377" t="str">
        <f t="shared" si="405"/>
        <v/>
      </c>
      <c r="U156" s="377" t="str">
        <f t="shared" si="405"/>
        <v/>
      </c>
      <c r="V156" s="377" t="str">
        <f t="shared" si="405"/>
        <v/>
      </c>
      <c r="W156" s="377" t="str">
        <f t="shared" si="405"/>
        <v/>
      </c>
      <c r="X156" s="377" t="str">
        <f t="shared" si="405"/>
        <v/>
      </c>
      <c r="Y156" s="377" t="str">
        <f t="shared" si="405"/>
        <v/>
      </c>
      <c r="Z156" s="377" t="str">
        <f t="shared" si="405"/>
        <v/>
      </c>
      <c r="AA156" s="129"/>
      <c r="AB156" s="406">
        <f t="shared" si="403"/>
        <v>0</v>
      </c>
      <c r="AC156" s="409" t="str">
        <f t="shared" ref="AC156:BA156" si="406">IFERROR(CONCATENATE(ROUND($A156*STN_GAP*BA_Station_Scale_in_x+AC70/Bonjean_Moment_Scale,3),",",ROUND(AC$155*WLS*BA_Y_scale_of_WL,3)," "),"")</f>
        <v xml:space="preserve">0,0 </v>
      </c>
      <c r="AD156" s="409" t="str">
        <f t="shared" si="406"/>
        <v xml:space="preserve">0,1.8 </v>
      </c>
      <c r="AE156" s="409" t="str">
        <f t="shared" si="406"/>
        <v xml:space="preserve">0,3.6 </v>
      </c>
      <c r="AF156" s="409" t="str">
        <f t="shared" si="406"/>
        <v xml:space="preserve">0,5.4 </v>
      </c>
      <c r="AG156" s="409" t="str">
        <f t="shared" si="406"/>
        <v xml:space="preserve">0,7.2 </v>
      </c>
      <c r="AH156" s="409" t="str">
        <f t="shared" si="406"/>
        <v xml:space="preserve">0,10.8 </v>
      </c>
      <c r="AI156" s="409" t="str">
        <f t="shared" si="406"/>
        <v xml:space="preserve">0,14.4 </v>
      </c>
      <c r="AJ156" s="409" t="str">
        <f t="shared" si="406"/>
        <v xml:space="preserve">0,18 </v>
      </c>
      <c r="AK156" s="409" t="str">
        <f t="shared" si="406"/>
        <v xml:space="preserve">0.012,20.2 </v>
      </c>
      <c r="AL156" s="409" t="str">
        <f t="shared" si="406"/>
        <v xml:space="preserve">0.145,21.6 </v>
      </c>
      <c r="AM156" s="409" t="str">
        <f t="shared" si="406"/>
        <v xml:space="preserve">0.814,25.2 </v>
      </c>
      <c r="AN156" s="409" t="str">
        <f t="shared" si="406"/>
        <v xml:space="preserve">1.688,28.38 </v>
      </c>
      <c r="AO156" s="409" t="str">
        <f t="shared" si="406"/>
        <v/>
      </c>
      <c r="AP156" s="409" t="str">
        <f t="shared" si="406"/>
        <v/>
      </c>
      <c r="AQ156" s="409" t="str">
        <f t="shared" si="406"/>
        <v/>
      </c>
      <c r="AR156" s="409" t="str">
        <f t="shared" si="406"/>
        <v/>
      </c>
      <c r="AS156" s="409" t="str">
        <f t="shared" si="406"/>
        <v/>
      </c>
      <c r="AT156" s="409" t="str">
        <f t="shared" si="406"/>
        <v/>
      </c>
      <c r="AU156" s="409" t="str">
        <f t="shared" si="406"/>
        <v/>
      </c>
      <c r="AV156" s="409" t="str">
        <f t="shared" si="406"/>
        <v/>
      </c>
      <c r="AW156" s="409" t="str">
        <f t="shared" si="406"/>
        <v/>
      </c>
      <c r="AX156" s="409" t="str">
        <f t="shared" si="406"/>
        <v/>
      </c>
      <c r="AY156" s="409" t="str">
        <f t="shared" si="406"/>
        <v/>
      </c>
      <c r="AZ156" s="409" t="str">
        <f t="shared" si="406"/>
        <v/>
      </c>
      <c r="BA156" s="409" t="str">
        <f t="shared" si="406"/>
        <v/>
      </c>
      <c r="BF156" s="129"/>
      <c r="CT156" s="129"/>
      <c r="CU156" s="129"/>
      <c r="CV156" s="129"/>
      <c r="CW156" s="129"/>
      <c r="CX156" s="129"/>
      <c r="CY156" s="129"/>
      <c r="CZ156" s="129"/>
      <c r="DA156" s="129"/>
      <c r="DB156" s="129"/>
      <c r="DC156" s="129"/>
      <c r="DD156" s="129"/>
      <c r="DE156" s="129"/>
      <c r="DF156" s="129"/>
      <c r="DG156" s="129"/>
      <c r="DH156" s="129"/>
      <c r="DI156" s="129"/>
      <c r="DJ156" s="129"/>
      <c r="DK156" s="129"/>
      <c r="DL156" s="129"/>
      <c r="DM156" s="129"/>
      <c r="DN156" s="129"/>
      <c r="DO156" s="129"/>
      <c r="DP156" s="129"/>
      <c r="DQ156" s="129"/>
      <c r="DR156" s="129"/>
      <c r="DS156" s="129"/>
      <c r="DT156" s="129"/>
      <c r="DU156" s="129"/>
      <c r="DV156" s="129"/>
      <c r="DW156" s="129"/>
      <c r="DX156" s="129"/>
      <c r="DY156" s="129"/>
      <c r="DZ156" s="129"/>
      <c r="EA156" s="129"/>
      <c r="EB156" s="129"/>
      <c r="EC156" s="129"/>
      <c r="ED156" s="129"/>
      <c r="EE156" s="129"/>
      <c r="EF156" s="129"/>
      <c r="EG156" s="129"/>
      <c r="EH156" s="129"/>
      <c r="EI156" s="129"/>
    </row>
    <row r="157" spans="1:199" s="397" customFormat="1" x14ac:dyDescent="0.25">
      <c r="A157" s="406">
        <f t="shared" si="402"/>
        <v>0.5</v>
      </c>
      <c r="B157" s="377" t="str">
        <f t="shared" ref="B157:Z157" si="407">IFERROR(CONCATENATE(ROUND($A157*STN_GAP*BA_Station_Scale_in_x+B71/Bonjean_Area_Scale,3),",",ROUND(B$69*WLS*BA_Y_scale_of_WL,3)," "),"")</f>
        <v xml:space="preserve">3.293,0 </v>
      </c>
      <c r="C157" s="377" t="str">
        <f t="shared" si="407"/>
        <v xml:space="preserve">3.293,1.8 </v>
      </c>
      <c r="D157" s="377" t="str">
        <f t="shared" si="407"/>
        <v xml:space="preserve">3.293,3.6 </v>
      </c>
      <c r="E157" s="377" t="str">
        <f t="shared" si="407"/>
        <v xml:space="preserve">3.293,5.4 </v>
      </c>
      <c r="F157" s="377" t="str">
        <f t="shared" si="407"/>
        <v xml:space="preserve">3.293,7.2 </v>
      </c>
      <c r="G157" s="377" t="str">
        <f t="shared" si="407"/>
        <v xml:space="preserve">3.293,10.8 </v>
      </c>
      <c r="H157" s="377" t="str">
        <f t="shared" si="407"/>
        <v xml:space="preserve">3.293,14.4 </v>
      </c>
      <c r="I157" s="377" t="str">
        <f t="shared" si="407"/>
        <v xml:space="preserve">3.294,18 </v>
      </c>
      <c r="J157" s="377" t="str">
        <f t="shared" si="407"/>
        <v xml:space="preserve">3.42,20.2 </v>
      </c>
      <c r="K157" s="377" t="str">
        <f t="shared" si="407"/>
        <v xml:space="preserve">3.564,21.6 </v>
      </c>
      <c r="L157" s="377" t="str">
        <f t="shared" si="407"/>
        <v xml:space="preserve">4.077,25.2 </v>
      </c>
      <c r="M157" s="377" t="str">
        <f t="shared" si="407"/>
        <v xml:space="preserve">4.58,28.38 </v>
      </c>
      <c r="N157" s="377" t="str">
        <f t="shared" si="407"/>
        <v/>
      </c>
      <c r="O157" s="377" t="str">
        <f t="shared" si="407"/>
        <v/>
      </c>
      <c r="P157" s="377" t="str">
        <f t="shared" si="407"/>
        <v/>
      </c>
      <c r="Q157" s="377" t="str">
        <f t="shared" si="407"/>
        <v/>
      </c>
      <c r="R157" s="377" t="str">
        <f t="shared" si="407"/>
        <v/>
      </c>
      <c r="S157" s="377" t="str">
        <f t="shared" si="407"/>
        <v/>
      </c>
      <c r="T157" s="377" t="str">
        <f t="shared" si="407"/>
        <v/>
      </c>
      <c r="U157" s="377" t="str">
        <f t="shared" si="407"/>
        <v/>
      </c>
      <c r="V157" s="377" t="str">
        <f t="shared" si="407"/>
        <v/>
      </c>
      <c r="W157" s="377" t="str">
        <f t="shared" si="407"/>
        <v/>
      </c>
      <c r="X157" s="377" t="str">
        <f t="shared" si="407"/>
        <v/>
      </c>
      <c r="Y157" s="377" t="str">
        <f t="shared" si="407"/>
        <v/>
      </c>
      <c r="Z157" s="377" t="str">
        <f t="shared" si="407"/>
        <v/>
      </c>
      <c r="AA157" s="129"/>
      <c r="AB157" s="406">
        <f t="shared" si="403"/>
        <v>0.5</v>
      </c>
      <c r="AC157" s="409" t="str">
        <f t="shared" ref="AC157:BA157" si="408">IFERROR(CONCATENATE(ROUND($A157*STN_GAP*BA_Station_Scale_in_x+AC71/Bonjean_Moment_Scale,3),",",ROUND(AC$155*WLS*BA_Y_scale_of_WL,3)," "),"")</f>
        <v xml:space="preserve">3.293,0 </v>
      </c>
      <c r="AD157" s="409" t="str">
        <f t="shared" si="408"/>
        <v xml:space="preserve">3.293,1.8 </v>
      </c>
      <c r="AE157" s="409" t="str">
        <f t="shared" si="408"/>
        <v xml:space="preserve">3.293,3.6 </v>
      </c>
      <c r="AF157" s="409" t="str">
        <f t="shared" si="408"/>
        <v xml:space="preserve">3.293,5.4 </v>
      </c>
      <c r="AG157" s="409" t="str">
        <f t="shared" si="408"/>
        <v xml:space="preserve">3.293,7.2 </v>
      </c>
      <c r="AH157" s="409" t="str">
        <f t="shared" si="408"/>
        <v xml:space="preserve">3.293,10.8 </v>
      </c>
      <c r="AI157" s="409" t="str">
        <f t="shared" si="408"/>
        <v xml:space="preserve">3.293,14.4 </v>
      </c>
      <c r="AJ157" s="409" t="str">
        <f t="shared" si="408"/>
        <v xml:space="preserve">3.295,18 </v>
      </c>
      <c r="AK157" s="409" t="str">
        <f t="shared" si="408"/>
        <v xml:space="preserve">3.465,20.2 </v>
      </c>
      <c r="AL157" s="409" t="str">
        <f t="shared" si="408"/>
        <v xml:space="preserve">3.677,21.6 </v>
      </c>
      <c r="AM157" s="409" t="str">
        <f t="shared" si="408"/>
        <v xml:space="preserve">4.519,25.2 </v>
      </c>
      <c r="AN157" s="409" t="str">
        <f t="shared" si="408"/>
        <v xml:space="preserve">5.463,28.38 </v>
      </c>
      <c r="AO157" s="409" t="str">
        <f t="shared" si="408"/>
        <v/>
      </c>
      <c r="AP157" s="409" t="str">
        <f t="shared" si="408"/>
        <v/>
      </c>
      <c r="AQ157" s="409" t="str">
        <f t="shared" si="408"/>
        <v/>
      </c>
      <c r="AR157" s="409" t="str">
        <f t="shared" si="408"/>
        <v/>
      </c>
      <c r="AS157" s="409" t="str">
        <f t="shared" si="408"/>
        <v/>
      </c>
      <c r="AT157" s="409" t="str">
        <f t="shared" si="408"/>
        <v/>
      </c>
      <c r="AU157" s="409" t="str">
        <f t="shared" si="408"/>
        <v/>
      </c>
      <c r="AV157" s="409" t="str">
        <f t="shared" si="408"/>
        <v/>
      </c>
      <c r="AW157" s="409" t="str">
        <f t="shared" si="408"/>
        <v/>
      </c>
      <c r="AX157" s="409" t="str">
        <f t="shared" si="408"/>
        <v/>
      </c>
      <c r="AY157" s="409" t="str">
        <f t="shared" si="408"/>
        <v/>
      </c>
      <c r="AZ157" s="409" t="str">
        <f t="shared" si="408"/>
        <v/>
      </c>
      <c r="BA157" s="409" t="str">
        <f t="shared" si="408"/>
        <v/>
      </c>
      <c r="BF157" s="129"/>
      <c r="CT157" s="129"/>
      <c r="CU157" s="129"/>
      <c r="CV157" s="129"/>
      <c r="CW157" s="129"/>
      <c r="CX157" s="129"/>
      <c r="CY157" s="129"/>
      <c r="CZ157" s="129"/>
      <c r="DA157" s="129"/>
      <c r="DB157" s="129"/>
      <c r="DC157" s="129"/>
      <c r="DD157" s="129"/>
      <c r="DE157" s="129"/>
      <c r="DF157" s="129"/>
      <c r="DG157" s="129"/>
      <c r="DH157" s="129"/>
      <c r="DI157" s="129"/>
      <c r="DJ157" s="129"/>
      <c r="DK157" s="129"/>
      <c r="DL157" s="129"/>
      <c r="DM157" s="129"/>
      <c r="DN157" s="129"/>
      <c r="DO157" s="129"/>
      <c r="DP157" s="129"/>
      <c r="DQ157" s="129"/>
      <c r="DR157" s="129"/>
      <c r="DS157" s="129"/>
      <c r="DT157" s="129"/>
      <c r="DU157" s="129"/>
      <c r="DV157" s="129"/>
      <c r="DW157" s="129"/>
      <c r="DX157" s="129"/>
      <c r="DY157" s="129"/>
      <c r="DZ157" s="129"/>
      <c r="EA157" s="129"/>
      <c r="EB157" s="129"/>
      <c r="EC157" s="129"/>
      <c r="ED157" s="129"/>
      <c r="EE157" s="129"/>
      <c r="EF157" s="129"/>
      <c r="EG157" s="129"/>
      <c r="EH157" s="129"/>
      <c r="EI157" s="129"/>
    </row>
    <row r="158" spans="1:199" s="397" customFormat="1" x14ac:dyDescent="0.25">
      <c r="A158" s="406">
        <f t="shared" si="402"/>
        <v>1</v>
      </c>
      <c r="B158" s="377" t="str">
        <f t="shared" ref="B158:Z158" si="409">IFERROR(CONCATENATE(ROUND($A158*STN_GAP*BA_Station_Scale_in_x+B72/Bonjean_Area_Scale,3),",",ROUND(B$69*WLS*BA_Y_scale_of_WL,3)," "),"")</f>
        <v xml:space="preserve">6.585,0 </v>
      </c>
      <c r="C158" s="377" t="str">
        <f t="shared" si="409"/>
        <v xml:space="preserve">6.585,1.8 </v>
      </c>
      <c r="D158" s="377" t="str">
        <f t="shared" si="409"/>
        <v xml:space="preserve">6.585,3.6 </v>
      </c>
      <c r="E158" s="377" t="str">
        <f t="shared" si="409"/>
        <v xml:space="preserve">6.585,5.4 </v>
      </c>
      <c r="F158" s="377" t="str">
        <f t="shared" si="409"/>
        <v xml:space="preserve">6.585,7.2 </v>
      </c>
      <c r="G158" s="377" t="str">
        <f t="shared" si="409"/>
        <v xml:space="preserve">6.585,10.8 </v>
      </c>
      <c r="H158" s="377" t="str">
        <f t="shared" si="409"/>
        <v xml:space="preserve">6.585,14.4 </v>
      </c>
      <c r="I158" s="377" t="str">
        <f t="shared" si="409"/>
        <v xml:space="preserve">6.69,18 </v>
      </c>
      <c r="J158" s="377" t="str">
        <f t="shared" si="409"/>
        <v xml:space="preserve">6.924,20.2 </v>
      </c>
      <c r="K158" s="377" t="str">
        <f t="shared" si="409"/>
        <v xml:space="preserve">7.11,21.6 </v>
      </c>
      <c r="L158" s="377" t="str">
        <f t="shared" si="409"/>
        <v xml:space="preserve">7.664,25.2 </v>
      </c>
      <c r="M158" s="377" t="str">
        <f t="shared" si="409"/>
        <v xml:space="preserve">8.191,28.38 </v>
      </c>
      <c r="N158" s="377" t="str">
        <f t="shared" si="409"/>
        <v/>
      </c>
      <c r="O158" s="377" t="str">
        <f t="shared" si="409"/>
        <v/>
      </c>
      <c r="P158" s="377" t="str">
        <f t="shared" si="409"/>
        <v/>
      </c>
      <c r="Q158" s="377" t="str">
        <f t="shared" si="409"/>
        <v/>
      </c>
      <c r="R158" s="377" t="str">
        <f t="shared" si="409"/>
        <v/>
      </c>
      <c r="S158" s="377" t="str">
        <f t="shared" si="409"/>
        <v/>
      </c>
      <c r="T158" s="377" t="str">
        <f t="shared" si="409"/>
        <v/>
      </c>
      <c r="U158" s="377" t="str">
        <f t="shared" si="409"/>
        <v/>
      </c>
      <c r="V158" s="377" t="str">
        <f t="shared" si="409"/>
        <v/>
      </c>
      <c r="W158" s="377" t="str">
        <f t="shared" si="409"/>
        <v/>
      </c>
      <c r="X158" s="377" t="str">
        <f t="shared" si="409"/>
        <v/>
      </c>
      <c r="Y158" s="377" t="str">
        <f t="shared" si="409"/>
        <v/>
      </c>
      <c r="Z158" s="377" t="str">
        <f t="shared" si="409"/>
        <v/>
      </c>
      <c r="AA158" s="129"/>
      <c r="AB158" s="406">
        <f t="shared" si="403"/>
        <v>1</v>
      </c>
      <c r="AC158" s="409" t="str">
        <f t="shared" ref="AC158:BA158" si="410">IFERROR(CONCATENATE(ROUND($A158*STN_GAP*BA_Station_Scale_in_x+AC72/Bonjean_Moment_Scale,3),",",ROUND(AC$155*WLS*BA_Y_scale_of_WL,3)," "),"")</f>
        <v xml:space="preserve">6.585,0 </v>
      </c>
      <c r="AD158" s="409" t="str">
        <f t="shared" si="410"/>
        <v xml:space="preserve">6.585,1.8 </v>
      </c>
      <c r="AE158" s="409" t="str">
        <f t="shared" si="410"/>
        <v xml:space="preserve">6.585,3.6 </v>
      </c>
      <c r="AF158" s="409" t="str">
        <f t="shared" si="410"/>
        <v xml:space="preserve">6.585,5.4 </v>
      </c>
      <c r="AG158" s="409" t="str">
        <f t="shared" si="410"/>
        <v xml:space="preserve">6.585,7.2 </v>
      </c>
      <c r="AH158" s="409" t="str">
        <f t="shared" si="410"/>
        <v xml:space="preserve">6.585,10.8 </v>
      </c>
      <c r="AI158" s="409" t="str">
        <f t="shared" si="410"/>
        <v xml:space="preserve">6.585,14.4 </v>
      </c>
      <c r="AJ158" s="409" t="str">
        <f t="shared" si="410"/>
        <v xml:space="preserve">6.711,18 </v>
      </c>
      <c r="AK158" s="409" t="str">
        <f t="shared" si="410"/>
        <v xml:space="preserve">7.026,20.2 </v>
      </c>
      <c r="AL158" s="409" t="str">
        <f t="shared" si="410"/>
        <v xml:space="preserve">7.297,21.6 </v>
      </c>
      <c r="AM158" s="409" t="str">
        <f t="shared" si="410"/>
        <v xml:space="preserve">8.206,25.2 </v>
      </c>
      <c r="AN158" s="409" t="str">
        <f t="shared" si="410"/>
        <v xml:space="preserve">9.196,28.38 </v>
      </c>
      <c r="AO158" s="409" t="str">
        <f t="shared" si="410"/>
        <v/>
      </c>
      <c r="AP158" s="409" t="str">
        <f t="shared" si="410"/>
        <v/>
      </c>
      <c r="AQ158" s="409" t="str">
        <f t="shared" si="410"/>
        <v/>
      </c>
      <c r="AR158" s="409" t="str">
        <f t="shared" si="410"/>
        <v/>
      </c>
      <c r="AS158" s="409" t="str">
        <f t="shared" si="410"/>
        <v/>
      </c>
      <c r="AT158" s="409" t="str">
        <f t="shared" si="410"/>
        <v/>
      </c>
      <c r="AU158" s="409" t="str">
        <f t="shared" si="410"/>
        <v/>
      </c>
      <c r="AV158" s="409" t="str">
        <f t="shared" si="410"/>
        <v/>
      </c>
      <c r="AW158" s="409" t="str">
        <f t="shared" si="410"/>
        <v/>
      </c>
      <c r="AX158" s="409" t="str">
        <f t="shared" si="410"/>
        <v/>
      </c>
      <c r="AY158" s="409" t="str">
        <f t="shared" si="410"/>
        <v/>
      </c>
      <c r="AZ158" s="409" t="str">
        <f t="shared" si="410"/>
        <v/>
      </c>
      <c r="BA158" s="409" t="str">
        <f t="shared" si="410"/>
        <v/>
      </c>
      <c r="BF158" s="129"/>
    </row>
    <row r="159" spans="1:199" s="397" customFormat="1" x14ac:dyDescent="0.25">
      <c r="A159" s="406">
        <f t="shared" si="402"/>
        <v>1.5</v>
      </c>
      <c r="B159" s="377" t="str">
        <f t="shared" ref="B159:Z159" si="411">IFERROR(CONCATENATE(ROUND($A159*STN_GAP*BA_Station_Scale_in_x+B73/Bonjean_Area_Scale,3),",",ROUND(B$69*WLS*BA_Y_scale_of_WL,3)," "),"")</f>
        <v xml:space="preserve">9.878,0 </v>
      </c>
      <c r="C159" s="377" t="str">
        <f t="shared" si="411"/>
        <v xml:space="preserve">9.878,1.8 </v>
      </c>
      <c r="D159" s="377" t="str">
        <f t="shared" si="411"/>
        <v xml:space="preserve">9.878,3.6 </v>
      </c>
      <c r="E159" s="377" t="str">
        <f t="shared" si="411"/>
        <v xml:space="preserve">9.882,5.4 </v>
      </c>
      <c r="F159" s="377" t="str">
        <f t="shared" si="411"/>
        <v xml:space="preserve">9.896,7.2 </v>
      </c>
      <c r="G159" s="377" t="str">
        <f t="shared" si="411"/>
        <v xml:space="preserve">9.942,10.8 </v>
      </c>
      <c r="H159" s="377" t="str">
        <f t="shared" si="411"/>
        <v xml:space="preserve">10.031,14.4 </v>
      </c>
      <c r="I159" s="377" t="str">
        <f t="shared" si="411"/>
        <v xml:space="preserve">10.274,18 </v>
      </c>
      <c r="J159" s="377" t="str">
        <f t="shared" si="411"/>
        <v xml:space="preserve">10.567,20.2 </v>
      </c>
      <c r="K159" s="377" t="str">
        <f t="shared" si="411"/>
        <v xml:space="preserve">10.844,21.6 </v>
      </c>
      <c r="L159" s="377" t="str">
        <f t="shared" si="411"/>
        <v xml:space="preserve">11.361,25.2 </v>
      </c>
      <c r="M159" s="377" t="str">
        <f t="shared" si="411"/>
        <v xml:space="preserve">11.903,28.38 </v>
      </c>
      <c r="N159" s="377" t="str">
        <f t="shared" si="411"/>
        <v/>
      </c>
      <c r="O159" s="377" t="str">
        <f t="shared" si="411"/>
        <v/>
      </c>
      <c r="P159" s="377" t="str">
        <f t="shared" si="411"/>
        <v/>
      </c>
      <c r="Q159" s="377" t="str">
        <f t="shared" si="411"/>
        <v/>
      </c>
      <c r="R159" s="377" t="str">
        <f t="shared" si="411"/>
        <v/>
      </c>
      <c r="S159" s="377" t="str">
        <f t="shared" si="411"/>
        <v/>
      </c>
      <c r="T159" s="377" t="str">
        <f t="shared" si="411"/>
        <v/>
      </c>
      <c r="U159" s="377" t="str">
        <f t="shared" si="411"/>
        <v/>
      </c>
      <c r="V159" s="377" t="str">
        <f t="shared" si="411"/>
        <v/>
      </c>
      <c r="W159" s="377" t="str">
        <f t="shared" si="411"/>
        <v/>
      </c>
      <c r="X159" s="377" t="str">
        <f t="shared" si="411"/>
        <v/>
      </c>
      <c r="Y159" s="377" t="str">
        <f t="shared" si="411"/>
        <v/>
      </c>
      <c r="Z159" s="377" t="str">
        <f t="shared" si="411"/>
        <v/>
      </c>
      <c r="AA159" s="129"/>
      <c r="AB159" s="406">
        <f t="shared" si="403"/>
        <v>1.5</v>
      </c>
      <c r="AC159" s="409" t="str">
        <f t="shared" ref="AC159:BA159" si="412">IFERROR(CONCATENATE(ROUND($A159*STN_GAP*BA_Station_Scale_in_x+AC73/Bonjean_Moment_Scale,3),",",ROUND(AC$155*WLS*BA_Y_scale_of_WL,3)," "),"")</f>
        <v xml:space="preserve">9.878,0 </v>
      </c>
      <c r="AD159" s="409" t="str">
        <f t="shared" si="412"/>
        <v xml:space="preserve">9.878,1.8 </v>
      </c>
      <c r="AE159" s="409" t="str">
        <f t="shared" si="412"/>
        <v xml:space="preserve">9.878,3.6 </v>
      </c>
      <c r="AF159" s="409" t="str">
        <f t="shared" si="412"/>
        <v xml:space="preserve">9.879,5.4 </v>
      </c>
      <c r="AG159" s="409" t="str">
        <f t="shared" si="412"/>
        <v xml:space="preserve">9.885,7.2 </v>
      </c>
      <c r="AH159" s="409" t="str">
        <f t="shared" si="412"/>
        <v xml:space="preserve">9.915,10.8 </v>
      </c>
      <c r="AI159" s="409" t="str">
        <f t="shared" si="412"/>
        <v xml:space="preserve">9.995,14.4 </v>
      </c>
      <c r="AJ159" s="409" t="str">
        <f t="shared" si="412"/>
        <v xml:space="preserve">10.281,18 </v>
      </c>
      <c r="AK159" s="409" t="str">
        <f t="shared" si="412"/>
        <v xml:space="preserve">10.674,20.2 </v>
      </c>
      <c r="AL159" s="409" t="str">
        <f t="shared" si="412"/>
        <v xml:space="preserve">11.055,21.6 </v>
      </c>
      <c r="AM159" s="409" t="str">
        <f t="shared" si="412"/>
        <v xml:space="preserve">11.939,25.2 </v>
      </c>
      <c r="AN159" s="409" t="str">
        <f t="shared" si="412"/>
        <v xml:space="preserve">12.956,28.38 </v>
      </c>
      <c r="AO159" s="409" t="str">
        <f t="shared" si="412"/>
        <v/>
      </c>
      <c r="AP159" s="409" t="str">
        <f t="shared" si="412"/>
        <v/>
      </c>
      <c r="AQ159" s="409" t="str">
        <f t="shared" si="412"/>
        <v/>
      </c>
      <c r="AR159" s="409" t="str">
        <f t="shared" si="412"/>
        <v/>
      </c>
      <c r="AS159" s="409" t="str">
        <f t="shared" si="412"/>
        <v/>
      </c>
      <c r="AT159" s="409" t="str">
        <f t="shared" si="412"/>
        <v/>
      </c>
      <c r="AU159" s="409" t="str">
        <f t="shared" si="412"/>
        <v/>
      </c>
      <c r="AV159" s="409" t="str">
        <f t="shared" si="412"/>
        <v/>
      </c>
      <c r="AW159" s="409" t="str">
        <f t="shared" si="412"/>
        <v/>
      </c>
      <c r="AX159" s="409" t="str">
        <f t="shared" si="412"/>
        <v/>
      </c>
      <c r="AY159" s="409" t="str">
        <f t="shared" si="412"/>
        <v/>
      </c>
      <c r="AZ159" s="409" t="str">
        <f t="shared" si="412"/>
        <v/>
      </c>
      <c r="BA159" s="409" t="str">
        <f t="shared" si="412"/>
        <v/>
      </c>
      <c r="BF159" s="129"/>
    </row>
    <row r="160" spans="1:199" s="397" customFormat="1" x14ac:dyDescent="0.25">
      <c r="A160" s="406">
        <f t="shared" si="402"/>
        <v>2</v>
      </c>
      <c r="B160" s="377" t="str">
        <f t="shared" ref="B160:Z160" si="413">IFERROR(CONCATENATE(ROUND($A160*STN_GAP*BA_Station_Scale_in_x+B74/Bonjean_Area_Scale,3),",",ROUND(B$69*WLS*BA_Y_scale_of_WL,3)," "),"")</f>
        <v xml:space="preserve">13.17,0 </v>
      </c>
      <c r="C160" s="377" t="str">
        <f t="shared" si="413"/>
        <v xml:space="preserve">13.172,1.8 </v>
      </c>
      <c r="D160" s="377" t="str">
        <f t="shared" si="413"/>
        <v xml:space="preserve">13.191,3.6 </v>
      </c>
      <c r="E160" s="377" t="str">
        <f t="shared" si="413"/>
        <v xml:space="preserve">13.224,5.4 </v>
      </c>
      <c r="F160" s="377" t="str">
        <f t="shared" si="413"/>
        <v xml:space="preserve">13.266,7.2 </v>
      </c>
      <c r="G160" s="377" t="str">
        <f t="shared" si="413"/>
        <v xml:space="preserve">13.371,10.8 </v>
      </c>
      <c r="H160" s="377" t="str">
        <f t="shared" si="413"/>
        <v xml:space="preserve">13.574,14.4 </v>
      </c>
      <c r="I160" s="377" t="str">
        <f t="shared" si="413"/>
        <v xml:space="preserve">13.965,18 </v>
      </c>
      <c r="J160" s="377" t="str">
        <f t="shared" si="413"/>
        <v xml:space="preserve">14.291,20.2 </v>
      </c>
      <c r="K160" s="377" t="str">
        <f t="shared" si="413"/>
        <v xml:space="preserve">14.542,21.6 </v>
      </c>
      <c r="L160" s="377" t="str">
        <f t="shared" si="413"/>
        <v xml:space="preserve">15.118,25.2 </v>
      </c>
      <c r="M160" s="377" t="str">
        <f t="shared" si="413"/>
        <v xml:space="preserve">15.667,28.38 </v>
      </c>
      <c r="N160" s="377" t="str">
        <f t="shared" si="413"/>
        <v/>
      </c>
      <c r="O160" s="377" t="str">
        <f t="shared" si="413"/>
        <v/>
      </c>
      <c r="P160" s="377" t="str">
        <f t="shared" si="413"/>
        <v/>
      </c>
      <c r="Q160" s="377" t="str">
        <f t="shared" si="413"/>
        <v/>
      </c>
      <c r="R160" s="377" t="str">
        <f t="shared" si="413"/>
        <v/>
      </c>
      <c r="S160" s="377" t="str">
        <f t="shared" si="413"/>
        <v/>
      </c>
      <c r="T160" s="377" t="str">
        <f t="shared" si="413"/>
        <v/>
      </c>
      <c r="U160" s="377" t="str">
        <f t="shared" si="413"/>
        <v/>
      </c>
      <c r="V160" s="377" t="str">
        <f t="shared" si="413"/>
        <v/>
      </c>
      <c r="W160" s="377" t="str">
        <f t="shared" si="413"/>
        <v/>
      </c>
      <c r="X160" s="377" t="str">
        <f t="shared" si="413"/>
        <v/>
      </c>
      <c r="Y160" s="377" t="str">
        <f t="shared" si="413"/>
        <v/>
      </c>
      <c r="Z160" s="377" t="str">
        <f t="shared" si="413"/>
        <v/>
      </c>
      <c r="AA160" s="129"/>
      <c r="AB160" s="406">
        <f t="shared" si="403"/>
        <v>2</v>
      </c>
      <c r="AC160" s="409" t="str">
        <f t="shared" ref="AC160:BA160" si="414">IFERROR(CONCATENATE(ROUND($A160*STN_GAP*BA_Station_Scale_in_x+AC74/Bonjean_Moment_Scale,3),",",ROUND(AC$155*WLS*BA_Y_scale_of_WL,3)," "),"")</f>
        <v xml:space="preserve">13.17,0 </v>
      </c>
      <c r="AD160" s="409" t="str">
        <f t="shared" si="414"/>
        <v xml:space="preserve">13.17,1.8 </v>
      </c>
      <c r="AE160" s="409" t="str">
        <f t="shared" si="414"/>
        <v xml:space="preserve">13.174,3.6 </v>
      </c>
      <c r="AF160" s="409" t="str">
        <f t="shared" si="414"/>
        <v xml:space="preserve">13.184,5.4 </v>
      </c>
      <c r="AG160" s="409" t="str">
        <f t="shared" si="414"/>
        <v xml:space="preserve">13.203,7.2 </v>
      </c>
      <c r="AH160" s="409" t="str">
        <f t="shared" si="414"/>
        <v xml:space="preserve">13.272,10.8 </v>
      </c>
      <c r="AI160" s="409" t="str">
        <f t="shared" si="414"/>
        <v xml:space="preserve">13.453,14.4 </v>
      </c>
      <c r="AJ160" s="409" t="str">
        <f t="shared" si="414"/>
        <v xml:space="preserve">13.901,18 </v>
      </c>
      <c r="AK160" s="409" t="str">
        <f t="shared" si="414"/>
        <v xml:space="preserve">14.339,20.2 </v>
      </c>
      <c r="AL160" s="409" t="str">
        <f t="shared" si="414"/>
        <v xml:space="preserve">14.697,21.6 </v>
      </c>
      <c r="AM160" s="409" t="str">
        <f t="shared" si="414"/>
        <v xml:space="preserve">15.654,25.2 </v>
      </c>
      <c r="AN160" s="409" t="str">
        <f t="shared" si="414"/>
        <v xml:space="preserve">16.685,28.38 </v>
      </c>
      <c r="AO160" s="409" t="str">
        <f t="shared" si="414"/>
        <v/>
      </c>
      <c r="AP160" s="409" t="str">
        <f t="shared" si="414"/>
        <v/>
      </c>
      <c r="AQ160" s="409" t="str">
        <f t="shared" si="414"/>
        <v/>
      </c>
      <c r="AR160" s="409" t="str">
        <f t="shared" si="414"/>
        <v/>
      </c>
      <c r="AS160" s="409" t="str">
        <f t="shared" si="414"/>
        <v/>
      </c>
      <c r="AT160" s="409" t="str">
        <f t="shared" si="414"/>
        <v/>
      </c>
      <c r="AU160" s="409" t="str">
        <f t="shared" si="414"/>
        <v/>
      </c>
      <c r="AV160" s="409" t="str">
        <f t="shared" si="414"/>
        <v/>
      </c>
      <c r="AW160" s="409" t="str">
        <f t="shared" si="414"/>
        <v/>
      </c>
      <c r="AX160" s="409" t="str">
        <f t="shared" si="414"/>
        <v/>
      </c>
      <c r="AY160" s="409" t="str">
        <f t="shared" si="414"/>
        <v/>
      </c>
      <c r="AZ160" s="409" t="str">
        <f t="shared" si="414"/>
        <v/>
      </c>
      <c r="BA160" s="409" t="str">
        <f t="shared" si="414"/>
        <v/>
      </c>
      <c r="BF160" s="129"/>
    </row>
    <row r="161" spans="1:89" s="397" customFormat="1" x14ac:dyDescent="0.25">
      <c r="A161" s="406">
        <f t="shared" si="402"/>
        <v>3</v>
      </c>
      <c r="B161" s="377" t="str">
        <f t="shared" ref="B161:Z161" si="415">IFERROR(CONCATENATE(ROUND($A161*STN_GAP*BA_Station_Scale_in_x+B75/Bonjean_Area_Scale,3),",",ROUND(B$69*WLS*BA_Y_scale_of_WL,3)," "),"")</f>
        <v xml:space="preserve">19.755,0 </v>
      </c>
      <c r="C161" s="377" t="str">
        <f t="shared" si="415"/>
        <v xml:space="preserve">19.782,1.8 </v>
      </c>
      <c r="D161" s="377" t="str">
        <f t="shared" si="415"/>
        <v xml:space="preserve">19.835,3.6 </v>
      </c>
      <c r="E161" s="377" t="str">
        <f t="shared" si="415"/>
        <v xml:space="preserve">19.898,5.4 </v>
      </c>
      <c r="F161" s="377" t="str">
        <f t="shared" si="415"/>
        <v xml:space="preserve">19.973,7.2 </v>
      </c>
      <c r="G161" s="377" t="str">
        <f t="shared" si="415"/>
        <v xml:space="preserve">20.184,10.8 </v>
      </c>
      <c r="H161" s="377" t="str">
        <f t="shared" si="415"/>
        <v xml:space="preserve">20.584,14.4 </v>
      </c>
      <c r="I161" s="377" t="str">
        <f t="shared" si="415"/>
        <v xml:space="preserve">21.14,18 </v>
      </c>
      <c r="J161" s="377" t="str">
        <f t="shared" si="415"/>
        <v xml:space="preserve">21.5,20.2 </v>
      </c>
      <c r="K161" s="377" t="str">
        <f t="shared" si="415"/>
        <v xml:space="preserve">21.725,21.6 </v>
      </c>
      <c r="L161" s="377" t="str">
        <f t="shared" si="415"/>
        <v xml:space="preserve">22.36,25.2 </v>
      </c>
      <c r="M161" s="377" t="str">
        <f t="shared" si="415"/>
        <v xml:space="preserve">22.915,28.38 </v>
      </c>
      <c r="N161" s="377" t="str">
        <f t="shared" si="415"/>
        <v/>
      </c>
      <c r="O161" s="377" t="str">
        <f t="shared" si="415"/>
        <v/>
      </c>
      <c r="P161" s="377" t="str">
        <f t="shared" si="415"/>
        <v/>
      </c>
      <c r="Q161" s="377" t="str">
        <f t="shared" si="415"/>
        <v/>
      </c>
      <c r="R161" s="377" t="str">
        <f t="shared" si="415"/>
        <v/>
      </c>
      <c r="S161" s="377" t="str">
        <f t="shared" si="415"/>
        <v/>
      </c>
      <c r="T161" s="377" t="str">
        <f t="shared" si="415"/>
        <v/>
      </c>
      <c r="U161" s="377" t="str">
        <f t="shared" si="415"/>
        <v/>
      </c>
      <c r="V161" s="377" t="str">
        <f t="shared" si="415"/>
        <v/>
      </c>
      <c r="W161" s="377" t="str">
        <f t="shared" si="415"/>
        <v/>
      </c>
      <c r="X161" s="377" t="str">
        <f t="shared" si="415"/>
        <v/>
      </c>
      <c r="Y161" s="377" t="str">
        <f t="shared" si="415"/>
        <v/>
      </c>
      <c r="Z161" s="377" t="str">
        <f t="shared" si="415"/>
        <v/>
      </c>
      <c r="AA161" s="129"/>
      <c r="AB161" s="406">
        <f t="shared" si="403"/>
        <v>3</v>
      </c>
      <c r="AC161" s="409" t="str">
        <f t="shared" ref="AC161:BA161" si="416">IFERROR(CONCATENATE(ROUND($A161*STN_GAP*BA_Station_Scale_in_x+AC75/Bonjean_Moment_Scale,3),",",ROUND(AC$155*WLS*BA_Y_scale_of_WL,3)," "),"")</f>
        <v xml:space="preserve">19.755,0 </v>
      </c>
      <c r="AD161" s="409" t="str">
        <f t="shared" si="416"/>
        <v xml:space="preserve">19.757,1.8 </v>
      </c>
      <c r="AE161" s="409" t="str">
        <f t="shared" si="416"/>
        <v xml:space="preserve">19.767,3.6 </v>
      </c>
      <c r="AF161" s="409" t="str">
        <f t="shared" si="416"/>
        <v xml:space="preserve">19.787,5.4 </v>
      </c>
      <c r="AG161" s="409" t="str">
        <f t="shared" si="416"/>
        <v xml:space="preserve">19.821,7.2 </v>
      </c>
      <c r="AH161" s="409" t="str">
        <f t="shared" si="416"/>
        <v xml:space="preserve">19.958,10.8 </v>
      </c>
      <c r="AI161" s="409" t="str">
        <f t="shared" si="416"/>
        <v xml:space="preserve">20.31,14.4 </v>
      </c>
      <c r="AJ161" s="409" t="str">
        <f t="shared" si="416"/>
        <v xml:space="preserve">20.945,18 </v>
      </c>
      <c r="AK161" s="409" t="str">
        <f t="shared" si="416"/>
        <v xml:space="preserve">21.427,20.2 </v>
      </c>
      <c r="AL161" s="409" t="str">
        <f t="shared" si="416"/>
        <v xml:space="preserve">21.758,21.6 </v>
      </c>
      <c r="AM161" s="409" t="str">
        <f t="shared" si="416"/>
        <v xml:space="preserve">22.794,25.2 </v>
      </c>
      <c r="AN161" s="409" t="str">
        <f t="shared" si="416"/>
        <v xml:space="preserve">23.835,28.38 </v>
      </c>
      <c r="AO161" s="409" t="str">
        <f t="shared" si="416"/>
        <v/>
      </c>
      <c r="AP161" s="409" t="str">
        <f t="shared" si="416"/>
        <v/>
      </c>
      <c r="AQ161" s="409" t="str">
        <f t="shared" si="416"/>
        <v/>
      </c>
      <c r="AR161" s="409" t="str">
        <f t="shared" si="416"/>
        <v/>
      </c>
      <c r="AS161" s="409" t="str">
        <f t="shared" si="416"/>
        <v/>
      </c>
      <c r="AT161" s="409" t="str">
        <f t="shared" si="416"/>
        <v/>
      </c>
      <c r="AU161" s="409" t="str">
        <f t="shared" si="416"/>
        <v/>
      </c>
      <c r="AV161" s="409" t="str">
        <f t="shared" si="416"/>
        <v/>
      </c>
      <c r="AW161" s="409" t="str">
        <f t="shared" si="416"/>
        <v/>
      </c>
      <c r="AX161" s="409" t="str">
        <f t="shared" si="416"/>
        <v/>
      </c>
      <c r="AY161" s="409" t="str">
        <f t="shared" si="416"/>
        <v/>
      </c>
      <c r="AZ161" s="409" t="str">
        <f t="shared" si="416"/>
        <v/>
      </c>
      <c r="BA161" s="409" t="str">
        <f t="shared" si="416"/>
        <v/>
      </c>
      <c r="BF161" s="129"/>
    </row>
    <row r="162" spans="1:89" s="397" customFormat="1" x14ac:dyDescent="0.25">
      <c r="A162" s="406">
        <f t="shared" si="402"/>
        <v>4</v>
      </c>
      <c r="B162" s="377" t="str">
        <f t="shared" ref="B162:Z162" si="417">IFERROR(CONCATENATE(ROUND($A162*STN_GAP*BA_Station_Scale_in_x+B76/Bonjean_Area_Scale,3),",",ROUND(B$69*WLS*BA_Y_scale_of_WL,3)," "),"")</f>
        <v xml:space="preserve">26.34,0 </v>
      </c>
      <c r="C162" s="377" t="str">
        <f t="shared" si="417"/>
        <v xml:space="preserve">26.396,1.8 </v>
      </c>
      <c r="D162" s="377" t="str">
        <f t="shared" si="417"/>
        <v xml:space="preserve">26.492,3.6 </v>
      </c>
      <c r="E162" s="377" t="str">
        <f t="shared" si="417"/>
        <v xml:space="preserve">26.605,5.4 </v>
      </c>
      <c r="F162" s="377" t="str">
        <f t="shared" si="417"/>
        <v xml:space="preserve">26.741,7.2 </v>
      </c>
      <c r="G162" s="377" t="str">
        <f t="shared" si="417"/>
        <v xml:space="preserve">27.118,10.8 </v>
      </c>
      <c r="H162" s="377" t="str">
        <f t="shared" si="417"/>
        <v xml:space="preserve">27.663,14.4 </v>
      </c>
      <c r="I162" s="377" t="str">
        <f t="shared" si="417"/>
        <v xml:space="preserve">28.245,18 </v>
      </c>
      <c r="J162" s="377" t="str">
        <f t="shared" si="417"/>
        <v xml:space="preserve">28.623,20.2 </v>
      </c>
      <c r="K162" s="377" t="str">
        <f t="shared" si="417"/>
        <v xml:space="preserve">28.881,21.6 </v>
      </c>
      <c r="L162" s="377" t="str">
        <f t="shared" si="417"/>
        <v xml:space="preserve">29.496,25.2 </v>
      </c>
      <c r="M162" s="377" t="str">
        <f t="shared" si="417"/>
        <v xml:space="preserve">30.053,28.38 </v>
      </c>
      <c r="N162" s="377" t="str">
        <f t="shared" si="417"/>
        <v/>
      </c>
      <c r="O162" s="377" t="str">
        <f t="shared" si="417"/>
        <v/>
      </c>
      <c r="P162" s="377" t="str">
        <f t="shared" si="417"/>
        <v/>
      </c>
      <c r="Q162" s="377" t="str">
        <f t="shared" si="417"/>
        <v/>
      </c>
      <c r="R162" s="377" t="str">
        <f t="shared" si="417"/>
        <v/>
      </c>
      <c r="S162" s="377" t="str">
        <f t="shared" si="417"/>
        <v/>
      </c>
      <c r="T162" s="377" t="str">
        <f t="shared" si="417"/>
        <v/>
      </c>
      <c r="U162" s="377" t="str">
        <f t="shared" si="417"/>
        <v/>
      </c>
      <c r="V162" s="377" t="str">
        <f t="shared" si="417"/>
        <v/>
      </c>
      <c r="W162" s="377" t="str">
        <f t="shared" si="417"/>
        <v/>
      </c>
      <c r="X162" s="377" t="str">
        <f t="shared" si="417"/>
        <v/>
      </c>
      <c r="Y162" s="377" t="str">
        <f t="shared" si="417"/>
        <v/>
      </c>
      <c r="Z162" s="377" t="str">
        <f t="shared" si="417"/>
        <v/>
      </c>
      <c r="AA162" s="129"/>
      <c r="AB162" s="406">
        <f t="shared" si="403"/>
        <v>4</v>
      </c>
      <c r="AC162" s="409" t="str">
        <f t="shared" ref="AC162:BA162" si="418">IFERROR(CONCATENATE(ROUND($A162*STN_GAP*BA_Station_Scale_in_x+AC76/Bonjean_Moment_Scale,3),",",ROUND(AC$155*WLS*BA_Y_scale_of_WL,3)," "),"")</f>
        <v xml:space="preserve">26.34,0 </v>
      </c>
      <c r="AD162" s="409" t="str">
        <f t="shared" si="418"/>
        <v xml:space="preserve">26.344,1.8 </v>
      </c>
      <c r="AE162" s="409" t="str">
        <f t="shared" si="418"/>
        <v xml:space="preserve">26.363,3.6 </v>
      </c>
      <c r="AF162" s="409" t="str">
        <f t="shared" si="418"/>
        <v xml:space="preserve">26.398,5.4 </v>
      </c>
      <c r="AG162" s="409" t="str">
        <f t="shared" si="418"/>
        <v xml:space="preserve">26.459,7.2 </v>
      </c>
      <c r="AH162" s="409" t="str">
        <f t="shared" si="418"/>
        <v xml:space="preserve">26.7,10.8 </v>
      </c>
      <c r="AI162" s="409" t="str">
        <f t="shared" si="418"/>
        <v xml:space="preserve">27.179,14.4 </v>
      </c>
      <c r="AJ162" s="409" t="str">
        <f t="shared" si="418"/>
        <v xml:space="preserve">27.848,18 </v>
      </c>
      <c r="AK162" s="409" t="str">
        <f t="shared" si="418"/>
        <v xml:space="preserve">28.354,20.2 </v>
      </c>
      <c r="AL162" s="409" t="str">
        <f t="shared" si="418"/>
        <v xml:space="preserve">28.717,21.6 </v>
      </c>
      <c r="AM162" s="409" t="str">
        <f t="shared" si="418"/>
        <v xml:space="preserve">29.741,25.2 </v>
      </c>
      <c r="AN162" s="409" t="str">
        <f t="shared" si="418"/>
        <v xml:space="preserve">30.785,28.38 </v>
      </c>
      <c r="AO162" s="409" t="str">
        <f t="shared" si="418"/>
        <v/>
      </c>
      <c r="AP162" s="409" t="str">
        <f t="shared" si="418"/>
        <v/>
      </c>
      <c r="AQ162" s="409" t="str">
        <f t="shared" si="418"/>
        <v/>
      </c>
      <c r="AR162" s="409" t="str">
        <f t="shared" si="418"/>
        <v/>
      </c>
      <c r="AS162" s="409" t="str">
        <f t="shared" si="418"/>
        <v/>
      </c>
      <c r="AT162" s="409" t="str">
        <f t="shared" si="418"/>
        <v/>
      </c>
      <c r="AU162" s="409" t="str">
        <f t="shared" si="418"/>
        <v/>
      </c>
      <c r="AV162" s="409" t="str">
        <f t="shared" si="418"/>
        <v/>
      </c>
      <c r="AW162" s="409" t="str">
        <f t="shared" si="418"/>
        <v/>
      </c>
      <c r="AX162" s="409" t="str">
        <f t="shared" si="418"/>
        <v/>
      </c>
      <c r="AY162" s="409" t="str">
        <f t="shared" si="418"/>
        <v/>
      </c>
      <c r="AZ162" s="409" t="str">
        <f t="shared" si="418"/>
        <v/>
      </c>
      <c r="BA162" s="409" t="str">
        <f t="shared" si="418"/>
        <v/>
      </c>
      <c r="BF162" s="129"/>
    </row>
    <row r="163" spans="1:89" s="397" customFormat="1" x14ac:dyDescent="0.25">
      <c r="A163" s="406">
        <f t="shared" si="402"/>
        <v>5</v>
      </c>
      <c r="B163" s="377" t="str">
        <f t="shared" ref="B163:Z163" si="419">IFERROR(CONCATENATE(ROUND($A163*STN_GAP*BA_Station_Scale_in_x+B77/Bonjean_Area_Scale,3),",",ROUND(B$69*WLS*BA_Y_scale_of_WL,3)," "),"")</f>
        <v xml:space="preserve">32.925,0 </v>
      </c>
      <c r="C163" s="377" t="str">
        <f t="shared" si="419"/>
        <v xml:space="preserve">33.012,1.8 </v>
      </c>
      <c r="D163" s="377" t="str">
        <f t="shared" si="419"/>
        <v xml:space="preserve">33.156,3.6 </v>
      </c>
      <c r="E163" s="377" t="str">
        <f t="shared" si="419"/>
        <v xml:space="preserve">33.325,5.4 </v>
      </c>
      <c r="F163" s="377" t="str">
        <f t="shared" si="419"/>
        <v xml:space="preserve">33.538,7.2 </v>
      </c>
      <c r="G163" s="377" t="str">
        <f t="shared" si="419"/>
        <v xml:space="preserve">34.071,10.8 </v>
      </c>
      <c r="H163" s="377" t="str">
        <f t="shared" si="419"/>
        <v xml:space="preserve">34.663,14.4 </v>
      </c>
      <c r="I163" s="377" t="str">
        <f t="shared" si="419"/>
        <v xml:space="preserve">35.291,18 </v>
      </c>
      <c r="J163" s="377" t="str">
        <f t="shared" si="419"/>
        <v xml:space="preserve">35.675,20.2 </v>
      </c>
      <c r="K163" s="377" t="str">
        <f t="shared" si="419"/>
        <v xml:space="preserve">35.915,21.6 </v>
      </c>
      <c r="L163" s="377" t="str">
        <f t="shared" si="419"/>
        <v xml:space="preserve">36.55,25.2 </v>
      </c>
      <c r="M163" s="377" t="str">
        <f t="shared" si="419"/>
        <v xml:space="preserve">37.107,28.38 </v>
      </c>
      <c r="N163" s="377" t="str">
        <f t="shared" si="419"/>
        <v/>
      </c>
      <c r="O163" s="377" t="str">
        <f t="shared" si="419"/>
        <v/>
      </c>
      <c r="P163" s="377" t="str">
        <f t="shared" si="419"/>
        <v/>
      </c>
      <c r="Q163" s="377" t="str">
        <f t="shared" si="419"/>
        <v/>
      </c>
      <c r="R163" s="377" t="str">
        <f t="shared" si="419"/>
        <v/>
      </c>
      <c r="S163" s="377" t="str">
        <f t="shared" si="419"/>
        <v/>
      </c>
      <c r="T163" s="377" t="str">
        <f t="shared" si="419"/>
        <v/>
      </c>
      <c r="U163" s="377" t="str">
        <f t="shared" si="419"/>
        <v/>
      </c>
      <c r="V163" s="377" t="str">
        <f t="shared" si="419"/>
        <v/>
      </c>
      <c r="W163" s="377" t="str">
        <f t="shared" si="419"/>
        <v/>
      </c>
      <c r="X163" s="377" t="str">
        <f t="shared" si="419"/>
        <v/>
      </c>
      <c r="Y163" s="377" t="str">
        <f t="shared" si="419"/>
        <v/>
      </c>
      <c r="Z163" s="377" t="str">
        <f t="shared" si="419"/>
        <v/>
      </c>
      <c r="AA163" s="129"/>
      <c r="AB163" s="406">
        <f t="shared" si="403"/>
        <v>5</v>
      </c>
      <c r="AC163" s="409" t="str">
        <f t="shared" ref="AC163:BA163" si="420">IFERROR(CONCATENATE(ROUND($A163*STN_GAP*BA_Station_Scale_in_x+AC77/Bonjean_Moment_Scale,3),",",ROUND(AC$155*WLS*BA_Y_scale_of_WL,3)," "),"")</f>
        <v xml:space="preserve">32.925,0 </v>
      </c>
      <c r="AD163" s="409" t="str">
        <f t="shared" si="420"/>
        <v xml:space="preserve">32.931,1.8 </v>
      </c>
      <c r="AE163" s="409" t="str">
        <f t="shared" si="420"/>
        <v xml:space="preserve">32.959,3.6 </v>
      </c>
      <c r="AF163" s="409" t="str">
        <f t="shared" si="420"/>
        <v xml:space="preserve">33.013,5.4 </v>
      </c>
      <c r="AG163" s="409" t="str">
        <f t="shared" si="420"/>
        <v xml:space="preserve">33.107,7.2 </v>
      </c>
      <c r="AH163" s="409" t="str">
        <f t="shared" si="420"/>
        <v xml:space="preserve">33.442,10.8 </v>
      </c>
      <c r="AI163" s="409" t="str">
        <f t="shared" si="420"/>
        <v xml:space="preserve">33.969,14.4 </v>
      </c>
      <c r="AJ163" s="409" t="str">
        <f t="shared" si="420"/>
        <v xml:space="preserve">34.676,18 </v>
      </c>
      <c r="AK163" s="409" t="str">
        <f t="shared" si="420"/>
        <v xml:space="preserve">35.19,20.2 </v>
      </c>
      <c r="AL163" s="409" t="str">
        <f t="shared" si="420"/>
        <v xml:space="preserve">35.549,21.6 </v>
      </c>
      <c r="AM163" s="409" t="str">
        <f t="shared" si="420"/>
        <v xml:space="preserve">36.581,25.2 </v>
      </c>
      <c r="AN163" s="409" t="str">
        <f t="shared" si="420"/>
        <v xml:space="preserve">37.624,28.38 </v>
      </c>
      <c r="AO163" s="409" t="str">
        <f t="shared" si="420"/>
        <v/>
      </c>
      <c r="AP163" s="409" t="str">
        <f t="shared" si="420"/>
        <v/>
      </c>
      <c r="AQ163" s="409" t="str">
        <f t="shared" si="420"/>
        <v/>
      </c>
      <c r="AR163" s="409" t="str">
        <f t="shared" si="420"/>
        <v/>
      </c>
      <c r="AS163" s="409" t="str">
        <f t="shared" si="420"/>
        <v/>
      </c>
      <c r="AT163" s="409" t="str">
        <f t="shared" si="420"/>
        <v/>
      </c>
      <c r="AU163" s="409" t="str">
        <f t="shared" si="420"/>
        <v/>
      </c>
      <c r="AV163" s="409" t="str">
        <f t="shared" si="420"/>
        <v/>
      </c>
      <c r="AW163" s="409" t="str">
        <f t="shared" si="420"/>
        <v/>
      </c>
      <c r="AX163" s="409" t="str">
        <f t="shared" si="420"/>
        <v/>
      </c>
      <c r="AY163" s="409" t="str">
        <f t="shared" si="420"/>
        <v/>
      </c>
      <c r="AZ163" s="409" t="str">
        <f t="shared" si="420"/>
        <v/>
      </c>
      <c r="BA163" s="409" t="str">
        <f t="shared" si="420"/>
        <v/>
      </c>
      <c r="BF163" s="129"/>
    </row>
    <row r="164" spans="1:89" s="397" customFormat="1" x14ac:dyDescent="0.25">
      <c r="A164" s="406">
        <f t="shared" si="402"/>
        <v>6</v>
      </c>
      <c r="B164" s="377" t="str">
        <f t="shared" ref="B164:Z164" si="421">IFERROR(CONCATENATE(ROUND($A164*STN_GAP*BA_Station_Scale_in_x+B78/Bonjean_Area_Scale,3),",",ROUND(B$69*WLS*BA_Y_scale_of_WL,3)," "),"")</f>
        <v xml:space="preserve">39.51,0 </v>
      </c>
      <c r="C164" s="377" t="str">
        <f t="shared" si="421"/>
        <v xml:space="preserve">39.629,1.8 </v>
      </c>
      <c r="D164" s="377" t="str">
        <f t="shared" si="421"/>
        <v xml:space="preserve">39.826,3.6 </v>
      </c>
      <c r="E164" s="377" t="str">
        <f t="shared" si="421"/>
        <v xml:space="preserve">40.055,5.4 </v>
      </c>
      <c r="F164" s="377" t="str">
        <f t="shared" si="421"/>
        <v xml:space="preserve">40.328,7.2 </v>
      </c>
      <c r="G164" s="377" t="str">
        <f t="shared" si="421"/>
        <v xml:space="preserve">40.923,10.8 </v>
      </c>
      <c r="H164" s="377" t="str">
        <f t="shared" si="421"/>
        <v xml:space="preserve">41.546,14.4 </v>
      </c>
      <c r="I164" s="377" t="str">
        <f t="shared" si="421"/>
        <v xml:space="preserve">42.178,18 </v>
      </c>
      <c r="J164" s="377" t="str">
        <f t="shared" si="421"/>
        <v xml:space="preserve">42.563,20.2 </v>
      </c>
      <c r="K164" s="377" t="str">
        <f t="shared" si="421"/>
        <v xml:space="preserve">42.806,21.6 </v>
      </c>
      <c r="L164" s="377" t="str">
        <f t="shared" si="421"/>
        <v xml:space="preserve">43.438,25.2 </v>
      </c>
      <c r="M164" s="377" t="str">
        <f t="shared" si="421"/>
        <v xml:space="preserve">43.995,28.38 </v>
      </c>
      <c r="N164" s="377" t="str">
        <f t="shared" si="421"/>
        <v/>
      </c>
      <c r="O164" s="377" t="str">
        <f t="shared" si="421"/>
        <v/>
      </c>
      <c r="P164" s="377" t="str">
        <f t="shared" si="421"/>
        <v/>
      </c>
      <c r="Q164" s="377" t="str">
        <f t="shared" si="421"/>
        <v/>
      </c>
      <c r="R164" s="377" t="str">
        <f t="shared" si="421"/>
        <v/>
      </c>
      <c r="S164" s="377" t="str">
        <f t="shared" si="421"/>
        <v/>
      </c>
      <c r="T164" s="377" t="str">
        <f t="shared" si="421"/>
        <v/>
      </c>
      <c r="U164" s="377" t="str">
        <f t="shared" si="421"/>
        <v/>
      </c>
      <c r="V164" s="377" t="str">
        <f t="shared" si="421"/>
        <v/>
      </c>
      <c r="W164" s="377" t="str">
        <f t="shared" si="421"/>
        <v/>
      </c>
      <c r="X164" s="377" t="str">
        <f t="shared" si="421"/>
        <v/>
      </c>
      <c r="Y164" s="377" t="str">
        <f t="shared" si="421"/>
        <v/>
      </c>
      <c r="Z164" s="377" t="str">
        <f t="shared" si="421"/>
        <v/>
      </c>
      <c r="AA164" s="129"/>
      <c r="AB164" s="406">
        <f t="shared" si="403"/>
        <v>6</v>
      </c>
      <c r="AC164" s="409" t="str">
        <f t="shared" ref="AC164:BA164" si="422">IFERROR(CONCATENATE(ROUND($A164*STN_GAP*BA_Station_Scale_in_x+AC78/Bonjean_Moment_Scale,3),",",ROUND(AC$155*WLS*BA_Y_scale_of_WL,3)," "),"")</f>
        <v xml:space="preserve">39.51,0 </v>
      </c>
      <c r="AD164" s="409" t="str">
        <f t="shared" si="422"/>
        <v xml:space="preserve">39.519,1.8 </v>
      </c>
      <c r="AE164" s="409" t="str">
        <f t="shared" si="422"/>
        <v xml:space="preserve">39.556,3.6 </v>
      </c>
      <c r="AF164" s="409" t="str">
        <f t="shared" si="422"/>
        <v xml:space="preserve">39.63,5.4 </v>
      </c>
      <c r="AG164" s="409" t="str">
        <f t="shared" si="422"/>
        <v xml:space="preserve">39.749,7.2 </v>
      </c>
      <c r="AH164" s="409" t="str">
        <f t="shared" si="422"/>
        <v xml:space="preserve">40.125,10.8 </v>
      </c>
      <c r="AI164" s="409" t="str">
        <f t="shared" si="422"/>
        <v xml:space="preserve">40.675,14.4 </v>
      </c>
      <c r="AJ164" s="409" t="str">
        <f t="shared" si="422"/>
        <v xml:space="preserve">41.391,18 </v>
      </c>
      <c r="AK164" s="409" t="str">
        <f t="shared" si="422"/>
        <v xml:space="preserve">41.906,20.2 </v>
      </c>
      <c r="AL164" s="409" t="str">
        <f t="shared" si="422"/>
        <v xml:space="preserve">42.263,21.6 </v>
      </c>
      <c r="AM164" s="409" t="str">
        <f t="shared" si="422"/>
        <v xml:space="preserve">43.297,25.2 </v>
      </c>
      <c r="AN164" s="409" t="str">
        <f t="shared" si="422"/>
        <v xml:space="preserve">44.34,28.38 </v>
      </c>
      <c r="AO164" s="409" t="str">
        <f t="shared" si="422"/>
        <v/>
      </c>
      <c r="AP164" s="409" t="str">
        <f t="shared" si="422"/>
        <v/>
      </c>
      <c r="AQ164" s="409" t="str">
        <f t="shared" si="422"/>
        <v/>
      </c>
      <c r="AR164" s="409" t="str">
        <f t="shared" si="422"/>
        <v/>
      </c>
      <c r="AS164" s="409" t="str">
        <f t="shared" si="422"/>
        <v/>
      </c>
      <c r="AT164" s="409" t="str">
        <f t="shared" si="422"/>
        <v/>
      </c>
      <c r="AU164" s="409" t="str">
        <f t="shared" si="422"/>
        <v/>
      </c>
      <c r="AV164" s="409" t="str">
        <f t="shared" si="422"/>
        <v/>
      </c>
      <c r="AW164" s="409" t="str">
        <f t="shared" si="422"/>
        <v/>
      </c>
      <c r="AX164" s="409" t="str">
        <f t="shared" si="422"/>
        <v/>
      </c>
      <c r="AY164" s="409" t="str">
        <f t="shared" si="422"/>
        <v/>
      </c>
      <c r="AZ164" s="409" t="str">
        <f t="shared" si="422"/>
        <v/>
      </c>
      <c r="BA164" s="409" t="str">
        <f t="shared" si="422"/>
        <v/>
      </c>
      <c r="BF164" s="129"/>
    </row>
    <row r="165" spans="1:89" s="397" customFormat="1" x14ac:dyDescent="0.25">
      <c r="A165" s="406">
        <f t="shared" si="402"/>
        <v>7</v>
      </c>
      <c r="B165" s="377" t="str">
        <f t="shared" ref="B165:Z165" si="423">IFERROR(CONCATENATE(ROUND($A165*STN_GAP*BA_Station_Scale_in_x+B79/Bonjean_Area_Scale,3),",",ROUND(B$69*WLS*BA_Y_scale_of_WL,3)," "),"")</f>
        <v xml:space="preserve">46.095,0 </v>
      </c>
      <c r="C165" s="377" t="str">
        <f t="shared" si="423"/>
        <v xml:space="preserve">46.26,1.8 </v>
      </c>
      <c r="D165" s="377" t="str">
        <f t="shared" si="423"/>
        <v xml:space="preserve">46.509,3.6 </v>
      </c>
      <c r="E165" s="377" t="str">
        <f t="shared" si="423"/>
        <v xml:space="preserve">46.782,5.4 </v>
      </c>
      <c r="F165" s="377" t="str">
        <f t="shared" si="423"/>
        <v xml:space="preserve">47.084,7.2 </v>
      </c>
      <c r="G165" s="377" t="str">
        <f t="shared" si="423"/>
        <v xml:space="preserve">47.708,10.8 </v>
      </c>
      <c r="H165" s="377" t="str">
        <f t="shared" si="423"/>
        <v xml:space="preserve">48.338,14.4 </v>
      </c>
      <c r="I165" s="377" t="str">
        <f t="shared" si="423"/>
        <v xml:space="preserve">48.968,18 </v>
      </c>
      <c r="J165" s="377" t="str">
        <f t="shared" si="423"/>
        <v xml:space="preserve">49.353,20.2 </v>
      </c>
      <c r="K165" s="377" t="str">
        <f t="shared" si="423"/>
        <v xml:space="preserve">49.598,21.6 </v>
      </c>
      <c r="L165" s="377" t="str">
        <f t="shared" si="423"/>
        <v xml:space="preserve">50.228,25.2 </v>
      </c>
      <c r="M165" s="377" t="str">
        <f t="shared" si="423"/>
        <v xml:space="preserve">50.785,28.38 </v>
      </c>
      <c r="N165" s="377" t="str">
        <f t="shared" si="423"/>
        <v/>
      </c>
      <c r="O165" s="377" t="str">
        <f t="shared" si="423"/>
        <v/>
      </c>
      <c r="P165" s="377" t="str">
        <f t="shared" si="423"/>
        <v/>
      </c>
      <c r="Q165" s="377" t="str">
        <f t="shared" si="423"/>
        <v/>
      </c>
      <c r="R165" s="377" t="str">
        <f t="shared" si="423"/>
        <v/>
      </c>
      <c r="S165" s="377" t="str">
        <f t="shared" si="423"/>
        <v/>
      </c>
      <c r="T165" s="377" t="str">
        <f t="shared" si="423"/>
        <v/>
      </c>
      <c r="U165" s="377" t="str">
        <f t="shared" si="423"/>
        <v/>
      </c>
      <c r="V165" s="377" t="str">
        <f t="shared" si="423"/>
        <v/>
      </c>
      <c r="W165" s="377" t="str">
        <f t="shared" si="423"/>
        <v/>
      </c>
      <c r="X165" s="377" t="str">
        <f t="shared" si="423"/>
        <v/>
      </c>
      <c r="Y165" s="377" t="str">
        <f t="shared" si="423"/>
        <v/>
      </c>
      <c r="Z165" s="377" t="str">
        <f t="shared" si="423"/>
        <v/>
      </c>
      <c r="AA165" s="129"/>
      <c r="AB165" s="406">
        <f t="shared" si="403"/>
        <v>7</v>
      </c>
      <c r="AC165" s="409" t="str">
        <f t="shared" ref="AC165:BA165" si="424">IFERROR(CONCATENATE(ROUND($A165*STN_GAP*BA_Station_Scale_in_x+AC79/Bonjean_Moment_Scale,3),",",ROUND(AC$155*WLS*BA_Y_scale_of_WL,3)," "),"")</f>
        <v xml:space="preserve">46.095,0 </v>
      </c>
      <c r="AD165" s="409" t="str">
        <f t="shared" si="424"/>
        <v xml:space="preserve">46.107,1.8 </v>
      </c>
      <c r="AE165" s="409" t="str">
        <f t="shared" si="424"/>
        <v xml:space="preserve">46.154,3.6 </v>
      </c>
      <c r="AF165" s="409" t="str">
        <f t="shared" si="424"/>
        <v xml:space="preserve">46.241,5.4 </v>
      </c>
      <c r="AG165" s="409" t="str">
        <f t="shared" si="424"/>
        <v xml:space="preserve">46.373,7.2 </v>
      </c>
      <c r="AH165" s="409" t="str">
        <f t="shared" si="424"/>
        <v xml:space="preserve">46.767,10.8 </v>
      </c>
      <c r="AI165" s="409" t="str">
        <f t="shared" si="424"/>
        <v xml:space="preserve">47.323,14.4 </v>
      </c>
      <c r="AJ165" s="409" t="str">
        <f t="shared" si="424"/>
        <v xml:space="preserve">48.037,18 </v>
      </c>
      <c r="AK165" s="409" t="str">
        <f t="shared" si="424"/>
        <v xml:space="preserve">48.552,20.2 </v>
      </c>
      <c r="AL165" s="409" t="str">
        <f t="shared" si="424"/>
        <v xml:space="preserve">48.91,21.6 </v>
      </c>
      <c r="AM165" s="409" t="str">
        <f t="shared" si="424"/>
        <v xml:space="preserve">49.942,25.2 </v>
      </c>
      <c r="AN165" s="409" t="str">
        <f t="shared" si="424"/>
        <v xml:space="preserve">50.986,28.38 </v>
      </c>
      <c r="AO165" s="409" t="str">
        <f t="shared" si="424"/>
        <v/>
      </c>
      <c r="AP165" s="409" t="str">
        <f t="shared" si="424"/>
        <v/>
      </c>
      <c r="AQ165" s="409" t="str">
        <f t="shared" si="424"/>
        <v/>
      </c>
      <c r="AR165" s="409" t="str">
        <f t="shared" si="424"/>
        <v/>
      </c>
      <c r="AS165" s="409" t="str">
        <f t="shared" si="424"/>
        <v/>
      </c>
      <c r="AT165" s="409" t="str">
        <f t="shared" si="424"/>
        <v/>
      </c>
      <c r="AU165" s="409" t="str">
        <f t="shared" si="424"/>
        <v/>
      </c>
      <c r="AV165" s="409" t="str">
        <f t="shared" si="424"/>
        <v/>
      </c>
      <c r="AW165" s="409" t="str">
        <f t="shared" si="424"/>
        <v/>
      </c>
      <c r="AX165" s="409" t="str">
        <f t="shared" si="424"/>
        <v/>
      </c>
      <c r="AY165" s="409" t="str">
        <f t="shared" si="424"/>
        <v/>
      </c>
      <c r="AZ165" s="409" t="str">
        <f t="shared" si="424"/>
        <v/>
      </c>
      <c r="BA165" s="409" t="str">
        <f t="shared" si="424"/>
        <v/>
      </c>
      <c r="BF165" s="129"/>
    </row>
    <row r="166" spans="1:89" s="397" customFormat="1" x14ac:dyDescent="0.25">
      <c r="A166" s="406">
        <f t="shared" si="402"/>
        <v>8</v>
      </c>
      <c r="B166" s="377" t="str">
        <f t="shared" ref="B166:Z166" si="425">IFERROR(CONCATENATE(ROUND($A166*STN_GAP*BA_Station_Scale_in_x+B80/Bonjean_Area_Scale,3),",",ROUND(B$69*WLS*BA_Y_scale_of_WL,3)," "),"")</f>
        <v xml:space="preserve">52.68,0 </v>
      </c>
      <c r="C166" s="377" t="str">
        <f t="shared" si="425"/>
        <v xml:space="preserve">52.893,1.8 </v>
      </c>
      <c r="D166" s="377" t="str">
        <f t="shared" si="425"/>
        <v xml:space="preserve">53.176,3.6 </v>
      </c>
      <c r="E166" s="377" t="str">
        <f t="shared" si="425"/>
        <v xml:space="preserve">53.471,5.4 </v>
      </c>
      <c r="F166" s="377" t="str">
        <f t="shared" si="425"/>
        <v xml:space="preserve">53.786,7.2 </v>
      </c>
      <c r="G166" s="377" t="str">
        <f t="shared" si="425"/>
        <v xml:space="preserve">54.416,10.8 </v>
      </c>
      <c r="H166" s="377" t="str">
        <f t="shared" si="425"/>
        <v xml:space="preserve">55.045,14.4 </v>
      </c>
      <c r="I166" s="377" t="str">
        <f t="shared" si="425"/>
        <v xml:space="preserve">55.676,18 </v>
      </c>
      <c r="J166" s="377" t="str">
        <f t="shared" si="425"/>
        <v xml:space="preserve">56.061,20.2 </v>
      </c>
      <c r="K166" s="377" t="str">
        <f t="shared" si="425"/>
        <v xml:space="preserve">56.305,21.6 </v>
      </c>
      <c r="L166" s="377" t="str">
        <f t="shared" si="425"/>
        <v xml:space="preserve">56.936,25.2 </v>
      </c>
      <c r="M166" s="377" t="str">
        <f t="shared" si="425"/>
        <v xml:space="preserve">57.492,28.38 </v>
      </c>
      <c r="N166" s="377" t="str">
        <f t="shared" si="425"/>
        <v/>
      </c>
      <c r="O166" s="377" t="str">
        <f t="shared" si="425"/>
        <v/>
      </c>
      <c r="P166" s="377" t="str">
        <f t="shared" si="425"/>
        <v/>
      </c>
      <c r="Q166" s="377" t="str">
        <f t="shared" si="425"/>
        <v/>
      </c>
      <c r="R166" s="377" t="str">
        <f t="shared" si="425"/>
        <v/>
      </c>
      <c r="S166" s="377" t="str">
        <f t="shared" si="425"/>
        <v/>
      </c>
      <c r="T166" s="377" t="str">
        <f t="shared" si="425"/>
        <v/>
      </c>
      <c r="U166" s="377" t="str">
        <f t="shared" si="425"/>
        <v/>
      </c>
      <c r="V166" s="377" t="str">
        <f t="shared" si="425"/>
        <v/>
      </c>
      <c r="W166" s="377" t="str">
        <f t="shared" si="425"/>
        <v/>
      </c>
      <c r="X166" s="377" t="str">
        <f t="shared" si="425"/>
        <v/>
      </c>
      <c r="Y166" s="377" t="str">
        <f t="shared" si="425"/>
        <v/>
      </c>
      <c r="Z166" s="377" t="str">
        <f t="shared" si="425"/>
        <v/>
      </c>
      <c r="AA166" s="129"/>
      <c r="AB166" s="406">
        <f t="shared" si="403"/>
        <v>8</v>
      </c>
      <c r="AC166" s="409" t="str">
        <f t="shared" ref="AC166:BA166" si="426">IFERROR(CONCATENATE(ROUND($A166*STN_GAP*BA_Station_Scale_in_x+AC80/Bonjean_Moment_Scale,3),",",ROUND(AC$155*WLS*BA_Y_scale_of_WL,3)," "),"")</f>
        <v xml:space="preserve">52.68,0 </v>
      </c>
      <c r="AD166" s="409" t="str">
        <f t="shared" si="426"/>
        <v xml:space="preserve">52.695,1.8 </v>
      </c>
      <c r="AE166" s="409" t="str">
        <f t="shared" si="426"/>
        <v xml:space="preserve">52.748,3.6 </v>
      </c>
      <c r="AF166" s="409" t="str">
        <f t="shared" si="426"/>
        <v xml:space="preserve">52.842,5.4 </v>
      </c>
      <c r="AG166" s="409" t="str">
        <f t="shared" si="426"/>
        <v xml:space="preserve">52.98,7.2 </v>
      </c>
      <c r="AH166" s="409" t="str">
        <f t="shared" si="426"/>
        <v xml:space="preserve">53.377,10.8 </v>
      </c>
      <c r="AI166" s="409" t="str">
        <f t="shared" si="426"/>
        <v xml:space="preserve">53.932,14.4 </v>
      </c>
      <c r="AJ166" s="409" t="str">
        <f t="shared" si="426"/>
        <v xml:space="preserve">54.647,18 </v>
      </c>
      <c r="AK166" s="409" t="str">
        <f t="shared" si="426"/>
        <v xml:space="preserve">55.162,20.2 </v>
      </c>
      <c r="AL166" s="409" t="str">
        <f t="shared" si="426"/>
        <v xml:space="preserve">55.519,21.6 </v>
      </c>
      <c r="AM166" s="409" t="str">
        <f t="shared" si="426"/>
        <v xml:space="preserve">56.552,25.2 </v>
      </c>
      <c r="AN166" s="409" t="str">
        <f t="shared" si="426"/>
        <v xml:space="preserve">57.596,28.38 </v>
      </c>
      <c r="AO166" s="409" t="str">
        <f t="shared" si="426"/>
        <v/>
      </c>
      <c r="AP166" s="409" t="str">
        <f t="shared" si="426"/>
        <v/>
      </c>
      <c r="AQ166" s="409" t="str">
        <f t="shared" si="426"/>
        <v/>
      </c>
      <c r="AR166" s="409" t="str">
        <f t="shared" si="426"/>
        <v/>
      </c>
      <c r="AS166" s="409" t="str">
        <f t="shared" si="426"/>
        <v/>
      </c>
      <c r="AT166" s="409" t="str">
        <f t="shared" si="426"/>
        <v/>
      </c>
      <c r="AU166" s="409" t="str">
        <f t="shared" si="426"/>
        <v/>
      </c>
      <c r="AV166" s="409" t="str">
        <f t="shared" si="426"/>
        <v/>
      </c>
      <c r="AW166" s="409" t="str">
        <f t="shared" si="426"/>
        <v/>
      </c>
      <c r="AX166" s="409" t="str">
        <f t="shared" si="426"/>
        <v/>
      </c>
      <c r="AY166" s="409" t="str">
        <f t="shared" si="426"/>
        <v/>
      </c>
      <c r="AZ166" s="409" t="str">
        <f t="shared" si="426"/>
        <v/>
      </c>
      <c r="BA166" s="409" t="str">
        <f t="shared" si="426"/>
        <v/>
      </c>
      <c r="BF166" s="129"/>
    </row>
    <row r="167" spans="1:89" s="397" customFormat="1" x14ac:dyDescent="0.25">
      <c r="A167" s="406">
        <f t="shared" si="402"/>
        <v>9</v>
      </c>
      <c r="B167" s="377" t="str">
        <f t="shared" ref="B167:Z167" si="427">IFERROR(CONCATENATE(ROUND($A167*STN_GAP*BA_Station_Scale_in_x+B81/Bonjean_Area_Scale,3),",",ROUND(B$69*WLS*BA_Y_scale_of_WL,3)," "),"")</f>
        <v xml:space="preserve">59.265,0 </v>
      </c>
      <c r="C167" s="377" t="str">
        <f t="shared" si="427"/>
        <v xml:space="preserve">59.502,1.8 </v>
      </c>
      <c r="D167" s="377" t="str">
        <f t="shared" si="427"/>
        <v xml:space="preserve">59.797,3.6 </v>
      </c>
      <c r="E167" s="377" t="str">
        <f t="shared" si="427"/>
        <v xml:space="preserve">60.1,5.4 </v>
      </c>
      <c r="F167" s="377" t="str">
        <f t="shared" si="427"/>
        <v xml:space="preserve">60.418,7.2 </v>
      </c>
      <c r="G167" s="377" t="str">
        <f t="shared" si="427"/>
        <v xml:space="preserve">61.048,10.8 </v>
      </c>
      <c r="H167" s="377" t="str">
        <f t="shared" si="427"/>
        <v xml:space="preserve">61.678,14.4 </v>
      </c>
      <c r="I167" s="377" t="str">
        <f t="shared" si="427"/>
        <v xml:space="preserve">62.308,18 </v>
      </c>
      <c r="J167" s="377" t="str">
        <f t="shared" si="427"/>
        <v xml:space="preserve">62.693,20.2 </v>
      </c>
      <c r="K167" s="377" t="str">
        <f t="shared" si="427"/>
        <v xml:space="preserve">62.938,21.6 </v>
      </c>
      <c r="L167" s="377" t="str">
        <f t="shared" si="427"/>
        <v xml:space="preserve">63.568,25.2 </v>
      </c>
      <c r="M167" s="377" t="str">
        <f t="shared" si="427"/>
        <v xml:space="preserve">64.124,28.38 </v>
      </c>
      <c r="N167" s="377" t="str">
        <f t="shared" si="427"/>
        <v/>
      </c>
      <c r="O167" s="377" t="str">
        <f t="shared" si="427"/>
        <v/>
      </c>
      <c r="P167" s="377" t="str">
        <f t="shared" si="427"/>
        <v/>
      </c>
      <c r="Q167" s="377" t="str">
        <f t="shared" si="427"/>
        <v/>
      </c>
      <c r="R167" s="377" t="str">
        <f t="shared" si="427"/>
        <v/>
      </c>
      <c r="S167" s="377" t="str">
        <f t="shared" si="427"/>
        <v/>
      </c>
      <c r="T167" s="377" t="str">
        <f t="shared" si="427"/>
        <v/>
      </c>
      <c r="U167" s="377" t="str">
        <f t="shared" si="427"/>
        <v/>
      </c>
      <c r="V167" s="377" t="str">
        <f t="shared" si="427"/>
        <v/>
      </c>
      <c r="W167" s="377" t="str">
        <f t="shared" si="427"/>
        <v/>
      </c>
      <c r="X167" s="377" t="str">
        <f t="shared" si="427"/>
        <v/>
      </c>
      <c r="Y167" s="377" t="str">
        <f t="shared" si="427"/>
        <v/>
      </c>
      <c r="Z167" s="377" t="str">
        <f t="shared" si="427"/>
        <v/>
      </c>
      <c r="AA167" s="129"/>
      <c r="AB167" s="406">
        <f t="shared" si="403"/>
        <v>9</v>
      </c>
      <c r="AC167" s="409" t="str">
        <f t="shared" ref="AC167:BA167" si="428">IFERROR(CONCATENATE(ROUND($A167*STN_GAP*BA_Station_Scale_in_x+AC81/Bonjean_Moment_Scale,3),",",ROUND(AC$155*WLS*BA_Y_scale_of_WL,3)," "),"")</f>
        <v xml:space="preserve">59.265,0 </v>
      </c>
      <c r="AD167" s="409" t="str">
        <f t="shared" si="428"/>
        <v xml:space="preserve">59.281,1.8 </v>
      </c>
      <c r="AE167" s="409" t="str">
        <f t="shared" si="428"/>
        <v xml:space="preserve">59.337,3.6 </v>
      </c>
      <c r="AF167" s="409" t="str">
        <f t="shared" si="428"/>
        <v xml:space="preserve">59.433,5.4 </v>
      </c>
      <c r="AG167" s="409" t="str">
        <f t="shared" si="428"/>
        <v xml:space="preserve">59.572,7.2 </v>
      </c>
      <c r="AH167" s="409" t="str">
        <f t="shared" si="428"/>
        <v xml:space="preserve">59.97,10.8 </v>
      </c>
      <c r="AI167" s="409" t="str">
        <f t="shared" si="428"/>
        <v xml:space="preserve">60.525,14.4 </v>
      </c>
      <c r="AJ167" s="409" t="str">
        <f t="shared" si="428"/>
        <v xml:space="preserve">61.24,18 </v>
      </c>
      <c r="AK167" s="409" t="str">
        <f t="shared" si="428"/>
        <v xml:space="preserve">61.754,20.2 </v>
      </c>
      <c r="AL167" s="409" t="str">
        <f t="shared" si="428"/>
        <v xml:space="preserve">62.112,21.6 </v>
      </c>
      <c r="AM167" s="409" t="str">
        <f t="shared" si="428"/>
        <v xml:space="preserve">63.145,25.2 </v>
      </c>
      <c r="AN167" s="409" t="str">
        <f t="shared" si="428"/>
        <v xml:space="preserve">64.188,28.38 </v>
      </c>
      <c r="AO167" s="409" t="str">
        <f t="shared" si="428"/>
        <v/>
      </c>
      <c r="AP167" s="409" t="str">
        <f t="shared" si="428"/>
        <v/>
      </c>
      <c r="AQ167" s="409" t="str">
        <f t="shared" si="428"/>
        <v/>
      </c>
      <c r="AR167" s="409" t="str">
        <f t="shared" si="428"/>
        <v/>
      </c>
      <c r="AS167" s="409" t="str">
        <f t="shared" si="428"/>
        <v/>
      </c>
      <c r="AT167" s="409" t="str">
        <f t="shared" si="428"/>
        <v/>
      </c>
      <c r="AU167" s="409" t="str">
        <f t="shared" si="428"/>
        <v/>
      </c>
      <c r="AV167" s="409" t="str">
        <f t="shared" si="428"/>
        <v/>
      </c>
      <c r="AW167" s="409" t="str">
        <f t="shared" si="428"/>
        <v/>
      </c>
      <c r="AX167" s="409" t="str">
        <f t="shared" si="428"/>
        <v/>
      </c>
      <c r="AY167" s="409" t="str">
        <f t="shared" si="428"/>
        <v/>
      </c>
      <c r="AZ167" s="409" t="str">
        <f t="shared" si="428"/>
        <v/>
      </c>
      <c r="BA167" s="409" t="str">
        <f t="shared" si="428"/>
        <v/>
      </c>
      <c r="BF167" s="129"/>
    </row>
    <row r="168" spans="1:89" s="397" customFormat="1" x14ac:dyDescent="0.25">
      <c r="A168" s="406">
        <f t="shared" si="402"/>
        <v>10</v>
      </c>
      <c r="B168" s="377" t="str">
        <f t="shared" ref="B168:Z168" si="429">IFERROR(CONCATENATE(ROUND($A168*STN_GAP*BA_Station_Scale_in_x+B82/Bonjean_Area_Scale,3),",",ROUND(B$69*WLS*BA_Y_scale_of_WL,3)," "),"")</f>
        <v xml:space="preserve">65.85,0 </v>
      </c>
      <c r="C168" s="377" t="str">
        <f t="shared" si="429"/>
        <v xml:space="preserve">66.099,1.8 </v>
      </c>
      <c r="D168" s="377" t="str">
        <f t="shared" si="429"/>
        <v xml:space="preserve">66.393,3.6 </v>
      </c>
      <c r="E168" s="377" t="str">
        <f t="shared" si="429"/>
        <v xml:space="preserve">66.699,5.4 </v>
      </c>
      <c r="F168" s="377" t="str">
        <f t="shared" si="429"/>
        <v xml:space="preserve">67.015,7.2 </v>
      </c>
      <c r="G168" s="377" t="str">
        <f t="shared" si="429"/>
        <v xml:space="preserve">67.645,10.8 </v>
      </c>
      <c r="H168" s="377" t="str">
        <f t="shared" si="429"/>
        <v xml:space="preserve">68.275,14.4 </v>
      </c>
      <c r="I168" s="377" t="str">
        <f t="shared" si="429"/>
        <v xml:space="preserve">68.905,18 </v>
      </c>
      <c r="J168" s="377" t="str">
        <f t="shared" si="429"/>
        <v xml:space="preserve">69.29,20.2 </v>
      </c>
      <c r="K168" s="377" t="str">
        <f t="shared" si="429"/>
        <v xml:space="preserve">69.535,21.6 </v>
      </c>
      <c r="L168" s="377" t="str">
        <f t="shared" si="429"/>
        <v xml:space="preserve">70.165,25.2 </v>
      </c>
      <c r="M168" s="377" t="str">
        <f t="shared" si="429"/>
        <v xml:space="preserve">70.721,28.38 </v>
      </c>
      <c r="N168" s="377" t="str">
        <f t="shared" si="429"/>
        <v/>
      </c>
      <c r="O168" s="377" t="str">
        <f t="shared" si="429"/>
        <v/>
      </c>
      <c r="P168" s="377" t="str">
        <f t="shared" si="429"/>
        <v/>
      </c>
      <c r="Q168" s="377" t="str">
        <f t="shared" si="429"/>
        <v/>
      </c>
      <c r="R168" s="377" t="str">
        <f t="shared" si="429"/>
        <v/>
      </c>
      <c r="S168" s="377" t="str">
        <f t="shared" si="429"/>
        <v/>
      </c>
      <c r="T168" s="377" t="str">
        <f t="shared" si="429"/>
        <v/>
      </c>
      <c r="U168" s="377" t="str">
        <f t="shared" si="429"/>
        <v/>
      </c>
      <c r="V168" s="377" t="str">
        <f t="shared" si="429"/>
        <v/>
      </c>
      <c r="W168" s="377" t="str">
        <f t="shared" si="429"/>
        <v/>
      </c>
      <c r="X168" s="377" t="str">
        <f t="shared" si="429"/>
        <v/>
      </c>
      <c r="Y168" s="377" t="str">
        <f t="shared" si="429"/>
        <v/>
      </c>
      <c r="Z168" s="377" t="str">
        <f t="shared" si="429"/>
        <v/>
      </c>
      <c r="AA168" s="129"/>
      <c r="AB168" s="406">
        <f t="shared" si="403"/>
        <v>10</v>
      </c>
      <c r="AC168" s="409" t="str">
        <f t="shared" ref="AC168:BA168" si="430">IFERROR(CONCATENATE(ROUND($A168*STN_GAP*BA_Station_Scale_in_x+AC82/Bonjean_Moment_Scale,3),",",ROUND(AC$155*WLS*BA_Y_scale_of_WL,3)," "),"")</f>
        <v xml:space="preserve">65.85,0 </v>
      </c>
      <c r="AD168" s="409" t="str">
        <f t="shared" si="430"/>
        <v xml:space="preserve">65.866,1.8 </v>
      </c>
      <c r="AE168" s="409" t="str">
        <f t="shared" si="430"/>
        <v xml:space="preserve">65.922,3.6 </v>
      </c>
      <c r="AF168" s="409" t="str">
        <f t="shared" si="430"/>
        <v xml:space="preserve">66.019,5.4 </v>
      </c>
      <c r="AG168" s="409" t="str">
        <f t="shared" si="430"/>
        <v xml:space="preserve">66.158,7.2 </v>
      </c>
      <c r="AH168" s="409" t="str">
        <f t="shared" si="430"/>
        <v xml:space="preserve">66.555,10.8 </v>
      </c>
      <c r="AI168" s="409" t="str">
        <f t="shared" si="430"/>
        <v xml:space="preserve">67.11,14.4 </v>
      </c>
      <c r="AJ168" s="409" t="str">
        <f t="shared" si="430"/>
        <v xml:space="preserve">67.825,18 </v>
      </c>
      <c r="AK168" s="409" t="str">
        <f t="shared" si="430"/>
        <v xml:space="preserve">68.34,20.2 </v>
      </c>
      <c r="AL168" s="409" t="str">
        <f t="shared" si="430"/>
        <v xml:space="preserve">68.698,21.6 </v>
      </c>
      <c r="AM168" s="409" t="str">
        <f t="shared" si="430"/>
        <v xml:space="preserve">69.73,25.2 </v>
      </c>
      <c r="AN168" s="409" t="str">
        <f t="shared" si="430"/>
        <v xml:space="preserve">70.774,28.38 </v>
      </c>
      <c r="AO168" s="409" t="str">
        <f t="shared" si="430"/>
        <v/>
      </c>
      <c r="AP168" s="409" t="str">
        <f t="shared" si="430"/>
        <v/>
      </c>
      <c r="AQ168" s="409" t="str">
        <f t="shared" si="430"/>
        <v/>
      </c>
      <c r="AR168" s="409" t="str">
        <f t="shared" si="430"/>
        <v/>
      </c>
      <c r="AS168" s="409" t="str">
        <f t="shared" si="430"/>
        <v/>
      </c>
      <c r="AT168" s="409" t="str">
        <f t="shared" si="430"/>
        <v/>
      </c>
      <c r="AU168" s="409" t="str">
        <f t="shared" si="430"/>
        <v/>
      </c>
      <c r="AV168" s="409" t="str">
        <f t="shared" si="430"/>
        <v/>
      </c>
      <c r="AW168" s="409" t="str">
        <f t="shared" si="430"/>
        <v/>
      </c>
      <c r="AX168" s="409" t="str">
        <f t="shared" si="430"/>
        <v/>
      </c>
      <c r="AY168" s="409" t="str">
        <f t="shared" si="430"/>
        <v/>
      </c>
      <c r="AZ168" s="409" t="str">
        <f t="shared" si="430"/>
        <v/>
      </c>
      <c r="BA168" s="409" t="str">
        <f t="shared" si="430"/>
        <v/>
      </c>
      <c r="BF168" s="129"/>
    </row>
    <row r="169" spans="1:89" s="397" customFormat="1" x14ac:dyDescent="0.25">
      <c r="A169" s="406">
        <f t="shared" si="402"/>
        <v>11</v>
      </c>
      <c r="B169" s="377" t="str">
        <f t="shared" ref="B169:Z169" si="431">IFERROR(CONCATENATE(ROUND($A169*STN_GAP*BA_Station_Scale_in_x+B83/Bonjean_Area_Scale,3),",",ROUND(B$69*WLS*BA_Y_scale_of_WL,3)," "),"")</f>
        <v xml:space="preserve">72.435,0 </v>
      </c>
      <c r="C169" s="377" t="str">
        <f t="shared" si="431"/>
        <v xml:space="preserve">72.685,1.8 </v>
      </c>
      <c r="D169" s="377" t="str">
        <f t="shared" si="431"/>
        <v xml:space="preserve">72.973,3.6 </v>
      </c>
      <c r="E169" s="377" t="str">
        <f t="shared" si="431"/>
        <v xml:space="preserve">73.278,5.4 </v>
      </c>
      <c r="F169" s="377" t="str">
        <f t="shared" si="431"/>
        <v xml:space="preserve">73.591,7.2 </v>
      </c>
      <c r="G169" s="377" t="str">
        <f t="shared" si="431"/>
        <v xml:space="preserve">74.22,10.8 </v>
      </c>
      <c r="H169" s="377" t="str">
        <f t="shared" si="431"/>
        <v xml:space="preserve">74.85,14.4 </v>
      </c>
      <c r="I169" s="377" t="str">
        <f t="shared" si="431"/>
        <v xml:space="preserve">75.48,18 </v>
      </c>
      <c r="J169" s="377" t="str">
        <f t="shared" si="431"/>
        <v xml:space="preserve">75.865,20.2 </v>
      </c>
      <c r="K169" s="377" t="str">
        <f t="shared" si="431"/>
        <v xml:space="preserve">76.11,21.6 </v>
      </c>
      <c r="L169" s="377" t="str">
        <f t="shared" si="431"/>
        <v xml:space="preserve">76.74,25.2 </v>
      </c>
      <c r="M169" s="377" t="str">
        <f t="shared" si="431"/>
        <v xml:space="preserve">77.296,28.38 </v>
      </c>
      <c r="N169" s="377" t="str">
        <f t="shared" si="431"/>
        <v/>
      </c>
      <c r="O169" s="377" t="str">
        <f t="shared" si="431"/>
        <v/>
      </c>
      <c r="P169" s="377" t="str">
        <f t="shared" si="431"/>
        <v/>
      </c>
      <c r="Q169" s="377" t="str">
        <f t="shared" si="431"/>
        <v/>
      </c>
      <c r="R169" s="377" t="str">
        <f t="shared" si="431"/>
        <v/>
      </c>
      <c r="S169" s="377" t="str">
        <f t="shared" si="431"/>
        <v/>
      </c>
      <c r="T169" s="377" t="str">
        <f t="shared" si="431"/>
        <v/>
      </c>
      <c r="U169" s="377" t="str">
        <f t="shared" si="431"/>
        <v/>
      </c>
      <c r="V169" s="377" t="str">
        <f t="shared" si="431"/>
        <v/>
      </c>
      <c r="W169" s="377" t="str">
        <f t="shared" si="431"/>
        <v/>
      </c>
      <c r="X169" s="377" t="str">
        <f t="shared" si="431"/>
        <v/>
      </c>
      <c r="Y169" s="377" t="str">
        <f t="shared" si="431"/>
        <v/>
      </c>
      <c r="Z169" s="377" t="str">
        <f t="shared" si="431"/>
        <v/>
      </c>
      <c r="AA169" s="129"/>
      <c r="AB169" s="406">
        <f t="shared" si="403"/>
        <v>11</v>
      </c>
      <c r="AC169" s="409" t="str">
        <f t="shared" ref="AC169:BA169" si="432">IFERROR(CONCATENATE(ROUND($A169*STN_GAP*BA_Station_Scale_in_x+AC83/Bonjean_Moment_Scale,3),",",ROUND(AC$155*WLS*BA_Y_scale_of_WL,3)," "),"")</f>
        <v xml:space="preserve">72.435,0 </v>
      </c>
      <c r="AD169" s="409" t="str">
        <f t="shared" si="432"/>
        <v xml:space="preserve">72.451,1.8 </v>
      </c>
      <c r="AE169" s="409" t="str">
        <f t="shared" si="432"/>
        <v xml:space="preserve">72.506,3.6 </v>
      </c>
      <c r="AF169" s="409" t="str">
        <f t="shared" si="432"/>
        <v xml:space="preserve">72.602,5.4 </v>
      </c>
      <c r="AG169" s="409" t="str">
        <f t="shared" si="432"/>
        <v xml:space="preserve">72.74,7.2 </v>
      </c>
      <c r="AH169" s="409" t="str">
        <f t="shared" si="432"/>
        <v xml:space="preserve">73.137,10.8 </v>
      </c>
      <c r="AI169" s="409" t="str">
        <f t="shared" si="432"/>
        <v xml:space="preserve">73.692,14.4 </v>
      </c>
      <c r="AJ169" s="409" t="str">
        <f t="shared" si="432"/>
        <v xml:space="preserve">74.407,18 </v>
      </c>
      <c r="AK169" s="409" t="str">
        <f t="shared" si="432"/>
        <v xml:space="preserve">74.922,20.2 </v>
      </c>
      <c r="AL169" s="409" t="str">
        <f t="shared" si="432"/>
        <v xml:space="preserve">75.28,21.6 </v>
      </c>
      <c r="AM169" s="409" t="str">
        <f t="shared" si="432"/>
        <v xml:space="preserve">76.312,25.2 </v>
      </c>
      <c r="AN169" s="409" t="str">
        <f t="shared" si="432"/>
        <v xml:space="preserve">77.356,28.38 </v>
      </c>
      <c r="AO169" s="409" t="str">
        <f t="shared" si="432"/>
        <v/>
      </c>
      <c r="AP169" s="409" t="str">
        <f t="shared" si="432"/>
        <v/>
      </c>
      <c r="AQ169" s="409" t="str">
        <f t="shared" si="432"/>
        <v/>
      </c>
      <c r="AR169" s="409" t="str">
        <f t="shared" si="432"/>
        <v/>
      </c>
      <c r="AS169" s="409" t="str">
        <f t="shared" si="432"/>
        <v/>
      </c>
      <c r="AT169" s="409" t="str">
        <f t="shared" si="432"/>
        <v/>
      </c>
      <c r="AU169" s="409" t="str">
        <f t="shared" si="432"/>
        <v/>
      </c>
      <c r="AV169" s="409" t="str">
        <f t="shared" si="432"/>
        <v/>
      </c>
      <c r="AW169" s="409" t="str">
        <f t="shared" si="432"/>
        <v/>
      </c>
      <c r="AX169" s="409" t="str">
        <f t="shared" si="432"/>
        <v/>
      </c>
      <c r="AY169" s="409" t="str">
        <f t="shared" si="432"/>
        <v/>
      </c>
      <c r="AZ169" s="409" t="str">
        <f t="shared" si="432"/>
        <v/>
      </c>
      <c r="BA169" s="409" t="str">
        <f t="shared" si="432"/>
        <v/>
      </c>
      <c r="BF169" s="129"/>
    </row>
    <row r="170" spans="1:89" s="397" customFormat="1" x14ac:dyDescent="0.25">
      <c r="A170" s="406">
        <f t="shared" si="402"/>
        <v>12</v>
      </c>
      <c r="B170" s="377" t="str">
        <f t="shared" ref="B170:Z170" si="433">IFERROR(CONCATENATE(ROUND($A170*STN_GAP*BA_Station_Scale_in_x+B84/Bonjean_Area_Scale,3),",",ROUND(B$69*WLS*BA_Y_scale_of_WL,3)," "),"")</f>
        <v xml:space="preserve">79.02,0 </v>
      </c>
      <c r="C170" s="377" t="str">
        <f t="shared" si="433"/>
        <v xml:space="preserve">79.252,1.8 </v>
      </c>
      <c r="D170" s="377" t="str">
        <f t="shared" si="433"/>
        <v xml:space="preserve">79.526,3.6 </v>
      </c>
      <c r="E170" s="377" t="str">
        <f t="shared" si="433"/>
        <v xml:space="preserve">79.818,5.4 </v>
      </c>
      <c r="F170" s="377" t="str">
        <f t="shared" si="433"/>
        <v xml:space="preserve">80.122,7.2 </v>
      </c>
      <c r="G170" s="377" t="str">
        <f t="shared" si="433"/>
        <v xml:space="preserve">80.743,10.8 </v>
      </c>
      <c r="H170" s="377" t="str">
        <f t="shared" si="433"/>
        <v xml:space="preserve">81.373,14.4 </v>
      </c>
      <c r="I170" s="377" t="str">
        <f t="shared" si="433"/>
        <v xml:space="preserve">82.002,18 </v>
      </c>
      <c r="J170" s="377" t="str">
        <f t="shared" si="433"/>
        <v xml:space="preserve">82.387,20.2 </v>
      </c>
      <c r="K170" s="377" t="str">
        <f t="shared" si="433"/>
        <v xml:space="preserve">82.633,21.6 </v>
      </c>
      <c r="L170" s="377" t="str">
        <f t="shared" si="433"/>
        <v xml:space="preserve">83.262,25.2 </v>
      </c>
      <c r="M170" s="377" t="str">
        <f t="shared" si="433"/>
        <v xml:space="preserve">83.818,28.38 </v>
      </c>
      <c r="N170" s="377" t="str">
        <f t="shared" si="433"/>
        <v/>
      </c>
      <c r="O170" s="377" t="str">
        <f t="shared" si="433"/>
        <v/>
      </c>
      <c r="P170" s="377" t="str">
        <f t="shared" si="433"/>
        <v/>
      </c>
      <c r="Q170" s="377" t="str">
        <f t="shared" si="433"/>
        <v/>
      </c>
      <c r="R170" s="377" t="str">
        <f t="shared" si="433"/>
        <v/>
      </c>
      <c r="S170" s="377" t="str">
        <f t="shared" si="433"/>
        <v/>
      </c>
      <c r="T170" s="377" t="str">
        <f t="shared" si="433"/>
        <v/>
      </c>
      <c r="U170" s="377" t="str">
        <f t="shared" si="433"/>
        <v/>
      </c>
      <c r="V170" s="377" t="str">
        <f t="shared" si="433"/>
        <v/>
      </c>
      <c r="W170" s="377" t="str">
        <f t="shared" si="433"/>
        <v/>
      </c>
      <c r="X170" s="377" t="str">
        <f t="shared" si="433"/>
        <v/>
      </c>
      <c r="Y170" s="377" t="str">
        <f t="shared" si="433"/>
        <v/>
      </c>
      <c r="Z170" s="377" t="str">
        <f t="shared" si="433"/>
        <v/>
      </c>
      <c r="AA170" s="129"/>
      <c r="AB170" s="406">
        <f t="shared" si="403"/>
        <v>12</v>
      </c>
      <c r="AC170" s="409" t="str">
        <f t="shared" ref="AC170:BA170" si="434">IFERROR(CONCATENATE(ROUND($A170*STN_GAP*BA_Station_Scale_in_x+AC84/Bonjean_Moment_Scale,3),",",ROUND(AC$155*WLS*BA_Y_scale_of_WL,3)," "),"")</f>
        <v xml:space="preserve">79.02,0 </v>
      </c>
      <c r="AD170" s="409" t="str">
        <f t="shared" si="434"/>
        <v xml:space="preserve">79.035,1.8 </v>
      </c>
      <c r="AE170" s="409" t="str">
        <f t="shared" si="434"/>
        <v xml:space="preserve">79.087,3.6 </v>
      </c>
      <c r="AF170" s="409" t="str">
        <f t="shared" si="434"/>
        <v xml:space="preserve">79.18,5.4 </v>
      </c>
      <c r="AG170" s="409" t="str">
        <f t="shared" si="434"/>
        <v xml:space="preserve">79.313,7.2 </v>
      </c>
      <c r="AH170" s="409" t="str">
        <f t="shared" si="434"/>
        <v xml:space="preserve">79.705,10.8 </v>
      </c>
      <c r="AI170" s="409" t="str">
        <f t="shared" si="434"/>
        <v xml:space="preserve">80.261,14.4 </v>
      </c>
      <c r="AJ170" s="409" t="str">
        <f t="shared" si="434"/>
        <v xml:space="preserve">80.975,18 </v>
      </c>
      <c r="AK170" s="409" t="str">
        <f t="shared" si="434"/>
        <v xml:space="preserve">81.489,20.2 </v>
      </c>
      <c r="AL170" s="409" t="str">
        <f t="shared" si="434"/>
        <v xml:space="preserve">81.848,21.6 </v>
      </c>
      <c r="AM170" s="409" t="str">
        <f t="shared" si="434"/>
        <v xml:space="preserve">82.88,25.2 </v>
      </c>
      <c r="AN170" s="409" t="str">
        <f t="shared" si="434"/>
        <v xml:space="preserve">83.923,28.38 </v>
      </c>
      <c r="AO170" s="409" t="str">
        <f t="shared" si="434"/>
        <v/>
      </c>
      <c r="AP170" s="409" t="str">
        <f t="shared" si="434"/>
        <v/>
      </c>
      <c r="AQ170" s="409" t="str">
        <f t="shared" si="434"/>
        <v/>
      </c>
      <c r="AR170" s="409" t="str">
        <f t="shared" si="434"/>
        <v/>
      </c>
      <c r="AS170" s="409" t="str">
        <f t="shared" si="434"/>
        <v/>
      </c>
      <c r="AT170" s="409" t="str">
        <f t="shared" si="434"/>
        <v/>
      </c>
      <c r="AU170" s="409" t="str">
        <f t="shared" si="434"/>
        <v/>
      </c>
      <c r="AV170" s="409" t="str">
        <f t="shared" si="434"/>
        <v/>
      </c>
      <c r="AW170" s="409" t="str">
        <f t="shared" si="434"/>
        <v/>
      </c>
      <c r="AX170" s="409" t="str">
        <f t="shared" si="434"/>
        <v/>
      </c>
      <c r="AY170" s="409" t="str">
        <f t="shared" si="434"/>
        <v/>
      </c>
      <c r="AZ170" s="409" t="str">
        <f t="shared" si="434"/>
        <v/>
      </c>
      <c r="BA170" s="409" t="str">
        <f t="shared" si="434"/>
        <v/>
      </c>
      <c r="BF170" s="129"/>
    </row>
    <row r="171" spans="1:89" s="397" customFormat="1" x14ac:dyDescent="0.25">
      <c r="A171" s="406">
        <f t="shared" ref="A171:A180" si="435">A85</f>
        <v>13</v>
      </c>
      <c r="B171" s="377" t="str">
        <f t="shared" ref="B171:Z171" si="436">IFERROR(CONCATENATE(ROUND($A171*STN_GAP*BA_Station_Scale_in_x+B85/Bonjean_Area_Scale,3),",",ROUND(B$69*WLS*BA_Y_scale_of_WL,3)," "),"")</f>
        <v xml:space="preserve">85.605,0 </v>
      </c>
      <c r="C171" s="377" t="str">
        <f t="shared" si="436"/>
        <v xml:space="preserve">85.807,1.8 </v>
      </c>
      <c r="D171" s="377" t="str">
        <f t="shared" si="436"/>
        <v xml:space="preserve">86.051,3.6 </v>
      </c>
      <c r="E171" s="377" t="str">
        <f t="shared" si="436"/>
        <v xml:space="preserve">86.318,5.4 </v>
      </c>
      <c r="F171" s="377" t="str">
        <f t="shared" si="436"/>
        <v xml:space="preserve">86.599,7.2 </v>
      </c>
      <c r="G171" s="377" t="str">
        <f t="shared" si="436"/>
        <v xml:space="preserve">87.184,10.8 </v>
      </c>
      <c r="H171" s="377" t="str">
        <f t="shared" si="436"/>
        <v xml:space="preserve">87.792,14.4 </v>
      </c>
      <c r="I171" s="377" t="str">
        <f t="shared" si="436"/>
        <v xml:space="preserve">88.413,18 </v>
      </c>
      <c r="J171" s="377" t="str">
        <f t="shared" si="436"/>
        <v xml:space="preserve">88.797,20.2 </v>
      </c>
      <c r="K171" s="377" t="str">
        <f t="shared" si="436"/>
        <v xml:space="preserve">89.042,21.6 </v>
      </c>
      <c r="L171" s="377" t="str">
        <f t="shared" si="436"/>
        <v xml:space="preserve">89.67,25.2 </v>
      </c>
      <c r="M171" s="377" t="str">
        <f t="shared" si="436"/>
        <v xml:space="preserve">90.226,28.38 </v>
      </c>
      <c r="N171" s="377" t="str">
        <f t="shared" si="436"/>
        <v/>
      </c>
      <c r="O171" s="377" t="str">
        <f t="shared" si="436"/>
        <v/>
      </c>
      <c r="P171" s="377" t="str">
        <f t="shared" si="436"/>
        <v/>
      </c>
      <c r="Q171" s="377" t="str">
        <f t="shared" si="436"/>
        <v/>
      </c>
      <c r="R171" s="377" t="str">
        <f t="shared" si="436"/>
        <v/>
      </c>
      <c r="S171" s="377" t="str">
        <f t="shared" si="436"/>
        <v/>
      </c>
      <c r="T171" s="377" t="str">
        <f t="shared" si="436"/>
        <v/>
      </c>
      <c r="U171" s="377" t="str">
        <f t="shared" si="436"/>
        <v/>
      </c>
      <c r="V171" s="377" t="str">
        <f t="shared" si="436"/>
        <v/>
      </c>
      <c r="W171" s="377" t="str">
        <f t="shared" si="436"/>
        <v/>
      </c>
      <c r="X171" s="377" t="str">
        <f t="shared" si="436"/>
        <v/>
      </c>
      <c r="Y171" s="377" t="str">
        <f t="shared" si="436"/>
        <v/>
      </c>
      <c r="Z171" s="377" t="str">
        <f t="shared" si="436"/>
        <v/>
      </c>
      <c r="AA171" s="129"/>
      <c r="AB171" s="406">
        <f t="shared" si="403"/>
        <v>13</v>
      </c>
      <c r="AC171" s="409" t="str">
        <f t="shared" ref="AC171:BA171" si="437">IFERROR(CONCATENATE(ROUND($A171*STN_GAP*BA_Station_Scale_in_x+AC85/Bonjean_Moment_Scale,3),",",ROUND(AC$155*WLS*BA_Y_scale_of_WL,3)," "),"")</f>
        <v xml:space="preserve">85.605,0 </v>
      </c>
      <c r="AD171" s="409" t="str">
        <f t="shared" si="437"/>
        <v xml:space="preserve">85.618,1.8 </v>
      </c>
      <c r="AE171" s="409" t="str">
        <f t="shared" si="437"/>
        <v xml:space="preserve">85.665,3.6 </v>
      </c>
      <c r="AF171" s="409" t="str">
        <f t="shared" si="437"/>
        <v xml:space="preserve">85.749,5.4 </v>
      </c>
      <c r="AG171" s="409" t="str">
        <f t="shared" si="437"/>
        <v xml:space="preserve">85.873,7.2 </v>
      </c>
      <c r="AH171" s="409" t="str">
        <f t="shared" si="437"/>
        <v xml:space="preserve">86.243,10.8 </v>
      </c>
      <c r="AI171" s="409" t="str">
        <f t="shared" si="437"/>
        <v xml:space="preserve">86.779,14.4 </v>
      </c>
      <c r="AJ171" s="409" t="str">
        <f t="shared" si="437"/>
        <v xml:space="preserve">87.484,18 </v>
      </c>
      <c r="AK171" s="409" t="str">
        <f t="shared" si="437"/>
        <v xml:space="preserve">87.997,20.2 </v>
      </c>
      <c r="AL171" s="409" t="str">
        <f t="shared" si="437"/>
        <v xml:space="preserve">88.355,21.6 </v>
      </c>
      <c r="AM171" s="409" t="str">
        <f t="shared" si="437"/>
        <v xml:space="preserve">89.385,25.2 </v>
      </c>
      <c r="AN171" s="409" t="str">
        <f t="shared" si="437"/>
        <v xml:space="preserve">90.428,28.38 </v>
      </c>
      <c r="AO171" s="409" t="str">
        <f t="shared" si="437"/>
        <v/>
      </c>
      <c r="AP171" s="409" t="str">
        <f t="shared" si="437"/>
        <v/>
      </c>
      <c r="AQ171" s="409" t="str">
        <f t="shared" si="437"/>
        <v/>
      </c>
      <c r="AR171" s="409" t="str">
        <f t="shared" si="437"/>
        <v/>
      </c>
      <c r="AS171" s="409" t="str">
        <f t="shared" si="437"/>
        <v/>
      </c>
      <c r="AT171" s="409" t="str">
        <f t="shared" si="437"/>
        <v/>
      </c>
      <c r="AU171" s="409" t="str">
        <f t="shared" si="437"/>
        <v/>
      </c>
      <c r="AV171" s="409" t="str">
        <f t="shared" si="437"/>
        <v/>
      </c>
      <c r="AW171" s="409" t="str">
        <f t="shared" si="437"/>
        <v/>
      </c>
      <c r="AX171" s="409" t="str">
        <f t="shared" si="437"/>
        <v/>
      </c>
      <c r="AY171" s="409" t="str">
        <f t="shared" si="437"/>
        <v/>
      </c>
      <c r="AZ171" s="409" t="str">
        <f t="shared" si="437"/>
        <v/>
      </c>
      <c r="BA171" s="409" t="str">
        <f t="shared" si="437"/>
        <v/>
      </c>
      <c r="BF171" s="129"/>
    </row>
    <row r="172" spans="1:89" s="397" customFormat="1" x14ac:dyDescent="0.25">
      <c r="A172" s="406">
        <f t="shared" si="435"/>
        <v>14</v>
      </c>
      <c r="B172" s="377" t="str">
        <f t="shared" ref="B172:Z172" si="438">IFERROR(CONCATENATE(ROUND($A172*STN_GAP*BA_Station_Scale_in_x+B86/Bonjean_Area_Scale,3),",",ROUND(B$69*WLS*BA_Y_scale_of_WL,3)," "),"")</f>
        <v xml:space="preserve">92.19,0 </v>
      </c>
      <c r="C172" s="377" t="str">
        <f t="shared" si="438"/>
        <v xml:space="preserve">92.355,1.8 </v>
      </c>
      <c r="D172" s="377" t="str">
        <f t="shared" si="438"/>
        <v xml:space="preserve">92.556,3.6 </v>
      </c>
      <c r="E172" s="377" t="str">
        <f t="shared" si="438"/>
        <v xml:space="preserve">92.776,5.4 </v>
      </c>
      <c r="F172" s="377" t="str">
        <f t="shared" si="438"/>
        <v xml:space="preserve">93.026,7.2 </v>
      </c>
      <c r="G172" s="377" t="str">
        <f t="shared" si="438"/>
        <v xml:space="preserve">93.544,10.8 </v>
      </c>
      <c r="H172" s="377" t="str">
        <f t="shared" si="438"/>
        <v xml:space="preserve">94.103,14.4 </v>
      </c>
      <c r="I172" s="377" t="str">
        <f t="shared" si="438"/>
        <v xml:space="preserve">94.679,18 </v>
      </c>
      <c r="J172" s="377" t="str">
        <f t="shared" si="438"/>
        <v xml:space="preserve">95.042,20.2 </v>
      </c>
      <c r="K172" s="377" t="str">
        <f t="shared" si="438"/>
        <v xml:space="preserve">95.281,21.6 </v>
      </c>
      <c r="L172" s="377" t="str">
        <f t="shared" si="438"/>
        <v xml:space="preserve">95.891,25.2 </v>
      </c>
      <c r="M172" s="377" t="str">
        <f t="shared" si="438"/>
        <v xml:space="preserve">96.443,28.38 </v>
      </c>
      <c r="N172" s="377" t="str">
        <f t="shared" si="438"/>
        <v/>
      </c>
      <c r="O172" s="377" t="str">
        <f t="shared" si="438"/>
        <v/>
      </c>
      <c r="P172" s="377" t="str">
        <f t="shared" si="438"/>
        <v/>
      </c>
      <c r="Q172" s="377" t="str">
        <f t="shared" si="438"/>
        <v/>
      </c>
      <c r="R172" s="377" t="str">
        <f t="shared" si="438"/>
        <v/>
      </c>
      <c r="S172" s="377" t="str">
        <f t="shared" si="438"/>
        <v/>
      </c>
      <c r="T172" s="377" t="str">
        <f t="shared" si="438"/>
        <v/>
      </c>
      <c r="U172" s="377" t="str">
        <f t="shared" si="438"/>
        <v/>
      </c>
      <c r="V172" s="377" t="str">
        <f t="shared" si="438"/>
        <v/>
      </c>
      <c r="W172" s="377" t="str">
        <f t="shared" si="438"/>
        <v/>
      </c>
      <c r="X172" s="377" t="str">
        <f t="shared" si="438"/>
        <v/>
      </c>
      <c r="Y172" s="377" t="str">
        <f t="shared" si="438"/>
        <v/>
      </c>
      <c r="Z172" s="377" t="str">
        <f t="shared" si="438"/>
        <v/>
      </c>
      <c r="AA172" s="129"/>
      <c r="AB172" s="406">
        <f t="shared" si="403"/>
        <v>14</v>
      </c>
      <c r="AC172" s="409" t="str">
        <f t="shared" ref="AC172:BA172" si="439">IFERROR(CONCATENATE(ROUND($A172*STN_GAP*BA_Station_Scale_in_x+AC86/Bonjean_Moment_Scale,3),",",ROUND(AC$155*WLS*BA_Y_scale_of_WL,3)," "),"")</f>
        <v xml:space="preserve">92.19,0 </v>
      </c>
      <c r="AD172" s="409" t="str">
        <f t="shared" si="439"/>
        <v xml:space="preserve">92.201,1.8 </v>
      </c>
      <c r="AE172" s="409" t="str">
        <f t="shared" si="439"/>
        <v xml:space="preserve">92.239,3.6 </v>
      </c>
      <c r="AF172" s="409" t="str">
        <f t="shared" si="439"/>
        <v xml:space="preserve">92.309,5.4 </v>
      </c>
      <c r="AG172" s="409" t="str">
        <f t="shared" si="439"/>
        <v xml:space="preserve">92.419,7.2 </v>
      </c>
      <c r="AH172" s="409" t="str">
        <f t="shared" si="439"/>
        <v xml:space="preserve">92.747,10.8 </v>
      </c>
      <c r="AI172" s="409" t="str">
        <f t="shared" si="439"/>
        <v xml:space="preserve">93.238,14.4 </v>
      </c>
      <c r="AJ172" s="409" t="str">
        <f t="shared" si="439"/>
        <v xml:space="preserve">93.895,18 </v>
      </c>
      <c r="AK172" s="409" t="str">
        <f t="shared" si="439"/>
        <v xml:space="preserve">94.381,20.2 </v>
      </c>
      <c r="AL172" s="409" t="str">
        <f t="shared" si="439"/>
        <v xml:space="preserve">94.725,21.6 </v>
      </c>
      <c r="AM172" s="409" t="str">
        <f t="shared" si="439"/>
        <v xml:space="preserve">95.73,25.2 </v>
      </c>
      <c r="AN172" s="409" t="str">
        <f t="shared" si="439"/>
        <v xml:space="preserve">96.766,28.38 </v>
      </c>
      <c r="AO172" s="409" t="str">
        <f t="shared" si="439"/>
        <v/>
      </c>
      <c r="AP172" s="409" t="str">
        <f t="shared" si="439"/>
        <v/>
      </c>
      <c r="AQ172" s="409" t="str">
        <f t="shared" si="439"/>
        <v/>
      </c>
      <c r="AR172" s="409" t="str">
        <f t="shared" si="439"/>
        <v/>
      </c>
      <c r="AS172" s="409" t="str">
        <f t="shared" si="439"/>
        <v/>
      </c>
      <c r="AT172" s="409" t="str">
        <f t="shared" si="439"/>
        <v/>
      </c>
      <c r="AU172" s="409" t="str">
        <f t="shared" si="439"/>
        <v/>
      </c>
      <c r="AV172" s="409" t="str">
        <f t="shared" si="439"/>
        <v/>
      </c>
      <c r="AW172" s="409" t="str">
        <f t="shared" si="439"/>
        <v/>
      </c>
      <c r="AX172" s="409" t="str">
        <f t="shared" si="439"/>
        <v/>
      </c>
      <c r="AY172" s="409" t="str">
        <f t="shared" si="439"/>
        <v/>
      </c>
      <c r="AZ172" s="409" t="str">
        <f t="shared" si="439"/>
        <v/>
      </c>
      <c r="BA172" s="409" t="str">
        <f t="shared" si="439"/>
        <v/>
      </c>
      <c r="BF172" s="129"/>
    </row>
    <row r="173" spans="1:89" s="397" customFormat="1" x14ac:dyDescent="0.25">
      <c r="A173" s="406">
        <f t="shared" si="435"/>
        <v>15</v>
      </c>
      <c r="B173" s="377" t="str">
        <f t="shared" ref="B173:Z173" si="440">IFERROR(CONCATENATE(ROUND($A173*STN_GAP*BA_Station_Scale_in_x+B87/Bonjean_Area_Scale,3),",",ROUND(B$69*WLS*BA_Y_scale_of_WL,3)," "),"")</f>
        <v xml:space="preserve">98.775,0 </v>
      </c>
      <c r="C173" s="377" t="str">
        <f t="shared" si="440"/>
        <v xml:space="preserve">98.898,1.8 </v>
      </c>
      <c r="D173" s="377" t="str">
        <f t="shared" si="440"/>
        <v xml:space="preserve">99.06,3.6 </v>
      </c>
      <c r="E173" s="377" t="str">
        <f t="shared" si="440"/>
        <v xml:space="preserve">99.244,5.4 </v>
      </c>
      <c r="F173" s="377" t="str">
        <f t="shared" si="440"/>
        <v xml:space="preserve">99.446,7.2 </v>
      </c>
      <c r="G173" s="377" t="str">
        <f t="shared" si="440"/>
        <v xml:space="preserve">99.883,10.8 </v>
      </c>
      <c r="H173" s="377" t="str">
        <f t="shared" si="440"/>
        <v xml:space="preserve">100.36,14.4 </v>
      </c>
      <c r="I173" s="377" t="str">
        <f t="shared" si="440"/>
        <v xml:space="preserve">100.873,18 </v>
      </c>
      <c r="J173" s="377" t="str">
        <f t="shared" si="440"/>
        <v xml:space="preserve">101.2,20.2 </v>
      </c>
      <c r="K173" s="377" t="str">
        <f t="shared" si="440"/>
        <v xml:space="preserve">101.414,21.6 </v>
      </c>
      <c r="L173" s="377" t="str">
        <f t="shared" si="440"/>
        <v xml:space="preserve">101.983,25.2 </v>
      </c>
      <c r="M173" s="377" t="str">
        <f t="shared" si="440"/>
        <v xml:space="preserve">102.515,28.38 </v>
      </c>
      <c r="N173" s="377" t="str">
        <f t="shared" si="440"/>
        <v/>
      </c>
      <c r="O173" s="377" t="str">
        <f t="shared" si="440"/>
        <v/>
      </c>
      <c r="P173" s="377" t="str">
        <f t="shared" si="440"/>
        <v/>
      </c>
      <c r="Q173" s="377" t="str">
        <f t="shared" si="440"/>
        <v/>
      </c>
      <c r="R173" s="377" t="str">
        <f t="shared" si="440"/>
        <v/>
      </c>
      <c r="S173" s="377" t="str">
        <f t="shared" si="440"/>
        <v/>
      </c>
      <c r="T173" s="377" t="str">
        <f t="shared" si="440"/>
        <v/>
      </c>
      <c r="U173" s="377" t="str">
        <f t="shared" si="440"/>
        <v/>
      </c>
      <c r="V173" s="377" t="str">
        <f t="shared" si="440"/>
        <v/>
      </c>
      <c r="W173" s="377" t="str">
        <f t="shared" si="440"/>
        <v/>
      </c>
      <c r="X173" s="377" t="str">
        <f t="shared" si="440"/>
        <v/>
      </c>
      <c r="Y173" s="377" t="str">
        <f t="shared" si="440"/>
        <v/>
      </c>
      <c r="Z173" s="377" t="str">
        <f t="shared" si="440"/>
        <v/>
      </c>
      <c r="AA173" s="129"/>
      <c r="AB173" s="406">
        <f t="shared" si="403"/>
        <v>15</v>
      </c>
      <c r="AC173" s="409" t="str">
        <f t="shared" ref="AC173:BA173" si="441">IFERROR(CONCATENATE(ROUND($A173*STN_GAP*BA_Station_Scale_in_x+AC87/Bonjean_Moment_Scale,3),",",ROUND(AC$155*WLS*BA_Y_scale_of_WL,3)," "),"")</f>
        <v xml:space="preserve">98.775,0 </v>
      </c>
      <c r="AD173" s="409" t="str">
        <f t="shared" si="441"/>
        <v xml:space="preserve">98.783,1.8 </v>
      </c>
      <c r="AE173" s="409" t="str">
        <f t="shared" si="441"/>
        <v xml:space="preserve">98.814,3.6 </v>
      </c>
      <c r="AF173" s="409" t="str">
        <f t="shared" si="441"/>
        <v xml:space="preserve">98.873,5.4 </v>
      </c>
      <c r="AG173" s="409" t="str">
        <f t="shared" si="441"/>
        <v xml:space="preserve">98.961,7.2 </v>
      </c>
      <c r="AH173" s="409" t="str">
        <f t="shared" si="441"/>
        <v xml:space="preserve">99.238,10.8 </v>
      </c>
      <c r="AI173" s="409" t="str">
        <f t="shared" si="441"/>
        <v xml:space="preserve">99.66,14.4 </v>
      </c>
      <c r="AJ173" s="409" t="str">
        <f t="shared" si="441"/>
        <v xml:space="preserve">100.242,18 </v>
      </c>
      <c r="AK173" s="409" t="str">
        <f t="shared" si="441"/>
        <v xml:space="preserve">100.68,20.2 </v>
      </c>
      <c r="AL173" s="409" t="str">
        <f t="shared" si="441"/>
        <v xml:space="preserve">100.993,21.6 </v>
      </c>
      <c r="AM173" s="409" t="str">
        <f t="shared" si="441"/>
        <v xml:space="preserve">101.924,25.2 </v>
      </c>
      <c r="AN173" s="409" t="str">
        <f t="shared" si="441"/>
        <v xml:space="preserve">102.924,28.38 </v>
      </c>
      <c r="AO173" s="409" t="str">
        <f t="shared" si="441"/>
        <v/>
      </c>
      <c r="AP173" s="409" t="str">
        <f t="shared" si="441"/>
        <v/>
      </c>
      <c r="AQ173" s="409" t="str">
        <f t="shared" si="441"/>
        <v/>
      </c>
      <c r="AR173" s="409" t="str">
        <f t="shared" si="441"/>
        <v/>
      </c>
      <c r="AS173" s="409" t="str">
        <f t="shared" si="441"/>
        <v/>
      </c>
      <c r="AT173" s="409" t="str">
        <f t="shared" si="441"/>
        <v/>
      </c>
      <c r="AU173" s="409" t="str">
        <f t="shared" si="441"/>
        <v/>
      </c>
      <c r="AV173" s="409" t="str">
        <f t="shared" si="441"/>
        <v/>
      </c>
      <c r="AW173" s="409" t="str">
        <f t="shared" si="441"/>
        <v/>
      </c>
      <c r="AX173" s="409" t="str">
        <f t="shared" si="441"/>
        <v/>
      </c>
      <c r="AY173" s="409" t="str">
        <f t="shared" si="441"/>
        <v/>
      </c>
      <c r="AZ173" s="409" t="str">
        <f t="shared" si="441"/>
        <v/>
      </c>
      <c r="BA173" s="409" t="str">
        <f t="shared" si="441"/>
        <v/>
      </c>
      <c r="BF173" s="129"/>
    </row>
    <row r="174" spans="1:89" s="397" customFormat="1" x14ac:dyDescent="0.25">
      <c r="A174" s="406">
        <f t="shared" si="435"/>
        <v>16</v>
      </c>
      <c r="B174" s="377" t="str">
        <f t="shared" ref="B174:Z174" si="442">IFERROR(CONCATENATE(ROUND($A174*STN_GAP*BA_Station_Scale_in_x+B88/Bonjean_Area_Scale,3),",",ROUND(B$69*WLS*BA_Y_scale_of_WL,3)," "),"")</f>
        <v xml:space="preserve">105.36,0 </v>
      </c>
      <c r="C174" s="377" t="str">
        <f t="shared" si="442"/>
        <v xml:space="preserve">105.442,1.8 </v>
      </c>
      <c r="D174" s="377" t="str">
        <f t="shared" si="442"/>
        <v xml:space="preserve">105.562,3.6 </v>
      </c>
      <c r="E174" s="377" t="str">
        <f t="shared" si="442"/>
        <v xml:space="preserve">105.701,5.4 </v>
      </c>
      <c r="F174" s="377" t="str">
        <f t="shared" si="442"/>
        <v xml:space="preserve">105.856,7.2 </v>
      </c>
      <c r="G174" s="377" t="str">
        <f t="shared" si="442"/>
        <v xml:space="preserve">106.197,10.8 </v>
      </c>
      <c r="H174" s="377" t="str">
        <f t="shared" si="442"/>
        <v xml:space="preserve">106.578,14.4 </v>
      </c>
      <c r="I174" s="377" t="str">
        <f t="shared" si="442"/>
        <v xml:space="preserve">107,18 </v>
      </c>
      <c r="J174" s="377" t="str">
        <f t="shared" si="442"/>
        <v xml:space="preserve">107.279,20.2 </v>
      </c>
      <c r="K174" s="377" t="str">
        <f t="shared" si="442"/>
        <v xml:space="preserve">107.465,21.6 </v>
      </c>
      <c r="L174" s="377" t="str">
        <f t="shared" si="442"/>
        <v xml:space="preserve">107.97,25.2 </v>
      </c>
      <c r="M174" s="377" t="str">
        <f t="shared" si="442"/>
        <v xml:space="preserve">108.468,28.38 </v>
      </c>
      <c r="N174" s="377" t="str">
        <f t="shared" si="442"/>
        <v/>
      </c>
      <c r="O174" s="377" t="str">
        <f t="shared" si="442"/>
        <v/>
      </c>
      <c r="P174" s="377" t="str">
        <f t="shared" si="442"/>
        <v/>
      </c>
      <c r="Q174" s="377" t="str">
        <f t="shared" si="442"/>
        <v/>
      </c>
      <c r="R174" s="377" t="str">
        <f t="shared" si="442"/>
        <v/>
      </c>
      <c r="S174" s="377" t="str">
        <f t="shared" si="442"/>
        <v/>
      </c>
      <c r="T174" s="377" t="str">
        <f t="shared" si="442"/>
        <v/>
      </c>
      <c r="U174" s="377" t="str">
        <f t="shared" si="442"/>
        <v/>
      </c>
      <c r="V174" s="377" t="str">
        <f t="shared" si="442"/>
        <v/>
      </c>
      <c r="W174" s="377" t="str">
        <f t="shared" si="442"/>
        <v/>
      </c>
      <c r="X174" s="377" t="str">
        <f t="shared" si="442"/>
        <v/>
      </c>
      <c r="Y174" s="377" t="str">
        <f t="shared" si="442"/>
        <v/>
      </c>
      <c r="Z174" s="377" t="str">
        <f t="shared" si="442"/>
        <v/>
      </c>
      <c r="AA174" s="129"/>
      <c r="AB174" s="406">
        <f t="shared" si="403"/>
        <v>16</v>
      </c>
      <c r="AC174" s="409" t="str">
        <f t="shared" ref="AC174:BA174" si="443">IFERROR(CONCATENATE(ROUND($A174*STN_GAP*BA_Station_Scale_in_x+AC88/Bonjean_Moment_Scale,3),",",ROUND(AC$155*WLS*BA_Y_scale_of_WL,3)," "),"")</f>
        <v xml:space="preserve">105.36,0 </v>
      </c>
      <c r="AD174" s="409" t="str">
        <f t="shared" si="443"/>
        <v xml:space="preserve">105.366,1.8 </v>
      </c>
      <c r="AE174" s="409" t="str">
        <f t="shared" si="443"/>
        <v xml:space="preserve">105.389,3.6 </v>
      </c>
      <c r="AF174" s="409" t="str">
        <f t="shared" si="443"/>
        <v xml:space="preserve">105.433,5.4 </v>
      </c>
      <c r="AG174" s="409" t="str">
        <f t="shared" si="443"/>
        <v xml:space="preserve">105.501,7.2 </v>
      </c>
      <c r="AH174" s="409" t="str">
        <f t="shared" si="443"/>
        <v xml:space="preserve">105.717,10.8 </v>
      </c>
      <c r="AI174" s="409" t="str">
        <f t="shared" si="443"/>
        <v xml:space="preserve">106.054,14.4 </v>
      </c>
      <c r="AJ174" s="409" t="str">
        <f t="shared" si="443"/>
        <v xml:space="preserve">106.534,18 </v>
      </c>
      <c r="AK174" s="409" t="str">
        <f t="shared" si="443"/>
        <v xml:space="preserve">106.907,20.2 </v>
      </c>
      <c r="AL174" s="409" t="str">
        <f t="shared" si="443"/>
        <v xml:space="preserve">107.179,21.6 </v>
      </c>
      <c r="AM174" s="409" t="str">
        <f t="shared" si="443"/>
        <v xml:space="preserve">108.007,25.2 </v>
      </c>
      <c r="AN174" s="409" t="str">
        <f t="shared" si="443"/>
        <v xml:space="preserve">108.943,28.38 </v>
      </c>
      <c r="AO174" s="409" t="str">
        <f t="shared" si="443"/>
        <v/>
      </c>
      <c r="AP174" s="409" t="str">
        <f t="shared" si="443"/>
        <v/>
      </c>
      <c r="AQ174" s="409" t="str">
        <f t="shared" si="443"/>
        <v/>
      </c>
      <c r="AR174" s="409" t="str">
        <f t="shared" si="443"/>
        <v/>
      </c>
      <c r="AS174" s="409" t="str">
        <f t="shared" si="443"/>
        <v/>
      </c>
      <c r="AT174" s="409" t="str">
        <f t="shared" si="443"/>
        <v/>
      </c>
      <c r="AU174" s="409" t="str">
        <f t="shared" si="443"/>
        <v/>
      </c>
      <c r="AV174" s="409" t="str">
        <f t="shared" si="443"/>
        <v/>
      </c>
      <c r="AW174" s="409" t="str">
        <f t="shared" si="443"/>
        <v/>
      </c>
      <c r="AX174" s="409" t="str">
        <f t="shared" si="443"/>
        <v/>
      </c>
      <c r="AY174" s="409" t="str">
        <f t="shared" si="443"/>
        <v/>
      </c>
      <c r="AZ174" s="409" t="str">
        <f t="shared" si="443"/>
        <v/>
      </c>
      <c r="BA174" s="409" t="str">
        <f t="shared" si="443"/>
        <v/>
      </c>
      <c r="BF174" s="129"/>
    </row>
    <row r="175" spans="1:89" s="397" customFormat="1" x14ac:dyDescent="0.25">
      <c r="A175" s="406">
        <f t="shared" si="435"/>
        <v>17</v>
      </c>
      <c r="B175" s="377" t="str">
        <f t="shared" ref="B175:Z175" si="444">IFERROR(CONCATENATE(ROUND($A175*STN_GAP*BA_Station_Scale_in_x+B89/Bonjean_Area_Scale,3),",",ROUND(B$69*WLS*BA_Y_scale_of_WL,3)," "),"")</f>
        <v xml:space="preserve">111.945,0 </v>
      </c>
      <c r="C175" s="377" t="str">
        <f t="shared" si="444"/>
        <v xml:space="preserve">111.99,1.8 </v>
      </c>
      <c r="D175" s="377" t="str">
        <f t="shared" si="444"/>
        <v xml:space="preserve">112.071,3.6 </v>
      </c>
      <c r="E175" s="377" t="str">
        <f t="shared" si="444"/>
        <v xml:space="preserve">112.168,5.4 </v>
      </c>
      <c r="F175" s="377" t="str">
        <f t="shared" si="444"/>
        <v xml:space="preserve">112.278,7.2 </v>
      </c>
      <c r="G175" s="377" t="str">
        <f t="shared" si="444"/>
        <v xml:space="preserve">112.521,10.8 </v>
      </c>
      <c r="H175" s="377" t="str">
        <f t="shared" si="444"/>
        <v xml:space="preserve">112.797,14.4 </v>
      </c>
      <c r="I175" s="377" t="str">
        <f t="shared" si="444"/>
        <v xml:space="preserve">113.111,18 </v>
      </c>
      <c r="J175" s="377" t="str">
        <f t="shared" si="444"/>
        <v xml:space="preserve">113.328,20.2 </v>
      </c>
      <c r="K175" s="377" t="str">
        <f t="shared" si="444"/>
        <v xml:space="preserve">113.477,21.6 </v>
      </c>
      <c r="L175" s="377" t="str">
        <f t="shared" si="444"/>
        <v xml:space="preserve">113.897,25.2 </v>
      </c>
      <c r="M175" s="377" t="str">
        <f t="shared" si="444"/>
        <v xml:space="preserve">114.344,28.38 </v>
      </c>
      <c r="N175" s="377" t="str">
        <f t="shared" si="444"/>
        <v/>
      </c>
      <c r="O175" s="377" t="str">
        <f t="shared" si="444"/>
        <v/>
      </c>
      <c r="P175" s="377" t="str">
        <f t="shared" si="444"/>
        <v/>
      </c>
      <c r="Q175" s="377" t="str">
        <f t="shared" si="444"/>
        <v/>
      </c>
      <c r="R175" s="377" t="str">
        <f t="shared" si="444"/>
        <v/>
      </c>
      <c r="S175" s="377" t="str">
        <f t="shared" si="444"/>
        <v/>
      </c>
      <c r="T175" s="377" t="str">
        <f t="shared" si="444"/>
        <v/>
      </c>
      <c r="U175" s="377" t="str">
        <f t="shared" si="444"/>
        <v/>
      </c>
      <c r="V175" s="377" t="str">
        <f t="shared" si="444"/>
        <v/>
      </c>
      <c r="W175" s="377" t="str">
        <f t="shared" si="444"/>
        <v/>
      </c>
      <c r="X175" s="377" t="str">
        <f t="shared" si="444"/>
        <v/>
      </c>
      <c r="Y175" s="377" t="str">
        <f t="shared" si="444"/>
        <v/>
      </c>
      <c r="Z175" s="377" t="str">
        <f t="shared" si="444"/>
        <v/>
      </c>
      <c r="AA175" s="129"/>
      <c r="AB175" s="406">
        <f t="shared" si="403"/>
        <v>17</v>
      </c>
      <c r="AC175" s="409" t="str">
        <f t="shared" ref="AC175:BA175" si="445">IFERROR(CONCATENATE(ROUND($A175*STN_GAP*BA_Station_Scale_in_x+AC89/Bonjean_Moment_Scale,3),",",ROUND(AC$155*WLS*BA_Y_scale_of_WL,3)," "),"")</f>
        <v xml:space="preserve">111.945,0 </v>
      </c>
      <c r="AD175" s="409" t="str">
        <f t="shared" si="445"/>
        <v xml:space="preserve">111.948,1.8 </v>
      </c>
      <c r="AE175" s="409" t="str">
        <f t="shared" si="445"/>
        <v xml:space="preserve">111.964,3.6 </v>
      </c>
      <c r="AF175" s="409" t="str">
        <f t="shared" si="445"/>
        <v xml:space="preserve">111.995,5.4 </v>
      </c>
      <c r="AG175" s="409" t="str">
        <f t="shared" si="445"/>
        <v xml:space="preserve">112.043,7.2 </v>
      </c>
      <c r="AH175" s="409" t="str">
        <f t="shared" si="445"/>
        <v xml:space="preserve">112.197,10.8 </v>
      </c>
      <c r="AI175" s="409" t="str">
        <f t="shared" si="445"/>
        <v xml:space="preserve">112.441,14.4 </v>
      </c>
      <c r="AJ175" s="409" t="str">
        <f t="shared" si="445"/>
        <v xml:space="preserve">112.798,18 </v>
      </c>
      <c r="AK175" s="409" t="str">
        <f t="shared" si="445"/>
        <v xml:space="preserve">113.089,20.2 </v>
      </c>
      <c r="AL175" s="409" t="str">
        <f t="shared" si="445"/>
        <v xml:space="preserve">113.306,21.6 </v>
      </c>
      <c r="AM175" s="409" t="str">
        <f t="shared" si="445"/>
        <v xml:space="preserve">113.997,25.2 </v>
      </c>
      <c r="AN175" s="409" t="str">
        <f t="shared" si="445"/>
        <v xml:space="preserve">114.836,28.38 </v>
      </c>
      <c r="AO175" s="409" t="str">
        <f t="shared" si="445"/>
        <v/>
      </c>
      <c r="AP175" s="409" t="str">
        <f t="shared" si="445"/>
        <v/>
      </c>
      <c r="AQ175" s="409" t="str">
        <f t="shared" si="445"/>
        <v/>
      </c>
      <c r="AR175" s="409" t="str">
        <f t="shared" si="445"/>
        <v/>
      </c>
      <c r="AS175" s="409" t="str">
        <f t="shared" si="445"/>
        <v/>
      </c>
      <c r="AT175" s="409" t="str">
        <f t="shared" si="445"/>
        <v/>
      </c>
      <c r="AU175" s="409" t="str">
        <f t="shared" si="445"/>
        <v/>
      </c>
      <c r="AV175" s="409" t="str">
        <f t="shared" si="445"/>
        <v/>
      </c>
      <c r="AW175" s="409" t="str">
        <f t="shared" si="445"/>
        <v/>
      </c>
      <c r="AX175" s="409" t="str">
        <f t="shared" si="445"/>
        <v/>
      </c>
      <c r="AY175" s="409" t="str">
        <f t="shared" si="445"/>
        <v/>
      </c>
      <c r="AZ175" s="409" t="str">
        <f t="shared" si="445"/>
        <v/>
      </c>
      <c r="BA175" s="409" t="str">
        <f t="shared" si="445"/>
        <v/>
      </c>
      <c r="BF175" s="129"/>
    </row>
    <row r="176" spans="1:89" s="397" customFormat="1" x14ac:dyDescent="0.25">
      <c r="A176" s="406">
        <f t="shared" si="435"/>
        <v>18</v>
      </c>
      <c r="B176" s="377" t="str">
        <f t="shared" ref="B176:Z176" si="446">IFERROR(CONCATENATE(ROUND($A176*STN_GAP*BA_Station_Scale_in_x+B90/Bonjean_Area_Scale,3),",",ROUND(B$69*WLS*BA_Y_scale_of_WL,3)," "),"")</f>
        <v xml:space="preserve">118.53,0 </v>
      </c>
      <c r="C176" s="377" t="str">
        <f t="shared" si="446"/>
        <v xml:space="preserve">118.551,1.8 </v>
      </c>
      <c r="D176" s="377" t="str">
        <f t="shared" si="446"/>
        <v xml:space="preserve">118.599,3.6 </v>
      </c>
      <c r="E176" s="377" t="str">
        <f t="shared" si="446"/>
        <v xml:space="preserve">118.663,5.4 </v>
      </c>
      <c r="F176" s="377" t="str">
        <f t="shared" si="446"/>
        <v xml:space="preserve">118.736,7.2 </v>
      </c>
      <c r="G176" s="377" t="str">
        <f t="shared" si="446"/>
        <v xml:space="preserve">118.897,10.8 </v>
      </c>
      <c r="H176" s="377" t="str">
        <f t="shared" si="446"/>
        <v xml:space="preserve">119.07,14.4 </v>
      </c>
      <c r="I176" s="377" t="str">
        <f t="shared" si="446"/>
        <v xml:space="preserve">119.267,18 </v>
      </c>
      <c r="J176" s="377" t="str">
        <f t="shared" si="446"/>
        <v xml:space="preserve">119.412,20.2 </v>
      </c>
      <c r="K176" s="377" t="str">
        <f t="shared" si="446"/>
        <v xml:space="preserve">119.517,21.6 </v>
      </c>
      <c r="L176" s="377" t="str">
        <f t="shared" si="446"/>
        <v xml:space="preserve">119.832,25.2 </v>
      </c>
      <c r="M176" s="377" t="str">
        <f t="shared" si="446"/>
        <v xml:space="preserve">120.21,28.38 </v>
      </c>
      <c r="N176" s="377" t="str">
        <f t="shared" si="446"/>
        <v/>
      </c>
      <c r="O176" s="377" t="str">
        <f t="shared" si="446"/>
        <v/>
      </c>
      <c r="P176" s="377" t="str">
        <f t="shared" si="446"/>
        <v/>
      </c>
      <c r="Q176" s="377" t="str">
        <f t="shared" si="446"/>
        <v/>
      </c>
      <c r="R176" s="377" t="str">
        <f t="shared" si="446"/>
        <v/>
      </c>
      <c r="S176" s="377" t="str">
        <f t="shared" si="446"/>
        <v/>
      </c>
      <c r="T176" s="377" t="str">
        <f t="shared" si="446"/>
        <v/>
      </c>
      <c r="U176" s="377" t="str">
        <f t="shared" si="446"/>
        <v/>
      </c>
      <c r="V176" s="377" t="str">
        <f t="shared" si="446"/>
        <v/>
      </c>
      <c r="W176" s="377" t="str">
        <f t="shared" si="446"/>
        <v/>
      </c>
      <c r="X176" s="377" t="str">
        <f t="shared" si="446"/>
        <v/>
      </c>
      <c r="Y176" s="377" t="str">
        <f t="shared" si="446"/>
        <v/>
      </c>
      <c r="Z176" s="377" t="str">
        <f t="shared" si="446"/>
        <v/>
      </c>
      <c r="AA176" s="129"/>
      <c r="AB176" s="406">
        <f t="shared" si="403"/>
        <v>18</v>
      </c>
      <c r="AC176" s="409" t="str">
        <f t="shared" ref="AC176:BA176" si="447">IFERROR(CONCATENATE(ROUND($A176*STN_GAP*BA_Station_Scale_in_x+AC90/Bonjean_Moment_Scale,3),",",ROUND(AC$155*WLS*BA_Y_scale_of_WL,3)," "),"")</f>
        <v xml:space="preserve">118.53,0 </v>
      </c>
      <c r="AD176" s="409" t="str">
        <f t="shared" si="447"/>
        <v xml:space="preserve">118.532,1.8 </v>
      </c>
      <c r="AE176" s="409" t="str">
        <f t="shared" si="447"/>
        <v xml:space="preserve">118.541,3.6 </v>
      </c>
      <c r="AF176" s="409" t="str">
        <f t="shared" si="447"/>
        <v xml:space="preserve">118.561,5.4 </v>
      </c>
      <c r="AG176" s="409" t="str">
        <f t="shared" si="447"/>
        <v xml:space="preserve">118.594,7.2 </v>
      </c>
      <c r="AH176" s="409" t="str">
        <f t="shared" si="447"/>
        <v xml:space="preserve">118.695,10.8 </v>
      </c>
      <c r="AI176" s="409" t="str">
        <f t="shared" si="447"/>
        <v xml:space="preserve">118.848,14.4 </v>
      </c>
      <c r="AJ176" s="409" t="str">
        <f t="shared" si="447"/>
        <v xml:space="preserve">119.073,18 </v>
      </c>
      <c r="AK176" s="409" t="str">
        <f t="shared" si="447"/>
        <v xml:space="preserve">119.267,20.2 </v>
      </c>
      <c r="AL176" s="409" t="str">
        <f t="shared" si="447"/>
        <v xml:space="preserve">119.421,21.6 </v>
      </c>
      <c r="AM176" s="409" t="str">
        <f t="shared" si="447"/>
        <v xml:space="preserve">119.939,25.2 </v>
      </c>
      <c r="AN176" s="409" t="str">
        <f t="shared" si="447"/>
        <v xml:space="preserve">120.649,28.38 </v>
      </c>
      <c r="AO176" s="409" t="str">
        <f t="shared" si="447"/>
        <v/>
      </c>
      <c r="AP176" s="409" t="str">
        <f t="shared" si="447"/>
        <v/>
      </c>
      <c r="AQ176" s="409" t="str">
        <f t="shared" si="447"/>
        <v/>
      </c>
      <c r="AR176" s="409" t="str">
        <f t="shared" si="447"/>
        <v/>
      </c>
      <c r="AS176" s="409" t="str">
        <f t="shared" si="447"/>
        <v/>
      </c>
      <c r="AT176" s="409" t="str">
        <f t="shared" si="447"/>
        <v/>
      </c>
      <c r="AU176" s="409" t="str">
        <f t="shared" si="447"/>
        <v/>
      </c>
      <c r="AV176" s="409" t="str">
        <f t="shared" si="447"/>
        <v/>
      </c>
      <c r="AW176" s="409" t="str">
        <f t="shared" si="447"/>
        <v/>
      </c>
      <c r="AX176" s="409" t="str">
        <f t="shared" si="447"/>
        <v/>
      </c>
      <c r="AY176" s="409" t="str">
        <f t="shared" si="447"/>
        <v/>
      </c>
      <c r="AZ176" s="409" t="str">
        <f t="shared" si="447"/>
        <v/>
      </c>
      <c r="BA176" s="409" t="str">
        <f t="shared" si="447"/>
        <v/>
      </c>
      <c r="CH176" s="357"/>
      <c r="CI176" s="357"/>
      <c r="CJ176" s="399"/>
      <c r="CK176" s="399"/>
    </row>
    <row r="177" spans="1:139" s="397" customFormat="1" x14ac:dyDescent="0.25">
      <c r="A177" s="406">
        <f t="shared" si="435"/>
        <v>18.5</v>
      </c>
      <c r="B177" s="377" t="str">
        <f t="shared" ref="B177:Z177" si="448">IFERROR(CONCATENATE(ROUND($A177*STN_GAP*BA_Station_Scale_in_x+B91/Bonjean_Area_Scale,3),",",ROUND(B$69*WLS*BA_Y_scale_of_WL,3)," "),"")</f>
        <v xml:space="preserve">121.823,0 </v>
      </c>
      <c r="C177" s="377" t="str">
        <f t="shared" si="448"/>
        <v xml:space="preserve">121.831,1.8 </v>
      </c>
      <c r="D177" s="377" t="str">
        <f t="shared" si="448"/>
        <v xml:space="preserve">121.867,3.6 </v>
      </c>
      <c r="E177" s="377" t="str">
        <f t="shared" si="448"/>
        <v xml:space="preserve">121.917,5.4 </v>
      </c>
      <c r="F177" s="377" t="str">
        <f t="shared" si="448"/>
        <v xml:space="preserve">121.975,7.2 </v>
      </c>
      <c r="G177" s="377" t="str">
        <f t="shared" si="448"/>
        <v xml:space="preserve">122.105,10.8 </v>
      </c>
      <c r="H177" s="377" t="str">
        <f t="shared" si="448"/>
        <v xml:space="preserve">122.236,14.4 </v>
      </c>
      <c r="I177" s="377" t="str">
        <f t="shared" si="448"/>
        <v xml:space="preserve">122.377,18 </v>
      </c>
      <c r="J177" s="377" t="str">
        <f t="shared" si="448"/>
        <v xml:space="preserve">122.486,20.2 </v>
      </c>
      <c r="K177" s="377" t="str">
        <f t="shared" si="448"/>
        <v xml:space="preserve">122.568,21.6 </v>
      </c>
      <c r="L177" s="377" t="str">
        <f t="shared" si="448"/>
        <v xml:space="preserve">122.823,25.2 </v>
      </c>
      <c r="M177" s="377" t="str">
        <f t="shared" si="448"/>
        <v xml:space="preserve">123.137,28.38 </v>
      </c>
      <c r="N177" s="377" t="str">
        <f t="shared" si="448"/>
        <v/>
      </c>
      <c r="O177" s="377" t="str">
        <f t="shared" si="448"/>
        <v/>
      </c>
      <c r="P177" s="377" t="str">
        <f t="shared" si="448"/>
        <v/>
      </c>
      <c r="Q177" s="377" t="str">
        <f t="shared" si="448"/>
        <v/>
      </c>
      <c r="R177" s="377" t="str">
        <f t="shared" si="448"/>
        <v/>
      </c>
      <c r="S177" s="377" t="str">
        <f t="shared" si="448"/>
        <v/>
      </c>
      <c r="T177" s="377" t="str">
        <f t="shared" si="448"/>
        <v/>
      </c>
      <c r="U177" s="377" t="str">
        <f t="shared" si="448"/>
        <v/>
      </c>
      <c r="V177" s="377" t="str">
        <f t="shared" si="448"/>
        <v/>
      </c>
      <c r="W177" s="377" t="str">
        <f t="shared" si="448"/>
        <v/>
      </c>
      <c r="X177" s="377" t="str">
        <f t="shared" si="448"/>
        <v/>
      </c>
      <c r="Y177" s="377" t="str">
        <f t="shared" si="448"/>
        <v/>
      </c>
      <c r="Z177" s="377" t="str">
        <f t="shared" si="448"/>
        <v/>
      </c>
      <c r="AA177" s="129"/>
      <c r="AB177" s="406">
        <f t="shared" si="403"/>
        <v>18.5</v>
      </c>
      <c r="AC177" s="409" t="str">
        <f t="shared" ref="AC177:BA177" si="449">IFERROR(CONCATENATE(ROUND($A177*STN_GAP*BA_Station_Scale_in_x+AC91/Bonjean_Moment_Scale,3),",",ROUND(AC$155*WLS*BA_Y_scale_of_WL,3)," "),"")</f>
        <v xml:space="preserve">121.823,0 </v>
      </c>
      <c r="AD177" s="409" t="str">
        <f t="shared" si="449"/>
        <v xml:space="preserve">121.823,1.8 </v>
      </c>
      <c r="AE177" s="409" t="str">
        <f t="shared" si="449"/>
        <v xml:space="preserve">121.83,3.6 </v>
      </c>
      <c r="AF177" s="409" t="str">
        <f t="shared" si="449"/>
        <v xml:space="preserve">121.846,5.4 </v>
      </c>
      <c r="AG177" s="409" t="str">
        <f t="shared" si="449"/>
        <v xml:space="preserve">121.872,7.2 </v>
      </c>
      <c r="AH177" s="409" t="str">
        <f t="shared" si="449"/>
        <v xml:space="preserve">121.954,10.8 </v>
      </c>
      <c r="AI177" s="409" t="str">
        <f t="shared" si="449"/>
        <v xml:space="preserve">122.07,14.4 </v>
      </c>
      <c r="AJ177" s="409" t="str">
        <f t="shared" si="449"/>
        <v xml:space="preserve">122.231,18 </v>
      </c>
      <c r="AK177" s="409" t="str">
        <f t="shared" si="449"/>
        <v xml:space="preserve">122.376,20.2 </v>
      </c>
      <c r="AL177" s="409" t="str">
        <f t="shared" si="449"/>
        <v xml:space="preserve">122.495,21.6 </v>
      </c>
      <c r="AM177" s="409" t="str">
        <f t="shared" si="449"/>
        <v xml:space="preserve">122.917,25.2 </v>
      </c>
      <c r="AN177" s="409" t="str">
        <f t="shared" si="449"/>
        <v xml:space="preserve">123.507,28.38 </v>
      </c>
      <c r="AO177" s="409" t="str">
        <f t="shared" si="449"/>
        <v/>
      </c>
      <c r="AP177" s="409" t="str">
        <f t="shared" si="449"/>
        <v/>
      </c>
      <c r="AQ177" s="409" t="str">
        <f t="shared" si="449"/>
        <v/>
      </c>
      <c r="AR177" s="409" t="str">
        <f t="shared" si="449"/>
        <v/>
      </c>
      <c r="AS177" s="409" t="str">
        <f t="shared" si="449"/>
        <v/>
      </c>
      <c r="AT177" s="409" t="str">
        <f t="shared" si="449"/>
        <v/>
      </c>
      <c r="AU177" s="409" t="str">
        <f t="shared" si="449"/>
        <v/>
      </c>
      <c r="AV177" s="409" t="str">
        <f t="shared" si="449"/>
        <v/>
      </c>
      <c r="AW177" s="409" t="str">
        <f t="shared" si="449"/>
        <v/>
      </c>
      <c r="AX177" s="409" t="str">
        <f t="shared" si="449"/>
        <v/>
      </c>
      <c r="AY177" s="409" t="str">
        <f t="shared" si="449"/>
        <v/>
      </c>
      <c r="AZ177" s="409" t="str">
        <f t="shared" si="449"/>
        <v/>
      </c>
      <c r="BA177" s="409" t="str">
        <f t="shared" si="449"/>
        <v/>
      </c>
      <c r="CH177" s="357"/>
      <c r="CI177" s="357"/>
      <c r="CJ177" s="399"/>
      <c r="CK177" s="399"/>
    </row>
    <row r="178" spans="1:139" s="397" customFormat="1" x14ac:dyDescent="0.25">
      <c r="A178" s="406">
        <f t="shared" si="435"/>
        <v>19</v>
      </c>
      <c r="B178" s="377" t="str">
        <f t="shared" ref="B178:Z178" si="450">IFERROR(CONCATENATE(ROUND($A178*STN_GAP*BA_Station_Scale_in_x+B92/Bonjean_Area_Scale,3),",",ROUND(B$69*WLS*BA_Y_scale_of_WL,3)," "),"")</f>
        <v xml:space="preserve">125.115,0 </v>
      </c>
      <c r="C178" s="377" t="str">
        <f t="shared" si="450"/>
        <v xml:space="preserve">125.117,1.8 </v>
      </c>
      <c r="D178" s="377" t="str">
        <f t="shared" si="450"/>
        <v xml:space="preserve">125.142,3.6 </v>
      </c>
      <c r="E178" s="377" t="str">
        <f t="shared" si="450"/>
        <v xml:space="preserve">125.181,5.4 </v>
      </c>
      <c r="F178" s="377" t="str">
        <f t="shared" si="450"/>
        <v xml:space="preserve">125.228,7.2 </v>
      </c>
      <c r="G178" s="377" t="str">
        <f t="shared" si="450"/>
        <v xml:space="preserve">125.334,10.8 </v>
      </c>
      <c r="H178" s="377" t="str">
        <f t="shared" si="450"/>
        <v xml:space="preserve">125.436,14.4 </v>
      </c>
      <c r="I178" s="377" t="str">
        <f t="shared" si="450"/>
        <v xml:space="preserve">125.528,18 </v>
      </c>
      <c r="J178" s="377" t="str">
        <f t="shared" si="450"/>
        <v xml:space="preserve">125.601,20.2 </v>
      </c>
      <c r="K178" s="377" t="str">
        <f t="shared" si="450"/>
        <v xml:space="preserve">125.657,21.6 </v>
      </c>
      <c r="L178" s="377" t="str">
        <f t="shared" si="450"/>
        <v xml:space="preserve">125.851,25.2 </v>
      </c>
      <c r="M178" s="377" t="str">
        <f t="shared" si="450"/>
        <v xml:space="preserve">126.082,28.38 </v>
      </c>
      <c r="N178" s="377" t="str">
        <f t="shared" si="450"/>
        <v/>
      </c>
      <c r="O178" s="377" t="str">
        <f t="shared" si="450"/>
        <v/>
      </c>
      <c r="P178" s="377" t="str">
        <f t="shared" si="450"/>
        <v/>
      </c>
      <c r="Q178" s="377" t="str">
        <f t="shared" si="450"/>
        <v/>
      </c>
      <c r="R178" s="377" t="str">
        <f t="shared" si="450"/>
        <v/>
      </c>
      <c r="S178" s="377" t="str">
        <f t="shared" si="450"/>
        <v/>
      </c>
      <c r="T178" s="377" t="str">
        <f t="shared" si="450"/>
        <v/>
      </c>
      <c r="U178" s="377" t="str">
        <f t="shared" si="450"/>
        <v/>
      </c>
      <c r="V178" s="377" t="str">
        <f t="shared" si="450"/>
        <v/>
      </c>
      <c r="W178" s="377" t="str">
        <f t="shared" si="450"/>
        <v/>
      </c>
      <c r="X178" s="377" t="str">
        <f t="shared" si="450"/>
        <v/>
      </c>
      <c r="Y178" s="377" t="str">
        <f t="shared" si="450"/>
        <v/>
      </c>
      <c r="Z178" s="377" t="str">
        <f t="shared" si="450"/>
        <v/>
      </c>
      <c r="AA178" s="129"/>
      <c r="AB178" s="406">
        <f t="shared" si="403"/>
        <v>19</v>
      </c>
      <c r="AC178" s="409" t="str">
        <f t="shared" ref="AC178:BA178" si="451">IFERROR(CONCATENATE(ROUND($A178*STN_GAP*BA_Station_Scale_in_x+AC92/Bonjean_Moment_Scale,3),",",ROUND(AC$155*WLS*BA_Y_scale_of_WL,3)," "),"")</f>
        <v xml:space="preserve">125.115,0 </v>
      </c>
      <c r="AD178" s="409" t="str">
        <f t="shared" si="451"/>
        <v xml:space="preserve">125.115,1.8 </v>
      </c>
      <c r="AE178" s="409" t="str">
        <f t="shared" si="451"/>
        <v xml:space="preserve">125.12,3.6 </v>
      </c>
      <c r="AF178" s="409" t="str">
        <f t="shared" si="451"/>
        <v xml:space="preserve">125.132,5.4 </v>
      </c>
      <c r="AG178" s="409" t="str">
        <f t="shared" si="451"/>
        <v xml:space="preserve">125.153,7.2 </v>
      </c>
      <c r="AH178" s="409" t="str">
        <f t="shared" si="451"/>
        <v xml:space="preserve">125.221,10.8 </v>
      </c>
      <c r="AI178" s="409" t="str">
        <f t="shared" si="451"/>
        <v xml:space="preserve">125.31,14.4 </v>
      </c>
      <c r="AJ178" s="409" t="str">
        <f t="shared" si="451"/>
        <v xml:space="preserve">125.415,18 </v>
      </c>
      <c r="AK178" s="409" t="str">
        <f t="shared" si="451"/>
        <v xml:space="preserve">125.513,20.2 </v>
      </c>
      <c r="AL178" s="409" t="str">
        <f t="shared" si="451"/>
        <v xml:space="preserve">125.594,21.6 </v>
      </c>
      <c r="AM178" s="409" t="str">
        <f t="shared" si="451"/>
        <v xml:space="preserve">125.914,25.2 </v>
      </c>
      <c r="AN178" s="409" t="str">
        <f t="shared" si="451"/>
        <v xml:space="preserve">126.348,28.38 </v>
      </c>
      <c r="AO178" s="409" t="str">
        <f t="shared" si="451"/>
        <v/>
      </c>
      <c r="AP178" s="409" t="str">
        <f t="shared" si="451"/>
        <v/>
      </c>
      <c r="AQ178" s="409" t="str">
        <f t="shared" si="451"/>
        <v/>
      </c>
      <c r="AR178" s="409" t="str">
        <f t="shared" si="451"/>
        <v/>
      </c>
      <c r="AS178" s="409" t="str">
        <f t="shared" si="451"/>
        <v/>
      </c>
      <c r="AT178" s="409" t="str">
        <f t="shared" si="451"/>
        <v/>
      </c>
      <c r="AU178" s="409" t="str">
        <f t="shared" si="451"/>
        <v/>
      </c>
      <c r="AV178" s="409" t="str">
        <f t="shared" si="451"/>
        <v/>
      </c>
      <c r="AW178" s="409" t="str">
        <f t="shared" si="451"/>
        <v/>
      </c>
      <c r="AX178" s="409" t="str">
        <f t="shared" si="451"/>
        <v/>
      </c>
      <c r="AY178" s="409" t="str">
        <f t="shared" si="451"/>
        <v/>
      </c>
      <c r="AZ178" s="409" t="str">
        <f t="shared" si="451"/>
        <v/>
      </c>
      <c r="BA178" s="409" t="str">
        <f t="shared" si="451"/>
        <v/>
      </c>
      <c r="CH178" s="357"/>
      <c r="CI178" s="357"/>
      <c r="CJ178" s="399"/>
      <c r="CK178" s="399"/>
      <c r="CT178" s="129"/>
      <c r="CU178" s="129"/>
      <c r="CV178" s="129"/>
      <c r="CW178" s="129"/>
    </row>
    <row r="179" spans="1:139" s="397" customFormat="1" x14ac:dyDescent="0.25">
      <c r="A179" s="406">
        <f t="shared" si="435"/>
        <v>19.5</v>
      </c>
      <c r="B179" s="377" t="str">
        <f t="shared" ref="B179:Z179" si="452">IFERROR(CONCATENATE(ROUND($A179*STN_GAP*BA_Station_Scale_in_x+B93/Bonjean_Area_Scale,3),",",ROUND(B$69*WLS*BA_Y_scale_of_WL,3)," "),"")</f>
        <v xml:space="preserve">128.408,0 </v>
      </c>
      <c r="C179" s="377" t="str">
        <f t="shared" si="452"/>
        <v xml:space="preserve">128.408,1.8 </v>
      </c>
      <c r="D179" s="377" t="str">
        <f t="shared" si="452"/>
        <v xml:space="preserve">128.417,3.6 </v>
      </c>
      <c r="E179" s="377" t="str">
        <f t="shared" si="452"/>
        <v xml:space="preserve">128.445,5.4 </v>
      </c>
      <c r="F179" s="377" t="str">
        <f t="shared" si="452"/>
        <v xml:space="preserve">128.483,7.2 </v>
      </c>
      <c r="G179" s="377" t="str">
        <f t="shared" si="452"/>
        <v xml:space="preserve">128.572,10.8 </v>
      </c>
      <c r="H179" s="377" t="str">
        <f t="shared" si="452"/>
        <v xml:space="preserve">128.654,14.4 </v>
      </c>
      <c r="I179" s="377" t="str">
        <f t="shared" si="452"/>
        <v xml:space="preserve">128.709,18 </v>
      </c>
      <c r="J179" s="377" t="str">
        <f t="shared" si="452"/>
        <v xml:space="preserve">128.748,20.2 </v>
      </c>
      <c r="K179" s="377" t="str">
        <f t="shared" si="452"/>
        <v xml:space="preserve">128.775,21.6 </v>
      </c>
      <c r="L179" s="377" t="str">
        <f t="shared" si="452"/>
        <v xml:space="preserve">128.894,25.2 </v>
      </c>
      <c r="M179" s="377" t="str">
        <f t="shared" si="452"/>
        <v xml:space="preserve">129.05,28.38 </v>
      </c>
      <c r="N179" s="377" t="str">
        <f t="shared" si="452"/>
        <v/>
      </c>
      <c r="O179" s="377" t="str">
        <f t="shared" si="452"/>
        <v/>
      </c>
      <c r="P179" s="377" t="str">
        <f t="shared" si="452"/>
        <v/>
      </c>
      <c r="Q179" s="377" t="str">
        <f t="shared" si="452"/>
        <v/>
      </c>
      <c r="R179" s="377" t="str">
        <f t="shared" si="452"/>
        <v/>
      </c>
      <c r="S179" s="377" t="str">
        <f t="shared" si="452"/>
        <v/>
      </c>
      <c r="T179" s="377" t="str">
        <f t="shared" si="452"/>
        <v/>
      </c>
      <c r="U179" s="377" t="str">
        <f t="shared" si="452"/>
        <v/>
      </c>
      <c r="V179" s="377" t="str">
        <f t="shared" si="452"/>
        <v/>
      </c>
      <c r="W179" s="377" t="str">
        <f t="shared" si="452"/>
        <v/>
      </c>
      <c r="X179" s="377" t="str">
        <f t="shared" si="452"/>
        <v/>
      </c>
      <c r="Y179" s="377" t="str">
        <f t="shared" si="452"/>
        <v/>
      </c>
      <c r="Z179" s="377" t="str">
        <f t="shared" si="452"/>
        <v/>
      </c>
      <c r="AA179" s="129"/>
      <c r="AB179" s="406">
        <f t="shared" si="403"/>
        <v>19.5</v>
      </c>
      <c r="AC179" s="409" t="str">
        <f t="shared" ref="AC179:BA179" si="453">IFERROR(CONCATENATE(ROUND($A179*STN_GAP*BA_Station_Scale_in_x+AC93/Bonjean_Moment_Scale,3),",",ROUND(AC$155*WLS*BA_Y_scale_of_WL,3)," "),"")</f>
        <v xml:space="preserve">128.408,0 </v>
      </c>
      <c r="AD179" s="409" t="str">
        <f t="shared" si="453"/>
        <v xml:space="preserve">128.408,1.8 </v>
      </c>
      <c r="AE179" s="409" t="str">
        <f t="shared" si="453"/>
        <v xml:space="preserve">128.41,3.6 </v>
      </c>
      <c r="AF179" s="409" t="str">
        <f t="shared" si="453"/>
        <v xml:space="preserve">128.419,5.4 </v>
      </c>
      <c r="AG179" s="409" t="str">
        <f t="shared" si="453"/>
        <v xml:space="preserve">128.435,7.2 </v>
      </c>
      <c r="AH179" s="409" t="str">
        <f t="shared" si="453"/>
        <v xml:space="preserve">128.492,10.8 </v>
      </c>
      <c r="AI179" s="409" t="str">
        <f t="shared" si="453"/>
        <v xml:space="preserve">128.563,14.4 </v>
      </c>
      <c r="AJ179" s="409" t="str">
        <f t="shared" si="453"/>
        <v xml:space="preserve">128.627,18 </v>
      </c>
      <c r="AK179" s="409" t="str">
        <f t="shared" si="453"/>
        <v xml:space="preserve">128.678,20.2 </v>
      </c>
      <c r="AL179" s="409" t="str">
        <f t="shared" si="453"/>
        <v xml:space="preserve">128.717,21.6 </v>
      </c>
      <c r="AM179" s="409" t="str">
        <f t="shared" si="453"/>
        <v xml:space="preserve">128.913,25.2 </v>
      </c>
      <c r="AN179" s="409" t="str">
        <f t="shared" si="453"/>
        <v xml:space="preserve">129.208,28.38 </v>
      </c>
      <c r="AO179" s="409" t="str">
        <f t="shared" si="453"/>
        <v/>
      </c>
      <c r="AP179" s="409" t="str">
        <f t="shared" si="453"/>
        <v/>
      </c>
      <c r="AQ179" s="409" t="str">
        <f t="shared" si="453"/>
        <v/>
      </c>
      <c r="AR179" s="409" t="str">
        <f t="shared" si="453"/>
        <v/>
      </c>
      <c r="AS179" s="409" t="str">
        <f t="shared" si="453"/>
        <v/>
      </c>
      <c r="AT179" s="409" t="str">
        <f t="shared" si="453"/>
        <v/>
      </c>
      <c r="AU179" s="409" t="str">
        <f t="shared" si="453"/>
        <v/>
      </c>
      <c r="AV179" s="409" t="str">
        <f t="shared" si="453"/>
        <v/>
      </c>
      <c r="AW179" s="409" t="str">
        <f t="shared" si="453"/>
        <v/>
      </c>
      <c r="AX179" s="409" t="str">
        <f t="shared" si="453"/>
        <v/>
      </c>
      <c r="AY179" s="409" t="str">
        <f t="shared" si="453"/>
        <v/>
      </c>
      <c r="AZ179" s="409" t="str">
        <f t="shared" si="453"/>
        <v/>
      </c>
      <c r="BA179" s="409" t="str">
        <f t="shared" si="453"/>
        <v/>
      </c>
      <c r="CH179" s="357"/>
      <c r="CI179" s="357"/>
      <c r="CJ179" s="399"/>
      <c r="CK179" s="399"/>
      <c r="CT179" s="129"/>
      <c r="CU179" s="129"/>
      <c r="CV179" s="129"/>
      <c r="CW179" s="129"/>
    </row>
    <row r="180" spans="1:139" s="397" customFormat="1" x14ac:dyDescent="0.25">
      <c r="A180" s="406">
        <f t="shared" si="435"/>
        <v>20</v>
      </c>
      <c r="B180" s="377" t="str">
        <f>IFERROR(CONCATENATE(ROUND($A180*STN_GAP*BA_Station_Scale_in_x+B94/Bonjean_Area_Scale,3),",",ROUND(B$69*WLS*BA_Y_scale_of_WL,3)," "),"")</f>
        <v xml:space="preserve">131.7,0 </v>
      </c>
      <c r="C180" s="377" t="str">
        <f t="shared" ref="C180:Z180" si="454">IFERROR(CONCATENATE(ROUND($A180*STN_GAP*BA_Station_Scale_in_x+C94/Bonjean_Area_Scale,3),",",ROUND(C$69*WLS*BA_Y_scale_of_WL,3)," "),"")</f>
        <v xml:space="preserve">131.7,1.8 </v>
      </c>
      <c r="D180" s="377" t="str">
        <f t="shared" si="454"/>
        <v xml:space="preserve">131.7,3.6 </v>
      </c>
      <c r="E180" s="377" t="str">
        <f t="shared" si="454"/>
        <v xml:space="preserve">131.708,5.4 </v>
      </c>
      <c r="F180" s="377" t="str">
        <f t="shared" si="454"/>
        <v xml:space="preserve">131.732,7.2 </v>
      </c>
      <c r="G180" s="377" t="str">
        <f t="shared" si="454"/>
        <v xml:space="preserve">131.802,10.8 </v>
      </c>
      <c r="H180" s="377" t="str">
        <f t="shared" si="454"/>
        <v xml:space="preserve">131.869,14.4 </v>
      </c>
      <c r="I180" s="377" t="str">
        <f t="shared" si="454"/>
        <v xml:space="preserve">131.89,18 </v>
      </c>
      <c r="J180" s="377" t="str">
        <f t="shared" si="454"/>
        <v xml:space="preserve">131.89,20.2 </v>
      </c>
      <c r="K180" s="377" t="str">
        <f t="shared" si="454"/>
        <v xml:space="preserve">131.895,21.6 </v>
      </c>
      <c r="L180" s="377" t="str">
        <f t="shared" si="454"/>
        <v xml:space="preserve">131.924,25.2 </v>
      </c>
      <c r="M180" s="377" t="str">
        <f t="shared" si="454"/>
        <v xml:space="preserve">131.983,28.38 </v>
      </c>
      <c r="N180" s="377" t="str">
        <f t="shared" si="454"/>
        <v/>
      </c>
      <c r="O180" s="377" t="str">
        <f t="shared" si="454"/>
        <v/>
      </c>
      <c r="P180" s="377" t="str">
        <f t="shared" si="454"/>
        <v/>
      </c>
      <c r="Q180" s="377" t="str">
        <f t="shared" si="454"/>
        <v/>
      </c>
      <c r="R180" s="377" t="str">
        <f t="shared" si="454"/>
        <v/>
      </c>
      <c r="S180" s="377" t="str">
        <f t="shared" si="454"/>
        <v/>
      </c>
      <c r="T180" s="377" t="str">
        <f t="shared" si="454"/>
        <v/>
      </c>
      <c r="U180" s="377" t="str">
        <f t="shared" si="454"/>
        <v/>
      </c>
      <c r="V180" s="377" t="str">
        <f t="shared" si="454"/>
        <v/>
      </c>
      <c r="W180" s="377" t="str">
        <f t="shared" si="454"/>
        <v/>
      </c>
      <c r="X180" s="377" t="str">
        <f t="shared" si="454"/>
        <v/>
      </c>
      <c r="Y180" s="377" t="str">
        <f t="shared" si="454"/>
        <v/>
      </c>
      <c r="Z180" s="377" t="str">
        <f t="shared" si="454"/>
        <v/>
      </c>
      <c r="AA180" s="129"/>
      <c r="AB180" s="406">
        <f t="shared" si="403"/>
        <v>20</v>
      </c>
      <c r="AC180" s="409" t="str">
        <f t="shared" ref="AC180:BA180" si="455">IFERROR(CONCATENATE(ROUND($A180*STN_GAP*BA_Station_Scale_in_x+AC94/Bonjean_Moment_Scale,3),",",ROUND(AC$155*WLS*BA_Y_scale_of_WL,3)," "),"")</f>
        <v xml:space="preserve">131.7,0 </v>
      </c>
      <c r="AD180" s="409" t="str">
        <f t="shared" si="455"/>
        <v xml:space="preserve">131.7,1.8 </v>
      </c>
      <c r="AE180" s="409" t="str">
        <f t="shared" si="455"/>
        <v xml:space="preserve">131.7,3.6 </v>
      </c>
      <c r="AF180" s="409" t="str">
        <f t="shared" si="455"/>
        <v xml:space="preserve">131.703,5.4 </v>
      </c>
      <c r="AG180" s="409" t="str">
        <f t="shared" si="455"/>
        <v xml:space="preserve">131.714,7.2 </v>
      </c>
      <c r="AH180" s="409" t="str">
        <f t="shared" si="455"/>
        <v xml:space="preserve">131.758,10.8 </v>
      </c>
      <c r="AI180" s="409" t="str">
        <f t="shared" si="455"/>
        <v xml:space="preserve">131.817,14.4 </v>
      </c>
      <c r="AJ180" s="409" t="str">
        <f t="shared" si="455"/>
        <v xml:space="preserve">131.84,18 </v>
      </c>
      <c r="AK180" s="409" t="str">
        <f t="shared" si="455"/>
        <v xml:space="preserve">131.84,20.2 </v>
      </c>
      <c r="AL180" s="409" t="str">
        <f t="shared" si="455"/>
        <v xml:space="preserve">131.847,21.6 </v>
      </c>
      <c r="AM180" s="409" t="str">
        <f t="shared" si="455"/>
        <v xml:space="preserve">131.894,25.2 </v>
      </c>
      <c r="AN180" s="409" t="str">
        <f t="shared" si="455"/>
        <v xml:space="preserve">132.006,28.38 </v>
      </c>
      <c r="AO180" s="409" t="str">
        <f t="shared" si="455"/>
        <v/>
      </c>
      <c r="AP180" s="409" t="str">
        <f t="shared" si="455"/>
        <v/>
      </c>
      <c r="AQ180" s="409" t="str">
        <f t="shared" si="455"/>
        <v/>
      </c>
      <c r="AR180" s="409" t="str">
        <f t="shared" si="455"/>
        <v/>
      </c>
      <c r="AS180" s="409" t="str">
        <f t="shared" si="455"/>
        <v/>
      </c>
      <c r="AT180" s="409" t="str">
        <f t="shared" si="455"/>
        <v/>
      </c>
      <c r="AU180" s="409" t="str">
        <f t="shared" si="455"/>
        <v/>
      </c>
      <c r="AV180" s="409" t="str">
        <f t="shared" si="455"/>
        <v/>
      </c>
      <c r="AW180" s="409" t="str">
        <f t="shared" si="455"/>
        <v/>
      </c>
      <c r="AX180" s="409" t="str">
        <f t="shared" si="455"/>
        <v/>
      </c>
      <c r="AY180" s="409" t="str">
        <f t="shared" si="455"/>
        <v/>
      </c>
      <c r="AZ180" s="409" t="str">
        <f t="shared" si="455"/>
        <v/>
      </c>
      <c r="BA180" s="409" t="str">
        <f t="shared" si="455"/>
        <v/>
      </c>
      <c r="CH180" s="357"/>
      <c r="CI180" s="357"/>
      <c r="CJ180" s="399"/>
      <c r="CK180" s="399"/>
      <c r="CT180" s="129"/>
      <c r="CU180" s="129"/>
      <c r="CV180" s="129"/>
      <c r="CW180" s="129"/>
    </row>
    <row r="181" spans="1:139" s="397" customFormat="1" x14ac:dyDescent="0.25">
      <c r="A181" s="129"/>
      <c r="B181" s="129"/>
      <c r="C181" s="129"/>
      <c r="D181" s="129"/>
      <c r="E181" s="129"/>
      <c r="F181" s="129"/>
      <c r="G181" s="129"/>
      <c r="H181" s="129"/>
      <c r="I181" s="129"/>
      <c r="J181" s="129"/>
      <c r="K181" s="129"/>
      <c r="L181" s="129"/>
      <c r="M181" s="129"/>
      <c r="N181" s="129" t="s">
        <v>231</v>
      </c>
      <c r="O181" s="129"/>
      <c r="P181" s="129"/>
      <c r="Q181" s="129"/>
      <c r="R181" s="129"/>
      <c r="S181" s="129"/>
      <c r="T181" s="129"/>
      <c r="U181" s="129"/>
      <c r="V181" s="129"/>
      <c r="W181" s="129"/>
      <c r="X181" s="129"/>
      <c r="Y181" s="129"/>
      <c r="Z181" s="129"/>
      <c r="AA181" s="129"/>
      <c r="CH181" s="357"/>
      <c r="CI181" s="357"/>
      <c r="CJ181" s="399"/>
      <c r="CK181" s="399"/>
      <c r="CT181" s="129"/>
      <c r="CU181" s="129"/>
      <c r="CV181" s="129"/>
      <c r="CW181" s="129"/>
    </row>
    <row r="182" spans="1:139" x14ac:dyDescent="0.25">
      <c r="CH182" s="357"/>
      <c r="CI182" s="357"/>
      <c r="CJ182" s="277"/>
      <c r="CK182" s="277"/>
      <c r="CX182" s="397"/>
      <c r="CY182" s="397"/>
      <c r="CZ182" s="397"/>
      <c r="DA182" s="397"/>
      <c r="DB182" s="397"/>
      <c r="DC182" s="397"/>
      <c r="DD182" s="397"/>
      <c r="DE182" s="397"/>
      <c r="DF182" s="397"/>
      <c r="DG182" s="397"/>
      <c r="DH182" s="397"/>
      <c r="DI182" s="397"/>
      <c r="DJ182" s="397"/>
      <c r="DK182" s="397"/>
      <c r="DL182" s="397"/>
      <c r="DM182" s="397"/>
      <c r="DN182" s="397"/>
      <c r="DO182" s="397"/>
      <c r="DP182" s="397"/>
      <c r="DQ182" s="397"/>
      <c r="DR182" s="397"/>
      <c r="DS182" s="397"/>
      <c r="DT182" s="397"/>
      <c r="DU182" s="397"/>
      <c r="DV182" s="397"/>
      <c r="DW182" s="397"/>
      <c r="DX182" s="397"/>
      <c r="DY182" s="397"/>
      <c r="DZ182" s="397"/>
      <c r="EA182" s="397"/>
      <c r="EB182" s="397"/>
      <c r="EC182" s="397"/>
      <c r="ED182" s="397"/>
      <c r="EE182" s="397"/>
      <c r="EF182" s="397"/>
      <c r="EG182" s="397"/>
      <c r="EH182" s="397"/>
      <c r="EI182" s="397"/>
    </row>
    <row r="183" spans="1:139" x14ac:dyDescent="0.25">
      <c r="CH183" s="357"/>
      <c r="CI183" s="357"/>
      <c r="CJ183" s="277"/>
      <c r="CK183" s="277"/>
      <c r="CX183" s="397"/>
      <c r="CY183" s="397"/>
      <c r="CZ183" s="397"/>
      <c r="DA183" s="397"/>
      <c r="DB183" s="397"/>
      <c r="DC183" s="397"/>
      <c r="DD183" s="397"/>
      <c r="DE183" s="397"/>
      <c r="DF183" s="397"/>
      <c r="DG183" s="397"/>
      <c r="DH183" s="397"/>
      <c r="DI183" s="397"/>
      <c r="DJ183" s="397"/>
      <c r="DK183" s="397"/>
      <c r="DL183" s="397"/>
      <c r="DM183" s="397"/>
      <c r="DN183" s="397"/>
      <c r="DO183" s="397"/>
      <c r="DP183" s="397"/>
      <c r="DQ183" s="397"/>
      <c r="DR183" s="397"/>
      <c r="DS183" s="397"/>
      <c r="DT183" s="397"/>
      <c r="DU183" s="397"/>
      <c r="DV183" s="397"/>
      <c r="DW183" s="397"/>
      <c r="DX183" s="397"/>
      <c r="DY183" s="397"/>
      <c r="DZ183" s="397"/>
      <c r="EA183" s="397"/>
      <c r="EB183" s="397"/>
      <c r="EC183" s="397"/>
      <c r="ED183" s="397"/>
      <c r="EE183" s="397"/>
      <c r="EF183" s="397"/>
      <c r="EG183" s="397"/>
      <c r="EH183" s="397"/>
      <c r="EI183" s="397"/>
    </row>
    <row r="184" spans="1:139" ht="28.5" x14ac:dyDescent="0.45">
      <c r="A184" s="349"/>
      <c r="B184" s="531" t="s">
        <v>256</v>
      </c>
      <c r="C184" s="531"/>
      <c r="D184" s="531"/>
      <c r="E184" s="350"/>
      <c r="F184" s="350"/>
      <c r="G184" s="350"/>
      <c r="H184" s="350"/>
      <c r="I184" s="350"/>
      <c r="J184" s="350"/>
      <c r="K184" s="350"/>
      <c r="L184" s="350"/>
      <c r="M184" s="351"/>
      <c r="N184" s="352"/>
      <c r="O184" s="353"/>
      <c r="P184" s="350"/>
      <c r="Q184" s="350"/>
      <c r="R184" s="350"/>
      <c r="S184" s="350"/>
      <c r="T184" s="350"/>
      <c r="U184" s="350"/>
      <c r="V184" s="350"/>
      <c r="W184" s="350"/>
      <c r="X184" s="350"/>
      <c r="Y184" s="350"/>
      <c r="Z184" s="350"/>
      <c r="AA184" s="350"/>
      <c r="AB184" s="350"/>
      <c r="AC184" s="350"/>
      <c r="AD184" s="350"/>
      <c r="AE184" s="354"/>
      <c r="CH184" s="357"/>
      <c r="CI184" s="357"/>
      <c r="CJ184" s="277"/>
      <c r="CK184" s="277"/>
    </row>
    <row r="185" spans="1:139" ht="28.5" x14ac:dyDescent="0.45">
      <c r="A185" s="355"/>
      <c r="B185" s="356"/>
      <c r="C185" s="532" t="s">
        <v>257</v>
      </c>
      <c r="D185" s="357"/>
      <c r="E185" s="357"/>
      <c r="F185" s="357"/>
      <c r="G185" s="357"/>
      <c r="H185" s="357"/>
      <c r="I185" s="357"/>
      <c r="J185" s="357"/>
      <c r="K185" s="357"/>
      <c r="L185" s="357"/>
      <c r="M185" s="357"/>
      <c r="N185" s="358" t="s">
        <v>258</v>
      </c>
      <c r="O185" s="358" t="str">
        <f>IFERROR(CONCATENATE("2*(",10/Tools!CF67,"x",DEPTH/Tools!CF69,")"),"")</f>
        <v>2*(10x14.19)</v>
      </c>
      <c r="P185" s="357"/>
      <c r="Q185" s="359"/>
      <c r="R185" s="360"/>
      <c r="S185" s="357"/>
      <c r="T185" s="357"/>
      <c r="U185" s="357"/>
      <c r="V185" s="357"/>
      <c r="W185" s="357"/>
      <c r="X185" s="357"/>
      <c r="Y185" s="357"/>
      <c r="Z185" s="357"/>
      <c r="AA185" s="357"/>
      <c r="AB185" s="357"/>
      <c r="AC185" s="357"/>
      <c r="AD185" s="357"/>
      <c r="AE185" s="361"/>
      <c r="CH185" s="357"/>
      <c r="CI185" s="357"/>
      <c r="CJ185" s="277"/>
      <c r="CK185" s="277"/>
    </row>
    <row r="186" spans="1:139" x14ac:dyDescent="0.25">
      <c r="A186" s="362"/>
      <c r="B186" s="363" t="s">
        <v>259</v>
      </c>
      <c r="C186" s="532"/>
      <c r="D186" s="364" t="s">
        <v>260</v>
      </c>
      <c r="E186" s="365"/>
      <c r="F186" s="365"/>
      <c r="G186" s="360">
        <f>IFERROR(Hydros!B2*WLS," ")</f>
        <v>0</v>
      </c>
      <c r="H186" s="360">
        <f>IFERROR(Hydros!C2*WLS," ")</f>
        <v>0.9</v>
      </c>
      <c r="I186" s="360">
        <f>IFERROR(Hydros!D2*WLS," ")</f>
        <v>1.8</v>
      </c>
      <c r="J186" s="360">
        <f>IFERROR(Hydros!E2*WLS," ")</f>
        <v>2.7</v>
      </c>
      <c r="K186" s="360">
        <f>IFERROR(Hydros!F2*WLS," ")</f>
        <v>3.6</v>
      </c>
      <c r="L186" s="360">
        <f>IFERROR(Hydros!G2*WLS," ")</f>
        <v>5.4</v>
      </c>
      <c r="M186" s="360">
        <f>IFERROR(Hydros!H2*WLS," ")</f>
        <v>7.2</v>
      </c>
      <c r="N186" s="360">
        <f>IFERROR(Hydros!I2*WLS," ")</f>
        <v>9</v>
      </c>
      <c r="O186" s="360">
        <f>IFERROR(Hydros!J2*WLS," ")</f>
        <v>10.1</v>
      </c>
      <c r="P186" s="360">
        <f>IFERROR(Hydros!K2*WLS," ")</f>
        <v>10.8</v>
      </c>
      <c r="Q186" s="360">
        <f>IFERROR(Hydros!L2*WLS," ")</f>
        <v>12.6</v>
      </c>
      <c r="R186" s="360">
        <f>IFERROR(Hydros!M2*WLS," ")</f>
        <v>14.19</v>
      </c>
      <c r="S186" s="360" t="str">
        <f>IFERROR(Hydros!N2*WLS," ")</f>
        <v xml:space="preserve"> </v>
      </c>
      <c r="T186" s="360" t="str">
        <f>IFERROR(Hydros!O2*WLS," ")</f>
        <v xml:space="preserve"> </v>
      </c>
      <c r="U186" s="360" t="str">
        <f>IFERROR(Hydros!P2*WLS," ")</f>
        <v xml:space="preserve"> </v>
      </c>
      <c r="V186" s="360" t="str">
        <f>IFERROR(Hydros!Q2*WLS," ")</f>
        <v xml:space="preserve"> </v>
      </c>
      <c r="W186" s="360" t="str">
        <f>IFERROR(Hydros!R2*WLS," ")</f>
        <v xml:space="preserve"> </v>
      </c>
      <c r="X186" s="360" t="str">
        <f>IFERROR(Hydros!S2*WLS," ")</f>
        <v xml:space="preserve"> </v>
      </c>
      <c r="Y186" s="360" t="str">
        <f>IFERROR(Hydros!T2*WLS," ")</f>
        <v xml:space="preserve"> </v>
      </c>
      <c r="Z186" s="360" t="str">
        <f>IFERROR(Hydros!U2*WLS," ")</f>
        <v xml:space="preserve"> </v>
      </c>
      <c r="AA186" s="360" t="str">
        <f>IFERROR(Hydros!V2*WLS," ")</f>
        <v xml:space="preserve"> </v>
      </c>
      <c r="AB186" s="360" t="str">
        <f>IFERROR(Hydros!W2*WLS," ")</f>
        <v xml:space="preserve"> </v>
      </c>
      <c r="AC186" s="360" t="str">
        <f>IFERROR(Hydros!X2*WLS," ")</f>
        <v xml:space="preserve"> </v>
      </c>
      <c r="AD186" s="360" t="str">
        <f>IFERROR(Hydros!Y2*WLS," ")</f>
        <v xml:space="preserve"> </v>
      </c>
      <c r="AE186" s="366" t="str">
        <f>IFERROR(Hydros!Z2*WLS," ")</f>
        <v xml:space="preserve"> </v>
      </c>
      <c r="CH186" s="357"/>
      <c r="CI186" s="357"/>
      <c r="CJ186" s="277"/>
      <c r="CK186" s="277"/>
    </row>
    <row r="187" spans="1:139" ht="18" x14ac:dyDescent="0.25">
      <c r="A187" s="355" t="str">
        <f>IF(MIN(Hydros!C3:AA3)&lt;0,"-","+")</f>
        <v>+</v>
      </c>
      <c r="B187" s="367">
        <v>10</v>
      </c>
      <c r="C187" s="368">
        <f>IFERROR(POWER(10,INT(LOG(MAX(Hydros!B3:Z3,-MIN(Hydros!B3:Z3))))),"")</f>
        <v>1000</v>
      </c>
      <c r="D187" s="369" t="s">
        <v>261</v>
      </c>
      <c r="E187" s="370"/>
      <c r="F187" s="370" t="str">
        <f t="shared" ref="F187:F204" si="456">IF(AND(G187="",H187=""),"","Spline ")</f>
        <v xml:space="preserve">Spline </v>
      </c>
      <c r="G187" s="357" t="str">
        <f>IFERROR(CONCATENATE(ROUND(B187+Hydros!B3/C187,3),",",G186," "),"")</f>
        <v xml:space="preserve">10.86,0 </v>
      </c>
      <c r="H187" s="357" t="str">
        <f>IFERROR(CONCATENATE(ROUND($B187+Hydros!C3/$C187,3),",",H$186," "),"")</f>
        <v xml:space="preserve">11.423,0.9 </v>
      </c>
      <c r="I187" s="357" t="str">
        <f>IFERROR(CONCATENATE(ROUND($B187+Hydros!D3/$C187,3),",",I$186," "),"")</f>
        <v xml:space="preserve">11.67,1.8 </v>
      </c>
      <c r="J187" s="357" t="str">
        <f>IFERROR(CONCATENATE(ROUND($B187+Hydros!E3/$C187,3),",",J$186," "),"")</f>
        <v xml:space="preserve">11.833,2.7 </v>
      </c>
      <c r="K187" s="357" t="str">
        <f>IFERROR(CONCATENATE(ROUND($B187+Hydros!F3/$C187,3),",",K$186," "),"")</f>
        <v xml:space="preserve">11.955,3.6 </v>
      </c>
      <c r="L187" s="357" t="str">
        <f>IFERROR(CONCATENATE(ROUND($B187+Hydros!G3/$C187,3),",",L$186," "),"")</f>
        <v xml:space="preserve">12.153,5.4 </v>
      </c>
      <c r="M187" s="357" t="str">
        <f>IFERROR(CONCATENATE(ROUND($B187+Hydros!H3/$C187,3),",",M$186," "),"")</f>
        <v xml:space="preserve">12.323,7.2 </v>
      </c>
      <c r="N187" s="357" t="str">
        <f>IFERROR(CONCATENATE(ROUND($B187+Hydros!I3/$C187,3),",",N$186," "),"")</f>
        <v xml:space="preserve">12.529,9 </v>
      </c>
      <c r="O187" s="357" t="str">
        <f>IFERROR(CONCATENATE(ROUND($B187+Hydros!J3/$C187,3),",",O$186," "),"")</f>
        <v xml:space="preserve">12.668,10.1 </v>
      </c>
      <c r="P187" s="357" t="str">
        <f>IFERROR(CONCATENATE(ROUND($B187+Hydros!K3/$C187,3),",",P$186," "),"")</f>
        <v xml:space="preserve">12.736,10.8 </v>
      </c>
      <c r="Q187" s="357" t="str">
        <f>IFERROR(CONCATENATE(ROUND($B187+Hydros!L3/$C187,3),",",Q$186," "),"")</f>
        <v xml:space="preserve">12.862,12.6 </v>
      </c>
      <c r="R187" s="357" t="str">
        <f>IFERROR(CONCATENATE(ROUND($B187+Hydros!M3/$C187,3),",",R$186," "),"")</f>
        <v xml:space="preserve">13.009,14.19 </v>
      </c>
      <c r="S187" s="357" t="str">
        <f>IFERROR(CONCATENATE(ROUND($B187+Hydros!N3/$C187,3),",",S$186," "),"")</f>
        <v/>
      </c>
      <c r="T187" s="357" t="str">
        <f>IFERROR(CONCATENATE(ROUND($B187+Hydros!O3/$C187,3),",",T$186," "),"")</f>
        <v/>
      </c>
      <c r="U187" s="357" t="str">
        <f>IFERROR(CONCATENATE(ROUND($B187+Hydros!P3/$C187,3),",",U$186," "),"")</f>
        <v/>
      </c>
      <c r="V187" s="357" t="str">
        <f>IFERROR(CONCATENATE(ROUND($B187+Hydros!Q3/$C187,3),",",V$186," "),"")</f>
        <v/>
      </c>
      <c r="W187" s="357" t="str">
        <f>IFERROR(CONCATENATE(ROUND($B187+Hydros!R3/$C187,3),",",W$186," "),"")</f>
        <v/>
      </c>
      <c r="X187" s="357" t="str">
        <f>IFERROR(CONCATENATE(ROUND($B187+Hydros!S3/$C187,3),",",X$186," "),"")</f>
        <v/>
      </c>
      <c r="Y187" s="357" t="str">
        <f>IFERROR(CONCATENATE(ROUND($B187+Hydros!T3/$C187,3),",",Y$186," "),"")</f>
        <v/>
      </c>
      <c r="Z187" s="357" t="str">
        <f>IFERROR(CONCATENATE(ROUND($B187+Hydros!U3/$C187,3),",",Z$186," "),"")</f>
        <v/>
      </c>
      <c r="AA187" s="357" t="str">
        <f>IFERROR(CONCATENATE(ROUND($B187+Hydros!V3/$C187,3),",",AA$186," "),"")</f>
        <v/>
      </c>
      <c r="AB187" s="357" t="str">
        <f>IFERROR(CONCATENATE(ROUND($B187+Hydros!W3/$C187,3),",",AB$186," "),"")</f>
        <v/>
      </c>
      <c r="AC187" s="357" t="str">
        <f>IFERROR(CONCATENATE(ROUND($B187+Hydros!X3/$C187,3),",",AC$186," "),"")</f>
        <v/>
      </c>
      <c r="AD187" s="357" t="str">
        <f>IFERROR(CONCATENATE(ROUND($B187+Hydros!Y3/$C187,3),",",AD$186," "),"")</f>
        <v/>
      </c>
      <c r="AE187" s="361" t="str">
        <f>IFERROR(CONCATENATE(ROUND($B187+Hydros!Z3/$C187,3),",",AE$186," "),"")</f>
        <v/>
      </c>
      <c r="CH187" s="357"/>
      <c r="CI187" s="357"/>
      <c r="CJ187" s="277"/>
      <c r="CK187" s="277"/>
    </row>
    <row r="188" spans="1:139" ht="18" x14ac:dyDescent="0.25">
      <c r="A188" s="355" t="str">
        <f>IF(MIN(Hydros!C4:AA4)&lt;0,"-","+")</f>
        <v>-</v>
      </c>
      <c r="B188" s="367">
        <f>IF(MIN(Hydros!C4:AA4)&lt;0,10,0)</f>
        <v>10</v>
      </c>
      <c r="C188" s="368">
        <f>IFERROR(POWER(10,INT(LOG(MAX(Hydros!B4:Z4,-MIN(Hydros!B4:Z4))))),"")</f>
        <v>10000</v>
      </c>
      <c r="D188" s="369" t="s">
        <v>262</v>
      </c>
      <c r="E188" s="370"/>
      <c r="F188" s="370" t="str">
        <f t="shared" si="456"/>
        <v xml:space="preserve">Spline </v>
      </c>
      <c r="G188" s="357" t="str">
        <f>IFERROR(CONCATENATE(ROUND($B188+Hydros!B4/$C188,3),",",G$186," "),"")</f>
        <v xml:space="preserve">10.412,0 </v>
      </c>
      <c r="H188" s="357" t="str">
        <f>IFERROR(CONCATENATE(ROUND($B188+Hydros!C4/$C188,3),",",H$186," "),"")</f>
        <v xml:space="preserve">10.284,0.9 </v>
      </c>
      <c r="I188" s="357" t="str">
        <f>IFERROR(CONCATENATE(ROUND($B188+Hydros!D4/$C188,3),",",I$186," "),"")</f>
        <v xml:space="preserve">10.364,1.8 </v>
      </c>
      <c r="J188" s="357" t="str">
        <f>IFERROR(CONCATENATE(ROUND($B188+Hydros!E4/$C188,3),",",J$186," "),"")</f>
        <v xml:space="preserve">10.368,2.7 </v>
      </c>
      <c r="K188" s="357" t="str">
        <f>IFERROR(CONCATENATE(ROUND($B188+Hydros!F4/$C188,3),",",K$186," "),"")</f>
        <v xml:space="preserve">10.294,3.6 </v>
      </c>
      <c r="L188" s="357" t="str">
        <f>IFERROR(CONCATENATE(ROUND($B188+Hydros!G4/$C188,3),",",L$186," "),"")</f>
        <v xml:space="preserve">9.944,5.4 </v>
      </c>
      <c r="M188" s="357" t="str">
        <f>IFERROR(CONCATENATE(ROUND($B188+Hydros!H4/$C188,3),",",M$186," "),"")</f>
        <v xml:space="preserve">9.46,7.2 </v>
      </c>
      <c r="N188" s="357" t="str">
        <f>IFERROR(CONCATENATE(ROUND($B188+Hydros!I4/$C188,3),",",N$186," "),"")</f>
        <v xml:space="preserve">8.797,9 </v>
      </c>
      <c r="O188" s="357" t="str">
        <f>IFERROR(CONCATENATE(ROUND($B188+Hydros!J4/$C188,3),",",O$186," "),"")</f>
        <v xml:space="preserve">8.408,10.1 </v>
      </c>
      <c r="P188" s="357" t="str">
        <f>IFERROR(CONCATENATE(ROUND($B188+Hydros!K4/$C188,3),",",P$186," "),"")</f>
        <v xml:space="preserve">8.309,10.8 </v>
      </c>
      <c r="Q188" s="357" t="str">
        <f>IFERROR(CONCATENATE(ROUND($B188+Hydros!L4/$C188,3),",",Q$186," "),"")</f>
        <v xml:space="preserve">8.373,12.6 </v>
      </c>
      <c r="R188" s="357" t="str">
        <f>IFERROR(CONCATENATE(ROUND($B188+Hydros!M4/$C188,3),",",R$186," "),"")</f>
        <v xml:space="preserve">8.892,14.19 </v>
      </c>
      <c r="S188" s="357" t="str">
        <f>IFERROR(CONCATENATE(ROUND($B188+Hydros!N4/$C188,3),",",S$186," "),"")</f>
        <v/>
      </c>
      <c r="T188" s="357" t="str">
        <f>IFERROR(CONCATENATE(ROUND($B188+Hydros!O4/$C188,3),",",T$186," "),"")</f>
        <v/>
      </c>
      <c r="U188" s="357" t="str">
        <f>IFERROR(CONCATENATE(ROUND($B188+Hydros!P4/$C188,3),",",U$186," "),"")</f>
        <v/>
      </c>
      <c r="V188" s="357" t="str">
        <f>IFERROR(CONCATENATE(ROUND($B188+Hydros!Q4/$C188,3),",",V$186," "),"")</f>
        <v/>
      </c>
      <c r="W188" s="357" t="str">
        <f>IFERROR(CONCATENATE(ROUND($B188+Hydros!R4/$C188,3),",",W$186," "),"")</f>
        <v/>
      </c>
      <c r="X188" s="357" t="str">
        <f>IFERROR(CONCATENATE(ROUND($B188+Hydros!S4/$C188,3),",",X$186," "),"")</f>
        <v/>
      </c>
      <c r="Y188" s="357" t="str">
        <f>IFERROR(CONCATENATE(ROUND($B188+Hydros!T4/$C188,3),",",Y$186," "),"")</f>
        <v/>
      </c>
      <c r="Z188" s="357" t="str">
        <f>IFERROR(CONCATENATE(ROUND($B188+Hydros!U4/$C188,3),",",Z$186," "),"")</f>
        <v/>
      </c>
      <c r="AA188" s="357" t="str">
        <f>IFERROR(CONCATENATE(ROUND($B188+Hydros!V4/$C188,3),",",AA$186," "),"")</f>
        <v/>
      </c>
      <c r="AB188" s="357" t="str">
        <f>IFERROR(CONCATENATE(ROUND($B188+Hydros!W4/$C188,3),",",AB$186," "),"")</f>
        <v/>
      </c>
      <c r="AC188" s="357" t="str">
        <f>IFERROR(CONCATENATE(ROUND($B188+Hydros!X4/$C188,3),",",AC$186," "),"")</f>
        <v/>
      </c>
      <c r="AD188" s="357" t="str">
        <f>IFERROR(CONCATENATE(ROUND($B188+Hydros!Y4/$C188,3),",",AD$186," "),"")</f>
        <v/>
      </c>
      <c r="AE188" s="361" t="str">
        <f>IFERROR(CONCATENATE(ROUND($B188+Hydros!Z4/$C188,3),",",AE$186," "),"")</f>
        <v/>
      </c>
      <c r="CH188" s="357"/>
      <c r="CI188" s="357"/>
      <c r="CJ188" s="277"/>
      <c r="CK188" s="277"/>
    </row>
    <row r="189" spans="1:139" x14ac:dyDescent="0.25">
      <c r="A189" s="355" t="str">
        <f>IF(MIN(Hydros!C5:AA5)&lt;0,"-","+")</f>
        <v>-</v>
      </c>
      <c r="B189" s="367">
        <f>IF(MIN(Hydros!C5:AA5)&lt;0,10,0)</f>
        <v>10</v>
      </c>
      <c r="C189" s="368">
        <f>IFERROR(POWER(10,INT(LOG(MAX(Hydros!B5:Z5,-MIN(Hydros!B5:Z5))))),"")</f>
        <v>1</v>
      </c>
      <c r="D189" s="371" t="s">
        <v>39</v>
      </c>
      <c r="E189" s="372"/>
      <c r="F189" s="370" t="str">
        <f t="shared" si="456"/>
        <v xml:space="preserve">Spline </v>
      </c>
      <c r="G189" s="357" t="str">
        <f>IFERROR(CONCATENATE(ROUND($B189+Hydros!B5/$C189,3),",",G$186," "),"")</f>
        <v xml:space="preserve">14.792,0 </v>
      </c>
      <c r="H189" s="357" t="str">
        <f>IFERROR(CONCATENATE(ROUND($B189+Hydros!C5/$C189,3),",",H$186," "),"")</f>
        <v xml:space="preserve">11.998,0.9 </v>
      </c>
      <c r="I189" s="357" t="str">
        <f>IFERROR(CONCATENATE(ROUND($B189+Hydros!D5/$C189,3),",",I$186," "),"")</f>
        <v xml:space="preserve">12.179,1.8 </v>
      </c>
      <c r="J189" s="357" t="str">
        <f>IFERROR(CONCATENATE(ROUND($B189+Hydros!E5/$C189,3),",",J$186," "),"")</f>
        <v xml:space="preserve">12.007,2.7 </v>
      </c>
      <c r="K189" s="357" t="str">
        <f>IFERROR(CONCATENATE(ROUND($B189+Hydros!F5/$C189,3),",",K$186," "),"")</f>
        <v xml:space="preserve">11.503,3.6 </v>
      </c>
      <c r="L189" s="357" t="str">
        <f>IFERROR(CONCATENATE(ROUND($B189+Hydros!G5/$C189,3),",",L$186," "),"")</f>
        <v xml:space="preserve">9.74,5.4 </v>
      </c>
      <c r="M189" s="357" t="str">
        <f>IFERROR(CONCATENATE(ROUND($B189+Hydros!H5/$C189,3),",",M$186," "),"")</f>
        <v xml:space="preserve">7.677,7.2 </v>
      </c>
      <c r="N189" s="357" t="str">
        <f>IFERROR(CONCATENATE(ROUND($B189+Hydros!I5/$C189,3),",",N$186," "),"")</f>
        <v xml:space="preserve">5.241,9 </v>
      </c>
      <c r="O189" s="357" t="str">
        <f>IFERROR(CONCATENATE(ROUND($B189+Hydros!J5/$C189,3),",",O$186," "),"")</f>
        <v xml:space="preserve">4.033,10.1 </v>
      </c>
      <c r="P189" s="357" t="str">
        <f>IFERROR(CONCATENATE(ROUND($B189+Hydros!K5/$C189,3),",",P$186," "),"")</f>
        <v xml:space="preserve">3.819,10.8 </v>
      </c>
      <c r="Q189" s="357" t="str">
        <f>IFERROR(CONCATENATE(ROUND($B189+Hydros!L5/$C189,3),",",Q$186," "),"")</f>
        <v xml:space="preserve">4.316,12.6 </v>
      </c>
      <c r="R189" s="357" t="str">
        <f>IFERROR(CONCATENATE(ROUND($B189+Hydros!M5/$C189,3),",",R$186," "),"")</f>
        <v xml:space="preserve">6.318,14.19 </v>
      </c>
      <c r="S189" s="357" t="str">
        <f>IFERROR(CONCATENATE(ROUND($B189+Hydros!N5/$C189,3),",",S$186," "),"")</f>
        <v/>
      </c>
      <c r="T189" s="357" t="str">
        <f>IFERROR(CONCATENATE(ROUND($B189+Hydros!O5/$C189,3),",",T$186," "),"")</f>
        <v/>
      </c>
      <c r="U189" s="357" t="str">
        <f>IFERROR(CONCATENATE(ROUND($B189+Hydros!P5/$C189,3),",",U$186," "),"")</f>
        <v/>
      </c>
      <c r="V189" s="357" t="str">
        <f>IFERROR(CONCATENATE(ROUND($B189+Hydros!Q5/$C189,3),",",V$186," "),"")</f>
        <v/>
      </c>
      <c r="W189" s="357" t="str">
        <f>IFERROR(CONCATENATE(ROUND($B189+Hydros!R5/$C189,3),",",W$186," "),"")</f>
        <v/>
      </c>
      <c r="X189" s="357" t="str">
        <f>IFERROR(CONCATENATE(ROUND($B189+Hydros!S5/$C189,3),",",X$186," "),"")</f>
        <v/>
      </c>
      <c r="Y189" s="357" t="str">
        <f>IFERROR(CONCATENATE(ROUND($B189+Hydros!T5/$C189,3),",",Y$186," "),"")</f>
        <v/>
      </c>
      <c r="Z189" s="357" t="str">
        <f>IFERROR(CONCATENATE(ROUND($B189+Hydros!U5/$C189,3),",",Z$186," "),"")</f>
        <v/>
      </c>
      <c r="AA189" s="357" t="str">
        <f>IFERROR(CONCATENATE(ROUND($B189+Hydros!V5/$C189,3),",",AA$186," "),"")</f>
        <v/>
      </c>
      <c r="AB189" s="357" t="str">
        <f>IFERROR(CONCATENATE(ROUND($B189+Hydros!W5/$C189,3),",",AB$186," "),"")</f>
        <v/>
      </c>
      <c r="AC189" s="357" t="str">
        <f>IFERROR(CONCATENATE(ROUND($B189+Hydros!X5/$C189,3),",",AC$186," "),"")</f>
        <v/>
      </c>
      <c r="AD189" s="357" t="str">
        <f>IFERROR(CONCATENATE(ROUND($B189+Hydros!Y5/$C189,3),",",AD$186," "),"")</f>
        <v/>
      </c>
      <c r="AE189" s="361" t="str">
        <f>IFERROR(CONCATENATE(ROUND($B189+Hydros!Z5/$C189,3),",",AE$186," "),"")</f>
        <v/>
      </c>
    </row>
    <row r="190" spans="1:139" x14ac:dyDescent="0.25">
      <c r="A190" s="355" t="str">
        <f>IF(MIN(Hydros!C6:AA6)&lt;0,"-","+")</f>
        <v>+</v>
      </c>
      <c r="B190" s="367">
        <v>10</v>
      </c>
      <c r="C190" s="368">
        <f>IFERROR(POWER(10,INT(LOG(MAX(Hydros!B6:Z6,-MIN(Hydros!B6:Z6))))),"")</f>
        <v>1000000</v>
      </c>
      <c r="D190" s="371" t="s">
        <v>263</v>
      </c>
      <c r="E190" s="372"/>
      <c r="F190" s="370" t="str">
        <f t="shared" si="456"/>
        <v xml:space="preserve">Spline </v>
      </c>
      <c r="G190" s="357" t="str">
        <f>IFERROR(CONCATENATE(ROUND($B190+Hydros!B6/$C190,3),",",G$186," "),"")</f>
        <v xml:space="preserve">10.333,0 </v>
      </c>
      <c r="H190" s="357" t="str">
        <f>IFERROR(CONCATENATE(ROUND($B190+Hydros!C6/$C190,3),",",H$186," "),"")</f>
        <v xml:space="preserve">10.783,0.9 </v>
      </c>
      <c r="I190" s="357" t="str">
        <f>IFERROR(CONCATENATE(ROUND($B190+Hydros!D6/$C190,3),",",I$186," "),"")</f>
        <v xml:space="preserve">11.035,1.8 </v>
      </c>
      <c r="J190" s="357" t="str">
        <f>IFERROR(CONCATENATE(ROUND($B190+Hydros!E6/$C190,3),",",J$186," "),"")</f>
        <v xml:space="preserve">11.225,2.7 </v>
      </c>
      <c r="K190" s="357" t="str">
        <f>IFERROR(CONCATENATE(ROUND($B190+Hydros!F6/$C190,3),",",K$186," "),"")</f>
        <v xml:space="preserve">11.377,3.6 </v>
      </c>
      <c r="L190" s="357" t="str">
        <f>IFERROR(CONCATENATE(ROUND($B190+Hydros!G6/$C190,3),",",L$186," "),"")</f>
        <v xml:space="preserve">11.68,5.4 </v>
      </c>
      <c r="M190" s="357" t="str">
        <f>IFERROR(CONCATENATE(ROUND($B190+Hydros!H6/$C190,3),",",M$186," "),"")</f>
        <v xml:space="preserve">11.993,7.2 </v>
      </c>
      <c r="N190" s="357" t="str">
        <f>IFERROR(CONCATENATE(ROUND($B190+Hydros!I6/$C190,3),",",N$186," "),"")</f>
        <v xml:space="preserve">12.523,9 </v>
      </c>
      <c r="O190" s="357" t="str">
        <f>IFERROR(CONCATENATE(ROUND($B190+Hydros!J6/$C190,3),",",O$186," "),"")</f>
        <v xml:space="preserve">12.961,10.1 </v>
      </c>
      <c r="P190" s="357" t="str">
        <f>IFERROR(CONCATENATE(ROUND($B190+Hydros!K6/$C190,3),",",P$186," "),"")</f>
        <v xml:space="preserve">13.169,10.8 </v>
      </c>
      <c r="Q190" s="357" t="str">
        <f>IFERROR(CONCATENATE(ROUND($B190+Hydros!L6/$C190,3),",",Q$186," "),"")</f>
        <v xml:space="preserve">13.538,12.6 </v>
      </c>
      <c r="R190" s="357" t="str">
        <f>IFERROR(CONCATENATE(ROUND($B190+Hydros!M6/$C190,3),",",R$186," "),"")</f>
        <v xml:space="preserve">13.918,14.19 </v>
      </c>
      <c r="S190" s="357" t="str">
        <f>IFERROR(CONCATENATE(ROUND($B190+Hydros!N6/$C190,3),",",S$186," "),"")</f>
        <v/>
      </c>
      <c r="T190" s="357" t="str">
        <f>IFERROR(CONCATENATE(ROUND($B190+Hydros!O6/$C190,3),",",T$186," "),"")</f>
        <v/>
      </c>
      <c r="U190" s="357" t="str">
        <f>IFERROR(CONCATENATE(ROUND($B190+Hydros!P6/$C190,3),",",U$186," "),"")</f>
        <v/>
      </c>
      <c r="V190" s="357" t="str">
        <f>IFERROR(CONCATENATE(ROUND($B190+Hydros!Q6/$C190,3),",",V$186," "),"")</f>
        <v/>
      </c>
      <c r="W190" s="357" t="str">
        <f>IFERROR(CONCATENATE(ROUND($B190+Hydros!R6/$C190,3),",",W$186," "),"")</f>
        <v/>
      </c>
      <c r="X190" s="357" t="str">
        <f>IFERROR(CONCATENATE(ROUND($B190+Hydros!S6/$C190,3),",",X$186," "),"")</f>
        <v/>
      </c>
      <c r="Y190" s="357" t="str">
        <f>IFERROR(CONCATENATE(ROUND($B190+Hydros!T6/$C190,3),",",Y$186," "),"")</f>
        <v/>
      </c>
      <c r="Z190" s="357" t="str">
        <f>IFERROR(CONCATENATE(ROUND($B190+Hydros!U6/$C190,3),",",Z$186," "),"")</f>
        <v/>
      </c>
      <c r="AA190" s="357" t="str">
        <f>IFERROR(CONCATENATE(ROUND($B190+Hydros!V6/$C190,3),",",AA$186," "),"")</f>
        <v/>
      </c>
      <c r="AB190" s="357" t="str">
        <f>IFERROR(CONCATENATE(ROUND($B190+Hydros!W6/$C190,3),",",AB$186," "),"")</f>
        <v/>
      </c>
      <c r="AC190" s="357" t="str">
        <f>IFERROR(CONCATENATE(ROUND($B190+Hydros!X6/$C190,3),",",AC$186," "),"")</f>
        <v/>
      </c>
      <c r="AD190" s="357" t="str">
        <f>IFERROR(CONCATENATE(ROUND($B190+Hydros!Y6/$C190,3),",",AD$186," "),"")</f>
        <v/>
      </c>
      <c r="AE190" s="361" t="str">
        <f>IFERROR(CONCATENATE(ROUND($B190+Hydros!Z6/$C190,3),",",AE$186," "),"")</f>
        <v/>
      </c>
    </row>
    <row r="191" spans="1:139" x14ac:dyDescent="0.25">
      <c r="A191" s="355" t="str">
        <f>IF(MIN(Hydros!C7:AA7)&lt;0,"-","+")</f>
        <v>+</v>
      </c>
      <c r="B191" s="367">
        <v>10</v>
      </c>
      <c r="C191" s="368">
        <f>IFERROR(POWER(10,INT(LOG(MAX(Hydros!B7:Z7,-MIN(Hydros!B7:Z7))))),"")</f>
        <v>100000</v>
      </c>
      <c r="D191" s="371" t="s">
        <v>266</v>
      </c>
      <c r="E191" s="372"/>
      <c r="F191" s="370" t="str">
        <f t="shared" si="456"/>
        <v xml:space="preserve">Spline </v>
      </c>
      <c r="G191" s="357" t="str">
        <f>IFERROR(CONCATENATE(ROUND($B191+Hydros!B7/$C191,3),",",G$186," "),"")</f>
        <v xml:space="preserve">10.125,0 </v>
      </c>
      <c r="H191" s="357" t="str">
        <f>IFERROR(CONCATENATE(ROUND($B191+Hydros!C7/$C191,3),",",H$186," "),"")</f>
        <v xml:space="preserve">10.36,0.9 </v>
      </c>
      <c r="I191" s="357" t="str">
        <f>IFERROR(CONCATENATE(ROUND($B191+Hydros!D7/$C191,3),",",I$186," "),"")</f>
        <v xml:space="preserve">10.513,1.8 </v>
      </c>
      <c r="J191" s="357" t="str">
        <f>IFERROR(CONCATENATE(ROUND($B191+Hydros!E7/$C191,3),",",J$186," "),"")</f>
        <v xml:space="preserve">10.623,2.7 </v>
      </c>
      <c r="K191" s="357" t="str">
        <f>IFERROR(CONCATENATE(ROUND($B191+Hydros!F7/$C191,3),",",K$186," "),"")</f>
        <v xml:space="preserve">10.708,3.6 </v>
      </c>
      <c r="L191" s="357" t="str">
        <f>IFERROR(CONCATENATE(ROUND($B191+Hydros!G7/$C191,3),",",L$186," "),"")</f>
        <v xml:space="preserve">10.836,5.4 </v>
      </c>
      <c r="M191" s="357" t="str">
        <f>IFERROR(CONCATENATE(ROUND($B191+Hydros!H7/$C191,3),",",M$186," "),"")</f>
        <v xml:space="preserve">10.955,7.2 </v>
      </c>
      <c r="N191" s="357" t="str">
        <f>IFERROR(CONCATENATE(ROUND($B191+Hydros!I7/$C191,3),",",N$186," "),"")</f>
        <v xml:space="preserve">11.071,9 </v>
      </c>
      <c r="O191" s="357" t="str">
        <f>IFERROR(CONCATENATE(ROUND($B191+Hydros!J7/$C191,3),",",O$186," "),"")</f>
        <v xml:space="preserve">11.142,10.1 </v>
      </c>
      <c r="P191" s="357" t="str">
        <f>IFERROR(CONCATENATE(ROUND($B191+Hydros!K7/$C191,3),",",P$186," "),"")</f>
        <v xml:space="preserve">11.186,10.8 </v>
      </c>
      <c r="Q191" s="357" t="str">
        <f>IFERROR(CONCATENATE(ROUND($B191+Hydros!L7/$C191,3),",",Q$186," "),"")</f>
        <v xml:space="preserve">11.282,12.6 </v>
      </c>
      <c r="R191" s="357" t="str">
        <f>IFERROR(CONCATENATE(ROUND($B191+Hydros!M7/$C191,3),",",R$186," "),"")</f>
        <v xml:space="preserve">11.408,14.19 </v>
      </c>
      <c r="S191" s="357" t="str">
        <f>IFERROR(CONCATENATE(ROUND($B191+Hydros!N7/$C191,3),",",S$186," "),"")</f>
        <v/>
      </c>
      <c r="T191" s="357" t="str">
        <f>IFERROR(CONCATENATE(ROUND($B191+Hydros!O7/$C191,3),",",T$186," "),"")</f>
        <v/>
      </c>
      <c r="U191" s="357" t="str">
        <f>IFERROR(CONCATENATE(ROUND($B191+Hydros!P7/$C191,3),",",U$186," "),"")</f>
        <v/>
      </c>
      <c r="V191" s="357" t="str">
        <f>IFERROR(CONCATENATE(ROUND($B191+Hydros!Q7/$C191,3),",",V$186," "),"")</f>
        <v/>
      </c>
      <c r="W191" s="357" t="str">
        <f>IFERROR(CONCATENATE(ROUND($B191+Hydros!R7/$C191,3),",",W$186," "),"")</f>
        <v/>
      </c>
      <c r="X191" s="357" t="str">
        <f>IFERROR(CONCATENATE(ROUND($B191+Hydros!S7/$C191,3),",",X$186," "),"")</f>
        <v/>
      </c>
      <c r="Y191" s="357" t="str">
        <f>IFERROR(CONCATENATE(ROUND($B191+Hydros!T7/$C191,3),",",Y$186," "),"")</f>
        <v/>
      </c>
      <c r="Z191" s="357" t="str">
        <f>IFERROR(CONCATENATE(ROUND($B191+Hydros!U7/$C191,3),",",Z$186," "),"")</f>
        <v/>
      </c>
      <c r="AA191" s="357" t="str">
        <f>IFERROR(CONCATENATE(ROUND($B191+Hydros!V7/$C191,3),",",AA$186," "),"")</f>
        <v/>
      </c>
      <c r="AB191" s="357" t="str">
        <f>IFERROR(CONCATENATE(ROUND($B191+Hydros!W7/$C191,3),",",AB$186," "),"")</f>
        <v/>
      </c>
      <c r="AC191" s="357" t="str">
        <f>IFERROR(CONCATENATE(ROUND($B191+Hydros!X7/$C191,3),",",AC$186," "),"")</f>
        <v/>
      </c>
      <c r="AD191" s="357" t="str">
        <f>IFERROR(CONCATENATE(ROUND($B191+Hydros!Y7/$C191,3),",",AD$186," "),"")</f>
        <v/>
      </c>
      <c r="AE191" s="361" t="str">
        <f>IFERROR(CONCATENATE(ROUND($B191+Hydros!Z7/$C191,3),",",AE$186," "),"")</f>
        <v/>
      </c>
    </row>
    <row r="192" spans="1:139" x14ac:dyDescent="0.25">
      <c r="A192" s="355" t="str">
        <f>IF(MIN(Hydros!C8:AA8)&lt;0,"-","+")</f>
        <v>+</v>
      </c>
      <c r="B192" s="367">
        <v>10</v>
      </c>
      <c r="C192" s="368">
        <f>IFERROR(POWER(10,INT(LOG(MAX(Hydros!B8:Z8,-MIN(Hydros!B8:Z8))))),"")</f>
        <v>1000000</v>
      </c>
      <c r="D192" s="371" t="s">
        <v>267</v>
      </c>
      <c r="E192" s="372"/>
      <c r="F192" s="370" t="str">
        <f t="shared" si="456"/>
        <v xml:space="preserve">Spline </v>
      </c>
      <c r="G192" s="357" t="str">
        <f>IFERROR(CONCATENATE(ROUND($B192+Hydros!B8/$C192,3),",",G$186," "),"")</f>
        <v xml:space="preserve">10.313,0 </v>
      </c>
      <c r="H192" s="357" t="str">
        <f>IFERROR(CONCATENATE(ROUND($B192+Hydros!C8/$C192,3),",",H$186," "),"")</f>
        <v xml:space="preserve">10.777,0.9 </v>
      </c>
      <c r="I192" s="357" t="str">
        <f>IFERROR(CONCATENATE(ROUND($B192+Hydros!D8/$C192,3),",",I$186," "),"")</f>
        <v xml:space="preserve">11.028,1.8 </v>
      </c>
      <c r="J192" s="357" t="str">
        <f>IFERROR(CONCATENATE(ROUND($B192+Hydros!E8/$C192,3),",",J$186," "),"")</f>
        <v xml:space="preserve">11.218,2.7 </v>
      </c>
      <c r="K192" s="357" t="str">
        <f>IFERROR(CONCATENATE(ROUND($B192+Hydros!F8/$C192,3),",",K$186," "),"")</f>
        <v xml:space="preserve">11.372,3.6 </v>
      </c>
      <c r="L192" s="357" t="str">
        <f>IFERROR(CONCATENATE(ROUND($B192+Hydros!G8/$C192,3),",",L$186," "),"")</f>
        <v xml:space="preserve">11.68,5.4 </v>
      </c>
      <c r="M192" s="357" t="str">
        <f>IFERROR(CONCATENATE(ROUND($B192+Hydros!H8/$C192,3),",",M$186," "),"")</f>
        <v xml:space="preserve">11.98,7.2 </v>
      </c>
      <c r="N192" s="357" t="str">
        <f>IFERROR(CONCATENATE(ROUND($B192+Hydros!I8/$C192,3),",",N$186," "),"")</f>
        <v xml:space="preserve">12.466,9 </v>
      </c>
      <c r="O192" s="357" t="str">
        <f>IFERROR(CONCATENATE(ROUND($B192+Hydros!J8/$C192,3),",",O$186," "),"")</f>
        <v xml:space="preserve">12.866,10.1 </v>
      </c>
      <c r="P192" s="357" t="str">
        <f>IFERROR(CONCATENATE(ROUND($B192+Hydros!K8/$C192,3),",",P$186," "),"")</f>
        <v xml:space="preserve">13.064,10.8 </v>
      </c>
      <c r="Q192" s="357" t="str">
        <f>IFERROR(CONCATENATE(ROUND($B192+Hydros!L8/$C192,3),",",Q$186," "),"")</f>
        <v xml:space="preserve">13.445,12.6 </v>
      </c>
      <c r="R192" s="357" t="str">
        <f>IFERROR(CONCATENATE(ROUND($B192+Hydros!M8/$C192,3),",",R$186," "),"")</f>
        <v xml:space="preserve">13.877,14.19 </v>
      </c>
      <c r="S192" s="357" t="str">
        <f>IFERROR(CONCATENATE(ROUND($B192+Hydros!N8/$C192,3),",",S$186," "),"")</f>
        <v/>
      </c>
      <c r="T192" s="357" t="str">
        <f>IFERROR(CONCATENATE(ROUND($B192+Hydros!O8/$C192,3),",",T$186," "),"")</f>
        <v/>
      </c>
      <c r="U192" s="357" t="str">
        <f>IFERROR(CONCATENATE(ROUND($B192+Hydros!P8/$C192,3),",",U$186," "),"")</f>
        <v/>
      </c>
      <c r="V192" s="357" t="str">
        <f>IFERROR(CONCATENATE(ROUND($B192+Hydros!Q8/$C192,3),",",V$186," "),"")</f>
        <v/>
      </c>
      <c r="W192" s="357" t="str">
        <f>IFERROR(CONCATENATE(ROUND($B192+Hydros!R8/$C192,3),",",W$186," "),"")</f>
        <v/>
      </c>
      <c r="X192" s="357" t="str">
        <f>IFERROR(CONCATENATE(ROUND($B192+Hydros!S8/$C192,3),",",X$186," "),"")</f>
        <v/>
      </c>
      <c r="Y192" s="357" t="str">
        <f>IFERROR(CONCATENATE(ROUND($B192+Hydros!T8/$C192,3),",",Y$186," "),"")</f>
        <v/>
      </c>
      <c r="Z192" s="357" t="str">
        <f>IFERROR(CONCATENATE(ROUND($B192+Hydros!U8/$C192,3),",",Z$186," "),"")</f>
        <v/>
      </c>
      <c r="AA192" s="357" t="str">
        <f>IFERROR(CONCATENATE(ROUND($B192+Hydros!V8/$C192,3),",",AA$186," "),"")</f>
        <v/>
      </c>
      <c r="AB192" s="357" t="str">
        <f>IFERROR(CONCATENATE(ROUND($B192+Hydros!W8/$C192,3),",",AB$186," "),"")</f>
        <v/>
      </c>
      <c r="AC192" s="357" t="str">
        <f>IFERROR(CONCATENATE(ROUND($B192+Hydros!X8/$C192,3),",",AC$186," "),"")</f>
        <v/>
      </c>
      <c r="AD192" s="357" t="str">
        <f>IFERROR(CONCATENATE(ROUND($B192+Hydros!Y8/$C192,3),",",AD$186," "),"")</f>
        <v/>
      </c>
      <c r="AE192" s="361" t="str">
        <f>IFERROR(CONCATENATE(ROUND($B192+Hydros!Z8/$C192,3),",",AE$186," "),"")</f>
        <v/>
      </c>
    </row>
    <row r="193" spans="1:31" x14ac:dyDescent="0.25">
      <c r="A193" s="355" t="str">
        <f>IF(MIN(Hydros!C9:AA9)&lt;0,"-","+")</f>
        <v>+</v>
      </c>
      <c r="B193" s="367">
        <f>IF(MIN(Hydros!C9:AA9)&lt;0,10,0)</f>
        <v>0</v>
      </c>
      <c r="C193" s="368">
        <f>IFERROR(POWER(10,INT(LOG(MAX(Hydros!B9:Z9,-MIN(Hydros!B9:Z9))))),"")</f>
        <v>10000</v>
      </c>
      <c r="D193" s="371" t="s">
        <v>50</v>
      </c>
      <c r="E193" s="372"/>
      <c r="F193" s="370" t="str">
        <f t="shared" si="456"/>
        <v xml:space="preserve">Spline </v>
      </c>
      <c r="G193" s="357" t="str">
        <f>IFERROR(CONCATENATE(ROUND($B193+Hydros!B9/$C193,3),",",G$186," "),"")</f>
        <v xml:space="preserve">0,0 </v>
      </c>
      <c r="H193" s="357" t="str">
        <f>IFERROR(CONCATENATE(ROUND($B193+Hydros!C9/$C193,3),",",H$186," "),"")</f>
        <v xml:space="preserve">0.105,0.9 </v>
      </c>
      <c r="I193" s="357" t="str">
        <f>IFERROR(CONCATENATE(ROUND($B193+Hydros!D9/$C193,3),",",I$186," "),"")</f>
        <v xml:space="preserve">0.246,1.8 </v>
      </c>
      <c r="J193" s="357" t="str">
        <f>IFERROR(CONCATENATE(ROUND($B193+Hydros!E9/$C193,3),",",J$186," "),"")</f>
        <v xml:space="preserve">0.403,2.7 </v>
      </c>
      <c r="K193" s="357" t="str">
        <f>IFERROR(CONCATENATE(ROUND($B193+Hydros!F9/$C193,3),",",K$186," "),"")</f>
        <v xml:space="preserve">0.575,3.6 </v>
      </c>
      <c r="L193" s="357" t="str">
        <f>IFERROR(CONCATENATE(ROUND($B193+Hydros!G9/$C193,3),",",L$186," "),"")</f>
        <v xml:space="preserve">0.945,5.4 </v>
      </c>
      <c r="M193" s="357" t="str">
        <f>IFERROR(CONCATENATE(ROUND($B193+Hydros!H9/$C193,3),",",M$186," "),"")</f>
        <v xml:space="preserve">1.348,7.2 </v>
      </c>
      <c r="N193" s="357" t="str">
        <f>IFERROR(CONCATENATE(ROUND($B193+Hydros!I9/$C193,3),",",N$186," "),"")</f>
        <v xml:space="preserve">1.783,9 </v>
      </c>
      <c r="O193" s="357" t="str">
        <f>IFERROR(CONCATENATE(ROUND($B193+Hydros!J9/$C193,3),",",O$186," "),"")</f>
        <v xml:space="preserve">2.068,10.1 </v>
      </c>
      <c r="P193" s="357" t="str">
        <f>IFERROR(CONCATENATE(ROUND($B193+Hydros!K9/$C193,3),",",P$186," "),"")</f>
        <v xml:space="preserve">2.259,10.8 </v>
      </c>
      <c r="Q193" s="357" t="str">
        <f>IFERROR(CONCATENATE(ROUND($B193+Hydros!L9/$C193,3),",",Q$186," "),"")</f>
        <v xml:space="preserve">2.762,12.6 </v>
      </c>
      <c r="R193" s="357" t="str">
        <f>IFERROR(CONCATENATE(ROUND($B193+Hydros!M9/$C193,3),",",R$186," "),"")</f>
        <v xml:space="preserve">3.229,14.19 </v>
      </c>
      <c r="S193" s="357" t="str">
        <f>IFERROR(CONCATENATE(ROUND($B193+Hydros!N9/$C193,3),",",S$186," "),"")</f>
        <v/>
      </c>
      <c r="T193" s="357" t="str">
        <f>IFERROR(CONCATENATE(ROUND($B193+Hydros!O9/$C193,3),",",T$186," "),"")</f>
        <v/>
      </c>
      <c r="U193" s="357" t="str">
        <f>IFERROR(CONCATENATE(ROUND($B193+Hydros!P9/$C193,3),",",U$186," "),"")</f>
        <v/>
      </c>
      <c r="V193" s="357" t="str">
        <f>IFERROR(CONCATENATE(ROUND($B193+Hydros!Q9/$C193,3),",",V$186," "),"")</f>
        <v/>
      </c>
      <c r="W193" s="357" t="str">
        <f>IFERROR(CONCATENATE(ROUND($B193+Hydros!R9/$C193,3),",",W$186," "),"")</f>
        <v/>
      </c>
      <c r="X193" s="357" t="str">
        <f>IFERROR(CONCATENATE(ROUND($B193+Hydros!S9/$C193,3),",",X$186," "),"")</f>
        <v/>
      </c>
      <c r="Y193" s="357" t="str">
        <f>IFERROR(CONCATENATE(ROUND($B193+Hydros!T9/$C193,3),",",Y$186," "),"")</f>
        <v/>
      </c>
      <c r="Z193" s="357" t="str">
        <f>IFERROR(CONCATENATE(ROUND($B193+Hydros!U9/$C193,3),",",Z$186," "),"")</f>
        <v/>
      </c>
      <c r="AA193" s="357" t="str">
        <f>IFERROR(CONCATENATE(ROUND($B193+Hydros!V9/$C193,3),",",AA$186," "),"")</f>
        <v/>
      </c>
      <c r="AB193" s="357" t="str">
        <f>IFERROR(CONCATENATE(ROUND($B193+Hydros!W9/$C193,3),",",AB$186," "),"")</f>
        <v/>
      </c>
      <c r="AC193" s="357" t="str">
        <f>IFERROR(CONCATENATE(ROUND($B193+Hydros!X9/$C193,3),",",AC$186," "),"")</f>
        <v/>
      </c>
      <c r="AD193" s="357" t="str">
        <f>IFERROR(CONCATENATE(ROUND($B193+Hydros!Y9/$C193,3),",",AD$186," "),"")</f>
        <v/>
      </c>
      <c r="AE193" s="361" t="str">
        <f>IFERROR(CONCATENATE(ROUND($B193+Hydros!Z9/$C193,3),",",AE$186," "),"")</f>
        <v/>
      </c>
    </row>
    <row r="194" spans="1:31" x14ac:dyDescent="0.25">
      <c r="A194" s="355" t="str">
        <f>IF(MIN(Hydros!C10:AA10)&lt;0,"-","+")</f>
        <v>+</v>
      </c>
      <c r="B194" s="367">
        <f>IF(MIN(Hydros!C10:AA10)&lt;0,10,0)</f>
        <v>0</v>
      </c>
      <c r="C194" s="368">
        <f>IFERROR(POWER(10,INT(LOG(MAX(Hydros!B10:Z10,-MIN(Hydros!B10:Z10))))),"")</f>
        <v>10000</v>
      </c>
      <c r="D194" s="371" t="s">
        <v>52</v>
      </c>
      <c r="E194" s="372"/>
      <c r="F194" s="370" t="str">
        <f t="shared" si="456"/>
        <v xml:space="preserve">Spline </v>
      </c>
      <c r="G194" s="357" t="str">
        <f>IFERROR(CONCATENATE(ROUND($B194+Hydros!B10/$C194,3),",",G$186," "),"")</f>
        <v xml:space="preserve">0,0 </v>
      </c>
      <c r="H194" s="357" t="str">
        <f>IFERROR(CONCATENATE(ROUND($B194+Hydros!C10/$C194,3),",",H$186," "),"")</f>
        <v xml:space="preserve">0.108,0.9 </v>
      </c>
      <c r="I194" s="357" t="str">
        <f>IFERROR(CONCATENATE(ROUND($B194+Hydros!D10/$C194,3),",",I$186," "),"")</f>
        <v xml:space="preserve">0.254,1.8 </v>
      </c>
      <c r="J194" s="357" t="str">
        <f>IFERROR(CONCATENATE(ROUND($B194+Hydros!E10/$C194,3),",",J$186," "),"")</f>
        <v xml:space="preserve">0.415,2.7 </v>
      </c>
      <c r="K194" s="357" t="str">
        <f>IFERROR(CONCATENATE(ROUND($B194+Hydros!F10/$C194,3),",",K$186," "),"")</f>
        <v xml:space="preserve">0.593,3.6 </v>
      </c>
      <c r="L194" s="357" t="str">
        <f>IFERROR(CONCATENATE(ROUND($B194+Hydros!G10/$C194,3),",",L$186," "),"")</f>
        <v xml:space="preserve">0.974,5.4 </v>
      </c>
      <c r="M194" s="357" t="str">
        <f>IFERROR(CONCATENATE(ROUND($B194+Hydros!H10/$C194,3),",",M$186," "),"")</f>
        <v xml:space="preserve">1.39,7.2 </v>
      </c>
      <c r="N194" s="357" t="str">
        <f>IFERROR(CONCATENATE(ROUND($B194+Hydros!I10/$C194,3),",",N$186," "),"")</f>
        <v xml:space="preserve">1.838,9 </v>
      </c>
      <c r="O194" s="357" t="str">
        <f>IFERROR(CONCATENATE(ROUND($B194+Hydros!J10/$C194,3),",",O$186," "),"")</f>
        <v xml:space="preserve">2.133,10.1 </v>
      </c>
      <c r="P194" s="357" t="str">
        <f>IFERROR(CONCATENATE(ROUND($B194+Hydros!K10/$C194,3),",",P$186," "),"")</f>
        <v xml:space="preserve">2.33,10.8 </v>
      </c>
      <c r="Q194" s="357" t="str">
        <f>IFERROR(CONCATENATE(ROUND($B194+Hydros!L10/$C194,3),",",Q$186," "),"")</f>
        <v xml:space="preserve">2.848,12.6 </v>
      </c>
      <c r="R194" s="357" t="str">
        <f>IFERROR(CONCATENATE(ROUND($B194+Hydros!M10/$C194,3),",",R$186," "),"")</f>
        <v xml:space="preserve">3.329,14.19 </v>
      </c>
      <c r="S194" s="357" t="str">
        <f>IFERROR(CONCATENATE(ROUND($B194+Hydros!N10/$C194,3),",",S$186," "),"")</f>
        <v/>
      </c>
      <c r="T194" s="357" t="str">
        <f>IFERROR(CONCATENATE(ROUND($B194+Hydros!O10/$C194,3),",",T$186," "),"")</f>
        <v/>
      </c>
      <c r="U194" s="357" t="str">
        <f>IFERROR(CONCATENATE(ROUND($B194+Hydros!P10/$C194,3),",",U$186," "),"")</f>
        <v/>
      </c>
      <c r="V194" s="357" t="str">
        <f>IFERROR(CONCATENATE(ROUND($B194+Hydros!Q10/$C194,3),",",V$186," "),"")</f>
        <v/>
      </c>
      <c r="W194" s="357" t="str">
        <f>IFERROR(CONCATENATE(ROUND($B194+Hydros!R10/$C194,3),",",W$186," "),"")</f>
        <v/>
      </c>
      <c r="X194" s="357" t="str">
        <f>IFERROR(CONCATENATE(ROUND($B194+Hydros!S10/$C194,3),",",X$186," "),"")</f>
        <v/>
      </c>
      <c r="Y194" s="357" t="str">
        <f>IFERROR(CONCATENATE(ROUND($B194+Hydros!T10/$C194,3),",",Y$186," "),"")</f>
        <v/>
      </c>
      <c r="Z194" s="357" t="str">
        <f>IFERROR(CONCATENATE(ROUND($B194+Hydros!U10/$C194,3),",",Z$186," "),"")</f>
        <v/>
      </c>
      <c r="AA194" s="357" t="str">
        <f>IFERROR(CONCATENATE(ROUND($B194+Hydros!V10/$C194,3),",",AA$186," "),"")</f>
        <v/>
      </c>
      <c r="AB194" s="357" t="str">
        <f>IFERROR(CONCATENATE(ROUND($B194+Hydros!W10/$C194,3),",",AB$186," "),"")</f>
        <v/>
      </c>
      <c r="AC194" s="357" t="str">
        <f>IFERROR(CONCATENATE(ROUND($B194+Hydros!X10/$C194,3),",",AC$186," "),"")</f>
        <v/>
      </c>
      <c r="AD194" s="357" t="str">
        <f>IFERROR(CONCATENATE(ROUND($B194+Hydros!Y10/$C194,3),",",AD$186," "),"")</f>
        <v/>
      </c>
      <c r="AE194" s="361" t="str">
        <f>IFERROR(CONCATENATE(ROUND($B194+Hydros!Z10/$C194,3),",",AE$186," "),"")</f>
        <v/>
      </c>
    </row>
    <row r="195" spans="1:31" x14ac:dyDescent="0.25">
      <c r="A195" s="355" t="str">
        <f>IF(MIN(Hydros!C11:AA11)&lt;0,"-","+")</f>
        <v>+</v>
      </c>
      <c r="B195" s="367">
        <f>IF(MIN(Hydros!C11:AA11)&lt;0,10,0)</f>
        <v>0</v>
      </c>
      <c r="C195" s="368">
        <f>IFERROR(POWER(10,INT(LOG(MAX(Hydros!B11:Z11,-MIN(Hydros!B11:Z11))))),"")</f>
        <v>100000</v>
      </c>
      <c r="D195" s="371" t="s">
        <v>268</v>
      </c>
      <c r="E195" s="372"/>
      <c r="F195" s="370" t="str">
        <f t="shared" si="456"/>
        <v xml:space="preserve">Spline </v>
      </c>
      <c r="G195" s="357" t="str">
        <f>IFERROR(CONCATENATE(ROUND($B195+Hydros!B11/$C195,3),",",G$186," "),"")</f>
        <v xml:space="preserve">0,0 </v>
      </c>
      <c r="H195" s="357" t="str">
        <f>IFERROR(CONCATENATE(ROUND($B195+Hydros!C11/$C195,3),",",H$186," "),"")</f>
        <v xml:space="preserve">0.005,0.9 </v>
      </c>
      <c r="I195" s="357" t="str">
        <f>IFERROR(CONCATENATE(ROUND($B195+Hydros!D11/$C195,3),",",I$186," "),"")</f>
        <v xml:space="preserve">0.024,1.8 </v>
      </c>
      <c r="J195" s="357" t="str">
        <f>IFERROR(CONCATENATE(ROUND($B195+Hydros!E11/$C195,3),",",J$186," "),"")</f>
        <v xml:space="preserve">0.06,2.7 </v>
      </c>
      <c r="K195" s="357" t="str">
        <f>IFERROR(CONCATENATE(ROUND($B195+Hydros!F11/$C195,3),",",K$186," "),"")</f>
        <v xml:space="preserve">0.114,3.6 </v>
      </c>
      <c r="L195" s="357" t="str">
        <f>IFERROR(CONCATENATE(ROUND($B195+Hydros!G11/$C195,3),",",L$186," "),"")</f>
        <v xml:space="preserve">0.281,5.4 </v>
      </c>
      <c r="M195" s="357" t="str">
        <f>IFERROR(CONCATENATE(ROUND($B195+Hydros!H11/$C195,3),",",M$186," "),"")</f>
        <v xml:space="preserve">0.535,7.2 </v>
      </c>
      <c r="N195" s="357" t="str">
        <f>IFERROR(CONCATENATE(ROUND($B195+Hydros!I11/$C195,3),",",N$186," "),"")</f>
        <v xml:space="preserve">0.888,9 </v>
      </c>
      <c r="O195" s="357" t="str">
        <f>IFERROR(CONCATENATE(ROUND($B195+Hydros!J11/$C195,3),",",O$186," "),"")</f>
        <v xml:space="preserve">1.161,10.1 </v>
      </c>
      <c r="P195" s="357" t="str">
        <f>IFERROR(CONCATENATE(ROUND($B195+Hydros!K11/$C195,3),",",P$186," "),"")</f>
        <v xml:space="preserve">1.36,10.8 </v>
      </c>
      <c r="Q195" s="357" t="str">
        <f>IFERROR(CONCATENATE(ROUND($B195+Hydros!L11/$C195,3),",",Q$186," "),"")</f>
        <v xml:space="preserve">1.95,12.6 </v>
      </c>
      <c r="R195" s="357" t="str">
        <f>IFERROR(CONCATENATE(ROUND($B195+Hydros!M11/$C195,3),",",R$186," "),"")</f>
        <v xml:space="preserve">2.575,14.19 </v>
      </c>
      <c r="S195" s="357" t="str">
        <f>IFERROR(CONCATENATE(ROUND($B195+Hydros!N11/$C195,3),",",S$186," "),"")</f>
        <v/>
      </c>
      <c r="T195" s="357" t="str">
        <f>IFERROR(CONCATENATE(ROUND($B195+Hydros!O11/$C195,3),",",T$186," "),"")</f>
        <v/>
      </c>
      <c r="U195" s="357" t="str">
        <f>IFERROR(CONCATENATE(ROUND($B195+Hydros!P11/$C195,3),",",U$186," "),"")</f>
        <v/>
      </c>
      <c r="V195" s="357" t="str">
        <f>IFERROR(CONCATENATE(ROUND($B195+Hydros!Q11/$C195,3),",",V$186," "),"")</f>
        <v/>
      </c>
      <c r="W195" s="357" t="str">
        <f>IFERROR(CONCATENATE(ROUND($B195+Hydros!R11/$C195,3),",",W$186," "),"")</f>
        <v/>
      </c>
      <c r="X195" s="357" t="str">
        <f>IFERROR(CONCATENATE(ROUND($B195+Hydros!S11/$C195,3),",",X$186," "),"")</f>
        <v/>
      </c>
      <c r="Y195" s="357" t="str">
        <f>IFERROR(CONCATENATE(ROUND($B195+Hydros!T11/$C195,3),",",Y$186," "),"")</f>
        <v/>
      </c>
      <c r="Z195" s="357" t="str">
        <f>IFERROR(CONCATENATE(ROUND($B195+Hydros!U11/$C195,3),",",Z$186," "),"")</f>
        <v/>
      </c>
      <c r="AA195" s="357" t="str">
        <f>IFERROR(CONCATENATE(ROUND($B195+Hydros!V11/$C195,3),",",AA$186," "),"")</f>
        <v/>
      </c>
      <c r="AB195" s="357" t="str">
        <f>IFERROR(CONCATENATE(ROUND($B195+Hydros!W11/$C195,3),",",AB$186," "),"")</f>
        <v/>
      </c>
      <c r="AC195" s="357" t="str">
        <f>IFERROR(CONCATENATE(ROUND($B195+Hydros!X11/$C195,3),",",AC$186," "),"")</f>
        <v/>
      </c>
      <c r="AD195" s="357" t="str">
        <f>IFERROR(CONCATENATE(ROUND($B195+Hydros!Y11/$C195,3),",",AD$186," "),"")</f>
        <v/>
      </c>
      <c r="AE195" s="361" t="str">
        <f>IFERROR(CONCATENATE(ROUND($B195+Hydros!Z11/$C195,3),",",AE$186," "),"")</f>
        <v/>
      </c>
    </row>
    <row r="196" spans="1:31" x14ac:dyDescent="0.25">
      <c r="A196" s="355" t="str">
        <f>IF(MIN(Hydros!C12:AA12)&lt;0,"-","+")</f>
        <v>-</v>
      </c>
      <c r="B196" s="367">
        <f>IF(MIN(Hydros!C12:AA12)&lt;0,10,0)</f>
        <v>10</v>
      </c>
      <c r="C196" s="368">
        <f>IFERROR(POWER(10,INT(LOG(MAX(Hydros!B12:Z12,-MIN(Hydros!B12:Z12))))),"")</f>
        <v>10000</v>
      </c>
      <c r="D196" s="371" t="s">
        <v>269</v>
      </c>
      <c r="E196" s="372"/>
      <c r="F196" s="370" t="str">
        <f t="shared" si="456"/>
        <v xml:space="preserve">Spline </v>
      </c>
      <c r="G196" s="357" t="str">
        <f>IFERROR(CONCATENATE(ROUND($B196+Hydros!B12/$C196,3),",",G$186," "),"")</f>
        <v xml:space="preserve">10,0 </v>
      </c>
      <c r="H196" s="357" t="str">
        <f>IFERROR(CONCATENATE(ROUND($B196+Hydros!C12/$C196,3),",",H$186," "),"")</f>
        <v xml:space="preserve">10.29,0.9 </v>
      </c>
      <c r="I196" s="357" t="str">
        <f>IFERROR(CONCATENATE(ROUND($B196+Hydros!D12/$C196,3),",",I$186," "),"")</f>
        <v xml:space="preserve">10.565,1.8 </v>
      </c>
      <c r="J196" s="357" t="str">
        <f>IFERROR(CONCATENATE(ROUND($B196+Hydros!E12/$C196,3),",",J$186," "),"")</f>
        <v xml:space="preserve">10.916,2.7 </v>
      </c>
      <c r="K196" s="357" t="str">
        <f>IFERROR(CONCATENATE(ROUND($B196+Hydros!F12/$C196,3),",",K$186," "),"")</f>
        <v xml:space="preserve">11.204,3.6 </v>
      </c>
      <c r="L196" s="357" t="str">
        <f>IFERROR(CONCATENATE(ROUND($B196+Hydros!G12/$C196,3),",",L$186," "),"")</f>
        <v xml:space="preserve">11.461,5.4 </v>
      </c>
      <c r="M196" s="357" t="str">
        <f>IFERROR(CONCATENATE(ROUND($B196+Hydros!H12/$C196,3),",",M$186," "),"")</f>
        <v xml:space="preserve">10.922,7.2 </v>
      </c>
      <c r="N196" s="357" t="str">
        <f>IFERROR(CONCATENATE(ROUND($B196+Hydros!I12/$C196,3),",",N$186," "),"")</f>
        <v xml:space="preserve">9.442,9 </v>
      </c>
      <c r="O196" s="357" t="str">
        <f>IFERROR(CONCATENATE(ROUND($B196+Hydros!J12/$C196,3),",",O$186," "),"")</f>
        <v xml:space="preserve">7.924,10.1 </v>
      </c>
      <c r="P196" s="357" t="str">
        <f>IFERROR(CONCATENATE(ROUND($B196+Hydros!K12/$C196,3),",",P$186," "),"")</f>
        <v xml:space="preserve">6.673,10.8 </v>
      </c>
      <c r="Q196" s="357" t="str">
        <f>IFERROR(CONCATENATE(ROUND($B196+Hydros!L12/$C196,3),",",Q$186," "),"")</f>
        <v xml:space="preserve">3.729,12.6 </v>
      </c>
      <c r="R196" s="357" t="str">
        <f>IFERROR(CONCATENATE(ROUND($B196+Hydros!M12/$C196,3),",",R$186," "),"")</f>
        <v xml:space="preserve">1.555,14.19 </v>
      </c>
      <c r="S196" s="357" t="str">
        <f>IFERROR(CONCATENATE(ROUND($B196+Hydros!N12/$C196,3),",",S$186," "),"")</f>
        <v/>
      </c>
      <c r="T196" s="357" t="str">
        <f>IFERROR(CONCATENATE(ROUND($B196+Hydros!O12/$C196,3),",",T$186," "),"")</f>
        <v/>
      </c>
      <c r="U196" s="357" t="str">
        <f>IFERROR(CONCATENATE(ROUND($B196+Hydros!P12/$C196,3),",",U$186," "),"")</f>
        <v/>
      </c>
      <c r="V196" s="357" t="str">
        <f>IFERROR(CONCATENATE(ROUND($B196+Hydros!Q12/$C196,3),",",V$186," "),"")</f>
        <v/>
      </c>
      <c r="W196" s="357" t="str">
        <f>IFERROR(CONCATENATE(ROUND($B196+Hydros!R12/$C196,3),",",W$186," "),"")</f>
        <v/>
      </c>
      <c r="X196" s="357" t="str">
        <f>IFERROR(CONCATENATE(ROUND($B196+Hydros!S12/$C196,3),",",X$186," "),"")</f>
        <v/>
      </c>
      <c r="Y196" s="357" t="str">
        <f>IFERROR(CONCATENATE(ROUND($B196+Hydros!T12/$C196,3),",",Y$186," "),"")</f>
        <v/>
      </c>
      <c r="Z196" s="357" t="str">
        <f>IFERROR(CONCATENATE(ROUND($B196+Hydros!U12/$C196,3),",",Z$186," "),"")</f>
        <v/>
      </c>
      <c r="AA196" s="357" t="str">
        <f>IFERROR(CONCATENATE(ROUND($B196+Hydros!V12/$C196,3),",",AA$186," "),"")</f>
        <v/>
      </c>
      <c r="AB196" s="357" t="str">
        <f>IFERROR(CONCATENATE(ROUND($B196+Hydros!W12/$C196,3),",",AB$186," "),"")</f>
        <v/>
      </c>
      <c r="AC196" s="357" t="str">
        <f>IFERROR(CONCATENATE(ROUND($B196+Hydros!X12/$C196,3),",",AC$186," "),"")</f>
        <v/>
      </c>
      <c r="AD196" s="357" t="str">
        <f>IFERROR(CONCATENATE(ROUND($B196+Hydros!Y12/$C196,3),",",AD$186," "),"")</f>
        <v/>
      </c>
      <c r="AE196" s="361" t="str">
        <f>IFERROR(CONCATENATE(ROUND($B196+Hydros!Z12/$C196,3),",",AE$186," "),"")</f>
        <v/>
      </c>
    </row>
    <row r="197" spans="1:31" x14ac:dyDescent="0.25">
      <c r="A197" s="355" t="str">
        <f>IF(MIN(Hydros!C13:AA13)&lt;0,"-","+")</f>
        <v>+</v>
      </c>
      <c r="B197" s="367">
        <f>IF(MIN(Hydros!C13:AA13)&lt;0,10,0)</f>
        <v>0</v>
      </c>
      <c r="C197" s="368">
        <f>IFERROR(POWER(10,INT(LOG(MAX(Hydros!B13:Z13,-MIN(Hydros!B13:Z13))))),"")</f>
        <v>100</v>
      </c>
      <c r="D197" s="371" t="s">
        <v>270</v>
      </c>
      <c r="E197" s="372"/>
      <c r="F197" s="370" t="str">
        <f t="shared" si="456"/>
        <v xml:space="preserve">Spline </v>
      </c>
      <c r="G197" s="357" t="str">
        <f>IFERROR(CONCATENATE(ROUND($B197+Hydros!B13/$C197,3),",",G$186," "),"")</f>
        <v/>
      </c>
      <c r="H197" s="357" t="str">
        <f>IFERROR(CONCATENATE(ROUND($B197+Hydros!C13/$C197,3),",",H$186," "),"")</f>
        <v xml:space="preserve">7.409,0.9 </v>
      </c>
      <c r="I197" s="357" t="str">
        <f>IFERROR(CONCATENATE(ROUND($B197+Hydros!D13/$C197,3),",",I$186," "),"")</f>
        <v xml:space="preserve">4.169,1.8 </v>
      </c>
      <c r="J197" s="357" t="str">
        <f>IFERROR(CONCATENATE(ROUND($B197+Hydros!E13/$C197,3),",",J$186," "),"")</f>
        <v xml:space="preserve">3.022,2.7 </v>
      </c>
      <c r="K197" s="357" t="str">
        <f>IFERROR(CONCATENATE(ROUND($B197+Hydros!F13/$C197,3),",",K$186," "),"")</f>
        <v xml:space="preserve">2.386,3.6 </v>
      </c>
      <c r="L197" s="357" t="str">
        <f>IFERROR(CONCATENATE(ROUND($B197+Hydros!G13/$C197,3),",",L$186," "),"")</f>
        <v xml:space="preserve">1.778,5.4 </v>
      </c>
      <c r="M197" s="357" t="str">
        <f>IFERROR(CONCATENATE(ROUND($B197+Hydros!H13/$C197,3),",",M$186," "),"")</f>
        <v xml:space="preserve">1.469,7.2 </v>
      </c>
      <c r="N197" s="357" t="str">
        <f>IFERROR(CONCATENATE(ROUND($B197+Hydros!I13/$C197,3),",",N$186," "),"")</f>
        <v xml:space="preserve">1.383,9 </v>
      </c>
      <c r="O197" s="357" t="str">
        <f>IFERROR(CONCATENATE(ROUND($B197+Hydros!J13/$C197,3),",",O$186," "),"")</f>
        <v xml:space="preserve">1.386,10.1 </v>
      </c>
      <c r="P197" s="357" t="str">
        <f>IFERROR(CONCATENATE(ROUND($B197+Hydros!K13/$C197,3),",",P$186," "),"")</f>
        <v xml:space="preserve">1.356,10.8 </v>
      </c>
      <c r="Q197" s="357" t="str">
        <f>IFERROR(CONCATENATE(ROUND($B197+Hydros!L13/$C197,3),",",Q$186," "),"")</f>
        <v xml:space="preserve">1.247,12.6 </v>
      </c>
      <c r="R197" s="357" t="str">
        <f>IFERROR(CONCATENATE(ROUND($B197+Hydros!M13/$C197,3),",",R$186," "),"")</f>
        <v xml:space="preserve">1.201,14.19 </v>
      </c>
      <c r="S197" s="357" t="str">
        <f>IFERROR(CONCATENATE(ROUND($B197+Hydros!N13/$C197,3),",",S$186," "),"")</f>
        <v/>
      </c>
      <c r="T197" s="357" t="str">
        <f>IFERROR(CONCATENATE(ROUND($B197+Hydros!O13/$C197,3),",",T$186," "),"")</f>
        <v/>
      </c>
      <c r="U197" s="357" t="str">
        <f>IFERROR(CONCATENATE(ROUND($B197+Hydros!P13/$C197,3),",",U$186," "),"")</f>
        <v/>
      </c>
      <c r="V197" s="357" t="str">
        <f>IFERROR(CONCATENATE(ROUND($B197+Hydros!Q13/$C197,3),",",V$186," "),"")</f>
        <v/>
      </c>
      <c r="W197" s="357" t="str">
        <f>IFERROR(CONCATENATE(ROUND($B197+Hydros!R13/$C197,3),",",W$186," "),"")</f>
        <v/>
      </c>
      <c r="X197" s="357" t="str">
        <f>IFERROR(CONCATENATE(ROUND($B197+Hydros!S13/$C197,3),",",X$186," "),"")</f>
        <v/>
      </c>
      <c r="Y197" s="357" t="str">
        <f>IFERROR(CONCATENATE(ROUND($B197+Hydros!T13/$C197,3),",",Y$186," "),"")</f>
        <v/>
      </c>
      <c r="Z197" s="357" t="str">
        <f>IFERROR(CONCATENATE(ROUND($B197+Hydros!U13/$C197,3),",",Z$186," "),"")</f>
        <v/>
      </c>
      <c r="AA197" s="357" t="str">
        <f>IFERROR(CONCATENATE(ROUND($B197+Hydros!V13/$C197,3),",",AA$186," "),"")</f>
        <v/>
      </c>
      <c r="AB197" s="357" t="str">
        <f>IFERROR(CONCATENATE(ROUND($B197+Hydros!W13/$C197,3),",",AB$186," "),"")</f>
        <v/>
      </c>
      <c r="AC197" s="357" t="str">
        <f>IFERROR(CONCATENATE(ROUND($B197+Hydros!X13/$C197,3),",",AC$186," "),"")</f>
        <v/>
      </c>
      <c r="AD197" s="357" t="str">
        <f>IFERROR(CONCATENATE(ROUND($B197+Hydros!Y13/$C197,3),",",AD$186," "),"")</f>
        <v/>
      </c>
      <c r="AE197" s="361" t="str">
        <f>IFERROR(CONCATENATE(ROUND($B197+Hydros!Z13/$C197,3),",",AE$186," "),"")</f>
        <v/>
      </c>
    </row>
    <row r="198" spans="1:31" x14ac:dyDescent="0.25">
      <c r="A198" s="355" t="str">
        <f>IF(MIN(Hydros!C14:AA14)&lt;0,"-","+")</f>
        <v>+</v>
      </c>
      <c r="B198" s="367">
        <f>IF(MIN(Hydros!C14:AA14)&lt;0,10,0)</f>
        <v>0</v>
      </c>
      <c r="C198" s="368">
        <f>IFERROR(POWER(10,INT(LOG(MAX(Hydros!B14:Z14,-MIN(Hydros!B14:Z14))))),"")</f>
        <v>10</v>
      </c>
      <c r="D198" s="371" t="s">
        <v>271</v>
      </c>
      <c r="E198" s="372"/>
      <c r="F198" s="370" t="str">
        <f t="shared" si="456"/>
        <v xml:space="preserve">Spline </v>
      </c>
      <c r="G198" s="357" t="str">
        <f>IFERROR(CONCATENATE(ROUND($B198+Hydros!B14/$C198,3),",",G$186," "),"")</f>
        <v/>
      </c>
      <c r="H198" s="357" t="str">
        <f>IFERROR(CONCATENATE(ROUND($B198+Hydros!C14/$C198,3),",",H$186," "),"")</f>
        <v xml:space="preserve">3.433,0.9 </v>
      </c>
      <c r="I198" s="357" t="str">
        <f>IFERROR(CONCATENATE(ROUND($B198+Hydros!D14/$C198,3),",",I$186," "),"")</f>
        <v xml:space="preserve">2.081,1.8 </v>
      </c>
      <c r="J198" s="357" t="str">
        <f>IFERROR(CONCATENATE(ROUND($B198+Hydros!E14/$C198,3),",",J$186," "),"")</f>
        <v xml:space="preserve">1.546,2.7 </v>
      </c>
      <c r="K198" s="357" t="str">
        <f>IFERROR(CONCATENATE(ROUND($B198+Hydros!F14/$C198,3),",",K$186," "),"")</f>
        <v xml:space="preserve">1.232,3.6 </v>
      </c>
      <c r="L198" s="357" t="str">
        <f>IFERROR(CONCATENATE(ROUND($B198+Hydros!G14/$C198,3),",",L$186," "),"")</f>
        <v xml:space="preserve">0.885,5.4 </v>
      </c>
      <c r="M198" s="357" t="str">
        <f>IFERROR(CONCATENATE(ROUND($B198+Hydros!H14/$C198,3),",",M$186," "),"")</f>
        <v xml:space="preserve">0.708,7.2 </v>
      </c>
      <c r="N198" s="357" t="str">
        <f>IFERROR(CONCATENATE(ROUND($B198+Hydros!I14/$C198,3),",",N$186," "),"")</f>
        <v xml:space="preserve">0.601,9 </v>
      </c>
      <c r="O198" s="357" t="str">
        <f>IFERROR(CONCATENATE(ROUND($B198+Hydros!J14/$C198,3),",",O$186," "),"")</f>
        <v xml:space="preserve">0.552,10.1 </v>
      </c>
      <c r="P198" s="357" t="str">
        <f>IFERROR(CONCATENATE(ROUND($B198+Hydros!K14/$C198,3),",",P$186," "),"")</f>
        <v xml:space="preserve">0.525,10.8 </v>
      </c>
      <c r="Q198" s="357" t="str">
        <f>IFERROR(CONCATENATE(ROUND($B198+Hydros!L14/$C198,3),",",Q$186," "),"")</f>
        <v xml:space="preserve">0.464,12.6 </v>
      </c>
      <c r="R198" s="357" t="str">
        <f>IFERROR(CONCATENATE(ROUND($B198+Hydros!M14/$C198,3),",",R$186," "),"")</f>
        <v xml:space="preserve">0.436,14.19 </v>
      </c>
      <c r="S198" s="357" t="str">
        <f>IFERROR(CONCATENATE(ROUND($B198+Hydros!N14/$C198,3),",",S$186," "),"")</f>
        <v/>
      </c>
      <c r="T198" s="357" t="str">
        <f>IFERROR(CONCATENATE(ROUND($B198+Hydros!O14/$C198,3),",",T$186," "),"")</f>
        <v/>
      </c>
      <c r="U198" s="357" t="str">
        <f>IFERROR(CONCATENATE(ROUND($B198+Hydros!P14/$C198,3),",",U$186," "),"")</f>
        <v/>
      </c>
      <c r="V198" s="357" t="str">
        <f>IFERROR(CONCATENATE(ROUND($B198+Hydros!Q14/$C198,3),",",V$186," "),"")</f>
        <v/>
      </c>
      <c r="W198" s="357" t="str">
        <f>IFERROR(CONCATENATE(ROUND($B198+Hydros!R14/$C198,3),",",W$186," "),"")</f>
        <v/>
      </c>
      <c r="X198" s="357" t="str">
        <f>IFERROR(CONCATENATE(ROUND($B198+Hydros!S14/$C198,3),",",X$186," "),"")</f>
        <v/>
      </c>
      <c r="Y198" s="357" t="str">
        <f>IFERROR(CONCATENATE(ROUND($B198+Hydros!T14/$C198,3),",",Y$186," "),"")</f>
        <v/>
      </c>
      <c r="Z198" s="357" t="str">
        <f>IFERROR(CONCATENATE(ROUND($B198+Hydros!U14/$C198,3),",",Z$186," "),"")</f>
        <v/>
      </c>
      <c r="AA198" s="357" t="str">
        <f>IFERROR(CONCATENATE(ROUND($B198+Hydros!V14/$C198,3),",",AA$186," "),"")</f>
        <v/>
      </c>
      <c r="AB198" s="357" t="str">
        <f>IFERROR(CONCATENATE(ROUND($B198+Hydros!W14/$C198,3),",",AB$186," "),"")</f>
        <v/>
      </c>
      <c r="AC198" s="357" t="str">
        <f>IFERROR(CONCATENATE(ROUND($B198+Hydros!X14/$C198,3),",",AC$186," "),"")</f>
        <v/>
      </c>
      <c r="AD198" s="357" t="str">
        <f>IFERROR(CONCATENATE(ROUND($B198+Hydros!Y14/$C198,3),",",AD$186," "),"")</f>
        <v/>
      </c>
      <c r="AE198" s="361" t="str">
        <f>IFERROR(CONCATENATE(ROUND($B198+Hydros!Z14/$C198,3),",",AE$186," "),"")</f>
        <v/>
      </c>
    </row>
    <row r="199" spans="1:31" x14ac:dyDescent="0.25">
      <c r="A199" s="355" t="str">
        <f>IF(MIN(Hydros!C15:AA15)&lt;0,"-","+")</f>
        <v>+</v>
      </c>
      <c r="B199" s="367">
        <f>IF(MIN(Hydros!C15:AA15)&lt;0,10,0)</f>
        <v>0</v>
      </c>
      <c r="C199" s="368">
        <f>IFERROR(POWER(10,INT(LOG(MAX(Hydros!B15:Z15,-MIN(Hydros!B15:Z15))))),"")</f>
        <v>1</v>
      </c>
      <c r="D199" s="371" t="s">
        <v>65</v>
      </c>
      <c r="E199" s="372"/>
      <c r="F199" s="370" t="str">
        <f t="shared" si="456"/>
        <v xml:space="preserve">Spline </v>
      </c>
      <c r="G199" s="357" t="str">
        <f>IFERROR(CONCATENATE(ROUND($B199+Hydros!B15/$C199,3),",",G$186," "),"")</f>
        <v/>
      </c>
      <c r="H199" s="357" t="str">
        <f>IFERROR(CONCATENATE(ROUND($B199+Hydros!C15/$C199,3),",",H$186," "),"")</f>
        <v xml:space="preserve">0.486,0.9 </v>
      </c>
      <c r="I199" s="357" t="str">
        <f>IFERROR(CONCATENATE(ROUND($B199+Hydros!D15/$C199,3),",",I$186," "),"")</f>
        <v xml:space="preserve">0.989,1.8 </v>
      </c>
      <c r="J199" s="357" t="str">
        <f>IFERROR(CONCATENATE(ROUND($B199+Hydros!E15/$C199,3),",",J$186," "),"")</f>
        <v xml:space="preserve">1.486,2.7 </v>
      </c>
      <c r="K199" s="357" t="str">
        <f>IFERROR(CONCATENATE(ROUND($B199+Hydros!F15/$C199,3),",",K$186," "),"")</f>
        <v xml:space="preserve">1.98,3.6 </v>
      </c>
      <c r="L199" s="357" t="str">
        <f>IFERROR(CONCATENATE(ROUND($B199+Hydros!G15/$C199,3),",",L$186," "),"")</f>
        <v xml:space="preserve">2.974,5.4 </v>
      </c>
      <c r="M199" s="357" t="str">
        <f>IFERROR(CONCATENATE(ROUND($B199+Hydros!H15/$C199,3),",",M$186," "),"")</f>
        <v xml:space="preserve">3.971,7.2 </v>
      </c>
      <c r="N199" s="357" t="str">
        <f>IFERROR(CONCATENATE(ROUND($B199+Hydros!I15/$C199,3),",",N$186," "),"")</f>
        <v xml:space="preserve">4.982,9 </v>
      </c>
      <c r="O199" s="357" t="str">
        <f>IFERROR(CONCATENATE(ROUND($B199+Hydros!J15/$C199,3),",",O$186," "),"")</f>
        <v xml:space="preserve">5.613,10.1 </v>
      </c>
      <c r="P199" s="357" t="str">
        <f>IFERROR(CONCATENATE(ROUND($B199+Hydros!K15/$C199,3),",",P$186," "),"")</f>
        <v xml:space="preserve">6.019,10.8 </v>
      </c>
      <c r="Q199" s="357" t="str">
        <f>IFERROR(CONCATENATE(ROUND($B199+Hydros!L15/$C199,3),",",Q$186," "),"")</f>
        <v xml:space="preserve">7.058,12.6 </v>
      </c>
      <c r="R199" s="357" t="str">
        <f>IFERROR(CONCATENATE(ROUND($B199+Hydros!M15/$C199,3),",",R$186," "),"")</f>
        <v xml:space="preserve">7.975,14.19 </v>
      </c>
      <c r="S199" s="357" t="str">
        <f>IFERROR(CONCATENATE(ROUND($B199+Hydros!N15/$C199,3),",",S$186," "),"")</f>
        <v/>
      </c>
      <c r="T199" s="357" t="str">
        <f>IFERROR(CONCATENATE(ROUND($B199+Hydros!O15/$C199,3),",",T$186," "),"")</f>
        <v/>
      </c>
      <c r="U199" s="357" t="str">
        <f>IFERROR(CONCATENATE(ROUND($B199+Hydros!P15/$C199,3),",",U$186," "),"")</f>
        <v/>
      </c>
      <c r="V199" s="357" t="str">
        <f>IFERROR(CONCATENATE(ROUND($B199+Hydros!Q15/$C199,3),",",V$186," "),"")</f>
        <v/>
      </c>
      <c r="W199" s="357" t="str">
        <f>IFERROR(CONCATENATE(ROUND($B199+Hydros!R15/$C199,3),",",W$186," "),"")</f>
        <v/>
      </c>
      <c r="X199" s="357" t="str">
        <f>IFERROR(CONCATENATE(ROUND($B199+Hydros!S15/$C199,3),",",X$186," "),"")</f>
        <v/>
      </c>
      <c r="Y199" s="357" t="str">
        <f>IFERROR(CONCATENATE(ROUND($B199+Hydros!T15/$C199,3),",",Y$186," "),"")</f>
        <v/>
      </c>
      <c r="Z199" s="357" t="str">
        <f>IFERROR(CONCATENATE(ROUND($B199+Hydros!U15/$C199,3),",",Z$186," "),"")</f>
        <v/>
      </c>
      <c r="AA199" s="357" t="str">
        <f>IFERROR(CONCATENATE(ROUND($B199+Hydros!V15/$C199,3),",",AA$186," "),"")</f>
        <v/>
      </c>
      <c r="AB199" s="357" t="str">
        <f>IFERROR(CONCATENATE(ROUND($B199+Hydros!W15/$C199,3),",",AB$186," "),"")</f>
        <v/>
      </c>
      <c r="AC199" s="357" t="str">
        <f>IFERROR(CONCATENATE(ROUND($B199+Hydros!X15/$C199,3),",",AC$186," "),"")</f>
        <v/>
      </c>
      <c r="AD199" s="357" t="str">
        <f>IFERROR(CONCATENATE(ROUND($B199+Hydros!Y15/$C199,3),",",AD$186," "),"")</f>
        <v/>
      </c>
      <c r="AE199" s="361" t="str">
        <f>IFERROR(CONCATENATE(ROUND($B199+Hydros!Z15/$C199,3),",",AE$186," "),"")</f>
        <v/>
      </c>
    </row>
    <row r="200" spans="1:31" x14ac:dyDescent="0.25">
      <c r="A200" s="355" t="str">
        <f>IF(MIN(Hydros!C16:AA16)&lt;0,"-","+")</f>
        <v>+</v>
      </c>
      <c r="B200" s="367">
        <v>0</v>
      </c>
      <c r="C200" s="368">
        <f>IFERROR(POWER(10,INT(LOG(MAX(Hydros!B16:Z16,-MIN(Hydros!B16:Z16))))),"")</f>
        <v>10</v>
      </c>
      <c r="D200" s="371" t="s">
        <v>272</v>
      </c>
      <c r="E200" s="372"/>
      <c r="F200" s="370" t="str">
        <f t="shared" si="456"/>
        <v xml:space="preserve">Spline </v>
      </c>
      <c r="G200" s="357" t="str">
        <f>IFERROR(CONCATENATE(ROUND($B200+Hydros!B16/$C200,3),",",G$186," "),"")</f>
        <v/>
      </c>
      <c r="H200" s="357" t="str">
        <f>IFERROR(CONCATENATE(ROUND($B200+Hydros!C16/$C200,3),",",H$186," "),"")</f>
        <v xml:space="preserve">3.482,0.9 </v>
      </c>
      <c r="I200" s="357" t="str">
        <f>IFERROR(CONCATENATE(ROUND($B200+Hydros!D16/$C200,3),",",I$186," "),"")</f>
        <v xml:space="preserve">2.18,1.8 </v>
      </c>
      <c r="J200" s="357" t="str">
        <f>IFERROR(CONCATENATE(ROUND($B200+Hydros!E16/$C200,3),",",J$186," "),"")</f>
        <v xml:space="preserve">1.695,2.7 </v>
      </c>
      <c r="K200" s="357" t="str">
        <f>IFERROR(CONCATENATE(ROUND($B200+Hydros!F16/$C200,3),",",K$186," "),"")</f>
        <v xml:space="preserve">1.43,3.6 </v>
      </c>
      <c r="L200" s="357" t="str">
        <f>IFERROR(CONCATENATE(ROUND($B200+Hydros!G16/$C200,3),",",L$186," "),"")</f>
        <v xml:space="preserve">1.182,5.4 </v>
      </c>
      <c r="M200" s="357" t="str">
        <f>IFERROR(CONCATENATE(ROUND($B200+Hydros!H16/$C200,3),",",M$186," "),"")</f>
        <v xml:space="preserve">1.105,7.2 </v>
      </c>
      <c r="N200" s="357" t="str">
        <f>IFERROR(CONCATENATE(ROUND($B200+Hydros!I16/$C200,3),",",N$186," "),"")</f>
        <v xml:space="preserve">1.099,9 </v>
      </c>
      <c r="O200" s="357" t="str">
        <f>IFERROR(CONCATENATE(ROUND($B200+Hydros!J16/$C200,3),",",O$186," "),"")</f>
        <v xml:space="preserve">1.113,10.1 </v>
      </c>
      <c r="P200" s="357" t="str">
        <f>IFERROR(CONCATENATE(ROUND($B200+Hydros!K16/$C200,3),",",P$186," "),"")</f>
        <v xml:space="preserve">1.127,10.8 </v>
      </c>
      <c r="Q200" s="357" t="str">
        <f>IFERROR(CONCATENATE(ROUND($B200+Hydros!L16/$C200,3),",",Q$186," "),"")</f>
        <v xml:space="preserve">1.17,12.6 </v>
      </c>
      <c r="R200" s="357" t="str">
        <f>IFERROR(CONCATENATE(ROUND($B200+Hydros!M16/$C200,3),",",R$186," "),"")</f>
        <v xml:space="preserve">1.234,14.19 </v>
      </c>
      <c r="S200" s="357" t="str">
        <f>IFERROR(CONCATENATE(ROUND($B200+Hydros!N16/$C200,3),",",S$186," "),"")</f>
        <v/>
      </c>
      <c r="T200" s="357" t="str">
        <f>IFERROR(CONCATENATE(ROUND($B200+Hydros!O16/$C200,3),",",T$186," "),"")</f>
        <v/>
      </c>
      <c r="U200" s="357" t="str">
        <f>IFERROR(CONCATENATE(ROUND($B200+Hydros!P16/$C200,3),",",U$186," "),"")</f>
        <v/>
      </c>
      <c r="V200" s="357" t="str">
        <f>IFERROR(CONCATENATE(ROUND($B200+Hydros!Q16/$C200,3),",",V$186," "),"")</f>
        <v/>
      </c>
      <c r="W200" s="357" t="str">
        <f>IFERROR(CONCATENATE(ROUND($B200+Hydros!R16/$C200,3),",",W$186," "),"")</f>
        <v/>
      </c>
      <c r="X200" s="357" t="str">
        <f>IFERROR(CONCATENATE(ROUND($B200+Hydros!S16/$C200,3),",",X$186," "),"")</f>
        <v/>
      </c>
      <c r="Y200" s="357" t="str">
        <f>IFERROR(CONCATENATE(ROUND($B200+Hydros!T16/$C200,3),",",Y$186," "),"")</f>
        <v/>
      </c>
      <c r="Z200" s="357" t="str">
        <f>IFERROR(CONCATENATE(ROUND($B200+Hydros!U16/$C200,3),",",Z$186," "),"")</f>
        <v/>
      </c>
      <c r="AA200" s="357" t="str">
        <f>IFERROR(CONCATENATE(ROUND($B200+Hydros!V16/$C200,3),",",AA$186," "),"")</f>
        <v/>
      </c>
      <c r="AB200" s="357" t="str">
        <f>IFERROR(CONCATENATE(ROUND($B200+Hydros!W16/$C200,3),",",AB$186," "),"")</f>
        <v/>
      </c>
      <c r="AC200" s="357" t="str">
        <f>IFERROR(CONCATENATE(ROUND($B200+Hydros!X16/$C200,3),",",AC$186," "),"")</f>
        <v/>
      </c>
      <c r="AD200" s="357" t="str">
        <f>IFERROR(CONCATENATE(ROUND($B200+Hydros!Y16/$C200,3),",",AD$186," "),"")</f>
        <v/>
      </c>
      <c r="AE200" s="361" t="str">
        <f>IFERROR(CONCATENATE(ROUND($B200+Hydros!Z16/$C200,3),",",AE$186," "),"")</f>
        <v/>
      </c>
    </row>
    <row r="201" spans="1:31" x14ac:dyDescent="0.25">
      <c r="A201" s="355" t="str">
        <f>IF(MIN(Hydros!C17:AA17)&lt;0,"-","+")</f>
        <v>+</v>
      </c>
      <c r="B201" s="367">
        <f>IF(MIN(Hydros!C17:AA17)&lt;0,10,0)</f>
        <v>0</v>
      </c>
      <c r="C201" s="368">
        <f>IFERROR(POWER(10,INT(LOG(MAX(Hydros!B17:Z17,-MIN(Hydros!B17:Z17))))),"")</f>
        <v>100</v>
      </c>
      <c r="D201" s="371" t="s">
        <v>273</v>
      </c>
      <c r="E201" s="372"/>
      <c r="F201" s="370" t="str">
        <f t="shared" si="456"/>
        <v xml:space="preserve">Spline </v>
      </c>
      <c r="G201" s="357" t="str">
        <f>IFERROR(CONCATENATE(ROUND($B201+Hydros!B17/$C201,3),",",G$186," "),"")</f>
        <v/>
      </c>
      <c r="H201" s="357" t="str">
        <f>IFERROR(CONCATENATE(ROUND($B201+Hydros!C17/$C201,3),",",H$186," "),"")</f>
        <v xml:space="preserve">7.414,0.9 </v>
      </c>
      <c r="I201" s="357" t="str">
        <f>IFERROR(CONCATENATE(ROUND($B201+Hydros!D17/$C201,3),",",I$186," "),"")</f>
        <v xml:space="preserve">4.179,1.8 </v>
      </c>
      <c r="J201" s="357" t="str">
        <f>IFERROR(CONCATENATE(ROUND($B201+Hydros!E17/$C201,3),",",J$186," "),"")</f>
        <v xml:space="preserve">3.037,2.7 </v>
      </c>
      <c r="K201" s="357" t="str">
        <f>IFERROR(CONCATENATE(ROUND($B201+Hydros!F17/$C201,3),",",K$186," "),"")</f>
        <v xml:space="preserve">2.406,3.6 </v>
      </c>
      <c r="L201" s="357" t="str">
        <f>IFERROR(CONCATENATE(ROUND($B201+Hydros!G17/$C201,3),",",L$186," "),"")</f>
        <v xml:space="preserve">1.808,5.4 </v>
      </c>
      <c r="M201" s="357" t="str">
        <f>IFERROR(CONCATENATE(ROUND($B201+Hydros!H17/$C201,3),",",M$186," "),"")</f>
        <v xml:space="preserve">1.508,7.2 </v>
      </c>
      <c r="N201" s="357" t="str">
        <f>IFERROR(CONCATENATE(ROUND($B201+Hydros!I17/$C201,3),",",N$186," "),"")</f>
        <v xml:space="preserve">1.433,9 </v>
      </c>
      <c r="O201" s="357" t="str">
        <f>IFERROR(CONCATENATE(ROUND($B201+Hydros!J17/$C201,3),",",O$186," "),"")</f>
        <v xml:space="preserve">1.442,10.1 </v>
      </c>
      <c r="P201" s="357" t="str">
        <f>IFERROR(CONCATENATE(ROUND($B201+Hydros!K17/$C201,3),",",P$186," "),"")</f>
        <v xml:space="preserve">1.417,10.8 </v>
      </c>
      <c r="Q201" s="357" t="str">
        <f>IFERROR(CONCATENATE(ROUND($B201+Hydros!L17/$C201,3),",",Q$186," "),"")</f>
        <v xml:space="preserve">1.318,12.6 </v>
      </c>
      <c r="R201" s="357" t="str">
        <f>IFERROR(CONCATENATE(ROUND($B201+Hydros!M17/$C201,3),",",R$186," "),"")</f>
        <v xml:space="preserve">1.28,14.19 </v>
      </c>
      <c r="S201" s="357" t="str">
        <f>IFERROR(CONCATENATE(ROUND($B201+Hydros!N17/$C201,3),",",S$186," "),"")</f>
        <v/>
      </c>
      <c r="T201" s="357" t="str">
        <f>IFERROR(CONCATENATE(ROUND($B201+Hydros!O17/$C201,3),",",T$186," "),"")</f>
        <v/>
      </c>
      <c r="U201" s="357" t="str">
        <f>IFERROR(CONCATENATE(ROUND($B201+Hydros!P17/$C201,3),",",U$186," "),"")</f>
        <v/>
      </c>
      <c r="V201" s="357" t="str">
        <f>IFERROR(CONCATENATE(ROUND($B201+Hydros!Q17/$C201,3),",",V$186," "),"")</f>
        <v/>
      </c>
      <c r="W201" s="357" t="str">
        <f>IFERROR(CONCATENATE(ROUND($B201+Hydros!R17/$C201,3),",",W$186," "),"")</f>
        <v/>
      </c>
      <c r="X201" s="357" t="str">
        <f>IFERROR(CONCATENATE(ROUND($B201+Hydros!S17/$C201,3),",",X$186," "),"")</f>
        <v/>
      </c>
      <c r="Y201" s="357" t="str">
        <f>IFERROR(CONCATENATE(ROUND($B201+Hydros!T17/$C201,3),",",Y$186," "),"")</f>
        <v/>
      </c>
      <c r="Z201" s="357" t="str">
        <f>IFERROR(CONCATENATE(ROUND($B201+Hydros!U17/$C201,3),",",Z$186," "),"")</f>
        <v/>
      </c>
      <c r="AA201" s="357" t="str">
        <f>IFERROR(CONCATENATE(ROUND($B201+Hydros!V17/$C201,3),",",AA$186," "),"")</f>
        <v/>
      </c>
      <c r="AB201" s="357" t="str">
        <f>IFERROR(CONCATENATE(ROUND($B201+Hydros!W17/$C201,3),",",AB$186," "),"")</f>
        <v/>
      </c>
      <c r="AC201" s="357" t="str">
        <f>IFERROR(CONCATENATE(ROUND($B201+Hydros!X17/$C201,3),",",AC$186," "),"")</f>
        <v/>
      </c>
      <c r="AD201" s="357" t="str">
        <f>IFERROR(CONCATENATE(ROUND($B201+Hydros!Y17/$C201,3),",",AD$186," "),"")</f>
        <v/>
      </c>
      <c r="AE201" s="361" t="str">
        <f>IFERROR(CONCATENATE(ROUND($B201+Hydros!Z17/$C201,3),",",AE$186," "),"")</f>
        <v/>
      </c>
    </row>
    <row r="202" spans="1:31" x14ac:dyDescent="0.25">
      <c r="A202" s="355" t="str">
        <f>IF(MIN(Hydros!C18:AA18)&lt;0,"-","+")</f>
        <v>+</v>
      </c>
      <c r="B202" s="367">
        <v>10</v>
      </c>
      <c r="C202" s="368">
        <f>IFERROR(POWER(10,INT(LOG(MAX(Hydros!B18:Z18,-MIN(Hydros!B18:Z18))))),"")</f>
        <v>10</v>
      </c>
      <c r="D202" s="371" t="s">
        <v>71</v>
      </c>
      <c r="E202" s="372"/>
      <c r="F202" s="370" t="str">
        <f t="shared" si="456"/>
        <v xml:space="preserve">Spline </v>
      </c>
      <c r="G202" s="357" t="str">
        <f>IFERROR(CONCATENATE(ROUND($B202+Hydros!B18/$C202,3),",",G$186," "),"")</f>
        <v xml:space="preserve">10.881,0 </v>
      </c>
      <c r="H202" s="357" t="str">
        <f>IFERROR(CONCATENATE(ROUND($B202+Hydros!C18/$C202,3),",",H$186," "),"")</f>
        <v xml:space="preserve">11.459,0.9 </v>
      </c>
      <c r="I202" s="357" t="str">
        <f>IFERROR(CONCATENATE(ROUND($B202+Hydros!D18/$C202,3),",",I$186," "),"")</f>
        <v xml:space="preserve">11.712,1.8 </v>
      </c>
      <c r="J202" s="357" t="str">
        <f>IFERROR(CONCATENATE(ROUND($B202+Hydros!E18/$C202,3),",",J$186," "),"")</f>
        <v xml:space="preserve">11.879,2.7 </v>
      </c>
      <c r="K202" s="357" t="str">
        <f>IFERROR(CONCATENATE(ROUND($B202+Hydros!F18/$C202,3),",",K$186," "),"")</f>
        <v xml:space="preserve">12.004,3.6 </v>
      </c>
      <c r="L202" s="357" t="str">
        <f>IFERROR(CONCATENATE(ROUND($B202+Hydros!G18/$C202,3),",",L$186," "),"")</f>
        <v xml:space="preserve">12.206,5.4 </v>
      </c>
      <c r="M202" s="357" t="str">
        <f>IFERROR(CONCATENATE(ROUND($B202+Hydros!H18/$C202,3),",",M$186," "),"")</f>
        <v xml:space="preserve">12.381,7.2 </v>
      </c>
      <c r="N202" s="357" t="str">
        <f>IFERROR(CONCATENATE(ROUND($B202+Hydros!I18/$C202,3),",",N$186," "),"")</f>
        <v xml:space="preserve">12.592,9 </v>
      </c>
      <c r="O202" s="357" t="str">
        <f>IFERROR(CONCATENATE(ROUND($B202+Hydros!J18/$C202,3),",",O$186," "),"")</f>
        <v xml:space="preserve">12.735,10.1 </v>
      </c>
      <c r="P202" s="357" t="str">
        <f>IFERROR(CONCATENATE(ROUND($B202+Hydros!K18/$C202,3),",",P$186," "),"")</f>
        <v xml:space="preserve">12.804,10.8 </v>
      </c>
      <c r="Q202" s="357" t="str">
        <f>IFERROR(CONCATENATE(ROUND($B202+Hydros!L18/$C202,3),",",Q$186," "),"")</f>
        <v xml:space="preserve">12.933,12.6 </v>
      </c>
      <c r="R202" s="357" t="str">
        <f>IFERROR(CONCATENATE(ROUND($B202+Hydros!M18/$C202,3),",",R$186," "),"")</f>
        <v xml:space="preserve">13.084,14.19 </v>
      </c>
      <c r="S202" s="357" t="str">
        <f>IFERROR(CONCATENATE(ROUND($B202+Hydros!N18/$C202,3),",",S$186," "),"")</f>
        <v/>
      </c>
      <c r="T202" s="357" t="str">
        <f>IFERROR(CONCATENATE(ROUND($B202+Hydros!O18/$C202,3),",",T$186," "),"")</f>
        <v/>
      </c>
      <c r="U202" s="357" t="str">
        <f>IFERROR(CONCATENATE(ROUND($B202+Hydros!P18/$C202,3),",",U$186," "),"")</f>
        <v/>
      </c>
      <c r="V202" s="357" t="str">
        <f>IFERROR(CONCATENATE(ROUND($B202+Hydros!Q18/$C202,3),",",V$186," "),"")</f>
        <v/>
      </c>
      <c r="W202" s="357" t="str">
        <f>IFERROR(CONCATENATE(ROUND($B202+Hydros!R18/$C202,3),",",W$186," "),"")</f>
        <v/>
      </c>
      <c r="X202" s="357" t="str">
        <f>IFERROR(CONCATENATE(ROUND($B202+Hydros!S18/$C202,3),",",X$186," "),"")</f>
        <v/>
      </c>
      <c r="Y202" s="357" t="str">
        <f>IFERROR(CONCATENATE(ROUND($B202+Hydros!T18/$C202,3),",",Y$186," "),"")</f>
        <v/>
      </c>
      <c r="Z202" s="357" t="str">
        <f>IFERROR(CONCATENATE(ROUND($B202+Hydros!U18/$C202,3),",",Z$186," "),"")</f>
        <v/>
      </c>
      <c r="AA202" s="357" t="str">
        <f>IFERROR(CONCATENATE(ROUND($B202+Hydros!V18/$C202,3),",",AA$186," "),"")</f>
        <v/>
      </c>
      <c r="AB202" s="357" t="str">
        <f>IFERROR(CONCATENATE(ROUND($B202+Hydros!W18/$C202,3),",",AB$186," "),"")</f>
        <v/>
      </c>
      <c r="AC202" s="357" t="str">
        <f>IFERROR(CONCATENATE(ROUND($B202+Hydros!X18/$C202,3),",",AC$186," "),"")</f>
        <v/>
      </c>
      <c r="AD202" s="357" t="str">
        <f>IFERROR(CONCATENATE(ROUND($B202+Hydros!Y18/$C202,3),",",AD$186," "),"")</f>
        <v/>
      </c>
      <c r="AE202" s="361" t="str">
        <f>IFERROR(CONCATENATE(ROUND($B202+Hydros!Z18/$C202,3),",",AE$186," "),"")</f>
        <v/>
      </c>
    </row>
    <row r="203" spans="1:31" x14ac:dyDescent="0.25">
      <c r="A203" s="355" t="str">
        <f>IF(MIN(Hydros!C19:AA19)&lt;0,"-","+")</f>
        <v>-</v>
      </c>
      <c r="B203" s="367">
        <f>IF(MIN(Hydros!C19:AA19)&lt;0,10,0)</f>
        <v>10</v>
      </c>
      <c r="C203" s="368">
        <f>IFERROR(POWER(10,INT(LOG(MAX(Hydros!B19:Z19,-MIN(Hydros!B19:Z19))))),"")</f>
        <v>1</v>
      </c>
      <c r="D203" s="371" t="s">
        <v>73</v>
      </c>
      <c r="E203" s="372"/>
      <c r="F203" s="370" t="str">
        <f t="shared" si="456"/>
        <v xml:space="preserve">Spline </v>
      </c>
      <c r="G203" s="357" t="str">
        <f>IFERROR(CONCATENATE(ROUND($B203+Hydros!B19/$C203,3),",",G$186," "),"")</f>
        <v/>
      </c>
      <c r="H203" s="357" t="str">
        <f>IFERROR(CONCATENATE(ROUND($B203+Hydros!C19/$C203,3),",",H$186," "),"")</f>
        <v xml:space="preserve">12.763,0.9 </v>
      </c>
      <c r="I203" s="357" t="str">
        <f>IFERROR(CONCATENATE(ROUND($B203+Hydros!D19/$C203,3),",",I$186," "),"")</f>
        <v xml:space="preserve">12.291,1.8 </v>
      </c>
      <c r="J203" s="357" t="str">
        <f>IFERROR(CONCATENATE(ROUND($B203+Hydros!E19/$C203,3),",",J$186," "),"")</f>
        <v xml:space="preserve">12.273,2.7 </v>
      </c>
      <c r="K203" s="357" t="str">
        <f>IFERROR(CONCATENATE(ROUND($B203+Hydros!F19/$C203,3),",",K$186," "),"")</f>
        <v xml:space="preserve">12.093,3.6 </v>
      </c>
      <c r="L203" s="357" t="str">
        <f>IFERROR(CONCATENATE(ROUND($B203+Hydros!G19/$C203,3),",",L$186," "),"")</f>
        <v xml:space="preserve">11.547,5.4 </v>
      </c>
      <c r="M203" s="357" t="str">
        <f>IFERROR(CONCATENATE(ROUND($B203+Hydros!H19/$C203,3),",",M$186," "),"")</f>
        <v xml:space="preserve">10.684,7.2 </v>
      </c>
      <c r="N203" s="357" t="str">
        <f>IFERROR(CONCATENATE(ROUND($B203+Hydros!I19/$C203,3),",",N$186," "),"")</f>
        <v xml:space="preserve">9.687,9 </v>
      </c>
      <c r="O203" s="357" t="str">
        <f>IFERROR(CONCATENATE(ROUND($B203+Hydros!J19/$C203,3),",",O$186," "),"")</f>
        <v xml:space="preserve">8.996,10.1 </v>
      </c>
      <c r="P203" s="357" t="str">
        <f>IFERROR(CONCATENATE(ROUND($B203+Hydros!K19/$C203,3),",",P$186," "),"")</f>
        <v xml:space="preserve">8.527,10.8 </v>
      </c>
      <c r="Q203" s="357" t="str">
        <f>IFERROR(CONCATENATE(ROUND($B203+Hydros!L19/$C203,3),",",Q$186," "),"")</f>
        <v xml:space="preserve">7.73,12.6 </v>
      </c>
      <c r="R203" s="357" t="str">
        <f>IFERROR(CONCATENATE(ROUND($B203+Hydros!M19/$C203,3),",",R$186," "),"")</f>
        <v xml:space="preserve">7.384,14.19 </v>
      </c>
      <c r="S203" s="357" t="str">
        <f>IFERROR(CONCATENATE(ROUND($B203+Hydros!N19/$C203,3),",",S$186," "),"")</f>
        <v/>
      </c>
      <c r="T203" s="357" t="str">
        <f>IFERROR(CONCATENATE(ROUND($B203+Hydros!O19/$C203,3),",",T$186," "),"")</f>
        <v/>
      </c>
      <c r="U203" s="357" t="str">
        <f>IFERROR(CONCATENATE(ROUND($B203+Hydros!P19/$C203,3),",",U$186," "),"")</f>
        <v/>
      </c>
      <c r="V203" s="357" t="str">
        <f>IFERROR(CONCATENATE(ROUND($B203+Hydros!Q19/$C203,3),",",V$186," "),"")</f>
        <v/>
      </c>
      <c r="W203" s="357" t="str">
        <f>IFERROR(CONCATENATE(ROUND($B203+Hydros!R19/$C203,3),",",W$186," "),"")</f>
        <v/>
      </c>
      <c r="X203" s="357" t="str">
        <f>IFERROR(CONCATENATE(ROUND($B203+Hydros!S19/$C203,3),",",X$186," "),"")</f>
        <v/>
      </c>
      <c r="Y203" s="357" t="str">
        <f>IFERROR(CONCATENATE(ROUND($B203+Hydros!T19/$C203,3),",",Y$186," "),"")</f>
        <v/>
      </c>
      <c r="Z203" s="357" t="str">
        <f>IFERROR(CONCATENATE(ROUND($B203+Hydros!U19/$C203,3),",",Z$186," "),"")</f>
        <v/>
      </c>
      <c r="AA203" s="357" t="str">
        <f>IFERROR(CONCATENATE(ROUND($B203+Hydros!V19/$C203,3),",",AA$186," "),"")</f>
        <v/>
      </c>
      <c r="AB203" s="357" t="str">
        <f>IFERROR(CONCATENATE(ROUND($B203+Hydros!W19/$C203,3),",",AB$186," "),"")</f>
        <v/>
      </c>
      <c r="AC203" s="357" t="str">
        <f>IFERROR(CONCATENATE(ROUND($B203+Hydros!X19/$C203,3),",",AC$186," "),"")</f>
        <v/>
      </c>
      <c r="AD203" s="357" t="str">
        <f>IFERROR(CONCATENATE(ROUND($B203+Hydros!Y19/$C203,3),",",AD$186," "),"")</f>
        <v/>
      </c>
      <c r="AE203" s="361" t="str">
        <f>IFERROR(CONCATENATE(ROUND($B203+Hydros!Z19/$C203,3),",",AE$186," "),"")</f>
        <v/>
      </c>
    </row>
    <row r="204" spans="1:31" x14ac:dyDescent="0.25">
      <c r="A204" s="355" t="str">
        <f>IF(MIN(Hydros!C20:AA20)&lt;0,"-","+")</f>
        <v>+</v>
      </c>
      <c r="B204" s="367">
        <v>10</v>
      </c>
      <c r="C204" s="368">
        <f>IFERROR(POWER(10,INT(LOG(MAX(Hydros!B20:Z20,-MIN(Hydros!B20:Z20))))),"")</f>
        <v>100</v>
      </c>
      <c r="D204" s="371" t="s">
        <v>274</v>
      </c>
      <c r="E204" s="372"/>
      <c r="F204" s="370" t="str">
        <f t="shared" si="456"/>
        <v xml:space="preserve">Spline </v>
      </c>
      <c r="G204" s="357" t="str">
        <f>IFERROR(CONCATENATE(ROUND($B204+Hydros!B20/$C204,3),",",G$186," "),"")</f>
        <v/>
      </c>
      <c r="H204" s="357" t="str">
        <f>IFERROR(CONCATENATE(ROUND($B204+Hydros!C20/$C204,3),",",H$186," "),"")</f>
        <v xml:space="preserve">10.608,0.9 </v>
      </c>
      <c r="I204" s="357" t="str">
        <f>IFERROR(CONCATENATE(ROUND($B204+Hydros!D20/$C204,3),",",I$186," "),"")</f>
        <v xml:space="preserve">10.805,1.8 </v>
      </c>
      <c r="J204" s="357" t="str">
        <f>IFERROR(CONCATENATE(ROUND($B204+Hydros!E20/$C204,3),",",J$186," "),"")</f>
        <v xml:space="preserve">10.953,2.7 </v>
      </c>
      <c r="K204" s="357" t="str">
        <f>IFERROR(CONCATENATE(ROUND($B204+Hydros!F20/$C204,3),",",K$186," "),"")</f>
        <v xml:space="preserve">11.075,3.6 </v>
      </c>
      <c r="L204" s="357" t="str">
        <f>IFERROR(CONCATENATE(ROUND($B204+Hydros!G20/$C204,3),",",L$186," "),"")</f>
        <v xml:space="preserve">11.316,5.4 </v>
      </c>
      <c r="M204" s="357" t="str">
        <f>IFERROR(CONCATENATE(ROUND($B204+Hydros!H20/$C204,3),",",M$186," "),"")</f>
        <v xml:space="preserve">11.55,7.2 </v>
      </c>
      <c r="N204" s="357" t="str">
        <f>IFERROR(CONCATENATE(ROUND($B204+Hydros!I20/$C204,3),",",N$186," "),"")</f>
        <v xml:space="preserve">11.931,9 </v>
      </c>
      <c r="O204" s="357" t="str">
        <f>IFERROR(CONCATENATE(ROUND($B204+Hydros!J20/$C204,3),",",O$186," "),"")</f>
        <v xml:space="preserve">12.244,10.1 </v>
      </c>
      <c r="P204" s="357" t="str">
        <f>IFERROR(CONCATENATE(ROUND($B204+Hydros!K20/$C204,3),",",P$186," "),"")</f>
        <v xml:space="preserve">12.399,10.8 </v>
      </c>
      <c r="Q204" s="357" t="str">
        <f>IFERROR(CONCATENATE(ROUND($B204+Hydros!L20/$C204,3),",",Q$186," "),"")</f>
        <v xml:space="preserve">12.697,12.6 </v>
      </c>
      <c r="R204" s="357" t="str">
        <f>IFERROR(CONCATENATE(ROUND($B204+Hydros!M20/$C204,3),",",R$186," "),"")</f>
        <v xml:space="preserve">13.035,14.19 </v>
      </c>
      <c r="S204" s="357" t="str">
        <f>IFERROR(CONCATENATE(ROUND($B204+Hydros!N20/$C204,3),",",S$186," "),"")</f>
        <v/>
      </c>
      <c r="T204" s="357" t="str">
        <f>IFERROR(CONCATENATE(ROUND($B204+Hydros!O20/$C204,3),",",T$186," "),"")</f>
        <v/>
      </c>
      <c r="U204" s="357" t="str">
        <f>IFERROR(CONCATENATE(ROUND($B204+Hydros!P20/$C204,3),",",U$186," "),"")</f>
        <v/>
      </c>
      <c r="V204" s="357" t="str">
        <f>IFERROR(CONCATENATE(ROUND($B204+Hydros!Q20/$C204,3),",",V$186," "),"")</f>
        <v/>
      </c>
      <c r="W204" s="357" t="str">
        <f>IFERROR(CONCATENATE(ROUND($B204+Hydros!R20/$C204,3),",",W$186," "),"")</f>
        <v/>
      </c>
      <c r="X204" s="357" t="str">
        <f>IFERROR(CONCATENATE(ROUND($B204+Hydros!S20/$C204,3),",",X$186," "),"")</f>
        <v/>
      </c>
      <c r="Y204" s="357" t="str">
        <f>IFERROR(CONCATENATE(ROUND($B204+Hydros!T20/$C204,3),",",Y$186," "),"")</f>
        <v/>
      </c>
      <c r="Z204" s="357" t="str">
        <f>IFERROR(CONCATENATE(ROUND($B204+Hydros!U20/$C204,3),",",Z$186," "),"")</f>
        <v/>
      </c>
      <c r="AA204" s="357" t="str">
        <f>IFERROR(CONCATENATE(ROUND($B204+Hydros!V20/$C204,3),",",AA$186," "),"")</f>
        <v/>
      </c>
      <c r="AB204" s="357" t="str">
        <f>IFERROR(CONCATENATE(ROUND($B204+Hydros!W20/$C204,3),",",AB$186," "),"")</f>
        <v/>
      </c>
      <c r="AC204" s="357" t="str">
        <f>IFERROR(CONCATENATE(ROUND($B204+Hydros!X20/$C204,3),",",AC$186," "),"")</f>
        <v/>
      </c>
      <c r="AD204" s="357" t="str">
        <f>IFERROR(CONCATENATE(ROUND($B204+Hydros!Y20/$C204,3),",",AD$186," "),"")</f>
        <v/>
      </c>
      <c r="AE204" s="361" t="str">
        <f>IFERROR(CONCATENATE(ROUND($B204+Hydros!Z20/$C204,3),",",AE$186," "),"")</f>
        <v/>
      </c>
    </row>
    <row r="205" spans="1:31" x14ac:dyDescent="0.25">
      <c r="A205" s="355" t="str">
        <f>IF(MIN(Hydros!C21:AA21)&lt;0,"-","+")</f>
        <v>+</v>
      </c>
      <c r="B205" s="367">
        <f>IF(MIN(Hydros!C21:AA21)&lt;0,10,0)</f>
        <v>0</v>
      </c>
      <c r="C205" s="368">
        <f>IFERROR(POWER(10,INT(LOG(MAX(Hydros!B21:Z21,-MIN(Hydros!B21:Z21))))),"")</f>
        <v>10</v>
      </c>
      <c r="D205" s="371" t="s">
        <v>78</v>
      </c>
      <c r="E205" s="372"/>
      <c r="F205" s="370" t="str">
        <f t="shared" ref="F205:F208" si="457">IF(AND(G205="",H205=""),"","Spline ")</f>
        <v xml:space="preserve">Spline </v>
      </c>
      <c r="G205" s="357" t="str">
        <f>IFERROR(CONCATENATE(ROUND($B205+Hydros!B21/$C205,3),",",G$186," "),"")</f>
        <v xml:space="preserve">0,0 </v>
      </c>
      <c r="H205" s="357" t="str">
        <f>IFERROR(CONCATENATE(ROUND($B205+Hydros!C21/$C205,3),",",H$186," "),"")</f>
        <v xml:space="preserve">0.09,0.9 </v>
      </c>
      <c r="I205" s="357" t="str">
        <f>IFERROR(CONCATENATE(ROUND($B205+Hydros!D21/$C205,3),",",I$186," "),"")</f>
        <v xml:space="preserve">0.18,1.8 </v>
      </c>
      <c r="J205" s="357" t="str">
        <f>IFERROR(CONCATENATE(ROUND($B205+Hydros!E21/$C205,3),",",J$186," "),"")</f>
        <v xml:space="preserve">0.27,2.7 </v>
      </c>
      <c r="K205" s="357" t="str">
        <f>IFERROR(CONCATENATE(ROUND($B205+Hydros!F21/$C205,3),",",K$186," "),"")</f>
        <v xml:space="preserve">0.36,3.6 </v>
      </c>
      <c r="L205" s="357" t="str">
        <f>IFERROR(CONCATENATE(ROUND($B205+Hydros!G21/$C205,3),",",L$186," "),"")</f>
        <v xml:space="preserve">0.54,5.4 </v>
      </c>
      <c r="M205" s="357" t="str">
        <f>IFERROR(CONCATENATE(ROUND($B205+Hydros!H21/$C205,3),",",M$186," "),"")</f>
        <v xml:space="preserve">0.72,7.2 </v>
      </c>
      <c r="N205" s="357" t="str">
        <f>IFERROR(CONCATENATE(ROUND($B205+Hydros!I21/$C205,3),",",N$186," "),"")</f>
        <v xml:space="preserve">0.9,9 </v>
      </c>
      <c r="O205" s="357" t="str">
        <f>IFERROR(CONCATENATE(ROUND($B205+Hydros!J21/$C205,3),",",O$186," "),"")</f>
        <v xml:space="preserve">1.01,10.1 </v>
      </c>
      <c r="P205" s="357" t="str">
        <f>IFERROR(CONCATENATE(ROUND($B205+Hydros!K21/$C205,3),",",P$186," "),"")</f>
        <v xml:space="preserve">1.08,10.8 </v>
      </c>
      <c r="Q205" s="357" t="str">
        <f>IFERROR(CONCATENATE(ROUND($B205+Hydros!L21/$C205,3),",",Q$186," "),"")</f>
        <v xml:space="preserve">1.26,12.6 </v>
      </c>
      <c r="R205" s="357" t="str">
        <f>IFERROR(CONCATENATE(ROUND($B205+Hydros!M21/$C205,3),",",R$186," "),"")</f>
        <v xml:space="preserve">1.419,14.19 </v>
      </c>
      <c r="S205" s="357" t="str">
        <f>IFERROR(CONCATENATE(ROUND($B205+Hydros!N21/$C205,3),",",S$186," "),"")</f>
        <v/>
      </c>
      <c r="T205" s="357" t="str">
        <f>IFERROR(CONCATENATE(ROUND($B205+Hydros!O21/$C205,3),",",T$186," "),"")</f>
        <v/>
      </c>
      <c r="U205" s="357" t="str">
        <f>IFERROR(CONCATENATE(ROUND($B205+Hydros!P21/$C205,3),",",U$186," "),"")</f>
        <v/>
      </c>
      <c r="V205" s="357" t="str">
        <f>IFERROR(CONCATENATE(ROUND($B205+Hydros!Q21/$C205,3),",",V$186," "),"")</f>
        <v/>
      </c>
      <c r="W205" s="357" t="str">
        <f>IFERROR(CONCATENATE(ROUND($B205+Hydros!R21/$C205,3),",",W$186," "),"")</f>
        <v/>
      </c>
      <c r="X205" s="357" t="str">
        <f>IFERROR(CONCATENATE(ROUND($B205+Hydros!S21/$C205,3),",",X$186," "),"")</f>
        <v/>
      </c>
      <c r="Y205" s="357" t="str">
        <f>IFERROR(CONCATENATE(ROUND($B205+Hydros!T21/$C205,3),",",Y$186," "),"")</f>
        <v/>
      </c>
      <c r="Z205" s="357" t="str">
        <f>IFERROR(CONCATENATE(ROUND($B205+Hydros!U21/$C205,3),",",Z$186," "),"")</f>
        <v/>
      </c>
      <c r="AA205" s="357" t="str">
        <f>IFERROR(CONCATENATE(ROUND($B205+Hydros!V21/$C205,3),",",AA$186," "),"")</f>
        <v/>
      </c>
      <c r="AB205" s="357" t="str">
        <f>IFERROR(CONCATENATE(ROUND($B205+Hydros!W21/$C205,3),",",AB$186," "),"")</f>
        <v/>
      </c>
      <c r="AC205" s="357" t="str">
        <f>IFERROR(CONCATENATE(ROUND($B205+Hydros!X21/$C205,3),",",AC$186," "),"")</f>
        <v/>
      </c>
      <c r="AD205" s="357" t="str">
        <f>IFERROR(CONCATENATE(ROUND($B205+Hydros!Y21/$C205,3),",",AD$186," "),"")</f>
        <v/>
      </c>
      <c r="AE205" s="361" t="str">
        <f>IFERROR(CONCATENATE(ROUND($B205+Hydros!Z21/$C205,3),",",AE$186," "),"")</f>
        <v/>
      </c>
    </row>
    <row r="206" spans="1:31" x14ac:dyDescent="0.25">
      <c r="A206" s="355" t="str">
        <f>IF(MIN(Hydros!C22:AA22)&lt;0,"-","+")</f>
        <v>+</v>
      </c>
      <c r="B206" s="367">
        <f>IF(MIN(Hydros!C22:AA22)&lt;0,10,0)</f>
        <v>0</v>
      </c>
      <c r="C206" s="368">
        <f>IFERROR(POWER(10,INT(LOG(MAX(Hydros!B22:Z22,-MIN(Hydros!B22:Z22))))),"")</f>
        <v>0.1</v>
      </c>
      <c r="D206" s="371" t="s">
        <v>275</v>
      </c>
      <c r="E206" s="372"/>
      <c r="F206" s="370" t="str">
        <f>IF(AND(G206="",H206=""),"","Spline ")</f>
        <v xml:space="preserve">Spline </v>
      </c>
      <c r="G206" s="357" t="str">
        <f>IFERROR(CONCATENATE(ROUND($B206+Hydros!B22/$C206,3),",",G$186," "),"")</f>
        <v xml:space="preserve">3.796,0 </v>
      </c>
      <c r="H206" s="357" t="str">
        <f>IFERROR(CONCATENATE(ROUND($B206+Hydros!C22/$C206,3),",",H$186," "),"")</f>
        <v xml:space="preserve">4.985,0.9 </v>
      </c>
      <c r="I206" s="357" t="str">
        <f>IFERROR(CONCATENATE(ROUND($B206+Hydros!D22/$C206,3),",",I$186," "),"")</f>
        <v xml:space="preserve">5.391,1.8 </v>
      </c>
      <c r="J206" s="357" t="str">
        <f>IFERROR(CONCATENATE(ROUND($B206+Hydros!E22/$C206,3),",",J$186," "),"")</f>
        <v xml:space="preserve">5.733,2.7 </v>
      </c>
      <c r="K206" s="357" t="str">
        <f>IFERROR(CONCATENATE(ROUND($B206+Hydros!F22/$C206,3),",",K$186," "),"")</f>
        <v xml:space="preserve">6.058,3.6 </v>
      </c>
      <c r="L206" s="357" t="str">
        <f>IFERROR(CONCATENATE(ROUND($B206+Hydros!G22/$C206,3),",",L$186," "),"")</f>
        <v xml:space="preserve">6.671,5.4 </v>
      </c>
      <c r="M206" s="357" t="str">
        <f>IFERROR(CONCATENATE(ROUND($B206+Hydros!H22/$C206,3),",",M$186," "),"")</f>
        <v xml:space="preserve">7.2,7.2 </v>
      </c>
      <c r="N206" s="357" t="str">
        <f>IFERROR(CONCATENATE(ROUND($B206+Hydros!I22/$C206,3),",",N$186," "),"")</f>
        <v xml:space="preserve">7.837,9 </v>
      </c>
      <c r="O206" s="357" t="str">
        <f>IFERROR(CONCATENATE(ROUND($B206+Hydros!J22/$C206,3),",",O$186," "),"")</f>
        <v xml:space="preserve">8.27,10.1 </v>
      </c>
      <c r="P206" s="357" t="str">
        <f>IFERROR(CONCATENATE(ROUND($B206+Hydros!K22/$C206,3),",",P$186," "),"")</f>
        <v xml:space="preserve">8.479,10.8 </v>
      </c>
      <c r="Q206" s="357" t="str">
        <f>IFERROR(CONCATENATE(ROUND($B206+Hydros!L22/$C206,3),",",Q$186," "),"")</f>
        <v xml:space="preserve">8.87,12.6 </v>
      </c>
      <c r="R206" s="357" t="str">
        <f>IFERROR(CONCATENATE(ROUND($B206+Hydros!M22/$C206,3),",",R$186," "),"")</f>
        <v xml:space="preserve">9.324,14.19 </v>
      </c>
      <c r="S206" s="357" t="str">
        <f>IFERROR(CONCATENATE(ROUND($B206+Hydros!N22/$C206,3),",",S$186," "),"")</f>
        <v/>
      </c>
      <c r="T206" s="357" t="str">
        <f>IFERROR(CONCATENATE(ROUND($B206+Hydros!O22/$C206,3),",",T$186," "),"")</f>
        <v/>
      </c>
      <c r="U206" s="357" t="str">
        <f>IFERROR(CONCATENATE(ROUND($B206+Hydros!P22/$C206,3),",",U$186," "),"")</f>
        <v/>
      </c>
      <c r="V206" s="357" t="str">
        <f>IFERROR(CONCATENATE(ROUND($B206+Hydros!Q22/$C206,3),",",V$186," "),"")</f>
        <v/>
      </c>
      <c r="W206" s="357" t="str">
        <f>IFERROR(CONCATENATE(ROUND($B206+Hydros!R22/$C206,3),",",W$186," "),"")</f>
        <v/>
      </c>
      <c r="X206" s="357" t="str">
        <f>IFERROR(CONCATENATE(ROUND($B206+Hydros!S22/$C206,3),",",X$186," "),"")</f>
        <v/>
      </c>
      <c r="Y206" s="357" t="str">
        <f>IFERROR(CONCATENATE(ROUND($B206+Hydros!T22/$C206,3),",",Y$186," "),"")</f>
        <v/>
      </c>
      <c r="Z206" s="357" t="str">
        <f>IFERROR(CONCATENATE(ROUND($B206+Hydros!U22/$C206,3),",",Z$186," "),"")</f>
        <v/>
      </c>
      <c r="AA206" s="357" t="str">
        <f>IFERROR(CONCATENATE(ROUND($B206+Hydros!V22/$C206,3),",",AA$186," "),"")</f>
        <v/>
      </c>
      <c r="AB206" s="357" t="str">
        <f>IFERROR(CONCATENATE(ROUND($B206+Hydros!W22/$C206,3),",",AB$186," "),"")</f>
        <v/>
      </c>
      <c r="AC206" s="357" t="str">
        <f>IFERROR(CONCATENATE(ROUND($B206+Hydros!X22/$C206,3),",",AC$186," "),"")</f>
        <v/>
      </c>
      <c r="AD206" s="357" t="str">
        <f>IFERROR(CONCATENATE(ROUND($B206+Hydros!Y22/$C206,3),",",AD$186," "),"")</f>
        <v/>
      </c>
      <c r="AE206" s="361" t="str">
        <f>IFERROR(CONCATENATE(ROUND($B206+Hydros!Z22/$C206,3),",",AE$186," "),"")</f>
        <v/>
      </c>
    </row>
    <row r="207" spans="1:31" x14ac:dyDescent="0.25">
      <c r="A207" s="355" t="str">
        <f>IF(MIN(Hydros!C23:AA23)&lt;0,"-","+")</f>
        <v>+</v>
      </c>
      <c r="B207" s="367">
        <f>IF(MIN(Hydros!C23:AA23)&lt;0,10,0)</f>
        <v>0</v>
      </c>
      <c r="C207" s="368">
        <f>IFERROR(POWER(10,INT(LOG(MAX(Hydros!B23:Z23,-MIN(Hydros!B23:Z23))))),"")</f>
        <v>0.1</v>
      </c>
      <c r="D207" s="371" t="s">
        <v>276</v>
      </c>
      <c r="E207" s="372"/>
      <c r="F207" s="370" t="str">
        <f>IF(AND(G207="",H207=""),"","Spline ")</f>
        <v xml:space="preserve">Spline </v>
      </c>
      <c r="G207" s="357" t="str">
        <f>IFERROR(CONCATENATE(ROUND($B207+Hydros!B23/$C207,3),",",G$186," "),"")</f>
        <v/>
      </c>
      <c r="H207" s="357" t="str">
        <f>IFERROR(CONCATENATE(ROUND($B207+Hydros!C23/$C207,3),",",H$186," "),"")</f>
        <v xml:space="preserve">4.08,0.9 </v>
      </c>
      <c r="I207" s="357" t="str">
        <f>IFERROR(CONCATENATE(ROUND($B207+Hydros!D23/$C207,3),",",I$186," "),"")</f>
        <v xml:space="preserve">4.42,1.8 </v>
      </c>
      <c r="J207" s="357" t="str">
        <f>IFERROR(CONCATENATE(ROUND($B207+Hydros!E23/$C207,3),",",J$186," "),"")</f>
        <v xml:space="preserve">4.667,2.7 </v>
      </c>
      <c r="K207" s="357" t="str">
        <f>IFERROR(CONCATENATE(ROUND($B207+Hydros!F23/$C207,3),",",K$186," "),"")</f>
        <v xml:space="preserve">4.951,3.6 </v>
      </c>
      <c r="L207" s="357" t="str">
        <f>IFERROR(CONCATENATE(ROUND($B207+Hydros!G23/$C207,3),",",L$186," "),"")</f>
        <v xml:space="preserve">5.422,5.4 </v>
      </c>
      <c r="M207" s="357" t="str">
        <f>IFERROR(CONCATENATE(ROUND($B207+Hydros!H23/$C207,3),",",M$186," "),"")</f>
        <v xml:space="preserve">5.804,7.2 </v>
      </c>
      <c r="N207" s="357" t="str">
        <f>IFERROR(CONCATENATE(ROUND($B207+Hydros!I23/$C207,3),",",N$186," "),"")</f>
        <v xml:space="preserve">6.139,9 </v>
      </c>
      <c r="O207" s="357" t="str">
        <f>IFERROR(CONCATENATE(ROUND($B207+Hydros!J23/$C207,3),",",O$186," "),"")</f>
        <v xml:space="preserve">6.346,10.1 </v>
      </c>
      <c r="P207" s="357" t="str">
        <f>IFERROR(CONCATENATE(ROUND($B207+Hydros!K23/$C207,3),",",P$186," "),"")</f>
        <v xml:space="preserve">6.483,10.8 </v>
      </c>
      <c r="Q207" s="357" t="str">
        <f>IFERROR(CONCATENATE(ROUND($B207+Hydros!L23/$C207,3),",",Q$186," "),"")</f>
        <v xml:space="preserve">6.794,12.6 </v>
      </c>
      <c r="R207" s="357" t="str">
        <f>IFERROR(CONCATENATE(ROUND($B207+Hydros!M23/$C207,3),",",R$186," "),"")</f>
        <v xml:space="preserve">7.052,14.19 </v>
      </c>
      <c r="S207" s="357" t="str">
        <f>IFERROR(CONCATENATE(ROUND($B207+Hydros!N23/$C207,3),",",S$186," "),"")</f>
        <v/>
      </c>
      <c r="T207" s="357" t="str">
        <f>IFERROR(CONCATENATE(ROUND($B207+Hydros!O23/$C207,3),",",T$186," "),"")</f>
        <v/>
      </c>
      <c r="U207" s="357" t="str">
        <f>IFERROR(CONCATENATE(ROUND($B207+Hydros!P23/$C207,3),",",U$186," "),"")</f>
        <v/>
      </c>
      <c r="V207" s="357" t="str">
        <f>IFERROR(CONCATENATE(ROUND($B207+Hydros!Q23/$C207,3),",",V$186," "),"")</f>
        <v/>
      </c>
      <c r="W207" s="357" t="str">
        <f>IFERROR(CONCATENATE(ROUND($B207+Hydros!R23/$C207,3),",",W$186," "),"")</f>
        <v/>
      </c>
      <c r="X207" s="357" t="str">
        <f>IFERROR(CONCATENATE(ROUND($B207+Hydros!S23/$C207,3),",",X$186," "),"")</f>
        <v/>
      </c>
      <c r="Y207" s="357" t="str">
        <f>IFERROR(CONCATENATE(ROUND($B207+Hydros!T23/$C207,3),",",Y$186," "),"")</f>
        <v/>
      </c>
      <c r="Z207" s="357" t="str">
        <f>IFERROR(CONCATENATE(ROUND($B207+Hydros!U23/$C207,3),",",Z$186," "),"")</f>
        <v/>
      </c>
      <c r="AA207" s="357" t="str">
        <f>IFERROR(CONCATENATE(ROUND($B207+Hydros!V23/$C207,3),",",AA$186," "),"")</f>
        <v/>
      </c>
      <c r="AB207" s="357" t="str">
        <f>IFERROR(CONCATENATE(ROUND($B207+Hydros!W23/$C207,3),",",AB$186," "),"")</f>
        <v/>
      </c>
      <c r="AC207" s="357" t="str">
        <f>IFERROR(CONCATENATE(ROUND($B207+Hydros!X23/$C207,3),",",AC$186," "),"")</f>
        <v/>
      </c>
      <c r="AD207" s="357" t="str">
        <f>IFERROR(CONCATENATE(ROUND($B207+Hydros!Y23/$C207,3),",",AD$186," "),"")</f>
        <v/>
      </c>
      <c r="AE207" s="361" t="str">
        <f>IFERROR(CONCATENATE(ROUND($B207+Hydros!Z23/$C207,3),",",AE$186," "),"")</f>
        <v/>
      </c>
    </row>
    <row r="208" spans="1:31" x14ac:dyDescent="0.25">
      <c r="A208" s="355" t="str">
        <f>IF(MIN(Hydros!C24:AA24)&lt;0,"-","+")</f>
        <v>+</v>
      </c>
      <c r="B208" s="367">
        <f>IF(MIN(Hydros!C24:AA24)&lt;0,10,0)</f>
        <v>0</v>
      </c>
      <c r="C208" s="368">
        <f>IFERROR(POWER(10,INT(LOG(MAX(Hydros!B24:Z24,-MIN(Hydros!B24:Z24))))),"")</f>
        <v>0.1</v>
      </c>
      <c r="D208" s="371" t="s">
        <v>277</v>
      </c>
      <c r="E208" s="372"/>
      <c r="F208" s="370" t="str">
        <f t="shared" si="457"/>
        <v xml:space="preserve">Spline </v>
      </c>
      <c r="G208" s="357" t="str">
        <f>IFERROR(CONCATENATE(ROUND($B208+Hydros!B24/$C208,3),",",G$186," "),"")</f>
        <v/>
      </c>
      <c r="H208" s="357" t="str">
        <f>IFERROR(CONCATENATE(ROUND($B208+Hydros!C24/$C208,3),",",H$186," "),"")</f>
        <v xml:space="preserve">8.934,0.9 </v>
      </c>
      <c r="I208" s="357" t="str">
        <f>IFERROR(CONCATENATE(ROUND($B208+Hydros!D24/$C208,3),",",I$186," "),"")</f>
        <v xml:space="preserve">8.981,1.8 </v>
      </c>
      <c r="J208" s="357" t="str">
        <f>IFERROR(CONCATENATE(ROUND($B208+Hydros!E24/$C208,3),",",J$186," "),"")</f>
        <v xml:space="preserve">9.068,2.7 </v>
      </c>
      <c r="K208" s="357" t="str">
        <f>IFERROR(CONCATENATE(ROUND($B208+Hydros!F24/$C208,3),",",K$186," "),"")</f>
        <v xml:space="preserve">9.248,3.6 </v>
      </c>
      <c r="L208" s="357" t="str">
        <f>IFERROR(CONCATENATE(ROUND($B208+Hydros!G24/$C208,3),",",L$186," "),"")</f>
        <v xml:space="preserve">9.496,5.4 </v>
      </c>
      <c r="M208" s="357" t="str">
        <f>IFERROR(CONCATENATE(ROUND($B208+Hydros!H24/$C208,3),",",M$186," "),"")</f>
        <v xml:space="preserve">9.624,7.2 </v>
      </c>
      <c r="N208" s="357" t="str">
        <f>IFERROR(CONCATENATE(ROUND($B208+Hydros!I24/$C208,3),",",N$186," "),"")</f>
        <v xml:space="preserve">9.698,9 </v>
      </c>
      <c r="O208" s="357" t="str">
        <f>IFERROR(CONCATENATE(ROUND($B208+Hydros!J24/$C208,3),",",O$186," "),"")</f>
        <v xml:space="preserve">9.731,10.1 </v>
      </c>
      <c r="P208" s="357" t="str">
        <f>IFERROR(CONCATENATE(ROUND($B208+Hydros!K24/$C208,3),",",P$186," "),"")</f>
        <v xml:space="preserve">9.749,10.8 </v>
      </c>
      <c r="Q208" s="357" t="str">
        <f>IFERROR(CONCATENATE(ROUND($B208+Hydros!L24/$C208,3),",",Q$186," "),"")</f>
        <v xml:space="preserve">9.784,12.6 </v>
      </c>
      <c r="R208" s="357" t="str">
        <f>IFERROR(CONCATENATE(ROUND($B208+Hydros!M24/$C208,3),",",R$186," "),"")</f>
        <v xml:space="preserve">9.808,14.19 </v>
      </c>
      <c r="S208" s="357" t="str">
        <f>IFERROR(CONCATENATE(ROUND($B208+Hydros!N24/$C208,3),",",S$186," "),"")</f>
        <v/>
      </c>
      <c r="T208" s="357" t="str">
        <f>IFERROR(CONCATENATE(ROUND($B208+Hydros!O24/$C208,3),",",T$186," "),"")</f>
        <v/>
      </c>
      <c r="U208" s="357" t="str">
        <f>IFERROR(CONCATENATE(ROUND($B208+Hydros!P24/$C208,3),",",U$186," "),"")</f>
        <v/>
      </c>
      <c r="V208" s="357" t="str">
        <f>IFERROR(CONCATENATE(ROUND($B208+Hydros!Q24/$C208,3),",",V$186," "),"")</f>
        <v/>
      </c>
      <c r="W208" s="357" t="str">
        <f>IFERROR(CONCATENATE(ROUND($B208+Hydros!R24/$C208,3),",",W$186," "),"")</f>
        <v/>
      </c>
      <c r="X208" s="357" t="str">
        <f>IFERROR(CONCATENATE(ROUND($B208+Hydros!S24/$C208,3),",",X$186," "),"")</f>
        <v/>
      </c>
      <c r="Y208" s="357" t="str">
        <f>IFERROR(CONCATENATE(ROUND($B208+Hydros!T24/$C208,3),",",Y$186," "),"")</f>
        <v/>
      </c>
      <c r="Z208" s="357" t="str">
        <f>IFERROR(CONCATENATE(ROUND($B208+Hydros!U24/$C208,3),",",Z$186," "),"")</f>
        <v/>
      </c>
      <c r="AA208" s="357" t="str">
        <f>IFERROR(CONCATENATE(ROUND($B208+Hydros!V24/$C208,3),",",AA$186," "),"")</f>
        <v/>
      </c>
      <c r="AB208" s="357" t="str">
        <f>IFERROR(CONCATENATE(ROUND($B208+Hydros!W24/$C208,3),",",AB$186," "),"")</f>
        <v/>
      </c>
      <c r="AC208" s="357" t="str">
        <f>IFERROR(CONCATENATE(ROUND($B208+Hydros!X24/$C208,3),",",AC$186," "),"")</f>
        <v/>
      </c>
      <c r="AD208" s="357" t="str">
        <f>IFERROR(CONCATENATE(ROUND($B208+Hydros!Y24/$C208,3),",",AD$186," "),"")</f>
        <v/>
      </c>
      <c r="AE208" s="361" t="str">
        <f>IFERROR(CONCATENATE(ROUND($B208+Hydros!Z24/$C208,3),",",AE$186," "),"")</f>
        <v/>
      </c>
    </row>
    <row r="209" spans="1:31" x14ac:dyDescent="0.25">
      <c r="A209" s="378" t="str">
        <f>IF(MIN(Hydros!C25:AA25)&lt;0,"-","+")</f>
        <v>+</v>
      </c>
      <c r="B209" s="379">
        <v>10</v>
      </c>
      <c r="C209" s="380">
        <f>IFERROR(POWER(10,INT(LOG(MAX(Hydros!B25:Z25,-MIN(Hydros!B25:Z25))))),"")</f>
        <v>0.1</v>
      </c>
      <c r="D209" s="381" t="s">
        <v>278</v>
      </c>
      <c r="E209" s="382"/>
      <c r="F209" s="383" t="str">
        <f>IF(AND(G209="",H209=""),"","Spline ")</f>
        <v xml:space="preserve">Spline </v>
      </c>
      <c r="G209" s="384" t="str">
        <f>IFERROR(CONCATENATE(ROUND($B209+Hydros!B25/$C209,3),",",G$186," "),"")</f>
        <v/>
      </c>
      <c r="H209" s="384" t="str">
        <f>IFERROR(CONCATENATE(ROUND($B209+Hydros!C25/$C209,3),",",H$186," "),"")</f>
        <v xml:space="preserve">14.567,0.9 </v>
      </c>
      <c r="I209" s="384" t="str">
        <f>IFERROR(CONCATENATE(ROUND($B209+Hydros!D25/$C209,3),",",I$186," "),"")</f>
        <v xml:space="preserve">14.922,1.8 </v>
      </c>
      <c r="J209" s="384" t="str">
        <f>IFERROR(CONCATENATE(ROUND($B209+Hydros!E25/$C209,3),",",J$186," "),"")</f>
        <v xml:space="preserve">15.146,2.7 </v>
      </c>
      <c r="K209" s="384" t="str">
        <f>IFERROR(CONCATENATE(ROUND($B209+Hydros!F25/$C209,3),",",K$186," "),"")</f>
        <v xml:space="preserve">15.354,3.6 </v>
      </c>
      <c r="L209" s="384" t="str">
        <f>IFERROR(CONCATENATE(ROUND($B209+Hydros!G25/$C209,3),",",L$186," "),"")</f>
        <v xml:space="preserve">15.71,5.4 </v>
      </c>
      <c r="M209" s="384" t="str">
        <f>IFERROR(CONCATENATE(ROUND($B209+Hydros!H25/$C209,3),",",M$186," "),"")</f>
        <v xml:space="preserve">16.031,7.2 </v>
      </c>
      <c r="N209" s="384" t="str">
        <f>IFERROR(CONCATENATE(ROUND($B209+Hydros!I25/$C209,3),",",N$186," "),"")</f>
        <v xml:space="preserve">16.33,9 </v>
      </c>
      <c r="O209" s="384" t="str">
        <f>IFERROR(CONCATENATE(ROUND($B209+Hydros!J25/$C209,3),",",O$186," "),"")</f>
        <v xml:space="preserve">16.522,10.1 </v>
      </c>
      <c r="P209" s="384" t="str">
        <f>IFERROR(CONCATENATE(ROUND($B209+Hydros!K25/$C209,3),",",P$186," "),"")</f>
        <v xml:space="preserve">16.65,10.8 </v>
      </c>
      <c r="Q209" s="384" t="str">
        <f>IFERROR(CONCATENATE(ROUND($B209+Hydros!L25/$C209,3),",",Q$186," "),"")</f>
        <v xml:space="preserve">16.944,12.6 </v>
      </c>
      <c r="R209" s="384" t="str">
        <f>IFERROR(CONCATENATE(ROUND($B209+Hydros!M25/$C209,3),",",R$186," "),"")</f>
        <v xml:space="preserve">17.19,14.19 </v>
      </c>
      <c r="S209" s="384" t="str">
        <f>IFERROR(CONCATENATE(ROUND($B209+Hydros!N25/$C209,3),",",S$186," "),"")</f>
        <v/>
      </c>
      <c r="T209" s="384" t="str">
        <f>IFERROR(CONCATENATE(ROUND($B209+Hydros!O25/$C209,3),",",T$186," "),"")</f>
        <v/>
      </c>
      <c r="U209" s="384" t="str">
        <f>IFERROR(CONCATENATE(ROUND($B209+Hydros!P25/$C209,3),",",U$186," "),"")</f>
        <v/>
      </c>
      <c r="V209" s="384" t="str">
        <f>IFERROR(CONCATENATE(ROUND($B209+Hydros!Q25/$C209,3),",",V$186," "),"")</f>
        <v/>
      </c>
      <c r="W209" s="384" t="str">
        <f>IFERROR(CONCATENATE(ROUND($B209+Hydros!R25/$C209,3),",",W$186," "),"")</f>
        <v/>
      </c>
      <c r="X209" s="384" t="str">
        <f>IFERROR(CONCATENATE(ROUND($B209+Hydros!S25/$C209,3),",",X$186," "),"")</f>
        <v/>
      </c>
      <c r="Y209" s="384" t="str">
        <f>IFERROR(CONCATENATE(ROUND($B209+Hydros!T25/$C209,3),",",Y$186," "),"")</f>
        <v/>
      </c>
      <c r="Z209" s="384" t="str">
        <f>IFERROR(CONCATENATE(ROUND($B209+Hydros!U25/$C209,3),",",Z$186," "),"")</f>
        <v/>
      </c>
      <c r="AA209" s="384" t="str">
        <f>IFERROR(CONCATENATE(ROUND($B209+Hydros!V25/$C209,3),",",AA$186," "),"")</f>
        <v/>
      </c>
      <c r="AB209" s="384" t="str">
        <f>IFERROR(CONCATENATE(ROUND($B209+Hydros!W25/$C209,3),",",AB$186," "),"")</f>
        <v/>
      </c>
      <c r="AC209" s="384" t="str">
        <f>IFERROR(CONCATENATE(ROUND($B209+Hydros!X25/$C209,3),",",AC$186," "),"")</f>
        <v/>
      </c>
      <c r="AD209" s="384" t="str">
        <f>IFERROR(CONCATENATE(ROUND($B209+Hydros!Y25/$C209,3),",",AD$186," "),"")</f>
        <v/>
      </c>
      <c r="AE209" s="385" t="str">
        <f>IFERROR(CONCATENATE(ROUND($B209+Hydros!Z25/$C209,3),",",AE$186," "),"")</f>
        <v/>
      </c>
    </row>
    <row r="210" spans="1:31" x14ac:dyDescent="0.25">
      <c r="A210" s="274"/>
      <c r="B210" s="277"/>
      <c r="C210" s="277"/>
      <c r="D210" s="386" t="s">
        <v>260</v>
      </c>
      <c r="E210" s="387">
        <f>IFERROR(Tools!G186*1,NA())</f>
        <v>0</v>
      </c>
      <c r="F210" s="387">
        <f>IFERROR(Tools!H186*1,NA())</f>
        <v>0.9</v>
      </c>
      <c r="G210" s="387">
        <f>IFERROR(Tools!I186*1,NA())</f>
        <v>1.8</v>
      </c>
      <c r="H210" s="387">
        <f>IFERROR(Tools!J186*1,NA())</f>
        <v>2.7</v>
      </c>
      <c r="I210" s="387">
        <f>IFERROR(Tools!K186*1,NA())</f>
        <v>3.6</v>
      </c>
      <c r="J210" s="387">
        <f>IFERROR(Tools!L186*1,NA())</f>
        <v>5.4</v>
      </c>
      <c r="K210" s="387">
        <f>IFERROR(Tools!M186*1,NA())</f>
        <v>7.2</v>
      </c>
      <c r="L210" s="387">
        <f>IFERROR(Tools!N186*1,NA())</f>
        <v>9</v>
      </c>
      <c r="M210" s="387">
        <f>IFERROR(Tools!O186*1,NA())</f>
        <v>10.1</v>
      </c>
      <c r="N210" s="387">
        <f>IFERROR(Tools!P186*1,NA())</f>
        <v>10.8</v>
      </c>
      <c r="O210" s="387">
        <f>IFERROR(Tools!Q186*1,NA())</f>
        <v>12.6</v>
      </c>
      <c r="P210" s="387">
        <f>IFERROR(Tools!R186*1,NA())</f>
        <v>14.19</v>
      </c>
      <c r="Q210" s="387" t="e">
        <f>IFERROR(Tools!S186*1,NA())</f>
        <v>#N/A</v>
      </c>
      <c r="R210" s="387" t="e">
        <f>IFERROR(Tools!T186*1,NA())</f>
        <v>#N/A</v>
      </c>
      <c r="S210" s="387" t="e">
        <f>IFERROR(Tools!U186*1,NA())</f>
        <v>#N/A</v>
      </c>
      <c r="T210" s="387" t="e">
        <f>IFERROR(Tools!V186*1,NA())</f>
        <v>#N/A</v>
      </c>
      <c r="U210" s="387" t="e">
        <f>IFERROR(Tools!W186*1,NA())</f>
        <v>#N/A</v>
      </c>
      <c r="V210" s="387" t="e">
        <f>IFERROR(Tools!X186*1,NA())</f>
        <v>#N/A</v>
      </c>
      <c r="W210" s="387" t="e">
        <f>IFERROR(Tools!Y186*1,NA())</f>
        <v>#N/A</v>
      </c>
      <c r="X210" s="387" t="e">
        <f>IFERROR(Tools!Z186*1,NA())</f>
        <v>#N/A</v>
      </c>
      <c r="Y210" s="387" t="e">
        <f>IFERROR(Tools!AA186*1,NA())</f>
        <v>#N/A</v>
      </c>
      <c r="Z210" s="387" t="e">
        <f>IFERROR(Tools!AB186*1,NA())</f>
        <v>#N/A</v>
      </c>
      <c r="AA210" s="387" t="e">
        <f>IFERROR(Tools!AC186*1,NA())</f>
        <v>#N/A</v>
      </c>
      <c r="AB210" s="387" t="e">
        <f>IFERROR(Tools!AD186*1,NA())</f>
        <v>#N/A</v>
      </c>
      <c r="AC210" s="387" t="e">
        <f>IFERROR(Tools!AE186*1,NA())</f>
        <v>#N/A</v>
      </c>
      <c r="AD210" s="277"/>
      <c r="AE210" s="276"/>
    </row>
    <row r="211" spans="1:31" x14ac:dyDescent="0.25">
      <c r="A211" s="274"/>
      <c r="B211" s="277"/>
      <c r="C211" s="277"/>
      <c r="D211" s="388" t="s">
        <v>187</v>
      </c>
      <c r="E211" s="389">
        <f>IFERROR((Tools!$B187+ROUND(Hydros!B3/Tools!$C187,3)),NA())</f>
        <v>10.86</v>
      </c>
      <c r="F211" s="389">
        <f>IFERROR((Tools!$B187+ROUND(Hydros!C3/Tools!$C187,3)),NA())</f>
        <v>11.423</v>
      </c>
      <c r="G211" s="389">
        <f>IFERROR((Tools!$B187+ROUND(Hydros!D3/Tools!$C187,3)),NA())</f>
        <v>11.67</v>
      </c>
      <c r="H211" s="389">
        <f>IFERROR((Tools!$B187+ROUND(Hydros!E3/Tools!$C187,3)),NA())</f>
        <v>11.833</v>
      </c>
      <c r="I211" s="389">
        <f>IFERROR((Tools!$B187+ROUND(Hydros!F3/Tools!$C187,3)),NA())</f>
        <v>11.955</v>
      </c>
      <c r="J211" s="389">
        <f>IFERROR((Tools!$B187+ROUND(Hydros!G3/Tools!$C187,3)),NA())</f>
        <v>12.153</v>
      </c>
      <c r="K211" s="389">
        <f>IFERROR((Tools!$B187+ROUND(Hydros!H3/Tools!$C187,3)),NA())</f>
        <v>12.323</v>
      </c>
      <c r="L211" s="389">
        <f>IFERROR((Tools!$B187+ROUND(Hydros!I3/Tools!$C187,3)),NA())</f>
        <v>12.529</v>
      </c>
      <c r="M211" s="389">
        <f>IFERROR((Tools!$B187+ROUND(Hydros!J3/Tools!$C187,3)),NA())</f>
        <v>12.667999999999999</v>
      </c>
      <c r="N211" s="389">
        <f>IFERROR((Tools!$B187+ROUND(Hydros!K3/Tools!$C187,3)),NA())</f>
        <v>12.736000000000001</v>
      </c>
      <c r="O211" s="389">
        <f>IFERROR((Tools!$B187+ROUND(Hydros!L3/Tools!$C187,3)),NA())</f>
        <v>12.862</v>
      </c>
      <c r="P211" s="389">
        <f>IFERROR((Tools!$B187+ROUND(Hydros!M3/Tools!$C187,3)),NA())</f>
        <v>13.009</v>
      </c>
      <c r="Q211" s="389" t="e">
        <f>IFERROR((Tools!$B187+ROUND(Hydros!N3/Tools!$C187,3)),NA())</f>
        <v>#N/A</v>
      </c>
      <c r="R211" s="389" t="e">
        <f>IFERROR((Tools!$B187+ROUND(Hydros!O3/Tools!$C187,3)),NA())</f>
        <v>#N/A</v>
      </c>
      <c r="S211" s="389" t="e">
        <f>IFERROR((Tools!$B187+ROUND(Hydros!P3/Tools!$C187,3)),NA())</f>
        <v>#N/A</v>
      </c>
      <c r="T211" s="389" t="e">
        <f>IFERROR((Tools!$B187+ROUND(Hydros!Q3/Tools!$C187,3)),NA())</f>
        <v>#N/A</v>
      </c>
      <c r="U211" s="389" t="e">
        <f>IFERROR((Tools!$B187+ROUND(Hydros!R3/Tools!$C187,3)),NA())</f>
        <v>#N/A</v>
      </c>
      <c r="V211" s="389" t="e">
        <f>IFERROR((Tools!$B187+ROUND(Hydros!S3/Tools!$C187,3)),NA())</f>
        <v>#N/A</v>
      </c>
      <c r="W211" s="389" t="e">
        <f>IFERROR((Tools!$B187+ROUND(Hydros!T3/Tools!$C187,3)),NA())</f>
        <v>#N/A</v>
      </c>
      <c r="X211" s="389" t="e">
        <f>IFERROR((Tools!$B187+ROUND(Hydros!U3/Tools!$C187,3)),NA())</f>
        <v>#N/A</v>
      </c>
      <c r="Y211" s="389" t="e">
        <f>IFERROR((Tools!$B187+ROUND(Hydros!V3/Tools!$C187,3)),NA())</f>
        <v>#N/A</v>
      </c>
      <c r="Z211" s="389" t="e">
        <f>IFERROR((Tools!$B187+ROUND(Hydros!W3/Tools!$C187,3)),NA())</f>
        <v>#N/A</v>
      </c>
      <c r="AA211" s="389" t="e">
        <f>IFERROR((Tools!$B187+ROUND(Hydros!X3/Tools!$C187,3)),NA())</f>
        <v>#N/A</v>
      </c>
      <c r="AB211" s="389" t="e">
        <f>IFERROR((Tools!$B187+ROUND(Hydros!Y3/Tools!$C187,3)),NA())</f>
        <v>#N/A</v>
      </c>
      <c r="AC211" s="389" t="e">
        <f>IFERROR((Tools!$B187+ROUND(Hydros!Z3/Tools!$C187,3)),NA())</f>
        <v>#N/A</v>
      </c>
      <c r="AD211" s="277"/>
      <c r="AE211" s="276"/>
    </row>
    <row r="212" spans="1:31" x14ac:dyDescent="0.25">
      <c r="A212" s="274"/>
      <c r="B212" s="277"/>
      <c r="C212" s="277"/>
      <c r="D212" s="388" t="s">
        <v>188</v>
      </c>
      <c r="E212" s="389">
        <f>IFERROR((Tools!$B188+ROUND(Hydros!B4/Tools!$C188,3)),NA())</f>
        <v>10.412000000000001</v>
      </c>
      <c r="F212" s="389">
        <f>IFERROR((Tools!$B188+ROUND(Hydros!C4/Tools!$C188,3)),NA())</f>
        <v>10.284000000000001</v>
      </c>
      <c r="G212" s="389">
        <f>IFERROR((Tools!$B188+ROUND(Hydros!D4/Tools!$C188,3)),NA())</f>
        <v>10.364000000000001</v>
      </c>
      <c r="H212" s="389">
        <f>IFERROR((Tools!$B188+ROUND(Hydros!E4/Tools!$C188,3)),NA())</f>
        <v>10.368</v>
      </c>
      <c r="I212" s="389">
        <f>IFERROR((Tools!$B188+ROUND(Hydros!F4/Tools!$C188,3)),NA())</f>
        <v>10.294</v>
      </c>
      <c r="J212" s="389">
        <f>IFERROR((Tools!$B188+ROUND(Hydros!G4/Tools!$C188,3)),NA())</f>
        <v>9.9440000000000008</v>
      </c>
      <c r="K212" s="389">
        <f>IFERROR((Tools!$B188+ROUND(Hydros!H4/Tools!$C188,3)),NA())</f>
        <v>9.4600000000000009</v>
      </c>
      <c r="L212" s="389">
        <f>IFERROR((Tools!$B188+ROUND(Hydros!I4/Tools!$C188,3)),NA())</f>
        <v>8.7970000000000006</v>
      </c>
      <c r="M212" s="389">
        <f>IFERROR((Tools!$B188+ROUND(Hydros!J4/Tools!$C188,3)),NA())</f>
        <v>8.4079999999999995</v>
      </c>
      <c r="N212" s="389">
        <f>IFERROR((Tools!$B188+ROUND(Hydros!K4/Tools!$C188,3)),NA())</f>
        <v>8.3089999999999993</v>
      </c>
      <c r="O212" s="389">
        <f>IFERROR((Tools!$B188+ROUND(Hydros!L4/Tools!$C188,3)),NA())</f>
        <v>8.3729999999999993</v>
      </c>
      <c r="P212" s="389">
        <f>IFERROR((Tools!$B188+ROUND(Hydros!M4/Tools!$C188,3)),NA())</f>
        <v>8.8919999999999995</v>
      </c>
      <c r="Q212" s="389" t="e">
        <f>IFERROR((Tools!$B188+ROUND(Hydros!N4/Tools!$C188,3)),NA())</f>
        <v>#N/A</v>
      </c>
      <c r="R212" s="389" t="e">
        <f>IFERROR((Tools!$B188+ROUND(Hydros!O4/Tools!$C188,3)),NA())</f>
        <v>#N/A</v>
      </c>
      <c r="S212" s="389" t="e">
        <f>IFERROR((Tools!$B188+ROUND(Hydros!P4/Tools!$C188,3)),NA())</f>
        <v>#N/A</v>
      </c>
      <c r="T212" s="389" t="e">
        <f>IFERROR((Tools!$B188+ROUND(Hydros!Q4/Tools!$C188,3)),NA())</f>
        <v>#N/A</v>
      </c>
      <c r="U212" s="389" t="e">
        <f>IFERROR((Tools!$B188+ROUND(Hydros!R4/Tools!$C188,3)),NA())</f>
        <v>#N/A</v>
      </c>
      <c r="V212" s="389" t="e">
        <f>IFERROR((Tools!$B188+ROUND(Hydros!S4/Tools!$C188,3)),NA())</f>
        <v>#N/A</v>
      </c>
      <c r="W212" s="389" t="e">
        <f>IFERROR((Tools!$B188+ROUND(Hydros!T4/Tools!$C188,3)),NA())</f>
        <v>#N/A</v>
      </c>
      <c r="X212" s="389" t="e">
        <f>IFERROR((Tools!$B188+ROUND(Hydros!U4/Tools!$C188,3)),NA())</f>
        <v>#N/A</v>
      </c>
      <c r="Y212" s="389" t="e">
        <f>IFERROR((Tools!$B188+ROUND(Hydros!V4/Tools!$C188,3)),NA())</f>
        <v>#N/A</v>
      </c>
      <c r="Z212" s="389" t="e">
        <f>IFERROR((Tools!$B188+ROUND(Hydros!W4/Tools!$C188,3)),NA())</f>
        <v>#N/A</v>
      </c>
      <c r="AA212" s="389" t="e">
        <f>IFERROR((Tools!$B188+ROUND(Hydros!X4/Tools!$C188,3)),NA())</f>
        <v>#N/A</v>
      </c>
      <c r="AB212" s="389" t="e">
        <f>IFERROR((Tools!$B188+ROUND(Hydros!Y4/Tools!$C188,3)),NA())</f>
        <v>#N/A</v>
      </c>
      <c r="AC212" s="389" t="e">
        <f>IFERROR((Tools!$B188+ROUND(Hydros!Z4/Tools!$C188,3)),NA())</f>
        <v>#N/A</v>
      </c>
      <c r="AD212" s="277"/>
      <c r="AE212" s="276"/>
    </row>
    <row r="213" spans="1:31" x14ac:dyDescent="0.25">
      <c r="A213" s="274"/>
      <c r="B213" s="277"/>
      <c r="C213" s="277"/>
      <c r="D213" s="388" t="s">
        <v>39</v>
      </c>
      <c r="E213" s="389">
        <f>IFERROR((Tools!$B189+ROUND(Hydros!B5/Tools!$C189,3)),NA())</f>
        <v>14.792</v>
      </c>
      <c r="F213" s="389">
        <f>IFERROR((Tools!$B189+ROUND(Hydros!C5/Tools!$C189,3)),NA())</f>
        <v>11.997999999999999</v>
      </c>
      <c r="G213" s="389">
        <f>IFERROR((Tools!$B189+ROUND(Hydros!D5/Tools!$C189,3)),NA())</f>
        <v>12.179</v>
      </c>
      <c r="H213" s="389">
        <f>IFERROR((Tools!$B189+ROUND(Hydros!E5/Tools!$C189,3)),NA())</f>
        <v>12.007</v>
      </c>
      <c r="I213" s="389">
        <f>IFERROR((Tools!$B189+ROUND(Hydros!F5/Tools!$C189,3)),NA())</f>
        <v>11.503</v>
      </c>
      <c r="J213" s="389">
        <f>IFERROR((Tools!$B189+ROUND(Hydros!G5/Tools!$C189,3)),NA())</f>
        <v>9.74</v>
      </c>
      <c r="K213" s="389">
        <f>IFERROR((Tools!$B189+ROUND(Hydros!H5/Tools!$C189,3)),NA())</f>
        <v>7.6769999999999996</v>
      </c>
      <c r="L213" s="389">
        <f>IFERROR((Tools!$B189+ROUND(Hydros!I5/Tools!$C189,3)),NA())</f>
        <v>5.2409999999999997</v>
      </c>
      <c r="M213" s="389">
        <f>IFERROR((Tools!$B189+ROUND(Hydros!J5/Tools!$C189,3)),NA())</f>
        <v>4.0330000000000004</v>
      </c>
      <c r="N213" s="389">
        <f>IFERROR((Tools!$B189+ROUND(Hydros!K5/Tools!$C189,3)),NA())</f>
        <v>3.819</v>
      </c>
      <c r="O213" s="389">
        <f>IFERROR((Tools!$B189+ROUND(Hydros!L5/Tools!$C189,3)),NA())</f>
        <v>4.3159999999999998</v>
      </c>
      <c r="P213" s="389">
        <f>IFERROR((Tools!$B189+ROUND(Hydros!M5/Tools!$C189,3)),NA())</f>
        <v>6.3179999999999996</v>
      </c>
      <c r="Q213" s="389" t="e">
        <f>IFERROR((Tools!$B189+ROUND(Hydros!N5/Tools!$C189,3)),NA())</f>
        <v>#N/A</v>
      </c>
      <c r="R213" s="389" t="e">
        <f>IFERROR((Tools!$B189+ROUND(Hydros!O5/Tools!$C189,3)),NA())</f>
        <v>#N/A</v>
      </c>
      <c r="S213" s="389" t="e">
        <f>IFERROR((Tools!$B189+ROUND(Hydros!P5/Tools!$C189,3)),NA())</f>
        <v>#N/A</v>
      </c>
      <c r="T213" s="389" t="e">
        <f>IFERROR((Tools!$B189+ROUND(Hydros!Q5/Tools!$C189,3)),NA())</f>
        <v>#N/A</v>
      </c>
      <c r="U213" s="389" t="e">
        <f>IFERROR((Tools!$B189+ROUND(Hydros!R5/Tools!$C189,3)),NA())</f>
        <v>#N/A</v>
      </c>
      <c r="V213" s="389" t="e">
        <f>IFERROR((Tools!$B189+ROUND(Hydros!S5/Tools!$C189,3)),NA())</f>
        <v>#N/A</v>
      </c>
      <c r="W213" s="389" t="e">
        <f>IFERROR((Tools!$B189+ROUND(Hydros!T5/Tools!$C189,3)),NA())</f>
        <v>#N/A</v>
      </c>
      <c r="X213" s="389" t="e">
        <f>IFERROR((Tools!$B189+ROUND(Hydros!U5/Tools!$C189,3)),NA())</f>
        <v>#N/A</v>
      </c>
      <c r="Y213" s="389" t="e">
        <f>IFERROR((Tools!$B189+ROUND(Hydros!V5/Tools!$C189,3)),NA())</f>
        <v>#N/A</v>
      </c>
      <c r="Z213" s="389" t="e">
        <f>IFERROR((Tools!$B189+ROUND(Hydros!W5/Tools!$C189,3)),NA())</f>
        <v>#N/A</v>
      </c>
      <c r="AA213" s="389" t="e">
        <f>IFERROR((Tools!$B189+ROUND(Hydros!X5/Tools!$C189,3)),NA())</f>
        <v>#N/A</v>
      </c>
      <c r="AB213" s="389" t="e">
        <f>IFERROR((Tools!$B189+ROUND(Hydros!Y5/Tools!$C189,3)),NA())</f>
        <v>#N/A</v>
      </c>
      <c r="AC213" s="389" t="e">
        <f>IFERROR((Tools!$B189+ROUND(Hydros!Z5/Tools!$C189,3)),NA())</f>
        <v>#N/A</v>
      </c>
      <c r="AD213" s="277"/>
      <c r="AE213" s="276"/>
    </row>
    <row r="214" spans="1:31" x14ac:dyDescent="0.25">
      <c r="A214" s="274"/>
      <c r="B214" s="277"/>
      <c r="C214" s="277"/>
      <c r="D214" s="388" t="s">
        <v>279</v>
      </c>
      <c r="E214" s="389">
        <f>IFERROR((Tools!$B190+ROUND(Hydros!B6/Tools!$C190,3)),NA())</f>
        <v>10.333</v>
      </c>
      <c r="F214" s="389">
        <f>IFERROR((Tools!$B190+ROUND(Hydros!C6/Tools!$C190,3)),NA())</f>
        <v>10.782999999999999</v>
      </c>
      <c r="G214" s="389">
        <f>IFERROR((Tools!$B190+ROUND(Hydros!D6/Tools!$C190,3)),NA())</f>
        <v>11.035</v>
      </c>
      <c r="H214" s="389">
        <f>IFERROR((Tools!$B190+ROUND(Hydros!E6/Tools!$C190,3)),NA())</f>
        <v>11.225</v>
      </c>
      <c r="I214" s="389">
        <f>IFERROR((Tools!$B190+ROUND(Hydros!F6/Tools!$C190,3)),NA())</f>
        <v>11.377000000000001</v>
      </c>
      <c r="J214" s="389">
        <f>IFERROR((Tools!$B190+ROUND(Hydros!G6/Tools!$C190,3)),NA())</f>
        <v>11.68</v>
      </c>
      <c r="K214" s="389">
        <f>IFERROR((Tools!$B190+ROUND(Hydros!H6/Tools!$C190,3)),NA())</f>
        <v>11.993</v>
      </c>
      <c r="L214" s="389">
        <f>IFERROR((Tools!$B190+ROUND(Hydros!I6/Tools!$C190,3)),NA())</f>
        <v>12.523</v>
      </c>
      <c r="M214" s="389">
        <f>IFERROR((Tools!$B190+ROUND(Hydros!J6/Tools!$C190,3)),NA())</f>
        <v>12.961</v>
      </c>
      <c r="N214" s="389">
        <f>IFERROR((Tools!$B190+ROUND(Hydros!K6/Tools!$C190,3)),NA())</f>
        <v>13.169</v>
      </c>
      <c r="O214" s="389">
        <f>IFERROR((Tools!$B190+ROUND(Hydros!L6/Tools!$C190,3)),NA())</f>
        <v>13.538</v>
      </c>
      <c r="P214" s="389">
        <f>IFERROR((Tools!$B190+ROUND(Hydros!M6/Tools!$C190,3)),NA())</f>
        <v>13.917999999999999</v>
      </c>
      <c r="Q214" s="389" t="e">
        <f>IFERROR((Tools!$B190+ROUND(Hydros!N6/Tools!$C190,3)),NA())</f>
        <v>#N/A</v>
      </c>
      <c r="R214" s="389" t="e">
        <f>IFERROR((Tools!$B190+ROUND(Hydros!O6/Tools!$C190,3)),NA())</f>
        <v>#N/A</v>
      </c>
      <c r="S214" s="389" t="e">
        <f>IFERROR((Tools!$B190+ROUND(Hydros!P6/Tools!$C190,3)),NA())</f>
        <v>#N/A</v>
      </c>
      <c r="T214" s="389" t="e">
        <f>IFERROR((Tools!$B190+ROUND(Hydros!Q6/Tools!$C190,3)),NA())</f>
        <v>#N/A</v>
      </c>
      <c r="U214" s="389" t="e">
        <f>IFERROR((Tools!$B190+ROUND(Hydros!R6/Tools!$C190,3)),NA())</f>
        <v>#N/A</v>
      </c>
      <c r="V214" s="389" t="e">
        <f>IFERROR((Tools!$B190+ROUND(Hydros!S6/Tools!$C190,3)),NA())</f>
        <v>#N/A</v>
      </c>
      <c r="W214" s="389" t="e">
        <f>IFERROR((Tools!$B190+ROUND(Hydros!T6/Tools!$C190,3)),NA())</f>
        <v>#N/A</v>
      </c>
      <c r="X214" s="389" t="e">
        <f>IFERROR((Tools!$B190+ROUND(Hydros!U6/Tools!$C190,3)),NA())</f>
        <v>#N/A</v>
      </c>
      <c r="Y214" s="389" t="e">
        <f>IFERROR((Tools!$B190+ROUND(Hydros!V6/Tools!$C190,3)),NA())</f>
        <v>#N/A</v>
      </c>
      <c r="Z214" s="389" t="e">
        <f>IFERROR((Tools!$B190+ROUND(Hydros!W6/Tools!$C190,3)),NA())</f>
        <v>#N/A</v>
      </c>
      <c r="AA214" s="389" t="e">
        <f>IFERROR((Tools!$B190+ROUND(Hydros!X6/Tools!$C190,3)),NA())</f>
        <v>#N/A</v>
      </c>
      <c r="AB214" s="389" t="e">
        <f>IFERROR((Tools!$B190+ROUND(Hydros!Y6/Tools!$C190,3)),NA())</f>
        <v>#N/A</v>
      </c>
      <c r="AC214" s="389" t="e">
        <f>IFERROR((Tools!$B190+ROUND(Hydros!Z6/Tools!$C190,3)),NA())</f>
        <v>#N/A</v>
      </c>
      <c r="AD214" s="277"/>
      <c r="AE214" s="276"/>
    </row>
    <row r="215" spans="1:31" x14ac:dyDescent="0.25">
      <c r="A215" s="274"/>
      <c r="B215" s="277"/>
      <c r="C215" s="277"/>
      <c r="D215" s="388" t="s">
        <v>280</v>
      </c>
      <c r="E215" s="389">
        <f>IFERROR((Tools!$B191+ROUND(Hydros!B7/Tools!$C191,3)),NA())</f>
        <v>10.125</v>
      </c>
      <c r="F215" s="389">
        <f>IFERROR((Tools!$B191+ROUND(Hydros!C7/Tools!$C191,3)),NA())</f>
        <v>10.36</v>
      </c>
      <c r="G215" s="389">
        <f>IFERROR((Tools!$B191+ROUND(Hydros!D7/Tools!$C191,3)),NA())</f>
        <v>10.513</v>
      </c>
      <c r="H215" s="389">
        <f>IFERROR((Tools!$B191+ROUND(Hydros!E7/Tools!$C191,3)),NA())</f>
        <v>10.622999999999999</v>
      </c>
      <c r="I215" s="389">
        <f>IFERROR((Tools!$B191+ROUND(Hydros!F7/Tools!$C191,3)),NA())</f>
        <v>10.708</v>
      </c>
      <c r="J215" s="389">
        <f>IFERROR((Tools!$B191+ROUND(Hydros!G7/Tools!$C191,3)),NA())</f>
        <v>10.836</v>
      </c>
      <c r="K215" s="389">
        <f>IFERROR((Tools!$B191+ROUND(Hydros!H7/Tools!$C191,3)),NA())</f>
        <v>10.955</v>
      </c>
      <c r="L215" s="389">
        <f>IFERROR((Tools!$B191+ROUND(Hydros!I7/Tools!$C191,3)),NA())</f>
        <v>11.071</v>
      </c>
      <c r="M215" s="389">
        <f>IFERROR((Tools!$B191+ROUND(Hydros!J7/Tools!$C191,3)),NA())</f>
        <v>11.141999999999999</v>
      </c>
      <c r="N215" s="389">
        <f>IFERROR((Tools!$B191+ROUND(Hydros!K7/Tools!$C191,3)),NA())</f>
        <v>11.186</v>
      </c>
      <c r="O215" s="389">
        <f>IFERROR((Tools!$B191+ROUND(Hydros!L7/Tools!$C191,3)),NA())</f>
        <v>11.282</v>
      </c>
      <c r="P215" s="389">
        <f>IFERROR((Tools!$B191+ROUND(Hydros!M7/Tools!$C191,3)),NA())</f>
        <v>11.407999999999999</v>
      </c>
      <c r="Q215" s="389" t="e">
        <f>IFERROR((Tools!$B191+ROUND(Hydros!N7/Tools!$C191,3)),NA())</f>
        <v>#N/A</v>
      </c>
      <c r="R215" s="389" t="e">
        <f>IFERROR((Tools!$B191+ROUND(Hydros!O7/Tools!$C191,3)),NA())</f>
        <v>#N/A</v>
      </c>
      <c r="S215" s="389" t="e">
        <f>IFERROR((Tools!$B191+ROUND(Hydros!P7/Tools!$C191,3)),NA())</f>
        <v>#N/A</v>
      </c>
      <c r="T215" s="389" t="e">
        <f>IFERROR((Tools!$B191+ROUND(Hydros!Q7/Tools!$C191,3)),NA())</f>
        <v>#N/A</v>
      </c>
      <c r="U215" s="389" t="e">
        <f>IFERROR((Tools!$B191+ROUND(Hydros!R7/Tools!$C191,3)),NA())</f>
        <v>#N/A</v>
      </c>
      <c r="V215" s="389" t="e">
        <f>IFERROR((Tools!$B191+ROUND(Hydros!S7/Tools!$C191,3)),NA())</f>
        <v>#N/A</v>
      </c>
      <c r="W215" s="389" t="e">
        <f>IFERROR((Tools!$B191+ROUND(Hydros!T7/Tools!$C191,3)),NA())</f>
        <v>#N/A</v>
      </c>
      <c r="X215" s="389" t="e">
        <f>IFERROR((Tools!$B191+ROUND(Hydros!U7/Tools!$C191,3)),NA())</f>
        <v>#N/A</v>
      </c>
      <c r="Y215" s="389" t="e">
        <f>IFERROR((Tools!$B191+ROUND(Hydros!V7/Tools!$C191,3)),NA())</f>
        <v>#N/A</v>
      </c>
      <c r="Z215" s="389" t="e">
        <f>IFERROR((Tools!$B191+ROUND(Hydros!W7/Tools!$C191,3)),NA())</f>
        <v>#N/A</v>
      </c>
      <c r="AA215" s="389" t="e">
        <f>IFERROR((Tools!$B191+ROUND(Hydros!X7/Tools!$C191,3)),NA())</f>
        <v>#N/A</v>
      </c>
      <c r="AB215" s="389" t="e">
        <f>IFERROR((Tools!$B191+ROUND(Hydros!Y7/Tools!$C191,3)),NA())</f>
        <v>#N/A</v>
      </c>
      <c r="AC215" s="389" t="e">
        <f>IFERROR((Tools!$B191+ROUND(Hydros!Z7/Tools!$C191,3)),NA())</f>
        <v>#N/A</v>
      </c>
      <c r="AD215" s="277"/>
      <c r="AE215" s="276"/>
    </row>
    <row r="216" spans="1:31" x14ac:dyDescent="0.25">
      <c r="A216" s="274"/>
      <c r="B216" s="277"/>
      <c r="C216" s="277"/>
      <c r="D216" s="388" t="s">
        <v>281</v>
      </c>
      <c r="E216" s="389">
        <f>IFERROR((Tools!$B192+ROUND(Hydros!B8/Tools!$C192,3)),NA())</f>
        <v>10.313000000000001</v>
      </c>
      <c r="F216" s="389">
        <f>IFERROR((Tools!$B192+ROUND(Hydros!C8/Tools!$C192,3)),NA())</f>
        <v>10.776999999999999</v>
      </c>
      <c r="G216" s="389">
        <f>IFERROR((Tools!$B192+ROUND(Hydros!D8/Tools!$C192,3)),NA())</f>
        <v>11.028</v>
      </c>
      <c r="H216" s="389">
        <f>IFERROR((Tools!$B192+ROUND(Hydros!E8/Tools!$C192,3)),NA())</f>
        <v>11.218</v>
      </c>
      <c r="I216" s="389">
        <f>IFERROR((Tools!$B192+ROUND(Hydros!F8/Tools!$C192,3)),NA())</f>
        <v>11.372</v>
      </c>
      <c r="J216" s="389">
        <f>IFERROR((Tools!$B192+ROUND(Hydros!G8/Tools!$C192,3)),NA())</f>
        <v>11.68</v>
      </c>
      <c r="K216" s="389">
        <f>IFERROR((Tools!$B192+ROUND(Hydros!H8/Tools!$C192,3)),NA())</f>
        <v>11.98</v>
      </c>
      <c r="L216" s="389">
        <f>IFERROR((Tools!$B192+ROUND(Hydros!I8/Tools!$C192,3)),NA())</f>
        <v>12.466000000000001</v>
      </c>
      <c r="M216" s="389">
        <f>IFERROR((Tools!$B192+ROUND(Hydros!J8/Tools!$C192,3)),NA())</f>
        <v>12.866</v>
      </c>
      <c r="N216" s="389">
        <f>IFERROR((Tools!$B192+ROUND(Hydros!K8/Tools!$C192,3)),NA())</f>
        <v>13.064</v>
      </c>
      <c r="O216" s="389">
        <f>IFERROR((Tools!$B192+ROUND(Hydros!L8/Tools!$C192,3)),NA())</f>
        <v>13.445</v>
      </c>
      <c r="P216" s="389">
        <f>IFERROR((Tools!$B192+ROUND(Hydros!M8/Tools!$C192,3)),NA())</f>
        <v>13.876999999999999</v>
      </c>
      <c r="Q216" s="389" t="e">
        <f>IFERROR((Tools!$B192+ROUND(Hydros!N8/Tools!$C192,3)),NA())</f>
        <v>#N/A</v>
      </c>
      <c r="R216" s="389" t="e">
        <f>IFERROR((Tools!$B192+ROUND(Hydros!O8/Tools!$C192,3)),NA())</f>
        <v>#N/A</v>
      </c>
      <c r="S216" s="389" t="e">
        <f>IFERROR((Tools!$B192+ROUND(Hydros!P8/Tools!$C192,3)),NA())</f>
        <v>#N/A</v>
      </c>
      <c r="T216" s="389" t="e">
        <f>IFERROR((Tools!$B192+ROUND(Hydros!Q8/Tools!$C192,3)),NA())</f>
        <v>#N/A</v>
      </c>
      <c r="U216" s="389" t="e">
        <f>IFERROR((Tools!$B192+ROUND(Hydros!R8/Tools!$C192,3)),NA())</f>
        <v>#N/A</v>
      </c>
      <c r="V216" s="389" t="e">
        <f>IFERROR((Tools!$B192+ROUND(Hydros!S8/Tools!$C192,3)),NA())</f>
        <v>#N/A</v>
      </c>
      <c r="W216" s="389" t="e">
        <f>IFERROR((Tools!$B192+ROUND(Hydros!T8/Tools!$C192,3)),NA())</f>
        <v>#N/A</v>
      </c>
      <c r="X216" s="389" t="e">
        <f>IFERROR((Tools!$B192+ROUND(Hydros!U8/Tools!$C192,3)),NA())</f>
        <v>#N/A</v>
      </c>
      <c r="Y216" s="389" t="e">
        <f>IFERROR((Tools!$B192+ROUND(Hydros!V8/Tools!$C192,3)),NA())</f>
        <v>#N/A</v>
      </c>
      <c r="Z216" s="389" t="e">
        <f>IFERROR((Tools!$B192+ROUND(Hydros!W8/Tools!$C192,3)),NA())</f>
        <v>#N/A</v>
      </c>
      <c r="AA216" s="389" t="e">
        <f>IFERROR((Tools!$B192+ROUND(Hydros!X8/Tools!$C192,3)),NA())</f>
        <v>#N/A</v>
      </c>
      <c r="AB216" s="389" t="e">
        <f>IFERROR((Tools!$B192+ROUND(Hydros!Y8/Tools!$C192,3)),NA())</f>
        <v>#N/A</v>
      </c>
      <c r="AC216" s="389" t="e">
        <f>IFERROR((Tools!$B192+ROUND(Hydros!Z8/Tools!$C192,3)),NA())</f>
        <v>#N/A</v>
      </c>
      <c r="AD216" s="277"/>
      <c r="AE216" s="276"/>
    </row>
    <row r="217" spans="1:31" x14ac:dyDescent="0.25">
      <c r="A217" s="274"/>
      <c r="B217" s="277"/>
      <c r="C217" s="277"/>
      <c r="D217" s="388" t="s">
        <v>50</v>
      </c>
      <c r="E217" s="389">
        <f>IFERROR((Tools!$B193+ROUND(Hydros!B9/Tools!$C193,3)),NA())</f>
        <v>0</v>
      </c>
      <c r="F217" s="389">
        <f>IFERROR((Tools!$B193+ROUND(Hydros!C9/Tools!$C193,3)),NA())</f>
        <v>0.105</v>
      </c>
      <c r="G217" s="389">
        <f>IFERROR((Tools!$B193+ROUND(Hydros!D9/Tools!$C193,3)),NA())</f>
        <v>0.246</v>
      </c>
      <c r="H217" s="389">
        <f>IFERROR((Tools!$B193+ROUND(Hydros!E9/Tools!$C193,3)),NA())</f>
        <v>0.40300000000000002</v>
      </c>
      <c r="I217" s="389">
        <f>IFERROR((Tools!$B193+ROUND(Hydros!F9/Tools!$C193,3)),NA())</f>
        <v>0.57499999999999996</v>
      </c>
      <c r="J217" s="389">
        <f>IFERROR((Tools!$B193+ROUND(Hydros!G9/Tools!$C193,3)),NA())</f>
        <v>0.94499999999999995</v>
      </c>
      <c r="K217" s="389">
        <f>IFERROR((Tools!$B193+ROUND(Hydros!H9/Tools!$C193,3)),NA())</f>
        <v>1.3480000000000001</v>
      </c>
      <c r="L217" s="389">
        <f>IFERROR((Tools!$B193+ROUND(Hydros!I9/Tools!$C193,3)),NA())</f>
        <v>1.7829999999999999</v>
      </c>
      <c r="M217" s="389">
        <f>IFERROR((Tools!$B193+ROUND(Hydros!J9/Tools!$C193,3)),NA())</f>
        <v>2.0680000000000001</v>
      </c>
      <c r="N217" s="389">
        <f>IFERROR((Tools!$B193+ROUND(Hydros!K9/Tools!$C193,3)),NA())</f>
        <v>2.2589999999999999</v>
      </c>
      <c r="O217" s="389">
        <f>IFERROR((Tools!$B193+ROUND(Hydros!L9/Tools!$C193,3)),NA())</f>
        <v>2.762</v>
      </c>
      <c r="P217" s="389">
        <f>IFERROR((Tools!$B193+ROUND(Hydros!M9/Tools!$C193,3)),NA())</f>
        <v>3.2290000000000001</v>
      </c>
      <c r="Q217" s="389" t="e">
        <f>IFERROR((Tools!$B193+ROUND(Hydros!N9/Tools!$C193,3)),NA())</f>
        <v>#N/A</v>
      </c>
      <c r="R217" s="389" t="e">
        <f>IFERROR((Tools!$B193+ROUND(Hydros!O9/Tools!$C193,3)),NA())</f>
        <v>#N/A</v>
      </c>
      <c r="S217" s="389" t="e">
        <f>IFERROR((Tools!$B193+ROUND(Hydros!P9/Tools!$C193,3)),NA())</f>
        <v>#N/A</v>
      </c>
      <c r="T217" s="389" t="e">
        <f>IFERROR((Tools!$B193+ROUND(Hydros!Q9/Tools!$C193,3)),NA())</f>
        <v>#N/A</v>
      </c>
      <c r="U217" s="389" t="e">
        <f>IFERROR((Tools!$B193+ROUND(Hydros!R9/Tools!$C193,3)),NA())</f>
        <v>#N/A</v>
      </c>
      <c r="V217" s="389" t="e">
        <f>IFERROR((Tools!$B193+ROUND(Hydros!S9/Tools!$C193,3)),NA())</f>
        <v>#N/A</v>
      </c>
      <c r="W217" s="389" t="e">
        <f>IFERROR((Tools!$B193+ROUND(Hydros!T9/Tools!$C193,3)),NA())</f>
        <v>#N/A</v>
      </c>
      <c r="X217" s="389" t="e">
        <f>IFERROR((Tools!$B193+ROUND(Hydros!U9/Tools!$C193,3)),NA())</f>
        <v>#N/A</v>
      </c>
      <c r="Y217" s="389" t="e">
        <f>IFERROR((Tools!$B193+ROUND(Hydros!V9/Tools!$C193,3)),NA())</f>
        <v>#N/A</v>
      </c>
      <c r="Z217" s="389" t="e">
        <f>IFERROR((Tools!$B193+ROUND(Hydros!W9/Tools!$C193,3)),NA())</f>
        <v>#N/A</v>
      </c>
      <c r="AA217" s="389" t="e">
        <f>IFERROR((Tools!$B193+ROUND(Hydros!X9/Tools!$C193,3)),NA())</f>
        <v>#N/A</v>
      </c>
      <c r="AB217" s="389" t="e">
        <f>IFERROR((Tools!$B193+ROUND(Hydros!Y9/Tools!$C193,3)),NA())</f>
        <v>#N/A</v>
      </c>
      <c r="AC217" s="389" t="e">
        <f>IFERROR((Tools!$B193+ROUND(Hydros!Z9/Tools!$C193,3)),NA())</f>
        <v>#N/A</v>
      </c>
      <c r="AD217" s="277"/>
      <c r="AE217" s="276"/>
    </row>
    <row r="218" spans="1:31" x14ac:dyDescent="0.25">
      <c r="A218" s="274"/>
      <c r="B218" s="277"/>
      <c r="C218" s="277"/>
      <c r="D218" s="388" t="s">
        <v>52</v>
      </c>
      <c r="E218" s="389">
        <f>IFERROR((Tools!$B194+ROUND(Hydros!B10/Tools!$C194,3)),NA())</f>
        <v>0</v>
      </c>
      <c r="F218" s="389">
        <f>IFERROR((Tools!$B194+ROUND(Hydros!C10/Tools!$C194,3)),NA())</f>
        <v>0.108</v>
      </c>
      <c r="G218" s="389">
        <f>IFERROR((Tools!$B194+ROUND(Hydros!D10/Tools!$C194,3)),NA())</f>
        <v>0.254</v>
      </c>
      <c r="H218" s="389">
        <f>IFERROR((Tools!$B194+ROUND(Hydros!E10/Tools!$C194,3)),NA())</f>
        <v>0.41499999999999998</v>
      </c>
      <c r="I218" s="389">
        <f>IFERROR((Tools!$B194+ROUND(Hydros!F10/Tools!$C194,3)),NA())</f>
        <v>0.59299999999999997</v>
      </c>
      <c r="J218" s="389">
        <f>IFERROR((Tools!$B194+ROUND(Hydros!G10/Tools!$C194,3)),NA())</f>
        <v>0.97399999999999998</v>
      </c>
      <c r="K218" s="389">
        <f>IFERROR((Tools!$B194+ROUND(Hydros!H10/Tools!$C194,3)),NA())</f>
        <v>1.39</v>
      </c>
      <c r="L218" s="389">
        <f>IFERROR((Tools!$B194+ROUND(Hydros!I10/Tools!$C194,3)),NA())</f>
        <v>1.8380000000000001</v>
      </c>
      <c r="M218" s="389">
        <f>IFERROR((Tools!$B194+ROUND(Hydros!J10/Tools!$C194,3)),NA())</f>
        <v>2.133</v>
      </c>
      <c r="N218" s="389">
        <f>IFERROR((Tools!$B194+ROUND(Hydros!K10/Tools!$C194,3)),NA())</f>
        <v>2.33</v>
      </c>
      <c r="O218" s="389">
        <f>IFERROR((Tools!$B194+ROUND(Hydros!L10/Tools!$C194,3)),NA())</f>
        <v>2.8479999999999999</v>
      </c>
      <c r="P218" s="389">
        <f>IFERROR((Tools!$B194+ROUND(Hydros!M10/Tools!$C194,3)),NA())</f>
        <v>3.3290000000000002</v>
      </c>
      <c r="Q218" s="389" t="e">
        <f>IFERROR((Tools!$B194+ROUND(Hydros!N10/Tools!$C194,3)),NA())</f>
        <v>#N/A</v>
      </c>
      <c r="R218" s="389" t="e">
        <f>IFERROR((Tools!$B194+ROUND(Hydros!O10/Tools!$C194,3)),NA())</f>
        <v>#N/A</v>
      </c>
      <c r="S218" s="389" t="e">
        <f>IFERROR((Tools!$B194+ROUND(Hydros!P10/Tools!$C194,3)),NA())</f>
        <v>#N/A</v>
      </c>
      <c r="T218" s="389" t="e">
        <f>IFERROR((Tools!$B194+ROUND(Hydros!Q10/Tools!$C194,3)),NA())</f>
        <v>#N/A</v>
      </c>
      <c r="U218" s="389" t="e">
        <f>IFERROR((Tools!$B194+ROUND(Hydros!R10/Tools!$C194,3)),NA())</f>
        <v>#N/A</v>
      </c>
      <c r="V218" s="389" t="e">
        <f>IFERROR((Tools!$B194+ROUND(Hydros!S10/Tools!$C194,3)),NA())</f>
        <v>#N/A</v>
      </c>
      <c r="W218" s="389" t="e">
        <f>IFERROR((Tools!$B194+ROUND(Hydros!T10/Tools!$C194,3)),NA())</f>
        <v>#N/A</v>
      </c>
      <c r="X218" s="389" t="e">
        <f>IFERROR((Tools!$B194+ROUND(Hydros!U10/Tools!$C194,3)),NA())</f>
        <v>#N/A</v>
      </c>
      <c r="Y218" s="389" t="e">
        <f>IFERROR((Tools!$B194+ROUND(Hydros!V10/Tools!$C194,3)),NA())</f>
        <v>#N/A</v>
      </c>
      <c r="Z218" s="389" t="e">
        <f>IFERROR((Tools!$B194+ROUND(Hydros!W10/Tools!$C194,3)),NA())</f>
        <v>#N/A</v>
      </c>
      <c r="AA218" s="389" t="e">
        <f>IFERROR((Tools!$B194+ROUND(Hydros!X10/Tools!$C194,3)),NA())</f>
        <v>#N/A</v>
      </c>
      <c r="AB218" s="389" t="e">
        <f>IFERROR((Tools!$B194+ROUND(Hydros!Y10/Tools!$C194,3)),NA())</f>
        <v>#N/A</v>
      </c>
      <c r="AC218" s="389" t="e">
        <f>IFERROR((Tools!$B194+ROUND(Hydros!Z10/Tools!$C194,3)),NA())</f>
        <v>#N/A</v>
      </c>
      <c r="AD218" s="277"/>
      <c r="AE218" s="276"/>
    </row>
    <row r="219" spans="1:31" x14ac:dyDescent="0.25">
      <c r="A219" s="274"/>
      <c r="B219" s="277"/>
      <c r="C219" s="277"/>
      <c r="D219" s="388" t="s">
        <v>282</v>
      </c>
      <c r="E219" s="389">
        <f>IFERROR((Tools!$B195+ROUND(Hydros!B11/Tools!$C195,3)),NA())</f>
        <v>0</v>
      </c>
      <c r="F219" s="389">
        <f>IFERROR((Tools!$B195+ROUND(Hydros!C11/Tools!$C195,3)),NA())</f>
        <v>5.0000000000000001E-3</v>
      </c>
      <c r="G219" s="389">
        <f>IFERROR((Tools!$B195+ROUND(Hydros!D11/Tools!$C195,3)),NA())</f>
        <v>2.4E-2</v>
      </c>
      <c r="H219" s="389">
        <f>IFERROR((Tools!$B195+ROUND(Hydros!E11/Tools!$C195,3)),NA())</f>
        <v>0.06</v>
      </c>
      <c r="I219" s="389">
        <f>IFERROR((Tools!$B195+ROUND(Hydros!F11/Tools!$C195,3)),NA())</f>
        <v>0.114</v>
      </c>
      <c r="J219" s="389">
        <f>IFERROR((Tools!$B195+ROUND(Hydros!G11/Tools!$C195,3)),NA())</f>
        <v>0.28100000000000003</v>
      </c>
      <c r="K219" s="389">
        <f>IFERROR((Tools!$B195+ROUND(Hydros!H11/Tools!$C195,3)),NA())</f>
        <v>0.53500000000000003</v>
      </c>
      <c r="L219" s="389">
        <f>IFERROR((Tools!$B195+ROUND(Hydros!I11/Tools!$C195,3)),NA())</f>
        <v>0.88800000000000001</v>
      </c>
      <c r="M219" s="389">
        <f>IFERROR((Tools!$B195+ROUND(Hydros!J11/Tools!$C195,3)),NA())</f>
        <v>1.161</v>
      </c>
      <c r="N219" s="389">
        <f>IFERROR((Tools!$B195+ROUND(Hydros!K11/Tools!$C195,3)),NA())</f>
        <v>1.36</v>
      </c>
      <c r="O219" s="389">
        <f>IFERROR((Tools!$B195+ROUND(Hydros!L11/Tools!$C195,3)),NA())</f>
        <v>1.95</v>
      </c>
      <c r="P219" s="389">
        <f>IFERROR((Tools!$B195+ROUND(Hydros!M11/Tools!$C195,3)),NA())</f>
        <v>2.5750000000000002</v>
      </c>
      <c r="Q219" s="389" t="e">
        <f>IFERROR((Tools!$B195+ROUND(Hydros!N11/Tools!$C195,3)),NA())</f>
        <v>#N/A</v>
      </c>
      <c r="R219" s="389" t="e">
        <f>IFERROR((Tools!$B195+ROUND(Hydros!O11/Tools!$C195,3)),NA())</f>
        <v>#N/A</v>
      </c>
      <c r="S219" s="389" t="e">
        <f>IFERROR((Tools!$B195+ROUND(Hydros!P11/Tools!$C195,3)),NA())</f>
        <v>#N/A</v>
      </c>
      <c r="T219" s="389" t="e">
        <f>IFERROR((Tools!$B195+ROUND(Hydros!Q11/Tools!$C195,3)),NA())</f>
        <v>#N/A</v>
      </c>
      <c r="U219" s="389" t="e">
        <f>IFERROR((Tools!$B195+ROUND(Hydros!R11/Tools!$C195,3)),NA())</f>
        <v>#N/A</v>
      </c>
      <c r="V219" s="389" t="e">
        <f>IFERROR((Tools!$B195+ROUND(Hydros!S11/Tools!$C195,3)),NA())</f>
        <v>#N/A</v>
      </c>
      <c r="W219" s="389" t="e">
        <f>IFERROR((Tools!$B195+ROUND(Hydros!T11/Tools!$C195,3)),NA())</f>
        <v>#N/A</v>
      </c>
      <c r="X219" s="389" t="e">
        <f>IFERROR((Tools!$B195+ROUND(Hydros!U11/Tools!$C195,3)),NA())</f>
        <v>#N/A</v>
      </c>
      <c r="Y219" s="389" t="e">
        <f>IFERROR((Tools!$B195+ROUND(Hydros!V11/Tools!$C195,3)),NA())</f>
        <v>#N/A</v>
      </c>
      <c r="Z219" s="389" t="e">
        <f>IFERROR((Tools!$B195+ROUND(Hydros!W11/Tools!$C195,3)),NA())</f>
        <v>#N/A</v>
      </c>
      <c r="AA219" s="389" t="e">
        <f>IFERROR((Tools!$B195+ROUND(Hydros!X11/Tools!$C195,3)),NA())</f>
        <v>#N/A</v>
      </c>
      <c r="AB219" s="389" t="e">
        <f>IFERROR((Tools!$B195+ROUND(Hydros!Y11/Tools!$C195,3)),NA())</f>
        <v>#N/A</v>
      </c>
      <c r="AC219" s="389" t="e">
        <f>IFERROR((Tools!$B195+ROUND(Hydros!Z11/Tools!$C195,3)),NA())</f>
        <v>#N/A</v>
      </c>
      <c r="AD219" s="277"/>
      <c r="AE219" s="276"/>
    </row>
    <row r="220" spans="1:31" x14ac:dyDescent="0.25">
      <c r="A220" s="274"/>
      <c r="B220" s="277"/>
      <c r="C220" s="277"/>
      <c r="D220" s="388" t="s">
        <v>285</v>
      </c>
      <c r="E220" s="389">
        <f>IFERROR((Tools!$B196+ROUND(Hydros!B12/Tools!$C196,3)),NA())</f>
        <v>10</v>
      </c>
      <c r="F220" s="389">
        <f>IFERROR((Tools!$B196+ROUND(Hydros!C12/Tools!$C196,3)),NA())</f>
        <v>10.29</v>
      </c>
      <c r="G220" s="389">
        <f>IFERROR((Tools!$B196+ROUND(Hydros!D12/Tools!$C196,3)),NA())</f>
        <v>10.565</v>
      </c>
      <c r="H220" s="389">
        <f>IFERROR((Tools!$B196+ROUND(Hydros!E12/Tools!$C196,3)),NA())</f>
        <v>10.916</v>
      </c>
      <c r="I220" s="389">
        <f>IFERROR((Tools!$B196+ROUND(Hydros!F12/Tools!$C196,3)),NA())</f>
        <v>11.204000000000001</v>
      </c>
      <c r="J220" s="389">
        <f>IFERROR((Tools!$B196+ROUND(Hydros!G12/Tools!$C196,3)),NA())</f>
        <v>11.461</v>
      </c>
      <c r="K220" s="389">
        <f>IFERROR((Tools!$B196+ROUND(Hydros!H12/Tools!$C196,3)),NA())</f>
        <v>10.922000000000001</v>
      </c>
      <c r="L220" s="389">
        <f>IFERROR((Tools!$B196+ROUND(Hydros!I12/Tools!$C196,3)),NA())</f>
        <v>9.4420000000000002</v>
      </c>
      <c r="M220" s="389">
        <f>IFERROR((Tools!$B196+ROUND(Hydros!J12/Tools!$C196,3)),NA())</f>
        <v>7.9239999999999995</v>
      </c>
      <c r="N220" s="389">
        <f>IFERROR((Tools!$B196+ROUND(Hydros!K12/Tools!$C196,3)),NA())</f>
        <v>6.673</v>
      </c>
      <c r="O220" s="389">
        <f>IFERROR((Tools!$B196+ROUND(Hydros!L12/Tools!$C196,3)),NA())</f>
        <v>3.7290000000000001</v>
      </c>
      <c r="P220" s="389">
        <f>IFERROR((Tools!$B196+ROUND(Hydros!M12/Tools!$C196,3)),NA())</f>
        <v>1.5549999999999997</v>
      </c>
      <c r="Q220" s="389" t="e">
        <f>IFERROR((Tools!$B196+ROUND(Hydros!N12/Tools!$C196,3)),NA())</f>
        <v>#N/A</v>
      </c>
      <c r="R220" s="389" t="e">
        <f>IFERROR((Tools!$B196+ROUND(Hydros!O12/Tools!$C196,3)),NA())</f>
        <v>#N/A</v>
      </c>
      <c r="S220" s="389" t="e">
        <f>IFERROR((Tools!$B196+ROUND(Hydros!P12/Tools!$C196,3)),NA())</f>
        <v>#N/A</v>
      </c>
      <c r="T220" s="389" t="e">
        <f>IFERROR((Tools!$B196+ROUND(Hydros!Q12/Tools!$C196,3)),NA())</f>
        <v>#N/A</v>
      </c>
      <c r="U220" s="389" t="e">
        <f>IFERROR((Tools!$B196+ROUND(Hydros!R12/Tools!$C196,3)),NA())</f>
        <v>#N/A</v>
      </c>
      <c r="V220" s="389" t="e">
        <f>IFERROR((Tools!$B196+ROUND(Hydros!S12/Tools!$C196,3)),NA())</f>
        <v>#N/A</v>
      </c>
      <c r="W220" s="389" t="e">
        <f>IFERROR((Tools!$B196+ROUND(Hydros!T12/Tools!$C196,3)),NA())</f>
        <v>#N/A</v>
      </c>
      <c r="X220" s="389" t="e">
        <f>IFERROR((Tools!$B196+ROUND(Hydros!U12/Tools!$C196,3)),NA())</f>
        <v>#N/A</v>
      </c>
      <c r="Y220" s="389" t="e">
        <f>IFERROR((Tools!$B196+ROUND(Hydros!V12/Tools!$C196,3)),NA())</f>
        <v>#N/A</v>
      </c>
      <c r="Z220" s="389" t="e">
        <f>IFERROR((Tools!$B196+ROUND(Hydros!W12/Tools!$C196,3)),NA())</f>
        <v>#N/A</v>
      </c>
      <c r="AA220" s="389" t="e">
        <f>IFERROR((Tools!$B196+ROUND(Hydros!X12/Tools!$C196,3)),NA())</f>
        <v>#N/A</v>
      </c>
      <c r="AB220" s="389" t="e">
        <f>IFERROR((Tools!$B196+ROUND(Hydros!Y12/Tools!$C196,3)),NA())</f>
        <v>#N/A</v>
      </c>
      <c r="AC220" s="389" t="e">
        <f>IFERROR((Tools!$B196+ROUND(Hydros!Z12/Tools!$C196,3)),NA())</f>
        <v>#N/A</v>
      </c>
      <c r="AD220" s="277"/>
      <c r="AE220" s="276"/>
    </row>
    <row r="221" spans="1:31" x14ac:dyDescent="0.25">
      <c r="A221" s="274"/>
      <c r="B221" s="277"/>
      <c r="C221" s="277"/>
      <c r="D221" s="388" t="s">
        <v>286</v>
      </c>
      <c r="E221" s="389" t="e">
        <f>IFERROR((Tools!$B197+ROUND(Hydros!B13/Tools!$C197,3)),NA())</f>
        <v>#N/A</v>
      </c>
      <c r="F221" s="389">
        <f>IFERROR((Tools!$B197+ROUND(Hydros!C13/Tools!$C197,3)),NA())</f>
        <v>7.4089999999999998</v>
      </c>
      <c r="G221" s="389">
        <f>IFERROR((Tools!$B197+ROUND(Hydros!D13/Tools!$C197,3)),NA())</f>
        <v>4.1689999999999996</v>
      </c>
      <c r="H221" s="389">
        <f>IFERROR((Tools!$B197+ROUND(Hydros!E13/Tools!$C197,3)),NA())</f>
        <v>3.0219999999999998</v>
      </c>
      <c r="I221" s="389">
        <f>IFERROR((Tools!$B197+ROUND(Hydros!F13/Tools!$C197,3)),NA())</f>
        <v>2.3860000000000001</v>
      </c>
      <c r="J221" s="389">
        <f>IFERROR((Tools!$B197+ROUND(Hydros!G13/Tools!$C197,3)),NA())</f>
        <v>1.778</v>
      </c>
      <c r="K221" s="389">
        <f>IFERROR((Tools!$B197+ROUND(Hydros!H13/Tools!$C197,3)),NA())</f>
        <v>1.4690000000000001</v>
      </c>
      <c r="L221" s="389">
        <f>IFERROR((Tools!$B197+ROUND(Hydros!I13/Tools!$C197,3)),NA())</f>
        <v>1.383</v>
      </c>
      <c r="M221" s="389">
        <f>IFERROR((Tools!$B197+ROUND(Hydros!J13/Tools!$C197,3)),NA())</f>
        <v>1.3859999999999999</v>
      </c>
      <c r="N221" s="389">
        <f>IFERROR((Tools!$B197+ROUND(Hydros!K13/Tools!$C197,3)),NA())</f>
        <v>1.3560000000000001</v>
      </c>
      <c r="O221" s="389">
        <f>IFERROR((Tools!$B197+ROUND(Hydros!L13/Tools!$C197,3)),NA())</f>
        <v>1.2470000000000001</v>
      </c>
      <c r="P221" s="389">
        <f>IFERROR((Tools!$B197+ROUND(Hydros!M13/Tools!$C197,3)),NA())</f>
        <v>1.2010000000000001</v>
      </c>
      <c r="Q221" s="389" t="e">
        <f>IFERROR((Tools!$B197+ROUND(Hydros!N13/Tools!$C197,3)),NA())</f>
        <v>#N/A</v>
      </c>
      <c r="R221" s="389" t="e">
        <f>IFERROR((Tools!$B197+ROUND(Hydros!O13/Tools!$C197,3)),NA())</f>
        <v>#N/A</v>
      </c>
      <c r="S221" s="389" t="e">
        <f>IFERROR((Tools!$B197+ROUND(Hydros!P13/Tools!$C197,3)),NA())</f>
        <v>#N/A</v>
      </c>
      <c r="T221" s="389" t="e">
        <f>IFERROR((Tools!$B197+ROUND(Hydros!Q13/Tools!$C197,3)),NA())</f>
        <v>#N/A</v>
      </c>
      <c r="U221" s="389" t="e">
        <f>IFERROR((Tools!$B197+ROUND(Hydros!R13/Tools!$C197,3)),NA())</f>
        <v>#N/A</v>
      </c>
      <c r="V221" s="389" t="e">
        <f>IFERROR((Tools!$B197+ROUND(Hydros!S13/Tools!$C197,3)),NA())</f>
        <v>#N/A</v>
      </c>
      <c r="W221" s="389" t="e">
        <f>IFERROR((Tools!$B197+ROUND(Hydros!T13/Tools!$C197,3)),NA())</f>
        <v>#N/A</v>
      </c>
      <c r="X221" s="389" t="e">
        <f>IFERROR((Tools!$B197+ROUND(Hydros!U13/Tools!$C197,3)),NA())</f>
        <v>#N/A</v>
      </c>
      <c r="Y221" s="389" t="e">
        <f>IFERROR((Tools!$B197+ROUND(Hydros!V13/Tools!$C197,3)),NA())</f>
        <v>#N/A</v>
      </c>
      <c r="Z221" s="389" t="e">
        <f>IFERROR((Tools!$B197+ROUND(Hydros!W13/Tools!$C197,3)),NA())</f>
        <v>#N/A</v>
      </c>
      <c r="AA221" s="389" t="e">
        <f>IFERROR((Tools!$B197+ROUND(Hydros!X13/Tools!$C197,3)),NA())</f>
        <v>#N/A</v>
      </c>
      <c r="AB221" s="389" t="e">
        <f>IFERROR((Tools!$B197+ROUND(Hydros!Y13/Tools!$C197,3)),NA())</f>
        <v>#N/A</v>
      </c>
      <c r="AC221" s="389" t="e">
        <f>IFERROR((Tools!$B197+ROUND(Hydros!Z13/Tools!$C197,3)),NA())</f>
        <v>#N/A</v>
      </c>
      <c r="AD221" s="277"/>
      <c r="AE221" s="276"/>
    </row>
    <row r="222" spans="1:31" x14ac:dyDescent="0.25">
      <c r="A222" s="274"/>
      <c r="B222" s="277"/>
      <c r="C222" s="277"/>
      <c r="D222" s="388" t="s">
        <v>287</v>
      </c>
      <c r="E222" s="389" t="e">
        <f>IFERROR((Tools!$B198+ROUND(Hydros!B14/Tools!$C198,3)),NA())</f>
        <v>#N/A</v>
      </c>
      <c r="F222" s="389">
        <f>IFERROR((Tools!$B198+ROUND(Hydros!C14/Tools!$C198,3)),NA())</f>
        <v>3.4329999999999998</v>
      </c>
      <c r="G222" s="389">
        <f>IFERROR((Tools!$B198+ROUND(Hydros!D14/Tools!$C198,3)),NA())</f>
        <v>2.081</v>
      </c>
      <c r="H222" s="389">
        <f>IFERROR((Tools!$B198+ROUND(Hydros!E14/Tools!$C198,3)),NA())</f>
        <v>1.546</v>
      </c>
      <c r="I222" s="389">
        <f>IFERROR((Tools!$B198+ROUND(Hydros!F14/Tools!$C198,3)),NA())</f>
        <v>1.232</v>
      </c>
      <c r="J222" s="389">
        <f>IFERROR((Tools!$B198+ROUND(Hydros!G14/Tools!$C198,3)),NA())</f>
        <v>0.88500000000000001</v>
      </c>
      <c r="K222" s="389">
        <f>IFERROR((Tools!$B198+ROUND(Hydros!H14/Tools!$C198,3)),NA())</f>
        <v>0.70799999999999996</v>
      </c>
      <c r="L222" s="389">
        <f>IFERROR((Tools!$B198+ROUND(Hydros!I14/Tools!$C198,3)),NA())</f>
        <v>0.60099999999999998</v>
      </c>
      <c r="M222" s="389">
        <f>IFERROR((Tools!$B198+ROUND(Hydros!J14/Tools!$C198,3)),NA())</f>
        <v>0.55200000000000005</v>
      </c>
      <c r="N222" s="389">
        <f>IFERROR((Tools!$B198+ROUND(Hydros!K14/Tools!$C198,3)),NA())</f>
        <v>0.52500000000000002</v>
      </c>
      <c r="O222" s="389">
        <f>IFERROR((Tools!$B198+ROUND(Hydros!L14/Tools!$C198,3)),NA())</f>
        <v>0.46400000000000002</v>
      </c>
      <c r="P222" s="389">
        <f>IFERROR((Tools!$B198+ROUND(Hydros!M14/Tools!$C198,3)),NA())</f>
        <v>0.436</v>
      </c>
      <c r="Q222" s="389" t="e">
        <f>IFERROR((Tools!$B198+ROUND(Hydros!N14/Tools!$C198,3)),NA())</f>
        <v>#N/A</v>
      </c>
      <c r="R222" s="389" t="e">
        <f>IFERROR((Tools!$B198+ROUND(Hydros!O14/Tools!$C198,3)),NA())</f>
        <v>#N/A</v>
      </c>
      <c r="S222" s="389" t="e">
        <f>IFERROR((Tools!$B198+ROUND(Hydros!P14/Tools!$C198,3)),NA())</f>
        <v>#N/A</v>
      </c>
      <c r="T222" s="389" t="e">
        <f>IFERROR((Tools!$B198+ROUND(Hydros!Q14/Tools!$C198,3)),NA())</f>
        <v>#N/A</v>
      </c>
      <c r="U222" s="389" t="e">
        <f>IFERROR((Tools!$B198+ROUND(Hydros!R14/Tools!$C198,3)),NA())</f>
        <v>#N/A</v>
      </c>
      <c r="V222" s="389" t="e">
        <f>IFERROR((Tools!$B198+ROUND(Hydros!S14/Tools!$C198,3)),NA())</f>
        <v>#N/A</v>
      </c>
      <c r="W222" s="389" t="e">
        <f>IFERROR((Tools!$B198+ROUND(Hydros!T14/Tools!$C198,3)),NA())</f>
        <v>#N/A</v>
      </c>
      <c r="X222" s="389" t="e">
        <f>IFERROR((Tools!$B198+ROUND(Hydros!U14/Tools!$C198,3)),NA())</f>
        <v>#N/A</v>
      </c>
      <c r="Y222" s="389" t="e">
        <f>IFERROR((Tools!$B198+ROUND(Hydros!V14/Tools!$C198,3)),NA())</f>
        <v>#N/A</v>
      </c>
      <c r="Z222" s="389" t="e">
        <f>IFERROR((Tools!$B198+ROUND(Hydros!W14/Tools!$C198,3)),NA())</f>
        <v>#N/A</v>
      </c>
      <c r="AA222" s="389" t="e">
        <f>IFERROR((Tools!$B198+ROUND(Hydros!X14/Tools!$C198,3)),NA())</f>
        <v>#N/A</v>
      </c>
      <c r="AB222" s="389" t="e">
        <f>IFERROR((Tools!$B198+ROUND(Hydros!Y14/Tools!$C198,3)),NA())</f>
        <v>#N/A</v>
      </c>
      <c r="AC222" s="389" t="e">
        <f>IFERROR((Tools!$B198+ROUND(Hydros!Z14/Tools!$C198,3)),NA())</f>
        <v>#N/A</v>
      </c>
      <c r="AD222" s="277"/>
      <c r="AE222" s="276"/>
    </row>
    <row r="223" spans="1:31" x14ac:dyDescent="0.25">
      <c r="A223" s="274"/>
      <c r="B223" s="277"/>
      <c r="C223" s="277"/>
      <c r="D223" s="388" t="s">
        <v>65</v>
      </c>
      <c r="E223" s="389" t="e">
        <f>IFERROR((Tools!$B199+ROUND(Hydros!B15/Tools!$C199,3)),NA())</f>
        <v>#N/A</v>
      </c>
      <c r="F223" s="389">
        <f>IFERROR((Tools!$B199+ROUND(Hydros!C15/Tools!$C199,3)),NA())</f>
        <v>0.48599999999999999</v>
      </c>
      <c r="G223" s="389">
        <f>IFERROR((Tools!$B199+ROUND(Hydros!D15/Tools!$C199,3)),NA())</f>
        <v>0.98899999999999999</v>
      </c>
      <c r="H223" s="389">
        <f>IFERROR((Tools!$B199+ROUND(Hydros!E15/Tools!$C199,3)),NA())</f>
        <v>1.486</v>
      </c>
      <c r="I223" s="389">
        <f>IFERROR((Tools!$B199+ROUND(Hydros!F15/Tools!$C199,3)),NA())</f>
        <v>1.98</v>
      </c>
      <c r="J223" s="389">
        <f>IFERROR((Tools!$B199+ROUND(Hydros!G15/Tools!$C199,3)),NA())</f>
        <v>2.9740000000000002</v>
      </c>
      <c r="K223" s="389">
        <f>IFERROR((Tools!$B199+ROUND(Hydros!H15/Tools!$C199,3)),NA())</f>
        <v>3.9710000000000001</v>
      </c>
      <c r="L223" s="389">
        <f>IFERROR((Tools!$B199+ROUND(Hydros!I15/Tools!$C199,3)),NA())</f>
        <v>4.9820000000000002</v>
      </c>
      <c r="M223" s="389">
        <f>IFERROR((Tools!$B199+ROUND(Hydros!J15/Tools!$C199,3)),NA())</f>
        <v>5.6130000000000004</v>
      </c>
      <c r="N223" s="389">
        <f>IFERROR((Tools!$B199+ROUND(Hydros!K15/Tools!$C199,3)),NA())</f>
        <v>6.0190000000000001</v>
      </c>
      <c r="O223" s="389">
        <f>IFERROR((Tools!$B199+ROUND(Hydros!L15/Tools!$C199,3)),NA())</f>
        <v>7.0579999999999998</v>
      </c>
      <c r="P223" s="389">
        <f>IFERROR((Tools!$B199+ROUND(Hydros!M15/Tools!$C199,3)),NA())</f>
        <v>7.9749999999999996</v>
      </c>
      <c r="Q223" s="389" t="e">
        <f>IFERROR((Tools!$B199+ROUND(Hydros!N15/Tools!$C199,3)),NA())</f>
        <v>#N/A</v>
      </c>
      <c r="R223" s="389" t="e">
        <f>IFERROR((Tools!$B199+ROUND(Hydros!O15/Tools!$C199,3)),NA())</f>
        <v>#N/A</v>
      </c>
      <c r="S223" s="389" t="e">
        <f>IFERROR((Tools!$B199+ROUND(Hydros!P15/Tools!$C199,3)),NA())</f>
        <v>#N/A</v>
      </c>
      <c r="T223" s="389" t="e">
        <f>IFERROR((Tools!$B199+ROUND(Hydros!Q15/Tools!$C199,3)),NA())</f>
        <v>#N/A</v>
      </c>
      <c r="U223" s="389" t="e">
        <f>IFERROR((Tools!$B199+ROUND(Hydros!R15/Tools!$C199,3)),NA())</f>
        <v>#N/A</v>
      </c>
      <c r="V223" s="389" t="e">
        <f>IFERROR((Tools!$B199+ROUND(Hydros!S15/Tools!$C199,3)),NA())</f>
        <v>#N/A</v>
      </c>
      <c r="W223" s="389" t="e">
        <f>IFERROR((Tools!$B199+ROUND(Hydros!T15/Tools!$C199,3)),NA())</f>
        <v>#N/A</v>
      </c>
      <c r="X223" s="389" t="e">
        <f>IFERROR((Tools!$B199+ROUND(Hydros!U15/Tools!$C199,3)),NA())</f>
        <v>#N/A</v>
      </c>
      <c r="Y223" s="389" t="e">
        <f>IFERROR((Tools!$B199+ROUND(Hydros!V15/Tools!$C199,3)),NA())</f>
        <v>#N/A</v>
      </c>
      <c r="Z223" s="389" t="e">
        <f>IFERROR((Tools!$B199+ROUND(Hydros!W15/Tools!$C199,3)),NA())</f>
        <v>#N/A</v>
      </c>
      <c r="AA223" s="389" t="e">
        <f>IFERROR((Tools!$B199+ROUND(Hydros!X15/Tools!$C199,3)),NA())</f>
        <v>#N/A</v>
      </c>
      <c r="AB223" s="389" t="e">
        <f>IFERROR((Tools!$B199+ROUND(Hydros!Y15/Tools!$C199,3)),NA())</f>
        <v>#N/A</v>
      </c>
      <c r="AC223" s="389" t="e">
        <f>IFERROR((Tools!$B199+ROUND(Hydros!Z15/Tools!$C199,3)),NA())</f>
        <v>#N/A</v>
      </c>
      <c r="AD223" s="277"/>
      <c r="AE223" s="276"/>
    </row>
    <row r="224" spans="1:31" x14ac:dyDescent="0.25">
      <c r="A224" s="274"/>
      <c r="B224" s="277"/>
      <c r="C224" s="277"/>
      <c r="D224" s="388" t="s">
        <v>288</v>
      </c>
      <c r="E224" s="389" t="e">
        <f>IFERROR((Tools!$B200+ROUND(Hydros!B16/Tools!$C200,3)),NA())</f>
        <v>#N/A</v>
      </c>
      <c r="F224" s="389">
        <f>IFERROR((Tools!$B200+ROUND(Hydros!C16/Tools!$C200,3)),NA())</f>
        <v>3.4820000000000002</v>
      </c>
      <c r="G224" s="389">
        <f>IFERROR((Tools!$B200+ROUND(Hydros!D16/Tools!$C200,3)),NA())</f>
        <v>2.1800000000000002</v>
      </c>
      <c r="H224" s="389">
        <f>IFERROR((Tools!$B200+ROUND(Hydros!E16/Tools!$C200,3)),NA())</f>
        <v>1.6950000000000001</v>
      </c>
      <c r="I224" s="389">
        <f>IFERROR((Tools!$B200+ROUND(Hydros!F16/Tools!$C200,3)),NA())</f>
        <v>1.43</v>
      </c>
      <c r="J224" s="389">
        <f>IFERROR((Tools!$B200+ROUND(Hydros!G16/Tools!$C200,3)),NA())</f>
        <v>1.1819999999999999</v>
      </c>
      <c r="K224" s="389">
        <f>IFERROR((Tools!$B200+ROUND(Hydros!H16/Tools!$C200,3)),NA())</f>
        <v>1.105</v>
      </c>
      <c r="L224" s="389">
        <f>IFERROR((Tools!$B200+ROUND(Hydros!I16/Tools!$C200,3)),NA())</f>
        <v>1.099</v>
      </c>
      <c r="M224" s="389">
        <f>IFERROR((Tools!$B200+ROUND(Hydros!J16/Tools!$C200,3)),NA())</f>
        <v>1.113</v>
      </c>
      <c r="N224" s="389">
        <f>IFERROR((Tools!$B200+ROUND(Hydros!K16/Tools!$C200,3)),NA())</f>
        <v>1.127</v>
      </c>
      <c r="O224" s="389">
        <f>IFERROR((Tools!$B200+ROUND(Hydros!L16/Tools!$C200,3)),NA())</f>
        <v>1.17</v>
      </c>
      <c r="P224" s="389">
        <f>IFERROR((Tools!$B200+ROUND(Hydros!M16/Tools!$C200,3)),NA())</f>
        <v>1.234</v>
      </c>
      <c r="Q224" s="389" t="e">
        <f>IFERROR((Tools!$B200+ROUND(Hydros!N16/Tools!$C200,3)),NA())</f>
        <v>#N/A</v>
      </c>
      <c r="R224" s="389" t="e">
        <f>IFERROR((Tools!$B200+ROUND(Hydros!O16/Tools!$C200,3)),NA())</f>
        <v>#N/A</v>
      </c>
      <c r="S224" s="389" t="e">
        <f>IFERROR((Tools!$B200+ROUND(Hydros!P16/Tools!$C200,3)),NA())</f>
        <v>#N/A</v>
      </c>
      <c r="T224" s="389" t="e">
        <f>IFERROR((Tools!$B200+ROUND(Hydros!Q16/Tools!$C200,3)),NA())</f>
        <v>#N/A</v>
      </c>
      <c r="U224" s="389" t="e">
        <f>IFERROR((Tools!$B200+ROUND(Hydros!R16/Tools!$C200,3)),NA())</f>
        <v>#N/A</v>
      </c>
      <c r="V224" s="389" t="e">
        <f>IFERROR((Tools!$B200+ROUND(Hydros!S16/Tools!$C200,3)),NA())</f>
        <v>#N/A</v>
      </c>
      <c r="W224" s="389" t="e">
        <f>IFERROR((Tools!$B200+ROUND(Hydros!T16/Tools!$C200,3)),NA())</f>
        <v>#N/A</v>
      </c>
      <c r="X224" s="389" t="e">
        <f>IFERROR((Tools!$B200+ROUND(Hydros!U16/Tools!$C200,3)),NA())</f>
        <v>#N/A</v>
      </c>
      <c r="Y224" s="389" t="e">
        <f>IFERROR((Tools!$B200+ROUND(Hydros!V16/Tools!$C200,3)),NA())</f>
        <v>#N/A</v>
      </c>
      <c r="Z224" s="389" t="e">
        <f>IFERROR((Tools!$B200+ROUND(Hydros!W16/Tools!$C200,3)),NA())</f>
        <v>#N/A</v>
      </c>
      <c r="AA224" s="389" t="e">
        <f>IFERROR((Tools!$B200+ROUND(Hydros!X16/Tools!$C200,3)),NA())</f>
        <v>#N/A</v>
      </c>
      <c r="AB224" s="389" t="e">
        <f>IFERROR((Tools!$B200+ROUND(Hydros!Y16/Tools!$C200,3)),NA())</f>
        <v>#N/A</v>
      </c>
      <c r="AC224" s="389" t="e">
        <f>IFERROR((Tools!$B200+ROUND(Hydros!Z16/Tools!$C200,3)),NA())</f>
        <v>#N/A</v>
      </c>
      <c r="AD224" s="277"/>
      <c r="AE224" s="276"/>
    </row>
    <row r="225" spans="1:32" x14ac:dyDescent="0.25">
      <c r="A225" s="274"/>
      <c r="B225" s="277"/>
      <c r="C225" s="277"/>
      <c r="D225" s="388" t="s">
        <v>289</v>
      </c>
      <c r="E225" s="389" t="e">
        <f>IFERROR((Tools!$B201+ROUND(Hydros!B17/Tools!$C201,3)),NA())</f>
        <v>#N/A</v>
      </c>
      <c r="F225" s="389">
        <f>IFERROR((Tools!$B201+ROUND(Hydros!C17/Tools!$C201,3)),NA())</f>
        <v>7.4139999999999997</v>
      </c>
      <c r="G225" s="389">
        <f>IFERROR((Tools!$B201+ROUND(Hydros!D17/Tools!$C201,3)),NA())</f>
        <v>4.1790000000000003</v>
      </c>
      <c r="H225" s="389">
        <f>IFERROR((Tools!$B201+ROUND(Hydros!E17/Tools!$C201,3)),NA())</f>
        <v>3.0369999999999999</v>
      </c>
      <c r="I225" s="389">
        <f>IFERROR((Tools!$B201+ROUND(Hydros!F17/Tools!$C201,3)),NA())</f>
        <v>2.4060000000000001</v>
      </c>
      <c r="J225" s="389">
        <f>IFERROR((Tools!$B201+ROUND(Hydros!G17/Tools!$C201,3)),NA())</f>
        <v>1.8080000000000001</v>
      </c>
      <c r="K225" s="389">
        <f>IFERROR((Tools!$B201+ROUND(Hydros!H17/Tools!$C201,3)),NA())</f>
        <v>1.508</v>
      </c>
      <c r="L225" s="389">
        <f>IFERROR((Tools!$B201+ROUND(Hydros!I17/Tools!$C201,3)),NA())</f>
        <v>1.4330000000000001</v>
      </c>
      <c r="M225" s="389">
        <f>IFERROR((Tools!$B201+ROUND(Hydros!J17/Tools!$C201,3)),NA())</f>
        <v>1.4419999999999999</v>
      </c>
      <c r="N225" s="389">
        <f>IFERROR((Tools!$B201+ROUND(Hydros!K17/Tools!$C201,3)),NA())</f>
        <v>1.417</v>
      </c>
      <c r="O225" s="389">
        <f>IFERROR((Tools!$B201+ROUND(Hydros!L17/Tools!$C201,3)),NA())</f>
        <v>1.3180000000000001</v>
      </c>
      <c r="P225" s="389">
        <f>IFERROR((Tools!$B201+ROUND(Hydros!M17/Tools!$C201,3)),NA())</f>
        <v>1.28</v>
      </c>
      <c r="Q225" s="389" t="e">
        <f>IFERROR((Tools!$B201+ROUND(Hydros!N17/Tools!$C201,3)),NA())</f>
        <v>#N/A</v>
      </c>
      <c r="R225" s="389" t="e">
        <f>IFERROR((Tools!$B201+ROUND(Hydros!O17/Tools!$C201,3)),NA())</f>
        <v>#N/A</v>
      </c>
      <c r="S225" s="389" t="e">
        <f>IFERROR((Tools!$B201+ROUND(Hydros!P17/Tools!$C201,3)),NA())</f>
        <v>#N/A</v>
      </c>
      <c r="T225" s="389" t="e">
        <f>IFERROR((Tools!$B201+ROUND(Hydros!Q17/Tools!$C201,3)),NA())</f>
        <v>#N/A</v>
      </c>
      <c r="U225" s="389" t="e">
        <f>IFERROR((Tools!$B201+ROUND(Hydros!R17/Tools!$C201,3)),NA())</f>
        <v>#N/A</v>
      </c>
      <c r="V225" s="389" t="e">
        <f>IFERROR((Tools!$B201+ROUND(Hydros!S17/Tools!$C201,3)),NA())</f>
        <v>#N/A</v>
      </c>
      <c r="W225" s="389" t="e">
        <f>IFERROR((Tools!$B201+ROUND(Hydros!T17/Tools!$C201,3)),NA())</f>
        <v>#N/A</v>
      </c>
      <c r="X225" s="389" t="e">
        <f>IFERROR((Tools!$B201+ROUND(Hydros!U17/Tools!$C201,3)),NA())</f>
        <v>#N/A</v>
      </c>
      <c r="Y225" s="389" t="e">
        <f>IFERROR((Tools!$B201+ROUND(Hydros!V17/Tools!$C201,3)),NA())</f>
        <v>#N/A</v>
      </c>
      <c r="Z225" s="389" t="e">
        <f>IFERROR((Tools!$B201+ROUND(Hydros!W17/Tools!$C201,3)),NA())</f>
        <v>#N/A</v>
      </c>
      <c r="AA225" s="389" t="e">
        <f>IFERROR((Tools!$B201+ROUND(Hydros!X17/Tools!$C201,3)),NA())</f>
        <v>#N/A</v>
      </c>
      <c r="AB225" s="389" t="e">
        <f>IFERROR((Tools!$B201+ROUND(Hydros!Y17/Tools!$C201,3)),NA())</f>
        <v>#N/A</v>
      </c>
      <c r="AC225" s="389" t="e">
        <f>IFERROR((Tools!$B201+ROUND(Hydros!Z17/Tools!$C201,3)),NA())</f>
        <v>#N/A</v>
      </c>
      <c r="AD225" s="277"/>
      <c r="AE225" s="276"/>
    </row>
    <row r="226" spans="1:32" x14ac:dyDescent="0.25">
      <c r="A226" s="274"/>
      <c r="B226" s="277"/>
      <c r="C226" s="277"/>
      <c r="D226" s="388" t="s">
        <v>71</v>
      </c>
      <c r="E226" s="389">
        <f>IFERROR((Tools!$B202+ROUND(Hydros!B18/Tools!$C202,3)),NA())</f>
        <v>10.881</v>
      </c>
      <c r="F226" s="389">
        <f>IFERROR((Tools!$B202+ROUND(Hydros!C18/Tools!$C202,3)),NA())</f>
        <v>11.459</v>
      </c>
      <c r="G226" s="389">
        <f>IFERROR((Tools!$B202+ROUND(Hydros!D18/Tools!$C202,3)),NA())</f>
        <v>11.712</v>
      </c>
      <c r="H226" s="389">
        <f>IFERROR((Tools!$B202+ROUND(Hydros!E18/Tools!$C202,3)),NA())</f>
        <v>11.879</v>
      </c>
      <c r="I226" s="389">
        <f>IFERROR((Tools!$B202+ROUND(Hydros!F18/Tools!$C202,3)),NA())</f>
        <v>12.004</v>
      </c>
      <c r="J226" s="389">
        <f>IFERROR((Tools!$B202+ROUND(Hydros!G18/Tools!$C202,3)),NA())</f>
        <v>12.206</v>
      </c>
      <c r="K226" s="389">
        <f>IFERROR((Tools!$B202+ROUND(Hydros!H18/Tools!$C202,3)),NA())</f>
        <v>12.381</v>
      </c>
      <c r="L226" s="389">
        <f>IFERROR((Tools!$B202+ROUND(Hydros!I18/Tools!$C202,3)),NA())</f>
        <v>12.592000000000001</v>
      </c>
      <c r="M226" s="389">
        <f>IFERROR((Tools!$B202+ROUND(Hydros!J18/Tools!$C202,3)),NA())</f>
        <v>12.734999999999999</v>
      </c>
      <c r="N226" s="389">
        <f>IFERROR((Tools!$B202+ROUND(Hydros!K18/Tools!$C202,3)),NA())</f>
        <v>12.804</v>
      </c>
      <c r="O226" s="389">
        <f>IFERROR((Tools!$B202+ROUND(Hydros!L18/Tools!$C202,3)),NA())</f>
        <v>12.933</v>
      </c>
      <c r="P226" s="389">
        <f>IFERROR((Tools!$B202+ROUND(Hydros!M18/Tools!$C202,3)),NA())</f>
        <v>13.084</v>
      </c>
      <c r="Q226" s="389" t="e">
        <f>IFERROR((Tools!$B202+ROUND(Hydros!N18/Tools!$C202,3)),NA())</f>
        <v>#N/A</v>
      </c>
      <c r="R226" s="389" t="e">
        <f>IFERROR((Tools!$B202+ROUND(Hydros!O18/Tools!$C202,3)),NA())</f>
        <v>#N/A</v>
      </c>
      <c r="S226" s="389" t="e">
        <f>IFERROR((Tools!$B202+ROUND(Hydros!P18/Tools!$C202,3)),NA())</f>
        <v>#N/A</v>
      </c>
      <c r="T226" s="389" t="e">
        <f>IFERROR((Tools!$B202+ROUND(Hydros!Q18/Tools!$C202,3)),NA())</f>
        <v>#N/A</v>
      </c>
      <c r="U226" s="389" t="e">
        <f>IFERROR((Tools!$B202+ROUND(Hydros!R18/Tools!$C202,3)),NA())</f>
        <v>#N/A</v>
      </c>
      <c r="V226" s="389" t="e">
        <f>IFERROR((Tools!$B202+ROUND(Hydros!S18/Tools!$C202,3)),NA())</f>
        <v>#N/A</v>
      </c>
      <c r="W226" s="389" t="e">
        <f>IFERROR((Tools!$B202+ROUND(Hydros!T18/Tools!$C202,3)),NA())</f>
        <v>#N/A</v>
      </c>
      <c r="X226" s="389" t="e">
        <f>IFERROR((Tools!$B202+ROUND(Hydros!U18/Tools!$C202,3)),NA())</f>
        <v>#N/A</v>
      </c>
      <c r="Y226" s="389" t="e">
        <f>IFERROR((Tools!$B202+ROUND(Hydros!V18/Tools!$C202,3)),NA())</f>
        <v>#N/A</v>
      </c>
      <c r="Z226" s="389" t="e">
        <f>IFERROR((Tools!$B202+ROUND(Hydros!W18/Tools!$C202,3)),NA())</f>
        <v>#N/A</v>
      </c>
      <c r="AA226" s="389" t="e">
        <f>IFERROR((Tools!$B202+ROUND(Hydros!X18/Tools!$C202,3)),NA())</f>
        <v>#N/A</v>
      </c>
      <c r="AB226" s="389" t="e">
        <f>IFERROR((Tools!$B202+ROUND(Hydros!Y18/Tools!$C202,3)),NA())</f>
        <v>#N/A</v>
      </c>
      <c r="AC226" s="389" t="e">
        <f>IFERROR((Tools!$B202+ROUND(Hydros!Z18/Tools!$C202,3)),NA())</f>
        <v>#N/A</v>
      </c>
      <c r="AD226" s="277"/>
      <c r="AE226" s="276"/>
      <c r="AF226" s="397"/>
    </row>
    <row r="227" spans="1:32" x14ac:dyDescent="0.25">
      <c r="A227" s="274"/>
      <c r="B227" s="277"/>
      <c r="C227" s="277"/>
      <c r="D227" s="388" t="s">
        <v>73</v>
      </c>
      <c r="E227" s="389" t="e">
        <f>IFERROR((Tools!$B203+ROUND(Hydros!B19/Tools!$C203,3)),NA())</f>
        <v>#N/A</v>
      </c>
      <c r="F227" s="389">
        <f>IFERROR((Tools!$B203+ROUND(Hydros!C19/Tools!$C203,3)),NA())</f>
        <v>12.763</v>
      </c>
      <c r="G227" s="389">
        <f>IFERROR((Tools!$B203+ROUND(Hydros!D19/Tools!$C203,3)),NA())</f>
        <v>12.291</v>
      </c>
      <c r="H227" s="389">
        <f>IFERROR((Tools!$B203+ROUND(Hydros!E19/Tools!$C203,3)),NA())</f>
        <v>12.273</v>
      </c>
      <c r="I227" s="389">
        <f>IFERROR((Tools!$B203+ROUND(Hydros!F19/Tools!$C203,3)),NA())</f>
        <v>12.093</v>
      </c>
      <c r="J227" s="389">
        <f>IFERROR((Tools!$B203+ROUND(Hydros!G19/Tools!$C203,3)),NA())</f>
        <v>11.547000000000001</v>
      </c>
      <c r="K227" s="389">
        <f>IFERROR((Tools!$B203+ROUND(Hydros!H19/Tools!$C203,3)),NA())</f>
        <v>10.683999999999999</v>
      </c>
      <c r="L227" s="389">
        <f>IFERROR((Tools!$B203+ROUND(Hydros!I19/Tools!$C203,3)),NA())</f>
        <v>9.6869999999999994</v>
      </c>
      <c r="M227" s="389">
        <f>IFERROR((Tools!$B203+ROUND(Hydros!J19/Tools!$C203,3)),NA())</f>
        <v>8.9960000000000004</v>
      </c>
      <c r="N227" s="389">
        <f>IFERROR((Tools!$B203+ROUND(Hydros!K19/Tools!$C203,3)),NA())</f>
        <v>8.5269999999999992</v>
      </c>
      <c r="O227" s="389">
        <f>IFERROR((Tools!$B203+ROUND(Hydros!L19/Tools!$C203,3)),NA())</f>
        <v>7.73</v>
      </c>
      <c r="P227" s="389">
        <f>IFERROR((Tools!$B203+ROUND(Hydros!M19/Tools!$C203,3)),NA())</f>
        <v>7.3840000000000003</v>
      </c>
      <c r="Q227" s="389" t="e">
        <f>IFERROR((Tools!$B203+ROUND(Hydros!N19/Tools!$C203,3)),NA())</f>
        <v>#N/A</v>
      </c>
      <c r="R227" s="389" t="e">
        <f>IFERROR((Tools!$B203+ROUND(Hydros!O19/Tools!$C203,3)),NA())</f>
        <v>#N/A</v>
      </c>
      <c r="S227" s="389" t="e">
        <f>IFERROR((Tools!$B203+ROUND(Hydros!P19/Tools!$C203,3)),NA())</f>
        <v>#N/A</v>
      </c>
      <c r="T227" s="389" t="e">
        <f>IFERROR((Tools!$B203+ROUND(Hydros!Q19/Tools!$C203,3)),NA())</f>
        <v>#N/A</v>
      </c>
      <c r="U227" s="389" t="e">
        <f>IFERROR((Tools!$B203+ROUND(Hydros!R19/Tools!$C203,3)),NA())</f>
        <v>#N/A</v>
      </c>
      <c r="V227" s="389" t="e">
        <f>IFERROR((Tools!$B203+ROUND(Hydros!S19/Tools!$C203,3)),NA())</f>
        <v>#N/A</v>
      </c>
      <c r="W227" s="389" t="e">
        <f>IFERROR((Tools!$B203+ROUND(Hydros!T19/Tools!$C203,3)),NA())</f>
        <v>#N/A</v>
      </c>
      <c r="X227" s="389" t="e">
        <f>IFERROR((Tools!$B203+ROUND(Hydros!U19/Tools!$C203,3)),NA())</f>
        <v>#N/A</v>
      </c>
      <c r="Y227" s="389" t="e">
        <f>IFERROR((Tools!$B203+ROUND(Hydros!V19/Tools!$C203,3)),NA())</f>
        <v>#N/A</v>
      </c>
      <c r="Z227" s="389" t="e">
        <f>IFERROR((Tools!$B203+ROUND(Hydros!W19/Tools!$C203,3)),NA())</f>
        <v>#N/A</v>
      </c>
      <c r="AA227" s="389" t="e">
        <f>IFERROR((Tools!$B203+ROUND(Hydros!X19/Tools!$C203,3)),NA())</f>
        <v>#N/A</v>
      </c>
      <c r="AB227" s="389" t="e">
        <f>IFERROR((Tools!$B203+ROUND(Hydros!Y19/Tools!$C203,3)),NA())</f>
        <v>#N/A</v>
      </c>
      <c r="AC227" s="389" t="e">
        <f>IFERROR((Tools!$B203+ROUND(Hydros!Z19/Tools!$C203,3)),NA())</f>
        <v>#N/A</v>
      </c>
      <c r="AD227" s="277"/>
      <c r="AE227" s="276"/>
      <c r="AF227" s="397"/>
    </row>
    <row r="228" spans="1:32" x14ac:dyDescent="0.25">
      <c r="A228" s="274"/>
      <c r="B228" s="277"/>
      <c r="C228" s="277"/>
      <c r="D228" s="388" t="s">
        <v>127</v>
      </c>
      <c r="E228" s="389" t="e">
        <f>IFERROR((Tools!$B204+ROUND(Hydros!B20/Tools!$C204,3)),NA())</f>
        <v>#N/A</v>
      </c>
      <c r="F228" s="389">
        <f>IFERROR((Tools!$B204+ROUND(Hydros!C20/Tools!$C204,3)),NA())</f>
        <v>10.608000000000001</v>
      </c>
      <c r="G228" s="389">
        <f>IFERROR((Tools!$B204+ROUND(Hydros!D20/Tools!$C204,3)),NA())</f>
        <v>10.805</v>
      </c>
      <c r="H228" s="389">
        <f>IFERROR((Tools!$B204+ROUND(Hydros!E20/Tools!$C204,3)),NA())</f>
        <v>10.952999999999999</v>
      </c>
      <c r="I228" s="389">
        <f>IFERROR((Tools!$B204+ROUND(Hydros!F20/Tools!$C204,3)),NA())</f>
        <v>11.074999999999999</v>
      </c>
      <c r="J228" s="389">
        <f>IFERROR((Tools!$B204+ROUND(Hydros!G20/Tools!$C204,3)),NA())</f>
        <v>11.316000000000001</v>
      </c>
      <c r="K228" s="389">
        <f>IFERROR((Tools!$B204+ROUND(Hydros!H20/Tools!$C204,3)),NA())</f>
        <v>11.55</v>
      </c>
      <c r="L228" s="389">
        <f>IFERROR((Tools!$B204+ROUND(Hydros!I20/Tools!$C204,3)),NA())</f>
        <v>11.931000000000001</v>
      </c>
      <c r="M228" s="389">
        <f>IFERROR((Tools!$B204+ROUND(Hydros!J20/Tools!$C204,3)),NA())</f>
        <v>12.244</v>
      </c>
      <c r="N228" s="389">
        <f>IFERROR((Tools!$B204+ROUND(Hydros!K20/Tools!$C204,3)),NA())</f>
        <v>12.399000000000001</v>
      </c>
      <c r="O228" s="389">
        <f>IFERROR((Tools!$B204+ROUND(Hydros!L20/Tools!$C204,3)),NA())</f>
        <v>12.696999999999999</v>
      </c>
      <c r="P228" s="389">
        <f>IFERROR((Tools!$B204+ROUND(Hydros!M20/Tools!$C204,3)),NA())</f>
        <v>13.035</v>
      </c>
      <c r="Q228" s="389" t="e">
        <f>IFERROR((Tools!$B204+ROUND(Hydros!N20/Tools!$C204,3)),NA())</f>
        <v>#N/A</v>
      </c>
      <c r="R228" s="389" t="e">
        <f>IFERROR((Tools!$B204+ROUND(Hydros!O20/Tools!$C204,3)),NA())</f>
        <v>#N/A</v>
      </c>
      <c r="S228" s="389" t="e">
        <f>IFERROR((Tools!$B204+ROUND(Hydros!P20/Tools!$C204,3)),NA())</f>
        <v>#N/A</v>
      </c>
      <c r="T228" s="389" t="e">
        <f>IFERROR((Tools!$B204+ROUND(Hydros!Q20/Tools!$C204,3)),NA())</f>
        <v>#N/A</v>
      </c>
      <c r="U228" s="389" t="e">
        <f>IFERROR((Tools!$B204+ROUND(Hydros!R20/Tools!$C204,3)),NA())</f>
        <v>#N/A</v>
      </c>
      <c r="V228" s="389" t="e">
        <f>IFERROR((Tools!$B204+ROUND(Hydros!S20/Tools!$C204,3)),NA())</f>
        <v>#N/A</v>
      </c>
      <c r="W228" s="389" t="e">
        <f>IFERROR((Tools!$B204+ROUND(Hydros!T20/Tools!$C204,3)),NA())</f>
        <v>#N/A</v>
      </c>
      <c r="X228" s="389" t="e">
        <f>IFERROR((Tools!$B204+ROUND(Hydros!U20/Tools!$C204,3)),NA())</f>
        <v>#N/A</v>
      </c>
      <c r="Y228" s="389" t="e">
        <f>IFERROR((Tools!$B204+ROUND(Hydros!V20/Tools!$C204,3)),NA())</f>
        <v>#N/A</v>
      </c>
      <c r="Z228" s="389" t="e">
        <f>IFERROR((Tools!$B204+ROUND(Hydros!W20/Tools!$C204,3)),NA())</f>
        <v>#N/A</v>
      </c>
      <c r="AA228" s="389" t="e">
        <f>IFERROR((Tools!$B204+ROUND(Hydros!X20/Tools!$C204,3)),NA())</f>
        <v>#N/A</v>
      </c>
      <c r="AB228" s="389" t="e">
        <f>IFERROR((Tools!$B204+ROUND(Hydros!Y20/Tools!$C204,3)),NA())</f>
        <v>#N/A</v>
      </c>
      <c r="AC228" s="389" t="e">
        <f>IFERROR((Tools!$B204+ROUND(Hydros!Z20/Tools!$C204,3)),NA())</f>
        <v>#N/A</v>
      </c>
      <c r="AD228" s="277"/>
      <c r="AE228" s="276"/>
      <c r="AF228" s="397"/>
    </row>
    <row r="229" spans="1:32" x14ac:dyDescent="0.25">
      <c r="A229" s="274"/>
      <c r="B229" s="277"/>
      <c r="C229" s="277"/>
      <c r="D229" s="388" t="s">
        <v>78</v>
      </c>
      <c r="E229" s="389">
        <f>IFERROR((Tools!$B205+ROUND(Hydros!B21/Tools!$C205,3)),NA())</f>
        <v>0</v>
      </c>
      <c r="F229" s="389">
        <f>IFERROR((Tools!$B205+ROUND(Hydros!C21/Tools!$C205,3)),NA())</f>
        <v>0.09</v>
      </c>
      <c r="G229" s="389">
        <f>IFERROR((Tools!$B205+ROUND(Hydros!D21/Tools!$C205,3)),NA())</f>
        <v>0.18</v>
      </c>
      <c r="H229" s="389">
        <f>IFERROR((Tools!$B205+ROUND(Hydros!E21/Tools!$C205,3)),NA())</f>
        <v>0.27</v>
      </c>
      <c r="I229" s="389">
        <f>IFERROR((Tools!$B205+ROUND(Hydros!F21/Tools!$C205,3)),NA())</f>
        <v>0.36</v>
      </c>
      <c r="J229" s="389">
        <f>IFERROR((Tools!$B205+ROUND(Hydros!G21/Tools!$C205,3)),NA())</f>
        <v>0.54</v>
      </c>
      <c r="K229" s="389">
        <f>IFERROR((Tools!$B205+ROUND(Hydros!H21/Tools!$C205,3)),NA())</f>
        <v>0.72</v>
      </c>
      <c r="L229" s="389">
        <f>IFERROR((Tools!$B205+ROUND(Hydros!I21/Tools!$C205,3)),NA())</f>
        <v>0.9</v>
      </c>
      <c r="M229" s="389">
        <f>IFERROR((Tools!$B205+ROUND(Hydros!J21/Tools!$C205,3)),NA())</f>
        <v>1.01</v>
      </c>
      <c r="N229" s="389">
        <f>IFERROR((Tools!$B205+ROUND(Hydros!K21/Tools!$C205,3)),NA())</f>
        <v>1.08</v>
      </c>
      <c r="O229" s="389">
        <f>IFERROR((Tools!$B205+ROUND(Hydros!L21/Tools!$C205,3)),NA())</f>
        <v>1.26</v>
      </c>
      <c r="P229" s="389">
        <f>IFERROR((Tools!$B205+ROUND(Hydros!M21/Tools!$C205,3)),NA())</f>
        <v>1.419</v>
      </c>
      <c r="Q229" s="389" t="e">
        <f>IFERROR((Tools!$B205+ROUND(Hydros!N21/Tools!$C205,3)),NA())</f>
        <v>#N/A</v>
      </c>
      <c r="R229" s="389" t="e">
        <f>IFERROR((Tools!$B205+ROUND(Hydros!O21/Tools!$C205,3)),NA())</f>
        <v>#N/A</v>
      </c>
      <c r="S229" s="389" t="e">
        <f>IFERROR((Tools!$B205+ROUND(Hydros!P21/Tools!$C205,3)),NA())</f>
        <v>#N/A</v>
      </c>
      <c r="T229" s="389" t="e">
        <f>IFERROR((Tools!$B205+ROUND(Hydros!Q21/Tools!$C205,3)),NA())</f>
        <v>#N/A</v>
      </c>
      <c r="U229" s="389" t="e">
        <f>IFERROR((Tools!$B205+ROUND(Hydros!R21/Tools!$C205,3)),NA())</f>
        <v>#N/A</v>
      </c>
      <c r="V229" s="389" t="e">
        <f>IFERROR((Tools!$B205+ROUND(Hydros!S21/Tools!$C205,3)),NA())</f>
        <v>#N/A</v>
      </c>
      <c r="W229" s="389" t="e">
        <f>IFERROR((Tools!$B205+ROUND(Hydros!T21/Tools!$C205,3)),NA())</f>
        <v>#N/A</v>
      </c>
      <c r="X229" s="389" t="e">
        <f>IFERROR((Tools!$B205+ROUND(Hydros!U21/Tools!$C205,3)),NA())</f>
        <v>#N/A</v>
      </c>
      <c r="Y229" s="389" t="e">
        <f>IFERROR((Tools!$B205+ROUND(Hydros!V21/Tools!$C205,3)),NA())</f>
        <v>#N/A</v>
      </c>
      <c r="Z229" s="389" t="e">
        <f>IFERROR((Tools!$B205+ROUND(Hydros!W21/Tools!$C205,3)),NA())</f>
        <v>#N/A</v>
      </c>
      <c r="AA229" s="389" t="e">
        <f>IFERROR((Tools!$B205+ROUND(Hydros!X21/Tools!$C205,3)),NA())</f>
        <v>#N/A</v>
      </c>
      <c r="AB229" s="389" t="e">
        <f>IFERROR((Tools!$B205+ROUND(Hydros!Y21/Tools!$C205,3)),NA())</f>
        <v>#N/A</v>
      </c>
      <c r="AC229" s="389" t="e">
        <f>IFERROR((Tools!$B205+ROUND(Hydros!Z21/Tools!$C205,3)),NA())</f>
        <v>#N/A</v>
      </c>
      <c r="AD229" s="277"/>
      <c r="AE229" s="276"/>
      <c r="AF229" s="397"/>
    </row>
    <row r="230" spans="1:32" x14ac:dyDescent="0.25">
      <c r="A230" s="274"/>
      <c r="B230" s="277"/>
      <c r="C230" s="277"/>
      <c r="D230" s="388" t="s">
        <v>290</v>
      </c>
      <c r="E230" s="389">
        <f>IFERROR((Tools!$B206+ROUND(Hydros!B22/Tools!$C206,3)),NA())</f>
        <v>3.7959999999999998</v>
      </c>
      <c r="F230" s="389">
        <f>IFERROR((Tools!$B206+ROUND(Hydros!C22/Tools!$C206,3)),NA())</f>
        <v>4.9850000000000003</v>
      </c>
      <c r="G230" s="389">
        <f>IFERROR((Tools!$B206+ROUND(Hydros!D22/Tools!$C206,3)),NA())</f>
        <v>5.391</v>
      </c>
      <c r="H230" s="389">
        <f>IFERROR((Tools!$B206+ROUND(Hydros!E22/Tools!$C206,3)),NA())</f>
        <v>5.7329999999999997</v>
      </c>
      <c r="I230" s="389">
        <f>IFERROR((Tools!$B206+ROUND(Hydros!F22/Tools!$C206,3)),NA())</f>
        <v>6.0579999999999998</v>
      </c>
      <c r="J230" s="389">
        <f>IFERROR((Tools!$B206+ROUND(Hydros!G22/Tools!$C206,3)),NA())</f>
        <v>6.6710000000000003</v>
      </c>
      <c r="K230" s="389">
        <f>IFERROR((Tools!$B206+ROUND(Hydros!H22/Tools!$C206,3)),NA())</f>
        <v>7.2</v>
      </c>
      <c r="L230" s="389">
        <f>IFERROR((Tools!$B206+ROUND(Hydros!I22/Tools!$C206,3)),NA())</f>
        <v>7.8369999999999997</v>
      </c>
      <c r="M230" s="389">
        <f>IFERROR((Tools!$B206+ROUND(Hydros!J22/Tools!$C206,3)),NA())</f>
        <v>8.27</v>
      </c>
      <c r="N230" s="389">
        <f>IFERROR((Tools!$B206+ROUND(Hydros!K22/Tools!$C206,3)),NA())</f>
        <v>8.4789999999999992</v>
      </c>
      <c r="O230" s="389">
        <f>IFERROR((Tools!$B206+ROUND(Hydros!L22/Tools!$C206,3)),NA())</f>
        <v>8.8699999999999992</v>
      </c>
      <c r="P230" s="389">
        <f>IFERROR((Tools!$B206+ROUND(Hydros!M22/Tools!$C206,3)),NA())</f>
        <v>9.3239999999999998</v>
      </c>
      <c r="Q230" s="389" t="e">
        <f>IFERROR((Tools!$B206+ROUND(Hydros!N22/Tools!$C206,3)),NA())</f>
        <v>#N/A</v>
      </c>
      <c r="R230" s="389" t="e">
        <f>IFERROR((Tools!$B206+ROUND(Hydros!O22/Tools!$C206,3)),NA())</f>
        <v>#N/A</v>
      </c>
      <c r="S230" s="389" t="e">
        <f>IFERROR((Tools!$B206+ROUND(Hydros!P22/Tools!$C206,3)),NA())</f>
        <v>#N/A</v>
      </c>
      <c r="T230" s="389" t="e">
        <f>IFERROR((Tools!$B206+ROUND(Hydros!Q22/Tools!$C206,3)),NA())</f>
        <v>#N/A</v>
      </c>
      <c r="U230" s="389" t="e">
        <f>IFERROR((Tools!$B206+ROUND(Hydros!R22/Tools!$C206,3)),NA())</f>
        <v>#N/A</v>
      </c>
      <c r="V230" s="389" t="e">
        <f>IFERROR((Tools!$B206+ROUND(Hydros!S22/Tools!$C206,3)),NA())</f>
        <v>#N/A</v>
      </c>
      <c r="W230" s="389" t="e">
        <f>IFERROR((Tools!$B206+ROUND(Hydros!T22/Tools!$C206,3)),NA())</f>
        <v>#N/A</v>
      </c>
      <c r="X230" s="389" t="e">
        <f>IFERROR((Tools!$B206+ROUND(Hydros!U22/Tools!$C206,3)),NA())</f>
        <v>#N/A</v>
      </c>
      <c r="Y230" s="389" t="e">
        <f>IFERROR((Tools!$B206+ROUND(Hydros!V22/Tools!$C206,3)),NA())</f>
        <v>#N/A</v>
      </c>
      <c r="Z230" s="389" t="e">
        <f>IFERROR((Tools!$B206+ROUND(Hydros!W22/Tools!$C206,3)),NA())</f>
        <v>#N/A</v>
      </c>
      <c r="AA230" s="389" t="e">
        <f>IFERROR((Tools!$B206+ROUND(Hydros!X22/Tools!$C206,3)),NA())</f>
        <v>#N/A</v>
      </c>
      <c r="AB230" s="389" t="e">
        <f>IFERROR((Tools!$B206+ROUND(Hydros!Y22/Tools!$C206,3)),NA())</f>
        <v>#N/A</v>
      </c>
      <c r="AC230" s="389" t="e">
        <f>IFERROR((Tools!$B206+ROUND(Hydros!Z22/Tools!$C206,3)),NA())</f>
        <v>#N/A</v>
      </c>
      <c r="AD230" s="277"/>
      <c r="AE230" s="276"/>
      <c r="AF230" s="397"/>
    </row>
    <row r="231" spans="1:32" x14ac:dyDescent="0.25">
      <c r="A231" s="274"/>
      <c r="B231" s="277"/>
      <c r="C231" s="277"/>
      <c r="D231" s="388" t="s">
        <v>291</v>
      </c>
      <c r="E231" s="389" t="e">
        <f>IFERROR((Tools!$B207+ROUND(Hydros!B23/Tools!$C207,3)),NA())</f>
        <v>#N/A</v>
      </c>
      <c r="F231" s="389">
        <f>IFERROR((Tools!$B207+ROUND(Hydros!C23/Tools!$C207,3)),NA())</f>
        <v>4.08</v>
      </c>
      <c r="G231" s="389">
        <f>IFERROR((Tools!$B207+ROUND(Hydros!D23/Tools!$C207,3)),NA())</f>
        <v>4.42</v>
      </c>
      <c r="H231" s="389">
        <f>IFERROR((Tools!$B207+ROUND(Hydros!E23/Tools!$C207,3)),NA())</f>
        <v>4.6669999999999998</v>
      </c>
      <c r="I231" s="389">
        <f>IFERROR((Tools!$B207+ROUND(Hydros!F23/Tools!$C207,3)),NA())</f>
        <v>4.9509999999999996</v>
      </c>
      <c r="J231" s="389">
        <f>IFERROR((Tools!$B207+ROUND(Hydros!G23/Tools!$C207,3)),NA())</f>
        <v>5.4219999999999997</v>
      </c>
      <c r="K231" s="389">
        <f>IFERROR((Tools!$B207+ROUND(Hydros!H23/Tools!$C207,3)),NA())</f>
        <v>5.8040000000000003</v>
      </c>
      <c r="L231" s="389">
        <f>IFERROR((Tools!$B207+ROUND(Hydros!I23/Tools!$C207,3)),NA())</f>
        <v>6.1390000000000002</v>
      </c>
      <c r="M231" s="389">
        <f>IFERROR((Tools!$B207+ROUND(Hydros!J23/Tools!$C207,3)),NA())</f>
        <v>6.3460000000000001</v>
      </c>
      <c r="N231" s="389">
        <f>IFERROR((Tools!$B207+ROUND(Hydros!K23/Tools!$C207,3)),NA())</f>
        <v>6.4829999999999997</v>
      </c>
      <c r="O231" s="389">
        <f>IFERROR((Tools!$B207+ROUND(Hydros!L23/Tools!$C207,3)),NA())</f>
        <v>6.7939999999999996</v>
      </c>
      <c r="P231" s="389">
        <f>IFERROR((Tools!$B207+ROUND(Hydros!M23/Tools!$C207,3)),NA())</f>
        <v>7.0519999999999996</v>
      </c>
      <c r="Q231" s="389" t="e">
        <f>IFERROR((Tools!$B207+ROUND(Hydros!N23/Tools!$C207,3)),NA())</f>
        <v>#N/A</v>
      </c>
      <c r="R231" s="389" t="e">
        <f>IFERROR((Tools!$B207+ROUND(Hydros!O23/Tools!$C207,3)),NA())</f>
        <v>#N/A</v>
      </c>
      <c r="S231" s="389" t="e">
        <f>IFERROR((Tools!$B207+ROUND(Hydros!P23/Tools!$C207,3)),NA())</f>
        <v>#N/A</v>
      </c>
      <c r="T231" s="389" t="e">
        <f>IFERROR((Tools!$B207+ROUND(Hydros!Q23/Tools!$C207,3)),NA())</f>
        <v>#N/A</v>
      </c>
      <c r="U231" s="389" t="e">
        <f>IFERROR((Tools!$B207+ROUND(Hydros!R23/Tools!$C207,3)),NA())</f>
        <v>#N/A</v>
      </c>
      <c r="V231" s="389" t="e">
        <f>IFERROR((Tools!$B207+ROUND(Hydros!S23/Tools!$C207,3)),NA())</f>
        <v>#N/A</v>
      </c>
      <c r="W231" s="389" t="e">
        <f>IFERROR((Tools!$B207+ROUND(Hydros!T23/Tools!$C207,3)),NA())</f>
        <v>#N/A</v>
      </c>
      <c r="X231" s="389" t="e">
        <f>IFERROR((Tools!$B207+ROUND(Hydros!U23/Tools!$C207,3)),NA())</f>
        <v>#N/A</v>
      </c>
      <c r="Y231" s="389" t="e">
        <f>IFERROR((Tools!$B207+ROUND(Hydros!V23/Tools!$C207,3)),NA())</f>
        <v>#N/A</v>
      </c>
      <c r="Z231" s="389" t="e">
        <f>IFERROR((Tools!$B207+ROUND(Hydros!W23/Tools!$C207,3)),NA())</f>
        <v>#N/A</v>
      </c>
      <c r="AA231" s="389" t="e">
        <f>IFERROR((Tools!$B207+ROUND(Hydros!X23/Tools!$C207,3)),NA())</f>
        <v>#N/A</v>
      </c>
      <c r="AB231" s="389" t="e">
        <f>IFERROR((Tools!$B207+ROUND(Hydros!Y23/Tools!$C207,3)),NA())</f>
        <v>#N/A</v>
      </c>
      <c r="AC231" s="389" t="e">
        <f>IFERROR((Tools!$B207+ROUND(Hydros!Z23/Tools!$C207,3)),NA())</f>
        <v>#N/A</v>
      </c>
      <c r="AD231" s="277"/>
      <c r="AE231" s="276"/>
      <c r="AF231" s="397"/>
    </row>
    <row r="232" spans="1:32" x14ac:dyDescent="0.25">
      <c r="A232" s="274"/>
      <c r="B232" s="277"/>
      <c r="C232" s="277"/>
      <c r="D232" s="388" t="s">
        <v>292</v>
      </c>
      <c r="E232" s="389" t="e">
        <f>IFERROR((Tools!$B208+ROUND(Hydros!B24/Tools!$C208,3)),NA())</f>
        <v>#N/A</v>
      </c>
      <c r="F232" s="389">
        <f>IFERROR((Tools!$B208+ROUND(Hydros!C24/Tools!$C208,3)),NA())</f>
        <v>8.9339999999999993</v>
      </c>
      <c r="G232" s="389">
        <f>IFERROR((Tools!$B208+ROUND(Hydros!D24/Tools!$C208,3)),NA())</f>
        <v>8.9809999999999999</v>
      </c>
      <c r="H232" s="389">
        <f>IFERROR((Tools!$B208+ROUND(Hydros!E24/Tools!$C208,3)),NA())</f>
        <v>9.0679999999999996</v>
      </c>
      <c r="I232" s="389">
        <f>IFERROR((Tools!$B208+ROUND(Hydros!F24/Tools!$C208,3)),NA())</f>
        <v>9.2479999999999993</v>
      </c>
      <c r="J232" s="389">
        <f>IFERROR((Tools!$B208+ROUND(Hydros!G24/Tools!$C208,3)),NA())</f>
        <v>9.4960000000000004</v>
      </c>
      <c r="K232" s="389">
        <f>IFERROR((Tools!$B208+ROUND(Hydros!H24/Tools!$C208,3)),NA())</f>
        <v>9.6240000000000006</v>
      </c>
      <c r="L232" s="389">
        <f>IFERROR((Tools!$B208+ROUND(Hydros!I24/Tools!$C208,3)),NA())</f>
        <v>9.6980000000000004</v>
      </c>
      <c r="M232" s="389">
        <f>IFERROR((Tools!$B208+ROUND(Hydros!J24/Tools!$C208,3)),NA())</f>
        <v>9.7309999999999999</v>
      </c>
      <c r="N232" s="389">
        <f>IFERROR((Tools!$B208+ROUND(Hydros!K24/Tools!$C208,3)),NA())</f>
        <v>9.7490000000000006</v>
      </c>
      <c r="O232" s="389">
        <f>IFERROR((Tools!$B208+ROUND(Hydros!L24/Tools!$C208,3)),NA())</f>
        <v>9.7840000000000007</v>
      </c>
      <c r="P232" s="389">
        <f>IFERROR((Tools!$B208+ROUND(Hydros!M24/Tools!$C208,3)),NA())</f>
        <v>9.8079999999999998</v>
      </c>
      <c r="Q232" s="389" t="e">
        <f>IFERROR((Tools!$B208+ROUND(Hydros!N24/Tools!$C208,3)),NA())</f>
        <v>#N/A</v>
      </c>
      <c r="R232" s="389" t="e">
        <f>IFERROR((Tools!$B208+ROUND(Hydros!O24/Tools!$C208,3)),NA())</f>
        <v>#N/A</v>
      </c>
      <c r="S232" s="389" t="e">
        <f>IFERROR((Tools!$B208+ROUND(Hydros!P24/Tools!$C208,3)),NA())</f>
        <v>#N/A</v>
      </c>
      <c r="T232" s="389" t="e">
        <f>IFERROR((Tools!$B208+ROUND(Hydros!Q24/Tools!$C208,3)),NA())</f>
        <v>#N/A</v>
      </c>
      <c r="U232" s="389" t="e">
        <f>IFERROR((Tools!$B208+ROUND(Hydros!R24/Tools!$C208,3)),NA())</f>
        <v>#N/A</v>
      </c>
      <c r="V232" s="389" t="e">
        <f>IFERROR((Tools!$B208+ROUND(Hydros!S24/Tools!$C208,3)),NA())</f>
        <v>#N/A</v>
      </c>
      <c r="W232" s="389" t="e">
        <f>IFERROR((Tools!$B208+ROUND(Hydros!T24/Tools!$C208,3)),NA())</f>
        <v>#N/A</v>
      </c>
      <c r="X232" s="389" t="e">
        <f>IFERROR((Tools!$B208+ROUND(Hydros!U24/Tools!$C208,3)),NA())</f>
        <v>#N/A</v>
      </c>
      <c r="Y232" s="389" t="e">
        <f>IFERROR((Tools!$B208+ROUND(Hydros!V24/Tools!$C208,3)),NA())</f>
        <v>#N/A</v>
      </c>
      <c r="Z232" s="389" t="e">
        <f>IFERROR((Tools!$B208+ROUND(Hydros!W24/Tools!$C208,3)),NA())</f>
        <v>#N/A</v>
      </c>
      <c r="AA232" s="389" t="e">
        <f>IFERROR((Tools!$B208+ROUND(Hydros!X24/Tools!$C208,3)),NA())</f>
        <v>#N/A</v>
      </c>
      <c r="AB232" s="389" t="e">
        <f>IFERROR((Tools!$B208+ROUND(Hydros!Y24/Tools!$C208,3)),NA())</f>
        <v>#N/A</v>
      </c>
      <c r="AC232" s="389" t="e">
        <f>IFERROR((Tools!$B208+ROUND(Hydros!Z24/Tools!$C208,3)),NA())</f>
        <v>#N/A</v>
      </c>
      <c r="AD232" s="277"/>
      <c r="AE232" s="276"/>
      <c r="AF232" s="397"/>
    </row>
    <row r="233" spans="1:32" x14ac:dyDescent="0.25">
      <c r="A233" s="274"/>
      <c r="B233" s="277"/>
      <c r="C233" s="277"/>
      <c r="D233" s="398" t="s">
        <v>293</v>
      </c>
      <c r="E233" s="389" t="e">
        <f>IFERROR((Tools!$B209+ROUND(Hydros!B25/Tools!$C209,3)),NA())</f>
        <v>#N/A</v>
      </c>
      <c r="F233" s="389">
        <f>IFERROR((Tools!$B209+ROUND(Hydros!C25/Tools!$C209,3)),NA())</f>
        <v>14.567</v>
      </c>
      <c r="G233" s="389">
        <f>IFERROR((Tools!$B209+ROUND(Hydros!D25/Tools!$C209,3)),NA())</f>
        <v>14.922000000000001</v>
      </c>
      <c r="H233" s="389">
        <f>IFERROR((Tools!$B209+ROUND(Hydros!E25/Tools!$C209,3)),NA())</f>
        <v>15.146000000000001</v>
      </c>
      <c r="I233" s="389">
        <f>IFERROR((Tools!$B209+ROUND(Hydros!F25/Tools!$C209,3)),NA())</f>
        <v>15.353999999999999</v>
      </c>
      <c r="J233" s="389">
        <f>IFERROR((Tools!$B209+ROUND(Hydros!G25/Tools!$C209,3)),NA())</f>
        <v>15.71</v>
      </c>
      <c r="K233" s="389">
        <f>IFERROR((Tools!$B209+ROUND(Hydros!H25/Tools!$C209,3)),NA())</f>
        <v>16.030999999999999</v>
      </c>
      <c r="L233" s="389">
        <f>IFERROR((Tools!$B209+ROUND(Hydros!I25/Tools!$C209,3)),NA())</f>
        <v>16.329999999999998</v>
      </c>
      <c r="M233" s="389">
        <f>IFERROR((Tools!$B209+ROUND(Hydros!J25/Tools!$C209,3)),NA())</f>
        <v>16.521999999999998</v>
      </c>
      <c r="N233" s="389">
        <f>IFERROR((Tools!$B209+ROUND(Hydros!K25/Tools!$C209,3)),NA())</f>
        <v>16.649999999999999</v>
      </c>
      <c r="O233" s="389">
        <f>IFERROR((Tools!$B209+ROUND(Hydros!L25/Tools!$C209,3)),NA())</f>
        <v>16.943999999999999</v>
      </c>
      <c r="P233" s="389">
        <f>IFERROR((Tools!$B209+ROUND(Hydros!M25/Tools!$C209,3)),NA())</f>
        <v>17.190000000000001</v>
      </c>
      <c r="Q233" s="389" t="e">
        <f>IFERROR((Tools!$B209+ROUND(Hydros!N25/Tools!$C209,3)),NA())</f>
        <v>#N/A</v>
      </c>
      <c r="R233" s="389" t="e">
        <f>IFERROR((Tools!$B209+ROUND(Hydros!O25/Tools!$C209,3)),NA())</f>
        <v>#N/A</v>
      </c>
      <c r="S233" s="389" t="e">
        <f>IFERROR((Tools!$B209+ROUND(Hydros!P25/Tools!$C209,3)),NA())</f>
        <v>#N/A</v>
      </c>
      <c r="T233" s="389" t="e">
        <f>IFERROR((Tools!$B209+ROUND(Hydros!Q25/Tools!$C209,3)),NA())</f>
        <v>#N/A</v>
      </c>
      <c r="U233" s="389" t="e">
        <f>IFERROR((Tools!$B209+ROUND(Hydros!R25/Tools!$C209,3)),NA())</f>
        <v>#N/A</v>
      </c>
      <c r="V233" s="389" t="e">
        <f>IFERROR((Tools!$B209+ROUND(Hydros!S25/Tools!$C209,3)),NA())</f>
        <v>#N/A</v>
      </c>
      <c r="W233" s="389" t="e">
        <f>IFERROR((Tools!$B209+ROUND(Hydros!T25/Tools!$C209,3)),NA())</f>
        <v>#N/A</v>
      </c>
      <c r="X233" s="389" t="e">
        <f>IFERROR((Tools!$B209+ROUND(Hydros!U25/Tools!$C209,3)),NA())</f>
        <v>#N/A</v>
      </c>
      <c r="Y233" s="389" t="e">
        <f>IFERROR((Tools!$B209+ROUND(Hydros!V25/Tools!$C209,3)),NA())</f>
        <v>#N/A</v>
      </c>
      <c r="Z233" s="389" t="e">
        <f>IFERROR((Tools!$B209+ROUND(Hydros!W25/Tools!$C209,3)),NA())</f>
        <v>#N/A</v>
      </c>
      <c r="AA233" s="389" t="e">
        <f>IFERROR((Tools!$B209+ROUND(Hydros!X25/Tools!$C209,3)),NA())</f>
        <v>#N/A</v>
      </c>
      <c r="AB233" s="389" t="e">
        <f>IFERROR((Tools!$B209+ROUND(Hydros!Y25/Tools!$C209,3)),NA())</f>
        <v>#N/A</v>
      </c>
      <c r="AC233" s="389" t="e">
        <f>IFERROR((Tools!$B209+ROUND(Hydros!Z25/Tools!$C209,3)),NA())</f>
        <v>#N/A</v>
      </c>
      <c r="AD233" s="277"/>
      <c r="AE233" s="276"/>
      <c r="AF233" s="397"/>
    </row>
    <row r="234" spans="1:32" x14ac:dyDescent="0.25">
      <c r="A234" s="274"/>
      <c r="B234" s="277"/>
      <c r="C234" s="277"/>
      <c r="D234" s="399"/>
      <c r="E234" s="399"/>
      <c r="F234" s="240" t="s">
        <v>294</v>
      </c>
      <c r="G234" s="240">
        <v>10</v>
      </c>
      <c r="H234" s="240">
        <v>10</v>
      </c>
      <c r="I234" s="240"/>
      <c r="J234" s="240" t="s">
        <v>295</v>
      </c>
      <c r="K234" s="240">
        <v>20</v>
      </c>
      <c r="L234" s="240">
        <v>20</v>
      </c>
      <c r="M234" s="240"/>
      <c r="N234" s="240" t="s">
        <v>135</v>
      </c>
      <c r="O234" s="240">
        <v>0</v>
      </c>
      <c r="P234" s="240">
        <v>20</v>
      </c>
      <c r="Q234" s="240"/>
      <c r="R234" s="240" t="s">
        <v>134</v>
      </c>
      <c r="S234" s="240">
        <v>0</v>
      </c>
      <c r="T234" s="240">
        <v>20</v>
      </c>
      <c r="U234" s="399"/>
      <c r="V234" s="399"/>
      <c r="W234" s="399"/>
      <c r="X234" s="399"/>
      <c r="Y234" s="399"/>
      <c r="Z234" s="399"/>
      <c r="AA234" s="399"/>
      <c r="AB234" s="277"/>
      <c r="AC234" s="277"/>
      <c r="AD234" s="277"/>
      <c r="AE234" s="276"/>
      <c r="AF234" s="397"/>
    </row>
    <row r="235" spans="1:32" x14ac:dyDescent="0.25">
      <c r="A235" s="282"/>
      <c r="B235" s="282"/>
      <c r="C235" s="282"/>
      <c r="D235" s="400"/>
      <c r="E235" s="400"/>
      <c r="F235" s="243"/>
      <c r="G235" s="243">
        <v>0</v>
      </c>
      <c r="H235" s="243">
        <f>DEPTH*Tools!CF69</f>
        <v>14.19</v>
      </c>
      <c r="I235" s="243"/>
      <c r="J235" s="243"/>
      <c r="K235" s="243">
        <v>0</v>
      </c>
      <c r="L235" s="243">
        <f>H235</f>
        <v>14.19</v>
      </c>
      <c r="M235" s="243"/>
      <c r="N235" s="243"/>
      <c r="O235" s="243">
        <f>L235</f>
        <v>14.19</v>
      </c>
      <c r="P235" s="243">
        <f>O235</f>
        <v>14.19</v>
      </c>
      <c r="Q235" s="243"/>
      <c r="R235" s="243"/>
      <c r="S235" s="243">
        <f>DRAFT*Tools!CF69</f>
        <v>10.1</v>
      </c>
      <c r="T235" s="243">
        <f>S235</f>
        <v>10.1</v>
      </c>
      <c r="U235" s="400"/>
      <c r="V235" s="400"/>
      <c r="W235" s="400"/>
      <c r="X235" s="400"/>
      <c r="Y235" s="400"/>
      <c r="Z235" s="400"/>
      <c r="AA235" s="400"/>
      <c r="AB235" s="282"/>
      <c r="AC235" s="282"/>
      <c r="AD235" s="282"/>
      <c r="AE235" s="290"/>
      <c r="AF235" s="397"/>
    </row>
    <row r="236" spans="1:32" x14ac:dyDescent="0.25">
      <c r="AE236" s="397"/>
      <c r="AF236" s="397"/>
    </row>
    <row r="237" spans="1:32" x14ac:dyDescent="0.25">
      <c r="AE237" s="397"/>
      <c r="AF237" s="397"/>
    </row>
  </sheetData>
  <sheetProtection password="CA5D" sheet="1" objects="1" scenarios="1" selectLockedCells="1" selectUnlockedCells="1"/>
  <mergeCells count="4">
    <mergeCell ref="B184:D184"/>
    <mergeCell ref="C185:C186"/>
    <mergeCell ref="L49:N49"/>
    <mergeCell ref="L54:N54"/>
  </mergeCells>
  <conditionalFormatting sqref="D210:AC210">
    <cfRule type="notContainsBlanks" dxfId="7" priority="10">
      <formula>LEN(TRIM(D210))&gt;0</formula>
    </cfRule>
  </conditionalFormatting>
  <conditionalFormatting sqref="G186:AE186">
    <cfRule type="notContainsBlanks" dxfId="6" priority="8">
      <formula>LEN(TRIM(G186))&gt;0</formula>
    </cfRule>
  </conditionalFormatting>
  <conditionalFormatting sqref="F187:AE209">
    <cfRule type="notContainsBlanks" dxfId="5" priority="9">
      <formula>LEN(TRIM(F187))&gt;0</formula>
    </cfRule>
  </conditionalFormatting>
  <conditionalFormatting sqref="L49">
    <cfRule type="containsBlanks" dxfId="4" priority="5">
      <formula>LEN(TRIM(L49))=0</formula>
    </cfRule>
    <cfRule type="containsBlanks" dxfId="3" priority="6">
      <formula>LEN(TRIM(L49))=0</formula>
    </cfRule>
  </conditionalFormatting>
  <conditionalFormatting sqref="L54">
    <cfRule type="containsBlanks" dxfId="2" priority="1">
      <formula>LEN(TRIM(L54))=0</formula>
    </cfRule>
    <cfRule type="containsBlanks" dxfId="1" priority="2">
      <formula>LEN(TRIM(L54))=0</formula>
    </cfRule>
  </conditionalFormatting>
  <dataValidations disablePrompts="1" count="3">
    <dataValidation type="decimal" operator="greaterThan" allowBlank="1" showInputMessage="1" showErrorMessage="1" errorTitle="Height scale" error="Enter a positive number." sqref="CF69">
      <formula1>0</formula1>
    </dataValidation>
    <dataValidation type="decimal" operator="greaterThan" allowBlank="1" showInputMessage="1" showErrorMessage="1" errorTitle="X axis scale factor" error="Enter a positive number." sqref="CF67 CI72">
      <formula1>0</formula1>
    </dataValidation>
    <dataValidation type="decimal" operator="greaterThan" allowBlank="1" showInputMessage="1" showErrorMessage="1" errorTitle="Y scale factor (*WL Spacing)" error="Enter a positive number." sqref="CI73">
      <formula1>0</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7" operator="containsText" id="{4A6520E7-ACC5-46FA-AB34-F453B69B7381}">
            <xm:f>NOT(ISERROR(SEARCH("-",A187)))</xm:f>
            <xm:f>"-"</xm:f>
            <x14:dxf>
              <font>
                <b/>
                <i val="0"/>
                <color theme="0"/>
              </font>
              <fill>
                <patternFill>
                  <bgColor rgb="FFFF0000"/>
                </patternFill>
              </fill>
            </x14:dxf>
          </x14:cfRule>
          <xm:sqref>A187:A209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Y34"/>
  <sheetViews>
    <sheetView showGridLines="0" showRowColHeaders="0" workbookViewId="0">
      <selection activeCell="I1" sqref="I1"/>
    </sheetView>
  </sheetViews>
  <sheetFormatPr defaultRowHeight="15" x14ac:dyDescent="0.25"/>
  <sheetData>
    <row r="1" spans="1:19" ht="15.75" x14ac:dyDescent="0.25">
      <c r="A1" s="141" t="s">
        <v>140</v>
      </c>
      <c r="B1" s="142"/>
      <c r="C1" s="142"/>
      <c r="D1" s="142"/>
      <c r="E1" s="141" t="s">
        <v>141</v>
      </c>
      <c r="F1" s="142"/>
      <c r="G1" s="143"/>
      <c r="H1" s="143"/>
      <c r="I1" s="144"/>
      <c r="J1" s="417"/>
      <c r="K1" s="145"/>
      <c r="L1" s="147" t="s">
        <v>142</v>
      </c>
      <c r="M1" s="148"/>
      <c r="N1" s="148"/>
      <c r="O1" s="149"/>
      <c r="P1" s="147" t="s">
        <v>143</v>
      </c>
      <c r="Q1" s="143"/>
      <c r="R1" s="148"/>
      <c r="S1" s="148"/>
    </row>
    <row r="2" spans="1:19" ht="18.75" x14ac:dyDescent="0.3">
      <c r="A2" s="150"/>
      <c r="B2" s="151" t="s">
        <v>145</v>
      </c>
      <c r="C2" s="152">
        <v>2</v>
      </c>
      <c r="D2" s="149"/>
      <c r="E2" s="153" t="s">
        <v>146</v>
      </c>
      <c r="F2" s="149"/>
      <c r="G2" s="152">
        <v>1</v>
      </c>
      <c r="H2" s="143" t="s">
        <v>147</v>
      </c>
      <c r="I2" s="149"/>
      <c r="J2" s="417"/>
      <c r="K2" s="145"/>
      <c r="L2" s="151" t="s">
        <v>148</v>
      </c>
      <c r="M2" s="152">
        <f>IFERROR(Tools!N31,"")</f>
        <v>70</v>
      </c>
      <c r="N2" s="148" t="s">
        <v>149</v>
      </c>
      <c r="O2" s="143"/>
      <c r="P2" s="154"/>
      <c r="Q2" s="151" t="s">
        <v>150</v>
      </c>
      <c r="R2" s="152">
        <f>IFERROR(Tools!N32,"")</f>
        <v>500</v>
      </c>
      <c r="S2" s="148" t="s">
        <v>149</v>
      </c>
    </row>
    <row r="3" spans="1:19" ht="18.75" x14ac:dyDescent="0.3">
      <c r="A3" s="143"/>
      <c r="B3" s="155"/>
      <c r="C3" s="155"/>
      <c r="D3" s="143"/>
      <c r="E3" s="153" t="s">
        <v>152</v>
      </c>
      <c r="F3" s="143"/>
      <c r="G3" s="152">
        <v>2</v>
      </c>
      <c r="H3" s="143" t="s">
        <v>153</v>
      </c>
      <c r="I3" s="149"/>
      <c r="J3" s="417"/>
      <c r="K3" s="145"/>
      <c r="L3" s="155" t="s">
        <v>154</v>
      </c>
      <c r="M3" s="156">
        <f>IFERROR(Tools!N31,"")</f>
        <v>70</v>
      </c>
      <c r="N3" s="148"/>
      <c r="O3" s="143"/>
      <c r="P3" s="154"/>
      <c r="Q3" s="155" t="s">
        <v>154</v>
      </c>
      <c r="R3" s="156">
        <f>IFERROR(Tools!N32,"")</f>
        <v>500</v>
      </c>
      <c r="S3" s="148"/>
    </row>
    <row r="4" spans="1:19" ht="15.75" x14ac:dyDescent="0.25">
      <c r="A4" s="143"/>
      <c r="B4" s="143"/>
      <c r="C4" s="143"/>
      <c r="D4" s="143"/>
      <c r="E4" s="143"/>
      <c r="F4" s="143"/>
      <c r="G4" s="143"/>
      <c r="H4" s="143"/>
      <c r="I4" s="144"/>
      <c r="J4" s="417"/>
      <c r="K4" s="417"/>
      <c r="L4" s="151" t="s">
        <v>155</v>
      </c>
      <c r="M4" s="152">
        <v>15</v>
      </c>
      <c r="N4" s="148" t="s">
        <v>156</v>
      </c>
      <c r="O4" s="143"/>
      <c r="P4" s="127"/>
      <c r="Q4" s="151" t="s">
        <v>155</v>
      </c>
      <c r="R4" s="152">
        <v>15</v>
      </c>
      <c r="S4" s="148" t="s">
        <v>156</v>
      </c>
    </row>
    <row r="5" spans="1:19" ht="15.75" x14ac:dyDescent="0.25">
      <c r="A5" s="424" t="s">
        <v>378</v>
      </c>
      <c r="B5" s="149"/>
      <c r="C5" s="149"/>
      <c r="D5" s="149"/>
      <c r="E5" s="149"/>
      <c r="F5" s="149"/>
      <c r="H5" s="417"/>
      <c r="I5" s="417"/>
      <c r="J5" s="417"/>
      <c r="K5" s="417"/>
      <c r="L5" s="146"/>
      <c r="M5" s="143"/>
      <c r="N5" s="143"/>
      <c r="O5" s="143"/>
      <c r="P5" s="143"/>
      <c r="Q5" s="143"/>
      <c r="R5" s="143"/>
      <c r="S5" s="143"/>
    </row>
    <row r="6" spans="1:19" x14ac:dyDescent="0.25">
      <c r="A6" s="423"/>
      <c r="B6" s="423"/>
      <c r="C6" s="423"/>
      <c r="D6" s="417"/>
      <c r="E6" s="536" t="s">
        <v>157</v>
      </c>
      <c r="F6" s="536"/>
      <c r="G6" s="149"/>
      <c r="H6" s="537" t="s">
        <v>158</v>
      </c>
      <c r="I6" s="537"/>
      <c r="J6" s="149"/>
      <c r="K6" s="417"/>
      <c r="L6" s="164" t="s">
        <v>142</v>
      </c>
      <c r="M6" s="149"/>
      <c r="N6" s="143"/>
      <c r="O6" s="143"/>
      <c r="P6" s="164" t="s">
        <v>143</v>
      </c>
      <c r="Q6" s="149"/>
      <c r="R6" s="146"/>
      <c r="S6" s="143"/>
    </row>
    <row r="7" spans="1:19" x14ac:dyDescent="0.25">
      <c r="A7" s="423"/>
      <c r="B7" s="423"/>
      <c r="C7" s="423"/>
      <c r="D7" s="417"/>
      <c r="E7" s="165" t="str">
        <f>CONCATENATE(IF(Tools!A98="  ","","WL "),Tools!A98)</f>
        <v>WL 0</v>
      </c>
      <c r="F7" s="166" t="str">
        <f>IF(Tools!AB127="  ","",CONCATENATE(Tools!AB127,Tools!BA127,Tools!AZ127,Tools!AY127,Tools!AX127,Tools!AW127,Tools!AV127,Tools!AU127,Tools!AT127,Tools!AS127,Tools!AR127,Tools!AQ127,Tools!AP127,Tools!AO127,Tools!AN127,Tools!AM127,Tools!AL127,Tools!AK127,Tools!AJ127,Tools!AI127,Tools!AH127,Tools!AG127,Tools!AF127,Tools!AE127,Tools!AD127,Tools!AC127))</f>
        <v xml:space="preserve">Zoom Window -6.585,-33.3983333333333 138.285,-3.99833333333333 Spline 131.7,-18.698 128.408,-18.698 125.115,-18.698 121.823,-18.698 118.53,-18.698 111.945,-18.048 105.36,-16.478 98.775,-14.898 92.19,-13.348 85.605,-11.998 79.02,-10.848 72.435,-10.098 65.85,-10.448 59.265,-11.498 52.68,-12.798 46.095,-14.988 39.51,-16.498 32.925,-17.078 26.34,-17.698 19.755,-18.398 13.17,-18.698 9.878,-18.698 6.585,-18.698 3.293,-18.698 0,-18.698 </v>
      </c>
      <c r="G7" s="144" t="s">
        <v>159</v>
      </c>
      <c r="H7" s="149" t="str">
        <f>CONCATENATE(IF(Tools!AD3="  ","","STN "),Tools!AD3)</f>
        <v>STN 0</v>
      </c>
      <c r="I7" s="167" t="str">
        <f>IF(Tools!AB98="  ","",CONCATENATE(Tools!AB98,Tools!BB98,Tools!BA98,Tools!AZ98,Tools!AY98,Tools!AX98,Tools!AW98,Tools!AV98,Tools!AU98,Tools!AT98,Tools!AS98,Tools!AR98,Tools!AQ98,Tools!AP98,Tools!AO98,Tools!AN98,Tools!AM98,Tools!AL98,Tools!AK98,Tools!AJ98,Tools!AI98,Tools!AH98,Tools!AG98,Tools!AF98,Tools!AE98,Tools!AD98,Tools!AC98))</f>
        <v xml:space="preserve">Zoom Window 140.735,-1.419 170.135,15.609 Spline 144.545,14.19 145.835,12.6 149.235,10.8 152.543,10.1 155.435,9.9 </v>
      </c>
      <c r="J7" s="143" t="s">
        <v>159</v>
      </c>
      <c r="K7" s="417"/>
      <c r="L7" s="538" t="str">
        <f>IF(Tools!$B156="","",CONCATENATE(Tools!M154,"Spline ",Tools!B156,Tools!C156,Tools!D156,Tools!E156,Tools!F156,Tools!G156,Tools!H156,Tools!I156,Tools!J156,Tools!K156,Tools!L156,Tools!M156,Tools!N156,Tools!O156,Tools!P156,Tools!Q156,Tools!R156,Tools!S156,Tools!T156,Tools!U156,Tools!V156,Tools!W156,Tools!X156,Tools!Y156,Tools!Z156))</f>
        <v xml:space="preserve">Zoom Window -13.17,-2.838 144.87,31.218 Spline 0,0 0,1.8 0,3.6 0,5.4 0,7.2 0,10.8 0,14.4 0,18 0.008,20.2 0.099,21.6 0.505,25.2 0.971,28.38 </v>
      </c>
      <c r="M7" s="539"/>
      <c r="N7" s="143"/>
      <c r="O7" s="143"/>
      <c r="P7" s="538" t="str">
        <f>IF(Tools!$AC156="","",CONCATENATE("Spline ",Tools!AC156,Tools!AD156,Tools!AE156,Tools!AF156,Tools!AG156,Tools!AH156,Tools!AI156,Tools!AJ156,Tools!AK156,Tools!AL156,Tools!AM156,Tools!AN156,Tools!AO156,Tools!AP156,Tools!AQ156,Tools!AR156,Tools!AS156,Tools!AT156,Tools!AU156,Tools!AV156,Tools!AW156,Tools!AX156,Tools!AY156,Tools!AZ156,Tools!BA156))</f>
        <v xml:space="preserve">Spline 0,0 0,1.8 0,3.6 0,5.4 0,7.2 0,10.8 0,14.4 0,18 0.012,20.2 0.145,21.6 0.814,25.2 1.688,28.38 </v>
      </c>
      <c r="Q7" s="539"/>
      <c r="R7" s="143"/>
      <c r="S7" s="143"/>
    </row>
    <row r="8" spans="1:19" x14ac:dyDescent="0.25">
      <c r="A8" s="423"/>
      <c r="B8" s="423"/>
      <c r="C8" s="423"/>
      <c r="D8" s="417"/>
      <c r="E8" s="145" t="str">
        <f>CONCATENATE(IF(Tools!A99="  ","","WL "),Tools!A99)</f>
        <v>WL 0.5</v>
      </c>
      <c r="F8" s="169" t="str">
        <f>IF(Tools!AB128="  ","",CONCATENATE(Tools!AB128,Tools!BA128,Tools!AZ128,Tools!AY128,Tools!AX128,Tools!AW128,Tools!AV128,Tools!AU128,Tools!AT128,Tools!AS128,Tools!AR128,Tools!AQ128,Tools!AP128,Tools!AO128,Tools!AN128,Tools!AM128,Tools!AL128,Tools!AK128,Tools!AJ128,Tools!AI128,Tools!AH128,Tools!AG128,Tools!AF128,Tools!AE128,Tools!AD128,Tools!AC128))</f>
        <v xml:space="preserve">Spline 131.7,-18.698 128.408,-18.698 125.115,-18.058 121.823,-17.658 118.53,-17.208 111.945,-16.068 105.36,-14.648 98.775,-13.048 92.19,-11.408 85.605,-9.858 79.02,-8.678 72.435,-8.048 65.85,-7.858 59.265,-7.918 52.68,-8.538 46.095,-10.118 39.51,-12.108 32.925,-13.888 26.34,-15.528 19.755,-17.028 13.17,-18.298 9.878,-18.698 6.585,-18.698 3.293,-18.698 0,-18.698 </v>
      </c>
      <c r="G8" s="144" t="s">
        <v>159</v>
      </c>
      <c r="H8" s="149" t="str">
        <f>CONCATENATE(IF(Tools!AD4="  ","","STN "),Tools!AD4)</f>
        <v>STN 0.5</v>
      </c>
      <c r="I8" s="170" t="str">
        <f>IF(Tools!AB99="  ","",CONCATENATE(Tools!AB99,Tools!BB99,Tools!BA99,Tools!AZ99,Tools!AY99,Tools!AX99,Tools!AW99,Tools!AV99,Tools!AU99,Tools!AT99,Tools!AS99,Tools!AR99,Tools!AQ99,Tools!AP99,Tools!AO99,Tools!AN99,Tools!AM99,Tools!AL99,Tools!AK99,Tools!AJ99,Tools!AI99,Tools!AH99,Tools!AG99,Tools!AF99,Tools!AE99,Tools!AD99,Tools!AC99))</f>
        <v xml:space="preserve">Spline 143.915,14.19 144.805,12.6 146.975,10.8 148.635,10.1 154.235,9 155.435,8.9 </v>
      </c>
      <c r="J8" s="143" t="s">
        <v>159</v>
      </c>
      <c r="K8" s="417"/>
      <c r="L8" s="540" t="str">
        <f>IF(Tools!$B157="","",CONCATENATE("Spline ",Tools!B157,Tools!C157,Tools!D157,Tools!E157,Tools!F157,Tools!G157,Tools!H157,Tools!I157,Tools!J157,Tools!K157,Tools!L157,Tools!M157,Tools!N157,Tools!O157,Tools!P157,Tools!Q157,Tools!R157,Tools!S157,Tools!T157,Tools!U157,Tools!V157,Tools!W157,Tools!X157,Tools!Y157,Tools!Z157))</f>
        <v xml:space="preserve">Spline 3.293,0 3.293,1.8 3.293,3.6 3.293,5.4 3.293,7.2 3.293,10.8 3.293,14.4 3.294,18 3.42,20.2 3.564,21.6 4.077,25.2 4.58,28.38 </v>
      </c>
      <c r="M8" s="541"/>
      <c r="N8" s="143"/>
      <c r="O8" s="143"/>
      <c r="P8" s="540" t="str">
        <f>IF(Tools!$AC157="","",CONCATENATE("Spline ",Tools!AC157,Tools!AD157,Tools!AE157,Tools!AF157,Tools!AG157,Tools!AH157,Tools!AI157,Tools!AJ157,Tools!AK157,Tools!AL157,Tools!AM157,Tools!AN157,Tools!AO157,Tools!AP157,Tools!AQ157,Tools!AR157,Tools!AS157,Tools!AT157,Tools!AU157,Tools!AV157,Tools!AW157,Tools!AX157,Tools!AY157,Tools!AZ157,Tools!BA157))</f>
        <v xml:space="preserve">Spline 3.293,0 3.293,1.8 3.293,3.6 3.293,5.4 3.293,7.2 3.293,10.8 3.293,14.4 3.295,18 3.465,20.2 3.677,21.6 4.519,25.2 5.463,28.38 </v>
      </c>
      <c r="Q8" s="541"/>
      <c r="R8" s="143"/>
      <c r="S8" s="143"/>
    </row>
    <row r="9" spans="1:19" x14ac:dyDescent="0.25">
      <c r="A9" s="423"/>
      <c r="B9" s="423"/>
      <c r="C9" s="423"/>
      <c r="D9" s="417"/>
      <c r="E9" s="145" t="str">
        <f>CONCATENATE(IF(Tools!A100="  ","","WL "),Tools!A100)</f>
        <v>WL 1</v>
      </c>
      <c r="F9" s="169" t="str">
        <f>IF(Tools!AB129="  ","",CONCATENATE(Tools!AB129,Tools!BA129,Tools!AZ129,Tools!AY129,Tools!AX129,Tools!AW129,Tools!AV129,Tools!AU129,Tools!AT129,Tools!AS129,Tools!AR129,Tools!AQ129,Tools!AP129,Tools!AO129,Tools!AN129,Tools!AM129,Tools!AL129,Tools!AK129,Tools!AJ129,Tools!AI129,Tools!AH129,Tools!AG129,Tools!AF129,Tools!AE129,Tools!AD129,Tools!AC129))</f>
        <v xml:space="preserve">Spline 131.7,-18.698 128.408,-17.838 125.115,-17.428 121.823,-16.998 118.53,-16.468 111.945,-15.178 105.36,-13.598 98.775,-11.898 92.19,-10.548 85.605,-8.668 79.02,-7.598 72.435,-7.078 65.85,-6.938 59.265,-6.978 52.68,-7.348 46.095,-8.438 39.51,-10.358 32.925,-12.608 26.34,-14.618 19.755,-16.398 13.17,-17.658 9.878,-18.698 6.585,-18.698 3.293,-18.698 0,-18.698 </v>
      </c>
      <c r="G9" s="144" t="s">
        <v>159</v>
      </c>
      <c r="H9" s="149" t="str">
        <f>CONCATENATE(IF(Tools!AD5="  ","","STN "),Tools!AD5)</f>
        <v>STN 1</v>
      </c>
      <c r="I9" s="170" t="str">
        <f>IF(Tools!AB100="  ","",CONCATENATE(Tools!AB100,Tools!BB100,Tools!BA100,Tools!AZ100,Tools!AY100,Tools!AX100,Tools!AW100,Tools!AV100,Tools!AU100,Tools!AT100,Tools!AS100,Tools!AR100,Tools!AQ100,Tools!AP100,Tools!AO100,Tools!AN100,Tools!AM100,Tools!AL100,Tools!AK100,Tools!AJ100,Tools!AI100,Tools!AH100,Tools!AG100,Tools!AF100,Tools!AE100,Tools!AD100,Tools!AC100))</f>
        <v xml:space="preserve">Spline 143.535,14.19 144.105,12.6 145.595,10.8 146.635,10.1 149.315,9 155.435,7.8 </v>
      </c>
      <c r="J9" s="143" t="s">
        <v>159</v>
      </c>
      <c r="K9" s="417"/>
      <c r="L9" s="540" t="str">
        <f>IF(Tools!$B158="","",CONCATENATE("Spline ",Tools!B158,Tools!C158,Tools!D158,Tools!E158,Tools!F158,Tools!G158,Tools!H158,Tools!I158,Tools!J158,Tools!K158,Tools!L158,Tools!M158,Tools!N158,Tools!O158,Tools!P158,Tools!Q158,Tools!R158,Tools!S158,Tools!T158,Tools!U158,Tools!V158,Tools!W158,Tools!X158,Tools!Y158,Tools!Z158))</f>
        <v xml:space="preserve">Spline 6.585,0 6.585,1.8 6.585,3.6 6.585,5.4 6.585,7.2 6.585,10.8 6.585,14.4 6.69,18 6.924,20.2 7.11,21.6 7.664,25.2 8.191,28.38 </v>
      </c>
      <c r="M9" s="541"/>
      <c r="N9" s="143"/>
      <c r="O9" s="143"/>
      <c r="P9" s="540" t="str">
        <f>IF(Tools!$AC158="","",CONCATENATE("Spline ",Tools!AC158,Tools!AD158,Tools!AE158,Tools!AF158,Tools!AG158,Tools!AH158,Tools!AI158,Tools!AJ158,Tools!AK158,Tools!AL158,Tools!AM158,Tools!AN158,Tools!AO158,Tools!AP158,Tools!AQ158,Tools!AR158,Tools!AS158,Tools!AT158,Tools!AU158,Tools!AV158,Tools!AW158,Tools!AX158,Tools!AY158,Tools!AZ158,Tools!BA158))</f>
        <v xml:space="preserve">Spline 6.585,0 6.585,1.8 6.585,3.6 6.585,5.4 6.585,7.2 6.585,10.8 6.585,14.4 6.711,18 7.026,20.2 7.297,21.6 8.206,25.2 9.196,28.38 </v>
      </c>
      <c r="Q9" s="541"/>
      <c r="R9" s="143"/>
      <c r="S9" s="143"/>
    </row>
    <row r="10" spans="1:19" x14ac:dyDescent="0.25">
      <c r="A10" s="423"/>
      <c r="B10" s="423"/>
      <c r="C10" s="423"/>
      <c r="D10" s="417"/>
      <c r="E10" s="145" t="str">
        <f>CONCATENATE(IF(Tools!A101="  ","","WL "),Tools!A101)</f>
        <v>WL 1.5</v>
      </c>
      <c r="F10" s="169" t="str">
        <f>IF(Tools!AB130="  ","",CONCATENATE(Tools!AB130,Tools!BA130,Tools!AZ130,Tools!AY130,Tools!AX130,Tools!AW130,Tools!AV130,Tools!AU130,Tools!AT130,Tools!AS130,Tools!AR130,Tools!AQ130,Tools!AP130,Tools!AO130,Tools!AN130,Tools!AM130,Tools!AL130,Tools!AK130,Tools!AJ130,Tools!AI130,Tools!AH130,Tools!AG130,Tools!AF130,Tools!AE130,Tools!AD130,Tools!AC130))</f>
        <v xml:space="preserve">Spline 131.7,-17.938 128.408,-17.408 125.115,-17.018 121.823,-16.558 118.53,-16.008 111.945,-14.638 105.36,-12.958 98.775,-11.158 92.19,-9.448 85.605,-8.018 79.02,-7.068 72.435,-6.658 65.85,-6.558 59.265,-6.578 52.68,-6.798 46.095,-7.448 39.51,-8.878 32.925,-11.328 26.34,-13.898 19.755,-15.998 13.17,-17.198 9.878,-18.298 6.585,-18.698 3.293,-18.698 0,-18.698 </v>
      </c>
      <c r="G10" s="144" t="s">
        <v>159</v>
      </c>
      <c r="H10" s="149" t="str">
        <f>CONCATENATE(IF(Tools!AD6="  ","","STN "),Tools!AD6)</f>
        <v>STN 1.5</v>
      </c>
      <c r="I10" s="170" t="str">
        <f>IF(Tools!AB101="  ","",CONCATENATE(Tools!AB101,Tools!BB101,Tools!BA101,Tools!AZ101,Tools!AY101,Tools!AX101,Tools!AW101,Tools!AV101,Tools!AU101,Tools!AT101,Tools!AS101,Tools!AR101,Tools!AQ101,Tools!AP101,Tools!AO101,Tools!AN101,Tools!AM101,Tools!AL101,Tools!AK101,Tools!AJ101,Tools!AI101,Tools!AH101,Tools!AG101,Tools!AF101,Tools!AE101,Tools!AD101,Tools!AC101))</f>
        <v xml:space="preserve">Spline 143.335,14.19 143.665,12.6 144.655,10.8 145.295,10.1 146.885,9 153.035,7.2 154.235,5.4 154.735,3.6 155.035,2.7 155.435,1.95 </v>
      </c>
      <c r="J10" s="143" t="s">
        <v>159</v>
      </c>
      <c r="K10" s="417"/>
      <c r="L10" s="540" t="str">
        <f>IF(Tools!$B159="","",CONCATENATE("Spline ",Tools!B159,Tools!C159,Tools!D159,Tools!E159,Tools!F159,Tools!G159,Tools!H159,Tools!I159,Tools!J159,Tools!K159,Tools!L159,Tools!M159,Tools!N159,Tools!O159,Tools!P159,Tools!Q159,Tools!R159,Tools!S159,Tools!T159,Tools!U159,Tools!V159,Tools!W159,Tools!X159,Tools!Y159,Tools!Z159))</f>
        <v xml:space="preserve">Spline 9.878,0 9.878,1.8 9.878,3.6 9.882,5.4 9.896,7.2 9.942,10.8 10.031,14.4 10.274,18 10.567,20.2 10.844,21.6 11.361,25.2 11.903,28.38 </v>
      </c>
      <c r="M10" s="541"/>
      <c r="N10" s="143"/>
      <c r="O10" s="143"/>
      <c r="P10" s="540" t="str">
        <f>IF(Tools!$AC159="","",CONCATENATE("Spline ",Tools!AC159,Tools!AD159,Tools!AE159,Tools!AF159,Tools!AG159,Tools!AH159,Tools!AI159,Tools!AJ159,Tools!AK159,Tools!AL159,Tools!AM159,Tools!AN159,Tools!AO159,Tools!AP159,Tools!AQ159,Tools!AR159,Tools!AS159,Tools!AT159,Tools!AU159,Tools!AV159,Tools!AW159,Tools!AX159,Tools!AY159,Tools!AZ159,Tools!BA159))</f>
        <v xml:space="preserve">Spline 9.878,0 9.878,1.8 9.878,3.6 9.879,5.4 9.885,7.2 9.915,10.8 9.995,14.4 10.281,18 10.674,20.2 11.055,21.6 11.939,25.2 12.956,28.38 </v>
      </c>
      <c r="Q10" s="541"/>
      <c r="R10" s="143"/>
      <c r="S10" s="143"/>
    </row>
    <row r="11" spans="1:19" x14ac:dyDescent="0.25">
      <c r="A11" s="423"/>
      <c r="B11" s="423"/>
      <c r="C11" s="423"/>
      <c r="D11" s="417"/>
      <c r="E11" s="145" t="str">
        <f>CONCATENATE(IF(Tools!A102="  ","","WL "),Tools!A102)</f>
        <v>WL 2</v>
      </c>
      <c r="F11" s="169" t="str">
        <f>IF(Tools!AB131="  ","",CONCATENATE(Tools!AB131,Tools!BA131,Tools!AZ131,Tools!AY131,Tools!AX131,Tools!AW131,Tools!AV131,Tools!AU131,Tools!AT131,Tools!AS131,Tools!AR131,Tools!AQ131,Tools!AP131,Tools!AO131,Tools!AN131,Tools!AM131,Tools!AL131,Tools!AK131,Tools!AJ131,Tools!AI131,Tools!AH131,Tools!AG131,Tools!AF131,Tools!AE131,Tools!AD131,Tools!AC131))</f>
        <v xml:space="preserve">Spline 131.7,-17.548 128.408,-17.098 125.115,-16.738 121.823,-16.298 118.53,-15.728 111.945,-14.268 105.36,-12.468 98.775,-10.618 92.19,-8.948 85.605,-7.598 79.02,-6.778 72.435,-6.488 65.85,-6.448 59.265,-6.448 52.68,-6.518 46.095,-6.838 39.51,-7.778 32.925,-9.668 26.34,-12.898 19.755,-15.598 13.17,-16.998 9.878,-17.998 6.585,-18.698 3.293,-18.698 0,-18.698 </v>
      </c>
      <c r="G11" s="144" t="s">
        <v>159</v>
      </c>
      <c r="H11" s="149" t="str">
        <f>CONCATENATE(IF(Tools!AD7="  ","","STN "),Tools!AD7)</f>
        <v>STN 2</v>
      </c>
      <c r="I11" s="170" t="str">
        <f>IF(Tools!AB102="  ","",CONCATENATE(Tools!AB102,Tools!BB102,Tools!BA102,Tools!AZ102,Tools!AY102,Tools!AX102,Tools!AW102,Tools!AV102,Tools!AU102,Tools!AT102,Tools!AS102,Tools!AR102,Tools!AQ102,Tools!AP102,Tools!AO102,Tools!AN102,Tools!AM102,Tools!AL102,Tools!AK102,Tools!AJ102,Tools!AI102,Tools!AH102,Tools!AG102,Tools!AF102,Tools!AE102,Tools!AD102,Tools!AC102))</f>
        <v xml:space="preserve">Spline 143.235,14.19 143.435,12.6 144.095,10.8 144.535,10.1 145.535,9 149.935,7.2 152.735,5.4 153.735,3.6 153.935,2.7 154.395,1.8 155.035,0.9 155.435,0.57 </v>
      </c>
      <c r="J11" s="143" t="s">
        <v>159</v>
      </c>
      <c r="K11" s="417"/>
      <c r="L11" s="540" t="str">
        <f>IF(Tools!$B160="","",CONCATENATE("Spline ",Tools!B160,Tools!C160,Tools!D160,Tools!E160,Tools!F160,Tools!G160,Tools!H160,Tools!I160,Tools!J160,Tools!K160,Tools!L160,Tools!M160,Tools!N160,Tools!O160,Tools!P160,Tools!Q160,Tools!R160,Tools!S160,Tools!T160,Tools!U160,Tools!V160,Tools!W160,Tools!X160,Tools!Y160,Tools!Z160))</f>
        <v xml:space="preserve">Spline 13.17,0 13.172,1.8 13.191,3.6 13.224,5.4 13.266,7.2 13.371,10.8 13.574,14.4 13.965,18 14.291,20.2 14.542,21.6 15.118,25.2 15.667,28.38 </v>
      </c>
      <c r="M11" s="541"/>
      <c r="N11" s="143"/>
      <c r="O11" s="143"/>
      <c r="P11" s="540" t="str">
        <f>IF(Tools!$AC160="","",CONCATENATE("Spline ",Tools!AC160,Tools!AD160,Tools!AE160,Tools!AF160,Tools!AG160,Tools!AH160,Tools!AI160,Tools!AJ160,Tools!AK160,Tools!AL160,Tools!AM160,Tools!AN160,Tools!AO160,Tools!AP160,Tools!AQ160,Tools!AR160,Tools!AS160,Tools!AT160,Tools!AU160,Tools!AV160,Tools!AW160,Tools!AX160,Tools!AY160,Tools!AZ160,Tools!BA160))</f>
        <v xml:space="preserve">Spline 13.17,0 13.17,1.8 13.174,3.6 13.184,5.4 13.203,7.2 13.272,10.8 13.453,14.4 13.901,18 14.339,20.2 14.697,21.6 15.654,25.2 16.685,28.38 </v>
      </c>
      <c r="Q11" s="541"/>
      <c r="R11" s="143"/>
      <c r="S11" s="143"/>
    </row>
    <row r="12" spans="1:19" x14ac:dyDescent="0.25">
      <c r="A12" s="423"/>
      <c r="B12" s="423"/>
      <c r="C12" s="423"/>
      <c r="D12" s="417"/>
      <c r="E12" s="145" t="str">
        <f>CONCATENATE(IF(Tools!A103="  ","","WL "),Tools!A103)</f>
        <v>WL 3</v>
      </c>
      <c r="F12" s="169" t="str">
        <f>IF(Tools!AB132="  ","",CONCATENATE(Tools!AB132,Tools!BA132,Tools!AZ132,Tools!AY132,Tools!AX132,Tools!AW132,Tools!AV132,Tools!AU132,Tools!AT132,Tools!AS132,Tools!AR132,Tools!AQ132,Tools!AP132,Tools!AO132,Tools!AN132,Tools!AM132,Tools!AL132,Tools!AK132,Tools!AJ132,Tools!AI132,Tools!AH132,Tools!AG132,Tools!AF132,Tools!AE132,Tools!AD132,Tools!AC132))</f>
        <v xml:space="preserve">Spline 131.7,-17.248 128.408,-16.928 125.115,-16.598 121.823,-16.128 118.53,-15.448 111.945,-13.668 105.36,-11.678 98.775,-9.788 92.19,-8.198 85.605,-7.058 79.02,-6.498 72.435,-6.448 65.85,-6.448 59.265,-6.448 52.68,-6.448 46.095,-6.448 39.51,-6.728 32.925,-7.548 26.34,-9.498 19.755,-12.998 13.17,-15.998 9.878,-17.498 6.585,-18.698 3.293,-18.698 0,-18.698 </v>
      </c>
      <c r="G12" s="144" t="s">
        <v>159</v>
      </c>
      <c r="H12" s="149" t="str">
        <f>CONCATENATE(IF(Tools!AD8="  ","","STN "),Tools!AD8)</f>
        <v>STN 3</v>
      </c>
      <c r="I12" s="170" t="str">
        <f>IF(Tools!AB103="  ","",CONCATENATE(Tools!AB103,Tools!BB103,Tools!BA103,Tools!AZ103,Tools!AY103,Tools!AX103,Tools!AW103,Tools!AV103,Tools!AU103,Tools!AT103,Tools!AS103,Tools!AR103,Tools!AQ103,Tools!AP103,Tools!AO103,Tools!AN103,Tools!AM103,Tools!AL103,Tools!AK103,Tools!AJ103,Tools!AI103,Tools!AH103,Tools!AG103,Tools!AF103,Tools!AE103,Tools!AD103,Tools!AC103))</f>
        <v xml:space="preserve">Spline 143.205,14.19 143.225,12.6 143.505,10.8 143.735,10.1 144.205,9 145.735,7.2 149.735,5.4 152.335,3.6 152.735,2.7 153.135,1.8 153.765,0.9 155.135,0 </v>
      </c>
      <c r="J12" s="143" t="s">
        <v>159</v>
      </c>
      <c r="K12" s="417"/>
      <c r="L12" s="540" t="str">
        <f>IF(Tools!$B161="","",CONCATENATE("Spline ",Tools!B161,Tools!C161,Tools!D161,Tools!E161,Tools!F161,Tools!G161,Tools!H161,Tools!I161,Tools!J161,Tools!K161,Tools!L161,Tools!M161,Tools!N161,Tools!O161,Tools!P161,Tools!Q161,Tools!R161,Tools!S161,Tools!T161,Tools!U161,Tools!V161,Tools!W161,Tools!X161,Tools!Y161,Tools!Z161))</f>
        <v xml:space="preserve">Spline 19.755,0 19.782,1.8 19.835,3.6 19.898,5.4 19.973,7.2 20.184,10.8 20.584,14.4 21.14,18 21.5,20.2 21.725,21.6 22.36,25.2 22.915,28.38 </v>
      </c>
      <c r="M12" s="541"/>
      <c r="N12" s="143"/>
      <c r="O12" s="143"/>
      <c r="P12" s="540" t="str">
        <f>IF(Tools!$AC161="","",CONCATENATE("Spline ",Tools!AC161,Tools!AD161,Tools!AE161,Tools!AF161,Tools!AG161,Tools!AH161,Tools!AI161,Tools!AJ161,Tools!AK161,Tools!AL161,Tools!AM161,Tools!AN161,Tools!AO161,Tools!AP161,Tools!AQ161,Tools!AR161,Tools!AS161,Tools!AT161,Tools!AU161,Tools!AV161,Tools!AW161,Tools!AX161,Tools!AY161,Tools!AZ161,Tools!BA161))</f>
        <v xml:space="preserve">Spline 19.755,0 19.757,1.8 19.767,3.6 19.787,5.4 19.821,7.2 19.958,10.8 20.31,14.4 20.945,18 21.427,20.2 21.758,21.6 22.794,25.2 23.835,28.38 </v>
      </c>
      <c r="Q12" s="541"/>
      <c r="R12" s="143"/>
      <c r="S12" s="143"/>
    </row>
    <row r="13" spans="1:19" x14ac:dyDescent="0.25">
      <c r="A13" s="423"/>
      <c r="B13" s="423"/>
      <c r="C13" s="423"/>
      <c r="D13" s="417"/>
      <c r="E13" s="145" t="str">
        <f>CONCATENATE(IF(Tools!A104="  ","","WL "),Tools!A104)</f>
        <v>WL 4</v>
      </c>
      <c r="F13" s="169" t="str">
        <f>IF(Tools!AB133="  ","",CONCATENATE(Tools!AB133,Tools!BA133,Tools!AZ133,Tools!AY133,Tools!AX133,Tools!AW133,Tools!AV133,Tools!AU133,Tools!AT133,Tools!AS133,Tools!AR133,Tools!AQ133,Tools!AP133,Tools!AO133,Tools!AN133,Tools!AM133,Tools!AL133,Tools!AK133,Tools!AJ133,Tools!AI133,Tools!AH133,Tools!AG133,Tools!AF133,Tools!AE133,Tools!AD133,Tools!AC133))</f>
        <v xml:space="preserve">Spline 131.7,-17.658 128.408,-17.388 125.115,-16.898 121.823,-16.148 118.53,-15.188 111.945,-13.008 105.36,-10.888 98.775,-9.058 92.19,-7.638 85.605,-6.728 79.02,-6.448 72.435,-6.448 65.85,-6.448 59.265,-6.448 52.68,-6.448 46.095,-6.448 39.51,-6.448 32.925,-6.748 26.34,-7.528 19.755,-8.998 13.17,-13.198 9.878,-16.298 6.585,-18.698 3.293,-18.698 0,-18.698 </v>
      </c>
      <c r="G13" s="144" t="s">
        <v>159</v>
      </c>
      <c r="H13" s="149" t="str">
        <f>CONCATENATE(IF(Tools!AD9="  ","","STN "),Tools!AD9)</f>
        <v>STN 4</v>
      </c>
      <c r="I13" s="170" t="str">
        <f>IF(Tools!AB104="  ","",CONCATENATE(Tools!AB104,Tools!BB104,Tools!BA104,Tools!AZ104,Tools!AY104,Tools!AX104,Tools!AW104,Tools!AV104,Tools!AU104,Tools!AT104,Tools!AS104,Tools!AR104,Tools!AQ104,Tools!AP104,Tools!AO104,Tools!AN104,Tools!AM104,Tools!AL104,Tools!AK104,Tools!AJ104,Tools!AI104,Tools!AH104,Tools!AG104,Tools!AF104,Tools!AE104,Tools!AD104,Tools!AC104))</f>
        <v xml:space="preserve">Spline 143.185,14.19 143.185,12.6 143.235,10.8 143.295,10.1 143.525,9 144.265,7.2 146.235,5.4 149.635,3.6 150.635,2.7 151.355,1.8 152.265,0.9 154.435,0 </v>
      </c>
      <c r="J13" s="143" t="s">
        <v>159</v>
      </c>
      <c r="K13" s="417"/>
      <c r="L13" s="540" t="str">
        <f>IF(Tools!$B162="","",CONCATENATE("Spline ",Tools!B162,Tools!C162,Tools!D162,Tools!E162,Tools!F162,Tools!G162,Tools!H162,Tools!I162,Tools!J162,Tools!K162,Tools!L162,Tools!M162,Tools!N162,Tools!O162,Tools!P162,Tools!Q162,Tools!R162,Tools!S162,Tools!T162,Tools!U162,Tools!V162,Tools!W162,Tools!X162,Tools!Y162,Tools!Z162))</f>
        <v xml:space="preserve">Spline 26.34,0 26.396,1.8 26.492,3.6 26.605,5.4 26.741,7.2 27.118,10.8 27.663,14.4 28.245,18 28.623,20.2 28.881,21.6 29.496,25.2 30.053,28.38 </v>
      </c>
      <c r="M13" s="541"/>
      <c r="N13" s="143"/>
      <c r="O13" s="143"/>
      <c r="P13" s="540" t="str">
        <f>IF(Tools!$AC162="","",CONCATENATE("Spline ",Tools!AC162,Tools!AD162,Tools!AE162,Tools!AF162,Tools!AG162,Tools!AH162,Tools!AI162,Tools!AJ162,Tools!AK162,Tools!AL162,Tools!AM162,Tools!AN162,Tools!AO162,Tools!AP162,Tools!AQ162,Tools!AR162,Tools!AS162,Tools!AT162,Tools!AU162,Tools!AV162,Tools!AW162,Tools!AX162,Tools!AY162,Tools!AZ162,Tools!BA162))</f>
        <v xml:space="preserve">Spline 26.34,0 26.344,1.8 26.363,3.6 26.398,5.4 26.459,7.2 26.7,10.8 27.179,14.4 27.848,18 28.354,20.2 28.717,21.6 29.741,25.2 30.785,28.38 </v>
      </c>
      <c r="Q13" s="541"/>
      <c r="R13" s="143"/>
      <c r="S13" s="143"/>
    </row>
    <row r="14" spans="1:19" x14ac:dyDescent="0.25">
      <c r="A14" s="423"/>
      <c r="B14" s="423"/>
      <c r="C14" s="423"/>
      <c r="D14" s="417"/>
      <c r="E14" s="145" t="str">
        <f>CONCATENATE(IF(Tools!A105="  ","","WL "),Tools!A105)</f>
        <v>WL 5</v>
      </c>
      <c r="F14" s="169" t="str">
        <f>IF(Tools!AB134="  ","",CONCATENATE(Tools!AB134,Tools!BA134,Tools!AZ134,Tools!AY134,Tools!AX134,Tools!AW134,Tools!AV134,Tools!AU134,Tools!AT134,Tools!AS134,Tools!AR134,Tools!AQ134,Tools!AP134,Tools!AO134,Tools!AN134,Tools!AM134,Tools!AL134,Tools!AK134,Tools!AJ134,Tools!AI134,Tools!AH134,Tools!AG134,Tools!AF134,Tools!AE134,Tools!AD134,Tools!AC134))</f>
        <v xml:space="preserve">Spline 131.7,-18.698 128.408,-17.698 125.115,-16.698 121.823,-15.578 118.53,-14.418 111.945,-12.108 105.36,-10.068 98.775,-8.438 92.19,-7.238 85.605,-6.518 79.02,-6.448 72.435,-6.448 65.85,-6.448 59.265,-6.448 52.68,-6.448 46.095,-6.448 39.51,-6.448 32.925,-6.478 26.34,-6.788 19.755,-7.468 13.17,-8.798 9.878,-10.148 6.585,-12.578 3.293,-17.498 0,-18.698 </v>
      </c>
      <c r="G14" s="144" t="s">
        <v>159</v>
      </c>
      <c r="H14" s="149" t="str">
        <f>CONCATENATE(IF(Tools!AD10="  ","","STN "),Tools!AD10)</f>
        <v>STN 5</v>
      </c>
      <c r="I14" s="170" t="str">
        <f>IF(Tools!AB105="  ","",CONCATENATE(Tools!AB105,Tools!BB105,Tools!BA105,Tools!AZ105,Tools!AY105,Tools!AX105,Tools!AW105,Tools!AV105,Tools!AU105,Tools!AT105,Tools!AS105,Tools!AR105,Tools!AQ105,Tools!AP105,Tools!AO105,Tools!AN105,Tools!AM105,Tools!AL105,Tools!AK105,Tools!AJ105,Tools!AI105,Tools!AH105,Tools!AG105,Tools!AF105,Tools!AE105,Tools!AD105,Tools!AC105))</f>
        <v xml:space="preserve">Spline 143.185,14.19 143.185,12.6 143.185,10.8 143.185,10.1 143.215,9 143.485,7.2 144.285,5.4 146.405,3.6 148.065,2.7 149.345,1.8 150.625,0.9 153.815,0 </v>
      </c>
      <c r="J14" s="143" t="s">
        <v>159</v>
      </c>
      <c r="K14" s="417"/>
      <c r="L14" s="540" t="str">
        <f>IF(Tools!$B163="","",CONCATENATE("Spline ",Tools!B163,Tools!C163,Tools!D163,Tools!E163,Tools!F163,Tools!G163,Tools!H163,Tools!I163,Tools!J163,Tools!K163,Tools!L163,Tools!M163,Tools!N163,Tools!O163,Tools!P163,Tools!Q163,Tools!R163,Tools!S163,Tools!T163,Tools!U163,Tools!V163,Tools!W163,Tools!X163,Tools!Y163,Tools!Z163))</f>
        <v xml:space="preserve">Spline 32.925,0 33.012,1.8 33.156,3.6 33.325,5.4 33.538,7.2 34.071,10.8 34.663,14.4 35.291,18 35.675,20.2 35.915,21.6 36.55,25.2 37.107,28.38 </v>
      </c>
      <c r="M14" s="541"/>
      <c r="N14" s="143"/>
      <c r="O14" s="143"/>
      <c r="P14" s="540" t="str">
        <f>IF(Tools!$AC163="","",CONCATENATE("Spline ",Tools!AC163,Tools!AD163,Tools!AE163,Tools!AF163,Tools!AG163,Tools!AH163,Tools!AI163,Tools!AJ163,Tools!AK163,Tools!AL163,Tools!AM163,Tools!AN163,Tools!AO163,Tools!AP163,Tools!AQ163,Tools!AR163,Tools!AS163,Tools!AT163,Tools!AU163,Tools!AV163,Tools!AW163,Tools!AX163,Tools!AY163,Tools!AZ163,Tools!BA163))</f>
        <v xml:space="preserve">Spline 32.925,0 32.931,1.8 32.959,3.6 33.013,5.4 33.107,7.2 33.442,10.8 33.969,14.4 34.676,18 35.19,20.2 35.549,21.6 36.581,25.2 37.624,28.38 </v>
      </c>
      <c r="Q14" s="541"/>
      <c r="R14" s="143"/>
      <c r="S14" s="143"/>
    </row>
    <row r="15" spans="1:19" x14ac:dyDescent="0.25">
      <c r="A15" s="423"/>
      <c r="B15" s="423"/>
      <c r="C15" s="423"/>
      <c r="D15" s="417"/>
      <c r="E15" s="145" t="str">
        <f>CONCATENATE(IF(Tools!A106="  ","","WL "),Tools!A106)</f>
        <v>WL 5.61111111111111</v>
      </c>
      <c r="F15" s="169" t="str">
        <f>IF(Tools!AB135="  ","",CONCATENATE(Tools!AB135,Tools!BA135,Tools!AZ135,Tools!AY135,Tools!AX135,Tools!AW135,Tools!AV135,Tools!AU135,Tools!AT135,Tools!AS135,Tools!AR135,Tools!AQ135,Tools!AP135,Tools!AO135,Tools!AN135,Tools!AM135,Tools!AL135,Tools!AK135,Tools!AJ135,Tools!AI135,Tools!AH135,Tools!AG135,Tools!AF135,Tools!AE135,Tools!AD135,Tools!AC135))</f>
        <v xml:space="preserve">Spline 131.7,-18.698 128.408,-17.258 125.115,-16.088 121.823,-14.908 118.53,-13.728 111.945,-11.478 105.36,-9.578 98.775,-8.098 92.19,-7.028 85.605,-6.478 79.02,-6.448 72.435,-6.448 65.85,-6.448 59.265,-6.448 52.68,-6.448 46.095,-6.448 39.51,-6.448 32.925,-6.448 26.34,-6.558 19.755,-6.998 13.17,-7.798 9.878,-8.558 6.585,-9.898 3.293,-11.898 0,-15.806 </v>
      </c>
      <c r="G15" s="144" t="s">
        <v>159</v>
      </c>
      <c r="H15" s="149" t="str">
        <f>CONCATENATE(IF(Tools!AD11="  ","","STN "),Tools!AD11)</f>
        <v>STN 6</v>
      </c>
      <c r="I15" s="170" t="str">
        <f>IF(Tools!AB106="  ","",CONCATENATE(Tools!AB106,Tools!BB106,Tools!BA106,Tools!AZ106,Tools!AY106,Tools!AX106,Tools!AW106,Tools!AV106,Tools!AU106,Tools!AT106,Tools!AS106,Tools!AR106,Tools!AQ106,Tools!AP106,Tools!AO106,Tools!AN106,Tools!AM106,Tools!AL106,Tools!AK106,Tools!AJ106,Tools!AI106,Tools!AH106,Tools!AG106,Tools!AF106,Tools!AE106,Tools!AD106,Tools!AC106))</f>
        <v xml:space="preserve">Spline 143.185,14.19 143.185,12.6 143.185,10.8 143.185,10.1 143.185,9 143.185,7.2 143.465,5.4 144.515,3.6 145.615,2.7 147.095,1.8 148.845,0.9 153.235,0 </v>
      </c>
      <c r="J15" s="143" t="s">
        <v>159</v>
      </c>
      <c r="K15" s="417"/>
      <c r="L15" s="540" t="str">
        <f>IF(Tools!$B164="","",CONCATENATE("Spline ",Tools!B164,Tools!C164,Tools!D164,Tools!E164,Tools!F164,Tools!G164,Tools!H164,Tools!I164,Tools!J164,Tools!K164,Tools!L164,Tools!M164,Tools!N164,Tools!O164,Tools!P164,Tools!Q164,Tools!R164,Tools!S164,Tools!T164,Tools!U164,Tools!V164,Tools!W164,Tools!X164,Tools!Y164,Tools!Z164))</f>
        <v xml:space="preserve">Spline 39.51,0 39.629,1.8 39.826,3.6 40.055,5.4 40.328,7.2 40.923,10.8 41.546,14.4 42.178,18 42.563,20.2 42.806,21.6 43.438,25.2 43.995,28.38 </v>
      </c>
      <c r="M15" s="541"/>
      <c r="N15" s="143"/>
      <c r="O15" s="143"/>
      <c r="P15" s="540" t="str">
        <f>IF(Tools!$AC164="","",CONCATENATE("Spline ",Tools!AC164,Tools!AD164,Tools!AE164,Tools!AF164,Tools!AG164,Tools!AH164,Tools!AI164,Tools!AJ164,Tools!AK164,Tools!AL164,Tools!AM164,Tools!AN164,Tools!AO164,Tools!AP164,Tools!AQ164,Tools!AR164,Tools!AS164,Tools!AT164,Tools!AU164,Tools!AV164,Tools!AW164,Tools!AX164,Tools!AY164,Tools!AZ164,Tools!BA164))</f>
        <v xml:space="preserve">Spline 39.51,0 39.519,1.8 39.556,3.6 39.63,5.4 39.749,7.2 40.125,10.8 40.675,14.4 41.391,18 41.906,20.2 42.263,21.6 43.297,25.2 44.34,28.38 </v>
      </c>
      <c r="Q15" s="541"/>
      <c r="R15" s="143"/>
      <c r="S15" s="143"/>
    </row>
    <row r="16" spans="1:19" x14ac:dyDescent="0.25">
      <c r="A16" s="423"/>
      <c r="B16" s="423"/>
      <c r="C16" s="423"/>
      <c r="D16" s="417"/>
      <c r="E16" s="145" t="str">
        <f>CONCATENATE(IF(Tools!A107="  ","","WL "),Tools!A107)</f>
        <v>WL 6</v>
      </c>
      <c r="F16" s="169" t="str">
        <f>IF(Tools!AB136="  ","",CONCATENATE(Tools!AB136,Tools!BA136,Tools!AZ136,Tools!AY136,Tools!AX136,Tools!AW136,Tools!AV136,Tools!AU136,Tools!AT136,Tools!AS136,Tools!AR136,Tools!AQ136,Tools!AP136,Tools!AO136,Tools!AN136,Tools!AM136,Tools!AL136,Tools!AK136,Tools!AJ136,Tools!AI136,Tools!AH136,Tools!AG136,Tools!AF136,Tools!AE136,Tools!AD136,Tools!AC136))</f>
        <v xml:space="preserve">Spline 131.7,-18.448 128.408,-16.958 125.115,-15.598 121.823,-14.398 118.53,-13.228 111.945,-11.058 105.36,-9.268 98.775,-7.898 92.19,-6.908 85.605,-6.468 79.02,-6.448 72.435,-6.448 65.85,-6.448 59.265,-6.448 52.68,-6.448 46.095,-6.448 39.51,-6.448 32.925,-6.448 26.34,-6.498 19.755,-6.768 13.17,-7.358 9.878,-7.918 6.585,-8.858 3.293,-10.238 0,-12.498 </v>
      </c>
      <c r="G16" s="144" t="s">
        <v>159</v>
      </c>
      <c r="H16" s="149" t="str">
        <f>CONCATENATE(IF(Tools!AD12="  ","","STN "),Tools!AD12)</f>
        <v>STN 7</v>
      </c>
      <c r="I16" s="170" t="str">
        <f>IF(Tools!AB107="  ","",CONCATENATE(Tools!AB107,Tools!BB107,Tools!BA107,Tools!AZ107,Tools!AY107,Tools!AX107,Tools!AW107,Tools!AV107,Tools!AU107,Tools!AT107,Tools!AS107,Tools!AR107,Tools!AQ107,Tools!AP107,Tools!AO107,Tools!AN107,Tools!AM107,Tools!AL107,Tools!AK107,Tools!AJ107,Tools!AI107,Tools!AH107,Tools!AG107,Tools!AF107,Tools!AE107,Tools!AD107,Tools!AC107))</f>
        <v xml:space="preserve">Spline 143.185,14.19 143.185,12.6 143.185,10.8 143.185,10.1 143.185,9 143.185,7.2 143.185,5.4 143.575,3.6 144.185,2.7 145.175,1.8 146.855,0.9 151.725,0 </v>
      </c>
      <c r="J16" s="143" t="s">
        <v>159</v>
      </c>
      <c r="K16" s="417"/>
      <c r="L16" s="540" t="str">
        <f>IF(Tools!$B165="","",CONCATENATE("Spline ",Tools!B165,Tools!C165,Tools!D165,Tools!E165,Tools!F165,Tools!G165,Tools!H165,Tools!I165,Tools!J165,Tools!K165,Tools!L165,Tools!M165,Tools!N165,Tools!O165,Tools!P165,Tools!Q165,Tools!R165,Tools!S165,Tools!T165,Tools!U165,Tools!V165,Tools!W165,Tools!X165,Tools!Y165,Tools!Z165))</f>
        <v xml:space="preserve">Spline 46.095,0 46.26,1.8 46.509,3.6 46.782,5.4 47.084,7.2 47.708,10.8 48.338,14.4 48.968,18 49.353,20.2 49.598,21.6 50.228,25.2 50.785,28.38 </v>
      </c>
      <c r="M16" s="541"/>
      <c r="N16" s="143"/>
      <c r="O16" s="143"/>
      <c r="P16" s="540" t="str">
        <f>IF(Tools!$AC165="","",CONCATENATE("Spline ",Tools!AC165,Tools!AD165,Tools!AE165,Tools!AF165,Tools!AG165,Tools!AH165,Tools!AI165,Tools!AJ165,Tools!AK165,Tools!AL165,Tools!AM165,Tools!AN165,Tools!AO165,Tools!AP165,Tools!AQ165,Tools!AR165,Tools!AS165,Tools!AT165,Tools!AU165,Tools!AV165,Tools!AW165,Tools!AX165,Tools!AY165,Tools!AZ165,Tools!BA165))</f>
        <v xml:space="preserve">Spline 46.095,0 46.107,1.8 46.154,3.6 46.241,5.4 46.373,7.2 46.767,10.8 47.323,14.4 48.037,18 48.552,20.2 48.91,21.6 49.942,25.2 50.986,28.38 </v>
      </c>
      <c r="Q16" s="541"/>
      <c r="R16" s="143"/>
      <c r="S16" s="143"/>
    </row>
    <row r="17" spans="1:25" x14ac:dyDescent="0.25">
      <c r="A17" s="423"/>
      <c r="B17" s="423"/>
      <c r="C17" s="423"/>
      <c r="D17" s="417"/>
      <c r="E17" s="145" t="str">
        <f>CONCATENATE(IF(Tools!A108="  ","","WL "),Tools!A108)</f>
        <v>WL 7</v>
      </c>
      <c r="F17" s="169" t="str">
        <f>IF(Tools!AB137="  ","",CONCATENATE(Tools!AB137,Tools!BA137,Tools!AZ137,Tools!AY137,Tools!AX137,Tools!AW137,Tools!AV137,Tools!AU137,Tools!AT137,Tools!AS137,Tools!AR137,Tools!AQ137,Tools!AP137,Tools!AO137,Tools!AN137,Tools!AM137,Tools!AL137,Tools!AK137,Tools!AJ137,Tools!AI137,Tools!AH137,Tools!AG137,Tools!AF137,Tools!AE137,Tools!AD137,Tools!AC137))</f>
        <v xml:space="preserve">Spline 131.7,-17.848 128.408,-15.908 125.115,-14.278 121.823,-12.988 118.53,-11.858 111.945,-9.968 105.36,-8.498 98.775,-7.408 92.19,-6.628 85.605,-6.468 79.02,-6.448 72.435,-6.448 65.85,-6.448 59.265,-6.448 52.68,-6.448 46.095,-6.448 39.51,-6.448 32.925,-6.448 26.34,-6.448 19.755,-6.488 13.17,-6.698 9.878,-6.928 6.585,-7.368 3.293,-8.068 0,-9.098 </v>
      </c>
      <c r="G17" s="144" t="s">
        <v>159</v>
      </c>
      <c r="H17" s="149" t="str">
        <f>CONCATENATE(IF(Tools!AD13="  ","","STN "),Tools!AD13)</f>
        <v>STN 8</v>
      </c>
      <c r="I17" s="170" t="str">
        <f>IF(Tools!AB108="  ","",CONCATENATE(Tools!AB108,Tools!BB108,Tools!BA108,Tools!AZ108,Tools!AY108,Tools!AX108,Tools!AW108,Tools!AV108,Tools!AU108,Tools!AT108,Tools!AS108,Tools!AR108,Tools!AQ108,Tools!AP108,Tools!AO108,Tools!AN108,Tools!AM108,Tools!AL108,Tools!AK108,Tools!AJ108,Tools!AI108,Tools!AH108,Tools!AG108,Tools!AF108,Tools!AE108,Tools!AD108,Tools!AC108))</f>
        <v xml:space="preserve">Spline 143.185,14.19 143.185,12.6 143.185,10.8 143.185,10.1 143.185,9 143.185,7.2 143.185,5.4 143.255,3.6 143.535,2.7 144.085,1.8 145.275,0.9 149.535,0 </v>
      </c>
      <c r="J17" s="143" t="s">
        <v>159</v>
      </c>
      <c r="K17" s="417"/>
      <c r="L17" s="540" t="str">
        <f>IF(Tools!$B166="","",CONCATENATE("Spline ",Tools!B166,Tools!C166,Tools!D166,Tools!E166,Tools!F166,Tools!G166,Tools!H166,Tools!I166,Tools!J166,Tools!K166,Tools!L166,Tools!M166,Tools!N166,Tools!O166,Tools!P166,Tools!Q166,Tools!R166,Tools!S166,Tools!T166,Tools!U166,Tools!V166,Tools!W166,Tools!X166,Tools!Y166,Tools!Z166))</f>
        <v xml:space="preserve">Spline 52.68,0 52.893,1.8 53.176,3.6 53.471,5.4 53.786,7.2 54.416,10.8 55.045,14.4 55.676,18 56.061,20.2 56.305,21.6 56.936,25.2 57.492,28.38 </v>
      </c>
      <c r="M17" s="541"/>
      <c r="N17" s="143"/>
      <c r="O17" s="143"/>
      <c r="P17" s="540" t="str">
        <f>IF(Tools!$AC166="","",CONCATENATE("Spline ",Tools!AC166,Tools!AD166,Tools!AE166,Tools!AF166,Tools!AG166,Tools!AH166,Tools!AI166,Tools!AJ166,Tools!AK166,Tools!AL166,Tools!AM166,Tools!AN166,Tools!AO166,Tools!AP166,Tools!AQ166,Tools!AR166,Tools!AS166,Tools!AT166,Tools!AU166,Tools!AV166,Tools!AW166,Tools!AX166,Tools!AY166,Tools!AZ166,Tools!BA166))</f>
        <v xml:space="preserve">Spline 52.68,0 52.695,1.8 52.748,3.6 52.842,5.4 52.98,7.2 53.377,10.8 53.932,14.4 54.647,18 55.162,20.2 55.519,21.6 56.552,25.2 57.596,28.38 </v>
      </c>
      <c r="Q17" s="541"/>
      <c r="R17" s="143"/>
      <c r="S17" s="143"/>
    </row>
    <row r="18" spans="1:25" x14ac:dyDescent="0.25">
      <c r="A18" s="417"/>
      <c r="B18" s="417"/>
      <c r="C18" s="417"/>
      <c r="D18" s="417"/>
      <c r="E18" s="145" t="str">
        <f>CONCATENATE(IF(Tools!A109="  ","","WL "),Tools!A109)</f>
        <v>WL 7.88333333333333</v>
      </c>
      <c r="F18" s="169" t="str">
        <f>IF(Tools!AB138="  ","",CONCATENATE(Tools!AB138,Tools!BA138,Tools!AZ138,Tools!AY138,Tools!AX138,Tools!AW138,Tools!AV138,Tools!AU138,Tools!AT138,Tools!AS138,Tools!AR138,Tools!AQ138,Tools!AP138,Tools!AO138,Tools!AN138,Tools!AM138,Tools!AL138,Tools!AK138,Tools!AJ138,Tools!AI138,Tools!AH138,Tools!AG138,Tools!AF138,Tools!AE138,Tools!AD138,Tools!AC138))</f>
        <v xml:space="preserve">Spline 131.7,-16.918 128.408,-14.598 125.115,-12.938 121.823,-10.598 118.53,-8.928 111.945,-7.758 105.36,-6.948 98.775,-6.548 92.19,-6.468 85.605,-6.448 79.02,-6.448 72.435,-6.448 65.85,-6.448 59.265,-6.448 52.68,-6.448 46.095,-6.448 39.51,-6.448 32.925,-6.448 26.34,-6.448 19.755,-6.468 13.17,-6.498 9.878,-6.598 6.585,-6.798 3.293,-7.178 0,-7.808 </v>
      </c>
      <c r="G18" s="144" t="s">
        <v>159</v>
      </c>
      <c r="H18" s="149" t="str">
        <f>CONCATENATE(IF(Tools!AD14="  ","","STN "),Tools!AD14)</f>
        <v>STN 9</v>
      </c>
      <c r="I18" s="170" t="str">
        <f>IF(Tools!AB109="  ","",CONCATENATE(Tools!AB109,Tools!BB109,Tools!BA109,Tools!AZ109,Tools!AY109,Tools!AX109,Tools!AW109,Tools!AV109,Tools!AU109,Tools!AT109,Tools!AS109,Tools!AR109,Tools!AQ109,Tools!AP109,Tools!AO109,Tools!AN109,Tools!AM109,Tools!AL109,Tools!AK109,Tools!AJ109,Tools!AI109,Tools!AH109,Tools!AG109,Tools!AF109,Tools!AE109,Tools!AD109,Tools!AC109))</f>
        <v xml:space="preserve">Spline 143.185,14.19 143.185,12.6 143.185,10.8 143.185,10.1 143.185,9 143.185,7.2 143.185,5.4 143.185,3.6 143.315,2.7 143.715,1.8 144.655,0.9 148.235,0 </v>
      </c>
      <c r="J18" s="143" t="s">
        <v>159</v>
      </c>
      <c r="K18" s="417"/>
      <c r="L18" s="540" t="str">
        <f>IF(Tools!$B167="","",CONCATENATE("Spline ",Tools!B167,Tools!C167,Tools!D167,Tools!E167,Tools!F167,Tools!G167,Tools!H167,Tools!I167,Tools!J167,Tools!K167,Tools!L167,Tools!M167,Tools!N167,Tools!O167,Tools!P167,Tools!Q167,Tools!R167,Tools!S167,Tools!T167,Tools!U167,Tools!V167,Tools!W167,Tools!X167,Tools!Y167,Tools!Z167))</f>
        <v xml:space="preserve">Spline 59.265,0 59.502,1.8 59.797,3.6 60.1,5.4 60.418,7.2 61.048,10.8 61.678,14.4 62.308,18 62.693,20.2 62.938,21.6 63.568,25.2 64.124,28.38 </v>
      </c>
      <c r="M18" s="541"/>
      <c r="N18" s="143"/>
      <c r="O18" s="143"/>
      <c r="P18" s="540" t="str">
        <f>IF(Tools!$AC167="","",CONCATENATE("Spline ",Tools!AC167,Tools!AD167,Tools!AE167,Tools!AF167,Tools!AG167,Tools!AH167,Tools!AI167,Tools!AJ167,Tools!AK167,Tools!AL167,Tools!AM167,Tools!AN167,Tools!AO167,Tools!AP167,Tools!AQ167,Tools!AR167,Tools!AS167,Tools!AT167,Tools!AU167,Tools!AV167,Tools!AW167,Tools!AX167,Tools!AY167,Tools!AZ167,Tools!BA167))</f>
        <v xml:space="preserve">Spline 59.265,0 59.281,1.8 59.337,3.6 59.433,5.4 59.572,7.2 59.97,10.8 60.525,14.4 61.24,18 61.754,20.2 62.112,21.6 63.145,25.2 64.188,28.38 </v>
      </c>
      <c r="Q18" s="541"/>
      <c r="R18" s="143"/>
      <c r="S18" s="143"/>
    </row>
    <row r="19" spans="1:25" ht="15.75" x14ac:dyDescent="0.25">
      <c r="A19" s="502" t="s">
        <v>379</v>
      </c>
      <c r="B19" s="417"/>
      <c r="C19" s="417"/>
      <c r="D19" s="417"/>
      <c r="E19" s="145" t="str">
        <f>CONCATENATE(IF(Tools!A110="  ","","WL "),Tools!A110)</f>
        <v xml:space="preserve">  </v>
      </c>
      <c r="F19" s="169" t="str">
        <f>IF(Tools!AB139="  ","",CONCATENATE(Tools!AB139,Tools!BA139,Tools!AZ139,Tools!AY139,Tools!AX139,Tools!AW139,Tools!AV139,Tools!AU139,Tools!AT139,Tools!AS139,Tools!AR139,Tools!AQ139,Tools!AP139,Tools!AO139,Tools!AN139,Tools!AM139,Tools!AL139,Tools!AK139,Tools!AJ139,Tools!AI139,Tools!AH139,Tools!AG139,Tools!AF139,Tools!AE139,Tools!AD139,Tools!AC139))</f>
        <v/>
      </c>
      <c r="G19" s="144" t="s">
        <v>159</v>
      </c>
      <c r="H19" s="149" t="str">
        <f>CONCATENATE(IF(Tools!AD15="  ","","STN "),Tools!AD15)</f>
        <v>STN 10</v>
      </c>
      <c r="I19" s="170" t="str">
        <f>IF(Tools!AB110="  ","",CONCATENATE(Tools!AB110,Tools!BB110,Tools!BA110,Tools!AZ110,Tools!AY110,Tools!AX110,Tools!AW110,Tools!AV110,Tools!AU110,Tools!AT110,Tools!AS110,Tools!AR110,Tools!AQ110,Tools!AP110,Tools!AO110,Tools!AN110,Tools!AM110,Tools!AL110,Tools!AK110,Tools!AJ110,Tools!AI110,Tools!AH110,Tools!AG110,Tools!AF110,Tools!AE110,Tools!AD110,Tools!AC110))</f>
        <v xml:space="preserve">Spline 143.185,14.19 143.185,12.6 143.185,10.8 143.185,10.1 143.185,9 143.185,7.2 143.185,5.4 143.185,3.6 143.295,2.7 143.675,1.8 144.595,0.9 147.185,0 </v>
      </c>
      <c r="J19" s="143" t="s">
        <v>159</v>
      </c>
      <c r="K19" s="417"/>
      <c r="L19" s="540" t="str">
        <f>IF(Tools!$B168="","",CONCATENATE("Spline ",Tools!B168,Tools!C168,Tools!D168,Tools!E168,Tools!F168,Tools!G168,Tools!H168,Tools!I168,Tools!J168,Tools!K168,Tools!L168,Tools!M168,Tools!N168,Tools!O168,Tools!P168,Tools!Q168,Tools!R168,Tools!S168,Tools!T168,Tools!U168,Tools!V168,Tools!W168,Tools!X168,Tools!Y168,Tools!Z168))</f>
        <v xml:space="preserve">Spline 65.85,0 66.099,1.8 66.393,3.6 66.699,5.4 67.015,7.2 67.645,10.8 68.275,14.4 68.905,18 69.29,20.2 69.535,21.6 70.165,25.2 70.721,28.38 </v>
      </c>
      <c r="M19" s="541"/>
      <c r="N19" s="143"/>
      <c r="O19" s="143"/>
      <c r="P19" s="540" t="str">
        <f>IF(Tools!$AC168="","",CONCATENATE("Spline ",Tools!AC168,Tools!AD168,Tools!AE168,Tools!AF168,Tools!AG168,Tools!AH168,Tools!AI168,Tools!AJ168,Tools!AK168,Tools!AL168,Tools!AM168,Tools!AN168,Tools!AO168,Tools!AP168,Tools!AQ168,Tools!AR168,Tools!AS168,Tools!AT168,Tools!AU168,Tools!AV168,Tools!AW168,Tools!AX168,Tools!AY168,Tools!AZ168,Tools!BA168))</f>
        <v xml:space="preserve">Spline 65.85,0 65.866,1.8 65.922,3.6 66.019,5.4 66.158,7.2 66.555,10.8 67.11,14.4 67.825,18 68.34,20.2 68.698,21.6 69.73,25.2 70.774,28.38 </v>
      </c>
      <c r="Q19" s="541"/>
      <c r="R19" s="143"/>
      <c r="S19" s="143"/>
    </row>
    <row r="20" spans="1:25" ht="15.75" customHeight="1" x14ac:dyDescent="0.25">
      <c r="A20" s="503" t="s">
        <v>381</v>
      </c>
      <c r="B20" s="417"/>
      <c r="C20" s="417"/>
      <c r="D20" s="417"/>
      <c r="E20" s="145" t="str">
        <f>CONCATENATE(IF(Tools!A111="  ","","WL "),Tools!A111)</f>
        <v xml:space="preserve">  </v>
      </c>
      <c r="F20" s="169" t="str">
        <f>IF(Tools!AB140="  ","",CONCATENATE(Tools!AB140,Tools!BA140,Tools!AZ140,Tools!AY140,Tools!AX140,Tools!AW140,Tools!AV140,Tools!AU140,Tools!AT140,Tools!AS140,Tools!AR140,Tools!AQ140,Tools!AP140,Tools!AO140,Tools!AN140,Tools!AM140,Tools!AL140,Tools!AK140,Tools!AJ140,Tools!AI140,Tools!AH140,Tools!AG140,Tools!AF140,Tools!AE140,Tools!AD140,Tools!AC140))</f>
        <v/>
      </c>
      <c r="G20" s="144" t="s">
        <v>159</v>
      </c>
      <c r="H20" s="149" t="str">
        <f>CONCATENATE(IF(Tools!AD16="  ","","STN "),Tools!AD16)</f>
        <v>STN 11</v>
      </c>
      <c r="I20" s="170" t="str">
        <f>IF(Tools!AB111="  ","",CONCATENATE(Tools!AB111,Tools!BB111,Tools!BA111,Tools!AZ111,Tools!AY111,Tools!AX111,Tools!AW111,Tools!AV111,Tools!AU111,Tools!AT111,Tools!AS111,Tools!AR111,Tools!AQ111,Tools!AP111,Tools!AO111,Tools!AN111,Tools!AM111,Tools!AL111,Tools!AK111,Tools!AJ111,Tools!AI111,Tools!AH111,Tools!AG111,Tools!AF111,Tools!AE111,Tools!AD111,Tools!AC111))</f>
        <v xml:space="preserve">Spline 167.685,14.19 167.685,12.6 167.685,10.8 167.685,10.1 167.685,9 167.685,7.2 167.685,5.4 167.645,3.6 167.475,2.7 167.055,1.8 166.085,0.9 164.035,0 </v>
      </c>
      <c r="J20" s="143" t="s">
        <v>159</v>
      </c>
      <c r="K20" s="417"/>
      <c r="L20" s="540" t="str">
        <f>IF(Tools!$B169="","",CONCATENATE("Spline ",Tools!B169,Tools!C169,Tools!D169,Tools!E169,Tools!F169,Tools!G169,Tools!H169,Tools!I169,Tools!J169,Tools!K169,Tools!L169,Tools!M169,Tools!N169,Tools!O169,Tools!P169,Tools!Q169,Tools!R169,Tools!S169,Tools!T169,Tools!U169,Tools!V169,Tools!W169,Tools!X169,Tools!Y169,Tools!Z169))</f>
        <v xml:space="preserve">Spline 72.435,0 72.685,1.8 72.973,3.6 73.278,5.4 73.591,7.2 74.22,10.8 74.85,14.4 75.48,18 75.865,20.2 76.11,21.6 76.74,25.2 77.296,28.38 </v>
      </c>
      <c r="M20" s="541"/>
      <c r="N20" s="143"/>
      <c r="O20" s="143"/>
      <c r="P20" s="540" t="str">
        <f>IF(Tools!$AC169="","",CONCATENATE("Spline ",Tools!AC169,Tools!AD169,Tools!AE169,Tools!AF169,Tools!AG169,Tools!AH169,Tools!AI169,Tools!AJ169,Tools!AK169,Tools!AL169,Tools!AM169,Tools!AN169,Tools!AO169,Tools!AP169,Tools!AQ169,Tools!AR169,Tools!AS169,Tools!AT169,Tools!AU169,Tools!AV169,Tools!AW169,Tools!AX169,Tools!AY169,Tools!AZ169,Tools!BA169))</f>
        <v xml:space="preserve">Spline 72.435,0 72.451,1.8 72.506,3.6 72.602,5.4 72.74,7.2 73.137,10.8 73.692,14.4 74.407,18 74.922,20.2 75.28,21.6 76.312,25.2 77.356,28.38 </v>
      </c>
      <c r="Q20" s="541"/>
      <c r="R20" s="143"/>
      <c r="S20" s="143"/>
    </row>
    <row r="21" spans="1:25" x14ac:dyDescent="0.25">
      <c r="A21" s="417"/>
      <c r="B21" s="417"/>
      <c r="D21" s="417"/>
      <c r="E21" s="145" t="str">
        <f>CONCATENATE(IF(Tools!A112="  ","","WL "),Tools!A112)</f>
        <v xml:space="preserve">  </v>
      </c>
      <c r="F21" s="169" t="str">
        <f>IF(Tools!AB141="  ","",CONCATENATE(Tools!AB141,Tools!BA141,Tools!AZ141,Tools!AY141,Tools!AX141,Tools!AW141,Tools!AV141,Tools!AU141,Tools!AT141,Tools!AS141,Tools!AR141,Tools!AQ141,Tools!AP141,Tools!AO141,Tools!AN141,Tools!AM141,Tools!AL141,Tools!AK141,Tools!AJ141,Tools!AI141,Tools!AH141,Tools!AG141,Tools!AF141,Tools!AE141,Tools!AD141,Tools!AC141))</f>
        <v/>
      </c>
      <c r="G21" s="144" t="s">
        <v>159</v>
      </c>
      <c r="H21" s="149" t="str">
        <f>CONCATENATE(IF(Tools!AD17="  ","","STN "),Tools!AD17)</f>
        <v>STN 12</v>
      </c>
      <c r="I21" s="170" t="str">
        <f>IF(Tools!AB112="  ","",CONCATENATE(Tools!AB112,Tools!BB112,Tools!BA112,Tools!AZ112,Tools!AY112,Tools!AX112,Tools!AW112,Tools!AV112,Tools!AU112,Tools!AT112,Tools!AS112,Tools!AR112,Tools!AQ112,Tools!AP112,Tools!AO112,Tools!AN112,Tools!AM112,Tools!AL112,Tools!AK112,Tools!AJ112,Tools!AI112,Tools!AH112,Tools!AG112,Tools!AF112,Tools!AE112,Tools!AD112,Tools!AC112))</f>
        <v xml:space="preserve">Spline 167.685,14.19 167.685,12.6 167.685,10.8 167.685,10.1 167.685,9 167.685,7.2 167.635,5.4 167.355,3.6 167.065,2.7 166.535,1.8 165.455,0.9 163.285,0 </v>
      </c>
      <c r="J21" s="143" t="s">
        <v>159</v>
      </c>
      <c r="K21" s="417"/>
      <c r="L21" s="540" t="str">
        <f>IF(Tools!$B170="","",CONCATENATE("Spline ",Tools!B170,Tools!C170,Tools!D170,Tools!E170,Tools!F170,Tools!G170,Tools!H170,Tools!I170,Tools!J170,Tools!K170,Tools!L170,Tools!M170,Tools!N170,Tools!O170,Tools!P170,Tools!Q170,Tools!R170,Tools!S170,Tools!T170,Tools!U170,Tools!V170,Tools!W170,Tools!X170,Tools!Y170,Tools!Z170))</f>
        <v xml:space="preserve">Spline 79.02,0 79.252,1.8 79.526,3.6 79.818,5.4 80.122,7.2 80.743,10.8 81.373,14.4 82.002,18 82.387,20.2 82.633,21.6 83.262,25.2 83.818,28.38 </v>
      </c>
      <c r="M21" s="541"/>
      <c r="N21" s="143"/>
      <c r="O21" s="143"/>
      <c r="P21" s="540" t="str">
        <f>IF(Tools!$AC170="","",CONCATENATE("Spline ",Tools!AC170,Tools!AD170,Tools!AE170,Tools!AF170,Tools!AG170,Tools!AH170,Tools!AI170,Tools!AJ170,Tools!AK170,Tools!AL170,Tools!AM170,Tools!AN170,Tools!AO170,Tools!AP170,Tools!AQ170,Tools!AR170,Tools!AS170,Tools!AT170,Tools!AU170,Tools!AV170,Tools!AW170,Tools!AX170,Tools!AY170,Tools!AZ170,Tools!BA170))</f>
        <v xml:space="preserve">Spline 79.02,0 79.035,1.8 79.087,3.6 79.18,5.4 79.313,7.2 79.705,10.8 80.261,14.4 80.975,18 81.489,20.2 81.848,21.6 82.88,25.2 83.923,28.38 </v>
      </c>
      <c r="Q21" s="541"/>
      <c r="R21" s="143"/>
      <c r="S21" s="143"/>
    </row>
    <row r="22" spans="1:25" x14ac:dyDescent="0.25">
      <c r="A22" s="417" t="s">
        <v>382</v>
      </c>
      <c r="B22" s="417"/>
      <c r="C22" s="500">
        <v>3</v>
      </c>
      <c r="D22" s="417"/>
      <c r="E22" s="145" t="str">
        <f>CONCATENATE(IF(Tools!A113="  ","","WL "),Tools!A113)</f>
        <v xml:space="preserve">  </v>
      </c>
      <c r="F22" s="169" t="str">
        <f>IF(Tools!AB142="  ","",CONCATENATE(Tools!AB142,Tools!BA142,Tools!AZ142,Tools!AY142,Tools!AX142,Tools!AW142,Tools!AV142,Tools!AU142,Tools!AT142,Tools!AS142,Tools!AR142,Tools!AQ142,Tools!AP142,Tools!AO142,Tools!AN142,Tools!AM142,Tools!AL142,Tools!AK142,Tools!AJ142,Tools!AI142,Tools!AH142,Tools!AG142,Tools!AF142,Tools!AE142,Tools!AD142,Tools!AC142))</f>
        <v/>
      </c>
      <c r="G22" s="144" t="s">
        <v>159</v>
      </c>
      <c r="H22" s="149" t="str">
        <f>CONCATENATE(IF(Tools!AD18="  ","","STN "),Tools!AD18)</f>
        <v>STN 13</v>
      </c>
      <c r="I22" s="170" t="str">
        <f>IF(Tools!AB113="  ","",CONCATENATE(Tools!AB113,Tools!BB113,Tools!BA113,Tools!AZ113,Tools!AY113,Tools!AX113,Tools!AW113,Tools!AV113,Tools!AU113,Tools!AT113,Tools!AS113,Tools!AR113,Tools!AQ113,Tools!AP113,Tools!AO113,Tools!AN113,Tools!AM113,Tools!AL113,Tools!AK113,Tools!AJ113,Tools!AI113,Tools!AH113,Tools!AG113,Tools!AF113,Tools!AE113,Tools!AD113,Tools!AC113))</f>
        <v xml:space="preserve">Spline 167.685,14.19 167.665,12.6 167.665,10.8 167.655,10.1 167.615,9 167.405,7.2 167.075,5.4 166.535,3.6 166.115,2.7 165.465,1.8 164.275,0.9 162.135,0 </v>
      </c>
      <c r="J22" s="143" t="s">
        <v>159</v>
      </c>
      <c r="K22" s="417"/>
      <c r="L22" s="540" t="str">
        <f>IF(Tools!$B171="","",CONCATENATE("Spline ",Tools!B171,Tools!C171,Tools!D171,Tools!E171,Tools!F171,Tools!G171,Tools!H171,Tools!I171,Tools!J171,Tools!K171,Tools!L171,Tools!M171,Tools!N171,Tools!O171,Tools!P171,Tools!Q171,Tools!R171,Tools!S171,Tools!T171,Tools!U171,Tools!V171,Tools!W171,Tools!X171,Tools!Y171,Tools!Z171))</f>
        <v xml:space="preserve">Spline 85.605,0 85.807,1.8 86.051,3.6 86.318,5.4 86.599,7.2 87.184,10.8 87.792,14.4 88.413,18 88.797,20.2 89.042,21.6 89.67,25.2 90.226,28.38 </v>
      </c>
      <c r="M22" s="541"/>
      <c r="N22" s="143"/>
      <c r="O22" s="143"/>
      <c r="P22" s="540" t="str">
        <f>IF(Tools!$AC171="","",CONCATENATE("Spline ",Tools!AC171,Tools!AD171,Tools!AE171,Tools!AF171,Tools!AG171,Tools!AH171,Tools!AI171,Tools!AJ171,Tools!AK171,Tools!AL171,Tools!AM171,Tools!AN171,Tools!AO171,Tools!AP171,Tools!AQ171,Tools!AR171,Tools!AS171,Tools!AT171,Tools!AU171,Tools!AV171,Tools!AW171,Tools!AX171,Tools!AY171,Tools!AZ171,Tools!BA171))</f>
        <v xml:space="preserve">Spline 85.605,0 85.618,1.8 85.665,3.6 85.749,5.4 85.873,7.2 86.243,10.8 86.779,14.4 87.484,18 87.997,20.2 88.355,21.6 89.385,25.2 90.428,28.38 </v>
      </c>
      <c r="Q22" s="541"/>
      <c r="R22" s="143"/>
      <c r="S22" s="143"/>
    </row>
    <row r="23" spans="1:25" x14ac:dyDescent="0.25">
      <c r="A23" s="417"/>
      <c r="B23" s="504" t="s">
        <v>383</v>
      </c>
      <c r="D23" s="417"/>
      <c r="E23" s="145" t="str">
        <f>CONCATENATE(IF(Tools!A114="  ","","WL "),Tools!A114)</f>
        <v xml:space="preserve">  </v>
      </c>
      <c r="F23" s="169" t="str">
        <f>IF(Tools!AB143="  ","",CONCATENATE(Tools!AB143,Tools!BA143,Tools!AZ143,Tools!AY143,Tools!AX143,Tools!AW143,Tools!AV143,Tools!AU143,Tools!AT143,Tools!AS143,Tools!AR143,Tools!AQ143,Tools!AP143,Tools!AO143,Tools!AN143,Tools!AM143,Tools!AL143,Tools!AK143,Tools!AJ143,Tools!AI143,Tools!AH143,Tools!AG143,Tools!AF143,Tools!AE143,Tools!AD143,Tools!AC143))</f>
        <v/>
      </c>
      <c r="G23" s="144" t="s">
        <v>159</v>
      </c>
      <c r="H23" s="149" t="str">
        <f>CONCATENATE(IF(Tools!AD19="  ","","STN "),Tools!AD19)</f>
        <v>STN 14</v>
      </c>
      <c r="I23" s="170" t="str">
        <f>IF(Tools!AB114="  ","",CONCATENATE(Tools!AB114,Tools!BB114,Tools!BA114,Tools!AZ114,Tools!AY114,Tools!AX114,Tools!AW114,Tools!AV114,Tools!AU114,Tools!AT114,Tools!AS114,Tools!AR114,Tools!AQ114,Tools!AP114,Tools!AO114,Tools!AN114,Tools!AM114,Tools!AL114,Tools!AK114,Tools!AJ114,Tools!AI114,Tools!AH114,Tools!AG114,Tools!AF114,Tools!AE114,Tools!AD114,Tools!AC114))</f>
        <v xml:space="preserve">Spline 167.665,14.19 167.505,12.6 167.225,10.8 167.105,10.1 166.895,9 166.495,7.2 165.935,5.4 165.185,3.6 164.685,2.7 163.585,1.8 162.725,0.9 160.785,0 </v>
      </c>
      <c r="J23" s="143" t="s">
        <v>159</v>
      </c>
      <c r="K23" s="417"/>
      <c r="L23" s="540" t="str">
        <f>IF(Tools!$B172="","",CONCATENATE("Spline ",Tools!B172,Tools!C172,Tools!D172,Tools!E172,Tools!F172,Tools!G172,Tools!H172,Tools!I172,Tools!J172,Tools!K172,Tools!L172,Tools!M172,Tools!N172,Tools!O172,Tools!P172,Tools!Q172,Tools!R172,Tools!S172,Tools!T172,Tools!U172,Tools!V172,Tools!W172,Tools!X172,Tools!Y172,Tools!Z172))</f>
        <v xml:space="preserve">Spline 92.19,0 92.355,1.8 92.556,3.6 92.776,5.4 93.026,7.2 93.544,10.8 94.103,14.4 94.679,18 95.042,20.2 95.281,21.6 95.891,25.2 96.443,28.38 </v>
      </c>
      <c r="M23" s="541"/>
      <c r="N23" s="143"/>
      <c r="O23" s="143"/>
      <c r="P23" s="540" t="str">
        <f>IF(Tools!$AC172="","",CONCATENATE("Spline ",Tools!AC172,Tools!AD172,Tools!AE172,Tools!AF172,Tools!AG172,Tools!AH172,Tools!AI172,Tools!AJ172,Tools!AK172,Tools!AL172,Tools!AM172,Tools!AN172,Tools!AO172,Tools!AP172,Tools!AQ172,Tools!AR172,Tools!AS172,Tools!AT172,Tools!AU172,Tools!AV172,Tools!AW172,Tools!AX172,Tools!AY172,Tools!AZ172,Tools!BA172))</f>
        <v xml:space="preserve">Spline 92.19,0 92.201,1.8 92.239,3.6 92.309,5.4 92.419,7.2 92.747,10.8 93.238,14.4 93.895,18 94.381,20.2 94.725,21.6 95.73,25.2 96.766,28.38 </v>
      </c>
      <c r="Q23" s="541"/>
      <c r="R23" s="143"/>
      <c r="S23" s="143"/>
    </row>
    <row r="24" spans="1:25" x14ac:dyDescent="0.25">
      <c r="A24" s="417"/>
      <c r="B24" s="417"/>
      <c r="C24" s="417"/>
      <c r="D24" s="417"/>
      <c r="E24" s="145" t="str">
        <f>CONCATENATE(IF(Tools!A115="  ","","WL "),Tools!A115)</f>
        <v xml:space="preserve">  </v>
      </c>
      <c r="F24" s="169" t="str">
        <f>IF(Tools!AB144="  ","",CONCATENATE(Tools!AB144,Tools!BA144,Tools!AZ144,Tools!AY144,Tools!AX144,Tools!AW144,Tools!AV144,Tools!AU144,Tools!AT144,Tools!AS144,Tools!AR144,Tools!AQ144,Tools!AP144,Tools!AO144,Tools!AN144,Tools!AM144,Tools!AL144,Tools!AK144,Tools!AJ144,Tools!AI144,Tools!AH144,Tools!AG144,Tools!AF144,Tools!AE144,Tools!AD144,Tools!AC144))</f>
        <v/>
      </c>
      <c r="G24" s="144" t="s">
        <v>159</v>
      </c>
      <c r="H24" s="149" t="str">
        <f>CONCATENATE(IF(Tools!AD20="  ","","STN "),Tools!AD20)</f>
        <v>STN 15</v>
      </c>
      <c r="I24" s="170" t="str">
        <f>IF(Tools!AB115="  ","",CONCATENATE(Tools!AB115,Tools!BB115,Tools!BA115,Tools!AZ115,Tools!AY115,Tools!AX115,Tools!AW115,Tools!AV115,Tools!AU115,Tools!AT115,Tools!AS115,Tools!AR115,Tools!AQ115,Tools!AP115,Tools!AO115,Tools!AN115,Tools!AM115,Tools!AL115,Tools!AK115,Tools!AJ115,Tools!AI115,Tools!AH115,Tools!AG115,Tools!AF115,Tools!AE115,Tools!AD115,Tools!AC115))</f>
        <v xml:space="preserve">Spline 167.585,14.19 166.725,12.6 166.235,10.8 166.035,10.1 165.695,9 165.075,7.2 164.345,5.4 163.515,3.6 162.975,2.7 162.235,1.8 161.085,0.9 159.235,0 </v>
      </c>
      <c r="J24" s="143" t="s">
        <v>159</v>
      </c>
      <c r="K24" s="417"/>
      <c r="L24" s="540" t="str">
        <f>IF(Tools!$B173="","",CONCATENATE("Spline ",Tools!B173,Tools!C173,Tools!D173,Tools!E173,Tools!F173,Tools!G173,Tools!H173,Tools!I173,Tools!J173,Tools!K173,Tools!L173,Tools!M173,Tools!N173,Tools!O173,Tools!P173,Tools!Q173,Tools!R173,Tools!S173,Tools!T173,Tools!U173,Tools!V173,Tools!W173,Tools!X173,Tools!Y173,Tools!Z173))</f>
        <v xml:space="preserve">Spline 98.775,0 98.898,1.8 99.06,3.6 99.244,5.4 99.446,7.2 99.883,10.8 100.36,14.4 100.873,18 101.2,20.2 101.414,21.6 101.983,25.2 102.515,28.38 </v>
      </c>
      <c r="M24" s="541"/>
      <c r="N24" s="143"/>
      <c r="O24" s="143"/>
      <c r="P24" s="540" t="str">
        <f>IF(Tools!$AC173="","",CONCATENATE("Spline ",Tools!AC173,Tools!AD173,Tools!AE173,Tools!AF173,Tools!AG173,Tools!AH173,Tools!AI173,Tools!AJ173,Tools!AK173,Tools!AL173,Tools!AM173,Tools!AN173,Tools!AO173,Tools!AP173,Tools!AQ173,Tools!AR173,Tools!AS173,Tools!AT173,Tools!AU173,Tools!AV173,Tools!AW173,Tools!AX173,Tools!AY173,Tools!AZ173,Tools!BA173))</f>
        <v xml:space="preserve">Spline 98.775,0 98.783,1.8 98.814,3.6 98.873,5.4 98.961,7.2 99.238,10.8 99.66,14.4 100.242,18 100.68,20.2 100.993,21.6 101.924,25.2 102.924,28.38 </v>
      </c>
      <c r="Q24" s="541"/>
      <c r="R24" s="143"/>
      <c r="S24" s="143"/>
    </row>
    <row r="25" spans="1:25" x14ac:dyDescent="0.25">
      <c r="A25" s="417"/>
      <c r="B25" s="417"/>
      <c r="C25" s="417"/>
      <c r="D25" s="417"/>
      <c r="E25" s="145" t="str">
        <f>CONCATENATE(IF(Tools!A116="  ","","WL "),Tools!A116)</f>
        <v xml:space="preserve">  </v>
      </c>
      <c r="F25" s="169" t="str">
        <f>IF(Tools!AB145="  ","",CONCATENATE(Tools!AB145,Tools!BA145,Tools!AZ145,Tools!AY145,Tools!AX145,Tools!AW145,Tools!AV145,Tools!AU145,Tools!AT145,Tools!AS145,Tools!AR145,Tools!AQ145,Tools!AP145,Tools!AO145,Tools!AN145,Tools!AM145,Tools!AL145,Tools!AK145,Tools!AJ145,Tools!AI145,Tools!AH145,Tools!AG145,Tools!AF145,Tools!AE145,Tools!AD145,Tools!AC145))</f>
        <v/>
      </c>
      <c r="G25" s="144" t="s">
        <v>159</v>
      </c>
      <c r="H25" s="149" t="str">
        <f>CONCATENATE(IF(Tools!AD21="  ","","STN "),Tools!AD21)</f>
        <v>STN 16</v>
      </c>
      <c r="I25" s="170" t="str">
        <f>IF(Tools!AB116="  ","",CONCATENATE(Tools!AB116,Tools!BB116,Tools!BA116,Tools!AZ116,Tools!AY116,Tools!AX116,Tools!AW116,Tools!AV116,Tools!AU116,Tools!AT116,Tools!AS116,Tools!AR116,Tools!AQ116,Tools!AP116,Tools!AO116,Tools!AN116,Tools!AM116,Tools!AL116,Tools!AK116,Tools!AJ116,Tools!AI116,Tools!AH116,Tools!AG116,Tools!AF116,Tools!AE116,Tools!AD116,Tools!AC116))</f>
        <v xml:space="preserve">Spline 167.185,14.19 165.635,12.6 164.865,10.8 164.555,10.1 164.065,9 163.245,7.2 162.455,5.4 161.665,3.6 161.175,2.7 160.535,1.8 159.485,0.9 157.655,0 </v>
      </c>
      <c r="J25" s="143" t="s">
        <v>159</v>
      </c>
      <c r="K25" s="417"/>
      <c r="L25" s="540" t="str">
        <f>IF(Tools!$B174="","",CONCATENATE("Spline ",Tools!B174,Tools!C174,Tools!D174,Tools!E174,Tools!F174,Tools!G174,Tools!H174,Tools!I174,Tools!J174,Tools!K174,Tools!L174,Tools!M174,Tools!N174,Tools!O174,Tools!P174,Tools!Q174,Tools!R174,Tools!S174,Tools!T174,Tools!U174,Tools!V174,Tools!W174,Tools!X174,Tools!Y174,Tools!Z174))</f>
        <v xml:space="preserve">Spline 105.36,0 105.442,1.8 105.562,3.6 105.701,5.4 105.856,7.2 106.197,10.8 106.578,14.4 107,18 107.279,20.2 107.465,21.6 107.97,25.2 108.468,28.38 </v>
      </c>
      <c r="M25" s="541"/>
      <c r="N25" s="143"/>
      <c r="O25" s="143"/>
      <c r="P25" s="540" t="str">
        <f>IF(Tools!$AC174="","",CONCATENATE("Spline ",Tools!AC174,Tools!AD174,Tools!AE174,Tools!AF174,Tools!AG174,Tools!AH174,Tools!AI174,Tools!AJ174,Tools!AK174,Tools!AL174,Tools!AM174,Tools!AN174,Tools!AO174,Tools!AP174,Tools!AQ174,Tools!AR174,Tools!AS174,Tools!AT174,Tools!AU174,Tools!AV174,Tools!AW174,Tools!AX174,Tools!AY174,Tools!AZ174,Tools!BA174))</f>
        <v xml:space="preserve">Spline 105.36,0 105.366,1.8 105.389,3.6 105.433,5.4 105.501,7.2 105.717,10.8 106.054,14.4 106.534,18 106.907,20.2 107.179,21.6 108.007,25.2 108.943,28.38 </v>
      </c>
      <c r="Q25" s="541"/>
      <c r="R25" s="143"/>
      <c r="S25" s="143"/>
    </row>
    <row r="26" spans="1:25" x14ac:dyDescent="0.25">
      <c r="A26" s="143"/>
      <c r="B26" s="417"/>
      <c r="C26" s="417"/>
      <c r="D26" s="417"/>
      <c r="E26" s="145" t="str">
        <f>CONCATENATE(IF(Tools!A117="  ","","WL "),Tools!A117)</f>
        <v xml:space="preserve">  </v>
      </c>
      <c r="F26" s="169" t="str">
        <f>IF(Tools!AB146="  ","",CONCATENATE(Tools!AB146,Tools!BA146,Tools!AZ146,Tools!AY146,Tools!AX146,Tools!AW146,Tools!AV146,Tools!AU146,Tools!AT146,Tools!AS146,Tools!AR146,Tools!AQ146,Tools!AP146,Tools!AO146,Tools!AN146,Tools!AM146,Tools!AL146,Tools!AK146,Tools!AJ146,Tools!AI146,Tools!AH146,Tools!AG146,Tools!AF146,Tools!AE146,Tools!AD146,Tools!AC146))</f>
        <v/>
      </c>
      <c r="G26" s="144" t="s">
        <v>159</v>
      </c>
      <c r="H26" s="149" t="str">
        <f>CONCATENATE(IF(Tools!AD22="  ","","STN "),Tools!AD22)</f>
        <v>STN 17</v>
      </c>
      <c r="I26" s="170" t="str">
        <f>IF(Tools!AB117="  ","",CONCATENATE(Tools!AB117,Tools!BB117,Tools!BA117,Tools!AZ117,Tools!AY117,Tools!AX117,Tools!AW117,Tools!AV117,Tools!AU117,Tools!AT117,Tools!AS117,Tools!AR117,Tools!AQ117,Tools!AP117,Tools!AO117,Tools!AN117,Tools!AM117,Tools!AL117,Tools!AK117,Tools!AJ117,Tools!AI117,Tools!AH117,Tools!AG117,Tools!AF117,Tools!AE117,Tools!AD117,Tools!AC117))</f>
        <v xml:space="preserve">Spline 166.375,14.19 164.165,12.6 163.075,10.8 162.655,10.1 162.025,9 161.125,7.2 160.465,5.4 159.865,3.6 159.495,2.7 158.955,1.8 158.065,0.9 156.085,0 </v>
      </c>
      <c r="J26" s="143" t="s">
        <v>159</v>
      </c>
      <c r="K26" s="417"/>
      <c r="L26" s="540" t="str">
        <f>IF(Tools!$B175="","",CONCATENATE("Spline ",Tools!B175,Tools!C175,Tools!D175,Tools!E175,Tools!F175,Tools!G175,Tools!H175,Tools!I175,Tools!J175,Tools!K175,Tools!L175,Tools!M175,Tools!N175,Tools!O175,Tools!P175,Tools!Q175,Tools!R175,Tools!S175,Tools!T175,Tools!U175,Tools!V175,Tools!W175,Tools!X175,Tools!Y175,Tools!Z175))</f>
        <v xml:space="preserve">Spline 111.945,0 111.99,1.8 112.071,3.6 112.168,5.4 112.278,7.2 112.521,10.8 112.797,14.4 113.111,18 113.328,20.2 113.477,21.6 113.897,25.2 114.344,28.38 </v>
      </c>
      <c r="M26" s="541"/>
      <c r="N26" s="143"/>
      <c r="O26" s="143"/>
      <c r="P26" s="540" t="str">
        <f>IF(Tools!$AC175="","",CONCATENATE("Spline ",Tools!AC175,Tools!AD175,Tools!AE175,Tools!AF175,Tools!AG175,Tools!AH175,Tools!AI175,Tools!AJ175,Tools!AK175,Tools!AL175,Tools!AM175,Tools!AN175,Tools!AO175,Tools!AP175,Tools!AQ175,Tools!AR175,Tools!AS175,Tools!AT175,Tools!AU175,Tools!AV175,Tools!AW175,Tools!AX175,Tools!AY175,Tools!AZ175,Tools!BA175))</f>
        <v xml:space="preserve">Spline 111.945,0 111.948,1.8 111.964,3.6 111.995,5.4 112.043,7.2 112.197,10.8 112.441,14.4 112.798,18 113.089,20.2 113.306,21.6 113.997,25.2 114.836,28.38 </v>
      </c>
      <c r="Q26" s="541"/>
      <c r="R26" s="143"/>
      <c r="S26" s="143"/>
    </row>
    <row r="27" spans="1:25" x14ac:dyDescent="0.25">
      <c r="A27" s="143"/>
      <c r="B27" s="417"/>
      <c r="C27" s="417"/>
      <c r="D27" s="417"/>
      <c r="E27" s="145" t="str">
        <f>CONCATENATE(IF(Tools!A118="  ","","WL "),Tools!A118)</f>
        <v xml:space="preserve">  </v>
      </c>
      <c r="F27" s="169" t="str">
        <f>IF(Tools!AB147="  ","",CONCATENATE(Tools!AB147,Tools!BA147,Tools!AZ147,Tools!AY147,Tools!AX147,Tools!AW147,Tools!AV147,Tools!AU147,Tools!AT147,Tools!AS147,Tools!AR147,Tools!AQ147,Tools!AP147,Tools!AO147,Tools!AN147,Tools!AM147,Tools!AL147,Tools!AK147,Tools!AJ147,Tools!AI147,Tools!AH147,Tools!AG147,Tools!AF147,Tools!AE147,Tools!AD147,Tools!AC147))</f>
        <v/>
      </c>
      <c r="G27" s="144" t="s">
        <v>159</v>
      </c>
      <c r="H27" s="149" t="str">
        <f>CONCATENATE(IF(Tools!AD23="  ","","STN "),Tools!AD23)</f>
        <v>STN 18</v>
      </c>
      <c r="I27" s="170" t="str">
        <f>IF(Tools!AB118="  ","",CONCATENATE(Tools!AB118,Tools!BB118,Tools!BA118,Tools!AZ118,Tools!AY118,Tools!AX118,Tools!AW118,Tools!AV118,Tools!AU118,Tools!AT118,Tools!AS118,Tools!AR118,Tools!AQ118,Tools!AP118,Tools!AO118,Tools!AN118,Tools!AM118,Tools!AL118,Tools!AK118,Tools!AJ118,Tools!AI118,Tools!AH118,Tools!AG118,Tools!AF118,Tools!AE118,Tools!AD118,Tools!AC118))</f>
        <v xml:space="preserve">Spline 165.205,14.19 162.275,12.6 160.905,10.8 160.405,10.1 159.715,9 158.945,7.2 158.685,5.4 158.405,3.6 158.125,2.7 157.665,1.8 156.925,0.9 155.435,0 </v>
      </c>
      <c r="J27" s="143" t="s">
        <v>159</v>
      </c>
      <c r="K27" s="417"/>
      <c r="L27" s="540" t="str">
        <f>IF(Tools!$B176="","",CONCATENATE("Spline ",Tools!B176,Tools!C176,Tools!D176,Tools!E176,Tools!F176,Tools!G176,Tools!H176,Tools!I176,Tools!J176,Tools!K176,Tools!L176,Tools!M176,Tools!N176,Tools!O176,Tools!P176,Tools!Q176,Tools!R176,Tools!S176,Tools!T176,Tools!U176,Tools!V176,Tools!W176,Tools!X176,Tools!Y176,Tools!Z176))</f>
        <v xml:space="preserve">Spline 118.53,0 118.551,1.8 118.599,3.6 118.663,5.4 118.736,7.2 118.897,10.8 119.07,14.4 119.267,18 119.412,20.2 119.517,21.6 119.832,25.2 120.21,28.38 </v>
      </c>
      <c r="M27" s="541"/>
      <c r="N27" s="143"/>
      <c r="O27" s="143"/>
      <c r="P27" s="540" t="str">
        <f>IF(Tools!$AC176="","",CONCATENATE("Spline ",Tools!AC176,Tools!AD176,Tools!AE176,Tools!AF176,Tools!AG176,Tools!AH176,Tools!AI176,Tools!AJ176,Tools!AK176,Tools!AL176,Tools!AM176,Tools!AN176,Tools!AO176,Tools!AP176,Tools!AQ176,Tools!AR176,Tools!AS176,Tools!AT176,Tools!AU176,Tools!AV176,Tools!AW176,Tools!AX176,Tools!AY176,Tools!AZ176,Tools!BA176))</f>
        <v xml:space="preserve">Spline 118.53,0 118.532,1.8 118.541,3.6 118.561,5.4 118.594,7.2 118.695,10.8 118.848,14.4 119.073,18 119.267,20.2 119.421,21.6 119.939,25.2 120.649,28.38 </v>
      </c>
      <c r="Q27" s="541"/>
      <c r="R27" s="143"/>
      <c r="S27" s="143"/>
    </row>
    <row r="28" spans="1:25" x14ac:dyDescent="0.25">
      <c r="A28" s="149"/>
      <c r="B28" s="417"/>
      <c r="C28" s="417"/>
      <c r="D28" s="417"/>
      <c r="E28" s="145" t="str">
        <f>CONCATENATE(IF(Tools!A119="  ","","WL "),Tools!A119)</f>
        <v xml:space="preserve">  </v>
      </c>
      <c r="F28" s="169" t="str">
        <f>IF(Tools!AB148="  ","",CONCATENATE(Tools!AB148,Tools!BA148,Tools!AZ148,Tools!AY148,Tools!AX148,Tools!AW148,Tools!AV148,Tools!AU148,Tools!AT148,Tools!AS148,Tools!AR148,Tools!AQ148,Tools!AP148,Tools!AO148,Tools!AN148,Tools!AM148,Tools!AL148,Tools!AK148,Tools!AJ148,Tools!AI148,Tools!AH148,Tools!AG148,Tools!AF148,Tools!AE148,Tools!AD148,Tools!AC148))</f>
        <v/>
      </c>
      <c r="G28" s="144" t="s">
        <v>159</v>
      </c>
      <c r="H28" s="149" t="str">
        <f>CONCATENATE(IF(Tools!AD24="  ","","STN "),Tools!AD24)</f>
        <v>STN 18.5</v>
      </c>
      <c r="I28" s="170" t="str">
        <f>IF(Tools!AB119="  ","",CONCATENATE(Tools!AB119,Tools!BB119,Tools!BA119,Tools!AZ119,Tools!AY119,Tools!AX119,Tools!AW119,Tools!AV119,Tools!AU119,Tools!AT119,Tools!AS119,Tools!AR119,Tools!AQ119,Tools!AP119,Tools!AO119,Tools!AN119,Tools!AM119,Tools!AL119,Tools!AK119,Tools!AJ119,Tools!AI119,Tools!AH119,Tools!AG119,Tools!AF119,Tools!AE119,Tools!AD119,Tools!AC119))</f>
        <v xml:space="preserve">Spline 163.535,14.19 161.145,12.6 159.735,10.8 159.225,10.1 158.555,9 157.985,7.2 158.005,5.4 157.835,3.6 157.575,2.7 157.135,1.8 156.475,0.9 155.435,0.32 </v>
      </c>
      <c r="J28" s="143" t="s">
        <v>159</v>
      </c>
      <c r="K28" s="417"/>
      <c r="L28" s="540" t="str">
        <f>IF(Tools!$B177="","",CONCATENATE("Spline ",Tools!B177,Tools!C177,Tools!D177,Tools!E177,Tools!F177,Tools!G177,Tools!H177,Tools!I177,Tools!J177,Tools!K177,Tools!L177,Tools!M177,Tools!N177,Tools!O177,Tools!P177,Tools!Q177,Tools!R177,Tools!S177,Tools!T177,Tools!U177,Tools!V177,Tools!W177,Tools!X177,Tools!Y177,Tools!Z177))</f>
        <v xml:space="preserve">Spline 121.823,0 121.831,1.8 121.867,3.6 121.917,5.4 121.975,7.2 122.105,10.8 122.236,14.4 122.377,18 122.486,20.2 122.568,21.6 122.823,25.2 123.137,28.38 </v>
      </c>
      <c r="M28" s="541"/>
      <c r="N28" s="143"/>
      <c r="O28" s="143"/>
      <c r="P28" s="540" t="str">
        <f>IF(Tools!$AC177="","",CONCATENATE("Spline ",Tools!AC177,Tools!AD177,Tools!AE177,Tools!AF177,Tools!AG177,Tools!AH177,Tools!AI177,Tools!AJ177,Tools!AK177,Tools!AL177,Tools!AM177,Tools!AN177,Tools!AO177,Tools!AP177,Tools!AQ177,Tools!AR177,Tools!AS177,Tools!AT177,Tools!AU177,Tools!AV177,Tools!AW177,Tools!AX177,Tools!AY177,Tools!AZ177,Tools!BA177))</f>
        <v xml:space="preserve">Spline 121.823,0 121.823,1.8 121.83,3.6 121.846,5.4 121.872,7.2 121.954,10.8 122.07,14.4 122.231,18 122.376,20.2 122.495,21.6 122.917,25.2 123.507,28.38 </v>
      </c>
      <c r="Q28" s="541"/>
      <c r="R28" s="143"/>
      <c r="S28" s="143"/>
    </row>
    <row r="29" spans="1:25" x14ac:dyDescent="0.25">
      <c r="A29" s="143"/>
      <c r="B29" s="417"/>
      <c r="C29" s="417"/>
      <c r="D29" s="417"/>
      <c r="E29" s="145" t="str">
        <f>CONCATENATE(IF(Tools!A120="  ","","WL "),Tools!A120)</f>
        <v xml:space="preserve">  </v>
      </c>
      <c r="F29" s="169" t="str">
        <f>IF(Tools!AB149="  ","",CONCATENATE(Tools!AB149,Tools!BA149,Tools!AZ149,Tools!AY149,Tools!AX149,Tools!AW149,Tools!AV149,Tools!AU149,Tools!AT149,Tools!AS149,Tools!AR149,Tools!AQ149,Tools!AP149,Tools!AO149,Tools!AN149,Tools!AM149,Tools!AL149,Tools!AK149,Tools!AJ149,Tools!AI149,Tools!AH149,Tools!AG149,Tools!AF149,Tools!AE149,Tools!AD149,Tools!AC149))</f>
        <v/>
      </c>
      <c r="G29" s="144" t="s">
        <v>159</v>
      </c>
      <c r="H29" s="149" t="str">
        <f>CONCATENATE(IF(Tools!AD25="  ","","STN "),Tools!AD25)</f>
        <v>STN 19</v>
      </c>
      <c r="I29" s="170" t="str">
        <f>IF(Tools!AB120="  ","",CONCATENATE(Tools!AB120,Tools!BB120,Tools!BA120,Tools!AZ120,Tools!AY120,Tools!AX120,Tools!AW120,Tools!AV120,Tools!AU120,Tools!AT120,Tools!AS120,Tools!AR120,Tools!AQ120,Tools!AP120,Tools!AO120,Tools!AN120,Tools!AM120,Tools!AL120,Tools!AK120,Tools!AJ120,Tools!AI120,Tools!AH120,Tools!AG120,Tools!AF120,Tools!AE120,Tools!AD120,Tools!AC120))</f>
        <v xml:space="preserve">Spline 161.195,14.19 159.855,12.6 158.535,10.8 158.045,10.1 157.435,9 157.235,7.2 157.535,5.4 157.395,3.6 157.115,2.7 156.705,1.8 156.075,0.9 155.435,0.66 </v>
      </c>
      <c r="J29" s="143" t="s">
        <v>159</v>
      </c>
      <c r="K29" s="417"/>
      <c r="L29" s="540" t="str">
        <f>IF(Tools!$B178="","",CONCATENATE("Spline ",Tools!B178,Tools!C178,Tools!D178,Tools!E178,Tools!F178,Tools!G178,Tools!H178,Tools!I178,Tools!J178,Tools!K178,Tools!L178,Tools!M178,Tools!N178,Tools!O178,Tools!P178,Tools!Q178,Tools!R178,Tools!S178,Tools!T178,Tools!U178,Tools!V178,Tools!W178,Tools!X178,Tools!Y178,Tools!Z178))</f>
        <v xml:space="preserve">Spline 125.115,0 125.117,1.8 125.142,3.6 125.181,5.4 125.228,7.2 125.334,10.8 125.436,14.4 125.528,18 125.601,20.2 125.657,21.6 125.851,25.2 126.082,28.38 </v>
      </c>
      <c r="M29" s="541"/>
      <c r="N29" s="143"/>
      <c r="O29" s="143"/>
      <c r="P29" s="540" t="str">
        <f>IF(Tools!$AC178="","",CONCATENATE("Spline ",Tools!AC178,Tools!AD178,Tools!AE178,Tools!AF178,Tools!AG178,Tools!AH178,Tools!AI178,Tools!AJ178,Tools!AK178,Tools!AL178,Tools!AM178,Tools!AN178,Tools!AO178,Tools!AP178,Tools!AQ178,Tools!AR178,Tools!AS178,Tools!AT178,Tools!AU178,Tools!AV178,Tools!AW178,Tools!AX178,Tools!AY178,Tools!AZ178,Tools!BA178))</f>
        <v xml:space="preserve">Spline 125.115,0 125.115,1.8 125.12,3.6 125.132,5.4 125.153,7.2 125.221,10.8 125.31,14.4 125.415,18 125.513,20.2 125.594,21.6 125.914,25.2 126.348,28.38 </v>
      </c>
      <c r="Q29" s="541"/>
      <c r="R29" s="143"/>
      <c r="S29" s="143"/>
    </row>
    <row r="30" spans="1:25" x14ac:dyDescent="0.25">
      <c r="A30" s="143"/>
      <c r="B30" s="417"/>
      <c r="C30" s="417"/>
      <c r="D30" s="417"/>
      <c r="E30" s="145" t="str">
        <f>CONCATENATE(IF(Tools!A121="  ","","WL "),Tools!A121)</f>
        <v xml:space="preserve">  </v>
      </c>
      <c r="F30" s="169" t="str">
        <f>IF(Tools!AB150="  ","",CONCATENATE(Tools!AB150,Tools!BA150,Tools!AZ150,Tools!AY150,Tools!AX150,Tools!AW150,Tools!AV150,Tools!AU150,Tools!AT150,Tools!AS150,Tools!AR150,Tools!AQ150,Tools!AP150,Tools!AO150,Tools!AN150,Tools!AM150,Tools!AL150,Tools!AK150,Tools!AJ150,Tools!AI150,Tools!AH150,Tools!AG150,Tools!AF150,Tools!AE150,Tools!AD150,Tools!AC150))</f>
        <v/>
      </c>
      <c r="G30" s="144" t="s">
        <v>159</v>
      </c>
      <c r="H30" s="149" t="str">
        <f>CONCATENATE(IF(Tools!AD26="  ","","STN "),Tools!AD26)</f>
        <v>STN 19.5</v>
      </c>
      <c r="I30" s="170" t="str">
        <f>IF(Tools!AB121="  ","",CONCATENATE(Tools!AB121,Tools!BB121,Tools!BA121,Tools!AZ121,Tools!AY121,Tools!AX121,Tools!AW121,Tools!AV121,Tools!AU121,Tools!AT121,Tools!AS121,Tools!AR121,Tools!AQ121,Tools!AP121,Tools!AO121,Tools!AN121,Tools!AM121,Tools!AL121,Tools!AK121,Tools!AJ121,Tools!AI121,Tools!AH121,Tools!AG121,Tools!AF121,Tools!AE121,Tools!AD121,Tools!AC121))</f>
        <v xml:space="preserve">Spline 159.535,14.19 158.225,12.6 157.175,10.8 156.875,10.1 156.435,9 156.745,7.2 157.205,5.4 157.035,3.6 156.725,2.7 156.295,1.8 155.435,1 </v>
      </c>
      <c r="J30" s="143" t="s">
        <v>159</v>
      </c>
      <c r="K30" s="417"/>
      <c r="L30" s="540" t="str">
        <f>IF(Tools!$B179="","",CONCATENATE("Spline ",Tools!B179,Tools!C179,Tools!D179,Tools!E179,Tools!F179,Tools!G179,Tools!H179,Tools!I179,Tools!J179,Tools!K179,Tools!L179,Tools!M179,Tools!N179,Tools!O179,Tools!P179,Tools!Q179,Tools!R179,Tools!S179,Tools!T179,Tools!U179,Tools!V179,Tools!W179,Tools!X179,Tools!Y179,Tools!Z179))</f>
        <v xml:space="preserve">Spline 128.408,0 128.408,1.8 128.417,3.6 128.445,5.4 128.483,7.2 128.572,10.8 128.654,14.4 128.709,18 128.748,20.2 128.775,21.6 128.894,25.2 129.05,28.38 </v>
      </c>
      <c r="M30" s="541"/>
      <c r="N30" s="143"/>
      <c r="O30" s="143"/>
      <c r="P30" s="540" t="str">
        <f>IF(Tools!$AC179="","",CONCATENATE("Spline ",Tools!AC179,Tools!AD179,Tools!AE179,Tools!AF179,Tools!AG179,Tools!AH179,Tools!AI179,Tools!AJ179,Tools!AK179,Tools!AL179,Tools!AM179,Tools!AN179,Tools!AO179,Tools!AP179,Tools!AQ179,Tools!AR179,Tools!AS179,Tools!AT179,Tools!AU179,Tools!AV179,Tools!AW179,Tools!AX179,Tools!AY179,Tools!AZ179,Tools!BA179))</f>
        <v xml:space="preserve">Spline 128.408,0 128.408,1.8 128.41,3.6 128.419,5.4 128.435,7.2 128.492,10.8 128.563,14.4 128.627,18 128.678,20.2 128.717,21.6 128.913,25.2 129.208,28.38 </v>
      </c>
      <c r="Q30" s="541"/>
      <c r="R30" s="143"/>
      <c r="S30" s="143"/>
    </row>
    <row r="31" spans="1:25" x14ac:dyDescent="0.25">
      <c r="A31" s="143"/>
      <c r="B31" s="417"/>
      <c r="C31" s="417"/>
      <c r="D31" s="417"/>
      <c r="E31" s="157" t="str">
        <f>CONCATENATE(IF(Tools!A122="  ","","WL "),Tools!A122)</f>
        <v xml:space="preserve">  </v>
      </c>
      <c r="F31" s="184" t="str">
        <f>IF(Tools!AB151="  ","",CONCATENATE(Tools!AB151,Tools!BA151,Tools!AZ151,Tools!AY151,Tools!AX151,Tools!AW151,Tools!AV151,Tools!AU151,Tools!AT151,Tools!AS151,Tools!AR151,Tools!AQ151,Tools!AP151,Tools!AO151,Tools!AN151,Tools!AM151,Tools!AL151,Tools!AK151,Tools!AJ151,Tools!AI151,Tools!AH151,Tools!AG151,Tools!AF151,Tools!AE151,Tools!AD151,Tools!AC151))</f>
        <v/>
      </c>
      <c r="G31" s="144" t="s">
        <v>159</v>
      </c>
      <c r="H31" s="149" t="str">
        <f>CONCATENATE(IF(Tools!AD27="  ","","STN "),Tools!AD27)</f>
        <v>STN 20</v>
      </c>
      <c r="I31" s="185" t="str">
        <f>IF(Tools!AB122="  ","",CONCATENATE(Tools!AB122,Tools!BB122,Tools!BA122,Tools!AZ122,Tools!AY122,Tools!AX122,Tools!AW122,Tools!AV122,Tools!AU122,Tools!AT122,Tools!AS122,Tools!AR122,Tools!AQ122,Tools!AP122,Tools!AO122,Tools!AN122,Tools!AM122,Tools!AL122,Tools!AK122,Tools!AJ122,Tools!AI122,Tools!AH122,Tools!AG122,Tools!AF122,Tools!AE122,Tools!AD122,Tools!AC122))</f>
        <v xml:space="preserve">Spline 157.215,14.19 156.285,12.6 155.685,10.8 155.435,10.1 155.435,9 156.475,7.2 156.885,5.4 156.585,3.6 156.195,2.7 155.435,2 </v>
      </c>
      <c r="J31" s="143" t="s">
        <v>159</v>
      </c>
      <c r="K31" s="417"/>
      <c r="L31" s="542" t="str">
        <f>IF(Tools!$B180="","",CONCATENATE("Spline ",Tools!B180,Tools!C180,Tools!D180,Tools!E180,Tools!F180,Tools!G180,Tools!H180,Tools!I180,Tools!J180,Tools!K180,Tools!L180,Tools!M180,Tools!N180,Tools!O180,Tools!P180,Tools!Q180,Tools!R180,Tools!S180,Tools!T180,Tools!U180,Tools!V180,Tools!W180,Tools!X180,Tools!Y180,Tools!Z180))</f>
        <v xml:space="preserve">Spline 131.7,0 131.7,1.8 131.7,3.6 131.708,5.4 131.732,7.2 131.802,10.8 131.869,14.4 131.89,18 131.89,20.2 131.895,21.6 131.924,25.2 131.983,28.38 </v>
      </c>
      <c r="M31" s="543"/>
      <c r="N31" s="143"/>
      <c r="O31" s="143"/>
      <c r="P31" s="542" t="str">
        <f>IF(Tools!$AC180="","",CONCATENATE("Spline ",Tools!AC180,Tools!AD180,Tools!AE180,Tools!AF180,Tools!AG180,Tools!AH180,Tools!AI180,Tools!AJ180,Tools!AK180,Tools!AL180,Tools!AM180,Tools!AN180,Tools!AO180,Tools!AP180,Tools!AQ180,Tools!AR180,Tools!AS180,Tools!AT180,Tools!AU180,Tools!AV180,Tools!AW180,Tools!AX180,Tools!AY180,Tools!AZ180,Tools!BA180))</f>
        <v xml:space="preserve">Spline 131.7,0 131.7,1.8 131.7,3.6 131.703,5.4 131.714,7.2 131.758,10.8 131.817,14.4 131.84,18 131.84,20.2 131.847,21.6 131.894,25.2 132.006,28.38 </v>
      </c>
      <c r="Q31" s="543"/>
      <c r="R31" s="143"/>
      <c r="S31" s="143"/>
    </row>
    <row r="32" spans="1:25" x14ac:dyDescent="0.25">
      <c r="A32" s="417"/>
      <c r="B32" s="417"/>
      <c r="C32" s="417"/>
      <c r="D32" s="417"/>
      <c r="E32" s="417"/>
      <c r="F32" s="417"/>
      <c r="G32" s="417"/>
      <c r="H32" s="417"/>
      <c r="I32" s="417"/>
      <c r="K32" s="417"/>
      <c r="L32" s="417"/>
      <c r="M32" s="417"/>
      <c r="N32" s="417"/>
      <c r="O32" s="417"/>
      <c r="P32" s="417"/>
      <c r="Q32" s="417"/>
      <c r="R32" s="417"/>
      <c r="S32" s="417"/>
      <c r="T32" s="417"/>
      <c r="U32" s="417"/>
      <c r="V32" s="417"/>
      <c r="W32" s="417"/>
      <c r="X32" s="417"/>
      <c r="Y32" s="417"/>
    </row>
    <row r="33" spans="1:25" x14ac:dyDescent="0.25">
      <c r="A33" s="417"/>
      <c r="B33" s="417"/>
      <c r="C33" s="417"/>
      <c r="D33" s="417"/>
      <c r="E33" s="417"/>
      <c r="F33" s="417"/>
      <c r="G33" s="417"/>
      <c r="H33" s="417"/>
      <c r="I33" s="417"/>
      <c r="J33" s="417"/>
      <c r="K33" s="417"/>
      <c r="L33" s="417"/>
      <c r="M33" s="417"/>
      <c r="N33" s="417"/>
      <c r="O33" s="417"/>
      <c r="P33" s="417"/>
      <c r="Q33" s="417"/>
      <c r="R33" s="417"/>
      <c r="S33" s="417"/>
      <c r="T33" s="417"/>
      <c r="U33" s="417"/>
      <c r="V33" s="417"/>
      <c r="W33" s="417"/>
      <c r="X33" s="417"/>
      <c r="Y33" s="417"/>
    </row>
    <row r="34" spans="1:25" x14ac:dyDescent="0.25">
      <c r="A34" s="417"/>
      <c r="B34" s="417"/>
      <c r="C34" s="417"/>
      <c r="D34" s="417"/>
      <c r="E34" s="417"/>
      <c r="F34" s="417"/>
      <c r="G34" s="417"/>
      <c r="H34" s="417"/>
      <c r="I34" s="417"/>
      <c r="J34" s="417"/>
      <c r="K34" s="417"/>
      <c r="L34" s="417"/>
      <c r="M34" s="417"/>
      <c r="N34" s="417"/>
      <c r="O34" s="417"/>
      <c r="P34" s="417"/>
      <c r="Q34" s="417"/>
      <c r="R34" s="417"/>
      <c r="S34" s="417"/>
      <c r="T34" s="417"/>
      <c r="U34" s="417"/>
      <c r="V34" s="417"/>
      <c r="W34" s="417"/>
      <c r="X34" s="417"/>
      <c r="Y34" s="417"/>
    </row>
  </sheetData>
  <sheetProtection password="CC2F" sheet="1" objects="1" scenarios="1"/>
  <mergeCells count="52">
    <mergeCell ref="L30:M30"/>
    <mergeCell ref="P30:Q30"/>
    <mergeCell ref="L31:M31"/>
    <mergeCell ref="P31:Q31"/>
    <mergeCell ref="L27:M27"/>
    <mergeCell ref="P27:Q27"/>
    <mergeCell ref="L28:M28"/>
    <mergeCell ref="P28:Q28"/>
    <mergeCell ref="L29:M29"/>
    <mergeCell ref="P29:Q29"/>
    <mergeCell ref="L24:M24"/>
    <mergeCell ref="P24:Q24"/>
    <mergeCell ref="L25:M25"/>
    <mergeCell ref="P25:Q25"/>
    <mergeCell ref="L26:M26"/>
    <mergeCell ref="P26:Q26"/>
    <mergeCell ref="L21:M21"/>
    <mergeCell ref="P21:Q21"/>
    <mergeCell ref="L22:M22"/>
    <mergeCell ref="P22:Q22"/>
    <mergeCell ref="L23:M23"/>
    <mergeCell ref="P23:Q23"/>
    <mergeCell ref="L18:M18"/>
    <mergeCell ref="P18:Q18"/>
    <mergeCell ref="L19:M19"/>
    <mergeCell ref="P19:Q19"/>
    <mergeCell ref="L20:M20"/>
    <mergeCell ref="P20:Q20"/>
    <mergeCell ref="L15:M15"/>
    <mergeCell ref="P15:Q15"/>
    <mergeCell ref="L16:M16"/>
    <mergeCell ref="P16:Q16"/>
    <mergeCell ref="L17:M17"/>
    <mergeCell ref="P17:Q17"/>
    <mergeCell ref="L12:M12"/>
    <mergeCell ref="P12:Q12"/>
    <mergeCell ref="L13:M13"/>
    <mergeCell ref="P13:Q13"/>
    <mergeCell ref="L14:M14"/>
    <mergeCell ref="P14:Q14"/>
    <mergeCell ref="L9:M9"/>
    <mergeCell ref="P9:Q9"/>
    <mergeCell ref="L10:M10"/>
    <mergeCell ref="P10:Q10"/>
    <mergeCell ref="L11:M11"/>
    <mergeCell ref="P11:Q11"/>
    <mergeCell ref="E6:F6"/>
    <mergeCell ref="H6:I6"/>
    <mergeCell ref="L7:M7"/>
    <mergeCell ref="P7:Q7"/>
    <mergeCell ref="L8:M8"/>
    <mergeCell ref="P8:Q8"/>
  </mergeCells>
  <dataValidations count="7">
    <dataValidation type="list" showInputMessage="1" showErrorMessage="1" errorTitle="Number of buttocks" error="Solutions:_x000a_&gt; Enter positive whole number between 1~9 (or zero if no buttocks)" promptTitle="No. of Buttocks" prompt=" 0~9" sqref="C2">
      <formula1>"Nill (0),1,2,3,4,5,6,7,8,9"</formula1>
    </dataValidation>
    <dataValidation type="decimal" operator="greaterThan" allowBlank="1" showInputMessage="1" showErrorMessage="1" errorTitle="Station Scale factor (x-axis)" error="Enter a positive number." sqref="G2">
      <formula1>0</formula1>
    </dataValidation>
    <dataValidation type="decimal" operator="greaterThan" allowBlank="1" showInputMessage="1" showErrorMessage="1" errorTitle="Y axis scale factor" error="Enter a positive number." sqref="G3">
      <formula1>0</formula1>
    </dataValidation>
    <dataValidation type="decimal" operator="greaterThan" allowBlank="1" showInputMessage="1" showErrorMessage="1" errorTitle="Bonjean Area scale factor" error="Enter a positive number." sqref="M2">
      <formula1>0</formula1>
    </dataValidation>
    <dataValidation type="decimal" allowBlank="1" showInputMessage="1" showErrorMessage="1" errorTitle="Clearance till next station" error="Enter a positive number between 0~ 90" promptTitle="Clearance till next station" prompt="Allowed range: 0~90" sqref="M4">
      <formula1>0</formula1>
      <formula2>90</formula2>
    </dataValidation>
    <dataValidation type="decimal" operator="greaterThan" allowBlank="1" showInputMessage="1" showErrorMessage="1" errorTitle="Bonjean Moment Scale Factor" error="Enter a positive number." sqref="R2">
      <formula1>0</formula1>
    </dataValidation>
    <dataValidation type="decimal" allowBlank="1" showInputMessage="1" showErrorMessage="1" errorTitle="Clearance to adjacent station" error="Enter a positive number between 0 ~ 90" promptTitle="Clearance till next station" prompt="Allowed range: 0~90" sqref="R4">
      <formula1>0</formula1>
      <formula2>90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90" r:id="rId4" name="Button 2">
              <controlPr defaultSize="0" print="0" autoFill="0" autoPict="0" macro="[0]!CopyLinesplanGrid">
                <anchor moveWithCells="1" sizeWithCells="1">
                  <from>
                    <xdr:col>0</xdr:col>
                    <xdr:colOff>0</xdr:colOff>
                    <xdr:row>6</xdr:row>
                    <xdr:rowOff>0</xdr:rowOff>
                  </from>
                  <to>
                    <xdr:col>2</xdr:col>
                    <xdr:colOff>219075</xdr:colOff>
                    <xdr:row>7</xdr:row>
                    <xdr:rowOff>28575</xdr:rowOff>
                  </to>
                </anchor>
              </controlPr>
            </control>
          </mc:Choice>
        </mc:AlternateContent>
        <mc:AlternateContent xmlns:mc="http://schemas.openxmlformats.org/markup-compatibility/2006">
          <mc:Choice Requires="x14">
            <control shapeId="63491" r:id="rId5" name="Button 3">
              <controlPr defaultSize="0" print="0" autoFill="0" autoPict="0" macro="[0]!HalfbreadthCopy">
                <anchor moveWithCells="1" sizeWithCells="1">
                  <from>
                    <xdr:col>0</xdr:col>
                    <xdr:colOff>0</xdr:colOff>
                    <xdr:row>7</xdr:row>
                    <xdr:rowOff>95250</xdr:rowOff>
                  </from>
                  <to>
                    <xdr:col>2</xdr:col>
                    <xdr:colOff>219075</xdr:colOff>
                    <xdr:row>8</xdr:row>
                    <xdr:rowOff>123825</xdr:rowOff>
                  </to>
                </anchor>
              </controlPr>
            </control>
          </mc:Choice>
        </mc:AlternateContent>
        <mc:AlternateContent xmlns:mc="http://schemas.openxmlformats.org/markup-compatibility/2006">
          <mc:Choice Requires="x14">
            <control shapeId="63492" r:id="rId6" name="Button 4">
              <controlPr defaultSize="0" print="0" autoFill="0" autoPict="0" macro="[0]!BodyplanCopy">
                <anchor moveWithCells="1" sizeWithCells="1">
                  <from>
                    <xdr:col>0</xdr:col>
                    <xdr:colOff>0</xdr:colOff>
                    <xdr:row>9</xdr:row>
                    <xdr:rowOff>0</xdr:rowOff>
                  </from>
                  <to>
                    <xdr:col>2</xdr:col>
                    <xdr:colOff>219075</xdr:colOff>
                    <xdr:row>10</xdr:row>
                    <xdr:rowOff>28575</xdr:rowOff>
                  </to>
                </anchor>
              </controlPr>
            </control>
          </mc:Choice>
        </mc:AlternateContent>
        <mc:AlternateContent xmlns:mc="http://schemas.openxmlformats.org/markup-compatibility/2006">
          <mc:Choice Requires="x14">
            <control shapeId="63493" r:id="rId7" name="Button 5">
              <controlPr defaultSize="0" print="0" autoFill="0" autoPict="0" macro="[0]!BonjGrid">
                <anchor moveWithCells="1" sizeWithCells="1">
                  <from>
                    <xdr:col>0</xdr:col>
                    <xdr:colOff>0</xdr:colOff>
                    <xdr:row>10</xdr:row>
                    <xdr:rowOff>85725</xdr:rowOff>
                  </from>
                  <to>
                    <xdr:col>2</xdr:col>
                    <xdr:colOff>219075</xdr:colOff>
                    <xdr:row>11</xdr:row>
                    <xdr:rowOff>114300</xdr:rowOff>
                  </to>
                </anchor>
              </controlPr>
            </control>
          </mc:Choice>
        </mc:AlternateContent>
        <mc:AlternateContent xmlns:mc="http://schemas.openxmlformats.org/markup-compatibility/2006">
          <mc:Choice Requires="x14">
            <control shapeId="63494" r:id="rId8" name="Button 6">
              <controlPr defaultSize="0" print="0" autoFill="0" autoPict="0" macro="[0]!BonjAreaSpline">
                <anchor moveWithCells="1" sizeWithCells="1">
                  <from>
                    <xdr:col>0</xdr:col>
                    <xdr:colOff>0</xdr:colOff>
                    <xdr:row>11</xdr:row>
                    <xdr:rowOff>171450</xdr:rowOff>
                  </from>
                  <to>
                    <xdr:col>2</xdr:col>
                    <xdr:colOff>219075</xdr:colOff>
                    <xdr:row>13</xdr:row>
                    <xdr:rowOff>9525</xdr:rowOff>
                  </to>
                </anchor>
              </controlPr>
            </control>
          </mc:Choice>
        </mc:AlternateContent>
        <mc:AlternateContent xmlns:mc="http://schemas.openxmlformats.org/markup-compatibility/2006">
          <mc:Choice Requires="x14">
            <control shapeId="63495" r:id="rId9" name="Button 7">
              <controlPr defaultSize="0" print="0" autoFill="0" autoPict="0" macro="[0]!BonjMomentSpline">
                <anchor moveWithCells="1" sizeWithCells="1">
                  <from>
                    <xdr:col>0</xdr:col>
                    <xdr:colOff>0</xdr:colOff>
                    <xdr:row>13</xdr:row>
                    <xdr:rowOff>66675</xdr:rowOff>
                  </from>
                  <to>
                    <xdr:col>2</xdr:col>
                    <xdr:colOff>219075</xdr:colOff>
                    <xdr:row>14</xdr:row>
                    <xdr:rowOff>95250</xdr:rowOff>
                  </to>
                </anchor>
              </controlPr>
            </control>
          </mc:Choice>
        </mc:AlternateContent>
        <mc:AlternateContent xmlns:mc="http://schemas.openxmlformats.org/markup-compatibility/2006">
          <mc:Choice Requires="x14">
            <control shapeId="63497" r:id="rId10" name="Button 9">
              <controlPr defaultSize="0" print="0" autoFill="0" autoPict="0" macro="[0]!threeDhalfhull">
                <anchor moveWithCells="1" sizeWithCells="1">
                  <from>
                    <xdr:col>0</xdr:col>
                    <xdr:colOff>9525</xdr:colOff>
                    <xdr:row>14</xdr:row>
                    <xdr:rowOff>152400</xdr:rowOff>
                  </from>
                  <to>
                    <xdr:col>2</xdr:col>
                    <xdr:colOff>228600</xdr:colOff>
                    <xdr:row>15</xdr:row>
                    <xdr:rowOff>180975</xdr:rowOff>
                  </to>
                </anchor>
              </controlPr>
            </control>
          </mc:Choice>
        </mc:AlternateContent>
        <mc:AlternateContent xmlns:mc="http://schemas.openxmlformats.org/markup-compatibility/2006">
          <mc:Choice Requires="x14">
            <control shapeId="63498" r:id="rId11" name="Button 10">
              <controlPr defaultSize="0" print="0" autoFill="0" autoPict="0" macro="[0]!RhinothreeD">
                <anchor moveWithCells="1" sizeWithCells="1">
                  <from>
                    <xdr:col>0</xdr:col>
                    <xdr:colOff>0</xdr:colOff>
                    <xdr:row>20</xdr:row>
                    <xdr:rowOff>0</xdr:rowOff>
                  </from>
                  <to>
                    <xdr:col>3</xdr:col>
                    <xdr:colOff>0</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errorTitle="Degree of curves" error="Enter a whole number between 2 &amp; 11 ">
          <x14:formula1>
            <xm:f>Tools!$Q$47:$Q$56</xm:f>
          </x14:formula1>
          <xm:sqref>C22</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O626"/>
  <sheetViews>
    <sheetView workbookViewId="0">
      <selection activeCell="B2" sqref="B2"/>
    </sheetView>
  </sheetViews>
  <sheetFormatPr defaultRowHeight="15" x14ac:dyDescent="0.25"/>
  <sheetData>
    <row r="1" spans="1:15" ht="25.5" x14ac:dyDescent="0.25">
      <c r="A1" s="428"/>
      <c r="B1" s="429" t="s">
        <v>331</v>
      </c>
      <c r="C1" s="429" t="s">
        <v>327</v>
      </c>
      <c r="D1" s="429" t="s">
        <v>328</v>
      </c>
      <c r="E1" s="429" t="s">
        <v>329</v>
      </c>
      <c r="I1" s="428"/>
      <c r="J1" s="429" t="s">
        <v>331</v>
      </c>
      <c r="K1" s="429" t="s">
        <v>327</v>
      </c>
      <c r="L1" s="429" t="s">
        <v>328</v>
      </c>
      <c r="M1" s="429" t="s">
        <v>329</v>
      </c>
    </row>
    <row r="2" spans="1:15" x14ac:dyDescent="0.25">
      <c r="A2" s="432">
        <f>IF(ISNUMBER(D2),ROW()-1,"")</f>
        <v>1</v>
      </c>
      <c r="B2" s="430">
        <f t="shared" ref="B2:B65" si="0">IFERROR(IF(ISNUMBER(D2),QUOTIENT(ROW()-2,Max_WL_count)+1,""),"")</f>
        <v>1</v>
      </c>
      <c r="C2" s="433">
        <f>IFERROR(-LBP/2+HLOOKUP(Stn_WL,Tools!$AD$2:$AD$27,QUOTIENT(ROW()-2,Max_WL_count)+2,FALSE)*STN_GAP,"")</f>
        <v>-65.849999999999994</v>
      </c>
      <c r="D2" s="433">
        <f>IFERROR(VLOOKUP(HLOOKUP(Stn_WL,Tools!$AD$2:$AD$27,QUOTIENT(ROW()-2,Max_WL_count)+2,FALSE),Tools!$AD$3:$BC$27,MOD(ROW()-2,Max_WL_count)+2,FALSE),"")</f>
        <v>0</v>
      </c>
      <c r="E2" s="433">
        <f>IFERROR(IF(ISNUMBER(D2),HLOOKUP(Tools!$BE$2,Tools!$BE$2:$BE$27,MOD(ROW()-2,Max_WL_count)+2,FALSE)*WLS,""),"")</f>
        <v>0</v>
      </c>
      <c r="I2" s="432">
        <f>IF(ISNUMBER(L2),ROW()-1,"")</f>
        <v>1</v>
      </c>
      <c r="J2" s="430">
        <f t="shared" ref="J2:J65" si="1">IFERROR(IF(ISNUMBER(L2),QUOTIENT(ROW()-2,Max_WL_count+1)+1,""),"")</f>
        <v>1</v>
      </c>
      <c r="K2" s="433">
        <f>IFERROR(-LBP/2+HLOOKUP(Stn_WL,Tools!$AD$2:$AD$27,N2+2,FALSE)*STN_GAP,"")</f>
        <v>-65.849999999999994</v>
      </c>
      <c r="L2" s="433">
        <f>IFERROR(IF(AND(ISNUMBER(K2),O2=0),0,VLOOKUP(HLOOKUP(Stn_WL,Tools!$AD$2:$AD$27,N2+2,FALSE),Tools!$AD$3:$BC$27,O2+1,FALSE)),"")</f>
        <v>0</v>
      </c>
      <c r="M2" s="433">
        <f>IFERROR(IF(ISNUMBER(L2),IF(O2=0,IFERROR(HLOOKUP(Tools!$BD$127,Tools!$BD$127:$BD$152,N2+2,FALSE)*1,0),HLOOKUP(Tools!$BE$2,Tools!$BE$2:$BE$27,O2+1,FALSE)*WLS),""),"")</f>
        <v>9.9</v>
      </c>
      <c r="N2">
        <f t="shared" ref="N2:N65" si="2">QUOTIENT(ROW()-2,Max_WL_count+1)</f>
        <v>0</v>
      </c>
      <c r="O2">
        <f t="shared" ref="O2:O65" si="3">MOD(ROW()-2,Max_WL_count+1)</f>
        <v>0</v>
      </c>
    </row>
    <row r="3" spans="1:15" x14ac:dyDescent="0.25">
      <c r="A3" s="427">
        <f t="shared" ref="A3:A66" si="4">IF(ISNUMBER(D3),ROW()-1,"")</f>
        <v>2</v>
      </c>
      <c r="B3" s="430">
        <f t="shared" si="0"/>
        <v>1</v>
      </c>
      <c r="C3" s="433">
        <f>IFERROR(-LBP/2+HLOOKUP(Stn_WL,Tools!$AD$2:$AD$27,QUOTIENT(ROW()-2,Max_WL_count)+2,FALSE)*STN_GAP,"")</f>
        <v>-65.849999999999994</v>
      </c>
      <c r="D3" s="433">
        <f>IFERROR(VLOOKUP(HLOOKUP(Stn_WL,Tools!$AD$2:$AD$27,QUOTIENT(ROW()-2,Max_WL_count)+2,FALSE),Tools!$AD$3:$BC$27,MOD(ROW()-2,Max_WL_count)+2,FALSE),"")</f>
        <v>0</v>
      </c>
      <c r="E3" s="431">
        <f>IFERROR(IF(ISNUMBER(D3),HLOOKUP(Tools!$BE$2,Tools!$BE$2:$BE$27,MOD(ROW()-2,Max_WL_count)+2,FALSE)*WLS,""),"")</f>
        <v>0.9</v>
      </c>
      <c r="I3" s="427">
        <f t="shared" ref="I3:I66" si="5">IF(ISNUMBER(L3),ROW()-1,"")</f>
        <v>2</v>
      </c>
      <c r="J3" s="430">
        <f t="shared" si="1"/>
        <v>1</v>
      </c>
      <c r="K3" s="433">
        <f>IFERROR(-LBP/2+HLOOKUP(Stn_WL,Tools!$AD$2:$AD$27,N3+2,FALSE)*STN_GAP,"")</f>
        <v>-65.849999999999994</v>
      </c>
      <c r="L3" s="433">
        <f>IFERROR(IF(AND(ISNUMBER(K3),O3=0),0,VLOOKUP(HLOOKUP(Stn_WL,Tools!$AD$2:$AD$27,N3+2,FALSE),Tools!$AD$3:$BC$27,O3+1,FALSE)),"")</f>
        <v>0</v>
      </c>
      <c r="M3" s="433">
        <f>IFERROR(IF(ISNUMBER(L3),IF(O3=0,IFERROR(HLOOKUP(Tools!$BD$127,Tools!$BD$127:$BD$152,N3+2,FALSE)*1,0),HLOOKUP(Tools!$BE$2,Tools!$BE$2:$BE$27,O3+1,FALSE)*WLS),""),"")</f>
        <v>0</v>
      </c>
      <c r="N3">
        <f t="shared" si="2"/>
        <v>0</v>
      </c>
      <c r="O3">
        <f t="shared" si="3"/>
        <v>1</v>
      </c>
    </row>
    <row r="4" spans="1:15" x14ac:dyDescent="0.25">
      <c r="A4" s="427">
        <f t="shared" si="4"/>
        <v>3</v>
      </c>
      <c r="B4" s="430">
        <f t="shared" si="0"/>
        <v>1</v>
      </c>
      <c r="C4" s="433">
        <f>IFERROR(-LBP/2+HLOOKUP(Stn_WL,Tools!$AD$2:$AD$27,QUOTIENT(ROW()-2,Max_WL_count)+2,FALSE)*STN_GAP,"")</f>
        <v>-65.849999999999994</v>
      </c>
      <c r="D4" s="433">
        <f>IFERROR(VLOOKUP(HLOOKUP(Stn_WL,Tools!$AD$2:$AD$27,QUOTIENT(ROW()-2,Max_WL_count)+2,FALSE),Tools!$AD$3:$BC$27,MOD(ROW()-2,Max_WL_count)+2,FALSE),"")</f>
        <v>0</v>
      </c>
      <c r="E4" s="431">
        <f>IFERROR(IF(ISNUMBER(D4),HLOOKUP(Tools!$BE$2,Tools!$BE$2:$BE$27,MOD(ROW()-2,Max_WL_count)+2,FALSE)*WLS,""),"")</f>
        <v>1.8</v>
      </c>
      <c r="I4" s="427">
        <f t="shared" si="5"/>
        <v>3</v>
      </c>
      <c r="J4" s="430">
        <f t="shared" si="1"/>
        <v>1</v>
      </c>
      <c r="K4" s="433">
        <f>IFERROR(-LBP/2+HLOOKUP(Stn_WL,Tools!$AD$2:$AD$27,N4+2,FALSE)*STN_GAP,"")</f>
        <v>-65.849999999999994</v>
      </c>
      <c r="L4" s="433">
        <f>IFERROR(IF(AND(ISNUMBER(K4),O4=0),0,VLOOKUP(HLOOKUP(Stn_WL,Tools!$AD$2:$AD$27,N4+2,FALSE),Tools!$AD$3:$BC$27,O4+1,FALSE)),"")</f>
        <v>0</v>
      </c>
      <c r="M4" s="433">
        <f>IFERROR(IF(ISNUMBER(L4),IF(O4=0,IFERROR(HLOOKUP(Tools!$BD$127,Tools!$BD$127:$BD$152,N4+2,FALSE)*1,0),HLOOKUP(Tools!$BE$2,Tools!$BE$2:$BE$27,O4+1,FALSE)*WLS),""),"")</f>
        <v>0.9</v>
      </c>
      <c r="N4">
        <f t="shared" si="2"/>
        <v>0</v>
      </c>
      <c r="O4">
        <f t="shared" si="3"/>
        <v>2</v>
      </c>
    </row>
    <row r="5" spans="1:15" x14ac:dyDescent="0.25">
      <c r="A5" s="427">
        <f t="shared" si="4"/>
        <v>4</v>
      </c>
      <c r="B5" s="430">
        <f t="shared" si="0"/>
        <v>1</v>
      </c>
      <c r="C5" s="433">
        <f>IFERROR(-LBP/2+HLOOKUP(Stn_WL,Tools!$AD$2:$AD$27,QUOTIENT(ROW()-2,Max_WL_count)+2,FALSE)*STN_GAP,"")</f>
        <v>-65.849999999999994</v>
      </c>
      <c r="D5" s="433">
        <f>IFERROR(VLOOKUP(HLOOKUP(Stn_WL,Tools!$AD$2:$AD$27,QUOTIENT(ROW()-2,Max_WL_count)+2,FALSE),Tools!$AD$3:$BC$27,MOD(ROW()-2,Max_WL_count)+2,FALSE),"")</f>
        <v>0</v>
      </c>
      <c r="E5" s="431">
        <f>IFERROR(IF(ISNUMBER(D5),HLOOKUP(Tools!$BE$2,Tools!$BE$2:$BE$27,MOD(ROW()-2,Max_WL_count)+2,FALSE)*WLS,""),"")</f>
        <v>2.7</v>
      </c>
      <c r="I5" s="427">
        <f t="shared" si="5"/>
        <v>4</v>
      </c>
      <c r="J5" s="430">
        <f t="shared" si="1"/>
        <v>1</v>
      </c>
      <c r="K5" s="433">
        <f>IFERROR(-LBP/2+HLOOKUP(Stn_WL,Tools!$AD$2:$AD$27,N5+2,FALSE)*STN_GAP,"")</f>
        <v>-65.849999999999994</v>
      </c>
      <c r="L5" s="433">
        <f>IFERROR(IF(AND(ISNUMBER(K5),O5=0),0,VLOOKUP(HLOOKUP(Stn_WL,Tools!$AD$2:$AD$27,N5+2,FALSE),Tools!$AD$3:$BC$27,O5+1,FALSE)),"")</f>
        <v>0</v>
      </c>
      <c r="M5" s="433">
        <f>IFERROR(IF(ISNUMBER(L5),IF(O5=0,IFERROR(HLOOKUP(Tools!$BD$127,Tools!$BD$127:$BD$152,N5+2,FALSE)*1,0),HLOOKUP(Tools!$BE$2,Tools!$BE$2:$BE$27,O5+1,FALSE)*WLS),""),"")</f>
        <v>1.8</v>
      </c>
      <c r="N5">
        <f t="shared" si="2"/>
        <v>0</v>
      </c>
      <c r="O5">
        <f t="shared" si="3"/>
        <v>3</v>
      </c>
    </row>
    <row r="6" spans="1:15" x14ac:dyDescent="0.25">
      <c r="A6" s="427">
        <f t="shared" si="4"/>
        <v>5</v>
      </c>
      <c r="B6" s="430">
        <f t="shared" si="0"/>
        <v>1</v>
      </c>
      <c r="C6" s="433">
        <f>IFERROR(-LBP/2+HLOOKUP(Stn_WL,Tools!$AD$2:$AD$27,QUOTIENT(ROW()-2,Max_WL_count)+2,FALSE)*STN_GAP,"")</f>
        <v>-65.849999999999994</v>
      </c>
      <c r="D6" s="433">
        <f>IFERROR(VLOOKUP(HLOOKUP(Stn_WL,Tools!$AD$2:$AD$27,QUOTIENT(ROW()-2,Max_WL_count)+2,FALSE),Tools!$AD$3:$BC$27,MOD(ROW()-2,Max_WL_count)+2,FALSE),"")</f>
        <v>0</v>
      </c>
      <c r="E6" s="431">
        <f>IFERROR(IF(ISNUMBER(D6),HLOOKUP(Tools!$BE$2,Tools!$BE$2:$BE$27,MOD(ROW()-2,Max_WL_count)+2,FALSE)*WLS,""),"")</f>
        <v>3.6</v>
      </c>
      <c r="I6" s="427">
        <f t="shared" si="5"/>
        <v>5</v>
      </c>
      <c r="J6" s="430">
        <f t="shared" si="1"/>
        <v>1</v>
      </c>
      <c r="K6" s="433">
        <f>IFERROR(-LBP/2+HLOOKUP(Stn_WL,Tools!$AD$2:$AD$27,N6+2,FALSE)*STN_GAP,"")</f>
        <v>-65.849999999999994</v>
      </c>
      <c r="L6" s="433">
        <f>IFERROR(IF(AND(ISNUMBER(K6),O6=0),0,VLOOKUP(HLOOKUP(Stn_WL,Tools!$AD$2:$AD$27,N6+2,FALSE),Tools!$AD$3:$BC$27,O6+1,FALSE)),"")</f>
        <v>0</v>
      </c>
      <c r="M6" s="433">
        <f>IFERROR(IF(ISNUMBER(L6),IF(O6=0,IFERROR(HLOOKUP(Tools!$BD$127,Tools!$BD$127:$BD$152,N6+2,FALSE)*1,0),HLOOKUP(Tools!$BE$2,Tools!$BE$2:$BE$27,O6+1,FALSE)*WLS),""),"")</f>
        <v>2.7</v>
      </c>
      <c r="N6">
        <f t="shared" si="2"/>
        <v>0</v>
      </c>
      <c r="O6">
        <f t="shared" si="3"/>
        <v>4</v>
      </c>
    </row>
    <row r="7" spans="1:15" x14ac:dyDescent="0.25">
      <c r="A7" s="427">
        <f t="shared" si="4"/>
        <v>6</v>
      </c>
      <c r="B7" s="430">
        <f t="shared" si="0"/>
        <v>1</v>
      </c>
      <c r="C7" s="433">
        <f>IFERROR(-LBP/2+HLOOKUP(Stn_WL,Tools!$AD$2:$AD$27,QUOTIENT(ROW()-2,Max_WL_count)+2,FALSE)*STN_GAP,"")</f>
        <v>-65.849999999999994</v>
      </c>
      <c r="D7" s="433">
        <f>IFERROR(VLOOKUP(HLOOKUP(Stn_WL,Tools!$AD$2:$AD$27,QUOTIENT(ROW()-2,Max_WL_count)+2,FALSE),Tools!$AD$3:$BC$27,MOD(ROW()-2,Max_WL_count)+2,FALSE),"")</f>
        <v>0</v>
      </c>
      <c r="E7" s="431">
        <f>IFERROR(IF(ISNUMBER(D7),HLOOKUP(Tools!$BE$2,Tools!$BE$2:$BE$27,MOD(ROW()-2,Max_WL_count)+2,FALSE)*WLS,""),"")</f>
        <v>5.4</v>
      </c>
      <c r="I7" s="427">
        <f t="shared" si="5"/>
        <v>6</v>
      </c>
      <c r="J7" s="430">
        <f t="shared" si="1"/>
        <v>1</v>
      </c>
      <c r="K7" s="433">
        <f>IFERROR(-LBP/2+HLOOKUP(Stn_WL,Tools!$AD$2:$AD$27,N7+2,FALSE)*STN_GAP,"")</f>
        <v>-65.849999999999994</v>
      </c>
      <c r="L7" s="433">
        <f>IFERROR(IF(AND(ISNUMBER(K7),O7=0),0,VLOOKUP(HLOOKUP(Stn_WL,Tools!$AD$2:$AD$27,N7+2,FALSE),Tools!$AD$3:$BC$27,O7+1,FALSE)),"")</f>
        <v>0</v>
      </c>
      <c r="M7" s="433">
        <f>IFERROR(IF(ISNUMBER(L7),IF(O7=0,IFERROR(HLOOKUP(Tools!$BD$127,Tools!$BD$127:$BD$152,N7+2,FALSE)*1,0),HLOOKUP(Tools!$BE$2,Tools!$BE$2:$BE$27,O7+1,FALSE)*WLS),""),"")</f>
        <v>3.6</v>
      </c>
      <c r="N7">
        <f t="shared" si="2"/>
        <v>0</v>
      </c>
      <c r="O7">
        <f t="shared" si="3"/>
        <v>5</v>
      </c>
    </row>
    <row r="8" spans="1:15" x14ac:dyDescent="0.25">
      <c r="A8" s="427">
        <f t="shared" si="4"/>
        <v>7</v>
      </c>
      <c r="B8" s="430">
        <f t="shared" si="0"/>
        <v>1</v>
      </c>
      <c r="C8" s="433">
        <f>IFERROR(-LBP/2+HLOOKUP(Stn_WL,Tools!$AD$2:$AD$27,QUOTIENT(ROW()-2,Max_WL_count)+2,FALSE)*STN_GAP,"")</f>
        <v>-65.849999999999994</v>
      </c>
      <c r="D8" s="433">
        <f>IFERROR(VLOOKUP(HLOOKUP(Stn_WL,Tools!$AD$2:$AD$27,QUOTIENT(ROW()-2,Max_WL_count)+2,FALSE),Tools!$AD$3:$BC$27,MOD(ROW()-2,Max_WL_count)+2,FALSE),"")</f>
        <v>0</v>
      </c>
      <c r="E8" s="431">
        <f>IFERROR(IF(ISNUMBER(D8),HLOOKUP(Tools!$BE$2,Tools!$BE$2:$BE$27,MOD(ROW()-2,Max_WL_count)+2,FALSE)*WLS,""),"")</f>
        <v>7.2</v>
      </c>
      <c r="I8" s="427">
        <f t="shared" si="5"/>
        <v>7</v>
      </c>
      <c r="J8" s="430">
        <f t="shared" si="1"/>
        <v>1</v>
      </c>
      <c r="K8" s="433">
        <f>IFERROR(-LBP/2+HLOOKUP(Stn_WL,Tools!$AD$2:$AD$27,N8+2,FALSE)*STN_GAP,"")</f>
        <v>-65.849999999999994</v>
      </c>
      <c r="L8" s="433">
        <f>IFERROR(IF(AND(ISNUMBER(K8),O8=0),0,VLOOKUP(HLOOKUP(Stn_WL,Tools!$AD$2:$AD$27,N8+2,FALSE),Tools!$AD$3:$BC$27,O8+1,FALSE)),"")</f>
        <v>0</v>
      </c>
      <c r="M8" s="433">
        <f>IFERROR(IF(ISNUMBER(L8),IF(O8=0,IFERROR(HLOOKUP(Tools!$BD$127,Tools!$BD$127:$BD$152,N8+2,FALSE)*1,0),HLOOKUP(Tools!$BE$2,Tools!$BE$2:$BE$27,O8+1,FALSE)*WLS),""),"")</f>
        <v>5.4</v>
      </c>
      <c r="N8">
        <f t="shared" si="2"/>
        <v>0</v>
      </c>
      <c r="O8">
        <f t="shared" si="3"/>
        <v>6</v>
      </c>
    </row>
    <row r="9" spans="1:15" x14ac:dyDescent="0.25">
      <c r="A9" s="427">
        <f t="shared" si="4"/>
        <v>8</v>
      </c>
      <c r="B9" s="430">
        <f t="shared" si="0"/>
        <v>1</v>
      </c>
      <c r="C9" s="433">
        <f>IFERROR(-LBP/2+HLOOKUP(Stn_WL,Tools!$AD$2:$AD$27,QUOTIENT(ROW()-2,Max_WL_count)+2,FALSE)*STN_GAP,"")</f>
        <v>-65.849999999999994</v>
      </c>
      <c r="D9" s="433">
        <f>IFERROR(VLOOKUP(HLOOKUP(Stn_WL,Tools!$AD$2:$AD$27,QUOTIENT(ROW()-2,Max_WL_count)+2,FALSE),Tools!$AD$3:$BC$27,MOD(ROW()-2,Max_WL_count)+2,FALSE),"")</f>
        <v>0</v>
      </c>
      <c r="E9" s="431">
        <f>IFERROR(IF(ISNUMBER(D9),HLOOKUP(Tools!$BE$2,Tools!$BE$2:$BE$27,MOD(ROW()-2,Max_WL_count)+2,FALSE)*WLS,""),"")</f>
        <v>9</v>
      </c>
      <c r="I9" s="427">
        <f t="shared" si="5"/>
        <v>8</v>
      </c>
      <c r="J9" s="430">
        <f t="shared" si="1"/>
        <v>1</v>
      </c>
      <c r="K9" s="433">
        <f>IFERROR(-LBP/2+HLOOKUP(Stn_WL,Tools!$AD$2:$AD$27,N9+2,FALSE)*STN_GAP,"")</f>
        <v>-65.849999999999994</v>
      </c>
      <c r="L9" s="433">
        <f>IFERROR(IF(AND(ISNUMBER(K9),O9=0),0,VLOOKUP(HLOOKUP(Stn_WL,Tools!$AD$2:$AD$27,N9+2,FALSE),Tools!$AD$3:$BC$27,O9+1,FALSE)),"")</f>
        <v>0</v>
      </c>
      <c r="M9" s="433">
        <f>IFERROR(IF(ISNUMBER(L9),IF(O9=0,IFERROR(HLOOKUP(Tools!$BD$127,Tools!$BD$127:$BD$152,N9+2,FALSE)*1,0),HLOOKUP(Tools!$BE$2,Tools!$BE$2:$BE$27,O9+1,FALSE)*WLS),""),"")</f>
        <v>7.2</v>
      </c>
      <c r="N9">
        <f t="shared" si="2"/>
        <v>0</v>
      </c>
      <c r="O9">
        <f t="shared" si="3"/>
        <v>7</v>
      </c>
    </row>
    <row r="10" spans="1:15" x14ac:dyDescent="0.25">
      <c r="A10" s="427">
        <f t="shared" si="4"/>
        <v>9</v>
      </c>
      <c r="B10" s="430">
        <f t="shared" si="0"/>
        <v>1</v>
      </c>
      <c r="C10" s="433">
        <f>IFERROR(-LBP/2+HLOOKUP(Stn_WL,Tools!$AD$2:$AD$27,QUOTIENT(ROW()-2,Max_WL_count)+2,FALSE)*STN_GAP,"")</f>
        <v>-65.849999999999994</v>
      </c>
      <c r="D10" s="433">
        <f>IFERROR(VLOOKUP(HLOOKUP(Stn_WL,Tools!$AD$2:$AD$27,QUOTIENT(ROW()-2,Max_WL_count)+2,FALSE),Tools!$AD$3:$BC$27,MOD(ROW()-2,Max_WL_count)+2,FALSE),"")</f>
        <v>2.8919999999999999</v>
      </c>
      <c r="E10" s="431">
        <f>IFERROR(IF(ISNUMBER(D10),HLOOKUP(Tools!$BE$2,Tools!$BE$2:$BE$27,MOD(ROW()-2,Max_WL_count)+2,FALSE)*WLS,""),"")</f>
        <v>10.1</v>
      </c>
      <c r="I10" s="427">
        <f t="shared" si="5"/>
        <v>9</v>
      </c>
      <c r="J10" s="430">
        <f t="shared" si="1"/>
        <v>1</v>
      </c>
      <c r="K10" s="433">
        <f>IFERROR(-LBP/2+HLOOKUP(Stn_WL,Tools!$AD$2:$AD$27,N10+2,FALSE)*STN_GAP,"")</f>
        <v>-65.849999999999994</v>
      </c>
      <c r="L10" s="433">
        <f>IFERROR(IF(AND(ISNUMBER(K10),O10=0),0,VLOOKUP(HLOOKUP(Stn_WL,Tools!$AD$2:$AD$27,N10+2,FALSE),Tools!$AD$3:$BC$27,O10+1,FALSE)),"")</f>
        <v>0</v>
      </c>
      <c r="M10" s="433">
        <f>IFERROR(IF(ISNUMBER(L10),IF(O10=0,IFERROR(HLOOKUP(Tools!$BD$127,Tools!$BD$127:$BD$152,N10+2,FALSE)*1,0),HLOOKUP(Tools!$BE$2,Tools!$BE$2:$BE$27,O10+1,FALSE)*WLS),""),"")</f>
        <v>9</v>
      </c>
      <c r="N10">
        <f t="shared" si="2"/>
        <v>0</v>
      </c>
      <c r="O10">
        <f t="shared" si="3"/>
        <v>8</v>
      </c>
    </row>
    <row r="11" spans="1:15" x14ac:dyDescent="0.25">
      <c r="A11" s="427">
        <f t="shared" si="4"/>
        <v>10</v>
      </c>
      <c r="B11" s="430">
        <f t="shared" si="0"/>
        <v>1</v>
      </c>
      <c r="C11" s="433">
        <f>IFERROR(-LBP/2+HLOOKUP(Stn_WL,Tools!$AD$2:$AD$27,QUOTIENT(ROW()-2,Max_WL_count)+2,FALSE)*STN_GAP,"")</f>
        <v>-65.849999999999994</v>
      </c>
      <c r="D11" s="433">
        <f>IFERROR(VLOOKUP(HLOOKUP(Stn_WL,Tools!$AD$2:$AD$27,QUOTIENT(ROW()-2,Max_WL_count)+2,FALSE),Tools!$AD$3:$BC$27,MOD(ROW()-2,Max_WL_count)+2,FALSE),"")</f>
        <v>6.2</v>
      </c>
      <c r="E11" s="431">
        <f>IFERROR(IF(ISNUMBER(D11),HLOOKUP(Tools!$BE$2,Tools!$BE$2:$BE$27,MOD(ROW()-2,Max_WL_count)+2,FALSE)*WLS,""),"")</f>
        <v>10.8</v>
      </c>
      <c r="I11" s="427">
        <f t="shared" si="5"/>
        <v>10</v>
      </c>
      <c r="J11" s="430">
        <f t="shared" si="1"/>
        <v>1</v>
      </c>
      <c r="K11" s="433">
        <f>IFERROR(-LBP/2+HLOOKUP(Stn_WL,Tools!$AD$2:$AD$27,N11+2,FALSE)*STN_GAP,"")</f>
        <v>-65.849999999999994</v>
      </c>
      <c r="L11" s="433">
        <f>IFERROR(IF(AND(ISNUMBER(K11),O11=0),0,VLOOKUP(HLOOKUP(Stn_WL,Tools!$AD$2:$AD$27,N11+2,FALSE),Tools!$AD$3:$BC$27,O11+1,FALSE)),"")</f>
        <v>2.8919999999999999</v>
      </c>
      <c r="M11" s="433">
        <f>IFERROR(IF(ISNUMBER(L11),IF(O11=0,IFERROR(HLOOKUP(Tools!$BD$127,Tools!$BD$127:$BD$152,N11+2,FALSE)*1,0),HLOOKUP(Tools!$BE$2,Tools!$BE$2:$BE$27,O11+1,FALSE)*WLS),""),"")</f>
        <v>10.1</v>
      </c>
      <c r="N11">
        <f t="shared" si="2"/>
        <v>0</v>
      </c>
      <c r="O11">
        <f t="shared" si="3"/>
        <v>9</v>
      </c>
    </row>
    <row r="12" spans="1:15" x14ac:dyDescent="0.25">
      <c r="A12" s="427">
        <f t="shared" si="4"/>
        <v>11</v>
      </c>
      <c r="B12" s="430">
        <f t="shared" si="0"/>
        <v>1</v>
      </c>
      <c r="C12" s="433">
        <f>IFERROR(-LBP/2+HLOOKUP(Stn_WL,Tools!$AD$2:$AD$27,QUOTIENT(ROW()-2,Max_WL_count)+2,FALSE)*STN_GAP,"")</f>
        <v>-65.849999999999994</v>
      </c>
      <c r="D12" s="433">
        <f>IFERROR(VLOOKUP(HLOOKUP(Stn_WL,Tools!$AD$2:$AD$27,QUOTIENT(ROW()-2,Max_WL_count)+2,FALSE),Tools!$AD$3:$BC$27,MOD(ROW()-2,Max_WL_count)+2,FALSE),"")</f>
        <v>9.6</v>
      </c>
      <c r="E12" s="431">
        <f>IFERROR(IF(ISNUMBER(D12),HLOOKUP(Tools!$BE$2,Tools!$BE$2:$BE$27,MOD(ROW()-2,Max_WL_count)+2,FALSE)*WLS,""),"")</f>
        <v>12.6</v>
      </c>
      <c r="I12" s="427">
        <f t="shared" si="5"/>
        <v>11</v>
      </c>
      <c r="J12" s="430">
        <f t="shared" si="1"/>
        <v>1</v>
      </c>
      <c r="K12" s="433">
        <f>IFERROR(-LBP/2+HLOOKUP(Stn_WL,Tools!$AD$2:$AD$27,N12+2,FALSE)*STN_GAP,"")</f>
        <v>-65.849999999999994</v>
      </c>
      <c r="L12" s="433">
        <f>IFERROR(IF(AND(ISNUMBER(K12),O12=0),0,VLOOKUP(HLOOKUP(Stn_WL,Tools!$AD$2:$AD$27,N12+2,FALSE),Tools!$AD$3:$BC$27,O12+1,FALSE)),"")</f>
        <v>6.2</v>
      </c>
      <c r="M12" s="433">
        <f>IFERROR(IF(ISNUMBER(L12),IF(O12=0,IFERROR(HLOOKUP(Tools!$BD$127,Tools!$BD$127:$BD$152,N12+2,FALSE)*1,0),HLOOKUP(Tools!$BE$2,Tools!$BE$2:$BE$27,O12+1,FALSE)*WLS),""),"")</f>
        <v>10.8</v>
      </c>
      <c r="N12">
        <f t="shared" si="2"/>
        <v>0</v>
      </c>
      <c r="O12">
        <f t="shared" si="3"/>
        <v>10</v>
      </c>
    </row>
    <row r="13" spans="1:15" x14ac:dyDescent="0.25">
      <c r="A13" s="427">
        <f t="shared" si="4"/>
        <v>12</v>
      </c>
      <c r="B13" s="430">
        <f t="shared" si="0"/>
        <v>1</v>
      </c>
      <c r="C13" s="433">
        <f>IFERROR(-LBP/2+HLOOKUP(Stn_WL,Tools!$AD$2:$AD$27,QUOTIENT(ROW()-2,Max_WL_count)+2,FALSE)*STN_GAP,"")</f>
        <v>-65.849999999999994</v>
      </c>
      <c r="D13" s="433">
        <f>IFERROR(VLOOKUP(HLOOKUP(Stn_WL,Tools!$AD$2:$AD$27,QUOTIENT(ROW()-2,Max_WL_count)+2,FALSE),Tools!$AD$3:$BC$27,MOD(ROW()-2,Max_WL_count)+2,FALSE),"")</f>
        <v>10.89</v>
      </c>
      <c r="E13" s="431">
        <f>IFERROR(IF(ISNUMBER(D13),HLOOKUP(Tools!$BE$2,Tools!$BE$2:$BE$27,MOD(ROW()-2,Max_WL_count)+2,FALSE)*WLS,""),"")</f>
        <v>14.19</v>
      </c>
      <c r="I13" s="427">
        <f t="shared" si="5"/>
        <v>12</v>
      </c>
      <c r="J13" s="430">
        <f t="shared" si="1"/>
        <v>1</v>
      </c>
      <c r="K13" s="433">
        <f>IFERROR(-LBP/2+HLOOKUP(Stn_WL,Tools!$AD$2:$AD$27,N13+2,FALSE)*STN_GAP,"")</f>
        <v>-65.849999999999994</v>
      </c>
      <c r="L13" s="433">
        <f>IFERROR(IF(AND(ISNUMBER(K13),O13=0),0,VLOOKUP(HLOOKUP(Stn_WL,Tools!$AD$2:$AD$27,N13+2,FALSE),Tools!$AD$3:$BC$27,O13+1,FALSE)),"")</f>
        <v>9.6</v>
      </c>
      <c r="M13" s="433">
        <f>IFERROR(IF(ISNUMBER(L13),IF(O13=0,IFERROR(HLOOKUP(Tools!$BD$127,Tools!$BD$127:$BD$152,N13+2,FALSE)*1,0),HLOOKUP(Tools!$BE$2,Tools!$BE$2:$BE$27,O13+1,FALSE)*WLS),""),"")</f>
        <v>12.6</v>
      </c>
      <c r="N13">
        <f t="shared" si="2"/>
        <v>0</v>
      </c>
      <c r="O13">
        <f t="shared" si="3"/>
        <v>11</v>
      </c>
    </row>
    <row r="14" spans="1:15" x14ac:dyDescent="0.25">
      <c r="A14" s="427">
        <f t="shared" si="4"/>
        <v>13</v>
      </c>
      <c r="B14" s="430">
        <f t="shared" si="0"/>
        <v>2</v>
      </c>
      <c r="C14" s="433">
        <f>IFERROR(-LBP/2+HLOOKUP(Stn_WL,Tools!$AD$2:$AD$27,QUOTIENT(ROW()-2,Max_WL_count)+2,FALSE)*STN_GAP,"")</f>
        <v>-62.557499999999997</v>
      </c>
      <c r="D14" s="433">
        <f>IFERROR(VLOOKUP(HLOOKUP(Stn_WL,Tools!$AD$2:$AD$27,QUOTIENT(ROW()-2,Max_WL_count)+2,FALSE),Tools!$AD$3:$BC$27,MOD(ROW()-2,Max_WL_count)+2,FALSE),"")</f>
        <v>0</v>
      </c>
      <c r="E14" s="431">
        <f>IFERROR(IF(ISNUMBER(D14),HLOOKUP(Tools!$BE$2,Tools!$BE$2:$BE$27,MOD(ROW()-2,Max_WL_count)+2,FALSE)*WLS,""),"")</f>
        <v>0</v>
      </c>
      <c r="I14" s="427">
        <f t="shared" si="5"/>
        <v>13</v>
      </c>
      <c r="J14" s="430">
        <f t="shared" si="1"/>
        <v>1</v>
      </c>
      <c r="K14" s="433">
        <f>IFERROR(-LBP/2+HLOOKUP(Stn_WL,Tools!$AD$2:$AD$27,N14+2,FALSE)*STN_GAP,"")</f>
        <v>-65.849999999999994</v>
      </c>
      <c r="L14" s="433">
        <f>IFERROR(IF(AND(ISNUMBER(K14),O14=0),0,VLOOKUP(HLOOKUP(Stn_WL,Tools!$AD$2:$AD$27,N14+2,FALSE),Tools!$AD$3:$BC$27,O14+1,FALSE)),"")</f>
        <v>10.89</v>
      </c>
      <c r="M14" s="433">
        <f>IFERROR(IF(ISNUMBER(L14),IF(O14=0,IFERROR(HLOOKUP(Tools!$BD$127,Tools!$BD$127:$BD$152,N14+2,FALSE)*1,0),HLOOKUP(Tools!$BE$2,Tools!$BE$2:$BE$27,O14+1,FALSE)*WLS),""),"")</f>
        <v>14.19</v>
      </c>
      <c r="N14">
        <f t="shared" si="2"/>
        <v>0</v>
      </c>
      <c r="O14">
        <f t="shared" si="3"/>
        <v>12</v>
      </c>
    </row>
    <row r="15" spans="1:15" x14ac:dyDescent="0.25">
      <c r="A15" s="427">
        <f t="shared" si="4"/>
        <v>14</v>
      </c>
      <c r="B15" s="430">
        <f t="shared" si="0"/>
        <v>2</v>
      </c>
      <c r="C15" s="433">
        <f>IFERROR(-LBP/2+HLOOKUP(Stn_WL,Tools!$AD$2:$AD$27,QUOTIENT(ROW()-2,Max_WL_count)+2,FALSE)*STN_GAP,"")</f>
        <v>-62.557499999999997</v>
      </c>
      <c r="D15" s="433">
        <f>IFERROR(VLOOKUP(HLOOKUP(Stn_WL,Tools!$AD$2:$AD$27,QUOTIENT(ROW()-2,Max_WL_count)+2,FALSE),Tools!$AD$3:$BC$27,MOD(ROW()-2,Max_WL_count)+2,FALSE),"")</f>
        <v>0</v>
      </c>
      <c r="E15" s="431">
        <f>IFERROR(IF(ISNUMBER(D15),HLOOKUP(Tools!$BE$2,Tools!$BE$2:$BE$27,MOD(ROW()-2,Max_WL_count)+2,FALSE)*WLS,""),"")</f>
        <v>0.9</v>
      </c>
      <c r="I15" s="427">
        <f t="shared" si="5"/>
        <v>14</v>
      </c>
      <c r="J15" s="430">
        <f t="shared" si="1"/>
        <v>2</v>
      </c>
      <c r="K15" s="433">
        <f>IFERROR(-LBP/2+HLOOKUP(Stn_WL,Tools!$AD$2:$AD$27,N15+2,FALSE)*STN_GAP,"")</f>
        <v>-62.557499999999997</v>
      </c>
      <c r="L15" s="433">
        <f>IFERROR(IF(AND(ISNUMBER(K15),O15=0),0,VLOOKUP(HLOOKUP(Stn_WL,Tools!$AD$2:$AD$27,N15+2,FALSE),Tools!$AD$3:$BC$27,O15+1,FALSE)),"")</f>
        <v>0</v>
      </c>
      <c r="M15" s="433">
        <f>IFERROR(IF(ISNUMBER(L15),IF(O15=0,IFERROR(HLOOKUP(Tools!$BD$127,Tools!$BD$127:$BD$152,N15+2,FALSE)*1,0),HLOOKUP(Tools!$BE$2,Tools!$BE$2:$BE$27,O15+1,FALSE)*WLS),""),"")</f>
        <v>8.9</v>
      </c>
      <c r="N15">
        <f t="shared" si="2"/>
        <v>1</v>
      </c>
      <c r="O15">
        <f t="shared" si="3"/>
        <v>0</v>
      </c>
    </row>
    <row r="16" spans="1:15" x14ac:dyDescent="0.25">
      <c r="A16" s="427">
        <f t="shared" si="4"/>
        <v>15</v>
      </c>
      <c r="B16" s="430">
        <f t="shared" si="0"/>
        <v>2</v>
      </c>
      <c r="C16" s="433">
        <f>IFERROR(-LBP/2+HLOOKUP(Stn_WL,Tools!$AD$2:$AD$27,QUOTIENT(ROW()-2,Max_WL_count)+2,FALSE)*STN_GAP,"")</f>
        <v>-62.557499999999997</v>
      </c>
      <c r="D16" s="433">
        <f>IFERROR(VLOOKUP(HLOOKUP(Stn_WL,Tools!$AD$2:$AD$27,QUOTIENT(ROW()-2,Max_WL_count)+2,FALSE),Tools!$AD$3:$BC$27,MOD(ROW()-2,Max_WL_count)+2,FALSE),"")</f>
        <v>0</v>
      </c>
      <c r="E16" s="431">
        <f>IFERROR(IF(ISNUMBER(D16),HLOOKUP(Tools!$BE$2,Tools!$BE$2:$BE$27,MOD(ROW()-2,Max_WL_count)+2,FALSE)*WLS,""),"")</f>
        <v>1.8</v>
      </c>
      <c r="I16" s="427">
        <f t="shared" si="5"/>
        <v>15</v>
      </c>
      <c r="J16" s="430">
        <f t="shared" si="1"/>
        <v>2</v>
      </c>
      <c r="K16" s="433">
        <f>IFERROR(-LBP/2+HLOOKUP(Stn_WL,Tools!$AD$2:$AD$27,N16+2,FALSE)*STN_GAP,"")</f>
        <v>-62.557499999999997</v>
      </c>
      <c r="L16" s="433">
        <f>IFERROR(IF(AND(ISNUMBER(K16),O16=0),0,VLOOKUP(HLOOKUP(Stn_WL,Tools!$AD$2:$AD$27,N16+2,FALSE),Tools!$AD$3:$BC$27,O16+1,FALSE)),"")</f>
        <v>0</v>
      </c>
      <c r="M16" s="433">
        <f>IFERROR(IF(ISNUMBER(L16),IF(O16=0,IFERROR(HLOOKUP(Tools!$BD$127,Tools!$BD$127:$BD$152,N16+2,FALSE)*1,0),HLOOKUP(Tools!$BE$2,Tools!$BE$2:$BE$27,O16+1,FALSE)*WLS),""),"")</f>
        <v>0</v>
      </c>
      <c r="N16">
        <f t="shared" si="2"/>
        <v>1</v>
      </c>
      <c r="O16">
        <f t="shared" si="3"/>
        <v>1</v>
      </c>
    </row>
    <row r="17" spans="1:15" x14ac:dyDescent="0.25">
      <c r="A17" s="427">
        <f t="shared" si="4"/>
        <v>16</v>
      </c>
      <c r="B17" s="430">
        <f t="shared" si="0"/>
        <v>2</v>
      </c>
      <c r="C17" s="433">
        <f>IFERROR(-LBP/2+HLOOKUP(Stn_WL,Tools!$AD$2:$AD$27,QUOTIENT(ROW()-2,Max_WL_count)+2,FALSE)*STN_GAP,"")</f>
        <v>-62.557499999999997</v>
      </c>
      <c r="D17" s="433">
        <f>IFERROR(VLOOKUP(HLOOKUP(Stn_WL,Tools!$AD$2:$AD$27,QUOTIENT(ROW()-2,Max_WL_count)+2,FALSE),Tools!$AD$3:$BC$27,MOD(ROW()-2,Max_WL_count)+2,FALSE),"")</f>
        <v>0</v>
      </c>
      <c r="E17" s="431">
        <f>IFERROR(IF(ISNUMBER(D17),HLOOKUP(Tools!$BE$2,Tools!$BE$2:$BE$27,MOD(ROW()-2,Max_WL_count)+2,FALSE)*WLS,""),"")</f>
        <v>2.7</v>
      </c>
      <c r="I17" s="427">
        <f t="shared" si="5"/>
        <v>16</v>
      </c>
      <c r="J17" s="430">
        <f t="shared" si="1"/>
        <v>2</v>
      </c>
      <c r="K17" s="433">
        <f>IFERROR(-LBP/2+HLOOKUP(Stn_WL,Tools!$AD$2:$AD$27,N17+2,FALSE)*STN_GAP,"")</f>
        <v>-62.557499999999997</v>
      </c>
      <c r="L17" s="433">
        <f>IFERROR(IF(AND(ISNUMBER(K17),O17=0),0,VLOOKUP(HLOOKUP(Stn_WL,Tools!$AD$2:$AD$27,N17+2,FALSE),Tools!$AD$3:$BC$27,O17+1,FALSE)),"")</f>
        <v>0</v>
      </c>
      <c r="M17" s="433">
        <f>IFERROR(IF(ISNUMBER(L17),IF(O17=0,IFERROR(HLOOKUP(Tools!$BD$127,Tools!$BD$127:$BD$152,N17+2,FALSE)*1,0),HLOOKUP(Tools!$BE$2,Tools!$BE$2:$BE$27,O17+1,FALSE)*WLS),""),"")</f>
        <v>0.9</v>
      </c>
      <c r="N17">
        <f t="shared" si="2"/>
        <v>1</v>
      </c>
      <c r="O17">
        <f t="shared" si="3"/>
        <v>2</v>
      </c>
    </row>
    <row r="18" spans="1:15" x14ac:dyDescent="0.25">
      <c r="A18" s="427">
        <f t="shared" si="4"/>
        <v>17</v>
      </c>
      <c r="B18" s="430">
        <f t="shared" si="0"/>
        <v>2</v>
      </c>
      <c r="C18" s="433">
        <f>IFERROR(-LBP/2+HLOOKUP(Stn_WL,Tools!$AD$2:$AD$27,QUOTIENT(ROW()-2,Max_WL_count)+2,FALSE)*STN_GAP,"")</f>
        <v>-62.557499999999997</v>
      </c>
      <c r="D18" s="433">
        <f>IFERROR(VLOOKUP(HLOOKUP(Stn_WL,Tools!$AD$2:$AD$27,QUOTIENT(ROW()-2,Max_WL_count)+2,FALSE),Tools!$AD$3:$BC$27,MOD(ROW()-2,Max_WL_count)+2,FALSE),"")</f>
        <v>0</v>
      </c>
      <c r="E18" s="431">
        <f>IFERROR(IF(ISNUMBER(D18),HLOOKUP(Tools!$BE$2,Tools!$BE$2:$BE$27,MOD(ROW()-2,Max_WL_count)+2,FALSE)*WLS,""),"")</f>
        <v>3.6</v>
      </c>
      <c r="I18" s="427">
        <f t="shared" si="5"/>
        <v>17</v>
      </c>
      <c r="J18" s="430">
        <f t="shared" si="1"/>
        <v>2</v>
      </c>
      <c r="K18" s="433">
        <f>IFERROR(-LBP/2+HLOOKUP(Stn_WL,Tools!$AD$2:$AD$27,N18+2,FALSE)*STN_GAP,"")</f>
        <v>-62.557499999999997</v>
      </c>
      <c r="L18" s="433">
        <f>IFERROR(IF(AND(ISNUMBER(K18),O18=0),0,VLOOKUP(HLOOKUP(Stn_WL,Tools!$AD$2:$AD$27,N18+2,FALSE),Tools!$AD$3:$BC$27,O18+1,FALSE)),"")</f>
        <v>0</v>
      </c>
      <c r="M18" s="433">
        <f>IFERROR(IF(ISNUMBER(L18),IF(O18=0,IFERROR(HLOOKUP(Tools!$BD$127,Tools!$BD$127:$BD$152,N18+2,FALSE)*1,0),HLOOKUP(Tools!$BE$2,Tools!$BE$2:$BE$27,O18+1,FALSE)*WLS),""),"")</f>
        <v>1.8</v>
      </c>
      <c r="N18">
        <f t="shared" si="2"/>
        <v>1</v>
      </c>
      <c r="O18">
        <f t="shared" si="3"/>
        <v>3</v>
      </c>
    </row>
    <row r="19" spans="1:15" x14ac:dyDescent="0.25">
      <c r="A19" s="427">
        <f t="shared" si="4"/>
        <v>18</v>
      </c>
      <c r="B19" s="430">
        <f t="shared" si="0"/>
        <v>2</v>
      </c>
      <c r="C19" s="433">
        <f>IFERROR(-LBP/2+HLOOKUP(Stn_WL,Tools!$AD$2:$AD$27,QUOTIENT(ROW()-2,Max_WL_count)+2,FALSE)*STN_GAP,"")</f>
        <v>-62.557499999999997</v>
      </c>
      <c r="D19" s="433">
        <f>IFERROR(VLOOKUP(HLOOKUP(Stn_WL,Tools!$AD$2:$AD$27,QUOTIENT(ROW()-2,Max_WL_count)+2,FALSE),Tools!$AD$3:$BC$27,MOD(ROW()-2,Max_WL_count)+2,FALSE),"")</f>
        <v>0</v>
      </c>
      <c r="E19" s="431">
        <f>IFERROR(IF(ISNUMBER(D19),HLOOKUP(Tools!$BE$2,Tools!$BE$2:$BE$27,MOD(ROW()-2,Max_WL_count)+2,FALSE)*WLS,""),"")</f>
        <v>5.4</v>
      </c>
      <c r="I19" s="427">
        <f t="shared" si="5"/>
        <v>18</v>
      </c>
      <c r="J19" s="430">
        <f t="shared" si="1"/>
        <v>2</v>
      </c>
      <c r="K19" s="433">
        <f>IFERROR(-LBP/2+HLOOKUP(Stn_WL,Tools!$AD$2:$AD$27,N19+2,FALSE)*STN_GAP,"")</f>
        <v>-62.557499999999997</v>
      </c>
      <c r="L19" s="433">
        <f>IFERROR(IF(AND(ISNUMBER(K19),O19=0),0,VLOOKUP(HLOOKUP(Stn_WL,Tools!$AD$2:$AD$27,N19+2,FALSE),Tools!$AD$3:$BC$27,O19+1,FALSE)),"")</f>
        <v>0</v>
      </c>
      <c r="M19" s="433">
        <f>IFERROR(IF(ISNUMBER(L19),IF(O19=0,IFERROR(HLOOKUP(Tools!$BD$127,Tools!$BD$127:$BD$152,N19+2,FALSE)*1,0),HLOOKUP(Tools!$BE$2,Tools!$BE$2:$BE$27,O19+1,FALSE)*WLS),""),"")</f>
        <v>2.7</v>
      </c>
      <c r="N19">
        <f t="shared" si="2"/>
        <v>1</v>
      </c>
      <c r="O19">
        <f t="shared" si="3"/>
        <v>4</v>
      </c>
    </row>
    <row r="20" spans="1:15" x14ac:dyDescent="0.25">
      <c r="A20" s="427">
        <f t="shared" si="4"/>
        <v>19</v>
      </c>
      <c r="B20" s="430">
        <f t="shared" si="0"/>
        <v>2</v>
      </c>
      <c r="C20" s="433">
        <f>IFERROR(-LBP/2+HLOOKUP(Stn_WL,Tools!$AD$2:$AD$27,QUOTIENT(ROW()-2,Max_WL_count)+2,FALSE)*STN_GAP,"")</f>
        <v>-62.557499999999997</v>
      </c>
      <c r="D20" s="433">
        <f>IFERROR(VLOOKUP(HLOOKUP(Stn_WL,Tools!$AD$2:$AD$27,QUOTIENT(ROW()-2,Max_WL_count)+2,FALSE),Tools!$AD$3:$BC$27,MOD(ROW()-2,Max_WL_count)+2,FALSE),"")</f>
        <v>0</v>
      </c>
      <c r="E20" s="431">
        <f>IFERROR(IF(ISNUMBER(D20),HLOOKUP(Tools!$BE$2,Tools!$BE$2:$BE$27,MOD(ROW()-2,Max_WL_count)+2,FALSE)*WLS,""),"")</f>
        <v>7.2</v>
      </c>
      <c r="I20" s="427">
        <f t="shared" si="5"/>
        <v>19</v>
      </c>
      <c r="J20" s="430">
        <f t="shared" si="1"/>
        <v>2</v>
      </c>
      <c r="K20" s="433">
        <f>IFERROR(-LBP/2+HLOOKUP(Stn_WL,Tools!$AD$2:$AD$27,N20+2,FALSE)*STN_GAP,"")</f>
        <v>-62.557499999999997</v>
      </c>
      <c r="L20" s="433">
        <f>IFERROR(IF(AND(ISNUMBER(K20),O20=0),0,VLOOKUP(HLOOKUP(Stn_WL,Tools!$AD$2:$AD$27,N20+2,FALSE),Tools!$AD$3:$BC$27,O20+1,FALSE)),"")</f>
        <v>0</v>
      </c>
      <c r="M20" s="433">
        <f>IFERROR(IF(ISNUMBER(L20),IF(O20=0,IFERROR(HLOOKUP(Tools!$BD$127,Tools!$BD$127:$BD$152,N20+2,FALSE)*1,0),HLOOKUP(Tools!$BE$2,Tools!$BE$2:$BE$27,O20+1,FALSE)*WLS),""),"")</f>
        <v>3.6</v>
      </c>
      <c r="N20">
        <f t="shared" si="2"/>
        <v>1</v>
      </c>
      <c r="O20">
        <f t="shared" si="3"/>
        <v>5</v>
      </c>
    </row>
    <row r="21" spans="1:15" x14ac:dyDescent="0.25">
      <c r="A21" s="427">
        <f t="shared" si="4"/>
        <v>20</v>
      </c>
      <c r="B21" s="430">
        <f t="shared" si="0"/>
        <v>2</v>
      </c>
      <c r="C21" s="433">
        <f>IFERROR(-LBP/2+HLOOKUP(Stn_WL,Tools!$AD$2:$AD$27,QUOTIENT(ROW()-2,Max_WL_count)+2,FALSE)*STN_GAP,"")</f>
        <v>-62.557499999999997</v>
      </c>
      <c r="D21" s="433">
        <f>IFERROR(VLOOKUP(HLOOKUP(Stn_WL,Tools!$AD$2:$AD$27,QUOTIENT(ROW()-2,Max_WL_count)+2,FALSE),Tools!$AD$3:$BC$27,MOD(ROW()-2,Max_WL_count)+2,FALSE),"")</f>
        <v>1.2</v>
      </c>
      <c r="E21" s="431">
        <f>IFERROR(IF(ISNUMBER(D21),HLOOKUP(Tools!$BE$2,Tools!$BE$2:$BE$27,MOD(ROW()-2,Max_WL_count)+2,FALSE)*WLS,""),"")</f>
        <v>9</v>
      </c>
      <c r="I21" s="427">
        <f t="shared" si="5"/>
        <v>20</v>
      </c>
      <c r="J21" s="430">
        <f t="shared" si="1"/>
        <v>2</v>
      </c>
      <c r="K21" s="433">
        <f>IFERROR(-LBP/2+HLOOKUP(Stn_WL,Tools!$AD$2:$AD$27,N21+2,FALSE)*STN_GAP,"")</f>
        <v>-62.557499999999997</v>
      </c>
      <c r="L21" s="433">
        <f>IFERROR(IF(AND(ISNUMBER(K21),O21=0),0,VLOOKUP(HLOOKUP(Stn_WL,Tools!$AD$2:$AD$27,N21+2,FALSE),Tools!$AD$3:$BC$27,O21+1,FALSE)),"")</f>
        <v>0</v>
      </c>
      <c r="M21" s="433">
        <f>IFERROR(IF(ISNUMBER(L21),IF(O21=0,IFERROR(HLOOKUP(Tools!$BD$127,Tools!$BD$127:$BD$152,N21+2,FALSE)*1,0),HLOOKUP(Tools!$BE$2,Tools!$BE$2:$BE$27,O21+1,FALSE)*WLS),""),"")</f>
        <v>5.4</v>
      </c>
      <c r="N21">
        <f t="shared" si="2"/>
        <v>1</v>
      </c>
      <c r="O21">
        <f t="shared" si="3"/>
        <v>6</v>
      </c>
    </row>
    <row r="22" spans="1:15" x14ac:dyDescent="0.25">
      <c r="A22" s="427">
        <f t="shared" si="4"/>
        <v>21</v>
      </c>
      <c r="B22" s="430">
        <f t="shared" si="0"/>
        <v>2</v>
      </c>
      <c r="C22" s="433">
        <f>IFERROR(-LBP/2+HLOOKUP(Stn_WL,Tools!$AD$2:$AD$27,QUOTIENT(ROW()-2,Max_WL_count)+2,FALSE)*STN_GAP,"")</f>
        <v>-62.557499999999997</v>
      </c>
      <c r="D22" s="433">
        <f>IFERROR(VLOOKUP(HLOOKUP(Stn_WL,Tools!$AD$2:$AD$27,QUOTIENT(ROW()-2,Max_WL_count)+2,FALSE),Tools!$AD$3:$BC$27,MOD(ROW()-2,Max_WL_count)+2,FALSE),"")</f>
        <v>6.8</v>
      </c>
      <c r="E22" s="431">
        <f>IFERROR(IF(ISNUMBER(D22),HLOOKUP(Tools!$BE$2,Tools!$BE$2:$BE$27,MOD(ROW()-2,Max_WL_count)+2,FALSE)*WLS,""),"")</f>
        <v>10.1</v>
      </c>
      <c r="I22" s="427">
        <f t="shared" si="5"/>
        <v>21</v>
      </c>
      <c r="J22" s="430">
        <f t="shared" si="1"/>
        <v>2</v>
      </c>
      <c r="K22" s="433">
        <f>IFERROR(-LBP/2+HLOOKUP(Stn_WL,Tools!$AD$2:$AD$27,N22+2,FALSE)*STN_GAP,"")</f>
        <v>-62.557499999999997</v>
      </c>
      <c r="L22" s="433">
        <f>IFERROR(IF(AND(ISNUMBER(K22),O22=0),0,VLOOKUP(HLOOKUP(Stn_WL,Tools!$AD$2:$AD$27,N22+2,FALSE),Tools!$AD$3:$BC$27,O22+1,FALSE)),"")</f>
        <v>0</v>
      </c>
      <c r="M22" s="433">
        <f>IFERROR(IF(ISNUMBER(L22),IF(O22=0,IFERROR(HLOOKUP(Tools!$BD$127,Tools!$BD$127:$BD$152,N22+2,FALSE)*1,0),HLOOKUP(Tools!$BE$2,Tools!$BE$2:$BE$27,O22+1,FALSE)*WLS),""),"")</f>
        <v>7.2</v>
      </c>
      <c r="N22">
        <f t="shared" si="2"/>
        <v>1</v>
      </c>
      <c r="O22">
        <f t="shared" si="3"/>
        <v>7</v>
      </c>
    </row>
    <row r="23" spans="1:15" x14ac:dyDescent="0.25">
      <c r="A23" s="427">
        <f t="shared" si="4"/>
        <v>22</v>
      </c>
      <c r="B23" s="430">
        <f t="shared" si="0"/>
        <v>2</v>
      </c>
      <c r="C23" s="433">
        <f>IFERROR(-LBP/2+HLOOKUP(Stn_WL,Tools!$AD$2:$AD$27,QUOTIENT(ROW()-2,Max_WL_count)+2,FALSE)*STN_GAP,"")</f>
        <v>-62.557499999999997</v>
      </c>
      <c r="D23" s="433">
        <f>IFERROR(VLOOKUP(HLOOKUP(Stn_WL,Tools!$AD$2:$AD$27,QUOTIENT(ROW()-2,Max_WL_count)+2,FALSE),Tools!$AD$3:$BC$27,MOD(ROW()-2,Max_WL_count)+2,FALSE),"")</f>
        <v>8.4600000000000009</v>
      </c>
      <c r="E23" s="431">
        <f>IFERROR(IF(ISNUMBER(D23),HLOOKUP(Tools!$BE$2,Tools!$BE$2:$BE$27,MOD(ROW()-2,Max_WL_count)+2,FALSE)*WLS,""),"")</f>
        <v>10.8</v>
      </c>
      <c r="I23" s="427">
        <f t="shared" si="5"/>
        <v>22</v>
      </c>
      <c r="J23" s="430">
        <f t="shared" si="1"/>
        <v>2</v>
      </c>
      <c r="K23" s="433">
        <f>IFERROR(-LBP/2+HLOOKUP(Stn_WL,Tools!$AD$2:$AD$27,N23+2,FALSE)*STN_GAP,"")</f>
        <v>-62.557499999999997</v>
      </c>
      <c r="L23" s="433">
        <f>IFERROR(IF(AND(ISNUMBER(K23),O23=0),0,VLOOKUP(HLOOKUP(Stn_WL,Tools!$AD$2:$AD$27,N23+2,FALSE),Tools!$AD$3:$BC$27,O23+1,FALSE)),"")</f>
        <v>1.2</v>
      </c>
      <c r="M23" s="433">
        <f>IFERROR(IF(ISNUMBER(L23),IF(O23=0,IFERROR(HLOOKUP(Tools!$BD$127,Tools!$BD$127:$BD$152,N23+2,FALSE)*1,0),HLOOKUP(Tools!$BE$2,Tools!$BE$2:$BE$27,O23+1,FALSE)*WLS),""),"")</f>
        <v>9</v>
      </c>
      <c r="N23">
        <f t="shared" si="2"/>
        <v>1</v>
      </c>
      <c r="O23">
        <f t="shared" si="3"/>
        <v>8</v>
      </c>
    </row>
    <row r="24" spans="1:15" x14ac:dyDescent="0.25">
      <c r="A24" s="427">
        <f t="shared" si="4"/>
        <v>23</v>
      </c>
      <c r="B24" s="430">
        <f t="shared" si="0"/>
        <v>2</v>
      </c>
      <c r="C24" s="433">
        <f>IFERROR(-LBP/2+HLOOKUP(Stn_WL,Tools!$AD$2:$AD$27,QUOTIENT(ROW()-2,Max_WL_count)+2,FALSE)*STN_GAP,"")</f>
        <v>-62.557499999999997</v>
      </c>
      <c r="D24" s="433">
        <f>IFERROR(VLOOKUP(HLOOKUP(Stn_WL,Tools!$AD$2:$AD$27,QUOTIENT(ROW()-2,Max_WL_count)+2,FALSE),Tools!$AD$3:$BC$27,MOD(ROW()-2,Max_WL_count)+2,FALSE),"")</f>
        <v>10.63</v>
      </c>
      <c r="E24" s="431">
        <f>IFERROR(IF(ISNUMBER(D24),HLOOKUP(Tools!$BE$2,Tools!$BE$2:$BE$27,MOD(ROW()-2,Max_WL_count)+2,FALSE)*WLS,""),"")</f>
        <v>12.6</v>
      </c>
      <c r="I24" s="427">
        <f t="shared" si="5"/>
        <v>23</v>
      </c>
      <c r="J24" s="430">
        <f t="shared" si="1"/>
        <v>2</v>
      </c>
      <c r="K24" s="433">
        <f>IFERROR(-LBP/2+HLOOKUP(Stn_WL,Tools!$AD$2:$AD$27,N24+2,FALSE)*STN_GAP,"")</f>
        <v>-62.557499999999997</v>
      </c>
      <c r="L24" s="433">
        <f>IFERROR(IF(AND(ISNUMBER(K24),O24=0),0,VLOOKUP(HLOOKUP(Stn_WL,Tools!$AD$2:$AD$27,N24+2,FALSE),Tools!$AD$3:$BC$27,O24+1,FALSE)),"")</f>
        <v>6.8</v>
      </c>
      <c r="M24" s="433">
        <f>IFERROR(IF(ISNUMBER(L24),IF(O24=0,IFERROR(HLOOKUP(Tools!$BD$127,Tools!$BD$127:$BD$152,N24+2,FALSE)*1,0),HLOOKUP(Tools!$BE$2,Tools!$BE$2:$BE$27,O24+1,FALSE)*WLS),""),"")</f>
        <v>10.1</v>
      </c>
      <c r="N24">
        <f t="shared" si="2"/>
        <v>1</v>
      </c>
      <c r="O24">
        <f t="shared" si="3"/>
        <v>9</v>
      </c>
    </row>
    <row r="25" spans="1:15" x14ac:dyDescent="0.25">
      <c r="A25" s="427">
        <f t="shared" si="4"/>
        <v>24</v>
      </c>
      <c r="B25" s="430">
        <f t="shared" si="0"/>
        <v>2</v>
      </c>
      <c r="C25" s="433">
        <f>IFERROR(-LBP/2+HLOOKUP(Stn_WL,Tools!$AD$2:$AD$27,QUOTIENT(ROW()-2,Max_WL_count)+2,FALSE)*STN_GAP,"")</f>
        <v>-62.557499999999997</v>
      </c>
      <c r="D25" s="433">
        <f>IFERROR(VLOOKUP(HLOOKUP(Stn_WL,Tools!$AD$2:$AD$27,QUOTIENT(ROW()-2,Max_WL_count)+2,FALSE),Tools!$AD$3:$BC$27,MOD(ROW()-2,Max_WL_count)+2,FALSE),"")</f>
        <v>11.52</v>
      </c>
      <c r="E25" s="431">
        <f>IFERROR(IF(ISNUMBER(D25),HLOOKUP(Tools!$BE$2,Tools!$BE$2:$BE$27,MOD(ROW()-2,Max_WL_count)+2,FALSE)*WLS,""),"")</f>
        <v>14.19</v>
      </c>
      <c r="I25" s="427">
        <f t="shared" si="5"/>
        <v>24</v>
      </c>
      <c r="J25" s="430">
        <f t="shared" si="1"/>
        <v>2</v>
      </c>
      <c r="K25" s="433">
        <f>IFERROR(-LBP/2+HLOOKUP(Stn_WL,Tools!$AD$2:$AD$27,N25+2,FALSE)*STN_GAP,"")</f>
        <v>-62.557499999999997</v>
      </c>
      <c r="L25" s="433">
        <f>IFERROR(IF(AND(ISNUMBER(K25),O25=0),0,VLOOKUP(HLOOKUP(Stn_WL,Tools!$AD$2:$AD$27,N25+2,FALSE),Tools!$AD$3:$BC$27,O25+1,FALSE)),"")</f>
        <v>8.4600000000000009</v>
      </c>
      <c r="M25" s="433">
        <f>IFERROR(IF(ISNUMBER(L25),IF(O25=0,IFERROR(HLOOKUP(Tools!$BD$127,Tools!$BD$127:$BD$152,N25+2,FALSE)*1,0),HLOOKUP(Tools!$BE$2,Tools!$BE$2:$BE$27,O25+1,FALSE)*WLS),""),"")</f>
        <v>10.8</v>
      </c>
      <c r="N25">
        <f t="shared" si="2"/>
        <v>1</v>
      </c>
      <c r="O25">
        <f t="shared" si="3"/>
        <v>10</v>
      </c>
    </row>
    <row r="26" spans="1:15" x14ac:dyDescent="0.25">
      <c r="A26" s="427">
        <f t="shared" si="4"/>
        <v>25</v>
      </c>
      <c r="B26" s="430">
        <f t="shared" si="0"/>
        <v>3</v>
      </c>
      <c r="C26" s="433">
        <f>IFERROR(-LBP/2+HLOOKUP(Stn_WL,Tools!$AD$2:$AD$27,QUOTIENT(ROW()-2,Max_WL_count)+2,FALSE)*STN_GAP,"")</f>
        <v>-59.264999999999993</v>
      </c>
      <c r="D26" s="433">
        <f>IFERROR(VLOOKUP(HLOOKUP(Stn_WL,Tools!$AD$2:$AD$27,QUOTIENT(ROW()-2,Max_WL_count)+2,FALSE),Tools!$AD$3:$BC$27,MOD(ROW()-2,Max_WL_count)+2,FALSE),"")</f>
        <v>0</v>
      </c>
      <c r="E26" s="431">
        <f>IFERROR(IF(ISNUMBER(D26),HLOOKUP(Tools!$BE$2,Tools!$BE$2:$BE$27,MOD(ROW()-2,Max_WL_count)+2,FALSE)*WLS,""),"")</f>
        <v>0</v>
      </c>
      <c r="I26" s="427">
        <f t="shared" si="5"/>
        <v>25</v>
      </c>
      <c r="J26" s="430">
        <f t="shared" si="1"/>
        <v>2</v>
      </c>
      <c r="K26" s="433">
        <f>IFERROR(-LBP/2+HLOOKUP(Stn_WL,Tools!$AD$2:$AD$27,N26+2,FALSE)*STN_GAP,"")</f>
        <v>-62.557499999999997</v>
      </c>
      <c r="L26" s="433">
        <f>IFERROR(IF(AND(ISNUMBER(K26),O26=0),0,VLOOKUP(HLOOKUP(Stn_WL,Tools!$AD$2:$AD$27,N26+2,FALSE),Tools!$AD$3:$BC$27,O26+1,FALSE)),"")</f>
        <v>10.63</v>
      </c>
      <c r="M26" s="433">
        <f>IFERROR(IF(ISNUMBER(L26),IF(O26=0,IFERROR(HLOOKUP(Tools!$BD$127,Tools!$BD$127:$BD$152,N26+2,FALSE)*1,0),HLOOKUP(Tools!$BE$2,Tools!$BE$2:$BE$27,O26+1,FALSE)*WLS),""),"")</f>
        <v>12.6</v>
      </c>
      <c r="N26">
        <f t="shared" si="2"/>
        <v>1</v>
      </c>
      <c r="O26">
        <f t="shared" si="3"/>
        <v>11</v>
      </c>
    </row>
    <row r="27" spans="1:15" x14ac:dyDescent="0.25">
      <c r="A27" s="427">
        <f t="shared" si="4"/>
        <v>26</v>
      </c>
      <c r="B27" s="430">
        <f t="shared" si="0"/>
        <v>3</v>
      </c>
      <c r="C27" s="433">
        <f>IFERROR(-LBP/2+HLOOKUP(Stn_WL,Tools!$AD$2:$AD$27,QUOTIENT(ROW()-2,Max_WL_count)+2,FALSE)*STN_GAP,"")</f>
        <v>-59.264999999999993</v>
      </c>
      <c r="D27" s="433">
        <f>IFERROR(VLOOKUP(HLOOKUP(Stn_WL,Tools!$AD$2:$AD$27,QUOTIENT(ROW()-2,Max_WL_count)+2,FALSE),Tools!$AD$3:$BC$27,MOD(ROW()-2,Max_WL_count)+2,FALSE),"")</f>
        <v>0</v>
      </c>
      <c r="E27" s="431">
        <f>IFERROR(IF(ISNUMBER(D27),HLOOKUP(Tools!$BE$2,Tools!$BE$2:$BE$27,MOD(ROW()-2,Max_WL_count)+2,FALSE)*WLS,""),"")</f>
        <v>0.9</v>
      </c>
      <c r="I27" s="427">
        <f t="shared" si="5"/>
        <v>26</v>
      </c>
      <c r="J27" s="430">
        <f t="shared" si="1"/>
        <v>2</v>
      </c>
      <c r="K27" s="433">
        <f>IFERROR(-LBP/2+HLOOKUP(Stn_WL,Tools!$AD$2:$AD$27,N27+2,FALSE)*STN_GAP,"")</f>
        <v>-62.557499999999997</v>
      </c>
      <c r="L27" s="433">
        <f>IFERROR(IF(AND(ISNUMBER(K27),O27=0),0,VLOOKUP(HLOOKUP(Stn_WL,Tools!$AD$2:$AD$27,N27+2,FALSE),Tools!$AD$3:$BC$27,O27+1,FALSE)),"")</f>
        <v>11.52</v>
      </c>
      <c r="M27" s="433">
        <f>IFERROR(IF(ISNUMBER(L27),IF(O27=0,IFERROR(HLOOKUP(Tools!$BD$127,Tools!$BD$127:$BD$152,N27+2,FALSE)*1,0),HLOOKUP(Tools!$BE$2,Tools!$BE$2:$BE$27,O27+1,FALSE)*WLS),""),"")</f>
        <v>14.19</v>
      </c>
      <c r="N27">
        <f t="shared" si="2"/>
        <v>1</v>
      </c>
      <c r="O27">
        <f t="shared" si="3"/>
        <v>12</v>
      </c>
    </row>
    <row r="28" spans="1:15" x14ac:dyDescent="0.25">
      <c r="A28" s="427">
        <f t="shared" si="4"/>
        <v>27</v>
      </c>
      <c r="B28" s="430">
        <f t="shared" si="0"/>
        <v>3</v>
      </c>
      <c r="C28" s="433">
        <f>IFERROR(-LBP/2+HLOOKUP(Stn_WL,Tools!$AD$2:$AD$27,QUOTIENT(ROW()-2,Max_WL_count)+2,FALSE)*STN_GAP,"")</f>
        <v>-59.264999999999993</v>
      </c>
      <c r="D28" s="433">
        <f>IFERROR(VLOOKUP(HLOOKUP(Stn_WL,Tools!$AD$2:$AD$27,QUOTIENT(ROW()-2,Max_WL_count)+2,FALSE),Tools!$AD$3:$BC$27,MOD(ROW()-2,Max_WL_count)+2,FALSE),"")</f>
        <v>0</v>
      </c>
      <c r="E28" s="431">
        <f>IFERROR(IF(ISNUMBER(D28),HLOOKUP(Tools!$BE$2,Tools!$BE$2:$BE$27,MOD(ROW()-2,Max_WL_count)+2,FALSE)*WLS,""),"")</f>
        <v>1.8</v>
      </c>
      <c r="I28" s="427">
        <f t="shared" si="5"/>
        <v>27</v>
      </c>
      <c r="J28" s="430">
        <f t="shared" si="1"/>
        <v>3</v>
      </c>
      <c r="K28" s="433">
        <f>IFERROR(-LBP/2+HLOOKUP(Stn_WL,Tools!$AD$2:$AD$27,N28+2,FALSE)*STN_GAP,"")</f>
        <v>-59.264999999999993</v>
      </c>
      <c r="L28" s="433">
        <f>IFERROR(IF(AND(ISNUMBER(K28),O28=0),0,VLOOKUP(HLOOKUP(Stn_WL,Tools!$AD$2:$AD$27,N28+2,FALSE),Tools!$AD$3:$BC$27,O28+1,FALSE)),"")</f>
        <v>0</v>
      </c>
      <c r="M28" s="433">
        <f>IFERROR(IF(ISNUMBER(L28),IF(O28=0,IFERROR(HLOOKUP(Tools!$BD$127,Tools!$BD$127:$BD$152,N28+2,FALSE)*1,0),HLOOKUP(Tools!$BE$2,Tools!$BE$2:$BE$27,O28+1,FALSE)*WLS),""),"")</f>
        <v>7.8</v>
      </c>
      <c r="N28">
        <f t="shared" si="2"/>
        <v>2</v>
      </c>
      <c r="O28">
        <f t="shared" si="3"/>
        <v>0</v>
      </c>
    </row>
    <row r="29" spans="1:15" x14ac:dyDescent="0.25">
      <c r="A29" s="427">
        <f t="shared" si="4"/>
        <v>28</v>
      </c>
      <c r="B29" s="430">
        <f t="shared" si="0"/>
        <v>3</v>
      </c>
      <c r="C29" s="433">
        <f>IFERROR(-LBP/2+HLOOKUP(Stn_WL,Tools!$AD$2:$AD$27,QUOTIENT(ROW()-2,Max_WL_count)+2,FALSE)*STN_GAP,"")</f>
        <v>-59.264999999999993</v>
      </c>
      <c r="D29" s="433">
        <f>IFERROR(VLOOKUP(HLOOKUP(Stn_WL,Tools!$AD$2:$AD$27,QUOTIENT(ROW()-2,Max_WL_count)+2,FALSE),Tools!$AD$3:$BC$27,MOD(ROW()-2,Max_WL_count)+2,FALSE),"")</f>
        <v>0</v>
      </c>
      <c r="E29" s="431">
        <f>IFERROR(IF(ISNUMBER(D29),HLOOKUP(Tools!$BE$2,Tools!$BE$2:$BE$27,MOD(ROW()-2,Max_WL_count)+2,FALSE)*WLS,""),"")</f>
        <v>2.7</v>
      </c>
      <c r="I29" s="427">
        <f t="shared" si="5"/>
        <v>28</v>
      </c>
      <c r="J29" s="430">
        <f t="shared" si="1"/>
        <v>3</v>
      </c>
      <c r="K29" s="433">
        <f>IFERROR(-LBP/2+HLOOKUP(Stn_WL,Tools!$AD$2:$AD$27,N29+2,FALSE)*STN_GAP,"")</f>
        <v>-59.264999999999993</v>
      </c>
      <c r="L29" s="433">
        <f>IFERROR(IF(AND(ISNUMBER(K29),O29=0),0,VLOOKUP(HLOOKUP(Stn_WL,Tools!$AD$2:$AD$27,N29+2,FALSE),Tools!$AD$3:$BC$27,O29+1,FALSE)),"")</f>
        <v>0</v>
      </c>
      <c r="M29" s="433">
        <f>IFERROR(IF(ISNUMBER(L29),IF(O29=0,IFERROR(HLOOKUP(Tools!$BD$127,Tools!$BD$127:$BD$152,N29+2,FALSE)*1,0),HLOOKUP(Tools!$BE$2,Tools!$BE$2:$BE$27,O29+1,FALSE)*WLS),""),"")</f>
        <v>0</v>
      </c>
      <c r="N29">
        <f t="shared" si="2"/>
        <v>2</v>
      </c>
      <c r="O29">
        <f t="shared" si="3"/>
        <v>1</v>
      </c>
    </row>
    <row r="30" spans="1:15" x14ac:dyDescent="0.25">
      <c r="A30" s="427">
        <f t="shared" si="4"/>
        <v>29</v>
      </c>
      <c r="B30" s="430">
        <f t="shared" si="0"/>
        <v>3</v>
      </c>
      <c r="C30" s="433">
        <f>IFERROR(-LBP/2+HLOOKUP(Stn_WL,Tools!$AD$2:$AD$27,QUOTIENT(ROW()-2,Max_WL_count)+2,FALSE)*STN_GAP,"")</f>
        <v>-59.264999999999993</v>
      </c>
      <c r="D30" s="433">
        <f>IFERROR(VLOOKUP(HLOOKUP(Stn_WL,Tools!$AD$2:$AD$27,QUOTIENT(ROW()-2,Max_WL_count)+2,FALSE),Tools!$AD$3:$BC$27,MOD(ROW()-2,Max_WL_count)+2,FALSE),"")</f>
        <v>0</v>
      </c>
      <c r="E30" s="431">
        <f>IFERROR(IF(ISNUMBER(D30),HLOOKUP(Tools!$BE$2,Tools!$BE$2:$BE$27,MOD(ROW()-2,Max_WL_count)+2,FALSE)*WLS,""),"")</f>
        <v>3.6</v>
      </c>
      <c r="I30" s="427">
        <f t="shared" si="5"/>
        <v>29</v>
      </c>
      <c r="J30" s="430">
        <f t="shared" si="1"/>
        <v>3</v>
      </c>
      <c r="K30" s="433">
        <f>IFERROR(-LBP/2+HLOOKUP(Stn_WL,Tools!$AD$2:$AD$27,N30+2,FALSE)*STN_GAP,"")</f>
        <v>-59.264999999999993</v>
      </c>
      <c r="L30" s="433">
        <f>IFERROR(IF(AND(ISNUMBER(K30),O30=0),0,VLOOKUP(HLOOKUP(Stn_WL,Tools!$AD$2:$AD$27,N30+2,FALSE),Tools!$AD$3:$BC$27,O30+1,FALSE)),"")</f>
        <v>0</v>
      </c>
      <c r="M30" s="433">
        <f>IFERROR(IF(ISNUMBER(L30),IF(O30=0,IFERROR(HLOOKUP(Tools!$BD$127,Tools!$BD$127:$BD$152,N30+2,FALSE)*1,0),HLOOKUP(Tools!$BE$2,Tools!$BE$2:$BE$27,O30+1,FALSE)*WLS),""),"")</f>
        <v>0.9</v>
      </c>
      <c r="N30">
        <f t="shared" si="2"/>
        <v>2</v>
      </c>
      <c r="O30">
        <f t="shared" si="3"/>
        <v>2</v>
      </c>
    </row>
    <row r="31" spans="1:15" x14ac:dyDescent="0.25">
      <c r="A31" s="427">
        <f t="shared" si="4"/>
        <v>30</v>
      </c>
      <c r="B31" s="430">
        <f t="shared" si="0"/>
        <v>3</v>
      </c>
      <c r="C31" s="433">
        <f>IFERROR(-LBP/2+HLOOKUP(Stn_WL,Tools!$AD$2:$AD$27,QUOTIENT(ROW()-2,Max_WL_count)+2,FALSE)*STN_GAP,"")</f>
        <v>-59.264999999999993</v>
      </c>
      <c r="D31" s="433">
        <f>IFERROR(VLOOKUP(HLOOKUP(Stn_WL,Tools!$AD$2:$AD$27,QUOTIENT(ROW()-2,Max_WL_count)+2,FALSE),Tools!$AD$3:$BC$27,MOD(ROW()-2,Max_WL_count)+2,FALSE),"")</f>
        <v>0</v>
      </c>
      <c r="E31" s="431">
        <f>IFERROR(IF(ISNUMBER(D31),HLOOKUP(Tools!$BE$2,Tools!$BE$2:$BE$27,MOD(ROW()-2,Max_WL_count)+2,FALSE)*WLS,""),"")</f>
        <v>5.4</v>
      </c>
      <c r="I31" s="427">
        <f t="shared" si="5"/>
        <v>30</v>
      </c>
      <c r="J31" s="430">
        <f t="shared" si="1"/>
        <v>3</v>
      </c>
      <c r="K31" s="433">
        <f>IFERROR(-LBP/2+HLOOKUP(Stn_WL,Tools!$AD$2:$AD$27,N31+2,FALSE)*STN_GAP,"")</f>
        <v>-59.264999999999993</v>
      </c>
      <c r="L31" s="433">
        <f>IFERROR(IF(AND(ISNUMBER(K31),O31=0),0,VLOOKUP(HLOOKUP(Stn_WL,Tools!$AD$2:$AD$27,N31+2,FALSE),Tools!$AD$3:$BC$27,O31+1,FALSE)),"")</f>
        <v>0</v>
      </c>
      <c r="M31" s="433">
        <f>IFERROR(IF(ISNUMBER(L31),IF(O31=0,IFERROR(HLOOKUP(Tools!$BD$127,Tools!$BD$127:$BD$152,N31+2,FALSE)*1,0),HLOOKUP(Tools!$BE$2,Tools!$BE$2:$BE$27,O31+1,FALSE)*WLS),""),"")</f>
        <v>1.8</v>
      </c>
      <c r="N31">
        <f t="shared" si="2"/>
        <v>2</v>
      </c>
      <c r="O31">
        <f t="shared" si="3"/>
        <v>3</v>
      </c>
    </row>
    <row r="32" spans="1:15" x14ac:dyDescent="0.25">
      <c r="A32" s="427">
        <f t="shared" si="4"/>
        <v>31</v>
      </c>
      <c r="B32" s="430">
        <f t="shared" si="0"/>
        <v>3</v>
      </c>
      <c r="C32" s="433">
        <f>IFERROR(-LBP/2+HLOOKUP(Stn_WL,Tools!$AD$2:$AD$27,QUOTIENT(ROW()-2,Max_WL_count)+2,FALSE)*STN_GAP,"")</f>
        <v>-59.264999999999993</v>
      </c>
      <c r="D32" s="433">
        <f>IFERROR(VLOOKUP(HLOOKUP(Stn_WL,Tools!$AD$2:$AD$27,QUOTIENT(ROW()-2,Max_WL_count)+2,FALSE),Tools!$AD$3:$BC$27,MOD(ROW()-2,Max_WL_count)+2,FALSE),"")</f>
        <v>0</v>
      </c>
      <c r="E32" s="431">
        <f>IFERROR(IF(ISNUMBER(D32),HLOOKUP(Tools!$BE$2,Tools!$BE$2:$BE$27,MOD(ROW()-2,Max_WL_count)+2,FALSE)*WLS,""),"")</f>
        <v>7.2</v>
      </c>
      <c r="I32" s="427">
        <f t="shared" si="5"/>
        <v>31</v>
      </c>
      <c r="J32" s="430">
        <f t="shared" si="1"/>
        <v>3</v>
      </c>
      <c r="K32" s="433">
        <f>IFERROR(-LBP/2+HLOOKUP(Stn_WL,Tools!$AD$2:$AD$27,N32+2,FALSE)*STN_GAP,"")</f>
        <v>-59.264999999999993</v>
      </c>
      <c r="L32" s="433">
        <f>IFERROR(IF(AND(ISNUMBER(K32),O32=0),0,VLOOKUP(HLOOKUP(Stn_WL,Tools!$AD$2:$AD$27,N32+2,FALSE),Tools!$AD$3:$BC$27,O32+1,FALSE)),"")</f>
        <v>0</v>
      </c>
      <c r="M32" s="433">
        <f>IFERROR(IF(ISNUMBER(L32),IF(O32=0,IFERROR(HLOOKUP(Tools!$BD$127,Tools!$BD$127:$BD$152,N32+2,FALSE)*1,0),HLOOKUP(Tools!$BE$2,Tools!$BE$2:$BE$27,O32+1,FALSE)*WLS),""),"")</f>
        <v>2.7</v>
      </c>
      <c r="N32">
        <f t="shared" si="2"/>
        <v>2</v>
      </c>
      <c r="O32">
        <f t="shared" si="3"/>
        <v>4</v>
      </c>
    </row>
    <row r="33" spans="1:15" x14ac:dyDescent="0.25">
      <c r="A33" s="427">
        <f t="shared" si="4"/>
        <v>32</v>
      </c>
      <c r="B33" s="430">
        <f t="shared" si="0"/>
        <v>3</v>
      </c>
      <c r="C33" s="433">
        <f>IFERROR(-LBP/2+HLOOKUP(Stn_WL,Tools!$AD$2:$AD$27,QUOTIENT(ROW()-2,Max_WL_count)+2,FALSE)*STN_GAP,"")</f>
        <v>-59.264999999999993</v>
      </c>
      <c r="D33" s="433">
        <f>IFERROR(VLOOKUP(HLOOKUP(Stn_WL,Tools!$AD$2:$AD$27,QUOTIENT(ROW()-2,Max_WL_count)+2,FALSE),Tools!$AD$3:$BC$27,MOD(ROW()-2,Max_WL_count)+2,FALSE),"")</f>
        <v>6.12</v>
      </c>
      <c r="E33" s="431">
        <f>IFERROR(IF(ISNUMBER(D33),HLOOKUP(Tools!$BE$2,Tools!$BE$2:$BE$27,MOD(ROW()-2,Max_WL_count)+2,FALSE)*WLS,""),"")</f>
        <v>9</v>
      </c>
      <c r="I33" s="427">
        <f t="shared" si="5"/>
        <v>32</v>
      </c>
      <c r="J33" s="430">
        <f t="shared" si="1"/>
        <v>3</v>
      </c>
      <c r="K33" s="433">
        <f>IFERROR(-LBP/2+HLOOKUP(Stn_WL,Tools!$AD$2:$AD$27,N33+2,FALSE)*STN_GAP,"")</f>
        <v>-59.264999999999993</v>
      </c>
      <c r="L33" s="433">
        <f>IFERROR(IF(AND(ISNUMBER(K33),O33=0),0,VLOOKUP(HLOOKUP(Stn_WL,Tools!$AD$2:$AD$27,N33+2,FALSE),Tools!$AD$3:$BC$27,O33+1,FALSE)),"")</f>
        <v>0</v>
      </c>
      <c r="M33" s="433">
        <f>IFERROR(IF(ISNUMBER(L33),IF(O33=0,IFERROR(HLOOKUP(Tools!$BD$127,Tools!$BD$127:$BD$152,N33+2,FALSE)*1,0),HLOOKUP(Tools!$BE$2,Tools!$BE$2:$BE$27,O33+1,FALSE)*WLS),""),"")</f>
        <v>3.6</v>
      </c>
      <c r="N33">
        <f t="shared" si="2"/>
        <v>2</v>
      </c>
      <c r="O33">
        <f t="shared" si="3"/>
        <v>5</v>
      </c>
    </row>
    <row r="34" spans="1:15" x14ac:dyDescent="0.25">
      <c r="A34" s="427">
        <f t="shared" si="4"/>
        <v>33</v>
      </c>
      <c r="B34" s="430">
        <f t="shared" si="0"/>
        <v>3</v>
      </c>
      <c r="C34" s="433">
        <f>IFERROR(-LBP/2+HLOOKUP(Stn_WL,Tools!$AD$2:$AD$27,QUOTIENT(ROW()-2,Max_WL_count)+2,FALSE)*STN_GAP,"")</f>
        <v>-59.264999999999993</v>
      </c>
      <c r="D34" s="433">
        <f>IFERROR(VLOOKUP(HLOOKUP(Stn_WL,Tools!$AD$2:$AD$27,QUOTIENT(ROW()-2,Max_WL_count)+2,FALSE),Tools!$AD$3:$BC$27,MOD(ROW()-2,Max_WL_count)+2,FALSE),"")</f>
        <v>8.8000000000000007</v>
      </c>
      <c r="E34" s="431">
        <f>IFERROR(IF(ISNUMBER(D34),HLOOKUP(Tools!$BE$2,Tools!$BE$2:$BE$27,MOD(ROW()-2,Max_WL_count)+2,FALSE)*WLS,""),"")</f>
        <v>10.1</v>
      </c>
      <c r="I34" s="427">
        <f t="shared" si="5"/>
        <v>33</v>
      </c>
      <c r="J34" s="430">
        <f t="shared" si="1"/>
        <v>3</v>
      </c>
      <c r="K34" s="433">
        <f>IFERROR(-LBP/2+HLOOKUP(Stn_WL,Tools!$AD$2:$AD$27,N34+2,FALSE)*STN_GAP,"")</f>
        <v>-59.264999999999993</v>
      </c>
      <c r="L34" s="433">
        <f>IFERROR(IF(AND(ISNUMBER(K34),O34=0),0,VLOOKUP(HLOOKUP(Stn_WL,Tools!$AD$2:$AD$27,N34+2,FALSE),Tools!$AD$3:$BC$27,O34+1,FALSE)),"")</f>
        <v>0</v>
      </c>
      <c r="M34" s="433">
        <f>IFERROR(IF(ISNUMBER(L34),IF(O34=0,IFERROR(HLOOKUP(Tools!$BD$127,Tools!$BD$127:$BD$152,N34+2,FALSE)*1,0),HLOOKUP(Tools!$BE$2,Tools!$BE$2:$BE$27,O34+1,FALSE)*WLS),""),"")</f>
        <v>5.4</v>
      </c>
      <c r="N34">
        <f t="shared" si="2"/>
        <v>2</v>
      </c>
      <c r="O34">
        <f t="shared" si="3"/>
        <v>6</v>
      </c>
    </row>
    <row r="35" spans="1:15" x14ac:dyDescent="0.25">
      <c r="A35" s="427">
        <f t="shared" si="4"/>
        <v>34</v>
      </c>
      <c r="B35" s="430">
        <f t="shared" si="0"/>
        <v>3</v>
      </c>
      <c r="C35" s="433">
        <f>IFERROR(-LBP/2+HLOOKUP(Stn_WL,Tools!$AD$2:$AD$27,QUOTIENT(ROW()-2,Max_WL_count)+2,FALSE)*STN_GAP,"")</f>
        <v>-59.264999999999993</v>
      </c>
      <c r="D35" s="433">
        <f>IFERROR(VLOOKUP(HLOOKUP(Stn_WL,Tools!$AD$2:$AD$27,QUOTIENT(ROW()-2,Max_WL_count)+2,FALSE),Tools!$AD$3:$BC$27,MOD(ROW()-2,Max_WL_count)+2,FALSE),"")</f>
        <v>9.84</v>
      </c>
      <c r="E35" s="431">
        <f>IFERROR(IF(ISNUMBER(D35),HLOOKUP(Tools!$BE$2,Tools!$BE$2:$BE$27,MOD(ROW()-2,Max_WL_count)+2,FALSE)*WLS,""),"")</f>
        <v>10.8</v>
      </c>
      <c r="I35" s="427">
        <f t="shared" si="5"/>
        <v>34</v>
      </c>
      <c r="J35" s="430">
        <f t="shared" si="1"/>
        <v>3</v>
      </c>
      <c r="K35" s="433">
        <f>IFERROR(-LBP/2+HLOOKUP(Stn_WL,Tools!$AD$2:$AD$27,N35+2,FALSE)*STN_GAP,"")</f>
        <v>-59.264999999999993</v>
      </c>
      <c r="L35" s="433">
        <f>IFERROR(IF(AND(ISNUMBER(K35),O35=0),0,VLOOKUP(HLOOKUP(Stn_WL,Tools!$AD$2:$AD$27,N35+2,FALSE),Tools!$AD$3:$BC$27,O35+1,FALSE)),"")</f>
        <v>0</v>
      </c>
      <c r="M35" s="433">
        <f>IFERROR(IF(ISNUMBER(L35),IF(O35=0,IFERROR(HLOOKUP(Tools!$BD$127,Tools!$BD$127:$BD$152,N35+2,FALSE)*1,0),HLOOKUP(Tools!$BE$2,Tools!$BE$2:$BE$27,O35+1,FALSE)*WLS),""),"")</f>
        <v>7.2</v>
      </c>
      <c r="N35">
        <f t="shared" si="2"/>
        <v>2</v>
      </c>
      <c r="O35">
        <f t="shared" si="3"/>
        <v>7</v>
      </c>
    </row>
    <row r="36" spans="1:15" x14ac:dyDescent="0.25">
      <c r="A36" s="427">
        <f t="shared" si="4"/>
        <v>35</v>
      </c>
      <c r="B36" s="430">
        <f t="shared" si="0"/>
        <v>3</v>
      </c>
      <c r="C36" s="433">
        <f>IFERROR(-LBP/2+HLOOKUP(Stn_WL,Tools!$AD$2:$AD$27,QUOTIENT(ROW()-2,Max_WL_count)+2,FALSE)*STN_GAP,"")</f>
        <v>-59.264999999999993</v>
      </c>
      <c r="D36" s="433">
        <f>IFERROR(VLOOKUP(HLOOKUP(Stn_WL,Tools!$AD$2:$AD$27,QUOTIENT(ROW()-2,Max_WL_count)+2,FALSE),Tools!$AD$3:$BC$27,MOD(ROW()-2,Max_WL_count)+2,FALSE),"")</f>
        <v>11.33</v>
      </c>
      <c r="E36" s="431">
        <f>IFERROR(IF(ISNUMBER(D36),HLOOKUP(Tools!$BE$2,Tools!$BE$2:$BE$27,MOD(ROW()-2,Max_WL_count)+2,FALSE)*WLS,""),"")</f>
        <v>12.6</v>
      </c>
      <c r="I36" s="427">
        <f t="shared" si="5"/>
        <v>35</v>
      </c>
      <c r="J36" s="430">
        <f t="shared" si="1"/>
        <v>3</v>
      </c>
      <c r="K36" s="433">
        <f>IFERROR(-LBP/2+HLOOKUP(Stn_WL,Tools!$AD$2:$AD$27,N36+2,FALSE)*STN_GAP,"")</f>
        <v>-59.264999999999993</v>
      </c>
      <c r="L36" s="433">
        <f>IFERROR(IF(AND(ISNUMBER(K36),O36=0),0,VLOOKUP(HLOOKUP(Stn_WL,Tools!$AD$2:$AD$27,N36+2,FALSE),Tools!$AD$3:$BC$27,O36+1,FALSE)),"")</f>
        <v>6.12</v>
      </c>
      <c r="M36" s="433">
        <f>IFERROR(IF(ISNUMBER(L36),IF(O36=0,IFERROR(HLOOKUP(Tools!$BD$127,Tools!$BD$127:$BD$152,N36+2,FALSE)*1,0),HLOOKUP(Tools!$BE$2,Tools!$BE$2:$BE$27,O36+1,FALSE)*WLS),""),"")</f>
        <v>9</v>
      </c>
      <c r="N36">
        <f t="shared" si="2"/>
        <v>2</v>
      </c>
      <c r="O36">
        <f t="shared" si="3"/>
        <v>8</v>
      </c>
    </row>
    <row r="37" spans="1:15" x14ac:dyDescent="0.25">
      <c r="A37" s="427">
        <f t="shared" si="4"/>
        <v>36</v>
      </c>
      <c r="B37" s="430">
        <f t="shared" si="0"/>
        <v>3</v>
      </c>
      <c r="C37" s="433">
        <f>IFERROR(-LBP/2+HLOOKUP(Stn_WL,Tools!$AD$2:$AD$27,QUOTIENT(ROW()-2,Max_WL_count)+2,FALSE)*STN_GAP,"")</f>
        <v>-59.264999999999993</v>
      </c>
      <c r="D37" s="433">
        <f>IFERROR(VLOOKUP(HLOOKUP(Stn_WL,Tools!$AD$2:$AD$27,QUOTIENT(ROW()-2,Max_WL_count)+2,FALSE),Tools!$AD$3:$BC$27,MOD(ROW()-2,Max_WL_count)+2,FALSE),"")</f>
        <v>11.9</v>
      </c>
      <c r="E37" s="431">
        <f>IFERROR(IF(ISNUMBER(D37),HLOOKUP(Tools!$BE$2,Tools!$BE$2:$BE$27,MOD(ROW()-2,Max_WL_count)+2,FALSE)*WLS,""),"")</f>
        <v>14.19</v>
      </c>
      <c r="I37" s="427">
        <f t="shared" si="5"/>
        <v>36</v>
      </c>
      <c r="J37" s="430">
        <f t="shared" si="1"/>
        <v>3</v>
      </c>
      <c r="K37" s="433">
        <f>IFERROR(-LBP/2+HLOOKUP(Stn_WL,Tools!$AD$2:$AD$27,N37+2,FALSE)*STN_GAP,"")</f>
        <v>-59.264999999999993</v>
      </c>
      <c r="L37" s="433">
        <f>IFERROR(IF(AND(ISNUMBER(K37),O37=0),0,VLOOKUP(HLOOKUP(Stn_WL,Tools!$AD$2:$AD$27,N37+2,FALSE),Tools!$AD$3:$BC$27,O37+1,FALSE)),"")</f>
        <v>8.8000000000000007</v>
      </c>
      <c r="M37" s="433">
        <f>IFERROR(IF(ISNUMBER(L37),IF(O37=0,IFERROR(HLOOKUP(Tools!$BD$127,Tools!$BD$127:$BD$152,N37+2,FALSE)*1,0),HLOOKUP(Tools!$BE$2,Tools!$BE$2:$BE$27,O37+1,FALSE)*WLS),""),"")</f>
        <v>10.1</v>
      </c>
      <c r="N37">
        <f t="shared" si="2"/>
        <v>2</v>
      </c>
      <c r="O37">
        <f t="shared" si="3"/>
        <v>9</v>
      </c>
    </row>
    <row r="38" spans="1:15" x14ac:dyDescent="0.25">
      <c r="A38" s="427">
        <f t="shared" si="4"/>
        <v>37</v>
      </c>
      <c r="B38" s="430">
        <f t="shared" si="0"/>
        <v>4</v>
      </c>
      <c r="C38" s="433">
        <f>IFERROR(-LBP/2+HLOOKUP(Stn_WL,Tools!$AD$2:$AD$27,QUOTIENT(ROW()-2,Max_WL_count)+2,FALSE)*STN_GAP,"")</f>
        <v>-55.972499999999997</v>
      </c>
      <c r="D38" s="433">
        <f>IFERROR(VLOOKUP(HLOOKUP(Stn_WL,Tools!$AD$2:$AD$27,QUOTIENT(ROW()-2,Max_WL_count)+2,FALSE),Tools!$AD$3:$BC$27,MOD(ROW()-2,Max_WL_count)+2,FALSE),"")</f>
        <v>0</v>
      </c>
      <c r="E38" s="431">
        <f>IFERROR(IF(ISNUMBER(D38),HLOOKUP(Tools!$BE$2,Tools!$BE$2:$BE$27,MOD(ROW()-2,Max_WL_count)+2,FALSE)*WLS,""),"")</f>
        <v>0</v>
      </c>
      <c r="I38" s="427">
        <f t="shared" si="5"/>
        <v>37</v>
      </c>
      <c r="J38" s="430">
        <f t="shared" si="1"/>
        <v>3</v>
      </c>
      <c r="K38" s="433">
        <f>IFERROR(-LBP/2+HLOOKUP(Stn_WL,Tools!$AD$2:$AD$27,N38+2,FALSE)*STN_GAP,"")</f>
        <v>-59.264999999999993</v>
      </c>
      <c r="L38" s="433">
        <f>IFERROR(IF(AND(ISNUMBER(K38),O38=0),0,VLOOKUP(HLOOKUP(Stn_WL,Tools!$AD$2:$AD$27,N38+2,FALSE),Tools!$AD$3:$BC$27,O38+1,FALSE)),"")</f>
        <v>9.84</v>
      </c>
      <c r="M38" s="433">
        <f>IFERROR(IF(ISNUMBER(L38),IF(O38=0,IFERROR(HLOOKUP(Tools!$BD$127,Tools!$BD$127:$BD$152,N38+2,FALSE)*1,0),HLOOKUP(Tools!$BE$2,Tools!$BE$2:$BE$27,O38+1,FALSE)*WLS),""),"")</f>
        <v>10.8</v>
      </c>
      <c r="N38">
        <f t="shared" si="2"/>
        <v>2</v>
      </c>
      <c r="O38">
        <f t="shared" si="3"/>
        <v>10</v>
      </c>
    </row>
    <row r="39" spans="1:15" x14ac:dyDescent="0.25">
      <c r="A39" s="427">
        <f t="shared" si="4"/>
        <v>38</v>
      </c>
      <c r="B39" s="430">
        <f t="shared" si="0"/>
        <v>4</v>
      </c>
      <c r="C39" s="433">
        <f>IFERROR(-LBP/2+HLOOKUP(Stn_WL,Tools!$AD$2:$AD$27,QUOTIENT(ROW()-2,Max_WL_count)+2,FALSE)*STN_GAP,"")</f>
        <v>-55.972499999999997</v>
      </c>
      <c r="D39" s="433">
        <f>IFERROR(VLOOKUP(HLOOKUP(Stn_WL,Tools!$AD$2:$AD$27,QUOTIENT(ROW()-2,Max_WL_count)+2,FALSE),Tools!$AD$3:$BC$27,MOD(ROW()-2,Max_WL_count)+2,FALSE),"")</f>
        <v>0</v>
      </c>
      <c r="E39" s="431">
        <f>IFERROR(IF(ISNUMBER(D39),HLOOKUP(Tools!$BE$2,Tools!$BE$2:$BE$27,MOD(ROW()-2,Max_WL_count)+2,FALSE)*WLS,""),"")</f>
        <v>0.9</v>
      </c>
      <c r="I39" s="427">
        <f t="shared" si="5"/>
        <v>38</v>
      </c>
      <c r="J39" s="430">
        <f t="shared" si="1"/>
        <v>3</v>
      </c>
      <c r="K39" s="433">
        <f>IFERROR(-LBP/2+HLOOKUP(Stn_WL,Tools!$AD$2:$AD$27,N39+2,FALSE)*STN_GAP,"")</f>
        <v>-59.264999999999993</v>
      </c>
      <c r="L39" s="433">
        <f>IFERROR(IF(AND(ISNUMBER(K39),O39=0),0,VLOOKUP(HLOOKUP(Stn_WL,Tools!$AD$2:$AD$27,N39+2,FALSE),Tools!$AD$3:$BC$27,O39+1,FALSE)),"")</f>
        <v>11.33</v>
      </c>
      <c r="M39" s="433">
        <f>IFERROR(IF(ISNUMBER(L39),IF(O39=0,IFERROR(HLOOKUP(Tools!$BD$127,Tools!$BD$127:$BD$152,N39+2,FALSE)*1,0),HLOOKUP(Tools!$BE$2,Tools!$BE$2:$BE$27,O39+1,FALSE)*WLS),""),"")</f>
        <v>12.6</v>
      </c>
      <c r="N39">
        <f t="shared" si="2"/>
        <v>2</v>
      </c>
      <c r="O39">
        <f t="shared" si="3"/>
        <v>11</v>
      </c>
    </row>
    <row r="40" spans="1:15" x14ac:dyDescent="0.25">
      <c r="A40" s="427">
        <f t="shared" si="4"/>
        <v>39</v>
      </c>
      <c r="B40" s="430">
        <f t="shared" si="0"/>
        <v>4</v>
      </c>
      <c r="C40" s="433">
        <f>IFERROR(-LBP/2+HLOOKUP(Stn_WL,Tools!$AD$2:$AD$27,QUOTIENT(ROW()-2,Max_WL_count)+2,FALSE)*STN_GAP,"")</f>
        <v>-55.972499999999997</v>
      </c>
      <c r="D40" s="433">
        <f>IFERROR(VLOOKUP(HLOOKUP(Stn_WL,Tools!$AD$2:$AD$27,QUOTIENT(ROW()-2,Max_WL_count)+2,FALSE),Tools!$AD$3:$BC$27,MOD(ROW()-2,Max_WL_count)+2,FALSE),"")</f>
        <v>0</v>
      </c>
      <c r="E40" s="431">
        <f>IFERROR(IF(ISNUMBER(D40),HLOOKUP(Tools!$BE$2,Tools!$BE$2:$BE$27,MOD(ROW()-2,Max_WL_count)+2,FALSE)*WLS,""),"")</f>
        <v>1.8</v>
      </c>
      <c r="I40" s="427">
        <f t="shared" si="5"/>
        <v>39</v>
      </c>
      <c r="J40" s="430">
        <f t="shared" si="1"/>
        <v>3</v>
      </c>
      <c r="K40" s="433">
        <f>IFERROR(-LBP/2+HLOOKUP(Stn_WL,Tools!$AD$2:$AD$27,N40+2,FALSE)*STN_GAP,"")</f>
        <v>-59.264999999999993</v>
      </c>
      <c r="L40" s="433">
        <f>IFERROR(IF(AND(ISNUMBER(K40),O40=0),0,VLOOKUP(HLOOKUP(Stn_WL,Tools!$AD$2:$AD$27,N40+2,FALSE),Tools!$AD$3:$BC$27,O40+1,FALSE)),"")</f>
        <v>11.9</v>
      </c>
      <c r="M40" s="433">
        <f>IFERROR(IF(ISNUMBER(L40),IF(O40=0,IFERROR(HLOOKUP(Tools!$BD$127,Tools!$BD$127:$BD$152,N40+2,FALSE)*1,0),HLOOKUP(Tools!$BE$2,Tools!$BE$2:$BE$27,O40+1,FALSE)*WLS),""),"")</f>
        <v>14.19</v>
      </c>
      <c r="N40">
        <f t="shared" si="2"/>
        <v>2</v>
      </c>
      <c r="O40">
        <f t="shared" si="3"/>
        <v>12</v>
      </c>
    </row>
    <row r="41" spans="1:15" x14ac:dyDescent="0.25">
      <c r="A41" s="427">
        <f t="shared" si="4"/>
        <v>40</v>
      </c>
      <c r="B41" s="430">
        <f t="shared" si="0"/>
        <v>4</v>
      </c>
      <c r="C41" s="433">
        <f>IFERROR(-LBP/2+HLOOKUP(Stn_WL,Tools!$AD$2:$AD$27,QUOTIENT(ROW()-2,Max_WL_count)+2,FALSE)*STN_GAP,"")</f>
        <v>-55.972499999999997</v>
      </c>
      <c r="D41" s="433">
        <f>IFERROR(VLOOKUP(HLOOKUP(Stn_WL,Tools!$AD$2:$AD$27,QUOTIENT(ROW()-2,Max_WL_count)+2,FALSE),Tools!$AD$3:$BC$27,MOD(ROW()-2,Max_WL_count)+2,FALSE),"")</f>
        <v>0.4</v>
      </c>
      <c r="E41" s="431">
        <f>IFERROR(IF(ISNUMBER(D41),HLOOKUP(Tools!$BE$2,Tools!$BE$2:$BE$27,MOD(ROW()-2,Max_WL_count)+2,FALSE)*WLS,""),"")</f>
        <v>2.7</v>
      </c>
      <c r="I41" s="427">
        <f t="shared" si="5"/>
        <v>40</v>
      </c>
      <c r="J41" s="430">
        <f t="shared" si="1"/>
        <v>4</v>
      </c>
      <c r="K41" s="433">
        <f>IFERROR(-LBP/2+HLOOKUP(Stn_WL,Tools!$AD$2:$AD$27,N41+2,FALSE)*STN_GAP,"")</f>
        <v>-55.972499999999997</v>
      </c>
      <c r="L41" s="433">
        <f>IFERROR(IF(AND(ISNUMBER(K41),O41=0),0,VLOOKUP(HLOOKUP(Stn_WL,Tools!$AD$2:$AD$27,N41+2,FALSE),Tools!$AD$3:$BC$27,O41+1,FALSE)),"")</f>
        <v>0</v>
      </c>
      <c r="M41" s="433">
        <f>IFERROR(IF(ISNUMBER(L41),IF(O41=0,IFERROR(HLOOKUP(Tools!$BD$127,Tools!$BD$127:$BD$152,N41+2,FALSE)*1,0),HLOOKUP(Tools!$BE$2,Tools!$BE$2:$BE$27,O41+1,FALSE)*WLS),""),"")</f>
        <v>1.95</v>
      </c>
      <c r="N41">
        <f t="shared" si="2"/>
        <v>3</v>
      </c>
      <c r="O41">
        <f t="shared" si="3"/>
        <v>0</v>
      </c>
    </row>
    <row r="42" spans="1:15" x14ac:dyDescent="0.25">
      <c r="A42" s="427">
        <f t="shared" si="4"/>
        <v>41</v>
      </c>
      <c r="B42" s="430">
        <f t="shared" si="0"/>
        <v>4</v>
      </c>
      <c r="C42" s="433">
        <f>IFERROR(-LBP/2+HLOOKUP(Stn_WL,Tools!$AD$2:$AD$27,QUOTIENT(ROW()-2,Max_WL_count)+2,FALSE)*STN_GAP,"")</f>
        <v>-55.972499999999997</v>
      </c>
      <c r="D42" s="433">
        <f>IFERROR(VLOOKUP(HLOOKUP(Stn_WL,Tools!$AD$2:$AD$27,QUOTIENT(ROW()-2,Max_WL_count)+2,FALSE),Tools!$AD$3:$BC$27,MOD(ROW()-2,Max_WL_count)+2,FALSE),"")</f>
        <v>0.7</v>
      </c>
      <c r="E42" s="431">
        <f>IFERROR(IF(ISNUMBER(D42),HLOOKUP(Tools!$BE$2,Tools!$BE$2:$BE$27,MOD(ROW()-2,Max_WL_count)+2,FALSE)*WLS,""),"")</f>
        <v>3.6</v>
      </c>
      <c r="I42" s="427">
        <f t="shared" si="5"/>
        <v>41</v>
      </c>
      <c r="J42" s="430">
        <f t="shared" si="1"/>
        <v>4</v>
      </c>
      <c r="K42" s="433">
        <f>IFERROR(-LBP/2+HLOOKUP(Stn_WL,Tools!$AD$2:$AD$27,N42+2,FALSE)*STN_GAP,"")</f>
        <v>-55.972499999999997</v>
      </c>
      <c r="L42" s="433">
        <f>IFERROR(IF(AND(ISNUMBER(K42),O42=0),0,VLOOKUP(HLOOKUP(Stn_WL,Tools!$AD$2:$AD$27,N42+2,FALSE),Tools!$AD$3:$BC$27,O42+1,FALSE)),"")</f>
        <v>0</v>
      </c>
      <c r="M42" s="433">
        <f>IFERROR(IF(ISNUMBER(L42),IF(O42=0,IFERROR(HLOOKUP(Tools!$BD$127,Tools!$BD$127:$BD$152,N42+2,FALSE)*1,0),HLOOKUP(Tools!$BE$2,Tools!$BE$2:$BE$27,O42+1,FALSE)*WLS),""),"")</f>
        <v>0</v>
      </c>
      <c r="N42">
        <f t="shared" si="2"/>
        <v>3</v>
      </c>
      <c r="O42">
        <f t="shared" si="3"/>
        <v>1</v>
      </c>
    </row>
    <row r="43" spans="1:15" x14ac:dyDescent="0.25">
      <c r="A43" s="427">
        <f t="shared" si="4"/>
        <v>42</v>
      </c>
      <c r="B43" s="430">
        <f t="shared" si="0"/>
        <v>4</v>
      </c>
      <c r="C43" s="433">
        <f>IFERROR(-LBP/2+HLOOKUP(Stn_WL,Tools!$AD$2:$AD$27,QUOTIENT(ROW()-2,Max_WL_count)+2,FALSE)*STN_GAP,"")</f>
        <v>-55.972499999999997</v>
      </c>
      <c r="D43" s="433">
        <f>IFERROR(VLOOKUP(HLOOKUP(Stn_WL,Tools!$AD$2:$AD$27,QUOTIENT(ROW()-2,Max_WL_count)+2,FALSE),Tools!$AD$3:$BC$27,MOD(ROW()-2,Max_WL_count)+2,FALSE),"")</f>
        <v>1.2</v>
      </c>
      <c r="E43" s="431">
        <f>IFERROR(IF(ISNUMBER(D43),HLOOKUP(Tools!$BE$2,Tools!$BE$2:$BE$27,MOD(ROW()-2,Max_WL_count)+2,FALSE)*WLS,""),"")</f>
        <v>5.4</v>
      </c>
      <c r="I43" s="427">
        <f t="shared" si="5"/>
        <v>42</v>
      </c>
      <c r="J43" s="430">
        <f t="shared" si="1"/>
        <v>4</v>
      </c>
      <c r="K43" s="433">
        <f>IFERROR(-LBP/2+HLOOKUP(Stn_WL,Tools!$AD$2:$AD$27,N43+2,FALSE)*STN_GAP,"")</f>
        <v>-55.972499999999997</v>
      </c>
      <c r="L43" s="433">
        <f>IFERROR(IF(AND(ISNUMBER(K43),O43=0),0,VLOOKUP(HLOOKUP(Stn_WL,Tools!$AD$2:$AD$27,N43+2,FALSE),Tools!$AD$3:$BC$27,O43+1,FALSE)),"")</f>
        <v>0</v>
      </c>
      <c r="M43" s="433">
        <f>IFERROR(IF(ISNUMBER(L43),IF(O43=0,IFERROR(HLOOKUP(Tools!$BD$127,Tools!$BD$127:$BD$152,N43+2,FALSE)*1,0),HLOOKUP(Tools!$BE$2,Tools!$BE$2:$BE$27,O43+1,FALSE)*WLS),""),"")</f>
        <v>0.9</v>
      </c>
      <c r="N43">
        <f t="shared" si="2"/>
        <v>3</v>
      </c>
      <c r="O43">
        <f t="shared" si="3"/>
        <v>2</v>
      </c>
    </row>
    <row r="44" spans="1:15" x14ac:dyDescent="0.25">
      <c r="A44" s="427">
        <f t="shared" si="4"/>
        <v>43</v>
      </c>
      <c r="B44" s="430">
        <f t="shared" si="0"/>
        <v>4</v>
      </c>
      <c r="C44" s="433">
        <f>IFERROR(-LBP/2+HLOOKUP(Stn_WL,Tools!$AD$2:$AD$27,QUOTIENT(ROW()-2,Max_WL_count)+2,FALSE)*STN_GAP,"")</f>
        <v>-55.972499999999997</v>
      </c>
      <c r="D44" s="433">
        <f>IFERROR(VLOOKUP(HLOOKUP(Stn_WL,Tools!$AD$2:$AD$27,QUOTIENT(ROW()-2,Max_WL_count)+2,FALSE),Tools!$AD$3:$BC$27,MOD(ROW()-2,Max_WL_count)+2,FALSE),"")</f>
        <v>2.4</v>
      </c>
      <c r="E44" s="431">
        <f>IFERROR(IF(ISNUMBER(D44),HLOOKUP(Tools!$BE$2,Tools!$BE$2:$BE$27,MOD(ROW()-2,Max_WL_count)+2,FALSE)*WLS,""),"")</f>
        <v>7.2</v>
      </c>
      <c r="I44" s="427">
        <f t="shared" si="5"/>
        <v>43</v>
      </c>
      <c r="J44" s="430">
        <f t="shared" si="1"/>
        <v>4</v>
      </c>
      <c r="K44" s="433">
        <f>IFERROR(-LBP/2+HLOOKUP(Stn_WL,Tools!$AD$2:$AD$27,N44+2,FALSE)*STN_GAP,"")</f>
        <v>-55.972499999999997</v>
      </c>
      <c r="L44" s="433">
        <f>IFERROR(IF(AND(ISNUMBER(K44),O44=0),0,VLOOKUP(HLOOKUP(Stn_WL,Tools!$AD$2:$AD$27,N44+2,FALSE),Tools!$AD$3:$BC$27,O44+1,FALSE)),"")</f>
        <v>0</v>
      </c>
      <c r="M44" s="433">
        <f>IFERROR(IF(ISNUMBER(L44),IF(O44=0,IFERROR(HLOOKUP(Tools!$BD$127,Tools!$BD$127:$BD$152,N44+2,FALSE)*1,0),HLOOKUP(Tools!$BE$2,Tools!$BE$2:$BE$27,O44+1,FALSE)*WLS),""),"")</f>
        <v>1.8</v>
      </c>
      <c r="N44">
        <f t="shared" si="2"/>
        <v>3</v>
      </c>
      <c r="O44">
        <f t="shared" si="3"/>
        <v>3</v>
      </c>
    </row>
    <row r="45" spans="1:15" x14ac:dyDescent="0.25">
      <c r="A45" s="427">
        <f t="shared" si="4"/>
        <v>44</v>
      </c>
      <c r="B45" s="430">
        <f t="shared" si="0"/>
        <v>4</v>
      </c>
      <c r="C45" s="433">
        <f>IFERROR(-LBP/2+HLOOKUP(Stn_WL,Tools!$AD$2:$AD$27,QUOTIENT(ROW()-2,Max_WL_count)+2,FALSE)*STN_GAP,"")</f>
        <v>-55.972499999999997</v>
      </c>
      <c r="D45" s="433">
        <f>IFERROR(VLOOKUP(HLOOKUP(Stn_WL,Tools!$AD$2:$AD$27,QUOTIENT(ROW()-2,Max_WL_count)+2,FALSE),Tools!$AD$3:$BC$27,MOD(ROW()-2,Max_WL_count)+2,FALSE),"")</f>
        <v>8.5500000000000007</v>
      </c>
      <c r="E45" s="431">
        <f>IFERROR(IF(ISNUMBER(D45),HLOOKUP(Tools!$BE$2,Tools!$BE$2:$BE$27,MOD(ROW()-2,Max_WL_count)+2,FALSE)*WLS,""),"")</f>
        <v>9</v>
      </c>
      <c r="I45" s="427">
        <f t="shared" si="5"/>
        <v>44</v>
      </c>
      <c r="J45" s="430">
        <f t="shared" si="1"/>
        <v>4</v>
      </c>
      <c r="K45" s="433">
        <f>IFERROR(-LBP/2+HLOOKUP(Stn_WL,Tools!$AD$2:$AD$27,N45+2,FALSE)*STN_GAP,"")</f>
        <v>-55.972499999999997</v>
      </c>
      <c r="L45" s="433">
        <f>IFERROR(IF(AND(ISNUMBER(K45),O45=0),0,VLOOKUP(HLOOKUP(Stn_WL,Tools!$AD$2:$AD$27,N45+2,FALSE),Tools!$AD$3:$BC$27,O45+1,FALSE)),"")</f>
        <v>0.4</v>
      </c>
      <c r="M45" s="433">
        <f>IFERROR(IF(ISNUMBER(L45),IF(O45=0,IFERROR(HLOOKUP(Tools!$BD$127,Tools!$BD$127:$BD$152,N45+2,FALSE)*1,0),HLOOKUP(Tools!$BE$2,Tools!$BE$2:$BE$27,O45+1,FALSE)*WLS),""),"")</f>
        <v>2.7</v>
      </c>
      <c r="N45">
        <f t="shared" si="2"/>
        <v>3</v>
      </c>
      <c r="O45">
        <f t="shared" si="3"/>
        <v>4</v>
      </c>
    </row>
    <row r="46" spans="1:15" x14ac:dyDescent="0.25">
      <c r="A46" s="427">
        <f t="shared" si="4"/>
        <v>45</v>
      </c>
      <c r="B46" s="430">
        <f t="shared" si="0"/>
        <v>4</v>
      </c>
      <c r="C46" s="433">
        <f>IFERROR(-LBP/2+HLOOKUP(Stn_WL,Tools!$AD$2:$AD$27,QUOTIENT(ROW()-2,Max_WL_count)+2,FALSE)*STN_GAP,"")</f>
        <v>-55.972499999999997</v>
      </c>
      <c r="D46" s="433">
        <f>IFERROR(VLOOKUP(HLOOKUP(Stn_WL,Tools!$AD$2:$AD$27,QUOTIENT(ROW()-2,Max_WL_count)+2,FALSE),Tools!$AD$3:$BC$27,MOD(ROW()-2,Max_WL_count)+2,FALSE),"")</f>
        <v>10.14</v>
      </c>
      <c r="E46" s="431">
        <f>IFERROR(IF(ISNUMBER(D46),HLOOKUP(Tools!$BE$2,Tools!$BE$2:$BE$27,MOD(ROW()-2,Max_WL_count)+2,FALSE)*WLS,""),"")</f>
        <v>10.1</v>
      </c>
      <c r="I46" s="427">
        <f t="shared" si="5"/>
        <v>45</v>
      </c>
      <c r="J46" s="430">
        <f t="shared" si="1"/>
        <v>4</v>
      </c>
      <c r="K46" s="433">
        <f>IFERROR(-LBP/2+HLOOKUP(Stn_WL,Tools!$AD$2:$AD$27,N46+2,FALSE)*STN_GAP,"")</f>
        <v>-55.972499999999997</v>
      </c>
      <c r="L46" s="433">
        <f>IFERROR(IF(AND(ISNUMBER(K46),O46=0),0,VLOOKUP(HLOOKUP(Stn_WL,Tools!$AD$2:$AD$27,N46+2,FALSE),Tools!$AD$3:$BC$27,O46+1,FALSE)),"")</f>
        <v>0.7</v>
      </c>
      <c r="M46" s="433">
        <f>IFERROR(IF(ISNUMBER(L46),IF(O46=0,IFERROR(HLOOKUP(Tools!$BD$127,Tools!$BD$127:$BD$152,N46+2,FALSE)*1,0),HLOOKUP(Tools!$BE$2,Tools!$BE$2:$BE$27,O46+1,FALSE)*WLS),""),"")</f>
        <v>3.6</v>
      </c>
      <c r="N46">
        <f t="shared" si="2"/>
        <v>3</v>
      </c>
      <c r="O46">
        <f t="shared" si="3"/>
        <v>5</v>
      </c>
    </row>
    <row r="47" spans="1:15" x14ac:dyDescent="0.25">
      <c r="A47" s="427">
        <f t="shared" si="4"/>
        <v>46</v>
      </c>
      <c r="B47" s="430">
        <f t="shared" si="0"/>
        <v>4</v>
      </c>
      <c r="C47" s="433">
        <f>IFERROR(-LBP/2+HLOOKUP(Stn_WL,Tools!$AD$2:$AD$27,QUOTIENT(ROW()-2,Max_WL_count)+2,FALSE)*STN_GAP,"")</f>
        <v>-55.972499999999997</v>
      </c>
      <c r="D47" s="433">
        <f>IFERROR(VLOOKUP(HLOOKUP(Stn_WL,Tools!$AD$2:$AD$27,QUOTIENT(ROW()-2,Max_WL_count)+2,FALSE),Tools!$AD$3:$BC$27,MOD(ROW()-2,Max_WL_count)+2,FALSE),"")</f>
        <v>10.78</v>
      </c>
      <c r="E47" s="431">
        <f>IFERROR(IF(ISNUMBER(D47),HLOOKUP(Tools!$BE$2,Tools!$BE$2:$BE$27,MOD(ROW()-2,Max_WL_count)+2,FALSE)*WLS,""),"")</f>
        <v>10.8</v>
      </c>
      <c r="I47" s="427">
        <f t="shared" si="5"/>
        <v>46</v>
      </c>
      <c r="J47" s="430">
        <f t="shared" si="1"/>
        <v>4</v>
      </c>
      <c r="K47" s="433">
        <f>IFERROR(-LBP/2+HLOOKUP(Stn_WL,Tools!$AD$2:$AD$27,N47+2,FALSE)*STN_GAP,"")</f>
        <v>-55.972499999999997</v>
      </c>
      <c r="L47" s="433">
        <f>IFERROR(IF(AND(ISNUMBER(K47),O47=0),0,VLOOKUP(HLOOKUP(Stn_WL,Tools!$AD$2:$AD$27,N47+2,FALSE),Tools!$AD$3:$BC$27,O47+1,FALSE)),"")</f>
        <v>1.2</v>
      </c>
      <c r="M47" s="433">
        <f>IFERROR(IF(ISNUMBER(L47),IF(O47=0,IFERROR(HLOOKUP(Tools!$BD$127,Tools!$BD$127:$BD$152,N47+2,FALSE)*1,0),HLOOKUP(Tools!$BE$2,Tools!$BE$2:$BE$27,O47+1,FALSE)*WLS),""),"")</f>
        <v>5.4</v>
      </c>
      <c r="N47">
        <f t="shared" si="2"/>
        <v>3</v>
      </c>
      <c r="O47">
        <f t="shared" si="3"/>
        <v>6</v>
      </c>
    </row>
    <row r="48" spans="1:15" x14ac:dyDescent="0.25">
      <c r="A48" s="427">
        <f t="shared" si="4"/>
        <v>47</v>
      </c>
      <c r="B48" s="430">
        <f t="shared" si="0"/>
        <v>4</v>
      </c>
      <c r="C48" s="433">
        <f>IFERROR(-LBP/2+HLOOKUP(Stn_WL,Tools!$AD$2:$AD$27,QUOTIENT(ROW()-2,Max_WL_count)+2,FALSE)*STN_GAP,"")</f>
        <v>-55.972499999999997</v>
      </c>
      <c r="D48" s="433">
        <f>IFERROR(VLOOKUP(HLOOKUP(Stn_WL,Tools!$AD$2:$AD$27,QUOTIENT(ROW()-2,Max_WL_count)+2,FALSE),Tools!$AD$3:$BC$27,MOD(ROW()-2,Max_WL_count)+2,FALSE),"")</f>
        <v>11.77</v>
      </c>
      <c r="E48" s="431">
        <f>IFERROR(IF(ISNUMBER(D48),HLOOKUP(Tools!$BE$2,Tools!$BE$2:$BE$27,MOD(ROW()-2,Max_WL_count)+2,FALSE)*WLS,""),"")</f>
        <v>12.6</v>
      </c>
      <c r="I48" s="427">
        <f t="shared" si="5"/>
        <v>47</v>
      </c>
      <c r="J48" s="430">
        <f t="shared" si="1"/>
        <v>4</v>
      </c>
      <c r="K48" s="433">
        <f>IFERROR(-LBP/2+HLOOKUP(Stn_WL,Tools!$AD$2:$AD$27,N48+2,FALSE)*STN_GAP,"")</f>
        <v>-55.972499999999997</v>
      </c>
      <c r="L48" s="433">
        <f>IFERROR(IF(AND(ISNUMBER(K48),O48=0),0,VLOOKUP(HLOOKUP(Stn_WL,Tools!$AD$2:$AD$27,N48+2,FALSE),Tools!$AD$3:$BC$27,O48+1,FALSE)),"")</f>
        <v>2.4</v>
      </c>
      <c r="M48" s="433">
        <f>IFERROR(IF(ISNUMBER(L48),IF(O48=0,IFERROR(HLOOKUP(Tools!$BD$127,Tools!$BD$127:$BD$152,N48+2,FALSE)*1,0),HLOOKUP(Tools!$BE$2,Tools!$BE$2:$BE$27,O48+1,FALSE)*WLS),""),"")</f>
        <v>7.2</v>
      </c>
      <c r="N48">
        <f t="shared" si="2"/>
        <v>3</v>
      </c>
      <c r="O48">
        <f t="shared" si="3"/>
        <v>7</v>
      </c>
    </row>
    <row r="49" spans="1:15" x14ac:dyDescent="0.25">
      <c r="A49" s="427">
        <f t="shared" si="4"/>
        <v>48</v>
      </c>
      <c r="B49" s="430">
        <f t="shared" si="0"/>
        <v>4</v>
      </c>
      <c r="C49" s="433">
        <f>IFERROR(-LBP/2+HLOOKUP(Stn_WL,Tools!$AD$2:$AD$27,QUOTIENT(ROW()-2,Max_WL_count)+2,FALSE)*STN_GAP,"")</f>
        <v>-55.972499999999997</v>
      </c>
      <c r="D49" s="433">
        <f>IFERROR(VLOOKUP(HLOOKUP(Stn_WL,Tools!$AD$2:$AD$27,QUOTIENT(ROW()-2,Max_WL_count)+2,FALSE),Tools!$AD$3:$BC$27,MOD(ROW()-2,Max_WL_count)+2,FALSE),"")</f>
        <v>12.1</v>
      </c>
      <c r="E49" s="431">
        <f>IFERROR(IF(ISNUMBER(D49),HLOOKUP(Tools!$BE$2,Tools!$BE$2:$BE$27,MOD(ROW()-2,Max_WL_count)+2,FALSE)*WLS,""),"")</f>
        <v>14.19</v>
      </c>
      <c r="I49" s="427">
        <f t="shared" si="5"/>
        <v>48</v>
      </c>
      <c r="J49" s="430">
        <f t="shared" si="1"/>
        <v>4</v>
      </c>
      <c r="K49" s="433">
        <f>IFERROR(-LBP/2+HLOOKUP(Stn_WL,Tools!$AD$2:$AD$27,N49+2,FALSE)*STN_GAP,"")</f>
        <v>-55.972499999999997</v>
      </c>
      <c r="L49" s="433">
        <f>IFERROR(IF(AND(ISNUMBER(K49),O49=0),0,VLOOKUP(HLOOKUP(Stn_WL,Tools!$AD$2:$AD$27,N49+2,FALSE),Tools!$AD$3:$BC$27,O49+1,FALSE)),"")</f>
        <v>8.5500000000000007</v>
      </c>
      <c r="M49" s="433">
        <f>IFERROR(IF(ISNUMBER(L49),IF(O49=0,IFERROR(HLOOKUP(Tools!$BD$127,Tools!$BD$127:$BD$152,N49+2,FALSE)*1,0),HLOOKUP(Tools!$BE$2,Tools!$BE$2:$BE$27,O49+1,FALSE)*WLS),""),"")</f>
        <v>9</v>
      </c>
      <c r="N49">
        <f t="shared" si="2"/>
        <v>3</v>
      </c>
      <c r="O49">
        <f t="shared" si="3"/>
        <v>8</v>
      </c>
    </row>
    <row r="50" spans="1:15" x14ac:dyDescent="0.25">
      <c r="A50" s="427">
        <f t="shared" si="4"/>
        <v>49</v>
      </c>
      <c r="B50" s="430">
        <f t="shared" si="0"/>
        <v>5</v>
      </c>
      <c r="C50" s="433">
        <f>IFERROR(-LBP/2+HLOOKUP(Stn_WL,Tools!$AD$2:$AD$27,QUOTIENT(ROW()-2,Max_WL_count)+2,FALSE)*STN_GAP,"")</f>
        <v>-52.679999999999993</v>
      </c>
      <c r="D50" s="433">
        <f>IFERROR(VLOOKUP(HLOOKUP(Stn_WL,Tools!$AD$2:$AD$27,QUOTIENT(ROW()-2,Max_WL_count)+2,FALSE),Tools!$AD$3:$BC$27,MOD(ROW()-2,Max_WL_count)+2,FALSE),"")</f>
        <v>0</v>
      </c>
      <c r="E50" s="431">
        <f>IFERROR(IF(ISNUMBER(D50),HLOOKUP(Tools!$BE$2,Tools!$BE$2:$BE$27,MOD(ROW()-2,Max_WL_count)+2,FALSE)*WLS,""),"")</f>
        <v>0</v>
      </c>
      <c r="I50" s="427">
        <f t="shared" si="5"/>
        <v>49</v>
      </c>
      <c r="J50" s="430">
        <f t="shared" si="1"/>
        <v>4</v>
      </c>
      <c r="K50" s="433">
        <f>IFERROR(-LBP/2+HLOOKUP(Stn_WL,Tools!$AD$2:$AD$27,N50+2,FALSE)*STN_GAP,"")</f>
        <v>-55.972499999999997</v>
      </c>
      <c r="L50" s="433">
        <f>IFERROR(IF(AND(ISNUMBER(K50),O50=0),0,VLOOKUP(HLOOKUP(Stn_WL,Tools!$AD$2:$AD$27,N50+2,FALSE),Tools!$AD$3:$BC$27,O50+1,FALSE)),"")</f>
        <v>10.14</v>
      </c>
      <c r="M50" s="433">
        <f>IFERROR(IF(ISNUMBER(L50),IF(O50=0,IFERROR(HLOOKUP(Tools!$BD$127,Tools!$BD$127:$BD$152,N50+2,FALSE)*1,0),HLOOKUP(Tools!$BE$2,Tools!$BE$2:$BE$27,O50+1,FALSE)*WLS),""),"")</f>
        <v>10.1</v>
      </c>
      <c r="N50">
        <f t="shared" si="2"/>
        <v>3</v>
      </c>
      <c r="O50">
        <f t="shared" si="3"/>
        <v>9</v>
      </c>
    </row>
    <row r="51" spans="1:15" x14ac:dyDescent="0.25">
      <c r="A51" s="427">
        <f t="shared" si="4"/>
        <v>50</v>
      </c>
      <c r="B51" s="430">
        <f t="shared" si="0"/>
        <v>5</v>
      </c>
      <c r="C51" s="433">
        <f>IFERROR(-LBP/2+HLOOKUP(Stn_WL,Tools!$AD$2:$AD$27,QUOTIENT(ROW()-2,Max_WL_count)+2,FALSE)*STN_GAP,"")</f>
        <v>-52.679999999999993</v>
      </c>
      <c r="D51" s="433">
        <f>IFERROR(VLOOKUP(HLOOKUP(Stn_WL,Tools!$AD$2:$AD$27,QUOTIENT(ROW()-2,Max_WL_count)+2,FALSE),Tools!$AD$3:$BC$27,MOD(ROW()-2,Max_WL_count)+2,FALSE),"")</f>
        <v>0.4</v>
      </c>
      <c r="E51" s="431">
        <f>IFERROR(IF(ISNUMBER(D51),HLOOKUP(Tools!$BE$2,Tools!$BE$2:$BE$27,MOD(ROW()-2,Max_WL_count)+2,FALSE)*WLS,""),"")</f>
        <v>0.9</v>
      </c>
      <c r="I51" s="427">
        <f t="shared" si="5"/>
        <v>50</v>
      </c>
      <c r="J51" s="430">
        <f t="shared" si="1"/>
        <v>4</v>
      </c>
      <c r="K51" s="433">
        <f>IFERROR(-LBP/2+HLOOKUP(Stn_WL,Tools!$AD$2:$AD$27,N51+2,FALSE)*STN_GAP,"")</f>
        <v>-55.972499999999997</v>
      </c>
      <c r="L51" s="433">
        <f>IFERROR(IF(AND(ISNUMBER(K51),O51=0),0,VLOOKUP(HLOOKUP(Stn_WL,Tools!$AD$2:$AD$27,N51+2,FALSE),Tools!$AD$3:$BC$27,O51+1,FALSE)),"")</f>
        <v>10.78</v>
      </c>
      <c r="M51" s="433">
        <f>IFERROR(IF(ISNUMBER(L51),IF(O51=0,IFERROR(HLOOKUP(Tools!$BD$127,Tools!$BD$127:$BD$152,N51+2,FALSE)*1,0),HLOOKUP(Tools!$BE$2,Tools!$BE$2:$BE$27,O51+1,FALSE)*WLS),""),"")</f>
        <v>10.8</v>
      </c>
      <c r="N51">
        <f t="shared" si="2"/>
        <v>3</v>
      </c>
      <c r="O51">
        <f t="shared" si="3"/>
        <v>10</v>
      </c>
    </row>
    <row r="52" spans="1:15" x14ac:dyDescent="0.25">
      <c r="A52" s="427">
        <f t="shared" si="4"/>
        <v>51</v>
      </c>
      <c r="B52" s="430">
        <f t="shared" si="0"/>
        <v>5</v>
      </c>
      <c r="C52" s="433">
        <f>IFERROR(-LBP/2+HLOOKUP(Stn_WL,Tools!$AD$2:$AD$27,QUOTIENT(ROW()-2,Max_WL_count)+2,FALSE)*STN_GAP,"")</f>
        <v>-52.679999999999993</v>
      </c>
      <c r="D52" s="433">
        <f>IFERROR(VLOOKUP(HLOOKUP(Stn_WL,Tools!$AD$2:$AD$27,QUOTIENT(ROW()-2,Max_WL_count)+2,FALSE),Tools!$AD$3:$BC$27,MOD(ROW()-2,Max_WL_count)+2,FALSE),"")</f>
        <v>1.04</v>
      </c>
      <c r="E52" s="431">
        <f>IFERROR(IF(ISNUMBER(D52),HLOOKUP(Tools!$BE$2,Tools!$BE$2:$BE$27,MOD(ROW()-2,Max_WL_count)+2,FALSE)*WLS,""),"")</f>
        <v>1.8</v>
      </c>
      <c r="I52" s="427">
        <f t="shared" si="5"/>
        <v>51</v>
      </c>
      <c r="J52" s="430">
        <f t="shared" si="1"/>
        <v>4</v>
      </c>
      <c r="K52" s="433">
        <f>IFERROR(-LBP/2+HLOOKUP(Stn_WL,Tools!$AD$2:$AD$27,N52+2,FALSE)*STN_GAP,"")</f>
        <v>-55.972499999999997</v>
      </c>
      <c r="L52" s="433">
        <f>IFERROR(IF(AND(ISNUMBER(K52),O52=0),0,VLOOKUP(HLOOKUP(Stn_WL,Tools!$AD$2:$AD$27,N52+2,FALSE),Tools!$AD$3:$BC$27,O52+1,FALSE)),"")</f>
        <v>11.77</v>
      </c>
      <c r="M52" s="433">
        <f>IFERROR(IF(ISNUMBER(L52),IF(O52=0,IFERROR(HLOOKUP(Tools!$BD$127,Tools!$BD$127:$BD$152,N52+2,FALSE)*1,0),HLOOKUP(Tools!$BE$2,Tools!$BE$2:$BE$27,O52+1,FALSE)*WLS),""),"")</f>
        <v>12.6</v>
      </c>
      <c r="N52">
        <f t="shared" si="2"/>
        <v>3</v>
      </c>
      <c r="O52">
        <f t="shared" si="3"/>
        <v>11</v>
      </c>
    </row>
    <row r="53" spans="1:15" x14ac:dyDescent="0.25">
      <c r="A53" s="427">
        <f t="shared" si="4"/>
        <v>52</v>
      </c>
      <c r="B53" s="430">
        <f t="shared" si="0"/>
        <v>5</v>
      </c>
      <c r="C53" s="433">
        <f>IFERROR(-LBP/2+HLOOKUP(Stn_WL,Tools!$AD$2:$AD$27,QUOTIENT(ROW()-2,Max_WL_count)+2,FALSE)*STN_GAP,"")</f>
        <v>-52.679999999999993</v>
      </c>
      <c r="D53" s="433">
        <f>IFERROR(VLOOKUP(HLOOKUP(Stn_WL,Tools!$AD$2:$AD$27,QUOTIENT(ROW()-2,Max_WL_count)+2,FALSE),Tools!$AD$3:$BC$27,MOD(ROW()-2,Max_WL_count)+2,FALSE),"")</f>
        <v>1.5</v>
      </c>
      <c r="E53" s="431">
        <f>IFERROR(IF(ISNUMBER(D53),HLOOKUP(Tools!$BE$2,Tools!$BE$2:$BE$27,MOD(ROW()-2,Max_WL_count)+2,FALSE)*WLS,""),"")</f>
        <v>2.7</v>
      </c>
      <c r="I53" s="427">
        <f t="shared" si="5"/>
        <v>52</v>
      </c>
      <c r="J53" s="430">
        <f t="shared" si="1"/>
        <v>4</v>
      </c>
      <c r="K53" s="433">
        <f>IFERROR(-LBP/2+HLOOKUP(Stn_WL,Tools!$AD$2:$AD$27,N53+2,FALSE)*STN_GAP,"")</f>
        <v>-55.972499999999997</v>
      </c>
      <c r="L53" s="433">
        <f>IFERROR(IF(AND(ISNUMBER(K53),O53=0),0,VLOOKUP(HLOOKUP(Stn_WL,Tools!$AD$2:$AD$27,N53+2,FALSE),Tools!$AD$3:$BC$27,O53+1,FALSE)),"")</f>
        <v>12.1</v>
      </c>
      <c r="M53" s="433">
        <f>IFERROR(IF(ISNUMBER(L53),IF(O53=0,IFERROR(HLOOKUP(Tools!$BD$127,Tools!$BD$127:$BD$152,N53+2,FALSE)*1,0),HLOOKUP(Tools!$BE$2,Tools!$BE$2:$BE$27,O53+1,FALSE)*WLS),""),"")</f>
        <v>14.19</v>
      </c>
      <c r="N53">
        <f t="shared" si="2"/>
        <v>3</v>
      </c>
      <c r="O53">
        <f t="shared" si="3"/>
        <v>12</v>
      </c>
    </row>
    <row r="54" spans="1:15" x14ac:dyDescent="0.25">
      <c r="A54" s="427">
        <f t="shared" si="4"/>
        <v>53</v>
      </c>
      <c r="B54" s="430">
        <f t="shared" si="0"/>
        <v>5</v>
      </c>
      <c r="C54" s="433">
        <f>IFERROR(-LBP/2+HLOOKUP(Stn_WL,Tools!$AD$2:$AD$27,QUOTIENT(ROW()-2,Max_WL_count)+2,FALSE)*STN_GAP,"")</f>
        <v>-52.679999999999993</v>
      </c>
      <c r="D54" s="433">
        <f>IFERROR(VLOOKUP(HLOOKUP(Stn_WL,Tools!$AD$2:$AD$27,QUOTIENT(ROW()-2,Max_WL_count)+2,FALSE),Tools!$AD$3:$BC$27,MOD(ROW()-2,Max_WL_count)+2,FALSE),"")</f>
        <v>1.7</v>
      </c>
      <c r="E54" s="431">
        <f>IFERROR(IF(ISNUMBER(D54),HLOOKUP(Tools!$BE$2,Tools!$BE$2:$BE$27,MOD(ROW()-2,Max_WL_count)+2,FALSE)*WLS,""),"")</f>
        <v>3.6</v>
      </c>
      <c r="I54" s="427">
        <f t="shared" si="5"/>
        <v>53</v>
      </c>
      <c r="J54" s="430">
        <f t="shared" si="1"/>
        <v>5</v>
      </c>
      <c r="K54" s="433">
        <f>IFERROR(-LBP/2+HLOOKUP(Stn_WL,Tools!$AD$2:$AD$27,N54+2,FALSE)*STN_GAP,"")</f>
        <v>-52.679999999999993</v>
      </c>
      <c r="L54" s="433">
        <f>IFERROR(IF(AND(ISNUMBER(K54),O54=0),0,VLOOKUP(HLOOKUP(Stn_WL,Tools!$AD$2:$AD$27,N54+2,FALSE),Tools!$AD$3:$BC$27,O54+1,FALSE)),"")</f>
        <v>0</v>
      </c>
      <c r="M54" s="433">
        <f>IFERROR(IF(ISNUMBER(L54),IF(O54=0,IFERROR(HLOOKUP(Tools!$BD$127,Tools!$BD$127:$BD$152,N54+2,FALSE)*1,0),HLOOKUP(Tools!$BE$2,Tools!$BE$2:$BE$27,O54+1,FALSE)*WLS),""),"")</f>
        <v>0.56999999999999995</v>
      </c>
      <c r="N54">
        <f t="shared" si="2"/>
        <v>4</v>
      </c>
      <c r="O54">
        <f t="shared" si="3"/>
        <v>0</v>
      </c>
    </row>
    <row r="55" spans="1:15" x14ac:dyDescent="0.25">
      <c r="A55" s="427">
        <f t="shared" si="4"/>
        <v>54</v>
      </c>
      <c r="B55" s="430">
        <f t="shared" si="0"/>
        <v>5</v>
      </c>
      <c r="C55" s="433">
        <f>IFERROR(-LBP/2+HLOOKUP(Stn_WL,Tools!$AD$2:$AD$27,QUOTIENT(ROW()-2,Max_WL_count)+2,FALSE)*STN_GAP,"")</f>
        <v>-52.679999999999993</v>
      </c>
      <c r="D55" s="433">
        <f>IFERROR(VLOOKUP(HLOOKUP(Stn_WL,Tools!$AD$2:$AD$27,QUOTIENT(ROW()-2,Max_WL_count)+2,FALSE),Tools!$AD$3:$BC$27,MOD(ROW()-2,Max_WL_count)+2,FALSE),"")</f>
        <v>2.7</v>
      </c>
      <c r="E55" s="431">
        <f>IFERROR(IF(ISNUMBER(D55),HLOOKUP(Tools!$BE$2,Tools!$BE$2:$BE$27,MOD(ROW()-2,Max_WL_count)+2,FALSE)*WLS,""),"")</f>
        <v>5.4</v>
      </c>
      <c r="I55" s="427">
        <f t="shared" si="5"/>
        <v>54</v>
      </c>
      <c r="J55" s="430">
        <f t="shared" si="1"/>
        <v>5</v>
      </c>
      <c r="K55" s="433">
        <f>IFERROR(-LBP/2+HLOOKUP(Stn_WL,Tools!$AD$2:$AD$27,N55+2,FALSE)*STN_GAP,"")</f>
        <v>-52.679999999999993</v>
      </c>
      <c r="L55" s="433">
        <f>IFERROR(IF(AND(ISNUMBER(K55),O55=0),0,VLOOKUP(HLOOKUP(Stn_WL,Tools!$AD$2:$AD$27,N55+2,FALSE),Tools!$AD$3:$BC$27,O55+1,FALSE)),"")</f>
        <v>0</v>
      </c>
      <c r="M55" s="433">
        <f>IFERROR(IF(ISNUMBER(L55),IF(O55=0,IFERROR(HLOOKUP(Tools!$BD$127,Tools!$BD$127:$BD$152,N55+2,FALSE)*1,0),HLOOKUP(Tools!$BE$2,Tools!$BE$2:$BE$27,O55+1,FALSE)*WLS),""),"")</f>
        <v>0</v>
      </c>
      <c r="N55">
        <f t="shared" si="2"/>
        <v>4</v>
      </c>
      <c r="O55">
        <f t="shared" si="3"/>
        <v>1</v>
      </c>
    </row>
    <row r="56" spans="1:15" x14ac:dyDescent="0.25">
      <c r="A56" s="427">
        <f t="shared" si="4"/>
        <v>55</v>
      </c>
      <c r="B56" s="430">
        <f t="shared" si="0"/>
        <v>5</v>
      </c>
      <c r="C56" s="433">
        <f>IFERROR(-LBP/2+HLOOKUP(Stn_WL,Tools!$AD$2:$AD$27,QUOTIENT(ROW()-2,Max_WL_count)+2,FALSE)*STN_GAP,"")</f>
        <v>-52.679999999999993</v>
      </c>
      <c r="D56" s="433">
        <f>IFERROR(VLOOKUP(HLOOKUP(Stn_WL,Tools!$AD$2:$AD$27,QUOTIENT(ROW()-2,Max_WL_count)+2,FALSE),Tools!$AD$3:$BC$27,MOD(ROW()-2,Max_WL_count)+2,FALSE),"")</f>
        <v>5.5</v>
      </c>
      <c r="E56" s="431">
        <f>IFERROR(IF(ISNUMBER(D56),HLOOKUP(Tools!$BE$2,Tools!$BE$2:$BE$27,MOD(ROW()-2,Max_WL_count)+2,FALSE)*WLS,""),"")</f>
        <v>7.2</v>
      </c>
      <c r="I56" s="427">
        <f t="shared" si="5"/>
        <v>55</v>
      </c>
      <c r="J56" s="430">
        <f t="shared" si="1"/>
        <v>5</v>
      </c>
      <c r="K56" s="433">
        <f>IFERROR(-LBP/2+HLOOKUP(Stn_WL,Tools!$AD$2:$AD$27,N56+2,FALSE)*STN_GAP,"")</f>
        <v>-52.679999999999993</v>
      </c>
      <c r="L56" s="433">
        <f>IFERROR(IF(AND(ISNUMBER(K56),O56=0),0,VLOOKUP(HLOOKUP(Stn_WL,Tools!$AD$2:$AD$27,N56+2,FALSE),Tools!$AD$3:$BC$27,O56+1,FALSE)),"")</f>
        <v>0.4</v>
      </c>
      <c r="M56" s="433">
        <f>IFERROR(IF(ISNUMBER(L56),IF(O56=0,IFERROR(HLOOKUP(Tools!$BD$127,Tools!$BD$127:$BD$152,N56+2,FALSE)*1,0),HLOOKUP(Tools!$BE$2,Tools!$BE$2:$BE$27,O56+1,FALSE)*WLS),""),"")</f>
        <v>0.9</v>
      </c>
      <c r="N56">
        <f t="shared" si="2"/>
        <v>4</v>
      </c>
      <c r="O56">
        <f t="shared" si="3"/>
        <v>2</v>
      </c>
    </row>
    <row r="57" spans="1:15" x14ac:dyDescent="0.25">
      <c r="A57" s="427">
        <f t="shared" si="4"/>
        <v>56</v>
      </c>
      <c r="B57" s="430">
        <f t="shared" si="0"/>
        <v>5</v>
      </c>
      <c r="C57" s="433">
        <f>IFERROR(-LBP/2+HLOOKUP(Stn_WL,Tools!$AD$2:$AD$27,QUOTIENT(ROW()-2,Max_WL_count)+2,FALSE)*STN_GAP,"")</f>
        <v>-52.679999999999993</v>
      </c>
      <c r="D57" s="433">
        <f>IFERROR(VLOOKUP(HLOOKUP(Stn_WL,Tools!$AD$2:$AD$27,QUOTIENT(ROW()-2,Max_WL_count)+2,FALSE),Tools!$AD$3:$BC$27,MOD(ROW()-2,Max_WL_count)+2,FALSE),"")</f>
        <v>9.9</v>
      </c>
      <c r="E57" s="431">
        <f>IFERROR(IF(ISNUMBER(D57),HLOOKUP(Tools!$BE$2,Tools!$BE$2:$BE$27,MOD(ROW()-2,Max_WL_count)+2,FALSE)*WLS,""),"")</f>
        <v>9</v>
      </c>
      <c r="I57" s="427">
        <f t="shared" si="5"/>
        <v>56</v>
      </c>
      <c r="J57" s="430">
        <f t="shared" si="1"/>
        <v>5</v>
      </c>
      <c r="K57" s="433">
        <f>IFERROR(-LBP/2+HLOOKUP(Stn_WL,Tools!$AD$2:$AD$27,N57+2,FALSE)*STN_GAP,"")</f>
        <v>-52.679999999999993</v>
      </c>
      <c r="L57" s="433">
        <f>IFERROR(IF(AND(ISNUMBER(K57),O57=0),0,VLOOKUP(HLOOKUP(Stn_WL,Tools!$AD$2:$AD$27,N57+2,FALSE),Tools!$AD$3:$BC$27,O57+1,FALSE)),"")</f>
        <v>1.04</v>
      </c>
      <c r="M57" s="433">
        <f>IFERROR(IF(ISNUMBER(L57),IF(O57=0,IFERROR(HLOOKUP(Tools!$BD$127,Tools!$BD$127:$BD$152,N57+2,FALSE)*1,0),HLOOKUP(Tools!$BE$2,Tools!$BE$2:$BE$27,O57+1,FALSE)*WLS),""),"")</f>
        <v>1.8</v>
      </c>
      <c r="N57">
        <f t="shared" si="2"/>
        <v>4</v>
      </c>
      <c r="O57">
        <f t="shared" si="3"/>
        <v>3</v>
      </c>
    </row>
    <row r="58" spans="1:15" x14ac:dyDescent="0.25">
      <c r="A58" s="427">
        <f t="shared" si="4"/>
        <v>57</v>
      </c>
      <c r="B58" s="430">
        <f t="shared" si="0"/>
        <v>5</v>
      </c>
      <c r="C58" s="433">
        <f>IFERROR(-LBP/2+HLOOKUP(Stn_WL,Tools!$AD$2:$AD$27,QUOTIENT(ROW()-2,Max_WL_count)+2,FALSE)*STN_GAP,"")</f>
        <v>-52.679999999999993</v>
      </c>
      <c r="D58" s="433">
        <f>IFERROR(VLOOKUP(HLOOKUP(Stn_WL,Tools!$AD$2:$AD$27,QUOTIENT(ROW()-2,Max_WL_count)+2,FALSE),Tools!$AD$3:$BC$27,MOD(ROW()-2,Max_WL_count)+2,FALSE),"")</f>
        <v>10.9</v>
      </c>
      <c r="E58" s="431">
        <f>IFERROR(IF(ISNUMBER(D58),HLOOKUP(Tools!$BE$2,Tools!$BE$2:$BE$27,MOD(ROW()-2,Max_WL_count)+2,FALSE)*WLS,""),"")</f>
        <v>10.1</v>
      </c>
      <c r="I58" s="427">
        <f t="shared" si="5"/>
        <v>57</v>
      </c>
      <c r="J58" s="430">
        <f t="shared" si="1"/>
        <v>5</v>
      </c>
      <c r="K58" s="433">
        <f>IFERROR(-LBP/2+HLOOKUP(Stn_WL,Tools!$AD$2:$AD$27,N58+2,FALSE)*STN_GAP,"")</f>
        <v>-52.679999999999993</v>
      </c>
      <c r="L58" s="433">
        <f>IFERROR(IF(AND(ISNUMBER(K58),O58=0),0,VLOOKUP(HLOOKUP(Stn_WL,Tools!$AD$2:$AD$27,N58+2,FALSE),Tools!$AD$3:$BC$27,O58+1,FALSE)),"")</f>
        <v>1.5</v>
      </c>
      <c r="M58" s="433">
        <f>IFERROR(IF(ISNUMBER(L58),IF(O58=0,IFERROR(HLOOKUP(Tools!$BD$127,Tools!$BD$127:$BD$152,N58+2,FALSE)*1,0),HLOOKUP(Tools!$BE$2,Tools!$BE$2:$BE$27,O58+1,FALSE)*WLS),""),"")</f>
        <v>2.7</v>
      </c>
      <c r="N58">
        <f t="shared" si="2"/>
        <v>4</v>
      </c>
      <c r="O58">
        <f t="shared" si="3"/>
        <v>4</v>
      </c>
    </row>
    <row r="59" spans="1:15" x14ac:dyDescent="0.25">
      <c r="A59" s="427">
        <f t="shared" si="4"/>
        <v>58</v>
      </c>
      <c r="B59" s="430">
        <f t="shared" si="0"/>
        <v>5</v>
      </c>
      <c r="C59" s="433">
        <f>IFERROR(-LBP/2+HLOOKUP(Stn_WL,Tools!$AD$2:$AD$27,QUOTIENT(ROW()-2,Max_WL_count)+2,FALSE)*STN_GAP,"")</f>
        <v>-52.679999999999993</v>
      </c>
      <c r="D59" s="433">
        <f>IFERROR(VLOOKUP(HLOOKUP(Stn_WL,Tools!$AD$2:$AD$27,QUOTIENT(ROW()-2,Max_WL_count)+2,FALSE),Tools!$AD$3:$BC$27,MOD(ROW()-2,Max_WL_count)+2,FALSE),"")</f>
        <v>11.34</v>
      </c>
      <c r="E59" s="431">
        <f>IFERROR(IF(ISNUMBER(D59),HLOOKUP(Tools!$BE$2,Tools!$BE$2:$BE$27,MOD(ROW()-2,Max_WL_count)+2,FALSE)*WLS,""),"")</f>
        <v>10.8</v>
      </c>
      <c r="I59" s="427">
        <f t="shared" si="5"/>
        <v>58</v>
      </c>
      <c r="J59" s="430">
        <f t="shared" si="1"/>
        <v>5</v>
      </c>
      <c r="K59" s="433">
        <f>IFERROR(-LBP/2+HLOOKUP(Stn_WL,Tools!$AD$2:$AD$27,N59+2,FALSE)*STN_GAP,"")</f>
        <v>-52.679999999999993</v>
      </c>
      <c r="L59" s="433">
        <f>IFERROR(IF(AND(ISNUMBER(K59),O59=0),0,VLOOKUP(HLOOKUP(Stn_WL,Tools!$AD$2:$AD$27,N59+2,FALSE),Tools!$AD$3:$BC$27,O59+1,FALSE)),"")</f>
        <v>1.7</v>
      </c>
      <c r="M59" s="433">
        <f>IFERROR(IF(ISNUMBER(L59),IF(O59=0,IFERROR(HLOOKUP(Tools!$BD$127,Tools!$BD$127:$BD$152,N59+2,FALSE)*1,0),HLOOKUP(Tools!$BE$2,Tools!$BE$2:$BE$27,O59+1,FALSE)*WLS),""),"")</f>
        <v>3.6</v>
      </c>
      <c r="N59">
        <f t="shared" si="2"/>
        <v>4</v>
      </c>
      <c r="O59">
        <f t="shared" si="3"/>
        <v>5</v>
      </c>
    </row>
    <row r="60" spans="1:15" x14ac:dyDescent="0.25">
      <c r="A60" s="427">
        <f t="shared" si="4"/>
        <v>59</v>
      </c>
      <c r="B60" s="430">
        <f t="shared" si="0"/>
        <v>5</v>
      </c>
      <c r="C60" s="433">
        <f>IFERROR(-LBP/2+HLOOKUP(Stn_WL,Tools!$AD$2:$AD$27,QUOTIENT(ROW()-2,Max_WL_count)+2,FALSE)*STN_GAP,"")</f>
        <v>-52.679999999999993</v>
      </c>
      <c r="D60" s="433">
        <f>IFERROR(VLOOKUP(HLOOKUP(Stn_WL,Tools!$AD$2:$AD$27,QUOTIENT(ROW()-2,Max_WL_count)+2,FALSE),Tools!$AD$3:$BC$27,MOD(ROW()-2,Max_WL_count)+2,FALSE),"")</f>
        <v>12</v>
      </c>
      <c r="E60" s="431">
        <f>IFERROR(IF(ISNUMBER(D60),HLOOKUP(Tools!$BE$2,Tools!$BE$2:$BE$27,MOD(ROW()-2,Max_WL_count)+2,FALSE)*WLS,""),"")</f>
        <v>12.6</v>
      </c>
      <c r="I60" s="427">
        <f t="shared" si="5"/>
        <v>59</v>
      </c>
      <c r="J60" s="430">
        <f t="shared" si="1"/>
        <v>5</v>
      </c>
      <c r="K60" s="433">
        <f>IFERROR(-LBP/2+HLOOKUP(Stn_WL,Tools!$AD$2:$AD$27,N60+2,FALSE)*STN_GAP,"")</f>
        <v>-52.679999999999993</v>
      </c>
      <c r="L60" s="433">
        <f>IFERROR(IF(AND(ISNUMBER(K60),O60=0),0,VLOOKUP(HLOOKUP(Stn_WL,Tools!$AD$2:$AD$27,N60+2,FALSE),Tools!$AD$3:$BC$27,O60+1,FALSE)),"")</f>
        <v>2.7</v>
      </c>
      <c r="M60" s="433">
        <f>IFERROR(IF(ISNUMBER(L60),IF(O60=0,IFERROR(HLOOKUP(Tools!$BD$127,Tools!$BD$127:$BD$152,N60+2,FALSE)*1,0),HLOOKUP(Tools!$BE$2,Tools!$BE$2:$BE$27,O60+1,FALSE)*WLS),""),"")</f>
        <v>5.4</v>
      </c>
      <c r="N60">
        <f t="shared" si="2"/>
        <v>4</v>
      </c>
      <c r="O60">
        <f t="shared" si="3"/>
        <v>6</v>
      </c>
    </row>
    <row r="61" spans="1:15" x14ac:dyDescent="0.25">
      <c r="A61" s="427">
        <f t="shared" si="4"/>
        <v>60</v>
      </c>
      <c r="B61" s="430">
        <f t="shared" si="0"/>
        <v>5</v>
      </c>
      <c r="C61" s="433">
        <f>IFERROR(-LBP/2+HLOOKUP(Stn_WL,Tools!$AD$2:$AD$27,QUOTIENT(ROW()-2,Max_WL_count)+2,FALSE)*STN_GAP,"")</f>
        <v>-52.679999999999993</v>
      </c>
      <c r="D61" s="433">
        <f>IFERROR(VLOOKUP(HLOOKUP(Stn_WL,Tools!$AD$2:$AD$27,QUOTIENT(ROW()-2,Max_WL_count)+2,FALSE),Tools!$AD$3:$BC$27,MOD(ROW()-2,Max_WL_count)+2,FALSE),"")</f>
        <v>12.2</v>
      </c>
      <c r="E61" s="431">
        <f>IFERROR(IF(ISNUMBER(D61),HLOOKUP(Tools!$BE$2,Tools!$BE$2:$BE$27,MOD(ROW()-2,Max_WL_count)+2,FALSE)*WLS,""),"")</f>
        <v>14.19</v>
      </c>
      <c r="I61" s="427">
        <f t="shared" si="5"/>
        <v>60</v>
      </c>
      <c r="J61" s="430">
        <f t="shared" si="1"/>
        <v>5</v>
      </c>
      <c r="K61" s="433">
        <f>IFERROR(-LBP/2+HLOOKUP(Stn_WL,Tools!$AD$2:$AD$27,N61+2,FALSE)*STN_GAP,"")</f>
        <v>-52.679999999999993</v>
      </c>
      <c r="L61" s="433">
        <f>IFERROR(IF(AND(ISNUMBER(K61),O61=0),0,VLOOKUP(HLOOKUP(Stn_WL,Tools!$AD$2:$AD$27,N61+2,FALSE),Tools!$AD$3:$BC$27,O61+1,FALSE)),"")</f>
        <v>5.5</v>
      </c>
      <c r="M61" s="433">
        <f>IFERROR(IF(ISNUMBER(L61),IF(O61=0,IFERROR(HLOOKUP(Tools!$BD$127,Tools!$BD$127:$BD$152,N61+2,FALSE)*1,0),HLOOKUP(Tools!$BE$2,Tools!$BE$2:$BE$27,O61+1,FALSE)*WLS),""),"")</f>
        <v>7.2</v>
      </c>
      <c r="N61">
        <f t="shared" si="2"/>
        <v>4</v>
      </c>
      <c r="O61">
        <f t="shared" si="3"/>
        <v>7</v>
      </c>
    </row>
    <row r="62" spans="1:15" x14ac:dyDescent="0.25">
      <c r="A62" s="427">
        <f t="shared" si="4"/>
        <v>61</v>
      </c>
      <c r="B62" s="430">
        <f t="shared" si="0"/>
        <v>6</v>
      </c>
      <c r="C62" s="433">
        <f>IFERROR(-LBP/2+HLOOKUP(Stn_WL,Tools!$AD$2:$AD$27,QUOTIENT(ROW()-2,Max_WL_count)+2,FALSE)*STN_GAP,"")</f>
        <v>-46.094999999999999</v>
      </c>
      <c r="D62" s="433">
        <f>IFERROR(VLOOKUP(HLOOKUP(Stn_WL,Tools!$AD$2:$AD$27,QUOTIENT(ROW()-2,Max_WL_count)+2,FALSE),Tools!$AD$3:$BC$27,MOD(ROW()-2,Max_WL_count)+2,FALSE),"")</f>
        <v>0.3</v>
      </c>
      <c r="E62" s="431">
        <f>IFERROR(IF(ISNUMBER(D62),HLOOKUP(Tools!$BE$2,Tools!$BE$2:$BE$27,MOD(ROW()-2,Max_WL_count)+2,FALSE)*WLS,""),"")</f>
        <v>0</v>
      </c>
      <c r="I62" s="427">
        <f t="shared" si="5"/>
        <v>61</v>
      </c>
      <c r="J62" s="430">
        <f t="shared" si="1"/>
        <v>5</v>
      </c>
      <c r="K62" s="433">
        <f>IFERROR(-LBP/2+HLOOKUP(Stn_WL,Tools!$AD$2:$AD$27,N62+2,FALSE)*STN_GAP,"")</f>
        <v>-52.679999999999993</v>
      </c>
      <c r="L62" s="433">
        <f>IFERROR(IF(AND(ISNUMBER(K62),O62=0),0,VLOOKUP(HLOOKUP(Stn_WL,Tools!$AD$2:$AD$27,N62+2,FALSE),Tools!$AD$3:$BC$27,O62+1,FALSE)),"")</f>
        <v>9.9</v>
      </c>
      <c r="M62" s="433">
        <f>IFERROR(IF(ISNUMBER(L62),IF(O62=0,IFERROR(HLOOKUP(Tools!$BD$127,Tools!$BD$127:$BD$152,N62+2,FALSE)*1,0),HLOOKUP(Tools!$BE$2,Tools!$BE$2:$BE$27,O62+1,FALSE)*WLS),""),"")</f>
        <v>9</v>
      </c>
      <c r="N62">
        <f t="shared" si="2"/>
        <v>4</v>
      </c>
      <c r="O62">
        <f t="shared" si="3"/>
        <v>8</v>
      </c>
    </row>
    <row r="63" spans="1:15" x14ac:dyDescent="0.25">
      <c r="A63" s="427">
        <f t="shared" si="4"/>
        <v>62</v>
      </c>
      <c r="B63" s="430">
        <f t="shared" si="0"/>
        <v>6</v>
      </c>
      <c r="C63" s="433">
        <f>IFERROR(-LBP/2+HLOOKUP(Stn_WL,Tools!$AD$2:$AD$27,QUOTIENT(ROW()-2,Max_WL_count)+2,FALSE)*STN_GAP,"")</f>
        <v>-46.094999999999999</v>
      </c>
      <c r="D63" s="433">
        <f>IFERROR(VLOOKUP(HLOOKUP(Stn_WL,Tools!$AD$2:$AD$27,QUOTIENT(ROW()-2,Max_WL_count)+2,FALSE),Tools!$AD$3:$BC$27,MOD(ROW()-2,Max_WL_count)+2,FALSE),"")</f>
        <v>1.67</v>
      </c>
      <c r="E63" s="431">
        <f>IFERROR(IF(ISNUMBER(D63),HLOOKUP(Tools!$BE$2,Tools!$BE$2:$BE$27,MOD(ROW()-2,Max_WL_count)+2,FALSE)*WLS,""),"")</f>
        <v>0.9</v>
      </c>
      <c r="I63" s="427">
        <f t="shared" si="5"/>
        <v>62</v>
      </c>
      <c r="J63" s="430">
        <f t="shared" si="1"/>
        <v>5</v>
      </c>
      <c r="K63" s="433">
        <f>IFERROR(-LBP/2+HLOOKUP(Stn_WL,Tools!$AD$2:$AD$27,N63+2,FALSE)*STN_GAP,"")</f>
        <v>-52.679999999999993</v>
      </c>
      <c r="L63" s="433">
        <f>IFERROR(IF(AND(ISNUMBER(K63),O63=0),0,VLOOKUP(HLOOKUP(Stn_WL,Tools!$AD$2:$AD$27,N63+2,FALSE),Tools!$AD$3:$BC$27,O63+1,FALSE)),"")</f>
        <v>10.9</v>
      </c>
      <c r="M63" s="433">
        <f>IFERROR(IF(ISNUMBER(L63),IF(O63=0,IFERROR(HLOOKUP(Tools!$BD$127,Tools!$BD$127:$BD$152,N63+2,FALSE)*1,0),HLOOKUP(Tools!$BE$2,Tools!$BE$2:$BE$27,O63+1,FALSE)*WLS),""),"")</f>
        <v>10.1</v>
      </c>
      <c r="N63">
        <f t="shared" si="2"/>
        <v>4</v>
      </c>
      <c r="O63">
        <f t="shared" si="3"/>
        <v>9</v>
      </c>
    </row>
    <row r="64" spans="1:15" x14ac:dyDescent="0.25">
      <c r="A64" s="427">
        <f t="shared" si="4"/>
        <v>63</v>
      </c>
      <c r="B64" s="430">
        <f t="shared" si="0"/>
        <v>6</v>
      </c>
      <c r="C64" s="433">
        <f>IFERROR(-LBP/2+HLOOKUP(Stn_WL,Tools!$AD$2:$AD$27,QUOTIENT(ROW()-2,Max_WL_count)+2,FALSE)*STN_GAP,"")</f>
        <v>-46.094999999999999</v>
      </c>
      <c r="D64" s="433">
        <f>IFERROR(VLOOKUP(HLOOKUP(Stn_WL,Tools!$AD$2:$AD$27,QUOTIENT(ROW()-2,Max_WL_count)+2,FALSE),Tools!$AD$3:$BC$27,MOD(ROW()-2,Max_WL_count)+2,FALSE),"")</f>
        <v>2.2999999999999998</v>
      </c>
      <c r="E64" s="431">
        <f>IFERROR(IF(ISNUMBER(D64),HLOOKUP(Tools!$BE$2,Tools!$BE$2:$BE$27,MOD(ROW()-2,Max_WL_count)+2,FALSE)*WLS,""),"")</f>
        <v>1.8</v>
      </c>
      <c r="I64" s="427">
        <f t="shared" si="5"/>
        <v>63</v>
      </c>
      <c r="J64" s="430">
        <f t="shared" si="1"/>
        <v>5</v>
      </c>
      <c r="K64" s="433">
        <f>IFERROR(-LBP/2+HLOOKUP(Stn_WL,Tools!$AD$2:$AD$27,N64+2,FALSE)*STN_GAP,"")</f>
        <v>-52.679999999999993</v>
      </c>
      <c r="L64" s="433">
        <f>IFERROR(IF(AND(ISNUMBER(K64),O64=0),0,VLOOKUP(HLOOKUP(Stn_WL,Tools!$AD$2:$AD$27,N64+2,FALSE),Tools!$AD$3:$BC$27,O64+1,FALSE)),"")</f>
        <v>11.34</v>
      </c>
      <c r="M64" s="433">
        <f>IFERROR(IF(ISNUMBER(L64),IF(O64=0,IFERROR(HLOOKUP(Tools!$BD$127,Tools!$BD$127:$BD$152,N64+2,FALSE)*1,0),HLOOKUP(Tools!$BE$2,Tools!$BE$2:$BE$27,O64+1,FALSE)*WLS),""),"")</f>
        <v>10.8</v>
      </c>
      <c r="N64">
        <f t="shared" si="2"/>
        <v>4</v>
      </c>
      <c r="O64">
        <f t="shared" si="3"/>
        <v>10</v>
      </c>
    </row>
    <row r="65" spans="1:15" x14ac:dyDescent="0.25">
      <c r="A65" s="427">
        <f t="shared" si="4"/>
        <v>64</v>
      </c>
      <c r="B65" s="430">
        <f t="shared" si="0"/>
        <v>6</v>
      </c>
      <c r="C65" s="433">
        <f>IFERROR(-LBP/2+HLOOKUP(Stn_WL,Tools!$AD$2:$AD$27,QUOTIENT(ROW()-2,Max_WL_count)+2,FALSE)*STN_GAP,"")</f>
        <v>-46.094999999999999</v>
      </c>
      <c r="D65" s="433">
        <f>IFERROR(VLOOKUP(HLOOKUP(Stn_WL,Tools!$AD$2:$AD$27,QUOTIENT(ROW()-2,Max_WL_count)+2,FALSE),Tools!$AD$3:$BC$27,MOD(ROW()-2,Max_WL_count)+2,FALSE),"")</f>
        <v>2.7</v>
      </c>
      <c r="E65" s="431">
        <f>IFERROR(IF(ISNUMBER(D65),HLOOKUP(Tools!$BE$2,Tools!$BE$2:$BE$27,MOD(ROW()-2,Max_WL_count)+2,FALSE)*WLS,""),"")</f>
        <v>2.7</v>
      </c>
      <c r="I65" s="427">
        <f t="shared" si="5"/>
        <v>64</v>
      </c>
      <c r="J65" s="430">
        <f t="shared" si="1"/>
        <v>5</v>
      </c>
      <c r="K65" s="433">
        <f>IFERROR(-LBP/2+HLOOKUP(Stn_WL,Tools!$AD$2:$AD$27,N65+2,FALSE)*STN_GAP,"")</f>
        <v>-52.679999999999993</v>
      </c>
      <c r="L65" s="433">
        <f>IFERROR(IF(AND(ISNUMBER(K65),O65=0),0,VLOOKUP(HLOOKUP(Stn_WL,Tools!$AD$2:$AD$27,N65+2,FALSE),Tools!$AD$3:$BC$27,O65+1,FALSE)),"")</f>
        <v>12</v>
      </c>
      <c r="M65" s="433">
        <f>IFERROR(IF(ISNUMBER(L65),IF(O65=0,IFERROR(HLOOKUP(Tools!$BD$127,Tools!$BD$127:$BD$152,N65+2,FALSE)*1,0),HLOOKUP(Tools!$BE$2,Tools!$BE$2:$BE$27,O65+1,FALSE)*WLS),""),"")</f>
        <v>12.6</v>
      </c>
      <c r="N65">
        <f t="shared" si="2"/>
        <v>4</v>
      </c>
      <c r="O65">
        <f t="shared" si="3"/>
        <v>11</v>
      </c>
    </row>
    <row r="66" spans="1:15" x14ac:dyDescent="0.25">
      <c r="A66" s="427">
        <f t="shared" si="4"/>
        <v>65</v>
      </c>
      <c r="B66" s="430">
        <f t="shared" ref="B66:B129" si="6">IFERROR(IF(ISNUMBER(D66),QUOTIENT(ROW()-2,Max_WL_count)+1,""),"")</f>
        <v>6</v>
      </c>
      <c r="C66" s="433">
        <f>IFERROR(-LBP/2+HLOOKUP(Stn_WL,Tools!$AD$2:$AD$27,QUOTIENT(ROW()-2,Max_WL_count)+2,FALSE)*STN_GAP,"")</f>
        <v>-46.094999999999999</v>
      </c>
      <c r="D66" s="433">
        <f>IFERROR(VLOOKUP(HLOOKUP(Stn_WL,Tools!$AD$2:$AD$27,QUOTIENT(ROW()-2,Max_WL_count)+2,FALSE),Tools!$AD$3:$BC$27,MOD(ROW()-2,Max_WL_count)+2,FALSE),"")</f>
        <v>3.1</v>
      </c>
      <c r="E66" s="431">
        <f>IFERROR(IF(ISNUMBER(D66),HLOOKUP(Tools!$BE$2,Tools!$BE$2:$BE$27,MOD(ROW()-2,Max_WL_count)+2,FALSE)*WLS,""),"")</f>
        <v>3.6</v>
      </c>
      <c r="I66" s="427">
        <f t="shared" si="5"/>
        <v>65</v>
      </c>
      <c r="J66" s="430">
        <f t="shared" ref="J66:J129" si="7">IFERROR(IF(ISNUMBER(L66),QUOTIENT(ROW()-2,Max_WL_count+1)+1,""),"")</f>
        <v>5</v>
      </c>
      <c r="K66" s="433">
        <f>IFERROR(-LBP/2+HLOOKUP(Stn_WL,Tools!$AD$2:$AD$27,N66+2,FALSE)*STN_GAP,"")</f>
        <v>-52.679999999999993</v>
      </c>
      <c r="L66" s="433">
        <f>IFERROR(IF(AND(ISNUMBER(K66),O66=0),0,VLOOKUP(HLOOKUP(Stn_WL,Tools!$AD$2:$AD$27,N66+2,FALSE),Tools!$AD$3:$BC$27,O66+1,FALSE)),"")</f>
        <v>12.2</v>
      </c>
      <c r="M66" s="433">
        <f>IFERROR(IF(ISNUMBER(L66),IF(O66=0,IFERROR(HLOOKUP(Tools!$BD$127,Tools!$BD$127:$BD$152,N66+2,FALSE)*1,0),HLOOKUP(Tools!$BE$2,Tools!$BE$2:$BE$27,O66+1,FALSE)*WLS),""),"")</f>
        <v>14.19</v>
      </c>
      <c r="N66">
        <f t="shared" ref="N66:N129" si="8">QUOTIENT(ROW()-2,Max_WL_count+1)</f>
        <v>4</v>
      </c>
      <c r="O66">
        <f t="shared" ref="O66:O129" si="9">MOD(ROW()-2,Max_WL_count+1)</f>
        <v>12</v>
      </c>
    </row>
    <row r="67" spans="1:15" x14ac:dyDescent="0.25">
      <c r="A67" s="427">
        <f t="shared" ref="A67:A130" si="10">IF(ISNUMBER(D67),ROW()-1,"")</f>
        <v>66</v>
      </c>
      <c r="B67" s="430">
        <f t="shared" si="6"/>
        <v>6</v>
      </c>
      <c r="C67" s="433">
        <f>IFERROR(-LBP/2+HLOOKUP(Stn_WL,Tools!$AD$2:$AD$27,QUOTIENT(ROW()-2,Max_WL_count)+2,FALSE)*STN_GAP,"")</f>
        <v>-46.094999999999999</v>
      </c>
      <c r="D67" s="433">
        <f>IFERROR(VLOOKUP(HLOOKUP(Stn_WL,Tools!$AD$2:$AD$27,QUOTIENT(ROW()-2,Max_WL_count)+2,FALSE),Tools!$AD$3:$BC$27,MOD(ROW()-2,Max_WL_count)+2,FALSE),"")</f>
        <v>5.7</v>
      </c>
      <c r="E67" s="431">
        <f>IFERROR(IF(ISNUMBER(D67),HLOOKUP(Tools!$BE$2,Tools!$BE$2:$BE$27,MOD(ROW()-2,Max_WL_count)+2,FALSE)*WLS,""),"")</f>
        <v>5.4</v>
      </c>
      <c r="I67" s="427">
        <f t="shared" ref="I67:I130" si="11">IF(ISNUMBER(L67),ROW()-1,"")</f>
        <v>66</v>
      </c>
      <c r="J67" s="430">
        <f t="shared" si="7"/>
        <v>6</v>
      </c>
      <c r="K67" s="433">
        <f>IFERROR(-LBP/2+HLOOKUP(Stn_WL,Tools!$AD$2:$AD$27,N67+2,FALSE)*STN_GAP,"")</f>
        <v>-46.094999999999999</v>
      </c>
      <c r="L67" s="433">
        <f>IFERROR(IF(AND(ISNUMBER(K67),O67=0),0,VLOOKUP(HLOOKUP(Stn_WL,Tools!$AD$2:$AD$27,N67+2,FALSE),Tools!$AD$3:$BC$27,O67+1,FALSE)),"")</f>
        <v>0</v>
      </c>
      <c r="M67" s="433">
        <f>IFERROR(IF(ISNUMBER(L67),IF(O67=0,IFERROR(HLOOKUP(Tools!$BD$127,Tools!$BD$127:$BD$152,N67+2,FALSE)*1,0),HLOOKUP(Tools!$BE$2,Tools!$BE$2:$BE$27,O67+1,FALSE)*WLS),""),"")</f>
        <v>0</v>
      </c>
      <c r="N67">
        <f t="shared" si="8"/>
        <v>5</v>
      </c>
      <c r="O67">
        <f t="shared" si="9"/>
        <v>0</v>
      </c>
    </row>
    <row r="68" spans="1:15" x14ac:dyDescent="0.25">
      <c r="A68" s="427">
        <f t="shared" si="10"/>
        <v>67</v>
      </c>
      <c r="B68" s="430">
        <f t="shared" si="6"/>
        <v>6</v>
      </c>
      <c r="C68" s="433">
        <f>IFERROR(-LBP/2+HLOOKUP(Stn_WL,Tools!$AD$2:$AD$27,QUOTIENT(ROW()-2,Max_WL_count)+2,FALSE)*STN_GAP,"")</f>
        <v>-46.094999999999999</v>
      </c>
      <c r="D68" s="433">
        <f>IFERROR(VLOOKUP(HLOOKUP(Stn_WL,Tools!$AD$2:$AD$27,QUOTIENT(ROW()-2,Max_WL_count)+2,FALSE),Tools!$AD$3:$BC$27,MOD(ROW()-2,Max_WL_count)+2,FALSE),"")</f>
        <v>9.6999999999999993</v>
      </c>
      <c r="E68" s="431">
        <f>IFERROR(IF(ISNUMBER(D68),HLOOKUP(Tools!$BE$2,Tools!$BE$2:$BE$27,MOD(ROW()-2,Max_WL_count)+2,FALSE)*WLS,""),"")</f>
        <v>7.2</v>
      </c>
      <c r="I68" s="427">
        <f t="shared" si="11"/>
        <v>67</v>
      </c>
      <c r="J68" s="430">
        <f t="shared" si="7"/>
        <v>6</v>
      </c>
      <c r="K68" s="433">
        <f>IFERROR(-LBP/2+HLOOKUP(Stn_WL,Tools!$AD$2:$AD$27,N68+2,FALSE)*STN_GAP,"")</f>
        <v>-46.094999999999999</v>
      </c>
      <c r="L68" s="433">
        <f>IFERROR(IF(AND(ISNUMBER(K68),O68=0),0,VLOOKUP(HLOOKUP(Stn_WL,Tools!$AD$2:$AD$27,N68+2,FALSE),Tools!$AD$3:$BC$27,O68+1,FALSE)),"")</f>
        <v>0.3</v>
      </c>
      <c r="M68" s="433">
        <f>IFERROR(IF(ISNUMBER(L68),IF(O68=0,IFERROR(HLOOKUP(Tools!$BD$127,Tools!$BD$127:$BD$152,N68+2,FALSE)*1,0),HLOOKUP(Tools!$BE$2,Tools!$BE$2:$BE$27,O68+1,FALSE)*WLS),""),"")</f>
        <v>0</v>
      </c>
      <c r="N68">
        <f t="shared" si="8"/>
        <v>5</v>
      </c>
      <c r="O68">
        <f t="shared" si="9"/>
        <v>1</v>
      </c>
    </row>
    <row r="69" spans="1:15" x14ac:dyDescent="0.25">
      <c r="A69" s="427">
        <f t="shared" si="10"/>
        <v>68</v>
      </c>
      <c r="B69" s="430">
        <f t="shared" si="6"/>
        <v>6</v>
      </c>
      <c r="C69" s="433">
        <f>IFERROR(-LBP/2+HLOOKUP(Stn_WL,Tools!$AD$2:$AD$27,QUOTIENT(ROW()-2,Max_WL_count)+2,FALSE)*STN_GAP,"")</f>
        <v>-46.094999999999999</v>
      </c>
      <c r="D69" s="433">
        <f>IFERROR(VLOOKUP(HLOOKUP(Stn_WL,Tools!$AD$2:$AD$27,QUOTIENT(ROW()-2,Max_WL_count)+2,FALSE),Tools!$AD$3:$BC$27,MOD(ROW()-2,Max_WL_count)+2,FALSE),"")</f>
        <v>11.23</v>
      </c>
      <c r="E69" s="431">
        <f>IFERROR(IF(ISNUMBER(D69),HLOOKUP(Tools!$BE$2,Tools!$BE$2:$BE$27,MOD(ROW()-2,Max_WL_count)+2,FALSE)*WLS,""),"")</f>
        <v>9</v>
      </c>
      <c r="I69" s="427">
        <f t="shared" si="11"/>
        <v>68</v>
      </c>
      <c r="J69" s="430">
        <f t="shared" si="7"/>
        <v>6</v>
      </c>
      <c r="K69" s="433">
        <f>IFERROR(-LBP/2+HLOOKUP(Stn_WL,Tools!$AD$2:$AD$27,N69+2,FALSE)*STN_GAP,"")</f>
        <v>-46.094999999999999</v>
      </c>
      <c r="L69" s="433">
        <f>IFERROR(IF(AND(ISNUMBER(K69),O69=0),0,VLOOKUP(HLOOKUP(Stn_WL,Tools!$AD$2:$AD$27,N69+2,FALSE),Tools!$AD$3:$BC$27,O69+1,FALSE)),"")</f>
        <v>1.67</v>
      </c>
      <c r="M69" s="433">
        <f>IFERROR(IF(ISNUMBER(L69),IF(O69=0,IFERROR(HLOOKUP(Tools!$BD$127,Tools!$BD$127:$BD$152,N69+2,FALSE)*1,0),HLOOKUP(Tools!$BE$2,Tools!$BE$2:$BE$27,O69+1,FALSE)*WLS),""),"")</f>
        <v>0.9</v>
      </c>
      <c r="N69">
        <f t="shared" si="8"/>
        <v>5</v>
      </c>
      <c r="O69">
        <f t="shared" si="9"/>
        <v>2</v>
      </c>
    </row>
    <row r="70" spans="1:15" x14ac:dyDescent="0.25">
      <c r="A70" s="427">
        <f t="shared" si="10"/>
        <v>69</v>
      </c>
      <c r="B70" s="430">
        <f t="shared" si="6"/>
        <v>6</v>
      </c>
      <c r="C70" s="433">
        <f>IFERROR(-LBP/2+HLOOKUP(Stn_WL,Tools!$AD$2:$AD$27,QUOTIENT(ROW()-2,Max_WL_count)+2,FALSE)*STN_GAP,"")</f>
        <v>-46.094999999999999</v>
      </c>
      <c r="D70" s="433">
        <f>IFERROR(VLOOKUP(HLOOKUP(Stn_WL,Tools!$AD$2:$AD$27,QUOTIENT(ROW()-2,Max_WL_count)+2,FALSE),Tools!$AD$3:$BC$27,MOD(ROW()-2,Max_WL_count)+2,FALSE),"")</f>
        <v>11.7</v>
      </c>
      <c r="E70" s="431">
        <f>IFERROR(IF(ISNUMBER(D70),HLOOKUP(Tools!$BE$2,Tools!$BE$2:$BE$27,MOD(ROW()-2,Max_WL_count)+2,FALSE)*WLS,""),"")</f>
        <v>10.1</v>
      </c>
      <c r="I70" s="427">
        <f t="shared" si="11"/>
        <v>69</v>
      </c>
      <c r="J70" s="430">
        <f t="shared" si="7"/>
        <v>6</v>
      </c>
      <c r="K70" s="433">
        <f>IFERROR(-LBP/2+HLOOKUP(Stn_WL,Tools!$AD$2:$AD$27,N70+2,FALSE)*STN_GAP,"")</f>
        <v>-46.094999999999999</v>
      </c>
      <c r="L70" s="433">
        <f>IFERROR(IF(AND(ISNUMBER(K70),O70=0),0,VLOOKUP(HLOOKUP(Stn_WL,Tools!$AD$2:$AD$27,N70+2,FALSE),Tools!$AD$3:$BC$27,O70+1,FALSE)),"")</f>
        <v>2.2999999999999998</v>
      </c>
      <c r="M70" s="433">
        <f>IFERROR(IF(ISNUMBER(L70),IF(O70=0,IFERROR(HLOOKUP(Tools!$BD$127,Tools!$BD$127:$BD$152,N70+2,FALSE)*1,0),HLOOKUP(Tools!$BE$2,Tools!$BE$2:$BE$27,O70+1,FALSE)*WLS),""),"")</f>
        <v>1.8</v>
      </c>
      <c r="N70">
        <f t="shared" si="8"/>
        <v>5</v>
      </c>
      <c r="O70">
        <f t="shared" si="9"/>
        <v>3</v>
      </c>
    </row>
    <row r="71" spans="1:15" x14ac:dyDescent="0.25">
      <c r="A71" s="427">
        <f t="shared" si="10"/>
        <v>70</v>
      </c>
      <c r="B71" s="430">
        <f t="shared" si="6"/>
        <v>6</v>
      </c>
      <c r="C71" s="433">
        <f>IFERROR(-LBP/2+HLOOKUP(Stn_WL,Tools!$AD$2:$AD$27,QUOTIENT(ROW()-2,Max_WL_count)+2,FALSE)*STN_GAP,"")</f>
        <v>-46.094999999999999</v>
      </c>
      <c r="D71" s="433">
        <f>IFERROR(VLOOKUP(HLOOKUP(Stn_WL,Tools!$AD$2:$AD$27,QUOTIENT(ROW()-2,Max_WL_count)+2,FALSE),Tools!$AD$3:$BC$27,MOD(ROW()-2,Max_WL_count)+2,FALSE),"")</f>
        <v>11.93</v>
      </c>
      <c r="E71" s="431">
        <f>IFERROR(IF(ISNUMBER(D71),HLOOKUP(Tools!$BE$2,Tools!$BE$2:$BE$27,MOD(ROW()-2,Max_WL_count)+2,FALSE)*WLS,""),"")</f>
        <v>10.8</v>
      </c>
      <c r="I71" s="427">
        <f t="shared" si="11"/>
        <v>70</v>
      </c>
      <c r="J71" s="430">
        <f t="shared" si="7"/>
        <v>6</v>
      </c>
      <c r="K71" s="433">
        <f>IFERROR(-LBP/2+HLOOKUP(Stn_WL,Tools!$AD$2:$AD$27,N71+2,FALSE)*STN_GAP,"")</f>
        <v>-46.094999999999999</v>
      </c>
      <c r="L71" s="433">
        <f>IFERROR(IF(AND(ISNUMBER(K71),O71=0),0,VLOOKUP(HLOOKUP(Stn_WL,Tools!$AD$2:$AD$27,N71+2,FALSE),Tools!$AD$3:$BC$27,O71+1,FALSE)),"")</f>
        <v>2.7</v>
      </c>
      <c r="M71" s="433">
        <f>IFERROR(IF(ISNUMBER(L71),IF(O71=0,IFERROR(HLOOKUP(Tools!$BD$127,Tools!$BD$127:$BD$152,N71+2,FALSE)*1,0),HLOOKUP(Tools!$BE$2,Tools!$BE$2:$BE$27,O71+1,FALSE)*WLS),""),"")</f>
        <v>2.7</v>
      </c>
      <c r="N71">
        <f t="shared" si="8"/>
        <v>5</v>
      </c>
      <c r="O71">
        <f t="shared" si="9"/>
        <v>4</v>
      </c>
    </row>
    <row r="72" spans="1:15" x14ac:dyDescent="0.25">
      <c r="A72" s="427">
        <f t="shared" si="10"/>
        <v>71</v>
      </c>
      <c r="B72" s="430">
        <f t="shared" si="6"/>
        <v>6</v>
      </c>
      <c r="C72" s="433">
        <f>IFERROR(-LBP/2+HLOOKUP(Stn_WL,Tools!$AD$2:$AD$27,QUOTIENT(ROW()-2,Max_WL_count)+2,FALSE)*STN_GAP,"")</f>
        <v>-46.094999999999999</v>
      </c>
      <c r="D72" s="433">
        <f>IFERROR(VLOOKUP(HLOOKUP(Stn_WL,Tools!$AD$2:$AD$27,QUOTIENT(ROW()-2,Max_WL_count)+2,FALSE),Tools!$AD$3:$BC$27,MOD(ROW()-2,Max_WL_count)+2,FALSE),"")</f>
        <v>12.21</v>
      </c>
      <c r="E72" s="431">
        <f>IFERROR(IF(ISNUMBER(D72),HLOOKUP(Tools!$BE$2,Tools!$BE$2:$BE$27,MOD(ROW()-2,Max_WL_count)+2,FALSE)*WLS,""),"")</f>
        <v>12.6</v>
      </c>
      <c r="I72" s="427">
        <f t="shared" si="11"/>
        <v>71</v>
      </c>
      <c r="J72" s="430">
        <f t="shared" si="7"/>
        <v>6</v>
      </c>
      <c r="K72" s="433">
        <f>IFERROR(-LBP/2+HLOOKUP(Stn_WL,Tools!$AD$2:$AD$27,N72+2,FALSE)*STN_GAP,"")</f>
        <v>-46.094999999999999</v>
      </c>
      <c r="L72" s="433">
        <f>IFERROR(IF(AND(ISNUMBER(K72),O72=0),0,VLOOKUP(HLOOKUP(Stn_WL,Tools!$AD$2:$AD$27,N72+2,FALSE),Tools!$AD$3:$BC$27,O72+1,FALSE)),"")</f>
        <v>3.1</v>
      </c>
      <c r="M72" s="433">
        <f>IFERROR(IF(ISNUMBER(L72),IF(O72=0,IFERROR(HLOOKUP(Tools!$BD$127,Tools!$BD$127:$BD$152,N72+2,FALSE)*1,0),HLOOKUP(Tools!$BE$2,Tools!$BE$2:$BE$27,O72+1,FALSE)*WLS),""),"")</f>
        <v>3.6</v>
      </c>
      <c r="N72">
        <f t="shared" si="8"/>
        <v>5</v>
      </c>
      <c r="O72">
        <f t="shared" si="9"/>
        <v>5</v>
      </c>
    </row>
    <row r="73" spans="1:15" x14ac:dyDescent="0.25">
      <c r="A73" s="427">
        <f t="shared" si="10"/>
        <v>72</v>
      </c>
      <c r="B73" s="430">
        <f t="shared" si="6"/>
        <v>6</v>
      </c>
      <c r="C73" s="433">
        <f>IFERROR(-LBP/2+HLOOKUP(Stn_WL,Tools!$AD$2:$AD$27,QUOTIENT(ROW()-2,Max_WL_count)+2,FALSE)*STN_GAP,"")</f>
        <v>-46.094999999999999</v>
      </c>
      <c r="D73" s="433">
        <f>IFERROR(VLOOKUP(HLOOKUP(Stn_WL,Tools!$AD$2:$AD$27,QUOTIENT(ROW()-2,Max_WL_count)+2,FALSE),Tools!$AD$3:$BC$27,MOD(ROW()-2,Max_WL_count)+2,FALSE),"")</f>
        <v>12.23</v>
      </c>
      <c r="E73" s="431">
        <f>IFERROR(IF(ISNUMBER(D73),HLOOKUP(Tools!$BE$2,Tools!$BE$2:$BE$27,MOD(ROW()-2,Max_WL_count)+2,FALSE)*WLS,""),"")</f>
        <v>14.19</v>
      </c>
      <c r="I73" s="427">
        <f t="shared" si="11"/>
        <v>72</v>
      </c>
      <c r="J73" s="430">
        <f t="shared" si="7"/>
        <v>6</v>
      </c>
      <c r="K73" s="433">
        <f>IFERROR(-LBP/2+HLOOKUP(Stn_WL,Tools!$AD$2:$AD$27,N73+2,FALSE)*STN_GAP,"")</f>
        <v>-46.094999999999999</v>
      </c>
      <c r="L73" s="433">
        <f>IFERROR(IF(AND(ISNUMBER(K73),O73=0),0,VLOOKUP(HLOOKUP(Stn_WL,Tools!$AD$2:$AD$27,N73+2,FALSE),Tools!$AD$3:$BC$27,O73+1,FALSE)),"")</f>
        <v>5.7</v>
      </c>
      <c r="M73" s="433">
        <f>IFERROR(IF(ISNUMBER(L73),IF(O73=0,IFERROR(HLOOKUP(Tools!$BD$127,Tools!$BD$127:$BD$152,N73+2,FALSE)*1,0),HLOOKUP(Tools!$BE$2,Tools!$BE$2:$BE$27,O73+1,FALSE)*WLS),""),"")</f>
        <v>5.4</v>
      </c>
      <c r="N73">
        <f t="shared" si="8"/>
        <v>5</v>
      </c>
      <c r="O73">
        <f t="shared" si="9"/>
        <v>6</v>
      </c>
    </row>
    <row r="74" spans="1:15" x14ac:dyDescent="0.25">
      <c r="A74" s="427">
        <f t="shared" si="10"/>
        <v>73</v>
      </c>
      <c r="B74" s="430">
        <f t="shared" si="6"/>
        <v>7</v>
      </c>
      <c r="C74" s="433">
        <f>IFERROR(-LBP/2+HLOOKUP(Stn_WL,Tools!$AD$2:$AD$27,QUOTIENT(ROW()-2,Max_WL_count)+2,FALSE)*STN_GAP,"")</f>
        <v>-39.51</v>
      </c>
      <c r="D74" s="433">
        <f>IFERROR(VLOOKUP(HLOOKUP(Stn_WL,Tools!$AD$2:$AD$27,QUOTIENT(ROW()-2,Max_WL_count)+2,FALSE),Tools!$AD$3:$BC$27,MOD(ROW()-2,Max_WL_count)+2,FALSE),"")</f>
        <v>1</v>
      </c>
      <c r="E74" s="431">
        <f>IFERROR(IF(ISNUMBER(D74),HLOOKUP(Tools!$BE$2,Tools!$BE$2:$BE$27,MOD(ROW()-2,Max_WL_count)+2,FALSE)*WLS,""),"")</f>
        <v>0</v>
      </c>
      <c r="I74" s="427">
        <f t="shared" si="11"/>
        <v>73</v>
      </c>
      <c r="J74" s="430">
        <f t="shared" si="7"/>
        <v>6</v>
      </c>
      <c r="K74" s="433">
        <f>IFERROR(-LBP/2+HLOOKUP(Stn_WL,Tools!$AD$2:$AD$27,N74+2,FALSE)*STN_GAP,"")</f>
        <v>-46.094999999999999</v>
      </c>
      <c r="L74" s="433">
        <f>IFERROR(IF(AND(ISNUMBER(K74),O74=0),0,VLOOKUP(HLOOKUP(Stn_WL,Tools!$AD$2:$AD$27,N74+2,FALSE),Tools!$AD$3:$BC$27,O74+1,FALSE)),"")</f>
        <v>9.6999999999999993</v>
      </c>
      <c r="M74" s="433">
        <f>IFERROR(IF(ISNUMBER(L74),IF(O74=0,IFERROR(HLOOKUP(Tools!$BD$127,Tools!$BD$127:$BD$152,N74+2,FALSE)*1,0),HLOOKUP(Tools!$BE$2,Tools!$BE$2:$BE$27,O74+1,FALSE)*WLS),""),"")</f>
        <v>7.2</v>
      </c>
      <c r="N74">
        <f t="shared" si="8"/>
        <v>5</v>
      </c>
      <c r="O74">
        <f t="shared" si="9"/>
        <v>7</v>
      </c>
    </row>
    <row r="75" spans="1:15" x14ac:dyDescent="0.25">
      <c r="A75" s="427">
        <f t="shared" si="10"/>
        <v>74</v>
      </c>
      <c r="B75" s="430">
        <f t="shared" si="6"/>
        <v>7</v>
      </c>
      <c r="C75" s="433">
        <f>IFERROR(-LBP/2+HLOOKUP(Stn_WL,Tools!$AD$2:$AD$27,QUOTIENT(ROW()-2,Max_WL_count)+2,FALSE)*STN_GAP,"")</f>
        <v>-39.51</v>
      </c>
      <c r="D75" s="433">
        <f>IFERROR(VLOOKUP(HLOOKUP(Stn_WL,Tools!$AD$2:$AD$27,QUOTIENT(ROW()-2,Max_WL_count)+2,FALSE),Tools!$AD$3:$BC$27,MOD(ROW()-2,Max_WL_count)+2,FALSE),"")</f>
        <v>3.17</v>
      </c>
      <c r="E75" s="431">
        <f>IFERROR(IF(ISNUMBER(D75),HLOOKUP(Tools!$BE$2,Tools!$BE$2:$BE$27,MOD(ROW()-2,Max_WL_count)+2,FALSE)*WLS,""),"")</f>
        <v>0.9</v>
      </c>
      <c r="I75" s="427">
        <f t="shared" si="11"/>
        <v>74</v>
      </c>
      <c r="J75" s="430">
        <f t="shared" si="7"/>
        <v>6</v>
      </c>
      <c r="K75" s="433">
        <f>IFERROR(-LBP/2+HLOOKUP(Stn_WL,Tools!$AD$2:$AD$27,N75+2,FALSE)*STN_GAP,"")</f>
        <v>-46.094999999999999</v>
      </c>
      <c r="L75" s="433">
        <f>IFERROR(IF(AND(ISNUMBER(K75),O75=0),0,VLOOKUP(HLOOKUP(Stn_WL,Tools!$AD$2:$AD$27,N75+2,FALSE),Tools!$AD$3:$BC$27,O75+1,FALSE)),"")</f>
        <v>11.23</v>
      </c>
      <c r="M75" s="433">
        <f>IFERROR(IF(ISNUMBER(L75),IF(O75=0,IFERROR(HLOOKUP(Tools!$BD$127,Tools!$BD$127:$BD$152,N75+2,FALSE)*1,0),HLOOKUP(Tools!$BE$2,Tools!$BE$2:$BE$27,O75+1,FALSE)*WLS),""),"")</f>
        <v>9</v>
      </c>
      <c r="N75">
        <f t="shared" si="8"/>
        <v>5</v>
      </c>
      <c r="O75">
        <f t="shared" si="9"/>
        <v>8</v>
      </c>
    </row>
    <row r="76" spans="1:15" x14ac:dyDescent="0.25">
      <c r="A76" s="427">
        <f t="shared" si="10"/>
        <v>75</v>
      </c>
      <c r="B76" s="430">
        <f t="shared" si="6"/>
        <v>7</v>
      </c>
      <c r="C76" s="433">
        <f>IFERROR(-LBP/2+HLOOKUP(Stn_WL,Tools!$AD$2:$AD$27,QUOTIENT(ROW()-2,Max_WL_count)+2,FALSE)*STN_GAP,"")</f>
        <v>-39.51</v>
      </c>
      <c r="D76" s="433">
        <f>IFERROR(VLOOKUP(HLOOKUP(Stn_WL,Tools!$AD$2:$AD$27,QUOTIENT(ROW()-2,Max_WL_count)+2,FALSE),Tools!$AD$3:$BC$27,MOD(ROW()-2,Max_WL_count)+2,FALSE),"")</f>
        <v>4.08</v>
      </c>
      <c r="E76" s="431">
        <f>IFERROR(IF(ISNUMBER(D76),HLOOKUP(Tools!$BE$2,Tools!$BE$2:$BE$27,MOD(ROW()-2,Max_WL_count)+2,FALSE)*WLS,""),"")</f>
        <v>1.8</v>
      </c>
      <c r="I76" s="427">
        <f t="shared" si="11"/>
        <v>75</v>
      </c>
      <c r="J76" s="430">
        <f t="shared" si="7"/>
        <v>6</v>
      </c>
      <c r="K76" s="433">
        <f>IFERROR(-LBP/2+HLOOKUP(Stn_WL,Tools!$AD$2:$AD$27,N76+2,FALSE)*STN_GAP,"")</f>
        <v>-46.094999999999999</v>
      </c>
      <c r="L76" s="433">
        <f>IFERROR(IF(AND(ISNUMBER(K76),O76=0),0,VLOOKUP(HLOOKUP(Stn_WL,Tools!$AD$2:$AD$27,N76+2,FALSE),Tools!$AD$3:$BC$27,O76+1,FALSE)),"")</f>
        <v>11.7</v>
      </c>
      <c r="M76" s="433">
        <f>IFERROR(IF(ISNUMBER(L76),IF(O76=0,IFERROR(HLOOKUP(Tools!$BD$127,Tools!$BD$127:$BD$152,N76+2,FALSE)*1,0),HLOOKUP(Tools!$BE$2,Tools!$BE$2:$BE$27,O76+1,FALSE)*WLS),""),"")</f>
        <v>10.1</v>
      </c>
      <c r="N76">
        <f t="shared" si="8"/>
        <v>5</v>
      </c>
      <c r="O76">
        <f t="shared" si="9"/>
        <v>9</v>
      </c>
    </row>
    <row r="77" spans="1:15" x14ac:dyDescent="0.25">
      <c r="A77" s="427">
        <f t="shared" si="10"/>
        <v>76</v>
      </c>
      <c r="B77" s="430">
        <f t="shared" si="6"/>
        <v>7</v>
      </c>
      <c r="C77" s="433">
        <f>IFERROR(-LBP/2+HLOOKUP(Stn_WL,Tools!$AD$2:$AD$27,QUOTIENT(ROW()-2,Max_WL_count)+2,FALSE)*STN_GAP,"")</f>
        <v>-39.51</v>
      </c>
      <c r="D77" s="433">
        <f>IFERROR(VLOOKUP(HLOOKUP(Stn_WL,Tools!$AD$2:$AD$27,QUOTIENT(ROW()-2,Max_WL_count)+2,FALSE),Tools!$AD$3:$BC$27,MOD(ROW()-2,Max_WL_count)+2,FALSE),"")</f>
        <v>4.8</v>
      </c>
      <c r="E77" s="431">
        <f>IFERROR(IF(ISNUMBER(D77),HLOOKUP(Tools!$BE$2,Tools!$BE$2:$BE$27,MOD(ROW()-2,Max_WL_count)+2,FALSE)*WLS,""),"")</f>
        <v>2.7</v>
      </c>
      <c r="I77" s="427">
        <f t="shared" si="11"/>
        <v>76</v>
      </c>
      <c r="J77" s="430">
        <f t="shared" si="7"/>
        <v>6</v>
      </c>
      <c r="K77" s="433">
        <f>IFERROR(-LBP/2+HLOOKUP(Stn_WL,Tools!$AD$2:$AD$27,N77+2,FALSE)*STN_GAP,"")</f>
        <v>-46.094999999999999</v>
      </c>
      <c r="L77" s="433">
        <f>IFERROR(IF(AND(ISNUMBER(K77),O77=0),0,VLOOKUP(HLOOKUP(Stn_WL,Tools!$AD$2:$AD$27,N77+2,FALSE),Tools!$AD$3:$BC$27,O77+1,FALSE)),"")</f>
        <v>11.93</v>
      </c>
      <c r="M77" s="433">
        <f>IFERROR(IF(ISNUMBER(L77),IF(O77=0,IFERROR(HLOOKUP(Tools!$BD$127,Tools!$BD$127:$BD$152,N77+2,FALSE)*1,0),HLOOKUP(Tools!$BE$2,Tools!$BE$2:$BE$27,O77+1,FALSE)*WLS),""),"")</f>
        <v>10.8</v>
      </c>
      <c r="N77">
        <f t="shared" si="8"/>
        <v>5</v>
      </c>
      <c r="O77">
        <f t="shared" si="9"/>
        <v>10</v>
      </c>
    </row>
    <row r="78" spans="1:15" x14ac:dyDescent="0.25">
      <c r="A78" s="427">
        <f t="shared" si="10"/>
        <v>77</v>
      </c>
      <c r="B78" s="430">
        <f t="shared" si="6"/>
        <v>7</v>
      </c>
      <c r="C78" s="433">
        <f>IFERROR(-LBP/2+HLOOKUP(Stn_WL,Tools!$AD$2:$AD$27,QUOTIENT(ROW()-2,Max_WL_count)+2,FALSE)*STN_GAP,"")</f>
        <v>-39.51</v>
      </c>
      <c r="D78" s="433">
        <f>IFERROR(VLOOKUP(HLOOKUP(Stn_WL,Tools!$AD$2:$AD$27,QUOTIENT(ROW()-2,Max_WL_count)+2,FALSE),Tools!$AD$3:$BC$27,MOD(ROW()-2,Max_WL_count)+2,FALSE),"")</f>
        <v>5.8</v>
      </c>
      <c r="E78" s="431">
        <f>IFERROR(IF(ISNUMBER(D78),HLOOKUP(Tools!$BE$2,Tools!$BE$2:$BE$27,MOD(ROW()-2,Max_WL_count)+2,FALSE)*WLS,""),"")</f>
        <v>3.6</v>
      </c>
      <c r="I78" s="427">
        <f t="shared" si="11"/>
        <v>77</v>
      </c>
      <c r="J78" s="430">
        <f t="shared" si="7"/>
        <v>6</v>
      </c>
      <c r="K78" s="433">
        <f>IFERROR(-LBP/2+HLOOKUP(Stn_WL,Tools!$AD$2:$AD$27,N78+2,FALSE)*STN_GAP,"")</f>
        <v>-46.094999999999999</v>
      </c>
      <c r="L78" s="433">
        <f>IFERROR(IF(AND(ISNUMBER(K78),O78=0),0,VLOOKUP(HLOOKUP(Stn_WL,Tools!$AD$2:$AD$27,N78+2,FALSE),Tools!$AD$3:$BC$27,O78+1,FALSE)),"")</f>
        <v>12.21</v>
      </c>
      <c r="M78" s="433">
        <f>IFERROR(IF(ISNUMBER(L78),IF(O78=0,IFERROR(HLOOKUP(Tools!$BD$127,Tools!$BD$127:$BD$152,N78+2,FALSE)*1,0),HLOOKUP(Tools!$BE$2,Tools!$BE$2:$BE$27,O78+1,FALSE)*WLS),""),"")</f>
        <v>12.6</v>
      </c>
      <c r="N78">
        <f t="shared" si="8"/>
        <v>5</v>
      </c>
      <c r="O78">
        <f t="shared" si="9"/>
        <v>11</v>
      </c>
    </row>
    <row r="79" spans="1:15" x14ac:dyDescent="0.25">
      <c r="A79" s="427">
        <f t="shared" si="10"/>
        <v>78</v>
      </c>
      <c r="B79" s="430">
        <f t="shared" si="6"/>
        <v>7</v>
      </c>
      <c r="C79" s="433">
        <f>IFERROR(-LBP/2+HLOOKUP(Stn_WL,Tools!$AD$2:$AD$27,QUOTIENT(ROW()-2,Max_WL_count)+2,FALSE)*STN_GAP,"")</f>
        <v>-39.51</v>
      </c>
      <c r="D79" s="433">
        <f>IFERROR(VLOOKUP(HLOOKUP(Stn_WL,Tools!$AD$2:$AD$27,QUOTIENT(ROW()-2,Max_WL_count)+2,FALSE),Tools!$AD$3:$BC$27,MOD(ROW()-2,Max_WL_count)+2,FALSE),"")</f>
        <v>9.1999999999999993</v>
      </c>
      <c r="E79" s="431">
        <f>IFERROR(IF(ISNUMBER(D79),HLOOKUP(Tools!$BE$2,Tools!$BE$2:$BE$27,MOD(ROW()-2,Max_WL_count)+2,FALSE)*WLS,""),"")</f>
        <v>5.4</v>
      </c>
      <c r="I79" s="427">
        <f t="shared" si="11"/>
        <v>78</v>
      </c>
      <c r="J79" s="430">
        <f t="shared" si="7"/>
        <v>6</v>
      </c>
      <c r="K79" s="433">
        <f>IFERROR(-LBP/2+HLOOKUP(Stn_WL,Tools!$AD$2:$AD$27,N79+2,FALSE)*STN_GAP,"")</f>
        <v>-46.094999999999999</v>
      </c>
      <c r="L79" s="433">
        <f>IFERROR(IF(AND(ISNUMBER(K79),O79=0),0,VLOOKUP(HLOOKUP(Stn_WL,Tools!$AD$2:$AD$27,N79+2,FALSE),Tools!$AD$3:$BC$27,O79+1,FALSE)),"")</f>
        <v>12.23</v>
      </c>
      <c r="M79" s="433">
        <f>IFERROR(IF(ISNUMBER(L79),IF(O79=0,IFERROR(HLOOKUP(Tools!$BD$127,Tools!$BD$127:$BD$152,N79+2,FALSE)*1,0),HLOOKUP(Tools!$BE$2,Tools!$BE$2:$BE$27,O79+1,FALSE)*WLS),""),"")</f>
        <v>14.19</v>
      </c>
      <c r="N79">
        <f t="shared" si="8"/>
        <v>5</v>
      </c>
      <c r="O79">
        <f t="shared" si="9"/>
        <v>12</v>
      </c>
    </row>
    <row r="80" spans="1:15" x14ac:dyDescent="0.25">
      <c r="A80" s="427">
        <f t="shared" si="10"/>
        <v>79</v>
      </c>
      <c r="B80" s="430">
        <f t="shared" si="6"/>
        <v>7</v>
      </c>
      <c r="C80" s="433">
        <f>IFERROR(-LBP/2+HLOOKUP(Stn_WL,Tools!$AD$2:$AD$27,QUOTIENT(ROW()-2,Max_WL_count)+2,FALSE)*STN_GAP,"")</f>
        <v>-39.51</v>
      </c>
      <c r="D80" s="433">
        <f>IFERROR(VLOOKUP(HLOOKUP(Stn_WL,Tools!$AD$2:$AD$27,QUOTIENT(ROW()-2,Max_WL_count)+2,FALSE),Tools!$AD$3:$BC$27,MOD(ROW()-2,Max_WL_count)+2,FALSE),"")</f>
        <v>11.17</v>
      </c>
      <c r="E80" s="431">
        <f>IFERROR(IF(ISNUMBER(D80),HLOOKUP(Tools!$BE$2,Tools!$BE$2:$BE$27,MOD(ROW()-2,Max_WL_count)+2,FALSE)*WLS,""),"")</f>
        <v>7.2</v>
      </c>
      <c r="I80" s="427">
        <f t="shared" si="11"/>
        <v>79</v>
      </c>
      <c r="J80" s="430">
        <f t="shared" si="7"/>
        <v>7</v>
      </c>
      <c r="K80" s="433">
        <f>IFERROR(-LBP/2+HLOOKUP(Stn_WL,Tools!$AD$2:$AD$27,N80+2,FALSE)*STN_GAP,"")</f>
        <v>-39.51</v>
      </c>
      <c r="L80" s="433">
        <f>IFERROR(IF(AND(ISNUMBER(K80),O80=0),0,VLOOKUP(HLOOKUP(Stn_WL,Tools!$AD$2:$AD$27,N80+2,FALSE),Tools!$AD$3:$BC$27,O80+1,FALSE)),"")</f>
        <v>0</v>
      </c>
      <c r="M80" s="433">
        <f>IFERROR(IF(ISNUMBER(L80),IF(O80=0,IFERROR(HLOOKUP(Tools!$BD$127,Tools!$BD$127:$BD$152,N80+2,FALSE)*1,0),HLOOKUP(Tools!$BE$2,Tools!$BE$2:$BE$27,O80+1,FALSE)*WLS),""),"")</f>
        <v>0</v>
      </c>
      <c r="N80">
        <f t="shared" si="8"/>
        <v>6</v>
      </c>
      <c r="O80">
        <f t="shared" si="9"/>
        <v>0</v>
      </c>
    </row>
    <row r="81" spans="1:15" x14ac:dyDescent="0.25">
      <c r="A81" s="427">
        <f t="shared" si="10"/>
        <v>80</v>
      </c>
      <c r="B81" s="430">
        <f t="shared" si="6"/>
        <v>7</v>
      </c>
      <c r="C81" s="433">
        <f>IFERROR(-LBP/2+HLOOKUP(Stn_WL,Tools!$AD$2:$AD$27,QUOTIENT(ROW()-2,Max_WL_count)+2,FALSE)*STN_GAP,"")</f>
        <v>-39.51</v>
      </c>
      <c r="D81" s="433">
        <f>IFERROR(VLOOKUP(HLOOKUP(Stn_WL,Tools!$AD$2:$AD$27,QUOTIENT(ROW()-2,Max_WL_count)+2,FALSE),Tools!$AD$3:$BC$27,MOD(ROW()-2,Max_WL_count)+2,FALSE),"")</f>
        <v>11.91</v>
      </c>
      <c r="E81" s="431">
        <f>IFERROR(IF(ISNUMBER(D81),HLOOKUP(Tools!$BE$2,Tools!$BE$2:$BE$27,MOD(ROW()-2,Max_WL_count)+2,FALSE)*WLS,""),"")</f>
        <v>9</v>
      </c>
      <c r="I81" s="427">
        <f t="shared" si="11"/>
        <v>80</v>
      </c>
      <c r="J81" s="430">
        <f t="shared" si="7"/>
        <v>7</v>
      </c>
      <c r="K81" s="433">
        <f>IFERROR(-LBP/2+HLOOKUP(Stn_WL,Tools!$AD$2:$AD$27,N81+2,FALSE)*STN_GAP,"")</f>
        <v>-39.51</v>
      </c>
      <c r="L81" s="433">
        <f>IFERROR(IF(AND(ISNUMBER(K81),O81=0),0,VLOOKUP(HLOOKUP(Stn_WL,Tools!$AD$2:$AD$27,N81+2,FALSE),Tools!$AD$3:$BC$27,O81+1,FALSE)),"")</f>
        <v>1</v>
      </c>
      <c r="M81" s="433">
        <f>IFERROR(IF(ISNUMBER(L81),IF(O81=0,IFERROR(HLOOKUP(Tools!$BD$127,Tools!$BD$127:$BD$152,N81+2,FALSE)*1,0),HLOOKUP(Tools!$BE$2,Tools!$BE$2:$BE$27,O81+1,FALSE)*WLS),""),"")</f>
        <v>0</v>
      </c>
      <c r="N81">
        <f t="shared" si="8"/>
        <v>6</v>
      </c>
      <c r="O81">
        <f t="shared" si="9"/>
        <v>1</v>
      </c>
    </row>
    <row r="82" spans="1:15" x14ac:dyDescent="0.25">
      <c r="A82" s="427">
        <f t="shared" si="10"/>
        <v>81</v>
      </c>
      <c r="B82" s="430">
        <f t="shared" si="6"/>
        <v>7</v>
      </c>
      <c r="C82" s="433">
        <f>IFERROR(-LBP/2+HLOOKUP(Stn_WL,Tools!$AD$2:$AD$27,QUOTIENT(ROW()-2,Max_WL_count)+2,FALSE)*STN_GAP,"")</f>
        <v>-39.51</v>
      </c>
      <c r="D82" s="433">
        <f>IFERROR(VLOOKUP(HLOOKUP(Stn_WL,Tools!$AD$2:$AD$27,QUOTIENT(ROW()-2,Max_WL_count)+2,FALSE),Tools!$AD$3:$BC$27,MOD(ROW()-2,Max_WL_count)+2,FALSE),"")</f>
        <v>12.14</v>
      </c>
      <c r="E82" s="431">
        <f>IFERROR(IF(ISNUMBER(D82),HLOOKUP(Tools!$BE$2,Tools!$BE$2:$BE$27,MOD(ROW()-2,Max_WL_count)+2,FALSE)*WLS,""),"")</f>
        <v>10.1</v>
      </c>
      <c r="I82" s="427">
        <f t="shared" si="11"/>
        <v>81</v>
      </c>
      <c r="J82" s="430">
        <f t="shared" si="7"/>
        <v>7</v>
      </c>
      <c r="K82" s="433">
        <f>IFERROR(-LBP/2+HLOOKUP(Stn_WL,Tools!$AD$2:$AD$27,N82+2,FALSE)*STN_GAP,"")</f>
        <v>-39.51</v>
      </c>
      <c r="L82" s="433">
        <f>IFERROR(IF(AND(ISNUMBER(K82),O82=0),0,VLOOKUP(HLOOKUP(Stn_WL,Tools!$AD$2:$AD$27,N82+2,FALSE),Tools!$AD$3:$BC$27,O82+1,FALSE)),"")</f>
        <v>3.17</v>
      </c>
      <c r="M82" s="433">
        <f>IFERROR(IF(ISNUMBER(L82),IF(O82=0,IFERROR(HLOOKUP(Tools!$BD$127,Tools!$BD$127:$BD$152,N82+2,FALSE)*1,0),HLOOKUP(Tools!$BE$2,Tools!$BE$2:$BE$27,O82+1,FALSE)*WLS),""),"")</f>
        <v>0.9</v>
      </c>
      <c r="N82">
        <f t="shared" si="8"/>
        <v>6</v>
      </c>
      <c r="O82">
        <f t="shared" si="9"/>
        <v>2</v>
      </c>
    </row>
    <row r="83" spans="1:15" x14ac:dyDescent="0.25">
      <c r="A83" s="427">
        <f t="shared" si="10"/>
        <v>82</v>
      </c>
      <c r="B83" s="430">
        <f t="shared" si="6"/>
        <v>7</v>
      </c>
      <c r="C83" s="433">
        <f>IFERROR(-LBP/2+HLOOKUP(Stn_WL,Tools!$AD$2:$AD$27,QUOTIENT(ROW()-2,Max_WL_count)+2,FALSE)*STN_GAP,"")</f>
        <v>-39.51</v>
      </c>
      <c r="D83" s="433">
        <f>IFERROR(VLOOKUP(HLOOKUP(Stn_WL,Tools!$AD$2:$AD$27,QUOTIENT(ROW()-2,Max_WL_count)+2,FALSE),Tools!$AD$3:$BC$27,MOD(ROW()-2,Max_WL_count)+2,FALSE),"")</f>
        <v>12.2</v>
      </c>
      <c r="E83" s="431">
        <f>IFERROR(IF(ISNUMBER(D83),HLOOKUP(Tools!$BE$2,Tools!$BE$2:$BE$27,MOD(ROW()-2,Max_WL_count)+2,FALSE)*WLS,""),"")</f>
        <v>10.8</v>
      </c>
      <c r="I83" s="427">
        <f t="shared" si="11"/>
        <v>82</v>
      </c>
      <c r="J83" s="430">
        <f t="shared" si="7"/>
        <v>7</v>
      </c>
      <c r="K83" s="433">
        <f>IFERROR(-LBP/2+HLOOKUP(Stn_WL,Tools!$AD$2:$AD$27,N83+2,FALSE)*STN_GAP,"")</f>
        <v>-39.51</v>
      </c>
      <c r="L83" s="433">
        <f>IFERROR(IF(AND(ISNUMBER(K83),O83=0),0,VLOOKUP(HLOOKUP(Stn_WL,Tools!$AD$2:$AD$27,N83+2,FALSE),Tools!$AD$3:$BC$27,O83+1,FALSE)),"")</f>
        <v>4.08</v>
      </c>
      <c r="M83" s="433">
        <f>IFERROR(IF(ISNUMBER(L83),IF(O83=0,IFERROR(HLOOKUP(Tools!$BD$127,Tools!$BD$127:$BD$152,N83+2,FALSE)*1,0),HLOOKUP(Tools!$BE$2,Tools!$BE$2:$BE$27,O83+1,FALSE)*WLS),""),"")</f>
        <v>1.8</v>
      </c>
      <c r="N83">
        <f t="shared" si="8"/>
        <v>6</v>
      </c>
      <c r="O83">
        <f t="shared" si="9"/>
        <v>3</v>
      </c>
    </row>
    <row r="84" spans="1:15" x14ac:dyDescent="0.25">
      <c r="A84" s="427">
        <f t="shared" si="10"/>
        <v>83</v>
      </c>
      <c r="B84" s="430">
        <f t="shared" si="6"/>
        <v>7</v>
      </c>
      <c r="C84" s="433">
        <f>IFERROR(-LBP/2+HLOOKUP(Stn_WL,Tools!$AD$2:$AD$27,QUOTIENT(ROW()-2,Max_WL_count)+2,FALSE)*STN_GAP,"")</f>
        <v>-39.51</v>
      </c>
      <c r="D84" s="433">
        <f>IFERROR(VLOOKUP(HLOOKUP(Stn_WL,Tools!$AD$2:$AD$27,QUOTIENT(ROW()-2,Max_WL_count)+2,FALSE),Tools!$AD$3:$BC$27,MOD(ROW()-2,Max_WL_count)+2,FALSE),"")</f>
        <v>12.25</v>
      </c>
      <c r="E84" s="431">
        <f>IFERROR(IF(ISNUMBER(D84),HLOOKUP(Tools!$BE$2,Tools!$BE$2:$BE$27,MOD(ROW()-2,Max_WL_count)+2,FALSE)*WLS,""),"")</f>
        <v>12.6</v>
      </c>
      <c r="I84" s="427">
        <f t="shared" si="11"/>
        <v>83</v>
      </c>
      <c r="J84" s="430">
        <f t="shared" si="7"/>
        <v>7</v>
      </c>
      <c r="K84" s="433">
        <f>IFERROR(-LBP/2+HLOOKUP(Stn_WL,Tools!$AD$2:$AD$27,N84+2,FALSE)*STN_GAP,"")</f>
        <v>-39.51</v>
      </c>
      <c r="L84" s="433">
        <f>IFERROR(IF(AND(ISNUMBER(K84),O84=0),0,VLOOKUP(HLOOKUP(Stn_WL,Tools!$AD$2:$AD$27,N84+2,FALSE),Tools!$AD$3:$BC$27,O84+1,FALSE)),"")</f>
        <v>4.8</v>
      </c>
      <c r="M84" s="433">
        <f>IFERROR(IF(ISNUMBER(L84),IF(O84=0,IFERROR(HLOOKUP(Tools!$BD$127,Tools!$BD$127:$BD$152,N84+2,FALSE)*1,0),HLOOKUP(Tools!$BE$2,Tools!$BE$2:$BE$27,O84+1,FALSE)*WLS),""),"")</f>
        <v>2.7</v>
      </c>
      <c r="N84">
        <f t="shared" si="8"/>
        <v>6</v>
      </c>
      <c r="O84">
        <f t="shared" si="9"/>
        <v>4</v>
      </c>
    </row>
    <row r="85" spans="1:15" x14ac:dyDescent="0.25">
      <c r="A85" s="427">
        <f t="shared" si="10"/>
        <v>84</v>
      </c>
      <c r="B85" s="430">
        <f t="shared" si="6"/>
        <v>7</v>
      </c>
      <c r="C85" s="433">
        <f>IFERROR(-LBP/2+HLOOKUP(Stn_WL,Tools!$AD$2:$AD$27,QUOTIENT(ROW()-2,Max_WL_count)+2,FALSE)*STN_GAP,"")</f>
        <v>-39.51</v>
      </c>
      <c r="D85" s="433">
        <f>IFERROR(VLOOKUP(HLOOKUP(Stn_WL,Tools!$AD$2:$AD$27,QUOTIENT(ROW()-2,Max_WL_count)+2,FALSE),Tools!$AD$3:$BC$27,MOD(ROW()-2,Max_WL_count)+2,FALSE),"")</f>
        <v>12.25</v>
      </c>
      <c r="E85" s="431">
        <f>IFERROR(IF(ISNUMBER(D85),HLOOKUP(Tools!$BE$2,Tools!$BE$2:$BE$27,MOD(ROW()-2,Max_WL_count)+2,FALSE)*WLS,""),"")</f>
        <v>14.19</v>
      </c>
      <c r="I85" s="427">
        <f t="shared" si="11"/>
        <v>84</v>
      </c>
      <c r="J85" s="430">
        <f t="shared" si="7"/>
        <v>7</v>
      </c>
      <c r="K85" s="433">
        <f>IFERROR(-LBP/2+HLOOKUP(Stn_WL,Tools!$AD$2:$AD$27,N85+2,FALSE)*STN_GAP,"")</f>
        <v>-39.51</v>
      </c>
      <c r="L85" s="433">
        <f>IFERROR(IF(AND(ISNUMBER(K85),O85=0),0,VLOOKUP(HLOOKUP(Stn_WL,Tools!$AD$2:$AD$27,N85+2,FALSE),Tools!$AD$3:$BC$27,O85+1,FALSE)),"")</f>
        <v>5.8</v>
      </c>
      <c r="M85" s="433">
        <f>IFERROR(IF(ISNUMBER(L85),IF(O85=0,IFERROR(HLOOKUP(Tools!$BD$127,Tools!$BD$127:$BD$152,N85+2,FALSE)*1,0),HLOOKUP(Tools!$BE$2,Tools!$BE$2:$BE$27,O85+1,FALSE)*WLS),""),"")</f>
        <v>3.6</v>
      </c>
      <c r="N85">
        <f t="shared" si="8"/>
        <v>6</v>
      </c>
      <c r="O85">
        <f t="shared" si="9"/>
        <v>5</v>
      </c>
    </row>
    <row r="86" spans="1:15" x14ac:dyDescent="0.25">
      <c r="A86" s="427">
        <f t="shared" si="10"/>
        <v>85</v>
      </c>
      <c r="B86" s="430">
        <f t="shared" si="6"/>
        <v>8</v>
      </c>
      <c r="C86" s="433">
        <f>IFERROR(-LBP/2+HLOOKUP(Stn_WL,Tools!$AD$2:$AD$27,QUOTIENT(ROW()-2,Max_WL_count)+2,FALSE)*STN_GAP,"")</f>
        <v>-32.924999999999997</v>
      </c>
      <c r="D86" s="433">
        <f>IFERROR(VLOOKUP(HLOOKUP(Stn_WL,Tools!$AD$2:$AD$27,QUOTIENT(ROW()-2,Max_WL_count)+2,FALSE),Tools!$AD$3:$BC$27,MOD(ROW()-2,Max_WL_count)+2,FALSE),"")</f>
        <v>1.62</v>
      </c>
      <c r="E86" s="431">
        <f>IFERROR(IF(ISNUMBER(D86),HLOOKUP(Tools!$BE$2,Tools!$BE$2:$BE$27,MOD(ROW()-2,Max_WL_count)+2,FALSE)*WLS,""),"")</f>
        <v>0</v>
      </c>
      <c r="I86" s="427">
        <f t="shared" si="11"/>
        <v>85</v>
      </c>
      <c r="J86" s="430">
        <f t="shared" si="7"/>
        <v>7</v>
      </c>
      <c r="K86" s="433">
        <f>IFERROR(-LBP/2+HLOOKUP(Stn_WL,Tools!$AD$2:$AD$27,N86+2,FALSE)*STN_GAP,"")</f>
        <v>-39.51</v>
      </c>
      <c r="L86" s="433">
        <f>IFERROR(IF(AND(ISNUMBER(K86),O86=0),0,VLOOKUP(HLOOKUP(Stn_WL,Tools!$AD$2:$AD$27,N86+2,FALSE),Tools!$AD$3:$BC$27,O86+1,FALSE)),"")</f>
        <v>9.1999999999999993</v>
      </c>
      <c r="M86" s="433">
        <f>IFERROR(IF(ISNUMBER(L86),IF(O86=0,IFERROR(HLOOKUP(Tools!$BD$127,Tools!$BD$127:$BD$152,N86+2,FALSE)*1,0),HLOOKUP(Tools!$BE$2,Tools!$BE$2:$BE$27,O86+1,FALSE)*WLS),""),"")</f>
        <v>5.4</v>
      </c>
      <c r="N86">
        <f t="shared" si="8"/>
        <v>6</v>
      </c>
      <c r="O86">
        <f t="shared" si="9"/>
        <v>6</v>
      </c>
    </row>
    <row r="87" spans="1:15" x14ac:dyDescent="0.25">
      <c r="A87" s="427">
        <f t="shared" si="10"/>
        <v>86</v>
      </c>
      <c r="B87" s="430">
        <f t="shared" si="6"/>
        <v>8</v>
      </c>
      <c r="C87" s="433">
        <f>IFERROR(-LBP/2+HLOOKUP(Stn_WL,Tools!$AD$2:$AD$27,QUOTIENT(ROW()-2,Max_WL_count)+2,FALSE)*STN_GAP,"")</f>
        <v>-32.924999999999997</v>
      </c>
      <c r="D87" s="433">
        <f>IFERROR(VLOOKUP(HLOOKUP(Stn_WL,Tools!$AD$2:$AD$27,QUOTIENT(ROW()-2,Max_WL_count)+2,FALSE),Tools!$AD$3:$BC$27,MOD(ROW()-2,Max_WL_count)+2,FALSE),"")</f>
        <v>4.8099999999999996</v>
      </c>
      <c r="E87" s="431">
        <f>IFERROR(IF(ISNUMBER(D87),HLOOKUP(Tools!$BE$2,Tools!$BE$2:$BE$27,MOD(ROW()-2,Max_WL_count)+2,FALSE)*WLS,""),"")</f>
        <v>0.9</v>
      </c>
      <c r="I87" s="427">
        <f t="shared" si="11"/>
        <v>86</v>
      </c>
      <c r="J87" s="430">
        <f t="shared" si="7"/>
        <v>7</v>
      </c>
      <c r="K87" s="433">
        <f>IFERROR(-LBP/2+HLOOKUP(Stn_WL,Tools!$AD$2:$AD$27,N87+2,FALSE)*STN_GAP,"")</f>
        <v>-39.51</v>
      </c>
      <c r="L87" s="433">
        <f>IFERROR(IF(AND(ISNUMBER(K87),O87=0),0,VLOOKUP(HLOOKUP(Stn_WL,Tools!$AD$2:$AD$27,N87+2,FALSE),Tools!$AD$3:$BC$27,O87+1,FALSE)),"")</f>
        <v>11.17</v>
      </c>
      <c r="M87" s="433">
        <f>IFERROR(IF(ISNUMBER(L87),IF(O87=0,IFERROR(HLOOKUP(Tools!$BD$127,Tools!$BD$127:$BD$152,N87+2,FALSE)*1,0),HLOOKUP(Tools!$BE$2,Tools!$BE$2:$BE$27,O87+1,FALSE)*WLS),""),"")</f>
        <v>7.2</v>
      </c>
      <c r="N87">
        <f t="shared" si="8"/>
        <v>6</v>
      </c>
      <c r="O87">
        <f t="shared" si="9"/>
        <v>7</v>
      </c>
    </row>
    <row r="88" spans="1:15" x14ac:dyDescent="0.25">
      <c r="A88" s="427">
        <f t="shared" si="10"/>
        <v>87</v>
      </c>
      <c r="B88" s="430">
        <f t="shared" si="6"/>
        <v>8</v>
      </c>
      <c r="C88" s="433">
        <f>IFERROR(-LBP/2+HLOOKUP(Stn_WL,Tools!$AD$2:$AD$27,QUOTIENT(ROW()-2,Max_WL_count)+2,FALSE)*STN_GAP,"")</f>
        <v>-32.924999999999997</v>
      </c>
      <c r="D88" s="433">
        <f>IFERROR(VLOOKUP(HLOOKUP(Stn_WL,Tools!$AD$2:$AD$27,QUOTIENT(ROW()-2,Max_WL_count)+2,FALSE),Tools!$AD$3:$BC$27,MOD(ROW()-2,Max_WL_count)+2,FALSE),"")</f>
        <v>6.09</v>
      </c>
      <c r="E88" s="431">
        <f>IFERROR(IF(ISNUMBER(D88),HLOOKUP(Tools!$BE$2,Tools!$BE$2:$BE$27,MOD(ROW()-2,Max_WL_count)+2,FALSE)*WLS,""),"")</f>
        <v>1.8</v>
      </c>
      <c r="I88" s="427">
        <f t="shared" si="11"/>
        <v>87</v>
      </c>
      <c r="J88" s="430">
        <f t="shared" si="7"/>
        <v>7</v>
      </c>
      <c r="K88" s="433">
        <f>IFERROR(-LBP/2+HLOOKUP(Stn_WL,Tools!$AD$2:$AD$27,N88+2,FALSE)*STN_GAP,"")</f>
        <v>-39.51</v>
      </c>
      <c r="L88" s="433">
        <f>IFERROR(IF(AND(ISNUMBER(K88),O88=0),0,VLOOKUP(HLOOKUP(Stn_WL,Tools!$AD$2:$AD$27,N88+2,FALSE),Tools!$AD$3:$BC$27,O88+1,FALSE)),"")</f>
        <v>11.91</v>
      </c>
      <c r="M88" s="433">
        <f>IFERROR(IF(ISNUMBER(L88),IF(O88=0,IFERROR(HLOOKUP(Tools!$BD$127,Tools!$BD$127:$BD$152,N88+2,FALSE)*1,0),HLOOKUP(Tools!$BE$2,Tools!$BE$2:$BE$27,O88+1,FALSE)*WLS),""),"")</f>
        <v>9</v>
      </c>
      <c r="N88">
        <f t="shared" si="8"/>
        <v>6</v>
      </c>
      <c r="O88">
        <f t="shared" si="9"/>
        <v>8</v>
      </c>
    </row>
    <row r="89" spans="1:15" x14ac:dyDescent="0.25">
      <c r="A89" s="427">
        <f t="shared" si="10"/>
        <v>88</v>
      </c>
      <c r="B89" s="430">
        <f t="shared" si="6"/>
        <v>8</v>
      </c>
      <c r="C89" s="433">
        <f>IFERROR(-LBP/2+HLOOKUP(Stn_WL,Tools!$AD$2:$AD$27,QUOTIENT(ROW()-2,Max_WL_count)+2,FALSE)*STN_GAP,"")</f>
        <v>-32.924999999999997</v>
      </c>
      <c r="D89" s="433">
        <f>IFERROR(VLOOKUP(HLOOKUP(Stn_WL,Tools!$AD$2:$AD$27,QUOTIENT(ROW()-2,Max_WL_count)+2,FALSE),Tools!$AD$3:$BC$27,MOD(ROW()-2,Max_WL_count)+2,FALSE),"")</f>
        <v>7.37</v>
      </c>
      <c r="E89" s="431">
        <f>IFERROR(IF(ISNUMBER(D89),HLOOKUP(Tools!$BE$2,Tools!$BE$2:$BE$27,MOD(ROW()-2,Max_WL_count)+2,FALSE)*WLS,""),"")</f>
        <v>2.7</v>
      </c>
      <c r="I89" s="427">
        <f t="shared" si="11"/>
        <v>88</v>
      </c>
      <c r="J89" s="430">
        <f t="shared" si="7"/>
        <v>7</v>
      </c>
      <c r="K89" s="433">
        <f>IFERROR(-LBP/2+HLOOKUP(Stn_WL,Tools!$AD$2:$AD$27,N89+2,FALSE)*STN_GAP,"")</f>
        <v>-39.51</v>
      </c>
      <c r="L89" s="433">
        <f>IFERROR(IF(AND(ISNUMBER(K89),O89=0),0,VLOOKUP(HLOOKUP(Stn_WL,Tools!$AD$2:$AD$27,N89+2,FALSE),Tools!$AD$3:$BC$27,O89+1,FALSE)),"")</f>
        <v>12.14</v>
      </c>
      <c r="M89" s="433">
        <f>IFERROR(IF(ISNUMBER(L89),IF(O89=0,IFERROR(HLOOKUP(Tools!$BD$127,Tools!$BD$127:$BD$152,N89+2,FALSE)*1,0),HLOOKUP(Tools!$BE$2,Tools!$BE$2:$BE$27,O89+1,FALSE)*WLS),""),"")</f>
        <v>10.1</v>
      </c>
      <c r="N89">
        <f t="shared" si="8"/>
        <v>6</v>
      </c>
      <c r="O89">
        <f t="shared" si="9"/>
        <v>9</v>
      </c>
    </row>
    <row r="90" spans="1:15" x14ac:dyDescent="0.25">
      <c r="A90" s="427">
        <f t="shared" si="10"/>
        <v>89</v>
      </c>
      <c r="B90" s="430">
        <f t="shared" si="6"/>
        <v>8</v>
      </c>
      <c r="C90" s="433">
        <f>IFERROR(-LBP/2+HLOOKUP(Stn_WL,Tools!$AD$2:$AD$27,QUOTIENT(ROW()-2,Max_WL_count)+2,FALSE)*STN_GAP,"")</f>
        <v>-32.924999999999997</v>
      </c>
      <c r="D90" s="433">
        <f>IFERROR(VLOOKUP(HLOOKUP(Stn_WL,Tools!$AD$2:$AD$27,QUOTIENT(ROW()-2,Max_WL_count)+2,FALSE),Tools!$AD$3:$BC$27,MOD(ROW()-2,Max_WL_count)+2,FALSE),"")</f>
        <v>9.0299999999999994</v>
      </c>
      <c r="E90" s="431">
        <f>IFERROR(IF(ISNUMBER(D90),HLOOKUP(Tools!$BE$2,Tools!$BE$2:$BE$27,MOD(ROW()-2,Max_WL_count)+2,FALSE)*WLS,""),"")</f>
        <v>3.6</v>
      </c>
      <c r="I90" s="427">
        <f t="shared" si="11"/>
        <v>89</v>
      </c>
      <c r="J90" s="430">
        <f t="shared" si="7"/>
        <v>7</v>
      </c>
      <c r="K90" s="433">
        <f>IFERROR(-LBP/2+HLOOKUP(Stn_WL,Tools!$AD$2:$AD$27,N90+2,FALSE)*STN_GAP,"")</f>
        <v>-39.51</v>
      </c>
      <c r="L90" s="433">
        <f>IFERROR(IF(AND(ISNUMBER(K90),O90=0),0,VLOOKUP(HLOOKUP(Stn_WL,Tools!$AD$2:$AD$27,N90+2,FALSE),Tools!$AD$3:$BC$27,O90+1,FALSE)),"")</f>
        <v>12.2</v>
      </c>
      <c r="M90" s="433">
        <f>IFERROR(IF(ISNUMBER(L90),IF(O90=0,IFERROR(HLOOKUP(Tools!$BD$127,Tools!$BD$127:$BD$152,N90+2,FALSE)*1,0),HLOOKUP(Tools!$BE$2,Tools!$BE$2:$BE$27,O90+1,FALSE)*WLS),""),"")</f>
        <v>10.8</v>
      </c>
      <c r="N90">
        <f t="shared" si="8"/>
        <v>6</v>
      </c>
      <c r="O90">
        <f t="shared" si="9"/>
        <v>10</v>
      </c>
    </row>
    <row r="91" spans="1:15" x14ac:dyDescent="0.25">
      <c r="A91" s="427">
        <f t="shared" si="10"/>
        <v>90</v>
      </c>
      <c r="B91" s="430">
        <f t="shared" si="6"/>
        <v>8</v>
      </c>
      <c r="C91" s="433">
        <f>IFERROR(-LBP/2+HLOOKUP(Stn_WL,Tools!$AD$2:$AD$27,QUOTIENT(ROW()-2,Max_WL_count)+2,FALSE)*STN_GAP,"")</f>
        <v>-32.924999999999997</v>
      </c>
      <c r="D91" s="433">
        <f>IFERROR(VLOOKUP(HLOOKUP(Stn_WL,Tools!$AD$2:$AD$27,QUOTIENT(ROW()-2,Max_WL_count)+2,FALSE),Tools!$AD$3:$BC$27,MOD(ROW()-2,Max_WL_count)+2,FALSE),"")</f>
        <v>11.15</v>
      </c>
      <c r="E91" s="431">
        <f>IFERROR(IF(ISNUMBER(D91),HLOOKUP(Tools!$BE$2,Tools!$BE$2:$BE$27,MOD(ROW()-2,Max_WL_count)+2,FALSE)*WLS,""),"")</f>
        <v>5.4</v>
      </c>
      <c r="I91" s="427">
        <f t="shared" si="11"/>
        <v>90</v>
      </c>
      <c r="J91" s="430">
        <f t="shared" si="7"/>
        <v>7</v>
      </c>
      <c r="K91" s="433">
        <f>IFERROR(-LBP/2+HLOOKUP(Stn_WL,Tools!$AD$2:$AD$27,N91+2,FALSE)*STN_GAP,"")</f>
        <v>-39.51</v>
      </c>
      <c r="L91" s="433">
        <f>IFERROR(IF(AND(ISNUMBER(K91),O91=0),0,VLOOKUP(HLOOKUP(Stn_WL,Tools!$AD$2:$AD$27,N91+2,FALSE),Tools!$AD$3:$BC$27,O91+1,FALSE)),"")</f>
        <v>12.25</v>
      </c>
      <c r="M91" s="433">
        <f>IFERROR(IF(ISNUMBER(L91),IF(O91=0,IFERROR(HLOOKUP(Tools!$BD$127,Tools!$BD$127:$BD$152,N91+2,FALSE)*1,0),HLOOKUP(Tools!$BE$2,Tools!$BE$2:$BE$27,O91+1,FALSE)*WLS),""),"")</f>
        <v>12.6</v>
      </c>
      <c r="N91">
        <f t="shared" si="8"/>
        <v>6</v>
      </c>
      <c r="O91">
        <f t="shared" si="9"/>
        <v>11</v>
      </c>
    </row>
    <row r="92" spans="1:15" x14ac:dyDescent="0.25">
      <c r="A92" s="427">
        <f t="shared" si="10"/>
        <v>91</v>
      </c>
      <c r="B92" s="430">
        <f t="shared" si="6"/>
        <v>8</v>
      </c>
      <c r="C92" s="433">
        <f>IFERROR(-LBP/2+HLOOKUP(Stn_WL,Tools!$AD$2:$AD$27,QUOTIENT(ROW()-2,Max_WL_count)+2,FALSE)*STN_GAP,"")</f>
        <v>-32.924999999999997</v>
      </c>
      <c r="D92" s="433">
        <f>IFERROR(VLOOKUP(HLOOKUP(Stn_WL,Tools!$AD$2:$AD$27,QUOTIENT(ROW()-2,Max_WL_count)+2,FALSE),Tools!$AD$3:$BC$27,MOD(ROW()-2,Max_WL_count)+2,FALSE),"")</f>
        <v>11.95</v>
      </c>
      <c r="E92" s="431">
        <f>IFERROR(IF(ISNUMBER(D92),HLOOKUP(Tools!$BE$2,Tools!$BE$2:$BE$27,MOD(ROW()-2,Max_WL_count)+2,FALSE)*WLS,""),"")</f>
        <v>7.2</v>
      </c>
      <c r="I92" s="427">
        <f t="shared" si="11"/>
        <v>91</v>
      </c>
      <c r="J92" s="430">
        <f t="shared" si="7"/>
        <v>7</v>
      </c>
      <c r="K92" s="433">
        <f>IFERROR(-LBP/2+HLOOKUP(Stn_WL,Tools!$AD$2:$AD$27,N92+2,FALSE)*STN_GAP,"")</f>
        <v>-39.51</v>
      </c>
      <c r="L92" s="433">
        <f>IFERROR(IF(AND(ISNUMBER(K92),O92=0),0,VLOOKUP(HLOOKUP(Stn_WL,Tools!$AD$2:$AD$27,N92+2,FALSE),Tools!$AD$3:$BC$27,O92+1,FALSE)),"")</f>
        <v>12.25</v>
      </c>
      <c r="M92" s="433">
        <f>IFERROR(IF(ISNUMBER(L92),IF(O92=0,IFERROR(HLOOKUP(Tools!$BD$127,Tools!$BD$127:$BD$152,N92+2,FALSE)*1,0),HLOOKUP(Tools!$BE$2,Tools!$BE$2:$BE$27,O92+1,FALSE)*WLS),""),"")</f>
        <v>14.19</v>
      </c>
      <c r="N92">
        <f t="shared" si="8"/>
        <v>6</v>
      </c>
      <c r="O92">
        <f t="shared" si="9"/>
        <v>12</v>
      </c>
    </row>
    <row r="93" spans="1:15" x14ac:dyDescent="0.25">
      <c r="A93" s="427">
        <f t="shared" si="10"/>
        <v>92</v>
      </c>
      <c r="B93" s="430">
        <f t="shared" si="6"/>
        <v>8</v>
      </c>
      <c r="C93" s="433">
        <f>IFERROR(-LBP/2+HLOOKUP(Stn_WL,Tools!$AD$2:$AD$27,QUOTIENT(ROW()-2,Max_WL_count)+2,FALSE)*STN_GAP,"")</f>
        <v>-32.924999999999997</v>
      </c>
      <c r="D93" s="433">
        <f>IFERROR(VLOOKUP(HLOOKUP(Stn_WL,Tools!$AD$2:$AD$27,QUOTIENT(ROW()-2,Max_WL_count)+2,FALSE),Tools!$AD$3:$BC$27,MOD(ROW()-2,Max_WL_count)+2,FALSE),"")</f>
        <v>12.22</v>
      </c>
      <c r="E93" s="431">
        <f>IFERROR(IF(ISNUMBER(D93),HLOOKUP(Tools!$BE$2,Tools!$BE$2:$BE$27,MOD(ROW()-2,Max_WL_count)+2,FALSE)*WLS,""),"")</f>
        <v>9</v>
      </c>
      <c r="I93" s="427">
        <f t="shared" si="11"/>
        <v>92</v>
      </c>
      <c r="J93" s="430">
        <f t="shared" si="7"/>
        <v>8</v>
      </c>
      <c r="K93" s="433">
        <f>IFERROR(-LBP/2+HLOOKUP(Stn_WL,Tools!$AD$2:$AD$27,N93+2,FALSE)*STN_GAP,"")</f>
        <v>-32.924999999999997</v>
      </c>
      <c r="L93" s="433">
        <f>IFERROR(IF(AND(ISNUMBER(K93),O93=0),0,VLOOKUP(HLOOKUP(Stn_WL,Tools!$AD$2:$AD$27,N93+2,FALSE),Tools!$AD$3:$BC$27,O93+1,FALSE)),"")</f>
        <v>0</v>
      </c>
      <c r="M93" s="433">
        <f>IFERROR(IF(ISNUMBER(L93),IF(O93=0,IFERROR(HLOOKUP(Tools!$BD$127,Tools!$BD$127:$BD$152,N93+2,FALSE)*1,0),HLOOKUP(Tools!$BE$2,Tools!$BE$2:$BE$27,O93+1,FALSE)*WLS),""),"")</f>
        <v>0</v>
      </c>
      <c r="N93">
        <f t="shared" si="8"/>
        <v>7</v>
      </c>
      <c r="O93">
        <f t="shared" si="9"/>
        <v>0</v>
      </c>
    </row>
    <row r="94" spans="1:15" x14ac:dyDescent="0.25">
      <c r="A94" s="427">
        <f t="shared" si="10"/>
        <v>93</v>
      </c>
      <c r="B94" s="430">
        <f t="shared" si="6"/>
        <v>8</v>
      </c>
      <c r="C94" s="433">
        <f>IFERROR(-LBP/2+HLOOKUP(Stn_WL,Tools!$AD$2:$AD$27,QUOTIENT(ROW()-2,Max_WL_count)+2,FALSE)*STN_GAP,"")</f>
        <v>-32.924999999999997</v>
      </c>
      <c r="D94" s="433">
        <f>IFERROR(VLOOKUP(HLOOKUP(Stn_WL,Tools!$AD$2:$AD$27,QUOTIENT(ROW()-2,Max_WL_count)+2,FALSE),Tools!$AD$3:$BC$27,MOD(ROW()-2,Max_WL_count)+2,FALSE),"")</f>
        <v>12.25</v>
      </c>
      <c r="E94" s="431">
        <f>IFERROR(IF(ISNUMBER(D94),HLOOKUP(Tools!$BE$2,Tools!$BE$2:$BE$27,MOD(ROW()-2,Max_WL_count)+2,FALSE)*WLS,""),"")</f>
        <v>10.1</v>
      </c>
      <c r="I94" s="427">
        <f t="shared" si="11"/>
        <v>93</v>
      </c>
      <c r="J94" s="430">
        <f t="shared" si="7"/>
        <v>8</v>
      </c>
      <c r="K94" s="433">
        <f>IFERROR(-LBP/2+HLOOKUP(Stn_WL,Tools!$AD$2:$AD$27,N94+2,FALSE)*STN_GAP,"")</f>
        <v>-32.924999999999997</v>
      </c>
      <c r="L94" s="433">
        <f>IFERROR(IF(AND(ISNUMBER(K94),O94=0),0,VLOOKUP(HLOOKUP(Stn_WL,Tools!$AD$2:$AD$27,N94+2,FALSE),Tools!$AD$3:$BC$27,O94+1,FALSE)),"")</f>
        <v>1.62</v>
      </c>
      <c r="M94" s="433">
        <f>IFERROR(IF(ISNUMBER(L94),IF(O94=0,IFERROR(HLOOKUP(Tools!$BD$127,Tools!$BD$127:$BD$152,N94+2,FALSE)*1,0),HLOOKUP(Tools!$BE$2,Tools!$BE$2:$BE$27,O94+1,FALSE)*WLS),""),"")</f>
        <v>0</v>
      </c>
      <c r="N94">
        <f t="shared" si="8"/>
        <v>7</v>
      </c>
      <c r="O94">
        <f t="shared" si="9"/>
        <v>1</v>
      </c>
    </row>
    <row r="95" spans="1:15" x14ac:dyDescent="0.25">
      <c r="A95" s="427">
        <f t="shared" si="10"/>
        <v>94</v>
      </c>
      <c r="B95" s="430">
        <f t="shared" si="6"/>
        <v>8</v>
      </c>
      <c r="C95" s="433">
        <f>IFERROR(-LBP/2+HLOOKUP(Stn_WL,Tools!$AD$2:$AD$27,QUOTIENT(ROW()-2,Max_WL_count)+2,FALSE)*STN_GAP,"")</f>
        <v>-32.924999999999997</v>
      </c>
      <c r="D95" s="433">
        <f>IFERROR(VLOOKUP(HLOOKUP(Stn_WL,Tools!$AD$2:$AD$27,QUOTIENT(ROW()-2,Max_WL_count)+2,FALSE),Tools!$AD$3:$BC$27,MOD(ROW()-2,Max_WL_count)+2,FALSE),"")</f>
        <v>12.25</v>
      </c>
      <c r="E95" s="431">
        <f>IFERROR(IF(ISNUMBER(D95),HLOOKUP(Tools!$BE$2,Tools!$BE$2:$BE$27,MOD(ROW()-2,Max_WL_count)+2,FALSE)*WLS,""),"")</f>
        <v>10.8</v>
      </c>
      <c r="I95" s="427">
        <f t="shared" si="11"/>
        <v>94</v>
      </c>
      <c r="J95" s="430">
        <f t="shared" si="7"/>
        <v>8</v>
      </c>
      <c r="K95" s="433">
        <f>IFERROR(-LBP/2+HLOOKUP(Stn_WL,Tools!$AD$2:$AD$27,N95+2,FALSE)*STN_GAP,"")</f>
        <v>-32.924999999999997</v>
      </c>
      <c r="L95" s="433">
        <f>IFERROR(IF(AND(ISNUMBER(K95),O95=0),0,VLOOKUP(HLOOKUP(Stn_WL,Tools!$AD$2:$AD$27,N95+2,FALSE),Tools!$AD$3:$BC$27,O95+1,FALSE)),"")</f>
        <v>4.8099999999999996</v>
      </c>
      <c r="M95" s="433">
        <f>IFERROR(IF(ISNUMBER(L95),IF(O95=0,IFERROR(HLOOKUP(Tools!$BD$127,Tools!$BD$127:$BD$152,N95+2,FALSE)*1,0),HLOOKUP(Tools!$BE$2,Tools!$BE$2:$BE$27,O95+1,FALSE)*WLS),""),"")</f>
        <v>0.9</v>
      </c>
      <c r="N95">
        <f t="shared" si="8"/>
        <v>7</v>
      </c>
      <c r="O95">
        <f t="shared" si="9"/>
        <v>2</v>
      </c>
    </row>
    <row r="96" spans="1:15" x14ac:dyDescent="0.25">
      <c r="A96" s="427">
        <f t="shared" si="10"/>
        <v>95</v>
      </c>
      <c r="B96" s="430">
        <f t="shared" si="6"/>
        <v>8</v>
      </c>
      <c r="C96" s="433">
        <f>IFERROR(-LBP/2+HLOOKUP(Stn_WL,Tools!$AD$2:$AD$27,QUOTIENT(ROW()-2,Max_WL_count)+2,FALSE)*STN_GAP,"")</f>
        <v>-32.924999999999997</v>
      </c>
      <c r="D96" s="433">
        <f>IFERROR(VLOOKUP(HLOOKUP(Stn_WL,Tools!$AD$2:$AD$27,QUOTIENT(ROW()-2,Max_WL_count)+2,FALSE),Tools!$AD$3:$BC$27,MOD(ROW()-2,Max_WL_count)+2,FALSE),"")</f>
        <v>12.25</v>
      </c>
      <c r="E96" s="431">
        <f>IFERROR(IF(ISNUMBER(D96),HLOOKUP(Tools!$BE$2,Tools!$BE$2:$BE$27,MOD(ROW()-2,Max_WL_count)+2,FALSE)*WLS,""),"")</f>
        <v>12.6</v>
      </c>
      <c r="I96" s="427">
        <f t="shared" si="11"/>
        <v>95</v>
      </c>
      <c r="J96" s="430">
        <f t="shared" si="7"/>
        <v>8</v>
      </c>
      <c r="K96" s="433">
        <f>IFERROR(-LBP/2+HLOOKUP(Stn_WL,Tools!$AD$2:$AD$27,N96+2,FALSE)*STN_GAP,"")</f>
        <v>-32.924999999999997</v>
      </c>
      <c r="L96" s="433">
        <f>IFERROR(IF(AND(ISNUMBER(K96),O96=0),0,VLOOKUP(HLOOKUP(Stn_WL,Tools!$AD$2:$AD$27,N96+2,FALSE),Tools!$AD$3:$BC$27,O96+1,FALSE)),"")</f>
        <v>6.09</v>
      </c>
      <c r="M96" s="433">
        <f>IFERROR(IF(ISNUMBER(L96),IF(O96=0,IFERROR(HLOOKUP(Tools!$BD$127,Tools!$BD$127:$BD$152,N96+2,FALSE)*1,0),HLOOKUP(Tools!$BE$2,Tools!$BE$2:$BE$27,O96+1,FALSE)*WLS),""),"")</f>
        <v>1.8</v>
      </c>
      <c r="N96">
        <f t="shared" si="8"/>
        <v>7</v>
      </c>
      <c r="O96">
        <f t="shared" si="9"/>
        <v>3</v>
      </c>
    </row>
    <row r="97" spans="1:15" x14ac:dyDescent="0.25">
      <c r="A97" s="427">
        <f t="shared" si="10"/>
        <v>96</v>
      </c>
      <c r="B97" s="430">
        <f t="shared" si="6"/>
        <v>8</v>
      </c>
      <c r="C97" s="433">
        <f>IFERROR(-LBP/2+HLOOKUP(Stn_WL,Tools!$AD$2:$AD$27,QUOTIENT(ROW()-2,Max_WL_count)+2,FALSE)*STN_GAP,"")</f>
        <v>-32.924999999999997</v>
      </c>
      <c r="D97" s="433">
        <f>IFERROR(VLOOKUP(HLOOKUP(Stn_WL,Tools!$AD$2:$AD$27,QUOTIENT(ROW()-2,Max_WL_count)+2,FALSE),Tools!$AD$3:$BC$27,MOD(ROW()-2,Max_WL_count)+2,FALSE),"")</f>
        <v>12.25</v>
      </c>
      <c r="E97" s="431">
        <f>IFERROR(IF(ISNUMBER(D97),HLOOKUP(Tools!$BE$2,Tools!$BE$2:$BE$27,MOD(ROW()-2,Max_WL_count)+2,FALSE)*WLS,""),"")</f>
        <v>14.19</v>
      </c>
      <c r="I97" s="427">
        <f t="shared" si="11"/>
        <v>96</v>
      </c>
      <c r="J97" s="430">
        <f t="shared" si="7"/>
        <v>8</v>
      </c>
      <c r="K97" s="433">
        <f>IFERROR(-LBP/2+HLOOKUP(Stn_WL,Tools!$AD$2:$AD$27,N97+2,FALSE)*STN_GAP,"")</f>
        <v>-32.924999999999997</v>
      </c>
      <c r="L97" s="433">
        <f>IFERROR(IF(AND(ISNUMBER(K97),O97=0),0,VLOOKUP(HLOOKUP(Stn_WL,Tools!$AD$2:$AD$27,N97+2,FALSE),Tools!$AD$3:$BC$27,O97+1,FALSE)),"")</f>
        <v>7.37</v>
      </c>
      <c r="M97" s="433">
        <f>IFERROR(IF(ISNUMBER(L97),IF(O97=0,IFERROR(HLOOKUP(Tools!$BD$127,Tools!$BD$127:$BD$152,N97+2,FALSE)*1,0),HLOOKUP(Tools!$BE$2,Tools!$BE$2:$BE$27,O97+1,FALSE)*WLS),""),"")</f>
        <v>2.7</v>
      </c>
      <c r="N97">
        <f t="shared" si="8"/>
        <v>7</v>
      </c>
      <c r="O97">
        <f t="shared" si="9"/>
        <v>4</v>
      </c>
    </row>
    <row r="98" spans="1:15" x14ac:dyDescent="0.25">
      <c r="A98" s="427">
        <f t="shared" si="10"/>
        <v>97</v>
      </c>
      <c r="B98" s="430">
        <f t="shared" si="6"/>
        <v>9</v>
      </c>
      <c r="C98" s="433">
        <f>IFERROR(-LBP/2+HLOOKUP(Stn_WL,Tools!$AD$2:$AD$27,QUOTIENT(ROW()-2,Max_WL_count)+2,FALSE)*STN_GAP,"")</f>
        <v>-26.340000000000003</v>
      </c>
      <c r="D98" s="433">
        <f>IFERROR(VLOOKUP(HLOOKUP(Stn_WL,Tools!$AD$2:$AD$27,QUOTIENT(ROW()-2,Max_WL_count)+2,FALSE),Tools!$AD$3:$BC$27,MOD(ROW()-2,Max_WL_count)+2,FALSE),"")</f>
        <v>2.2000000000000002</v>
      </c>
      <c r="E98" s="431">
        <f>IFERROR(IF(ISNUMBER(D98),HLOOKUP(Tools!$BE$2,Tools!$BE$2:$BE$27,MOD(ROW()-2,Max_WL_count)+2,FALSE)*WLS,""),"")</f>
        <v>0</v>
      </c>
      <c r="I98" s="427">
        <f t="shared" si="11"/>
        <v>97</v>
      </c>
      <c r="J98" s="430">
        <f t="shared" si="7"/>
        <v>8</v>
      </c>
      <c r="K98" s="433">
        <f>IFERROR(-LBP/2+HLOOKUP(Stn_WL,Tools!$AD$2:$AD$27,N98+2,FALSE)*STN_GAP,"")</f>
        <v>-32.924999999999997</v>
      </c>
      <c r="L98" s="433">
        <f>IFERROR(IF(AND(ISNUMBER(K98),O98=0),0,VLOOKUP(HLOOKUP(Stn_WL,Tools!$AD$2:$AD$27,N98+2,FALSE),Tools!$AD$3:$BC$27,O98+1,FALSE)),"")</f>
        <v>9.0299999999999994</v>
      </c>
      <c r="M98" s="433">
        <f>IFERROR(IF(ISNUMBER(L98),IF(O98=0,IFERROR(HLOOKUP(Tools!$BD$127,Tools!$BD$127:$BD$152,N98+2,FALSE)*1,0),HLOOKUP(Tools!$BE$2,Tools!$BE$2:$BE$27,O98+1,FALSE)*WLS),""),"")</f>
        <v>3.6</v>
      </c>
      <c r="N98">
        <f t="shared" si="8"/>
        <v>7</v>
      </c>
      <c r="O98">
        <f t="shared" si="9"/>
        <v>5</v>
      </c>
    </row>
    <row r="99" spans="1:15" x14ac:dyDescent="0.25">
      <c r="A99" s="427">
        <f t="shared" si="10"/>
        <v>98</v>
      </c>
      <c r="B99" s="430">
        <f t="shared" si="6"/>
        <v>9</v>
      </c>
      <c r="C99" s="433">
        <f>IFERROR(-LBP/2+HLOOKUP(Stn_WL,Tools!$AD$2:$AD$27,QUOTIENT(ROW()-2,Max_WL_count)+2,FALSE)*STN_GAP,"")</f>
        <v>-26.340000000000003</v>
      </c>
      <c r="D99" s="433">
        <f>IFERROR(VLOOKUP(HLOOKUP(Stn_WL,Tools!$AD$2:$AD$27,QUOTIENT(ROW()-2,Max_WL_count)+2,FALSE),Tools!$AD$3:$BC$27,MOD(ROW()-2,Max_WL_count)+2,FALSE),"")</f>
        <v>6.59</v>
      </c>
      <c r="E99" s="431">
        <f>IFERROR(IF(ISNUMBER(D99),HLOOKUP(Tools!$BE$2,Tools!$BE$2:$BE$27,MOD(ROW()-2,Max_WL_count)+2,FALSE)*WLS,""),"")</f>
        <v>0.9</v>
      </c>
      <c r="I99" s="427">
        <f t="shared" si="11"/>
        <v>98</v>
      </c>
      <c r="J99" s="430">
        <f t="shared" si="7"/>
        <v>8</v>
      </c>
      <c r="K99" s="433">
        <f>IFERROR(-LBP/2+HLOOKUP(Stn_WL,Tools!$AD$2:$AD$27,N99+2,FALSE)*STN_GAP,"")</f>
        <v>-32.924999999999997</v>
      </c>
      <c r="L99" s="433">
        <f>IFERROR(IF(AND(ISNUMBER(K99),O99=0),0,VLOOKUP(HLOOKUP(Stn_WL,Tools!$AD$2:$AD$27,N99+2,FALSE),Tools!$AD$3:$BC$27,O99+1,FALSE)),"")</f>
        <v>11.15</v>
      </c>
      <c r="M99" s="433">
        <f>IFERROR(IF(ISNUMBER(L99),IF(O99=0,IFERROR(HLOOKUP(Tools!$BD$127,Tools!$BD$127:$BD$152,N99+2,FALSE)*1,0),HLOOKUP(Tools!$BE$2,Tools!$BE$2:$BE$27,O99+1,FALSE)*WLS),""),"")</f>
        <v>5.4</v>
      </c>
      <c r="N99">
        <f t="shared" si="8"/>
        <v>7</v>
      </c>
      <c r="O99">
        <f t="shared" si="9"/>
        <v>6</v>
      </c>
    </row>
    <row r="100" spans="1:15" x14ac:dyDescent="0.25">
      <c r="A100" s="427">
        <f t="shared" si="10"/>
        <v>99</v>
      </c>
      <c r="B100" s="430">
        <f t="shared" si="6"/>
        <v>9</v>
      </c>
      <c r="C100" s="433">
        <f>IFERROR(-LBP/2+HLOOKUP(Stn_WL,Tools!$AD$2:$AD$27,QUOTIENT(ROW()-2,Max_WL_count)+2,FALSE)*STN_GAP,"")</f>
        <v>-26.340000000000003</v>
      </c>
      <c r="D100" s="433">
        <f>IFERROR(VLOOKUP(HLOOKUP(Stn_WL,Tools!$AD$2:$AD$27,QUOTIENT(ROW()-2,Max_WL_count)+2,FALSE),Tools!$AD$3:$BC$27,MOD(ROW()-2,Max_WL_count)+2,FALSE),"")</f>
        <v>8.34</v>
      </c>
      <c r="E100" s="431">
        <f>IFERROR(IF(ISNUMBER(D100),HLOOKUP(Tools!$BE$2,Tools!$BE$2:$BE$27,MOD(ROW()-2,Max_WL_count)+2,FALSE)*WLS,""),"")</f>
        <v>1.8</v>
      </c>
      <c r="I100" s="427">
        <f t="shared" si="11"/>
        <v>99</v>
      </c>
      <c r="J100" s="430">
        <f t="shared" si="7"/>
        <v>8</v>
      </c>
      <c r="K100" s="433">
        <f>IFERROR(-LBP/2+HLOOKUP(Stn_WL,Tools!$AD$2:$AD$27,N100+2,FALSE)*STN_GAP,"")</f>
        <v>-32.924999999999997</v>
      </c>
      <c r="L100" s="433">
        <f>IFERROR(IF(AND(ISNUMBER(K100),O100=0),0,VLOOKUP(HLOOKUP(Stn_WL,Tools!$AD$2:$AD$27,N100+2,FALSE),Tools!$AD$3:$BC$27,O100+1,FALSE)),"")</f>
        <v>11.95</v>
      </c>
      <c r="M100" s="433">
        <f>IFERROR(IF(ISNUMBER(L100),IF(O100=0,IFERROR(HLOOKUP(Tools!$BD$127,Tools!$BD$127:$BD$152,N100+2,FALSE)*1,0),HLOOKUP(Tools!$BE$2,Tools!$BE$2:$BE$27,O100+1,FALSE)*WLS),""),"")</f>
        <v>7.2</v>
      </c>
      <c r="N100">
        <f t="shared" si="8"/>
        <v>7</v>
      </c>
      <c r="O100">
        <f t="shared" si="9"/>
        <v>7</v>
      </c>
    </row>
    <row r="101" spans="1:15" x14ac:dyDescent="0.25">
      <c r="A101" s="427">
        <f t="shared" si="10"/>
        <v>100</v>
      </c>
      <c r="B101" s="430">
        <f t="shared" si="6"/>
        <v>9</v>
      </c>
      <c r="C101" s="433">
        <f>IFERROR(-LBP/2+HLOOKUP(Stn_WL,Tools!$AD$2:$AD$27,QUOTIENT(ROW()-2,Max_WL_count)+2,FALSE)*STN_GAP,"")</f>
        <v>-26.340000000000003</v>
      </c>
      <c r="D101" s="433">
        <f>IFERROR(VLOOKUP(HLOOKUP(Stn_WL,Tools!$AD$2:$AD$27,QUOTIENT(ROW()-2,Max_WL_count)+2,FALSE),Tools!$AD$3:$BC$27,MOD(ROW()-2,Max_WL_count)+2,FALSE),"")</f>
        <v>9.82</v>
      </c>
      <c r="E101" s="431">
        <f>IFERROR(IF(ISNUMBER(D101),HLOOKUP(Tools!$BE$2,Tools!$BE$2:$BE$27,MOD(ROW()-2,Max_WL_count)+2,FALSE)*WLS,""),"")</f>
        <v>2.7</v>
      </c>
      <c r="I101" s="427">
        <f t="shared" si="11"/>
        <v>100</v>
      </c>
      <c r="J101" s="430">
        <f t="shared" si="7"/>
        <v>8</v>
      </c>
      <c r="K101" s="433">
        <f>IFERROR(-LBP/2+HLOOKUP(Stn_WL,Tools!$AD$2:$AD$27,N101+2,FALSE)*STN_GAP,"")</f>
        <v>-32.924999999999997</v>
      </c>
      <c r="L101" s="433">
        <f>IFERROR(IF(AND(ISNUMBER(K101),O101=0),0,VLOOKUP(HLOOKUP(Stn_WL,Tools!$AD$2:$AD$27,N101+2,FALSE),Tools!$AD$3:$BC$27,O101+1,FALSE)),"")</f>
        <v>12.22</v>
      </c>
      <c r="M101" s="433">
        <f>IFERROR(IF(ISNUMBER(L101),IF(O101=0,IFERROR(HLOOKUP(Tools!$BD$127,Tools!$BD$127:$BD$152,N101+2,FALSE)*1,0),HLOOKUP(Tools!$BE$2,Tools!$BE$2:$BE$27,O101+1,FALSE)*WLS),""),"")</f>
        <v>9</v>
      </c>
      <c r="N101">
        <f t="shared" si="8"/>
        <v>7</v>
      </c>
      <c r="O101">
        <f t="shared" si="9"/>
        <v>8</v>
      </c>
    </row>
    <row r="102" spans="1:15" x14ac:dyDescent="0.25">
      <c r="A102" s="427">
        <f t="shared" si="10"/>
        <v>101</v>
      </c>
      <c r="B102" s="430">
        <f t="shared" si="6"/>
        <v>9</v>
      </c>
      <c r="C102" s="433">
        <f>IFERROR(-LBP/2+HLOOKUP(Stn_WL,Tools!$AD$2:$AD$27,QUOTIENT(ROW()-2,Max_WL_count)+2,FALSE)*STN_GAP,"")</f>
        <v>-26.340000000000003</v>
      </c>
      <c r="D102" s="433">
        <f>IFERROR(VLOOKUP(HLOOKUP(Stn_WL,Tools!$AD$2:$AD$27,QUOTIENT(ROW()-2,Max_WL_count)+2,FALSE),Tools!$AD$3:$BC$27,MOD(ROW()-2,Max_WL_count)+2,FALSE),"")</f>
        <v>10.92</v>
      </c>
      <c r="E102" s="431">
        <f>IFERROR(IF(ISNUMBER(D102),HLOOKUP(Tools!$BE$2,Tools!$BE$2:$BE$27,MOD(ROW()-2,Max_WL_count)+2,FALSE)*WLS,""),"")</f>
        <v>3.6</v>
      </c>
      <c r="I102" s="427">
        <f t="shared" si="11"/>
        <v>101</v>
      </c>
      <c r="J102" s="430">
        <f t="shared" si="7"/>
        <v>8</v>
      </c>
      <c r="K102" s="433">
        <f>IFERROR(-LBP/2+HLOOKUP(Stn_WL,Tools!$AD$2:$AD$27,N102+2,FALSE)*STN_GAP,"")</f>
        <v>-32.924999999999997</v>
      </c>
      <c r="L102" s="433">
        <f>IFERROR(IF(AND(ISNUMBER(K102),O102=0),0,VLOOKUP(HLOOKUP(Stn_WL,Tools!$AD$2:$AD$27,N102+2,FALSE),Tools!$AD$3:$BC$27,O102+1,FALSE)),"")</f>
        <v>12.25</v>
      </c>
      <c r="M102" s="433">
        <f>IFERROR(IF(ISNUMBER(L102),IF(O102=0,IFERROR(HLOOKUP(Tools!$BD$127,Tools!$BD$127:$BD$152,N102+2,FALSE)*1,0),HLOOKUP(Tools!$BE$2,Tools!$BE$2:$BE$27,O102+1,FALSE)*WLS),""),"")</f>
        <v>10.1</v>
      </c>
      <c r="N102">
        <f t="shared" si="8"/>
        <v>7</v>
      </c>
      <c r="O102">
        <f t="shared" si="9"/>
        <v>9</v>
      </c>
    </row>
    <row r="103" spans="1:15" x14ac:dyDescent="0.25">
      <c r="A103" s="427">
        <f t="shared" si="10"/>
        <v>102</v>
      </c>
      <c r="B103" s="430">
        <f t="shared" si="6"/>
        <v>9</v>
      </c>
      <c r="C103" s="433">
        <f>IFERROR(-LBP/2+HLOOKUP(Stn_WL,Tools!$AD$2:$AD$27,QUOTIENT(ROW()-2,Max_WL_count)+2,FALSE)*STN_GAP,"")</f>
        <v>-26.340000000000003</v>
      </c>
      <c r="D103" s="433">
        <f>IFERROR(VLOOKUP(HLOOKUP(Stn_WL,Tools!$AD$2:$AD$27,QUOTIENT(ROW()-2,Max_WL_count)+2,FALSE),Tools!$AD$3:$BC$27,MOD(ROW()-2,Max_WL_count)+2,FALSE),"")</f>
        <v>11.97</v>
      </c>
      <c r="E103" s="431">
        <f>IFERROR(IF(ISNUMBER(D103),HLOOKUP(Tools!$BE$2,Tools!$BE$2:$BE$27,MOD(ROW()-2,Max_WL_count)+2,FALSE)*WLS,""),"")</f>
        <v>5.4</v>
      </c>
      <c r="I103" s="427">
        <f t="shared" si="11"/>
        <v>102</v>
      </c>
      <c r="J103" s="430">
        <f t="shared" si="7"/>
        <v>8</v>
      </c>
      <c r="K103" s="433">
        <f>IFERROR(-LBP/2+HLOOKUP(Stn_WL,Tools!$AD$2:$AD$27,N103+2,FALSE)*STN_GAP,"")</f>
        <v>-32.924999999999997</v>
      </c>
      <c r="L103" s="433">
        <f>IFERROR(IF(AND(ISNUMBER(K103),O103=0),0,VLOOKUP(HLOOKUP(Stn_WL,Tools!$AD$2:$AD$27,N103+2,FALSE),Tools!$AD$3:$BC$27,O103+1,FALSE)),"")</f>
        <v>12.25</v>
      </c>
      <c r="M103" s="433">
        <f>IFERROR(IF(ISNUMBER(L103),IF(O103=0,IFERROR(HLOOKUP(Tools!$BD$127,Tools!$BD$127:$BD$152,N103+2,FALSE)*1,0),HLOOKUP(Tools!$BE$2,Tools!$BE$2:$BE$27,O103+1,FALSE)*WLS),""),"")</f>
        <v>10.8</v>
      </c>
      <c r="N103">
        <f t="shared" si="8"/>
        <v>7</v>
      </c>
      <c r="O103">
        <f t="shared" si="9"/>
        <v>10</v>
      </c>
    </row>
    <row r="104" spans="1:15" x14ac:dyDescent="0.25">
      <c r="A104" s="427">
        <f t="shared" si="10"/>
        <v>103</v>
      </c>
      <c r="B104" s="430">
        <f t="shared" si="6"/>
        <v>9</v>
      </c>
      <c r="C104" s="433">
        <f>IFERROR(-LBP/2+HLOOKUP(Stn_WL,Tools!$AD$2:$AD$27,QUOTIENT(ROW()-2,Max_WL_count)+2,FALSE)*STN_GAP,"")</f>
        <v>-26.340000000000003</v>
      </c>
      <c r="D104" s="433">
        <f>IFERROR(VLOOKUP(HLOOKUP(Stn_WL,Tools!$AD$2:$AD$27,QUOTIENT(ROW()-2,Max_WL_count)+2,FALSE),Tools!$AD$3:$BC$27,MOD(ROW()-2,Max_WL_count)+2,FALSE),"")</f>
        <v>12.25</v>
      </c>
      <c r="E104" s="431">
        <f>IFERROR(IF(ISNUMBER(D104),HLOOKUP(Tools!$BE$2,Tools!$BE$2:$BE$27,MOD(ROW()-2,Max_WL_count)+2,FALSE)*WLS,""),"")</f>
        <v>7.2</v>
      </c>
      <c r="I104" s="427">
        <f t="shared" si="11"/>
        <v>103</v>
      </c>
      <c r="J104" s="430">
        <f t="shared" si="7"/>
        <v>8</v>
      </c>
      <c r="K104" s="433">
        <f>IFERROR(-LBP/2+HLOOKUP(Stn_WL,Tools!$AD$2:$AD$27,N104+2,FALSE)*STN_GAP,"")</f>
        <v>-32.924999999999997</v>
      </c>
      <c r="L104" s="433">
        <f>IFERROR(IF(AND(ISNUMBER(K104),O104=0),0,VLOOKUP(HLOOKUP(Stn_WL,Tools!$AD$2:$AD$27,N104+2,FALSE),Tools!$AD$3:$BC$27,O104+1,FALSE)),"")</f>
        <v>12.25</v>
      </c>
      <c r="M104" s="433">
        <f>IFERROR(IF(ISNUMBER(L104),IF(O104=0,IFERROR(HLOOKUP(Tools!$BD$127,Tools!$BD$127:$BD$152,N104+2,FALSE)*1,0),HLOOKUP(Tools!$BE$2,Tools!$BE$2:$BE$27,O104+1,FALSE)*WLS),""),"")</f>
        <v>12.6</v>
      </c>
      <c r="N104">
        <f t="shared" si="8"/>
        <v>7</v>
      </c>
      <c r="O104">
        <f t="shared" si="9"/>
        <v>11</v>
      </c>
    </row>
    <row r="105" spans="1:15" x14ac:dyDescent="0.25">
      <c r="A105" s="427">
        <f t="shared" si="10"/>
        <v>104</v>
      </c>
      <c r="B105" s="430">
        <f t="shared" si="6"/>
        <v>9</v>
      </c>
      <c r="C105" s="433">
        <f>IFERROR(-LBP/2+HLOOKUP(Stn_WL,Tools!$AD$2:$AD$27,QUOTIENT(ROW()-2,Max_WL_count)+2,FALSE)*STN_GAP,"")</f>
        <v>-26.340000000000003</v>
      </c>
      <c r="D105" s="433">
        <f>IFERROR(VLOOKUP(HLOOKUP(Stn_WL,Tools!$AD$2:$AD$27,QUOTIENT(ROW()-2,Max_WL_count)+2,FALSE),Tools!$AD$3:$BC$27,MOD(ROW()-2,Max_WL_count)+2,FALSE),"")</f>
        <v>12.25</v>
      </c>
      <c r="E105" s="431">
        <f>IFERROR(IF(ISNUMBER(D105),HLOOKUP(Tools!$BE$2,Tools!$BE$2:$BE$27,MOD(ROW()-2,Max_WL_count)+2,FALSE)*WLS,""),"")</f>
        <v>9</v>
      </c>
      <c r="I105" s="427">
        <f t="shared" si="11"/>
        <v>104</v>
      </c>
      <c r="J105" s="430">
        <f t="shared" si="7"/>
        <v>8</v>
      </c>
      <c r="K105" s="433">
        <f>IFERROR(-LBP/2+HLOOKUP(Stn_WL,Tools!$AD$2:$AD$27,N105+2,FALSE)*STN_GAP,"")</f>
        <v>-32.924999999999997</v>
      </c>
      <c r="L105" s="433">
        <f>IFERROR(IF(AND(ISNUMBER(K105),O105=0),0,VLOOKUP(HLOOKUP(Stn_WL,Tools!$AD$2:$AD$27,N105+2,FALSE),Tools!$AD$3:$BC$27,O105+1,FALSE)),"")</f>
        <v>12.25</v>
      </c>
      <c r="M105" s="433">
        <f>IFERROR(IF(ISNUMBER(L105),IF(O105=0,IFERROR(HLOOKUP(Tools!$BD$127,Tools!$BD$127:$BD$152,N105+2,FALSE)*1,0),HLOOKUP(Tools!$BE$2,Tools!$BE$2:$BE$27,O105+1,FALSE)*WLS),""),"")</f>
        <v>14.19</v>
      </c>
      <c r="N105">
        <f t="shared" si="8"/>
        <v>7</v>
      </c>
      <c r="O105">
        <f t="shared" si="9"/>
        <v>12</v>
      </c>
    </row>
    <row r="106" spans="1:15" x14ac:dyDescent="0.25">
      <c r="A106" s="427">
        <f t="shared" si="10"/>
        <v>105</v>
      </c>
      <c r="B106" s="430">
        <f t="shared" si="6"/>
        <v>9</v>
      </c>
      <c r="C106" s="433">
        <f>IFERROR(-LBP/2+HLOOKUP(Stn_WL,Tools!$AD$2:$AD$27,QUOTIENT(ROW()-2,Max_WL_count)+2,FALSE)*STN_GAP,"")</f>
        <v>-26.340000000000003</v>
      </c>
      <c r="D106" s="433">
        <f>IFERROR(VLOOKUP(HLOOKUP(Stn_WL,Tools!$AD$2:$AD$27,QUOTIENT(ROW()-2,Max_WL_count)+2,FALSE),Tools!$AD$3:$BC$27,MOD(ROW()-2,Max_WL_count)+2,FALSE),"")</f>
        <v>12.25</v>
      </c>
      <c r="E106" s="431">
        <f>IFERROR(IF(ISNUMBER(D106),HLOOKUP(Tools!$BE$2,Tools!$BE$2:$BE$27,MOD(ROW()-2,Max_WL_count)+2,FALSE)*WLS,""),"")</f>
        <v>10.1</v>
      </c>
      <c r="I106" s="427">
        <f t="shared" si="11"/>
        <v>105</v>
      </c>
      <c r="J106" s="430">
        <f t="shared" si="7"/>
        <v>9</v>
      </c>
      <c r="K106" s="433">
        <f>IFERROR(-LBP/2+HLOOKUP(Stn_WL,Tools!$AD$2:$AD$27,N106+2,FALSE)*STN_GAP,"")</f>
        <v>-26.340000000000003</v>
      </c>
      <c r="L106" s="433">
        <f>IFERROR(IF(AND(ISNUMBER(K106),O106=0),0,VLOOKUP(HLOOKUP(Stn_WL,Tools!$AD$2:$AD$27,N106+2,FALSE),Tools!$AD$3:$BC$27,O106+1,FALSE)),"")</f>
        <v>0</v>
      </c>
      <c r="M106" s="433">
        <f>IFERROR(IF(ISNUMBER(L106),IF(O106=0,IFERROR(HLOOKUP(Tools!$BD$127,Tools!$BD$127:$BD$152,N106+2,FALSE)*1,0),HLOOKUP(Tools!$BE$2,Tools!$BE$2:$BE$27,O106+1,FALSE)*WLS),""),"")</f>
        <v>0</v>
      </c>
      <c r="N106">
        <f t="shared" si="8"/>
        <v>8</v>
      </c>
      <c r="O106">
        <f t="shared" si="9"/>
        <v>0</v>
      </c>
    </row>
    <row r="107" spans="1:15" x14ac:dyDescent="0.25">
      <c r="A107" s="427">
        <f t="shared" si="10"/>
        <v>106</v>
      </c>
      <c r="B107" s="430">
        <f t="shared" si="6"/>
        <v>9</v>
      </c>
      <c r="C107" s="433">
        <f>IFERROR(-LBP/2+HLOOKUP(Stn_WL,Tools!$AD$2:$AD$27,QUOTIENT(ROW()-2,Max_WL_count)+2,FALSE)*STN_GAP,"")</f>
        <v>-26.340000000000003</v>
      </c>
      <c r="D107" s="433">
        <f>IFERROR(VLOOKUP(HLOOKUP(Stn_WL,Tools!$AD$2:$AD$27,QUOTIENT(ROW()-2,Max_WL_count)+2,FALSE),Tools!$AD$3:$BC$27,MOD(ROW()-2,Max_WL_count)+2,FALSE),"")</f>
        <v>12.25</v>
      </c>
      <c r="E107" s="431">
        <f>IFERROR(IF(ISNUMBER(D107),HLOOKUP(Tools!$BE$2,Tools!$BE$2:$BE$27,MOD(ROW()-2,Max_WL_count)+2,FALSE)*WLS,""),"")</f>
        <v>10.8</v>
      </c>
      <c r="I107" s="427">
        <f t="shared" si="11"/>
        <v>106</v>
      </c>
      <c r="J107" s="430">
        <f t="shared" si="7"/>
        <v>9</v>
      </c>
      <c r="K107" s="433">
        <f>IFERROR(-LBP/2+HLOOKUP(Stn_WL,Tools!$AD$2:$AD$27,N107+2,FALSE)*STN_GAP,"")</f>
        <v>-26.340000000000003</v>
      </c>
      <c r="L107" s="433">
        <f>IFERROR(IF(AND(ISNUMBER(K107),O107=0),0,VLOOKUP(HLOOKUP(Stn_WL,Tools!$AD$2:$AD$27,N107+2,FALSE),Tools!$AD$3:$BC$27,O107+1,FALSE)),"")</f>
        <v>2.2000000000000002</v>
      </c>
      <c r="M107" s="433">
        <f>IFERROR(IF(ISNUMBER(L107),IF(O107=0,IFERROR(HLOOKUP(Tools!$BD$127,Tools!$BD$127:$BD$152,N107+2,FALSE)*1,0),HLOOKUP(Tools!$BE$2,Tools!$BE$2:$BE$27,O107+1,FALSE)*WLS),""),"")</f>
        <v>0</v>
      </c>
      <c r="N107">
        <f t="shared" si="8"/>
        <v>8</v>
      </c>
      <c r="O107">
        <f t="shared" si="9"/>
        <v>1</v>
      </c>
    </row>
    <row r="108" spans="1:15" x14ac:dyDescent="0.25">
      <c r="A108" s="427">
        <f t="shared" si="10"/>
        <v>107</v>
      </c>
      <c r="B108" s="430">
        <f t="shared" si="6"/>
        <v>9</v>
      </c>
      <c r="C108" s="433">
        <f>IFERROR(-LBP/2+HLOOKUP(Stn_WL,Tools!$AD$2:$AD$27,QUOTIENT(ROW()-2,Max_WL_count)+2,FALSE)*STN_GAP,"")</f>
        <v>-26.340000000000003</v>
      </c>
      <c r="D108" s="433">
        <f>IFERROR(VLOOKUP(HLOOKUP(Stn_WL,Tools!$AD$2:$AD$27,QUOTIENT(ROW()-2,Max_WL_count)+2,FALSE),Tools!$AD$3:$BC$27,MOD(ROW()-2,Max_WL_count)+2,FALSE),"")</f>
        <v>12.25</v>
      </c>
      <c r="E108" s="431">
        <f>IFERROR(IF(ISNUMBER(D108),HLOOKUP(Tools!$BE$2,Tools!$BE$2:$BE$27,MOD(ROW()-2,Max_WL_count)+2,FALSE)*WLS,""),"")</f>
        <v>12.6</v>
      </c>
      <c r="I108" s="427">
        <f t="shared" si="11"/>
        <v>107</v>
      </c>
      <c r="J108" s="430">
        <f t="shared" si="7"/>
        <v>9</v>
      </c>
      <c r="K108" s="433">
        <f>IFERROR(-LBP/2+HLOOKUP(Stn_WL,Tools!$AD$2:$AD$27,N108+2,FALSE)*STN_GAP,"")</f>
        <v>-26.340000000000003</v>
      </c>
      <c r="L108" s="433">
        <f>IFERROR(IF(AND(ISNUMBER(K108),O108=0),0,VLOOKUP(HLOOKUP(Stn_WL,Tools!$AD$2:$AD$27,N108+2,FALSE),Tools!$AD$3:$BC$27,O108+1,FALSE)),"")</f>
        <v>6.59</v>
      </c>
      <c r="M108" s="433">
        <f>IFERROR(IF(ISNUMBER(L108),IF(O108=0,IFERROR(HLOOKUP(Tools!$BD$127,Tools!$BD$127:$BD$152,N108+2,FALSE)*1,0),HLOOKUP(Tools!$BE$2,Tools!$BE$2:$BE$27,O108+1,FALSE)*WLS),""),"")</f>
        <v>0.9</v>
      </c>
      <c r="N108">
        <f t="shared" si="8"/>
        <v>8</v>
      </c>
      <c r="O108">
        <f t="shared" si="9"/>
        <v>2</v>
      </c>
    </row>
    <row r="109" spans="1:15" x14ac:dyDescent="0.25">
      <c r="A109" s="427">
        <f t="shared" si="10"/>
        <v>108</v>
      </c>
      <c r="B109" s="430">
        <f t="shared" si="6"/>
        <v>9</v>
      </c>
      <c r="C109" s="433">
        <f>IFERROR(-LBP/2+HLOOKUP(Stn_WL,Tools!$AD$2:$AD$27,QUOTIENT(ROW()-2,Max_WL_count)+2,FALSE)*STN_GAP,"")</f>
        <v>-26.340000000000003</v>
      </c>
      <c r="D109" s="433">
        <f>IFERROR(VLOOKUP(HLOOKUP(Stn_WL,Tools!$AD$2:$AD$27,QUOTIENT(ROW()-2,Max_WL_count)+2,FALSE),Tools!$AD$3:$BC$27,MOD(ROW()-2,Max_WL_count)+2,FALSE),"")</f>
        <v>12.25</v>
      </c>
      <c r="E109" s="431">
        <f>IFERROR(IF(ISNUMBER(D109),HLOOKUP(Tools!$BE$2,Tools!$BE$2:$BE$27,MOD(ROW()-2,Max_WL_count)+2,FALSE)*WLS,""),"")</f>
        <v>14.19</v>
      </c>
      <c r="I109" s="427">
        <f t="shared" si="11"/>
        <v>108</v>
      </c>
      <c r="J109" s="430">
        <f t="shared" si="7"/>
        <v>9</v>
      </c>
      <c r="K109" s="433">
        <f>IFERROR(-LBP/2+HLOOKUP(Stn_WL,Tools!$AD$2:$AD$27,N109+2,FALSE)*STN_GAP,"")</f>
        <v>-26.340000000000003</v>
      </c>
      <c r="L109" s="433">
        <f>IFERROR(IF(AND(ISNUMBER(K109),O109=0),0,VLOOKUP(HLOOKUP(Stn_WL,Tools!$AD$2:$AD$27,N109+2,FALSE),Tools!$AD$3:$BC$27,O109+1,FALSE)),"")</f>
        <v>8.34</v>
      </c>
      <c r="M109" s="433">
        <f>IFERROR(IF(ISNUMBER(L109),IF(O109=0,IFERROR(HLOOKUP(Tools!$BD$127,Tools!$BD$127:$BD$152,N109+2,FALSE)*1,0),HLOOKUP(Tools!$BE$2,Tools!$BE$2:$BE$27,O109+1,FALSE)*WLS),""),"")</f>
        <v>1.8</v>
      </c>
      <c r="N109">
        <f t="shared" si="8"/>
        <v>8</v>
      </c>
      <c r="O109">
        <f t="shared" si="9"/>
        <v>3</v>
      </c>
    </row>
    <row r="110" spans="1:15" x14ac:dyDescent="0.25">
      <c r="A110" s="427">
        <f t="shared" si="10"/>
        <v>109</v>
      </c>
      <c r="B110" s="430">
        <f t="shared" si="6"/>
        <v>10</v>
      </c>
      <c r="C110" s="433">
        <f>IFERROR(-LBP/2+HLOOKUP(Stn_WL,Tools!$AD$2:$AD$27,QUOTIENT(ROW()-2,Max_WL_count)+2,FALSE)*STN_GAP,"")</f>
        <v>-19.755000000000003</v>
      </c>
      <c r="D110" s="433">
        <f>IFERROR(VLOOKUP(HLOOKUP(Stn_WL,Tools!$AD$2:$AD$27,QUOTIENT(ROW()-2,Max_WL_count)+2,FALSE),Tools!$AD$3:$BC$27,MOD(ROW()-2,Max_WL_count)+2,FALSE),"")</f>
        <v>3.71</v>
      </c>
      <c r="E110" s="431">
        <f>IFERROR(IF(ISNUMBER(D110),HLOOKUP(Tools!$BE$2,Tools!$BE$2:$BE$27,MOD(ROW()-2,Max_WL_count)+2,FALSE)*WLS,""),"")</f>
        <v>0</v>
      </c>
      <c r="I110" s="427">
        <f t="shared" si="11"/>
        <v>109</v>
      </c>
      <c r="J110" s="430">
        <f t="shared" si="7"/>
        <v>9</v>
      </c>
      <c r="K110" s="433">
        <f>IFERROR(-LBP/2+HLOOKUP(Stn_WL,Tools!$AD$2:$AD$27,N110+2,FALSE)*STN_GAP,"")</f>
        <v>-26.340000000000003</v>
      </c>
      <c r="L110" s="433">
        <f>IFERROR(IF(AND(ISNUMBER(K110),O110=0),0,VLOOKUP(HLOOKUP(Stn_WL,Tools!$AD$2:$AD$27,N110+2,FALSE),Tools!$AD$3:$BC$27,O110+1,FALSE)),"")</f>
        <v>9.82</v>
      </c>
      <c r="M110" s="433">
        <f>IFERROR(IF(ISNUMBER(L110),IF(O110=0,IFERROR(HLOOKUP(Tools!$BD$127,Tools!$BD$127:$BD$152,N110+2,FALSE)*1,0),HLOOKUP(Tools!$BE$2,Tools!$BE$2:$BE$27,O110+1,FALSE)*WLS),""),"")</f>
        <v>2.7</v>
      </c>
      <c r="N110">
        <f t="shared" si="8"/>
        <v>8</v>
      </c>
      <c r="O110">
        <f t="shared" si="9"/>
        <v>4</v>
      </c>
    </row>
    <row r="111" spans="1:15" x14ac:dyDescent="0.25">
      <c r="A111" s="427">
        <f t="shared" si="10"/>
        <v>110</v>
      </c>
      <c r="B111" s="430">
        <f t="shared" si="6"/>
        <v>10</v>
      </c>
      <c r="C111" s="433">
        <f>IFERROR(-LBP/2+HLOOKUP(Stn_WL,Tools!$AD$2:$AD$27,QUOTIENT(ROW()-2,Max_WL_count)+2,FALSE)*STN_GAP,"")</f>
        <v>-19.755000000000003</v>
      </c>
      <c r="D111" s="433">
        <f>IFERROR(VLOOKUP(HLOOKUP(Stn_WL,Tools!$AD$2:$AD$27,QUOTIENT(ROW()-2,Max_WL_count)+2,FALSE),Tools!$AD$3:$BC$27,MOD(ROW()-2,Max_WL_count)+2,FALSE),"")</f>
        <v>8.58</v>
      </c>
      <c r="E111" s="431">
        <f>IFERROR(IF(ISNUMBER(D111),HLOOKUP(Tools!$BE$2,Tools!$BE$2:$BE$27,MOD(ROW()-2,Max_WL_count)+2,FALSE)*WLS,""),"")</f>
        <v>0.9</v>
      </c>
      <c r="I111" s="427">
        <f t="shared" si="11"/>
        <v>110</v>
      </c>
      <c r="J111" s="430">
        <f t="shared" si="7"/>
        <v>9</v>
      </c>
      <c r="K111" s="433">
        <f>IFERROR(-LBP/2+HLOOKUP(Stn_WL,Tools!$AD$2:$AD$27,N111+2,FALSE)*STN_GAP,"")</f>
        <v>-26.340000000000003</v>
      </c>
      <c r="L111" s="433">
        <f>IFERROR(IF(AND(ISNUMBER(K111),O111=0),0,VLOOKUP(HLOOKUP(Stn_WL,Tools!$AD$2:$AD$27,N111+2,FALSE),Tools!$AD$3:$BC$27,O111+1,FALSE)),"")</f>
        <v>10.92</v>
      </c>
      <c r="M111" s="433">
        <f>IFERROR(IF(ISNUMBER(L111),IF(O111=0,IFERROR(HLOOKUP(Tools!$BD$127,Tools!$BD$127:$BD$152,N111+2,FALSE)*1,0),HLOOKUP(Tools!$BE$2,Tools!$BE$2:$BE$27,O111+1,FALSE)*WLS),""),"")</f>
        <v>3.6</v>
      </c>
      <c r="N111">
        <f t="shared" si="8"/>
        <v>8</v>
      </c>
      <c r="O111">
        <f t="shared" si="9"/>
        <v>5</v>
      </c>
    </row>
    <row r="112" spans="1:15" x14ac:dyDescent="0.25">
      <c r="A112" s="427">
        <f t="shared" si="10"/>
        <v>111</v>
      </c>
      <c r="B112" s="430">
        <f t="shared" si="6"/>
        <v>10</v>
      </c>
      <c r="C112" s="433">
        <f>IFERROR(-LBP/2+HLOOKUP(Stn_WL,Tools!$AD$2:$AD$27,QUOTIENT(ROW()-2,Max_WL_count)+2,FALSE)*STN_GAP,"")</f>
        <v>-19.755000000000003</v>
      </c>
      <c r="D112" s="433">
        <f>IFERROR(VLOOKUP(HLOOKUP(Stn_WL,Tools!$AD$2:$AD$27,QUOTIENT(ROW()-2,Max_WL_count)+2,FALSE),Tools!$AD$3:$BC$27,MOD(ROW()-2,Max_WL_count)+2,FALSE),"")</f>
        <v>10.26</v>
      </c>
      <c r="E112" s="431">
        <f>IFERROR(IF(ISNUMBER(D112),HLOOKUP(Tools!$BE$2,Tools!$BE$2:$BE$27,MOD(ROW()-2,Max_WL_count)+2,FALSE)*WLS,""),"")</f>
        <v>1.8</v>
      </c>
      <c r="I112" s="427">
        <f t="shared" si="11"/>
        <v>111</v>
      </c>
      <c r="J112" s="430">
        <f t="shared" si="7"/>
        <v>9</v>
      </c>
      <c r="K112" s="433">
        <f>IFERROR(-LBP/2+HLOOKUP(Stn_WL,Tools!$AD$2:$AD$27,N112+2,FALSE)*STN_GAP,"")</f>
        <v>-26.340000000000003</v>
      </c>
      <c r="L112" s="433">
        <f>IFERROR(IF(AND(ISNUMBER(K112),O112=0),0,VLOOKUP(HLOOKUP(Stn_WL,Tools!$AD$2:$AD$27,N112+2,FALSE),Tools!$AD$3:$BC$27,O112+1,FALSE)),"")</f>
        <v>11.97</v>
      </c>
      <c r="M112" s="433">
        <f>IFERROR(IF(ISNUMBER(L112),IF(O112=0,IFERROR(HLOOKUP(Tools!$BD$127,Tools!$BD$127:$BD$152,N112+2,FALSE)*1,0),HLOOKUP(Tools!$BE$2,Tools!$BE$2:$BE$27,O112+1,FALSE)*WLS),""),"")</f>
        <v>5.4</v>
      </c>
      <c r="N112">
        <f t="shared" si="8"/>
        <v>8</v>
      </c>
      <c r="O112">
        <f t="shared" si="9"/>
        <v>6</v>
      </c>
    </row>
    <row r="113" spans="1:15" x14ac:dyDescent="0.25">
      <c r="A113" s="427">
        <f t="shared" si="10"/>
        <v>112</v>
      </c>
      <c r="B113" s="430">
        <f t="shared" si="6"/>
        <v>10</v>
      </c>
      <c r="C113" s="433">
        <f>IFERROR(-LBP/2+HLOOKUP(Stn_WL,Tools!$AD$2:$AD$27,QUOTIENT(ROW()-2,Max_WL_count)+2,FALSE)*STN_GAP,"")</f>
        <v>-19.755000000000003</v>
      </c>
      <c r="D113" s="433">
        <f>IFERROR(VLOOKUP(HLOOKUP(Stn_WL,Tools!$AD$2:$AD$27,QUOTIENT(ROW()-2,Max_WL_count)+2,FALSE),Tools!$AD$3:$BC$27,MOD(ROW()-2,Max_WL_count)+2,FALSE),"")</f>
        <v>11.25</v>
      </c>
      <c r="E113" s="431">
        <f>IFERROR(IF(ISNUMBER(D113),HLOOKUP(Tools!$BE$2,Tools!$BE$2:$BE$27,MOD(ROW()-2,Max_WL_count)+2,FALSE)*WLS,""),"")</f>
        <v>2.7</v>
      </c>
      <c r="I113" s="427">
        <f t="shared" si="11"/>
        <v>112</v>
      </c>
      <c r="J113" s="430">
        <f t="shared" si="7"/>
        <v>9</v>
      </c>
      <c r="K113" s="433">
        <f>IFERROR(-LBP/2+HLOOKUP(Stn_WL,Tools!$AD$2:$AD$27,N113+2,FALSE)*STN_GAP,"")</f>
        <v>-26.340000000000003</v>
      </c>
      <c r="L113" s="433">
        <f>IFERROR(IF(AND(ISNUMBER(K113),O113=0),0,VLOOKUP(HLOOKUP(Stn_WL,Tools!$AD$2:$AD$27,N113+2,FALSE),Tools!$AD$3:$BC$27,O113+1,FALSE)),"")</f>
        <v>12.25</v>
      </c>
      <c r="M113" s="433">
        <f>IFERROR(IF(ISNUMBER(L113),IF(O113=0,IFERROR(HLOOKUP(Tools!$BD$127,Tools!$BD$127:$BD$152,N113+2,FALSE)*1,0),HLOOKUP(Tools!$BE$2,Tools!$BE$2:$BE$27,O113+1,FALSE)*WLS),""),"")</f>
        <v>7.2</v>
      </c>
      <c r="N113">
        <f t="shared" si="8"/>
        <v>8</v>
      </c>
      <c r="O113">
        <f t="shared" si="9"/>
        <v>7</v>
      </c>
    </row>
    <row r="114" spans="1:15" x14ac:dyDescent="0.25">
      <c r="A114" s="427">
        <f t="shared" si="10"/>
        <v>113</v>
      </c>
      <c r="B114" s="430">
        <f t="shared" si="6"/>
        <v>10</v>
      </c>
      <c r="C114" s="433">
        <f>IFERROR(-LBP/2+HLOOKUP(Stn_WL,Tools!$AD$2:$AD$27,QUOTIENT(ROW()-2,Max_WL_count)+2,FALSE)*STN_GAP,"")</f>
        <v>-19.755000000000003</v>
      </c>
      <c r="D114" s="433">
        <f>IFERROR(VLOOKUP(HLOOKUP(Stn_WL,Tools!$AD$2:$AD$27,QUOTIENT(ROW()-2,Max_WL_count)+2,FALSE),Tools!$AD$3:$BC$27,MOD(ROW()-2,Max_WL_count)+2,FALSE),"")</f>
        <v>11.86</v>
      </c>
      <c r="E114" s="431">
        <f>IFERROR(IF(ISNUMBER(D114),HLOOKUP(Tools!$BE$2,Tools!$BE$2:$BE$27,MOD(ROW()-2,Max_WL_count)+2,FALSE)*WLS,""),"")</f>
        <v>3.6</v>
      </c>
      <c r="I114" s="427">
        <f t="shared" si="11"/>
        <v>113</v>
      </c>
      <c r="J114" s="430">
        <f t="shared" si="7"/>
        <v>9</v>
      </c>
      <c r="K114" s="433">
        <f>IFERROR(-LBP/2+HLOOKUP(Stn_WL,Tools!$AD$2:$AD$27,N114+2,FALSE)*STN_GAP,"")</f>
        <v>-26.340000000000003</v>
      </c>
      <c r="L114" s="433">
        <f>IFERROR(IF(AND(ISNUMBER(K114),O114=0),0,VLOOKUP(HLOOKUP(Stn_WL,Tools!$AD$2:$AD$27,N114+2,FALSE),Tools!$AD$3:$BC$27,O114+1,FALSE)),"")</f>
        <v>12.25</v>
      </c>
      <c r="M114" s="433">
        <f>IFERROR(IF(ISNUMBER(L114),IF(O114=0,IFERROR(HLOOKUP(Tools!$BD$127,Tools!$BD$127:$BD$152,N114+2,FALSE)*1,0),HLOOKUP(Tools!$BE$2,Tools!$BE$2:$BE$27,O114+1,FALSE)*WLS),""),"")</f>
        <v>9</v>
      </c>
      <c r="N114">
        <f t="shared" si="8"/>
        <v>8</v>
      </c>
      <c r="O114">
        <f t="shared" si="9"/>
        <v>8</v>
      </c>
    </row>
    <row r="115" spans="1:15" x14ac:dyDescent="0.25">
      <c r="A115" s="427">
        <f t="shared" si="10"/>
        <v>114</v>
      </c>
      <c r="B115" s="430">
        <f t="shared" si="6"/>
        <v>10</v>
      </c>
      <c r="C115" s="433">
        <f>IFERROR(-LBP/2+HLOOKUP(Stn_WL,Tools!$AD$2:$AD$27,QUOTIENT(ROW()-2,Max_WL_count)+2,FALSE)*STN_GAP,"")</f>
        <v>-19.755000000000003</v>
      </c>
      <c r="D115" s="433">
        <f>IFERROR(VLOOKUP(HLOOKUP(Stn_WL,Tools!$AD$2:$AD$27,QUOTIENT(ROW()-2,Max_WL_count)+2,FALSE),Tools!$AD$3:$BC$27,MOD(ROW()-2,Max_WL_count)+2,FALSE),"")</f>
        <v>12.25</v>
      </c>
      <c r="E115" s="431">
        <f>IFERROR(IF(ISNUMBER(D115),HLOOKUP(Tools!$BE$2,Tools!$BE$2:$BE$27,MOD(ROW()-2,Max_WL_count)+2,FALSE)*WLS,""),"")</f>
        <v>5.4</v>
      </c>
      <c r="I115" s="427">
        <f t="shared" si="11"/>
        <v>114</v>
      </c>
      <c r="J115" s="430">
        <f t="shared" si="7"/>
        <v>9</v>
      </c>
      <c r="K115" s="433">
        <f>IFERROR(-LBP/2+HLOOKUP(Stn_WL,Tools!$AD$2:$AD$27,N115+2,FALSE)*STN_GAP,"")</f>
        <v>-26.340000000000003</v>
      </c>
      <c r="L115" s="433">
        <f>IFERROR(IF(AND(ISNUMBER(K115),O115=0),0,VLOOKUP(HLOOKUP(Stn_WL,Tools!$AD$2:$AD$27,N115+2,FALSE),Tools!$AD$3:$BC$27,O115+1,FALSE)),"")</f>
        <v>12.25</v>
      </c>
      <c r="M115" s="433">
        <f>IFERROR(IF(ISNUMBER(L115),IF(O115=0,IFERROR(HLOOKUP(Tools!$BD$127,Tools!$BD$127:$BD$152,N115+2,FALSE)*1,0),HLOOKUP(Tools!$BE$2,Tools!$BE$2:$BE$27,O115+1,FALSE)*WLS),""),"")</f>
        <v>10.1</v>
      </c>
      <c r="N115">
        <f t="shared" si="8"/>
        <v>8</v>
      </c>
      <c r="O115">
        <f t="shared" si="9"/>
        <v>9</v>
      </c>
    </row>
    <row r="116" spans="1:15" x14ac:dyDescent="0.25">
      <c r="A116" s="427">
        <f t="shared" si="10"/>
        <v>115</v>
      </c>
      <c r="B116" s="430">
        <f t="shared" si="6"/>
        <v>10</v>
      </c>
      <c r="C116" s="433">
        <f>IFERROR(-LBP/2+HLOOKUP(Stn_WL,Tools!$AD$2:$AD$27,QUOTIENT(ROW()-2,Max_WL_count)+2,FALSE)*STN_GAP,"")</f>
        <v>-19.755000000000003</v>
      </c>
      <c r="D116" s="433">
        <f>IFERROR(VLOOKUP(HLOOKUP(Stn_WL,Tools!$AD$2:$AD$27,QUOTIENT(ROW()-2,Max_WL_count)+2,FALSE),Tools!$AD$3:$BC$27,MOD(ROW()-2,Max_WL_count)+2,FALSE),"")</f>
        <v>12.25</v>
      </c>
      <c r="E116" s="431">
        <f>IFERROR(IF(ISNUMBER(D116),HLOOKUP(Tools!$BE$2,Tools!$BE$2:$BE$27,MOD(ROW()-2,Max_WL_count)+2,FALSE)*WLS,""),"")</f>
        <v>7.2</v>
      </c>
      <c r="I116" s="427">
        <f t="shared" si="11"/>
        <v>115</v>
      </c>
      <c r="J116" s="430">
        <f t="shared" si="7"/>
        <v>9</v>
      </c>
      <c r="K116" s="433">
        <f>IFERROR(-LBP/2+HLOOKUP(Stn_WL,Tools!$AD$2:$AD$27,N116+2,FALSE)*STN_GAP,"")</f>
        <v>-26.340000000000003</v>
      </c>
      <c r="L116" s="433">
        <f>IFERROR(IF(AND(ISNUMBER(K116),O116=0),0,VLOOKUP(HLOOKUP(Stn_WL,Tools!$AD$2:$AD$27,N116+2,FALSE),Tools!$AD$3:$BC$27,O116+1,FALSE)),"")</f>
        <v>12.25</v>
      </c>
      <c r="M116" s="433">
        <f>IFERROR(IF(ISNUMBER(L116),IF(O116=0,IFERROR(HLOOKUP(Tools!$BD$127,Tools!$BD$127:$BD$152,N116+2,FALSE)*1,0),HLOOKUP(Tools!$BE$2,Tools!$BE$2:$BE$27,O116+1,FALSE)*WLS),""),"")</f>
        <v>10.8</v>
      </c>
      <c r="N116">
        <f t="shared" si="8"/>
        <v>8</v>
      </c>
      <c r="O116">
        <f t="shared" si="9"/>
        <v>10</v>
      </c>
    </row>
    <row r="117" spans="1:15" x14ac:dyDescent="0.25">
      <c r="A117" s="427">
        <f t="shared" si="10"/>
        <v>116</v>
      </c>
      <c r="B117" s="430">
        <f t="shared" si="6"/>
        <v>10</v>
      </c>
      <c r="C117" s="433">
        <f>IFERROR(-LBP/2+HLOOKUP(Stn_WL,Tools!$AD$2:$AD$27,QUOTIENT(ROW()-2,Max_WL_count)+2,FALSE)*STN_GAP,"")</f>
        <v>-19.755000000000003</v>
      </c>
      <c r="D117" s="433">
        <f>IFERROR(VLOOKUP(HLOOKUP(Stn_WL,Tools!$AD$2:$AD$27,QUOTIENT(ROW()-2,Max_WL_count)+2,FALSE),Tools!$AD$3:$BC$27,MOD(ROW()-2,Max_WL_count)+2,FALSE),"")</f>
        <v>12.25</v>
      </c>
      <c r="E117" s="431">
        <f>IFERROR(IF(ISNUMBER(D117),HLOOKUP(Tools!$BE$2,Tools!$BE$2:$BE$27,MOD(ROW()-2,Max_WL_count)+2,FALSE)*WLS,""),"")</f>
        <v>9</v>
      </c>
      <c r="I117" s="427">
        <f t="shared" si="11"/>
        <v>116</v>
      </c>
      <c r="J117" s="430">
        <f t="shared" si="7"/>
        <v>9</v>
      </c>
      <c r="K117" s="433">
        <f>IFERROR(-LBP/2+HLOOKUP(Stn_WL,Tools!$AD$2:$AD$27,N117+2,FALSE)*STN_GAP,"")</f>
        <v>-26.340000000000003</v>
      </c>
      <c r="L117" s="433">
        <f>IFERROR(IF(AND(ISNUMBER(K117),O117=0),0,VLOOKUP(HLOOKUP(Stn_WL,Tools!$AD$2:$AD$27,N117+2,FALSE),Tools!$AD$3:$BC$27,O117+1,FALSE)),"")</f>
        <v>12.25</v>
      </c>
      <c r="M117" s="433">
        <f>IFERROR(IF(ISNUMBER(L117),IF(O117=0,IFERROR(HLOOKUP(Tools!$BD$127,Tools!$BD$127:$BD$152,N117+2,FALSE)*1,0),HLOOKUP(Tools!$BE$2,Tools!$BE$2:$BE$27,O117+1,FALSE)*WLS),""),"")</f>
        <v>12.6</v>
      </c>
      <c r="N117">
        <f t="shared" si="8"/>
        <v>8</v>
      </c>
      <c r="O117">
        <f t="shared" si="9"/>
        <v>11</v>
      </c>
    </row>
    <row r="118" spans="1:15" x14ac:dyDescent="0.25">
      <c r="A118" s="427">
        <f t="shared" si="10"/>
        <v>117</v>
      </c>
      <c r="B118" s="430">
        <f t="shared" si="6"/>
        <v>10</v>
      </c>
      <c r="C118" s="433">
        <f>IFERROR(-LBP/2+HLOOKUP(Stn_WL,Tools!$AD$2:$AD$27,QUOTIENT(ROW()-2,Max_WL_count)+2,FALSE)*STN_GAP,"")</f>
        <v>-19.755000000000003</v>
      </c>
      <c r="D118" s="433">
        <f>IFERROR(VLOOKUP(HLOOKUP(Stn_WL,Tools!$AD$2:$AD$27,QUOTIENT(ROW()-2,Max_WL_count)+2,FALSE),Tools!$AD$3:$BC$27,MOD(ROW()-2,Max_WL_count)+2,FALSE),"")</f>
        <v>12.25</v>
      </c>
      <c r="E118" s="431">
        <f>IFERROR(IF(ISNUMBER(D118),HLOOKUP(Tools!$BE$2,Tools!$BE$2:$BE$27,MOD(ROW()-2,Max_WL_count)+2,FALSE)*WLS,""),"")</f>
        <v>10.1</v>
      </c>
      <c r="I118" s="427">
        <f t="shared" si="11"/>
        <v>117</v>
      </c>
      <c r="J118" s="430">
        <f t="shared" si="7"/>
        <v>9</v>
      </c>
      <c r="K118" s="433">
        <f>IFERROR(-LBP/2+HLOOKUP(Stn_WL,Tools!$AD$2:$AD$27,N118+2,FALSE)*STN_GAP,"")</f>
        <v>-26.340000000000003</v>
      </c>
      <c r="L118" s="433">
        <f>IFERROR(IF(AND(ISNUMBER(K118),O118=0),0,VLOOKUP(HLOOKUP(Stn_WL,Tools!$AD$2:$AD$27,N118+2,FALSE),Tools!$AD$3:$BC$27,O118+1,FALSE)),"")</f>
        <v>12.25</v>
      </c>
      <c r="M118" s="433">
        <f>IFERROR(IF(ISNUMBER(L118),IF(O118=0,IFERROR(HLOOKUP(Tools!$BD$127,Tools!$BD$127:$BD$152,N118+2,FALSE)*1,0),HLOOKUP(Tools!$BE$2,Tools!$BE$2:$BE$27,O118+1,FALSE)*WLS),""),"")</f>
        <v>14.19</v>
      </c>
      <c r="N118">
        <f t="shared" si="8"/>
        <v>8</v>
      </c>
      <c r="O118">
        <f t="shared" si="9"/>
        <v>12</v>
      </c>
    </row>
    <row r="119" spans="1:15" x14ac:dyDescent="0.25">
      <c r="A119" s="427">
        <f t="shared" si="10"/>
        <v>118</v>
      </c>
      <c r="B119" s="430">
        <f t="shared" si="6"/>
        <v>10</v>
      </c>
      <c r="C119" s="433">
        <f>IFERROR(-LBP/2+HLOOKUP(Stn_WL,Tools!$AD$2:$AD$27,QUOTIENT(ROW()-2,Max_WL_count)+2,FALSE)*STN_GAP,"")</f>
        <v>-19.755000000000003</v>
      </c>
      <c r="D119" s="433">
        <f>IFERROR(VLOOKUP(HLOOKUP(Stn_WL,Tools!$AD$2:$AD$27,QUOTIENT(ROW()-2,Max_WL_count)+2,FALSE),Tools!$AD$3:$BC$27,MOD(ROW()-2,Max_WL_count)+2,FALSE),"")</f>
        <v>12.25</v>
      </c>
      <c r="E119" s="431">
        <f>IFERROR(IF(ISNUMBER(D119),HLOOKUP(Tools!$BE$2,Tools!$BE$2:$BE$27,MOD(ROW()-2,Max_WL_count)+2,FALSE)*WLS,""),"")</f>
        <v>10.8</v>
      </c>
      <c r="I119" s="427">
        <f t="shared" si="11"/>
        <v>118</v>
      </c>
      <c r="J119" s="430">
        <f t="shared" si="7"/>
        <v>10</v>
      </c>
      <c r="K119" s="433">
        <f>IFERROR(-LBP/2+HLOOKUP(Stn_WL,Tools!$AD$2:$AD$27,N119+2,FALSE)*STN_GAP,"")</f>
        <v>-19.755000000000003</v>
      </c>
      <c r="L119" s="433">
        <f>IFERROR(IF(AND(ISNUMBER(K119),O119=0),0,VLOOKUP(HLOOKUP(Stn_WL,Tools!$AD$2:$AD$27,N119+2,FALSE),Tools!$AD$3:$BC$27,O119+1,FALSE)),"")</f>
        <v>0</v>
      </c>
      <c r="M119" s="433">
        <f>IFERROR(IF(ISNUMBER(L119),IF(O119=0,IFERROR(HLOOKUP(Tools!$BD$127,Tools!$BD$127:$BD$152,N119+2,FALSE)*1,0),HLOOKUP(Tools!$BE$2,Tools!$BE$2:$BE$27,O119+1,FALSE)*WLS),""),"")</f>
        <v>0</v>
      </c>
      <c r="N119">
        <f t="shared" si="8"/>
        <v>9</v>
      </c>
      <c r="O119">
        <f t="shared" si="9"/>
        <v>0</v>
      </c>
    </row>
    <row r="120" spans="1:15" x14ac:dyDescent="0.25">
      <c r="A120" s="427">
        <f t="shared" si="10"/>
        <v>119</v>
      </c>
      <c r="B120" s="430">
        <f t="shared" si="6"/>
        <v>10</v>
      </c>
      <c r="C120" s="433">
        <f>IFERROR(-LBP/2+HLOOKUP(Stn_WL,Tools!$AD$2:$AD$27,QUOTIENT(ROW()-2,Max_WL_count)+2,FALSE)*STN_GAP,"")</f>
        <v>-19.755000000000003</v>
      </c>
      <c r="D120" s="433">
        <f>IFERROR(VLOOKUP(HLOOKUP(Stn_WL,Tools!$AD$2:$AD$27,QUOTIENT(ROW()-2,Max_WL_count)+2,FALSE),Tools!$AD$3:$BC$27,MOD(ROW()-2,Max_WL_count)+2,FALSE),"")</f>
        <v>12.25</v>
      </c>
      <c r="E120" s="431">
        <f>IFERROR(IF(ISNUMBER(D120),HLOOKUP(Tools!$BE$2,Tools!$BE$2:$BE$27,MOD(ROW()-2,Max_WL_count)+2,FALSE)*WLS,""),"")</f>
        <v>12.6</v>
      </c>
      <c r="I120" s="427">
        <f t="shared" si="11"/>
        <v>119</v>
      </c>
      <c r="J120" s="430">
        <f t="shared" si="7"/>
        <v>10</v>
      </c>
      <c r="K120" s="433">
        <f>IFERROR(-LBP/2+HLOOKUP(Stn_WL,Tools!$AD$2:$AD$27,N120+2,FALSE)*STN_GAP,"")</f>
        <v>-19.755000000000003</v>
      </c>
      <c r="L120" s="433">
        <f>IFERROR(IF(AND(ISNUMBER(K120),O120=0),0,VLOOKUP(HLOOKUP(Stn_WL,Tools!$AD$2:$AD$27,N120+2,FALSE),Tools!$AD$3:$BC$27,O120+1,FALSE)),"")</f>
        <v>3.71</v>
      </c>
      <c r="M120" s="433">
        <f>IFERROR(IF(ISNUMBER(L120),IF(O120=0,IFERROR(HLOOKUP(Tools!$BD$127,Tools!$BD$127:$BD$152,N120+2,FALSE)*1,0),HLOOKUP(Tools!$BE$2,Tools!$BE$2:$BE$27,O120+1,FALSE)*WLS),""),"")</f>
        <v>0</v>
      </c>
      <c r="N120">
        <f t="shared" si="8"/>
        <v>9</v>
      </c>
      <c r="O120">
        <f t="shared" si="9"/>
        <v>1</v>
      </c>
    </row>
    <row r="121" spans="1:15" x14ac:dyDescent="0.25">
      <c r="A121" s="427">
        <f t="shared" si="10"/>
        <v>120</v>
      </c>
      <c r="B121" s="430">
        <f t="shared" si="6"/>
        <v>10</v>
      </c>
      <c r="C121" s="433">
        <f>IFERROR(-LBP/2+HLOOKUP(Stn_WL,Tools!$AD$2:$AD$27,QUOTIENT(ROW()-2,Max_WL_count)+2,FALSE)*STN_GAP,"")</f>
        <v>-19.755000000000003</v>
      </c>
      <c r="D121" s="433">
        <f>IFERROR(VLOOKUP(HLOOKUP(Stn_WL,Tools!$AD$2:$AD$27,QUOTIENT(ROW()-2,Max_WL_count)+2,FALSE),Tools!$AD$3:$BC$27,MOD(ROW()-2,Max_WL_count)+2,FALSE),"")</f>
        <v>12.25</v>
      </c>
      <c r="E121" s="431">
        <f>IFERROR(IF(ISNUMBER(D121),HLOOKUP(Tools!$BE$2,Tools!$BE$2:$BE$27,MOD(ROW()-2,Max_WL_count)+2,FALSE)*WLS,""),"")</f>
        <v>14.19</v>
      </c>
      <c r="I121" s="427">
        <f t="shared" si="11"/>
        <v>120</v>
      </c>
      <c r="J121" s="430">
        <f t="shared" si="7"/>
        <v>10</v>
      </c>
      <c r="K121" s="433">
        <f>IFERROR(-LBP/2+HLOOKUP(Stn_WL,Tools!$AD$2:$AD$27,N121+2,FALSE)*STN_GAP,"")</f>
        <v>-19.755000000000003</v>
      </c>
      <c r="L121" s="433">
        <f>IFERROR(IF(AND(ISNUMBER(K121),O121=0),0,VLOOKUP(HLOOKUP(Stn_WL,Tools!$AD$2:$AD$27,N121+2,FALSE),Tools!$AD$3:$BC$27,O121+1,FALSE)),"")</f>
        <v>8.58</v>
      </c>
      <c r="M121" s="433">
        <f>IFERROR(IF(ISNUMBER(L121),IF(O121=0,IFERROR(HLOOKUP(Tools!$BD$127,Tools!$BD$127:$BD$152,N121+2,FALSE)*1,0),HLOOKUP(Tools!$BE$2,Tools!$BE$2:$BE$27,O121+1,FALSE)*WLS),""),"")</f>
        <v>0.9</v>
      </c>
      <c r="N121">
        <f t="shared" si="8"/>
        <v>9</v>
      </c>
      <c r="O121">
        <f t="shared" si="9"/>
        <v>2</v>
      </c>
    </row>
    <row r="122" spans="1:15" x14ac:dyDescent="0.25">
      <c r="A122" s="427">
        <f t="shared" si="10"/>
        <v>121</v>
      </c>
      <c r="B122" s="430">
        <f t="shared" si="6"/>
        <v>11</v>
      </c>
      <c r="C122" s="433">
        <f>IFERROR(-LBP/2+HLOOKUP(Stn_WL,Tools!$AD$2:$AD$27,QUOTIENT(ROW()-2,Max_WL_count)+2,FALSE)*STN_GAP,"")</f>
        <v>-13.170000000000002</v>
      </c>
      <c r="D122" s="433">
        <f>IFERROR(VLOOKUP(HLOOKUP(Stn_WL,Tools!$AD$2:$AD$27,QUOTIENT(ROW()-2,Max_WL_count)+2,FALSE),Tools!$AD$3:$BC$27,MOD(ROW()-2,Max_WL_count)+2,FALSE),"")</f>
        <v>5.9</v>
      </c>
      <c r="E122" s="431">
        <f>IFERROR(IF(ISNUMBER(D122),HLOOKUP(Tools!$BE$2,Tools!$BE$2:$BE$27,MOD(ROW()-2,Max_WL_count)+2,FALSE)*WLS,""),"")</f>
        <v>0</v>
      </c>
      <c r="I122" s="427">
        <f t="shared" si="11"/>
        <v>121</v>
      </c>
      <c r="J122" s="430">
        <f t="shared" si="7"/>
        <v>10</v>
      </c>
      <c r="K122" s="433">
        <f>IFERROR(-LBP/2+HLOOKUP(Stn_WL,Tools!$AD$2:$AD$27,N122+2,FALSE)*STN_GAP,"")</f>
        <v>-19.755000000000003</v>
      </c>
      <c r="L122" s="433">
        <f>IFERROR(IF(AND(ISNUMBER(K122),O122=0),0,VLOOKUP(HLOOKUP(Stn_WL,Tools!$AD$2:$AD$27,N122+2,FALSE),Tools!$AD$3:$BC$27,O122+1,FALSE)),"")</f>
        <v>10.26</v>
      </c>
      <c r="M122" s="433">
        <f>IFERROR(IF(ISNUMBER(L122),IF(O122=0,IFERROR(HLOOKUP(Tools!$BD$127,Tools!$BD$127:$BD$152,N122+2,FALSE)*1,0),HLOOKUP(Tools!$BE$2,Tools!$BE$2:$BE$27,O122+1,FALSE)*WLS),""),"")</f>
        <v>1.8</v>
      </c>
      <c r="N122">
        <f t="shared" si="8"/>
        <v>9</v>
      </c>
      <c r="O122">
        <f t="shared" si="9"/>
        <v>3</v>
      </c>
    </row>
    <row r="123" spans="1:15" x14ac:dyDescent="0.25">
      <c r="A123" s="427">
        <f t="shared" si="10"/>
        <v>122</v>
      </c>
      <c r="B123" s="430">
        <f t="shared" si="6"/>
        <v>11</v>
      </c>
      <c r="C123" s="433">
        <f>IFERROR(-LBP/2+HLOOKUP(Stn_WL,Tools!$AD$2:$AD$27,QUOTIENT(ROW()-2,Max_WL_count)+2,FALSE)*STN_GAP,"")</f>
        <v>-13.170000000000002</v>
      </c>
      <c r="D123" s="433">
        <f>IFERROR(VLOOKUP(HLOOKUP(Stn_WL,Tools!$AD$2:$AD$27,QUOTIENT(ROW()-2,Max_WL_count)+2,FALSE),Tools!$AD$3:$BC$27,MOD(ROW()-2,Max_WL_count)+2,FALSE),"")</f>
        <v>10.16</v>
      </c>
      <c r="E123" s="431">
        <f>IFERROR(IF(ISNUMBER(D123),HLOOKUP(Tools!$BE$2,Tools!$BE$2:$BE$27,MOD(ROW()-2,Max_WL_count)+2,FALSE)*WLS,""),"")</f>
        <v>0.9</v>
      </c>
      <c r="I123" s="427">
        <f t="shared" si="11"/>
        <v>122</v>
      </c>
      <c r="J123" s="430">
        <f t="shared" si="7"/>
        <v>10</v>
      </c>
      <c r="K123" s="433">
        <f>IFERROR(-LBP/2+HLOOKUP(Stn_WL,Tools!$AD$2:$AD$27,N123+2,FALSE)*STN_GAP,"")</f>
        <v>-19.755000000000003</v>
      </c>
      <c r="L123" s="433">
        <f>IFERROR(IF(AND(ISNUMBER(K123),O123=0),0,VLOOKUP(HLOOKUP(Stn_WL,Tools!$AD$2:$AD$27,N123+2,FALSE),Tools!$AD$3:$BC$27,O123+1,FALSE)),"")</f>
        <v>11.25</v>
      </c>
      <c r="M123" s="433">
        <f>IFERROR(IF(ISNUMBER(L123),IF(O123=0,IFERROR(HLOOKUP(Tools!$BD$127,Tools!$BD$127:$BD$152,N123+2,FALSE)*1,0),HLOOKUP(Tools!$BE$2,Tools!$BE$2:$BE$27,O123+1,FALSE)*WLS),""),"")</f>
        <v>2.7</v>
      </c>
      <c r="N123">
        <f t="shared" si="8"/>
        <v>9</v>
      </c>
      <c r="O123">
        <f t="shared" si="9"/>
        <v>4</v>
      </c>
    </row>
    <row r="124" spans="1:15" x14ac:dyDescent="0.25">
      <c r="A124" s="427">
        <f t="shared" si="10"/>
        <v>123</v>
      </c>
      <c r="B124" s="430">
        <f t="shared" si="6"/>
        <v>11</v>
      </c>
      <c r="C124" s="433">
        <f>IFERROR(-LBP/2+HLOOKUP(Stn_WL,Tools!$AD$2:$AD$27,QUOTIENT(ROW()-2,Max_WL_count)+2,FALSE)*STN_GAP,"")</f>
        <v>-13.170000000000002</v>
      </c>
      <c r="D124" s="433">
        <f>IFERROR(VLOOKUP(HLOOKUP(Stn_WL,Tools!$AD$2:$AD$27,QUOTIENT(ROW()-2,Max_WL_count)+2,FALSE),Tools!$AD$3:$BC$27,MOD(ROW()-2,Max_WL_count)+2,FALSE),"")</f>
        <v>11.35</v>
      </c>
      <c r="E124" s="431">
        <f>IFERROR(IF(ISNUMBER(D124),HLOOKUP(Tools!$BE$2,Tools!$BE$2:$BE$27,MOD(ROW()-2,Max_WL_count)+2,FALSE)*WLS,""),"")</f>
        <v>1.8</v>
      </c>
      <c r="I124" s="427">
        <f t="shared" si="11"/>
        <v>123</v>
      </c>
      <c r="J124" s="430">
        <f t="shared" si="7"/>
        <v>10</v>
      </c>
      <c r="K124" s="433">
        <f>IFERROR(-LBP/2+HLOOKUP(Stn_WL,Tools!$AD$2:$AD$27,N124+2,FALSE)*STN_GAP,"")</f>
        <v>-19.755000000000003</v>
      </c>
      <c r="L124" s="433">
        <f>IFERROR(IF(AND(ISNUMBER(K124),O124=0),0,VLOOKUP(HLOOKUP(Stn_WL,Tools!$AD$2:$AD$27,N124+2,FALSE),Tools!$AD$3:$BC$27,O124+1,FALSE)),"")</f>
        <v>11.86</v>
      </c>
      <c r="M124" s="433">
        <f>IFERROR(IF(ISNUMBER(L124),IF(O124=0,IFERROR(HLOOKUP(Tools!$BD$127,Tools!$BD$127:$BD$152,N124+2,FALSE)*1,0),HLOOKUP(Tools!$BE$2,Tools!$BE$2:$BE$27,O124+1,FALSE)*WLS),""),"")</f>
        <v>3.6</v>
      </c>
      <c r="N124">
        <f t="shared" si="8"/>
        <v>9</v>
      </c>
      <c r="O124">
        <f t="shared" si="9"/>
        <v>5</v>
      </c>
    </row>
    <row r="125" spans="1:15" x14ac:dyDescent="0.25">
      <c r="A125" s="427">
        <f t="shared" si="10"/>
        <v>124</v>
      </c>
      <c r="B125" s="430">
        <f t="shared" si="6"/>
        <v>11</v>
      </c>
      <c r="C125" s="433">
        <f>IFERROR(-LBP/2+HLOOKUP(Stn_WL,Tools!$AD$2:$AD$27,QUOTIENT(ROW()-2,Max_WL_count)+2,FALSE)*STN_GAP,"")</f>
        <v>-13.170000000000002</v>
      </c>
      <c r="D125" s="433">
        <f>IFERROR(VLOOKUP(HLOOKUP(Stn_WL,Tools!$AD$2:$AD$27,QUOTIENT(ROW()-2,Max_WL_count)+2,FALSE),Tools!$AD$3:$BC$27,MOD(ROW()-2,Max_WL_count)+2,FALSE),"")</f>
        <v>11.9</v>
      </c>
      <c r="E125" s="431">
        <f>IFERROR(IF(ISNUMBER(D125),HLOOKUP(Tools!$BE$2,Tools!$BE$2:$BE$27,MOD(ROW()-2,Max_WL_count)+2,FALSE)*WLS,""),"")</f>
        <v>2.7</v>
      </c>
      <c r="I125" s="427">
        <f t="shared" si="11"/>
        <v>124</v>
      </c>
      <c r="J125" s="430">
        <f t="shared" si="7"/>
        <v>10</v>
      </c>
      <c r="K125" s="433">
        <f>IFERROR(-LBP/2+HLOOKUP(Stn_WL,Tools!$AD$2:$AD$27,N125+2,FALSE)*STN_GAP,"")</f>
        <v>-19.755000000000003</v>
      </c>
      <c r="L125" s="433">
        <f>IFERROR(IF(AND(ISNUMBER(K125),O125=0),0,VLOOKUP(HLOOKUP(Stn_WL,Tools!$AD$2:$AD$27,N125+2,FALSE),Tools!$AD$3:$BC$27,O125+1,FALSE)),"")</f>
        <v>12.25</v>
      </c>
      <c r="M125" s="433">
        <f>IFERROR(IF(ISNUMBER(L125),IF(O125=0,IFERROR(HLOOKUP(Tools!$BD$127,Tools!$BD$127:$BD$152,N125+2,FALSE)*1,0),HLOOKUP(Tools!$BE$2,Tools!$BE$2:$BE$27,O125+1,FALSE)*WLS),""),"")</f>
        <v>5.4</v>
      </c>
      <c r="N125">
        <f t="shared" si="8"/>
        <v>9</v>
      </c>
      <c r="O125">
        <f t="shared" si="9"/>
        <v>6</v>
      </c>
    </row>
    <row r="126" spans="1:15" x14ac:dyDescent="0.25">
      <c r="A126" s="427">
        <f t="shared" si="10"/>
        <v>125</v>
      </c>
      <c r="B126" s="430">
        <f t="shared" si="6"/>
        <v>11</v>
      </c>
      <c r="C126" s="433">
        <f>IFERROR(-LBP/2+HLOOKUP(Stn_WL,Tools!$AD$2:$AD$27,QUOTIENT(ROW()-2,Max_WL_count)+2,FALSE)*STN_GAP,"")</f>
        <v>-13.170000000000002</v>
      </c>
      <c r="D126" s="433">
        <f>IFERROR(VLOOKUP(HLOOKUP(Stn_WL,Tools!$AD$2:$AD$27,QUOTIENT(ROW()-2,Max_WL_count)+2,FALSE),Tools!$AD$3:$BC$27,MOD(ROW()-2,Max_WL_count)+2,FALSE),"")</f>
        <v>12.18</v>
      </c>
      <c r="E126" s="431">
        <f>IFERROR(IF(ISNUMBER(D126),HLOOKUP(Tools!$BE$2,Tools!$BE$2:$BE$27,MOD(ROW()-2,Max_WL_count)+2,FALSE)*WLS,""),"")</f>
        <v>3.6</v>
      </c>
      <c r="I126" s="427">
        <f t="shared" si="11"/>
        <v>125</v>
      </c>
      <c r="J126" s="430">
        <f t="shared" si="7"/>
        <v>10</v>
      </c>
      <c r="K126" s="433">
        <f>IFERROR(-LBP/2+HLOOKUP(Stn_WL,Tools!$AD$2:$AD$27,N126+2,FALSE)*STN_GAP,"")</f>
        <v>-19.755000000000003</v>
      </c>
      <c r="L126" s="433">
        <f>IFERROR(IF(AND(ISNUMBER(K126),O126=0),0,VLOOKUP(HLOOKUP(Stn_WL,Tools!$AD$2:$AD$27,N126+2,FALSE),Tools!$AD$3:$BC$27,O126+1,FALSE)),"")</f>
        <v>12.25</v>
      </c>
      <c r="M126" s="433">
        <f>IFERROR(IF(ISNUMBER(L126),IF(O126=0,IFERROR(HLOOKUP(Tools!$BD$127,Tools!$BD$127:$BD$152,N126+2,FALSE)*1,0),HLOOKUP(Tools!$BE$2,Tools!$BE$2:$BE$27,O126+1,FALSE)*WLS),""),"")</f>
        <v>7.2</v>
      </c>
      <c r="N126">
        <f t="shared" si="8"/>
        <v>9</v>
      </c>
      <c r="O126">
        <f t="shared" si="9"/>
        <v>7</v>
      </c>
    </row>
    <row r="127" spans="1:15" x14ac:dyDescent="0.25">
      <c r="A127" s="427">
        <f t="shared" si="10"/>
        <v>126</v>
      </c>
      <c r="B127" s="430">
        <f t="shared" si="6"/>
        <v>11</v>
      </c>
      <c r="C127" s="433">
        <f>IFERROR(-LBP/2+HLOOKUP(Stn_WL,Tools!$AD$2:$AD$27,QUOTIENT(ROW()-2,Max_WL_count)+2,FALSE)*STN_GAP,"")</f>
        <v>-13.170000000000002</v>
      </c>
      <c r="D127" s="433">
        <f>IFERROR(VLOOKUP(HLOOKUP(Stn_WL,Tools!$AD$2:$AD$27,QUOTIENT(ROW()-2,Max_WL_count)+2,FALSE),Tools!$AD$3:$BC$27,MOD(ROW()-2,Max_WL_count)+2,FALSE),"")</f>
        <v>12.25</v>
      </c>
      <c r="E127" s="431">
        <f>IFERROR(IF(ISNUMBER(D127),HLOOKUP(Tools!$BE$2,Tools!$BE$2:$BE$27,MOD(ROW()-2,Max_WL_count)+2,FALSE)*WLS,""),"")</f>
        <v>5.4</v>
      </c>
      <c r="I127" s="427">
        <f t="shared" si="11"/>
        <v>126</v>
      </c>
      <c r="J127" s="430">
        <f t="shared" si="7"/>
        <v>10</v>
      </c>
      <c r="K127" s="433">
        <f>IFERROR(-LBP/2+HLOOKUP(Stn_WL,Tools!$AD$2:$AD$27,N127+2,FALSE)*STN_GAP,"")</f>
        <v>-19.755000000000003</v>
      </c>
      <c r="L127" s="433">
        <f>IFERROR(IF(AND(ISNUMBER(K127),O127=0),0,VLOOKUP(HLOOKUP(Stn_WL,Tools!$AD$2:$AD$27,N127+2,FALSE),Tools!$AD$3:$BC$27,O127+1,FALSE)),"")</f>
        <v>12.25</v>
      </c>
      <c r="M127" s="433">
        <f>IFERROR(IF(ISNUMBER(L127),IF(O127=0,IFERROR(HLOOKUP(Tools!$BD$127,Tools!$BD$127:$BD$152,N127+2,FALSE)*1,0),HLOOKUP(Tools!$BE$2,Tools!$BE$2:$BE$27,O127+1,FALSE)*WLS),""),"")</f>
        <v>9</v>
      </c>
      <c r="N127">
        <f t="shared" si="8"/>
        <v>9</v>
      </c>
      <c r="O127">
        <f t="shared" si="9"/>
        <v>8</v>
      </c>
    </row>
    <row r="128" spans="1:15" x14ac:dyDescent="0.25">
      <c r="A128" s="427">
        <f t="shared" si="10"/>
        <v>127</v>
      </c>
      <c r="B128" s="430">
        <f t="shared" si="6"/>
        <v>11</v>
      </c>
      <c r="C128" s="433">
        <f>IFERROR(-LBP/2+HLOOKUP(Stn_WL,Tools!$AD$2:$AD$27,QUOTIENT(ROW()-2,Max_WL_count)+2,FALSE)*STN_GAP,"")</f>
        <v>-13.170000000000002</v>
      </c>
      <c r="D128" s="433">
        <f>IFERROR(VLOOKUP(HLOOKUP(Stn_WL,Tools!$AD$2:$AD$27,QUOTIENT(ROW()-2,Max_WL_count)+2,FALSE),Tools!$AD$3:$BC$27,MOD(ROW()-2,Max_WL_count)+2,FALSE),"")</f>
        <v>12.25</v>
      </c>
      <c r="E128" s="431">
        <f>IFERROR(IF(ISNUMBER(D128),HLOOKUP(Tools!$BE$2,Tools!$BE$2:$BE$27,MOD(ROW()-2,Max_WL_count)+2,FALSE)*WLS,""),"")</f>
        <v>7.2</v>
      </c>
      <c r="I128" s="427">
        <f t="shared" si="11"/>
        <v>127</v>
      </c>
      <c r="J128" s="430">
        <f t="shared" si="7"/>
        <v>10</v>
      </c>
      <c r="K128" s="433">
        <f>IFERROR(-LBP/2+HLOOKUP(Stn_WL,Tools!$AD$2:$AD$27,N128+2,FALSE)*STN_GAP,"")</f>
        <v>-19.755000000000003</v>
      </c>
      <c r="L128" s="433">
        <f>IFERROR(IF(AND(ISNUMBER(K128),O128=0),0,VLOOKUP(HLOOKUP(Stn_WL,Tools!$AD$2:$AD$27,N128+2,FALSE),Tools!$AD$3:$BC$27,O128+1,FALSE)),"")</f>
        <v>12.25</v>
      </c>
      <c r="M128" s="433">
        <f>IFERROR(IF(ISNUMBER(L128),IF(O128=0,IFERROR(HLOOKUP(Tools!$BD$127,Tools!$BD$127:$BD$152,N128+2,FALSE)*1,0),HLOOKUP(Tools!$BE$2,Tools!$BE$2:$BE$27,O128+1,FALSE)*WLS),""),"")</f>
        <v>10.1</v>
      </c>
      <c r="N128">
        <f t="shared" si="8"/>
        <v>9</v>
      </c>
      <c r="O128">
        <f t="shared" si="9"/>
        <v>9</v>
      </c>
    </row>
    <row r="129" spans="1:15" x14ac:dyDescent="0.25">
      <c r="A129" s="427">
        <f t="shared" si="10"/>
        <v>128</v>
      </c>
      <c r="B129" s="430">
        <f t="shared" si="6"/>
        <v>11</v>
      </c>
      <c r="C129" s="433">
        <f>IFERROR(-LBP/2+HLOOKUP(Stn_WL,Tools!$AD$2:$AD$27,QUOTIENT(ROW()-2,Max_WL_count)+2,FALSE)*STN_GAP,"")</f>
        <v>-13.170000000000002</v>
      </c>
      <c r="D129" s="433">
        <f>IFERROR(VLOOKUP(HLOOKUP(Stn_WL,Tools!$AD$2:$AD$27,QUOTIENT(ROW()-2,Max_WL_count)+2,FALSE),Tools!$AD$3:$BC$27,MOD(ROW()-2,Max_WL_count)+2,FALSE),"")</f>
        <v>12.25</v>
      </c>
      <c r="E129" s="431">
        <f>IFERROR(IF(ISNUMBER(D129),HLOOKUP(Tools!$BE$2,Tools!$BE$2:$BE$27,MOD(ROW()-2,Max_WL_count)+2,FALSE)*WLS,""),"")</f>
        <v>9</v>
      </c>
      <c r="I129" s="427">
        <f t="shared" si="11"/>
        <v>128</v>
      </c>
      <c r="J129" s="430">
        <f t="shared" si="7"/>
        <v>10</v>
      </c>
      <c r="K129" s="433">
        <f>IFERROR(-LBP/2+HLOOKUP(Stn_WL,Tools!$AD$2:$AD$27,N129+2,FALSE)*STN_GAP,"")</f>
        <v>-19.755000000000003</v>
      </c>
      <c r="L129" s="433">
        <f>IFERROR(IF(AND(ISNUMBER(K129),O129=0),0,VLOOKUP(HLOOKUP(Stn_WL,Tools!$AD$2:$AD$27,N129+2,FALSE),Tools!$AD$3:$BC$27,O129+1,FALSE)),"")</f>
        <v>12.25</v>
      </c>
      <c r="M129" s="433">
        <f>IFERROR(IF(ISNUMBER(L129),IF(O129=0,IFERROR(HLOOKUP(Tools!$BD$127,Tools!$BD$127:$BD$152,N129+2,FALSE)*1,0),HLOOKUP(Tools!$BE$2,Tools!$BE$2:$BE$27,O129+1,FALSE)*WLS),""),"")</f>
        <v>10.8</v>
      </c>
      <c r="N129">
        <f t="shared" si="8"/>
        <v>9</v>
      </c>
      <c r="O129">
        <f t="shared" si="9"/>
        <v>10</v>
      </c>
    </row>
    <row r="130" spans="1:15" x14ac:dyDescent="0.25">
      <c r="A130" s="427">
        <f t="shared" si="10"/>
        <v>129</v>
      </c>
      <c r="B130" s="430">
        <f t="shared" ref="B130:B193" si="12">IFERROR(IF(ISNUMBER(D130),QUOTIENT(ROW()-2,Max_WL_count)+1,""),"")</f>
        <v>11</v>
      </c>
      <c r="C130" s="433">
        <f>IFERROR(-LBP/2+HLOOKUP(Stn_WL,Tools!$AD$2:$AD$27,QUOTIENT(ROW()-2,Max_WL_count)+2,FALSE)*STN_GAP,"")</f>
        <v>-13.170000000000002</v>
      </c>
      <c r="D130" s="433">
        <f>IFERROR(VLOOKUP(HLOOKUP(Stn_WL,Tools!$AD$2:$AD$27,QUOTIENT(ROW()-2,Max_WL_count)+2,FALSE),Tools!$AD$3:$BC$27,MOD(ROW()-2,Max_WL_count)+2,FALSE),"")</f>
        <v>12.25</v>
      </c>
      <c r="E130" s="431">
        <f>IFERROR(IF(ISNUMBER(D130),HLOOKUP(Tools!$BE$2,Tools!$BE$2:$BE$27,MOD(ROW()-2,Max_WL_count)+2,FALSE)*WLS,""),"")</f>
        <v>10.1</v>
      </c>
      <c r="I130" s="427">
        <f t="shared" si="11"/>
        <v>129</v>
      </c>
      <c r="J130" s="430">
        <f t="shared" ref="J130:J193" si="13">IFERROR(IF(ISNUMBER(L130),QUOTIENT(ROW()-2,Max_WL_count+1)+1,""),"")</f>
        <v>10</v>
      </c>
      <c r="K130" s="433">
        <f>IFERROR(-LBP/2+HLOOKUP(Stn_WL,Tools!$AD$2:$AD$27,N130+2,FALSE)*STN_GAP,"")</f>
        <v>-19.755000000000003</v>
      </c>
      <c r="L130" s="433">
        <f>IFERROR(IF(AND(ISNUMBER(K130),O130=0),0,VLOOKUP(HLOOKUP(Stn_WL,Tools!$AD$2:$AD$27,N130+2,FALSE),Tools!$AD$3:$BC$27,O130+1,FALSE)),"")</f>
        <v>12.25</v>
      </c>
      <c r="M130" s="433">
        <f>IFERROR(IF(ISNUMBER(L130),IF(O130=0,IFERROR(HLOOKUP(Tools!$BD$127,Tools!$BD$127:$BD$152,N130+2,FALSE)*1,0),HLOOKUP(Tools!$BE$2,Tools!$BE$2:$BE$27,O130+1,FALSE)*WLS),""),"")</f>
        <v>12.6</v>
      </c>
      <c r="N130">
        <f t="shared" ref="N130:N193" si="14">QUOTIENT(ROW()-2,Max_WL_count+1)</f>
        <v>9</v>
      </c>
      <c r="O130">
        <f t="shared" ref="O130:O193" si="15">MOD(ROW()-2,Max_WL_count+1)</f>
        <v>11</v>
      </c>
    </row>
    <row r="131" spans="1:15" x14ac:dyDescent="0.25">
      <c r="A131" s="427">
        <f t="shared" ref="A131:A194" si="16">IF(ISNUMBER(D131),ROW()-1,"")</f>
        <v>130</v>
      </c>
      <c r="B131" s="430">
        <f t="shared" si="12"/>
        <v>11</v>
      </c>
      <c r="C131" s="433">
        <f>IFERROR(-LBP/2+HLOOKUP(Stn_WL,Tools!$AD$2:$AD$27,QUOTIENT(ROW()-2,Max_WL_count)+2,FALSE)*STN_GAP,"")</f>
        <v>-13.170000000000002</v>
      </c>
      <c r="D131" s="433">
        <f>IFERROR(VLOOKUP(HLOOKUP(Stn_WL,Tools!$AD$2:$AD$27,QUOTIENT(ROW()-2,Max_WL_count)+2,FALSE),Tools!$AD$3:$BC$27,MOD(ROW()-2,Max_WL_count)+2,FALSE),"")</f>
        <v>12.25</v>
      </c>
      <c r="E131" s="431">
        <f>IFERROR(IF(ISNUMBER(D131),HLOOKUP(Tools!$BE$2,Tools!$BE$2:$BE$27,MOD(ROW()-2,Max_WL_count)+2,FALSE)*WLS,""),"")</f>
        <v>10.8</v>
      </c>
      <c r="I131" s="427">
        <f t="shared" ref="I131:I194" si="17">IF(ISNUMBER(L131),ROW()-1,"")</f>
        <v>130</v>
      </c>
      <c r="J131" s="430">
        <f t="shared" si="13"/>
        <v>10</v>
      </c>
      <c r="K131" s="433">
        <f>IFERROR(-LBP/2+HLOOKUP(Stn_WL,Tools!$AD$2:$AD$27,N131+2,FALSE)*STN_GAP,"")</f>
        <v>-19.755000000000003</v>
      </c>
      <c r="L131" s="433">
        <f>IFERROR(IF(AND(ISNUMBER(K131),O131=0),0,VLOOKUP(HLOOKUP(Stn_WL,Tools!$AD$2:$AD$27,N131+2,FALSE),Tools!$AD$3:$BC$27,O131+1,FALSE)),"")</f>
        <v>12.25</v>
      </c>
      <c r="M131" s="433">
        <f>IFERROR(IF(ISNUMBER(L131),IF(O131=0,IFERROR(HLOOKUP(Tools!$BD$127,Tools!$BD$127:$BD$152,N131+2,FALSE)*1,0),HLOOKUP(Tools!$BE$2,Tools!$BE$2:$BE$27,O131+1,FALSE)*WLS),""),"")</f>
        <v>14.19</v>
      </c>
      <c r="N131">
        <f t="shared" si="14"/>
        <v>9</v>
      </c>
      <c r="O131">
        <f t="shared" si="15"/>
        <v>12</v>
      </c>
    </row>
    <row r="132" spans="1:15" x14ac:dyDescent="0.25">
      <c r="A132" s="427">
        <f t="shared" si="16"/>
        <v>131</v>
      </c>
      <c r="B132" s="430">
        <f t="shared" si="12"/>
        <v>11</v>
      </c>
      <c r="C132" s="433">
        <f>IFERROR(-LBP/2+HLOOKUP(Stn_WL,Tools!$AD$2:$AD$27,QUOTIENT(ROW()-2,Max_WL_count)+2,FALSE)*STN_GAP,"")</f>
        <v>-13.170000000000002</v>
      </c>
      <c r="D132" s="433">
        <f>IFERROR(VLOOKUP(HLOOKUP(Stn_WL,Tools!$AD$2:$AD$27,QUOTIENT(ROW()-2,Max_WL_count)+2,FALSE),Tools!$AD$3:$BC$27,MOD(ROW()-2,Max_WL_count)+2,FALSE),"")</f>
        <v>12.25</v>
      </c>
      <c r="E132" s="431">
        <f>IFERROR(IF(ISNUMBER(D132),HLOOKUP(Tools!$BE$2,Tools!$BE$2:$BE$27,MOD(ROW()-2,Max_WL_count)+2,FALSE)*WLS,""),"")</f>
        <v>12.6</v>
      </c>
      <c r="I132" s="427">
        <f t="shared" si="17"/>
        <v>131</v>
      </c>
      <c r="J132" s="430">
        <f t="shared" si="13"/>
        <v>11</v>
      </c>
      <c r="K132" s="433">
        <f>IFERROR(-LBP/2+HLOOKUP(Stn_WL,Tools!$AD$2:$AD$27,N132+2,FALSE)*STN_GAP,"")</f>
        <v>-13.170000000000002</v>
      </c>
      <c r="L132" s="433">
        <f>IFERROR(IF(AND(ISNUMBER(K132),O132=0),0,VLOOKUP(HLOOKUP(Stn_WL,Tools!$AD$2:$AD$27,N132+2,FALSE),Tools!$AD$3:$BC$27,O132+1,FALSE)),"")</f>
        <v>0</v>
      </c>
      <c r="M132" s="433">
        <f>IFERROR(IF(ISNUMBER(L132),IF(O132=0,IFERROR(HLOOKUP(Tools!$BD$127,Tools!$BD$127:$BD$152,N132+2,FALSE)*1,0),HLOOKUP(Tools!$BE$2,Tools!$BE$2:$BE$27,O132+1,FALSE)*WLS),""),"")</f>
        <v>0</v>
      </c>
      <c r="N132">
        <f t="shared" si="14"/>
        <v>10</v>
      </c>
      <c r="O132">
        <f t="shared" si="15"/>
        <v>0</v>
      </c>
    </row>
    <row r="133" spans="1:15" x14ac:dyDescent="0.25">
      <c r="A133" s="427">
        <f t="shared" si="16"/>
        <v>132</v>
      </c>
      <c r="B133" s="430">
        <f t="shared" si="12"/>
        <v>11</v>
      </c>
      <c r="C133" s="433">
        <f>IFERROR(-LBP/2+HLOOKUP(Stn_WL,Tools!$AD$2:$AD$27,QUOTIENT(ROW()-2,Max_WL_count)+2,FALSE)*STN_GAP,"")</f>
        <v>-13.170000000000002</v>
      </c>
      <c r="D133" s="433">
        <f>IFERROR(VLOOKUP(HLOOKUP(Stn_WL,Tools!$AD$2:$AD$27,QUOTIENT(ROW()-2,Max_WL_count)+2,FALSE),Tools!$AD$3:$BC$27,MOD(ROW()-2,Max_WL_count)+2,FALSE),"")</f>
        <v>12.25</v>
      </c>
      <c r="E133" s="431">
        <f>IFERROR(IF(ISNUMBER(D133),HLOOKUP(Tools!$BE$2,Tools!$BE$2:$BE$27,MOD(ROW()-2,Max_WL_count)+2,FALSE)*WLS,""),"")</f>
        <v>14.19</v>
      </c>
      <c r="I133" s="427">
        <f t="shared" si="17"/>
        <v>132</v>
      </c>
      <c r="J133" s="430">
        <f t="shared" si="13"/>
        <v>11</v>
      </c>
      <c r="K133" s="433">
        <f>IFERROR(-LBP/2+HLOOKUP(Stn_WL,Tools!$AD$2:$AD$27,N133+2,FALSE)*STN_GAP,"")</f>
        <v>-13.170000000000002</v>
      </c>
      <c r="L133" s="433">
        <f>IFERROR(IF(AND(ISNUMBER(K133),O133=0),0,VLOOKUP(HLOOKUP(Stn_WL,Tools!$AD$2:$AD$27,N133+2,FALSE),Tools!$AD$3:$BC$27,O133+1,FALSE)),"")</f>
        <v>5.9</v>
      </c>
      <c r="M133" s="433">
        <f>IFERROR(IF(ISNUMBER(L133),IF(O133=0,IFERROR(HLOOKUP(Tools!$BD$127,Tools!$BD$127:$BD$152,N133+2,FALSE)*1,0),HLOOKUP(Tools!$BE$2,Tools!$BE$2:$BE$27,O133+1,FALSE)*WLS),""),"")</f>
        <v>0</v>
      </c>
      <c r="N133">
        <f t="shared" si="14"/>
        <v>10</v>
      </c>
      <c r="O133">
        <f t="shared" si="15"/>
        <v>1</v>
      </c>
    </row>
    <row r="134" spans="1:15" x14ac:dyDescent="0.25">
      <c r="A134" s="427">
        <f t="shared" si="16"/>
        <v>133</v>
      </c>
      <c r="B134" s="430">
        <f t="shared" si="12"/>
        <v>12</v>
      </c>
      <c r="C134" s="433">
        <f>IFERROR(-LBP/2+HLOOKUP(Stn_WL,Tools!$AD$2:$AD$27,QUOTIENT(ROW()-2,Max_WL_count)+2,FALSE)*STN_GAP,"")</f>
        <v>-6.5850000000000009</v>
      </c>
      <c r="D134" s="433">
        <f>IFERROR(VLOOKUP(HLOOKUP(Stn_WL,Tools!$AD$2:$AD$27,QUOTIENT(ROW()-2,Max_WL_count)+2,FALSE),Tools!$AD$3:$BC$27,MOD(ROW()-2,Max_WL_count)+2,FALSE),"")</f>
        <v>7.2</v>
      </c>
      <c r="E134" s="431">
        <f>IFERROR(IF(ISNUMBER(D134),HLOOKUP(Tools!$BE$2,Tools!$BE$2:$BE$27,MOD(ROW()-2,Max_WL_count)+2,FALSE)*WLS,""),"")</f>
        <v>0</v>
      </c>
      <c r="I134" s="427">
        <f t="shared" si="17"/>
        <v>133</v>
      </c>
      <c r="J134" s="430">
        <f t="shared" si="13"/>
        <v>11</v>
      </c>
      <c r="K134" s="433">
        <f>IFERROR(-LBP/2+HLOOKUP(Stn_WL,Tools!$AD$2:$AD$27,N134+2,FALSE)*STN_GAP,"")</f>
        <v>-13.170000000000002</v>
      </c>
      <c r="L134" s="433">
        <f>IFERROR(IF(AND(ISNUMBER(K134),O134=0),0,VLOOKUP(HLOOKUP(Stn_WL,Tools!$AD$2:$AD$27,N134+2,FALSE),Tools!$AD$3:$BC$27,O134+1,FALSE)),"")</f>
        <v>10.16</v>
      </c>
      <c r="M134" s="433">
        <f>IFERROR(IF(ISNUMBER(L134),IF(O134=0,IFERROR(HLOOKUP(Tools!$BD$127,Tools!$BD$127:$BD$152,N134+2,FALSE)*1,0),HLOOKUP(Tools!$BE$2,Tools!$BE$2:$BE$27,O134+1,FALSE)*WLS),""),"")</f>
        <v>0.9</v>
      </c>
      <c r="N134">
        <f t="shared" si="14"/>
        <v>10</v>
      </c>
      <c r="O134">
        <f t="shared" si="15"/>
        <v>2</v>
      </c>
    </row>
    <row r="135" spans="1:15" x14ac:dyDescent="0.25">
      <c r="A135" s="427">
        <f t="shared" si="16"/>
        <v>134</v>
      </c>
      <c r="B135" s="430">
        <f t="shared" si="12"/>
        <v>12</v>
      </c>
      <c r="C135" s="433">
        <f>IFERROR(-LBP/2+HLOOKUP(Stn_WL,Tools!$AD$2:$AD$27,QUOTIENT(ROW()-2,Max_WL_count)+2,FALSE)*STN_GAP,"")</f>
        <v>-6.5850000000000009</v>
      </c>
      <c r="D135" s="433">
        <f>IFERROR(VLOOKUP(HLOOKUP(Stn_WL,Tools!$AD$2:$AD$27,QUOTIENT(ROW()-2,Max_WL_count)+2,FALSE),Tools!$AD$3:$BC$27,MOD(ROW()-2,Max_WL_count)+2,FALSE),"")</f>
        <v>10.78</v>
      </c>
      <c r="E135" s="431">
        <f>IFERROR(IF(ISNUMBER(D135),HLOOKUP(Tools!$BE$2,Tools!$BE$2:$BE$27,MOD(ROW()-2,Max_WL_count)+2,FALSE)*WLS,""),"")</f>
        <v>0.9</v>
      </c>
      <c r="I135" s="427">
        <f t="shared" si="17"/>
        <v>134</v>
      </c>
      <c r="J135" s="430">
        <f t="shared" si="13"/>
        <v>11</v>
      </c>
      <c r="K135" s="433">
        <f>IFERROR(-LBP/2+HLOOKUP(Stn_WL,Tools!$AD$2:$AD$27,N135+2,FALSE)*STN_GAP,"")</f>
        <v>-13.170000000000002</v>
      </c>
      <c r="L135" s="433">
        <f>IFERROR(IF(AND(ISNUMBER(K135),O135=0),0,VLOOKUP(HLOOKUP(Stn_WL,Tools!$AD$2:$AD$27,N135+2,FALSE),Tools!$AD$3:$BC$27,O135+1,FALSE)),"")</f>
        <v>11.35</v>
      </c>
      <c r="M135" s="433">
        <f>IFERROR(IF(ISNUMBER(L135),IF(O135=0,IFERROR(HLOOKUP(Tools!$BD$127,Tools!$BD$127:$BD$152,N135+2,FALSE)*1,0),HLOOKUP(Tools!$BE$2,Tools!$BE$2:$BE$27,O135+1,FALSE)*WLS),""),"")</f>
        <v>1.8</v>
      </c>
      <c r="N135">
        <f t="shared" si="14"/>
        <v>10</v>
      </c>
      <c r="O135">
        <f t="shared" si="15"/>
        <v>3</v>
      </c>
    </row>
    <row r="136" spans="1:15" x14ac:dyDescent="0.25">
      <c r="A136" s="427">
        <f t="shared" si="16"/>
        <v>135</v>
      </c>
      <c r="B136" s="430">
        <f t="shared" si="12"/>
        <v>12</v>
      </c>
      <c r="C136" s="433">
        <f>IFERROR(-LBP/2+HLOOKUP(Stn_WL,Tools!$AD$2:$AD$27,QUOTIENT(ROW()-2,Max_WL_count)+2,FALSE)*STN_GAP,"")</f>
        <v>-6.5850000000000009</v>
      </c>
      <c r="D136" s="433">
        <f>IFERROR(VLOOKUP(HLOOKUP(Stn_WL,Tools!$AD$2:$AD$27,QUOTIENT(ROW()-2,Max_WL_count)+2,FALSE),Tools!$AD$3:$BC$27,MOD(ROW()-2,Max_WL_count)+2,FALSE),"")</f>
        <v>11.72</v>
      </c>
      <c r="E136" s="431">
        <f>IFERROR(IF(ISNUMBER(D136),HLOOKUP(Tools!$BE$2,Tools!$BE$2:$BE$27,MOD(ROW()-2,Max_WL_count)+2,FALSE)*WLS,""),"")</f>
        <v>1.8</v>
      </c>
      <c r="I136" s="427">
        <f t="shared" si="17"/>
        <v>135</v>
      </c>
      <c r="J136" s="430">
        <f t="shared" si="13"/>
        <v>11</v>
      </c>
      <c r="K136" s="433">
        <f>IFERROR(-LBP/2+HLOOKUP(Stn_WL,Tools!$AD$2:$AD$27,N136+2,FALSE)*STN_GAP,"")</f>
        <v>-13.170000000000002</v>
      </c>
      <c r="L136" s="433">
        <f>IFERROR(IF(AND(ISNUMBER(K136),O136=0),0,VLOOKUP(HLOOKUP(Stn_WL,Tools!$AD$2:$AD$27,N136+2,FALSE),Tools!$AD$3:$BC$27,O136+1,FALSE)),"")</f>
        <v>11.9</v>
      </c>
      <c r="M136" s="433">
        <f>IFERROR(IF(ISNUMBER(L136),IF(O136=0,IFERROR(HLOOKUP(Tools!$BD$127,Tools!$BD$127:$BD$152,N136+2,FALSE)*1,0),HLOOKUP(Tools!$BE$2,Tools!$BE$2:$BE$27,O136+1,FALSE)*WLS),""),"")</f>
        <v>2.7</v>
      </c>
      <c r="N136">
        <f t="shared" si="14"/>
        <v>10</v>
      </c>
      <c r="O136">
        <f t="shared" si="15"/>
        <v>4</v>
      </c>
    </row>
    <row r="137" spans="1:15" x14ac:dyDescent="0.25">
      <c r="A137" s="427">
        <f t="shared" si="16"/>
        <v>136</v>
      </c>
      <c r="B137" s="430">
        <f t="shared" si="12"/>
        <v>12</v>
      </c>
      <c r="C137" s="433">
        <f>IFERROR(-LBP/2+HLOOKUP(Stn_WL,Tools!$AD$2:$AD$27,QUOTIENT(ROW()-2,Max_WL_count)+2,FALSE)*STN_GAP,"")</f>
        <v>-6.5850000000000009</v>
      </c>
      <c r="D137" s="433">
        <f>IFERROR(VLOOKUP(HLOOKUP(Stn_WL,Tools!$AD$2:$AD$27,QUOTIENT(ROW()-2,Max_WL_count)+2,FALSE),Tools!$AD$3:$BC$27,MOD(ROW()-2,Max_WL_count)+2,FALSE),"")</f>
        <v>12.12</v>
      </c>
      <c r="E137" s="431">
        <f>IFERROR(IF(ISNUMBER(D137),HLOOKUP(Tools!$BE$2,Tools!$BE$2:$BE$27,MOD(ROW()-2,Max_WL_count)+2,FALSE)*WLS,""),"")</f>
        <v>2.7</v>
      </c>
      <c r="I137" s="427">
        <f t="shared" si="17"/>
        <v>136</v>
      </c>
      <c r="J137" s="430">
        <f t="shared" si="13"/>
        <v>11</v>
      </c>
      <c r="K137" s="433">
        <f>IFERROR(-LBP/2+HLOOKUP(Stn_WL,Tools!$AD$2:$AD$27,N137+2,FALSE)*STN_GAP,"")</f>
        <v>-13.170000000000002</v>
      </c>
      <c r="L137" s="433">
        <f>IFERROR(IF(AND(ISNUMBER(K137),O137=0),0,VLOOKUP(HLOOKUP(Stn_WL,Tools!$AD$2:$AD$27,N137+2,FALSE),Tools!$AD$3:$BC$27,O137+1,FALSE)),"")</f>
        <v>12.18</v>
      </c>
      <c r="M137" s="433">
        <f>IFERROR(IF(ISNUMBER(L137),IF(O137=0,IFERROR(HLOOKUP(Tools!$BD$127,Tools!$BD$127:$BD$152,N137+2,FALSE)*1,0),HLOOKUP(Tools!$BE$2,Tools!$BE$2:$BE$27,O137+1,FALSE)*WLS),""),"")</f>
        <v>3.6</v>
      </c>
      <c r="N137">
        <f t="shared" si="14"/>
        <v>10</v>
      </c>
      <c r="O137">
        <f t="shared" si="15"/>
        <v>5</v>
      </c>
    </row>
    <row r="138" spans="1:15" x14ac:dyDescent="0.25">
      <c r="A138" s="427">
        <f t="shared" si="16"/>
        <v>137</v>
      </c>
      <c r="B138" s="430">
        <f t="shared" si="12"/>
        <v>12</v>
      </c>
      <c r="C138" s="433">
        <f>IFERROR(-LBP/2+HLOOKUP(Stn_WL,Tools!$AD$2:$AD$27,QUOTIENT(ROW()-2,Max_WL_count)+2,FALSE)*STN_GAP,"")</f>
        <v>-6.5850000000000009</v>
      </c>
      <c r="D138" s="433">
        <f>IFERROR(VLOOKUP(HLOOKUP(Stn_WL,Tools!$AD$2:$AD$27,QUOTIENT(ROW()-2,Max_WL_count)+2,FALSE),Tools!$AD$3:$BC$27,MOD(ROW()-2,Max_WL_count)+2,FALSE),"")</f>
        <v>12.25</v>
      </c>
      <c r="E138" s="431">
        <f>IFERROR(IF(ISNUMBER(D138),HLOOKUP(Tools!$BE$2,Tools!$BE$2:$BE$27,MOD(ROW()-2,Max_WL_count)+2,FALSE)*WLS,""),"")</f>
        <v>3.6</v>
      </c>
      <c r="I138" s="427">
        <f t="shared" si="17"/>
        <v>137</v>
      </c>
      <c r="J138" s="430">
        <f t="shared" si="13"/>
        <v>11</v>
      </c>
      <c r="K138" s="433">
        <f>IFERROR(-LBP/2+HLOOKUP(Stn_WL,Tools!$AD$2:$AD$27,N138+2,FALSE)*STN_GAP,"")</f>
        <v>-13.170000000000002</v>
      </c>
      <c r="L138" s="433">
        <f>IFERROR(IF(AND(ISNUMBER(K138),O138=0),0,VLOOKUP(HLOOKUP(Stn_WL,Tools!$AD$2:$AD$27,N138+2,FALSE),Tools!$AD$3:$BC$27,O138+1,FALSE)),"")</f>
        <v>12.25</v>
      </c>
      <c r="M138" s="433">
        <f>IFERROR(IF(ISNUMBER(L138),IF(O138=0,IFERROR(HLOOKUP(Tools!$BD$127,Tools!$BD$127:$BD$152,N138+2,FALSE)*1,0),HLOOKUP(Tools!$BE$2,Tools!$BE$2:$BE$27,O138+1,FALSE)*WLS),""),"")</f>
        <v>5.4</v>
      </c>
      <c r="N138">
        <f t="shared" si="14"/>
        <v>10</v>
      </c>
      <c r="O138">
        <f t="shared" si="15"/>
        <v>6</v>
      </c>
    </row>
    <row r="139" spans="1:15" x14ac:dyDescent="0.25">
      <c r="A139" s="427">
        <f t="shared" si="16"/>
        <v>138</v>
      </c>
      <c r="B139" s="430">
        <f t="shared" si="12"/>
        <v>12</v>
      </c>
      <c r="C139" s="433">
        <f>IFERROR(-LBP/2+HLOOKUP(Stn_WL,Tools!$AD$2:$AD$27,QUOTIENT(ROW()-2,Max_WL_count)+2,FALSE)*STN_GAP,"")</f>
        <v>-6.5850000000000009</v>
      </c>
      <c r="D139" s="433">
        <f>IFERROR(VLOOKUP(HLOOKUP(Stn_WL,Tools!$AD$2:$AD$27,QUOTIENT(ROW()-2,Max_WL_count)+2,FALSE),Tools!$AD$3:$BC$27,MOD(ROW()-2,Max_WL_count)+2,FALSE),"")</f>
        <v>12.25</v>
      </c>
      <c r="E139" s="431">
        <f>IFERROR(IF(ISNUMBER(D139),HLOOKUP(Tools!$BE$2,Tools!$BE$2:$BE$27,MOD(ROW()-2,Max_WL_count)+2,FALSE)*WLS,""),"")</f>
        <v>5.4</v>
      </c>
      <c r="I139" s="427">
        <f t="shared" si="17"/>
        <v>138</v>
      </c>
      <c r="J139" s="430">
        <f t="shared" si="13"/>
        <v>11</v>
      </c>
      <c r="K139" s="433">
        <f>IFERROR(-LBP/2+HLOOKUP(Stn_WL,Tools!$AD$2:$AD$27,N139+2,FALSE)*STN_GAP,"")</f>
        <v>-13.170000000000002</v>
      </c>
      <c r="L139" s="433">
        <f>IFERROR(IF(AND(ISNUMBER(K139),O139=0),0,VLOOKUP(HLOOKUP(Stn_WL,Tools!$AD$2:$AD$27,N139+2,FALSE),Tools!$AD$3:$BC$27,O139+1,FALSE)),"")</f>
        <v>12.25</v>
      </c>
      <c r="M139" s="433">
        <f>IFERROR(IF(ISNUMBER(L139),IF(O139=0,IFERROR(HLOOKUP(Tools!$BD$127,Tools!$BD$127:$BD$152,N139+2,FALSE)*1,0),HLOOKUP(Tools!$BE$2,Tools!$BE$2:$BE$27,O139+1,FALSE)*WLS),""),"")</f>
        <v>7.2</v>
      </c>
      <c r="N139">
        <f t="shared" si="14"/>
        <v>10</v>
      </c>
      <c r="O139">
        <f t="shared" si="15"/>
        <v>7</v>
      </c>
    </row>
    <row r="140" spans="1:15" x14ac:dyDescent="0.25">
      <c r="A140" s="427">
        <f t="shared" si="16"/>
        <v>139</v>
      </c>
      <c r="B140" s="430">
        <f t="shared" si="12"/>
        <v>12</v>
      </c>
      <c r="C140" s="433">
        <f>IFERROR(-LBP/2+HLOOKUP(Stn_WL,Tools!$AD$2:$AD$27,QUOTIENT(ROW()-2,Max_WL_count)+2,FALSE)*STN_GAP,"")</f>
        <v>-6.5850000000000009</v>
      </c>
      <c r="D140" s="433">
        <f>IFERROR(VLOOKUP(HLOOKUP(Stn_WL,Tools!$AD$2:$AD$27,QUOTIENT(ROW()-2,Max_WL_count)+2,FALSE),Tools!$AD$3:$BC$27,MOD(ROW()-2,Max_WL_count)+2,FALSE),"")</f>
        <v>12.25</v>
      </c>
      <c r="E140" s="431">
        <f>IFERROR(IF(ISNUMBER(D140),HLOOKUP(Tools!$BE$2,Tools!$BE$2:$BE$27,MOD(ROW()-2,Max_WL_count)+2,FALSE)*WLS,""),"")</f>
        <v>7.2</v>
      </c>
      <c r="I140" s="427">
        <f t="shared" si="17"/>
        <v>139</v>
      </c>
      <c r="J140" s="430">
        <f t="shared" si="13"/>
        <v>11</v>
      </c>
      <c r="K140" s="433">
        <f>IFERROR(-LBP/2+HLOOKUP(Stn_WL,Tools!$AD$2:$AD$27,N140+2,FALSE)*STN_GAP,"")</f>
        <v>-13.170000000000002</v>
      </c>
      <c r="L140" s="433">
        <f>IFERROR(IF(AND(ISNUMBER(K140),O140=0),0,VLOOKUP(HLOOKUP(Stn_WL,Tools!$AD$2:$AD$27,N140+2,FALSE),Tools!$AD$3:$BC$27,O140+1,FALSE)),"")</f>
        <v>12.25</v>
      </c>
      <c r="M140" s="433">
        <f>IFERROR(IF(ISNUMBER(L140),IF(O140=0,IFERROR(HLOOKUP(Tools!$BD$127,Tools!$BD$127:$BD$152,N140+2,FALSE)*1,0),HLOOKUP(Tools!$BE$2,Tools!$BE$2:$BE$27,O140+1,FALSE)*WLS),""),"")</f>
        <v>9</v>
      </c>
      <c r="N140">
        <f t="shared" si="14"/>
        <v>10</v>
      </c>
      <c r="O140">
        <f t="shared" si="15"/>
        <v>8</v>
      </c>
    </row>
    <row r="141" spans="1:15" x14ac:dyDescent="0.25">
      <c r="A141" s="427">
        <f t="shared" si="16"/>
        <v>140</v>
      </c>
      <c r="B141" s="430">
        <f t="shared" si="12"/>
        <v>12</v>
      </c>
      <c r="C141" s="433">
        <f>IFERROR(-LBP/2+HLOOKUP(Stn_WL,Tools!$AD$2:$AD$27,QUOTIENT(ROW()-2,Max_WL_count)+2,FALSE)*STN_GAP,"")</f>
        <v>-6.5850000000000009</v>
      </c>
      <c r="D141" s="433">
        <f>IFERROR(VLOOKUP(HLOOKUP(Stn_WL,Tools!$AD$2:$AD$27,QUOTIENT(ROW()-2,Max_WL_count)+2,FALSE),Tools!$AD$3:$BC$27,MOD(ROW()-2,Max_WL_count)+2,FALSE),"")</f>
        <v>12.25</v>
      </c>
      <c r="E141" s="431">
        <f>IFERROR(IF(ISNUMBER(D141),HLOOKUP(Tools!$BE$2,Tools!$BE$2:$BE$27,MOD(ROW()-2,Max_WL_count)+2,FALSE)*WLS,""),"")</f>
        <v>9</v>
      </c>
      <c r="I141" s="427">
        <f t="shared" si="17"/>
        <v>140</v>
      </c>
      <c r="J141" s="430">
        <f t="shared" si="13"/>
        <v>11</v>
      </c>
      <c r="K141" s="433">
        <f>IFERROR(-LBP/2+HLOOKUP(Stn_WL,Tools!$AD$2:$AD$27,N141+2,FALSE)*STN_GAP,"")</f>
        <v>-13.170000000000002</v>
      </c>
      <c r="L141" s="433">
        <f>IFERROR(IF(AND(ISNUMBER(K141),O141=0),0,VLOOKUP(HLOOKUP(Stn_WL,Tools!$AD$2:$AD$27,N141+2,FALSE),Tools!$AD$3:$BC$27,O141+1,FALSE)),"")</f>
        <v>12.25</v>
      </c>
      <c r="M141" s="433">
        <f>IFERROR(IF(ISNUMBER(L141),IF(O141=0,IFERROR(HLOOKUP(Tools!$BD$127,Tools!$BD$127:$BD$152,N141+2,FALSE)*1,0),HLOOKUP(Tools!$BE$2,Tools!$BE$2:$BE$27,O141+1,FALSE)*WLS),""),"")</f>
        <v>10.1</v>
      </c>
      <c r="N141">
        <f t="shared" si="14"/>
        <v>10</v>
      </c>
      <c r="O141">
        <f t="shared" si="15"/>
        <v>9</v>
      </c>
    </row>
    <row r="142" spans="1:15" x14ac:dyDescent="0.25">
      <c r="A142" s="427">
        <f t="shared" si="16"/>
        <v>141</v>
      </c>
      <c r="B142" s="430">
        <f t="shared" si="12"/>
        <v>12</v>
      </c>
      <c r="C142" s="433">
        <f>IFERROR(-LBP/2+HLOOKUP(Stn_WL,Tools!$AD$2:$AD$27,QUOTIENT(ROW()-2,Max_WL_count)+2,FALSE)*STN_GAP,"")</f>
        <v>-6.5850000000000009</v>
      </c>
      <c r="D142" s="433">
        <f>IFERROR(VLOOKUP(HLOOKUP(Stn_WL,Tools!$AD$2:$AD$27,QUOTIENT(ROW()-2,Max_WL_count)+2,FALSE),Tools!$AD$3:$BC$27,MOD(ROW()-2,Max_WL_count)+2,FALSE),"")</f>
        <v>12.25</v>
      </c>
      <c r="E142" s="431">
        <f>IFERROR(IF(ISNUMBER(D142),HLOOKUP(Tools!$BE$2,Tools!$BE$2:$BE$27,MOD(ROW()-2,Max_WL_count)+2,FALSE)*WLS,""),"")</f>
        <v>10.1</v>
      </c>
      <c r="I142" s="427">
        <f t="shared" si="17"/>
        <v>141</v>
      </c>
      <c r="J142" s="430">
        <f t="shared" si="13"/>
        <v>11</v>
      </c>
      <c r="K142" s="433">
        <f>IFERROR(-LBP/2+HLOOKUP(Stn_WL,Tools!$AD$2:$AD$27,N142+2,FALSE)*STN_GAP,"")</f>
        <v>-13.170000000000002</v>
      </c>
      <c r="L142" s="433">
        <f>IFERROR(IF(AND(ISNUMBER(K142),O142=0),0,VLOOKUP(HLOOKUP(Stn_WL,Tools!$AD$2:$AD$27,N142+2,FALSE),Tools!$AD$3:$BC$27,O142+1,FALSE)),"")</f>
        <v>12.25</v>
      </c>
      <c r="M142" s="433">
        <f>IFERROR(IF(ISNUMBER(L142),IF(O142=0,IFERROR(HLOOKUP(Tools!$BD$127,Tools!$BD$127:$BD$152,N142+2,FALSE)*1,0),HLOOKUP(Tools!$BE$2,Tools!$BE$2:$BE$27,O142+1,FALSE)*WLS),""),"")</f>
        <v>10.8</v>
      </c>
      <c r="N142">
        <f t="shared" si="14"/>
        <v>10</v>
      </c>
      <c r="O142">
        <f t="shared" si="15"/>
        <v>10</v>
      </c>
    </row>
    <row r="143" spans="1:15" x14ac:dyDescent="0.25">
      <c r="A143" s="427">
        <f t="shared" si="16"/>
        <v>142</v>
      </c>
      <c r="B143" s="430">
        <f t="shared" si="12"/>
        <v>12</v>
      </c>
      <c r="C143" s="433">
        <f>IFERROR(-LBP/2+HLOOKUP(Stn_WL,Tools!$AD$2:$AD$27,QUOTIENT(ROW()-2,Max_WL_count)+2,FALSE)*STN_GAP,"")</f>
        <v>-6.5850000000000009</v>
      </c>
      <c r="D143" s="433">
        <f>IFERROR(VLOOKUP(HLOOKUP(Stn_WL,Tools!$AD$2:$AD$27,QUOTIENT(ROW()-2,Max_WL_count)+2,FALSE),Tools!$AD$3:$BC$27,MOD(ROW()-2,Max_WL_count)+2,FALSE),"")</f>
        <v>12.25</v>
      </c>
      <c r="E143" s="431">
        <f>IFERROR(IF(ISNUMBER(D143),HLOOKUP(Tools!$BE$2,Tools!$BE$2:$BE$27,MOD(ROW()-2,Max_WL_count)+2,FALSE)*WLS,""),"")</f>
        <v>10.8</v>
      </c>
      <c r="I143" s="427">
        <f t="shared" si="17"/>
        <v>142</v>
      </c>
      <c r="J143" s="430">
        <f t="shared" si="13"/>
        <v>11</v>
      </c>
      <c r="K143" s="433">
        <f>IFERROR(-LBP/2+HLOOKUP(Stn_WL,Tools!$AD$2:$AD$27,N143+2,FALSE)*STN_GAP,"")</f>
        <v>-13.170000000000002</v>
      </c>
      <c r="L143" s="433">
        <f>IFERROR(IF(AND(ISNUMBER(K143),O143=0),0,VLOOKUP(HLOOKUP(Stn_WL,Tools!$AD$2:$AD$27,N143+2,FALSE),Tools!$AD$3:$BC$27,O143+1,FALSE)),"")</f>
        <v>12.25</v>
      </c>
      <c r="M143" s="433">
        <f>IFERROR(IF(ISNUMBER(L143),IF(O143=0,IFERROR(HLOOKUP(Tools!$BD$127,Tools!$BD$127:$BD$152,N143+2,FALSE)*1,0),HLOOKUP(Tools!$BE$2,Tools!$BE$2:$BE$27,O143+1,FALSE)*WLS),""),"")</f>
        <v>12.6</v>
      </c>
      <c r="N143">
        <f t="shared" si="14"/>
        <v>10</v>
      </c>
      <c r="O143">
        <f t="shared" si="15"/>
        <v>11</v>
      </c>
    </row>
    <row r="144" spans="1:15" x14ac:dyDescent="0.25">
      <c r="A144" s="427">
        <f t="shared" si="16"/>
        <v>143</v>
      </c>
      <c r="B144" s="430">
        <f t="shared" si="12"/>
        <v>12</v>
      </c>
      <c r="C144" s="433">
        <f>IFERROR(-LBP/2+HLOOKUP(Stn_WL,Tools!$AD$2:$AD$27,QUOTIENT(ROW()-2,Max_WL_count)+2,FALSE)*STN_GAP,"")</f>
        <v>-6.5850000000000009</v>
      </c>
      <c r="D144" s="433">
        <f>IFERROR(VLOOKUP(HLOOKUP(Stn_WL,Tools!$AD$2:$AD$27,QUOTIENT(ROW()-2,Max_WL_count)+2,FALSE),Tools!$AD$3:$BC$27,MOD(ROW()-2,Max_WL_count)+2,FALSE),"")</f>
        <v>12.25</v>
      </c>
      <c r="E144" s="431">
        <f>IFERROR(IF(ISNUMBER(D144),HLOOKUP(Tools!$BE$2,Tools!$BE$2:$BE$27,MOD(ROW()-2,Max_WL_count)+2,FALSE)*WLS,""),"")</f>
        <v>12.6</v>
      </c>
      <c r="I144" s="427">
        <f t="shared" si="17"/>
        <v>143</v>
      </c>
      <c r="J144" s="430">
        <f t="shared" si="13"/>
        <v>11</v>
      </c>
      <c r="K144" s="433">
        <f>IFERROR(-LBP/2+HLOOKUP(Stn_WL,Tools!$AD$2:$AD$27,N144+2,FALSE)*STN_GAP,"")</f>
        <v>-13.170000000000002</v>
      </c>
      <c r="L144" s="433">
        <f>IFERROR(IF(AND(ISNUMBER(K144),O144=0),0,VLOOKUP(HLOOKUP(Stn_WL,Tools!$AD$2:$AD$27,N144+2,FALSE),Tools!$AD$3:$BC$27,O144+1,FALSE)),"")</f>
        <v>12.25</v>
      </c>
      <c r="M144" s="433">
        <f>IFERROR(IF(ISNUMBER(L144),IF(O144=0,IFERROR(HLOOKUP(Tools!$BD$127,Tools!$BD$127:$BD$152,N144+2,FALSE)*1,0),HLOOKUP(Tools!$BE$2,Tools!$BE$2:$BE$27,O144+1,FALSE)*WLS),""),"")</f>
        <v>14.19</v>
      </c>
      <c r="N144">
        <f t="shared" si="14"/>
        <v>10</v>
      </c>
      <c r="O144">
        <f t="shared" si="15"/>
        <v>12</v>
      </c>
    </row>
    <row r="145" spans="1:15" x14ac:dyDescent="0.25">
      <c r="A145" s="427">
        <f t="shared" si="16"/>
        <v>144</v>
      </c>
      <c r="B145" s="430">
        <f t="shared" si="12"/>
        <v>12</v>
      </c>
      <c r="C145" s="433">
        <f>IFERROR(-LBP/2+HLOOKUP(Stn_WL,Tools!$AD$2:$AD$27,QUOTIENT(ROW()-2,Max_WL_count)+2,FALSE)*STN_GAP,"")</f>
        <v>-6.5850000000000009</v>
      </c>
      <c r="D145" s="433">
        <f>IFERROR(VLOOKUP(HLOOKUP(Stn_WL,Tools!$AD$2:$AD$27,QUOTIENT(ROW()-2,Max_WL_count)+2,FALSE),Tools!$AD$3:$BC$27,MOD(ROW()-2,Max_WL_count)+2,FALSE),"")</f>
        <v>12.25</v>
      </c>
      <c r="E145" s="431">
        <f>IFERROR(IF(ISNUMBER(D145),HLOOKUP(Tools!$BE$2,Tools!$BE$2:$BE$27,MOD(ROW()-2,Max_WL_count)+2,FALSE)*WLS,""),"")</f>
        <v>14.19</v>
      </c>
      <c r="I145" s="427">
        <f t="shared" si="17"/>
        <v>144</v>
      </c>
      <c r="J145" s="430">
        <f t="shared" si="13"/>
        <v>12</v>
      </c>
      <c r="K145" s="433">
        <f>IFERROR(-LBP/2+HLOOKUP(Stn_WL,Tools!$AD$2:$AD$27,N145+2,FALSE)*STN_GAP,"")</f>
        <v>-6.5850000000000009</v>
      </c>
      <c r="L145" s="433">
        <f>IFERROR(IF(AND(ISNUMBER(K145),O145=0),0,VLOOKUP(HLOOKUP(Stn_WL,Tools!$AD$2:$AD$27,N145+2,FALSE),Tools!$AD$3:$BC$27,O145+1,FALSE)),"")</f>
        <v>0</v>
      </c>
      <c r="M145" s="433">
        <f>IFERROR(IF(ISNUMBER(L145),IF(O145=0,IFERROR(HLOOKUP(Tools!$BD$127,Tools!$BD$127:$BD$152,N145+2,FALSE)*1,0),HLOOKUP(Tools!$BE$2,Tools!$BE$2:$BE$27,O145+1,FALSE)*WLS),""),"")</f>
        <v>0</v>
      </c>
      <c r="N145">
        <f t="shared" si="14"/>
        <v>11</v>
      </c>
      <c r="O145">
        <f t="shared" si="15"/>
        <v>0</v>
      </c>
    </row>
    <row r="146" spans="1:15" x14ac:dyDescent="0.25">
      <c r="A146" s="427">
        <f t="shared" si="16"/>
        <v>145</v>
      </c>
      <c r="B146" s="430">
        <f t="shared" si="12"/>
        <v>13</v>
      </c>
      <c r="C146" s="433">
        <f>IFERROR(-LBP/2+HLOOKUP(Stn_WL,Tools!$AD$2:$AD$27,QUOTIENT(ROW()-2,Max_WL_count)+2,FALSE)*STN_GAP,"")</f>
        <v>0</v>
      </c>
      <c r="D146" s="433">
        <f>IFERROR(VLOOKUP(HLOOKUP(Stn_WL,Tools!$AD$2:$AD$27,QUOTIENT(ROW()-2,Max_WL_count)+2,FALSE),Tools!$AD$3:$BC$27,MOD(ROW()-2,Max_WL_count)+2,FALSE),"")</f>
        <v>8.25</v>
      </c>
      <c r="E146" s="431">
        <f>IFERROR(IF(ISNUMBER(D146),HLOOKUP(Tools!$BE$2,Tools!$BE$2:$BE$27,MOD(ROW()-2,Max_WL_count)+2,FALSE)*WLS,""),"")</f>
        <v>0</v>
      </c>
      <c r="I146" s="427">
        <f t="shared" si="17"/>
        <v>145</v>
      </c>
      <c r="J146" s="430">
        <f t="shared" si="13"/>
        <v>12</v>
      </c>
      <c r="K146" s="433">
        <f>IFERROR(-LBP/2+HLOOKUP(Stn_WL,Tools!$AD$2:$AD$27,N146+2,FALSE)*STN_GAP,"")</f>
        <v>-6.5850000000000009</v>
      </c>
      <c r="L146" s="433">
        <f>IFERROR(IF(AND(ISNUMBER(K146),O146=0),0,VLOOKUP(HLOOKUP(Stn_WL,Tools!$AD$2:$AD$27,N146+2,FALSE),Tools!$AD$3:$BC$27,O146+1,FALSE)),"")</f>
        <v>7.2</v>
      </c>
      <c r="M146" s="433">
        <f>IFERROR(IF(ISNUMBER(L146),IF(O146=0,IFERROR(HLOOKUP(Tools!$BD$127,Tools!$BD$127:$BD$152,N146+2,FALSE)*1,0),HLOOKUP(Tools!$BE$2,Tools!$BE$2:$BE$27,O146+1,FALSE)*WLS),""),"")</f>
        <v>0</v>
      </c>
      <c r="N146">
        <f t="shared" si="14"/>
        <v>11</v>
      </c>
      <c r="O146">
        <f t="shared" si="15"/>
        <v>1</v>
      </c>
    </row>
    <row r="147" spans="1:15" x14ac:dyDescent="0.25">
      <c r="A147" s="427">
        <f t="shared" si="16"/>
        <v>146</v>
      </c>
      <c r="B147" s="430">
        <f t="shared" si="12"/>
        <v>13</v>
      </c>
      <c r="C147" s="433">
        <f>IFERROR(-LBP/2+HLOOKUP(Stn_WL,Tools!$AD$2:$AD$27,QUOTIENT(ROW()-2,Max_WL_count)+2,FALSE)*STN_GAP,"")</f>
        <v>0</v>
      </c>
      <c r="D147" s="433">
        <f>IFERROR(VLOOKUP(HLOOKUP(Stn_WL,Tools!$AD$2:$AD$27,QUOTIENT(ROW()-2,Max_WL_count)+2,FALSE),Tools!$AD$3:$BC$27,MOD(ROW()-2,Max_WL_count)+2,FALSE),"")</f>
        <v>10.84</v>
      </c>
      <c r="E147" s="431">
        <f>IFERROR(IF(ISNUMBER(D147),HLOOKUP(Tools!$BE$2,Tools!$BE$2:$BE$27,MOD(ROW()-2,Max_WL_count)+2,FALSE)*WLS,""),"")</f>
        <v>0.9</v>
      </c>
      <c r="I147" s="427">
        <f t="shared" si="17"/>
        <v>146</v>
      </c>
      <c r="J147" s="430">
        <f t="shared" si="13"/>
        <v>12</v>
      </c>
      <c r="K147" s="433">
        <f>IFERROR(-LBP/2+HLOOKUP(Stn_WL,Tools!$AD$2:$AD$27,N147+2,FALSE)*STN_GAP,"")</f>
        <v>-6.5850000000000009</v>
      </c>
      <c r="L147" s="433">
        <f>IFERROR(IF(AND(ISNUMBER(K147),O147=0),0,VLOOKUP(HLOOKUP(Stn_WL,Tools!$AD$2:$AD$27,N147+2,FALSE),Tools!$AD$3:$BC$27,O147+1,FALSE)),"")</f>
        <v>10.78</v>
      </c>
      <c r="M147" s="433">
        <f>IFERROR(IF(ISNUMBER(L147),IF(O147=0,IFERROR(HLOOKUP(Tools!$BD$127,Tools!$BD$127:$BD$152,N147+2,FALSE)*1,0),HLOOKUP(Tools!$BE$2,Tools!$BE$2:$BE$27,O147+1,FALSE)*WLS),""),"")</f>
        <v>0.9</v>
      </c>
      <c r="N147">
        <f t="shared" si="14"/>
        <v>11</v>
      </c>
      <c r="O147">
        <f t="shared" si="15"/>
        <v>2</v>
      </c>
    </row>
    <row r="148" spans="1:15" x14ac:dyDescent="0.25">
      <c r="A148" s="427">
        <f t="shared" si="16"/>
        <v>147</v>
      </c>
      <c r="B148" s="430">
        <f t="shared" si="12"/>
        <v>13</v>
      </c>
      <c r="C148" s="433">
        <f>IFERROR(-LBP/2+HLOOKUP(Stn_WL,Tools!$AD$2:$AD$27,QUOTIENT(ROW()-2,Max_WL_count)+2,FALSE)*STN_GAP,"")</f>
        <v>0</v>
      </c>
      <c r="D148" s="433">
        <f>IFERROR(VLOOKUP(HLOOKUP(Stn_WL,Tools!$AD$2:$AD$27,QUOTIENT(ROW()-2,Max_WL_count)+2,FALSE),Tools!$AD$3:$BC$27,MOD(ROW()-2,Max_WL_count)+2,FALSE),"")</f>
        <v>11.76</v>
      </c>
      <c r="E148" s="431">
        <f>IFERROR(IF(ISNUMBER(D148),HLOOKUP(Tools!$BE$2,Tools!$BE$2:$BE$27,MOD(ROW()-2,Max_WL_count)+2,FALSE)*WLS,""),"")</f>
        <v>1.8</v>
      </c>
      <c r="I148" s="427">
        <f t="shared" si="17"/>
        <v>147</v>
      </c>
      <c r="J148" s="430">
        <f t="shared" si="13"/>
        <v>12</v>
      </c>
      <c r="K148" s="433">
        <f>IFERROR(-LBP/2+HLOOKUP(Stn_WL,Tools!$AD$2:$AD$27,N148+2,FALSE)*STN_GAP,"")</f>
        <v>-6.5850000000000009</v>
      </c>
      <c r="L148" s="433">
        <f>IFERROR(IF(AND(ISNUMBER(K148),O148=0),0,VLOOKUP(HLOOKUP(Stn_WL,Tools!$AD$2:$AD$27,N148+2,FALSE),Tools!$AD$3:$BC$27,O148+1,FALSE)),"")</f>
        <v>11.72</v>
      </c>
      <c r="M148" s="433">
        <f>IFERROR(IF(ISNUMBER(L148),IF(O148=0,IFERROR(HLOOKUP(Tools!$BD$127,Tools!$BD$127:$BD$152,N148+2,FALSE)*1,0),HLOOKUP(Tools!$BE$2,Tools!$BE$2:$BE$27,O148+1,FALSE)*WLS),""),"")</f>
        <v>1.8</v>
      </c>
      <c r="N148">
        <f t="shared" si="14"/>
        <v>11</v>
      </c>
      <c r="O148">
        <f t="shared" si="15"/>
        <v>3</v>
      </c>
    </row>
    <row r="149" spans="1:15" x14ac:dyDescent="0.25">
      <c r="A149" s="427">
        <f t="shared" si="16"/>
        <v>148</v>
      </c>
      <c r="B149" s="430">
        <f t="shared" si="12"/>
        <v>13</v>
      </c>
      <c r="C149" s="433">
        <f>IFERROR(-LBP/2+HLOOKUP(Stn_WL,Tools!$AD$2:$AD$27,QUOTIENT(ROW()-2,Max_WL_count)+2,FALSE)*STN_GAP,"")</f>
        <v>0</v>
      </c>
      <c r="D149" s="433">
        <f>IFERROR(VLOOKUP(HLOOKUP(Stn_WL,Tools!$AD$2:$AD$27,QUOTIENT(ROW()-2,Max_WL_count)+2,FALSE),Tools!$AD$3:$BC$27,MOD(ROW()-2,Max_WL_count)+2,FALSE),"")</f>
        <v>12.14</v>
      </c>
      <c r="E149" s="431">
        <f>IFERROR(IF(ISNUMBER(D149),HLOOKUP(Tools!$BE$2,Tools!$BE$2:$BE$27,MOD(ROW()-2,Max_WL_count)+2,FALSE)*WLS,""),"")</f>
        <v>2.7</v>
      </c>
      <c r="I149" s="427">
        <f t="shared" si="17"/>
        <v>148</v>
      </c>
      <c r="J149" s="430">
        <f t="shared" si="13"/>
        <v>12</v>
      </c>
      <c r="K149" s="433">
        <f>IFERROR(-LBP/2+HLOOKUP(Stn_WL,Tools!$AD$2:$AD$27,N149+2,FALSE)*STN_GAP,"")</f>
        <v>-6.5850000000000009</v>
      </c>
      <c r="L149" s="433">
        <f>IFERROR(IF(AND(ISNUMBER(K149),O149=0),0,VLOOKUP(HLOOKUP(Stn_WL,Tools!$AD$2:$AD$27,N149+2,FALSE),Tools!$AD$3:$BC$27,O149+1,FALSE)),"")</f>
        <v>12.12</v>
      </c>
      <c r="M149" s="433">
        <f>IFERROR(IF(ISNUMBER(L149),IF(O149=0,IFERROR(HLOOKUP(Tools!$BD$127,Tools!$BD$127:$BD$152,N149+2,FALSE)*1,0),HLOOKUP(Tools!$BE$2,Tools!$BE$2:$BE$27,O149+1,FALSE)*WLS),""),"")</f>
        <v>2.7</v>
      </c>
      <c r="N149">
        <f t="shared" si="14"/>
        <v>11</v>
      </c>
      <c r="O149">
        <f t="shared" si="15"/>
        <v>4</v>
      </c>
    </row>
    <row r="150" spans="1:15" x14ac:dyDescent="0.25">
      <c r="A150" s="427">
        <f t="shared" si="16"/>
        <v>149</v>
      </c>
      <c r="B150" s="430">
        <f t="shared" si="12"/>
        <v>13</v>
      </c>
      <c r="C150" s="433">
        <f>IFERROR(-LBP/2+HLOOKUP(Stn_WL,Tools!$AD$2:$AD$27,QUOTIENT(ROW()-2,Max_WL_count)+2,FALSE)*STN_GAP,"")</f>
        <v>0</v>
      </c>
      <c r="D150" s="433">
        <f>IFERROR(VLOOKUP(HLOOKUP(Stn_WL,Tools!$AD$2:$AD$27,QUOTIENT(ROW()-2,Max_WL_count)+2,FALSE),Tools!$AD$3:$BC$27,MOD(ROW()-2,Max_WL_count)+2,FALSE),"")</f>
        <v>12.25</v>
      </c>
      <c r="E150" s="431">
        <f>IFERROR(IF(ISNUMBER(D150),HLOOKUP(Tools!$BE$2,Tools!$BE$2:$BE$27,MOD(ROW()-2,Max_WL_count)+2,FALSE)*WLS,""),"")</f>
        <v>3.6</v>
      </c>
      <c r="I150" s="427">
        <f t="shared" si="17"/>
        <v>149</v>
      </c>
      <c r="J150" s="430">
        <f t="shared" si="13"/>
        <v>12</v>
      </c>
      <c r="K150" s="433">
        <f>IFERROR(-LBP/2+HLOOKUP(Stn_WL,Tools!$AD$2:$AD$27,N150+2,FALSE)*STN_GAP,"")</f>
        <v>-6.5850000000000009</v>
      </c>
      <c r="L150" s="433">
        <f>IFERROR(IF(AND(ISNUMBER(K150),O150=0),0,VLOOKUP(HLOOKUP(Stn_WL,Tools!$AD$2:$AD$27,N150+2,FALSE),Tools!$AD$3:$BC$27,O150+1,FALSE)),"")</f>
        <v>12.25</v>
      </c>
      <c r="M150" s="433">
        <f>IFERROR(IF(ISNUMBER(L150),IF(O150=0,IFERROR(HLOOKUP(Tools!$BD$127,Tools!$BD$127:$BD$152,N150+2,FALSE)*1,0),HLOOKUP(Tools!$BE$2,Tools!$BE$2:$BE$27,O150+1,FALSE)*WLS),""),"")</f>
        <v>3.6</v>
      </c>
      <c r="N150">
        <f t="shared" si="14"/>
        <v>11</v>
      </c>
      <c r="O150">
        <f t="shared" si="15"/>
        <v>5</v>
      </c>
    </row>
    <row r="151" spans="1:15" x14ac:dyDescent="0.25">
      <c r="A151" s="427">
        <f t="shared" si="16"/>
        <v>150</v>
      </c>
      <c r="B151" s="430">
        <f t="shared" si="12"/>
        <v>13</v>
      </c>
      <c r="C151" s="433">
        <f>IFERROR(-LBP/2+HLOOKUP(Stn_WL,Tools!$AD$2:$AD$27,QUOTIENT(ROW()-2,Max_WL_count)+2,FALSE)*STN_GAP,"")</f>
        <v>0</v>
      </c>
      <c r="D151" s="433">
        <f>IFERROR(VLOOKUP(HLOOKUP(Stn_WL,Tools!$AD$2:$AD$27,QUOTIENT(ROW()-2,Max_WL_count)+2,FALSE),Tools!$AD$3:$BC$27,MOD(ROW()-2,Max_WL_count)+2,FALSE),"")</f>
        <v>12.25</v>
      </c>
      <c r="E151" s="431">
        <f>IFERROR(IF(ISNUMBER(D151),HLOOKUP(Tools!$BE$2,Tools!$BE$2:$BE$27,MOD(ROW()-2,Max_WL_count)+2,FALSE)*WLS,""),"")</f>
        <v>5.4</v>
      </c>
      <c r="I151" s="427">
        <f t="shared" si="17"/>
        <v>150</v>
      </c>
      <c r="J151" s="430">
        <f t="shared" si="13"/>
        <v>12</v>
      </c>
      <c r="K151" s="433">
        <f>IFERROR(-LBP/2+HLOOKUP(Stn_WL,Tools!$AD$2:$AD$27,N151+2,FALSE)*STN_GAP,"")</f>
        <v>-6.5850000000000009</v>
      </c>
      <c r="L151" s="433">
        <f>IFERROR(IF(AND(ISNUMBER(K151),O151=0),0,VLOOKUP(HLOOKUP(Stn_WL,Tools!$AD$2:$AD$27,N151+2,FALSE),Tools!$AD$3:$BC$27,O151+1,FALSE)),"")</f>
        <v>12.25</v>
      </c>
      <c r="M151" s="433">
        <f>IFERROR(IF(ISNUMBER(L151),IF(O151=0,IFERROR(HLOOKUP(Tools!$BD$127,Tools!$BD$127:$BD$152,N151+2,FALSE)*1,0),HLOOKUP(Tools!$BE$2,Tools!$BE$2:$BE$27,O151+1,FALSE)*WLS),""),"")</f>
        <v>5.4</v>
      </c>
      <c r="N151">
        <f t="shared" si="14"/>
        <v>11</v>
      </c>
      <c r="O151">
        <f t="shared" si="15"/>
        <v>6</v>
      </c>
    </row>
    <row r="152" spans="1:15" x14ac:dyDescent="0.25">
      <c r="A152" s="427">
        <f t="shared" si="16"/>
        <v>151</v>
      </c>
      <c r="B152" s="430">
        <f t="shared" si="12"/>
        <v>13</v>
      </c>
      <c r="C152" s="433">
        <f>IFERROR(-LBP/2+HLOOKUP(Stn_WL,Tools!$AD$2:$AD$27,QUOTIENT(ROW()-2,Max_WL_count)+2,FALSE)*STN_GAP,"")</f>
        <v>0</v>
      </c>
      <c r="D152" s="433">
        <f>IFERROR(VLOOKUP(HLOOKUP(Stn_WL,Tools!$AD$2:$AD$27,QUOTIENT(ROW()-2,Max_WL_count)+2,FALSE),Tools!$AD$3:$BC$27,MOD(ROW()-2,Max_WL_count)+2,FALSE),"")</f>
        <v>12.25</v>
      </c>
      <c r="E152" s="431">
        <f>IFERROR(IF(ISNUMBER(D152),HLOOKUP(Tools!$BE$2,Tools!$BE$2:$BE$27,MOD(ROW()-2,Max_WL_count)+2,FALSE)*WLS,""),"")</f>
        <v>7.2</v>
      </c>
      <c r="I152" s="427">
        <f t="shared" si="17"/>
        <v>151</v>
      </c>
      <c r="J152" s="430">
        <f t="shared" si="13"/>
        <v>12</v>
      </c>
      <c r="K152" s="433">
        <f>IFERROR(-LBP/2+HLOOKUP(Stn_WL,Tools!$AD$2:$AD$27,N152+2,FALSE)*STN_GAP,"")</f>
        <v>-6.5850000000000009</v>
      </c>
      <c r="L152" s="433">
        <f>IFERROR(IF(AND(ISNUMBER(K152),O152=0),0,VLOOKUP(HLOOKUP(Stn_WL,Tools!$AD$2:$AD$27,N152+2,FALSE),Tools!$AD$3:$BC$27,O152+1,FALSE)),"")</f>
        <v>12.25</v>
      </c>
      <c r="M152" s="433">
        <f>IFERROR(IF(ISNUMBER(L152),IF(O152=0,IFERROR(HLOOKUP(Tools!$BD$127,Tools!$BD$127:$BD$152,N152+2,FALSE)*1,0),HLOOKUP(Tools!$BE$2,Tools!$BE$2:$BE$27,O152+1,FALSE)*WLS),""),"")</f>
        <v>7.2</v>
      </c>
      <c r="N152">
        <f t="shared" si="14"/>
        <v>11</v>
      </c>
      <c r="O152">
        <f t="shared" si="15"/>
        <v>7</v>
      </c>
    </row>
    <row r="153" spans="1:15" x14ac:dyDescent="0.25">
      <c r="A153" s="427">
        <f t="shared" si="16"/>
        <v>152</v>
      </c>
      <c r="B153" s="430">
        <f t="shared" si="12"/>
        <v>13</v>
      </c>
      <c r="C153" s="433">
        <f>IFERROR(-LBP/2+HLOOKUP(Stn_WL,Tools!$AD$2:$AD$27,QUOTIENT(ROW()-2,Max_WL_count)+2,FALSE)*STN_GAP,"")</f>
        <v>0</v>
      </c>
      <c r="D153" s="433">
        <f>IFERROR(VLOOKUP(HLOOKUP(Stn_WL,Tools!$AD$2:$AD$27,QUOTIENT(ROW()-2,Max_WL_count)+2,FALSE),Tools!$AD$3:$BC$27,MOD(ROW()-2,Max_WL_count)+2,FALSE),"")</f>
        <v>12.25</v>
      </c>
      <c r="E153" s="431">
        <f>IFERROR(IF(ISNUMBER(D153),HLOOKUP(Tools!$BE$2,Tools!$BE$2:$BE$27,MOD(ROW()-2,Max_WL_count)+2,FALSE)*WLS,""),"")</f>
        <v>9</v>
      </c>
      <c r="I153" s="427">
        <f t="shared" si="17"/>
        <v>152</v>
      </c>
      <c r="J153" s="430">
        <f t="shared" si="13"/>
        <v>12</v>
      </c>
      <c r="K153" s="433">
        <f>IFERROR(-LBP/2+HLOOKUP(Stn_WL,Tools!$AD$2:$AD$27,N153+2,FALSE)*STN_GAP,"")</f>
        <v>-6.5850000000000009</v>
      </c>
      <c r="L153" s="433">
        <f>IFERROR(IF(AND(ISNUMBER(K153),O153=0),0,VLOOKUP(HLOOKUP(Stn_WL,Tools!$AD$2:$AD$27,N153+2,FALSE),Tools!$AD$3:$BC$27,O153+1,FALSE)),"")</f>
        <v>12.25</v>
      </c>
      <c r="M153" s="433">
        <f>IFERROR(IF(ISNUMBER(L153),IF(O153=0,IFERROR(HLOOKUP(Tools!$BD$127,Tools!$BD$127:$BD$152,N153+2,FALSE)*1,0),HLOOKUP(Tools!$BE$2,Tools!$BE$2:$BE$27,O153+1,FALSE)*WLS),""),"")</f>
        <v>9</v>
      </c>
      <c r="N153">
        <f t="shared" si="14"/>
        <v>11</v>
      </c>
      <c r="O153">
        <f t="shared" si="15"/>
        <v>8</v>
      </c>
    </row>
    <row r="154" spans="1:15" x14ac:dyDescent="0.25">
      <c r="A154" s="427">
        <f t="shared" si="16"/>
        <v>153</v>
      </c>
      <c r="B154" s="430">
        <f t="shared" si="12"/>
        <v>13</v>
      </c>
      <c r="C154" s="433">
        <f>IFERROR(-LBP/2+HLOOKUP(Stn_WL,Tools!$AD$2:$AD$27,QUOTIENT(ROW()-2,Max_WL_count)+2,FALSE)*STN_GAP,"")</f>
        <v>0</v>
      </c>
      <c r="D154" s="433">
        <f>IFERROR(VLOOKUP(HLOOKUP(Stn_WL,Tools!$AD$2:$AD$27,QUOTIENT(ROW()-2,Max_WL_count)+2,FALSE),Tools!$AD$3:$BC$27,MOD(ROW()-2,Max_WL_count)+2,FALSE),"")</f>
        <v>12.25</v>
      </c>
      <c r="E154" s="431">
        <f>IFERROR(IF(ISNUMBER(D154),HLOOKUP(Tools!$BE$2,Tools!$BE$2:$BE$27,MOD(ROW()-2,Max_WL_count)+2,FALSE)*WLS,""),"")</f>
        <v>10.1</v>
      </c>
      <c r="I154" s="427">
        <f t="shared" si="17"/>
        <v>153</v>
      </c>
      <c r="J154" s="430">
        <f t="shared" si="13"/>
        <v>12</v>
      </c>
      <c r="K154" s="433">
        <f>IFERROR(-LBP/2+HLOOKUP(Stn_WL,Tools!$AD$2:$AD$27,N154+2,FALSE)*STN_GAP,"")</f>
        <v>-6.5850000000000009</v>
      </c>
      <c r="L154" s="433">
        <f>IFERROR(IF(AND(ISNUMBER(K154),O154=0),0,VLOOKUP(HLOOKUP(Stn_WL,Tools!$AD$2:$AD$27,N154+2,FALSE),Tools!$AD$3:$BC$27,O154+1,FALSE)),"")</f>
        <v>12.25</v>
      </c>
      <c r="M154" s="433">
        <f>IFERROR(IF(ISNUMBER(L154),IF(O154=0,IFERROR(HLOOKUP(Tools!$BD$127,Tools!$BD$127:$BD$152,N154+2,FALSE)*1,0),HLOOKUP(Tools!$BE$2,Tools!$BE$2:$BE$27,O154+1,FALSE)*WLS),""),"")</f>
        <v>10.1</v>
      </c>
      <c r="N154">
        <f t="shared" si="14"/>
        <v>11</v>
      </c>
      <c r="O154">
        <f t="shared" si="15"/>
        <v>9</v>
      </c>
    </row>
    <row r="155" spans="1:15" x14ac:dyDescent="0.25">
      <c r="A155" s="427">
        <f t="shared" si="16"/>
        <v>154</v>
      </c>
      <c r="B155" s="430">
        <f t="shared" si="12"/>
        <v>13</v>
      </c>
      <c r="C155" s="433">
        <f>IFERROR(-LBP/2+HLOOKUP(Stn_WL,Tools!$AD$2:$AD$27,QUOTIENT(ROW()-2,Max_WL_count)+2,FALSE)*STN_GAP,"")</f>
        <v>0</v>
      </c>
      <c r="D155" s="433">
        <f>IFERROR(VLOOKUP(HLOOKUP(Stn_WL,Tools!$AD$2:$AD$27,QUOTIENT(ROW()-2,Max_WL_count)+2,FALSE),Tools!$AD$3:$BC$27,MOD(ROW()-2,Max_WL_count)+2,FALSE),"")</f>
        <v>12.25</v>
      </c>
      <c r="E155" s="431">
        <f>IFERROR(IF(ISNUMBER(D155),HLOOKUP(Tools!$BE$2,Tools!$BE$2:$BE$27,MOD(ROW()-2,Max_WL_count)+2,FALSE)*WLS,""),"")</f>
        <v>10.8</v>
      </c>
      <c r="I155" s="427">
        <f t="shared" si="17"/>
        <v>154</v>
      </c>
      <c r="J155" s="430">
        <f t="shared" si="13"/>
        <v>12</v>
      </c>
      <c r="K155" s="433">
        <f>IFERROR(-LBP/2+HLOOKUP(Stn_WL,Tools!$AD$2:$AD$27,N155+2,FALSE)*STN_GAP,"")</f>
        <v>-6.5850000000000009</v>
      </c>
      <c r="L155" s="433">
        <f>IFERROR(IF(AND(ISNUMBER(K155),O155=0),0,VLOOKUP(HLOOKUP(Stn_WL,Tools!$AD$2:$AD$27,N155+2,FALSE),Tools!$AD$3:$BC$27,O155+1,FALSE)),"")</f>
        <v>12.25</v>
      </c>
      <c r="M155" s="433">
        <f>IFERROR(IF(ISNUMBER(L155),IF(O155=0,IFERROR(HLOOKUP(Tools!$BD$127,Tools!$BD$127:$BD$152,N155+2,FALSE)*1,0),HLOOKUP(Tools!$BE$2,Tools!$BE$2:$BE$27,O155+1,FALSE)*WLS),""),"")</f>
        <v>10.8</v>
      </c>
      <c r="N155">
        <f t="shared" si="14"/>
        <v>11</v>
      </c>
      <c r="O155">
        <f t="shared" si="15"/>
        <v>10</v>
      </c>
    </row>
    <row r="156" spans="1:15" x14ac:dyDescent="0.25">
      <c r="A156" s="427">
        <f t="shared" si="16"/>
        <v>155</v>
      </c>
      <c r="B156" s="430">
        <f t="shared" si="12"/>
        <v>13</v>
      </c>
      <c r="C156" s="433">
        <f>IFERROR(-LBP/2+HLOOKUP(Stn_WL,Tools!$AD$2:$AD$27,QUOTIENT(ROW()-2,Max_WL_count)+2,FALSE)*STN_GAP,"")</f>
        <v>0</v>
      </c>
      <c r="D156" s="433">
        <f>IFERROR(VLOOKUP(HLOOKUP(Stn_WL,Tools!$AD$2:$AD$27,QUOTIENT(ROW()-2,Max_WL_count)+2,FALSE),Tools!$AD$3:$BC$27,MOD(ROW()-2,Max_WL_count)+2,FALSE),"")</f>
        <v>12.25</v>
      </c>
      <c r="E156" s="431">
        <f>IFERROR(IF(ISNUMBER(D156),HLOOKUP(Tools!$BE$2,Tools!$BE$2:$BE$27,MOD(ROW()-2,Max_WL_count)+2,FALSE)*WLS,""),"")</f>
        <v>12.6</v>
      </c>
      <c r="I156" s="427">
        <f t="shared" si="17"/>
        <v>155</v>
      </c>
      <c r="J156" s="430">
        <f t="shared" si="13"/>
        <v>12</v>
      </c>
      <c r="K156" s="433">
        <f>IFERROR(-LBP/2+HLOOKUP(Stn_WL,Tools!$AD$2:$AD$27,N156+2,FALSE)*STN_GAP,"")</f>
        <v>-6.5850000000000009</v>
      </c>
      <c r="L156" s="433">
        <f>IFERROR(IF(AND(ISNUMBER(K156),O156=0),0,VLOOKUP(HLOOKUP(Stn_WL,Tools!$AD$2:$AD$27,N156+2,FALSE),Tools!$AD$3:$BC$27,O156+1,FALSE)),"")</f>
        <v>12.25</v>
      </c>
      <c r="M156" s="433">
        <f>IFERROR(IF(ISNUMBER(L156),IF(O156=0,IFERROR(HLOOKUP(Tools!$BD$127,Tools!$BD$127:$BD$152,N156+2,FALSE)*1,0),HLOOKUP(Tools!$BE$2,Tools!$BE$2:$BE$27,O156+1,FALSE)*WLS),""),"")</f>
        <v>12.6</v>
      </c>
      <c r="N156">
        <f t="shared" si="14"/>
        <v>11</v>
      </c>
      <c r="O156">
        <f t="shared" si="15"/>
        <v>11</v>
      </c>
    </row>
    <row r="157" spans="1:15" x14ac:dyDescent="0.25">
      <c r="A157" s="427">
        <f t="shared" si="16"/>
        <v>156</v>
      </c>
      <c r="B157" s="430">
        <f t="shared" si="12"/>
        <v>13</v>
      </c>
      <c r="C157" s="433">
        <f>IFERROR(-LBP/2+HLOOKUP(Stn_WL,Tools!$AD$2:$AD$27,QUOTIENT(ROW()-2,Max_WL_count)+2,FALSE)*STN_GAP,"")</f>
        <v>0</v>
      </c>
      <c r="D157" s="433">
        <f>IFERROR(VLOOKUP(HLOOKUP(Stn_WL,Tools!$AD$2:$AD$27,QUOTIENT(ROW()-2,Max_WL_count)+2,FALSE),Tools!$AD$3:$BC$27,MOD(ROW()-2,Max_WL_count)+2,FALSE),"")</f>
        <v>12.25</v>
      </c>
      <c r="E157" s="431">
        <f>IFERROR(IF(ISNUMBER(D157),HLOOKUP(Tools!$BE$2,Tools!$BE$2:$BE$27,MOD(ROW()-2,Max_WL_count)+2,FALSE)*WLS,""),"")</f>
        <v>14.19</v>
      </c>
      <c r="I157" s="427">
        <f t="shared" si="17"/>
        <v>156</v>
      </c>
      <c r="J157" s="430">
        <f t="shared" si="13"/>
        <v>12</v>
      </c>
      <c r="K157" s="433">
        <f>IFERROR(-LBP/2+HLOOKUP(Stn_WL,Tools!$AD$2:$AD$27,N157+2,FALSE)*STN_GAP,"")</f>
        <v>-6.5850000000000009</v>
      </c>
      <c r="L157" s="433">
        <f>IFERROR(IF(AND(ISNUMBER(K157),O157=0),0,VLOOKUP(HLOOKUP(Stn_WL,Tools!$AD$2:$AD$27,N157+2,FALSE),Tools!$AD$3:$BC$27,O157+1,FALSE)),"")</f>
        <v>12.25</v>
      </c>
      <c r="M157" s="433">
        <f>IFERROR(IF(ISNUMBER(L157),IF(O157=0,IFERROR(HLOOKUP(Tools!$BD$127,Tools!$BD$127:$BD$152,N157+2,FALSE)*1,0),HLOOKUP(Tools!$BE$2,Tools!$BE$2:$BE$27,O157+1,FALSE)*WLS),""),"")</f>
        <v>14.19</v>
      </c>
      <c r="N157">
        <f t="shared" si="14"/>
        <v>11</v>
      </c>
      <c r="O157">
        <f t="shared" si="15"/>
        <v>12</v>
      </c>
    </row>
    <row r="158" spans="1:15" x14ac:dyDescent="0.25">
      <c r="A158" s="427">
        <f t="shared" si="16"/>
        <v>157</v>
      </c>
      <c r="B158" s="430">
        <f t="shared" si="12"/>
        <v>14</v>
      </c>
      <c r="C158" s="433">
        <f>IFERROR(-LBP/2+HLOOKUP(Stn_WL,Tools!$AD$2:$AD$27,QUOTIENT(ROW()-2,Max_WL_count)+2,FALSE)*STN_GAP,"")</f>
        <v>6.5849999999999937</v>
      </c>
      <c r="D158" s="433">
        <f>IFERROR(VLOOKUP(HLOOKUP(Stn_WL,Tools!$AD$2:$AD$27,QUOTIENT(ROW()-2,Max_WL_count)+2,FALSE),Tools!$AD$3:$BC$27,MOD(ROW()-2,Max_WL_count)+2,FALSE),"")</f>
        <v>8.6</v>
      </c>
      <c r="E158" s="431">
        <f>IFERROR(IF(ISNUMBER(D158),HLOOKUP(Tools!$BE$2,Tools!$BE$2:$BE$27,MOD(ROW()-2,Max_WL_count)+2,FALSE)*WLS,""),"")</f>
        <v>0</v>
      </c>
      <c r="I158" s="427">
        <f t="shared" si="17"/>
        <v>157</v>
      </c>
      <c r="J158" s="430">
        <f t="shared" si="13"/>
        <v>13</v>
      </c>
      <c r="K158" s="433">
        <f>IFERROR(-LBP/2+HLOOKUP(Stn_WL,Tools!$AD$2:$AD$27,N158+2,FALSE)*STN_GAP,"")</f>
        <v>0</v>
      </c>
      <c r="L158" s="433">
        <f>IFERROR(IF(AND(ISNUMBER(K158),O158=0),0,VLOOKUP(HLOOKUP(Stn_WL,Tools!$AD$2:$AD$27,N158+2,FALSE),Tools!$AD$3:$BC$27,O158+1,FALSE)),"")</f>
        <v>0</v>
      </c>
      <c r="M158" s="433">
        <f>IFERROR(IF(ISNUMBER(L158),IF(O158=0,IFERROR(HLOOKUP(Tools!$BD$127,Tools!$BD$127:$BD$152,N158+2,FALSE)*1,0),HLOOKUP(Tools!$BE$2,Tools!$BE$2:$BE$27,O158+1,FALSE)*WLS),""),"")</f>
        <v>0</v>
      </c>
      <c r="N158">
        <f t="shared" si="14"/>
        <v>12</v>
      </c>
      <c r="O158">
        <f t="shared" si="15"/>
        <v>0</v>
      </c>
    </row>
    <row r="159" spans="1:15" x14ac:dyDescent="0.25">
      <c r="A159" s="427">
        <f t="shared" si="16"/>
        <v>158</v>
      </c>
      <c r="B159" s="430">
        <f t="shared" si="12"/>
        <v>14</v>
      </c>
      <c r="C159" s="433">
        <f>IFERROR(-LBP/2+HLOOKUP(Stn_WL,Tools!$AD$2:$AD$27,QUOTIENT(ROW()-2,Max_WL_count)+2,FALSE)*STN_GAP,"")</f>
        <v>6.5849999999999937</v>
      </c>
      <c r="D159" s="433">
        <f>IFERROR(VLOOKUP(HLOOKUP(Stn_WL,Tools!$AD$2:$AD$27,QUOTIENT(ROW()-2,Max_WL_count)+2,FALSE),Tools!$AD$3:$BC$27,MOD(ROW()-2,Max_WL_count)+2,FALSE),"")</f>
        <v>10.65</v>
      </c>
      <c r="E159" s="431">
        <f>IFERROR(IF(ISNUMBER(D159),HLOOKUP(Tools!$BE$2,Tools!$BE$2:$BE$27,MOD(ROW()-2,Max_WL_count)+2,FALSE)*WLS,""),"")</f>
        <v>0.9</v>
      </c>
      <c r="I159" s="427">
        <f t="shared" si="17"/>
        <v>158</v>
      </c>
      <c r="J159" s="430">
        <f t="shared" si="13"/>
        <v>13</v>
      </c>
      <c r="K159" s="433">
        <f>IFERROR(-LBP/2+HLOOKUP(Stn_WL,Tools!$AD$2:$AD$27,N159+2,FALSE)*STN_GAP,"")</f>
        <v>0</v>
      </c>
      <c r="L159" s="433">
        <f>IFERROR(IF(AND(ISNUMBER(K159),O159=0),0,VLOOKUP(HLOOKUP(Stn_WL,Tools!$AD$2:$AD$27,N159+2,FALSE),Tools!$AD$3:$BC$27,O159+1,FALSE)),"")</f>
        <v>8.25</v>
      </c>
      <c r="M159" s="433">
        <f>IFERROR(IF(ISNUMBER(L159),IF(O159=0,IFERROR(HLOOKUP(Tools!$BD$127,Tools!$BD$127:$BD$152,N159+2,FALSE)*1,0),HLOOKUP(Tools!$BE$2,Tools!$BE$2:$BE$27,O159+1,FALSE)*WLS),""),"")</f>
        <v>0</v>
      </c>
      <c r="N159">
        <f t="shared" si="14"/>
        <v>12</v>
      </c>
      <c r="O159">
        <f t="shared" si="15"/>
        <v>1</v>
      </c>
    </row>
    <row r="160" spans="1:15" x14ac:dyDescent="0.25">
      <c r="A160" s="427">
        <f t="shared" si="16"/>
        <v>159</v>
      </c>
      <c r="B160" s="430">
        <f t="shared" si="12"/>
        <v>14</v>
      </c>
      <c r="C160" s="433">
        <f>IFERROR(-LBP/2+HLOOKUP(Stn_WL,Tools!$AD$2:$AD$27,QUOTIENT(ROW()-2,Max_WL_count)+2,FALSE)*STN_GAP,"")</f>
        <v>6.5849999999999937</v>
      </c>
      <c r="D160" s="433">
        <f>IFERROR(VLOOKUP(HLOOKUP(Stn_WL,Tools!$AD$2:$AD$27,QUOTIENT(ROW()-2,Max_WL_count)+2,FALSE),Tools!$AD$3:$BC$27,MOD(ROW()-2,Max_WL_count)+2,FALSE),"")</f>
        <v>11.62</v>
      </c>
      <c r="E160" s="431">
        <f>IFERROR(IF(ISNUMBER(D160),HLOOKUP(Tools!$BE$2,Tools!$BE$2:$BE$27,MOD(ROW()-2,Max_WL_count)+2,FALSE)*WLS,""),"")</f>
        <v>1.8</v>
      </c>
      <c r="I160" s="427">
        <f t="shared" si="17"/>
        <v>159</v>
      </c>
      <c r="J160" s="430">
        <f t="shared" si="13"/>
        <v>13</v>
      </c>
      <c r="K160" s="433">
        <f>IFERROR(-LBP/2+HLOOKUP(Stn_WL,Tools!$AD$2:$AD$27,N160+2,FALSE)*STN_GAP,"")</f>
        <v>0</v>
      </c>
      <c r="L160" s="433">
        <f>IFERROR(IF(AND(ISNUMBER(K160),O160=0),0,VLOOKUP(HLOOKUP(Stn_WL,Tools!$AD$2:$AD$27,N160+2,FALSE),Tools!$AD$3:$BC$27,O160+1,FALSE)),"")</f>
        <v>10.84</v>
      </c>
      <c r="M160" s="433">
        <f>IFERROR(IF(ISNUMBER(L160),IF(O160=0,IFERROR(HLOOKUP(Tools!$BD$127,Tools!$BD$127:$BD$152,N160+2,FALSE)*1,0),HLOOKUP(Tools!$BE$2,Tools!$BE$2:$BE$27,O160+1,FALSE)*WLS),""),"")</f>
        <v>0.9</v>
      </c>
      <c r="N160">
        <f t="shared" si="14"/>
        <v>12</v>
      </c>
      <c r="O160">
        <f t="shared" si="15"/>
        <v>2</v>
      </c>
    </row>
    <row r="161" spans="1:15" x14ac:dyDescent="0.25">
      <c r="A161" s="427">
        <f t="shared" si="16"/>
        <v>160</v>
      </c>
      <c r="B161" s="430">
        <f t="shared" si="12"/>
        <v>14</v>
      </c>
      <c r="C161" s="433">
        <f>IFERROR(-LBP/2+HLOOKUP(Stn_WL,Tools!$AD$2:$AD$27,QUOTIENT(ROW()-2,Max_WL_count)+2,FALSE)*STN_GAP,"")</f>
        <v>6.5849999999999937</v>
      </c>
      <c r="D161" s="433">
        <f>IFERROR(VLOOKUP(HLOOKUP(Stn_WL,Tools!$AD$2:$AD$27,QUOTIENT(ROW()-2,Max_WL_count)+2,FALSE),Tools!$AD$3:$BC$27,MOD(ROW()-2,Max_WL_count)+2,FALSE),"")</f>
        <v>12.04</v>
      </c>
      <c r="E161" s="431">
        <f>IFERROR(IF(ISNUMBER(D161),HLOOKUP(Tools!$BE$2,Tools!$BE$2:$BE$27,MOD(ROW()-2,Max_WL_count)+2,FALSE)*WLS,""),"")</f>
        <v>2.7</v>
      </c>
      <c r="I161" s="427">
        <f t="shared" si="17"/>
        <v>160</v>
      </c>
      <c r="J161" s="430">
        <f t="shared" si="13"/>
        <v>13</v>
      </c>
      <c r="K161" s="433">
        <f>IFERROR(-LBP/2+HLOOKUP(Stn_WL,Tools!$AD$2:$AD$27,N161+2,FALSE)*STN_GAP,"")</f>
        <v>0</v>
      </c>
      <c r="L161" s="433">
        <f>IFERROR(IF(AND(ISNUMBER(K161),O161=0),0,VLOOKUP(HLOOKUP(Stn_WL,Tools!$AD$2:$AD$27,N161+2,FALSE),Tools!$AD$3:$BC$27,O161+1,FALSE)),"")</f>
        <v>11.76</v>
      </c>
      <c r="M161" s="433">
        <f>IFERROR(IF(ISNUMBER(L161),IF(O161=0,IFERROR(HLOOKUP(Tools!$BD$127,Tools!$BD$127:$BD$152,N161+2,FALSE)*1,0),HLOOKUP(Tools!$BE$2,Tools!$BE$2:$BE$27,O161+1,FALSE)*WLS),""),"")</f>
        <v>1.8</v>
      </c>
      <c r="N161">
        <f t="shared" si="14"/>
        <v>12</v>
      </c>
      <c r="O161">
        <f t="shared" si="15"/>
        <v>3</v>
      </c>
    </row>
    <row r="162" spans="1:15" x14ac:dyDescent="0.25">
      <c r="A162" s="427">
        <f t="shared" si="16"/>
        <v>161</v>
      </c>
      <c r="B162" s="430">
        <f t="shared" si="12"/>
        <v>14</v>
      </c>
      <c r="C162" s="433">
        <f>IFERROR(-LBP/2+HLOOKUP(Stn_WL,Tools!$AD$2:$AD$27,QUOTIENT(ROW()-2,Max_WL_count)+2,FALSE)*STN_GAP,"")</f>
        <v>6.5849999999999937</v>
      </c>
      <c r="D162" s="433">
        <f>IFERROR(VLOOKUP(HLOOKUP(Stn_WL,Tools!$AD$2:$AD$27,QUOTIENT(ROW()-2,Max_WL_count)+2,FALSE),Tools!$AD$3:$BC$27,MOD(ROW()-2,Max_WL_count)+2,FALSE),"")</f>
        <v>12.21</v>
      </c>
      <c r="E162" s="431">
        <f>IFERROR(IF(ISNUMBER(D162),HLOOKUP(Tools!$BE$2,Tools!$BE$2:$BE$27,MOD(ROW()-2,Max_WL_count)+2,FALSE)*WLS,""),"")</f>
        <v>3.6</v>
      </c>
      <c r="I162" s="427">
        <f t="shared" si="17"/>
        <v>161</v>
      </c>
      <c r="J162" s="430">
        <f t="shared" si="13"/>
        <v>13</v>
      </c>
      <c r="K162" s="433">
        <f>IFERROR(-LBP/2+HLOOKUP(Stn_WL,Tools!$AD$2:$AD$27,N162+2,FALSE)*STN_GAP,"")</f>
        <v>0</v>
      </c>
      <c r="L162" s="433">
        <f>IFERROR(IF(AND(ISNUMBER(K162),O162=0),0,VLOOKUP(HLOOKUP(Stn_WL,Tools!$AD$2:$AD$27,N162+2,FALSE),Tools!$AD$3:$BC$27,O162+1,FALSE)),"")</f>
        <v>12.14</v>
      </c>
      <c r="M162" s="433">
        <f>IFERROR(IF(ISNUMBER(L162),IF(O162=0,IFERROR(HLOOKUP(Tools!$BD$127,Tools!$BD$127:$BD$152,N162+2,FALSE)*1,0),HLOOKUP(Tools!$BE$2,Tools!$BE$2:$BE$27,O162+1,FALSE)*WLS),""),"")</f>
        <v>2.7</v>
      </c>
      <c r="N162">
        <f t="shared" si="14"/>
        <v>12</v>
      </c>
      <c r="O162">
        <f t="shared" si="15"/>
        <v>4</v>
      </c>
    </row>
    <row r="163" spans="1:15" x14ac:dyDescent="0.25">
      <c r="A163" s="427">
        <f t="shared" si="16"/>
        <v>162</v>
      </c>
      <c r="B163" s="430">
        <f t="shared" si="12"/>
        <v>14</v>
      </c>
      <c r="C163" s="433">
        <f>IFERROR(-LBP/2+HLOOKUP(Stn_WL,Tools!$AD$2:$AD$27,QUOTIENT(ROW()-2,Max_WL_count)+2,FALSE)*STN_GAP,"")</f>
        <v>6.5849999999999937</v>
      </c>
      <c r="D163" s="433">
        <f>IFERROR(VLOOKUP(HLOOKUP(Stn_WL,Tools!$AD$2:$AD$27,QUOTIENT(ROW()-2,Max_WL_count)+2,FALSE),Tools!$AD$3:$BC$27,MOD(ROW()-2,Max_WL_count)+2,FALSE),"")</f>
        <v>12.25</v>
      </c>
      <c r="E163" s="431">
        <f>IFERROR(IF(ISNUMBER(D163),HLOOKUP(Tools!$BE$2,Tools!$BE$2:$BE$27,MOD(ROW()-2,Max_WL_count)+2,FALSE)*WLS,""),"")</f>
        <v>5.4</v>
      </c>
      <c r="I163" s="427">
        <f t="shared" si="17"/>
        <v>162</v>
      </c>
      <c r="J163" s="430">
        <f t="shared" si="13"/>
        <v>13</v>
      </c>
      <c r="K163" s="433">
        <f>IFERROR(-LBP/2+HLOOKUP(Stn_WL,Tools!$AD$2:$AD$27,N163+2,FALSE)*STN_GAP,"")</f>
        <v>0</v>
      </c>
      <c r="L163" s="433">
        <f>IFERROR(IF(AND(ISNUMBER(K163),O163=0),0,VLOOKUP(HLOOKUP(Stn_WL,Tools!$AD$2:$AD$27,N163+2,FALSE),Tools!$AD$3:$BC$27,O163+1,FALSE)),"")</f>
        <v>12.25</v>
      </c>
      <c r="M163" s="433">
        <f>IFERROR(IF(ISNUMBER(L163),IF(O163=0,IFERROR(HLOOKUP(Tools!$BD$127,Tools!$BD$127:$BD$152,N163+2,FALSE)*1,0),HLOOKUP(Tools!$BE$2,Tools!$BE$2:$BE$27,O163+1,FALSE)*WLS),""),"")</f>
        <v>3.6</v>
      </c>
      <c r="N163">
        <f t="shared" si="14"/>
        <v>12</v>
      </c>
      <c r="O163">
        <f t="shared" si="15"/>
        <v>5</v>
      </c>
    </row>
    <row r="164" spans="1:15" x14ac:dyDescent="0.25">
      <c r="A164" s="427">
        <f t="shared" si="16"/>
        <v>163</v>
      </c>
      <c r="B164" s="430">
        <f t="shared" si="12"/>
        <v>14</v>
      </c>
      <c r="C164" s="433">
        <f>IFERROR(-LBP/2+HLOOKUP(Stn_WL,Tools!$AD$2:$AD$27,QUOTIENT(ROW()-2,Max_WL_count)+2,FALSE)*STN_GAP,"")</f>
        <v>6.5849999999999937</v>
      </c>
      <c r="D164" s="433">
        <f>IFERROR(VLOOKUP(HLOOKUP(Stn_WL,Tools!$AD$2:$AD$27,QUOTIENT(ROW()-2,Max_WL_count)+2,FALSE),Tools!$AD$3:$BC$27,MOD(ROW()-2,Max_WL_count)+2,FALSE),"")</f>
        <v>12.25</v>
      </c>
      <c r="E164" s="431">
        <f>IFERROR(IF(ISNUMBER(D164),HLOOKUP(Tools!$BE$2,Tools!$BE$2:$BE$27,MOD(ROW()-2,Max_WL_count)+2,FALSE)*WLS,""),"")</f>
        <v>7.2</v>
      </c>
      <c r="I164" s="427">
        <f t="shared" si="17"/>
        <v>163</v>
      </c>
      <c r="J164" s="430">
        <f t="shared" si="13"/>
        <v>13</v>
      </c>
      <c r="K164" s="433">
        <f>IFERROR(-LBP/2+HLOOKUP(Stn_WL,Tools!$AD$2:$AD$27,N164+2,FALSE)*STN_GAP,"")</f>
        <v>0</v>
      </c>
      <c r="L164" s="433">
        <f>IFERROR(IF(AND(ISNUMBER(K164),O164=0),0,VLOOKUP(HLOOKUP(Stn_WL,Tools!$AD$2:$AD$27,N164+2,FALSE),Tools!$AD$3:$BC$27,O164+1,FALSE)),"")</f>
        <v>12.25</v>
      </c>
      <c r="M164" s="433">
        <f>IFERROR(IF(ISNUMBER(L164),IF(O164=0,IFERROR(HLOOKUP(Tools!$BD$127,Tools!$BD$127:$BD$152,N164+2,FALSE)*1,0),HLOOKUP(Tools!$BE$2,Tools!$BE$2:$BE$27,O164+1,FALSE)*WLS),""),"")</f>
        <v>5.4</v>
      </c>
      <c r="N164">
        <f t="shared" si="14"/>
        <v>12</v>
      </c>
      <c r="O164">
        <f t="shared" si="15"/>
        <v>6</v>
      </c>
    </row>
    <row r="165" spans="1:15" x14ac:dyDescent="0.25">
      <c r="A165" s="427">
        <f t="shared" si="16"/>
        <v>164</v>
      </c>
      <c r="B165" s="430">
        <f t="shared" si="12"/>
        <v>14</v>
      </c>
      <c r="C165" s="433">
        <f>IFERROR(-LBP/2+HLOOKUP(Stn_WL,Tools!$AD$2:$AD$27,QUOTIENT(ROW()-2,Max_WL_count)+2,FALSE)*STN_GAP,"")</f>
        <v>6.5849999999999937</v>
      </c>
      <c r="D165" s="433">
        <f>IFERROR(VLOOKUP(HLOOKUP(Stn_WL,Tools!$AD$2:$AD$27,QUOTIENT(ROW()-2,Max_WL_count)+2,FALSE),Tools!$AD$3:$BC$27,MOD(ROW()-2,Max_WL_count)+2,FALSE),"")</f>
        <v>12.25</v>
      </c>
      <c r="E165" s="431">
        <f>IFERROR(IF(ISNUMBER(D165),HLOOKUP(Tools!$BE$2,Tools!$BE$2:$BE$27,MOD(ROW()-2,Max_WL_count)+2,FALSE)*WLS,""),"")</f>
        <v>9</v>
      </c>
      <c r="I165" s="427">
        <f t="shared" si="17"/>
        <v>164</v>
      </c>
      <c r="J165" s="430">
        <f t="shared" si="13"/>
        <v>13</v>
      </c>
      <c r="K165" s="433">
        <f>IFERROR(-LBP/2+HLOOKUP(Stn_WL,Tools!$AD$2:$AD$27,N165+2,FALSE)*STN_GAP,"")</f>
        <v>0</v>
      </c>
      <c r="L165" s="433">
        <f>IFERROR(IF(AND(ISNUMBER(K165),O165=0),0,VLOOKUP(HLOOKUP(Stn_WL,Tools!$AD$2:$AD$27,N165+2,FALSE),Tools!$AD$3:$BC$27,O165+1,FALSE)),"")</f>
        <v>12.25</v>
      </c>
      <c r="M165" s="433">
        <f>IFERROR(IF(ISNUMBER(L165),IF(O165=0,IFERROR(HLOOKUP(Tools!$BD$127,Tools!$BD$127:$BD$152,N165+2,FALSE)*1,0),HLOOKUP(Tools!$BE$2,Tools!$BE$2:$BE$27,O165+1,FALSE)*WLS),""),"")</f>
        <v>7.2</v>
      </c>
      <c r="N165">
        <f t="shared" si="14"/>
        <v>12</v>
      </c>
      <c r="O165">
        <f t="shared" si="15"/>
        <v>7</v>
      </c>
    </row>
    <row r="166" spans="1:15" x14ac:dyDescent="0.25">
      <c r="A166" s="427">
        <f t="shared" si="16"/>
        <v>165</v>
      </c>
      <c r="B166" s="430">
        <f t="shared" si="12"/>
        <v>14</v>
      </c>
      <c r="C166" s="433">
        <f>IFERROR(-LBP/2+HLOOKUP(Stn_WL,Tools!$AD$2:$AD$27,QUOTIENT(ROW()-2,Max_WL_count)+2,FALSE)*STN_GAP,"")</f>
        <v>6.5849999999999937</v>
      </c>
      <c r="D166" s="433">
        <f>IFERROR(VLOOKUP(HLOOKUP(Stn_WL,Tools!$AD$2:$AD$27,QUOTIENT(ROW()-2,Max_WL_count)+2,FALSE),Tools!$AD$3:$BC$27,MOD(ROW()-2,Max_WL_count)+2,FALSE),"")</f>
        <v>12.25</v>
      </c>
      <c r="E166" s="431">
        <f>IFERROR(IF(ISNUMBER(D166),HLOOKUP(Tools!$BE$2,Tools!$BE$2:$BE$27,MOD(ROW()-2,Max_WL_count)+2,FALSE)*WLS,""),"")</f>
        <v>10.1</v>
      </c>
      <c r="I166" s="427">
        <f t="shared" si="17"/>
        <v>165</v>
      </c>
      <c r="J166" s="430">
        <f t="shared" si="13"/>
        <v>13</v>
      </c>
      <c r="K166" s="433">
        <f>IFERROR(-LBP/2+HLOOKUP(Stn_WL,Tools!$AD$2:$AD$27,N166+2,FALSE)*STN_GAP,"")</f>
        <v>0</v>
      </c>
      <c r="L166" s="433">
        <f>IFERROR(IF(AND(ISNUMBER(K166),O166=0),0,VLOOKUP(HLOOKUP(Stn_WL,Tools!$AD$2:$AD$27,N166+2,FALSE),Tools!$AD$3:$BC$27,O166+1,FALSE)),"")</f>
        <v>12.25</v>
      </c>
      <c r="M166" s="433">
        <f>IFERROR(IF(ISNUMBER(L166),IF(O166=0,IFERROR(HLOOKUP(Tools!$BD$127,Tools!$BD$127:$BD$152,N166+2,FALSE)*1,0),HLOOKUP(Tools!$BE$2,Tools!$BE$2:$BE$27,O166+1,FALSE)*WLS),""),"")</f>
        <v>9</v>
      </c>
      <c r="N166">
        <f t="shared" si="14"/>
        <v>12</v>
      </c>
      <c r="O166">
        <f t="shared" si="15"/>
        <v>8</v>
      </c>
    </row>
    <row r="167" spans="1:15" x14ac:dyDescent="0.25">
      <c r="A167" s="427">
        <f t="shared" si="16"/>
        <v>166</v>
      </c>
      <c r="B167" s="430">
        <f t="shared" si="12"/>
        <v>14</v>
      </c>
      <c r="C167" s="433">
        <f>IFERROR(-LBP/2+HLOOKUP(Stn_WL,Tools!$AD$2:$AD$27,QUOTIENT(ROW()-2,Max_WL_count)+2,FALSE)*STN_GAP,"")</f>
        <v>6.5849999999999937</v>
      </c>
      <c r="D167" s="433">
        <f>IFERROR(VLOOKUP(HLOOKUP(Stn_WL,Tools!$AD$2:$AD$27,QUOTIENT(ROW()-2,Max_WL_count)+2,FALSE),Tools!$AD$3:$BC$27,MOD(ROW()-2,Max_WL_count)+2,FALSE),"")</f>
        <v>12.25</v>
      </c>
      <c r="E167" s="431">
        <f>IFERROR(IF(ISNUMBER(D167),HLOOKUP(Tools!$BE$2,Tools!$BE$2:$BE$27,MOD(ROW()-2,Max_WL_count)+2,FALSE)*WLS,""),"")</f>
        <v>10.8</v>
      </c>
      <c r="I167" s="427">
        <f t="shared" si="17"/>
        <v>166</v>
      </c>
      <c r="J167" s="430">
        <f t="shared" si="13"/>
        <v>13</v>
      </c>
      <c r="K167" s="433">
        <f>IFERROR(-LBP/2+HLOOKUP(Stn_WL,Tools!$AD$2:$AD$27,N167+2,FALSE)*STN_GAP,"")</f>
        <v>0</v>
      </c>
      <c r="L167" s="433">
        <f>IFERROR(IF(AND(ISNUMBER(K167),O167=0),0,VLOOKUP(HLOOKUP(Stn_WL,Tools!$AD$2:$AD$27,N167+2,FALSE),Tools!$AD$3:$BC$27,O167+1,FALSE)),"")</f>
        <v>12.25</v>
      </c>
      <c r="M167" s="433">
        <f>IFERROR(IF(ISNUMBER(L167),IF(O167=0,IFERROR(HLOOKUP(Tools!$BD$127,Tools!$BD$127:$BD$152,N167+2,FALSE)*1,0),HLOOKUP(Tools!$BE$2,Tools!$BE$2:$BE$27,O167+1,FALSE)*WLS),""),"")</f>
        <v>10.1</v>
      </c>
      <c r="N167">
        <f t="shared" si="14"/>
        <v>12</v>
      </c>
      <c r="O167">
        <f t="shared" si="15"/>
        <v>9</v>
      </c>
    </row>
    <row r="168" spans="1:15" x14ac:dyDescent="0.25">
      <c r="A168" s="427">
        <f t="shared" si="16"/>
        <v>167</v>
      </c>
      <c r="B168" s="430">
        <f t="shared" si="12"/>
        <v>14</v>
      </c>
      <c r="C168" s="433">
        <f>IFERROR(-LBP/2+HLOOKUP(Stn_WL,Tools!$AD$2:$AD$27,QUOTIENT(ROW()-2,Max_WL_count)+2,FALSE)*STN_GAP,"")</f>
        <v>6.5849999999999937</v>
      </c>
      <c r="D168" s="433">
        <f>IFERROR(VLOOKUP(HLOOKUP(Stn_WL,Tools!$AD$2:$AD$27,QUOTIENT(ROW()-2,Max_WL_count)+2,FALSE),Tools!$AD$3:$BC$27,MOD(ROW()-2,Max_WL_count)+2,FALSE),"")</f>
        <v>12.25</v>
      </c>
      <c r="E168" s="431">
        <f>IFERROR(IF(ISNUMBER(D168),HLOOKUP(Tools!$BE$2,Tools!$BE$2:$BE$27,MOD(ROW()-2,Max_WL_count)+2,FALSE)*WLS,""),"")</f>
        <v>12.6</v>
      </c>
      <c r="I168" s="427">
        <f t="shared" si="17"/>
        <v>167</v>
      </c>
      <c r="J168" s="430">
        <f t="shared" si="13"/>
        <v>13</v>
      </c>
      <c r="K168" s="433">
        <f>IFERROR(-LBP/2+HLOOKUP(Stn_WL,Tools!$AD$2:$AD$27,N168+2,FALSE)*STN_GAP,"")</f>
        <v>0</v>
      </c>
      <c r="L168" s="433">
        <f>IFERROR(IF(AND(ISNUMBER(K168),O168=0),0,VLOOKUP(HLOOKUP(Stn_WL,Tools!$AD$2:$AD$27,N168+2,FALSE),Tools!$AD$3:$BC$27,O168+1,FALSE)),"")</f>
        <v>12.25</v>
      </c>
      <c r="M168" s="433">
        <f>IFERROR(IF(ISNUMBER(L168),IF(O168=0,IFERROR(HLOOKUP(Tools!$BD$127,Tools!$BD$127:$BD$152,N168+2,FALSE)*1,0),HLOOKUP(Tools!$BE$2,Tools!$BE$2:$BE$27,O168+1,FALSE)*WLS),""),"")</f>
        <v>10.8</v>
      </c>
      <c r="N168">
        <f t="shared" si="14"/>
        <v>12</v>
      </c>
      <c r="O168">
        <f t="shared" si="15"/>
        <v>10</v>
      </c>
    </row>
    <row r="169" spans="1:15" x14ac:dyDescent="0.25">
      <c r="A169" s="427">
        <f t="shared" si="16"/>
        <v>168</v>
      </c>
      <c r="B169" s="430">
        <f t="shared" si="12"/>
        <v>14</v>
      </c>
      <c r="C169" s="433">
        <f>IFERROR(-LBP/2+HLOOKUP(Stn_WL,Tools!$AD$2:$AD$27,QUOTIENT(ROW()-2,Max_WL_count)+2,FALSE)*STN_GAP,"")</f>
        <v>6.5849999999999937</v>
      </c>
      <c r="D169" s="433">
        <f>IFERROR(VLOOKUP(HLOOKUP(Stn_WL,Tools!$AD$2:$AD$27,QUOTIENT(ROW()-2,Max_WL_count)+2,FALSE),Tools!$AD$3:$BC$27,MOD(ROW()-2,Max_WL_count)+2,FALSE),"")</f>
        <v>12.25</v>
      </c>
      <c r="E169" s="431">
        <f>IFERROR(IF(ISNUMBER(D169),HLOOKUP(Tools!$BE$2,Tools!$BE$2:$BE$27,MOD(ROW()-2,Max_WL_count)+2,FALSE)*WLS,""),"")</f>
        <v>14.19</v>
      </c>
      <c r="I169" s="427">
        <f t="shared" si="17"/>
        <v>168</v>
      </c>
      <c r="J169" s="430">
        <f t="shared" si="13"/>
        <v>13</v>
      </c>
      <c r="K169" s="433">
        <f>IFERROR(-LBP/2+HLOOKUP(Stn_WL,Tools!$AD$2:$AD$27,N169+2,FALSE)*STN_GAP,"")</f>
        <v>0</v>
      </c>
      <c r="L169" s="433">
        <f>IFERROR(IF(AND(ISNUMBER(K169),O169=0),0,VLOOKUP(HLOOKUP(Stn_WL,Tools!$AD$2:$AD$27,N169+2,FALSE),Tools!$AD$3:$BC$27,O169+1,FALSE)),"")</f>
        <v>12.25</v>
      </c>
      <c r="M169" s="433">
        <f>IFERROR(IF(ISNUMBER(L169),IF(O169=0,IFERROR(HLOOKUP(Tools!$BD$127,Tools!$BD$127:$BD$152,N169+2,FALSE)*1,0),HLOOKUP(Tools!$BE$2,Tools!$BE$2:$BE$27,O169+1,FALSE)*WLS),""),"")</f>
        <v>12.6</v>
      </c>
      <c r="N169">
        <f t="shared" si="14"/>
        <v>12</v>
      </c>
      <c r="O169">
        <f t="shared" si="15"/>
        <v>11</v>
      </c>
    </row>
    <row r="170" spans="1:15" x14ac:dyDescent="0.25">
      <c r="A170" s="427">
        <f t="shared" si="16"/>
        <v>169</v>
      </c>
      <c r="B170" s="430">
        <f t="shared" si="12"/>
        <v>15</v>
      </c>
      <c r="C170" s="433">
        <f>IFERROR(-LBP/2+HLOOKUP(Stn_WL,Tools!$AD$2:$AD$27,QUOTIENT(ROW()-2,Max_WL_count)+2,FALSE)*STN_GAP,"")</f>
        <v>13.169999999999987</v>
      </c>
      <c r="D170" s="433">
        <f>IFERROR(VLOOKUP(HLOOKUP(Stn_WL,Tools!$AD$2:$AD$27,QUOTIENT(ROW()-2,Max_WL_count)+2,FALSE),Tools!$AD$3:$BC$27,MOD(ROW()-2,Max_WL_count)+2,FALSE),"")</f>
        <v>7.85</v>
      </c>
      <c r="E170" s="431">
        <f>IFERROR(IF(ISNUMBER(D170),HLOOKUP(Tools!$BE$2,Tools!$BE$2:$BE$27,MOD(ROW()-2,Max_WL_count)+2,FALSE)*WLS,""),"")</f>
        <v>0</v>
      </c>
      <c r="I170" s="427">
        <f t="shared" si="17"/>
        <v>169</v>
      </c>
      <c r="J170" s="430">
        <f t="shared" si="13"/>
        <v>13</v>
      </c>
      <c r="K170" s="433">
        <f>IFERROR(-LBP/2+HLOOKUP(Stn_WL,Tools!$AD$2:$AD$27,N170+2,FALSE)*STN_GAP,"")</f>
        <v>0</v>
      </c>
      <c r="L170" s="433">
        <f>IFERROR(IF(AND(ISNUMBER(K170),O170=0),0,VLOOKUP(HLOOKUP(Stn_WL,Tools!$AD$2:$AD$27,N170+2,FALSE),Tools!$AD$3:$BC$27,O170+1,FALSE)),"")</f>
        <v>12.25</v>
      </c>
      <c r="M170" s="433">
        <f>IFERROR(IF(ISNUMBER(L170),IF(O170=0,IFERROR(HLOOKUP(Tools!$BD$127,Tools!$BD$127:$BD$152,N170+2,FALSE)*1,0),HLOOKUP(Tools!$BE$2,Tools!$BE$2:$BE$27,O170+1,FALSE)*WLS),""),"")</f>
        <v>14.19</v>
      </c>
      <c r="N170">
        <f t="shared" si="14"/>
        <v>12</v>
      </c>
      <c r="O170">
        <f t="shared" si="15"/>
        <v>12</v>
      </c>
    </row>
    <row r="171" spans="1:15" x14ac:dyDescent="0.25">
      <c r="A171" s="427">
        <f t="shared" si="16"/>
        <v>170</v>
      </c>
      <c r="B171" s="430">
        <f t="shared" si="12"/>
        <v>15</v>
      </c>
      <c r="C171" s="433">
        <f>IFERROR(-LBP/2+HLOOKUP(Stn_WL,Tools!$AD$2:$AD$27,QUOTIENT(ROW()-2,Max_WL_count)+2,FALSE)*STN_GAP,"")</f>
        <v>13.169999999999987</v>
      </c>
      <c r="D171" s="433">
        <f>IFERROR(VLOOKUP(HLOOKUP(Stn_WL,Tools!$AD$2:$AD$27,QUOTIENT(ROW()-2,Max_WL_count)+2,FALSE),Tools!$AD$3:$BC$27,MOD(ROW()-2,Max_WL_count)+2,FALSE),"")</f>
        <v>10.02</v>
      </c>
      <c r="E171" s="431">
        <f>IFERROR(IF(ISNUMBER(D171),HLOOKUP(Tools!$BE$2,Tools!$BE$2:$BE$27,MOD(ROW()-2,Max_WL_count)+2,FALSE)*WLS,""),"")</f>
        <v>0.9</v>
      </c>
      <c r="I171" s="427">
        <f t="shared" si="17"/>
        <v>170</v>
      </c>
      <c r="J171" s="430">
        <f t="shared" si="13"/>
        <v>14</v>
      </c>
      <c r="K171" s="433">
        <f>IFERROR(-LBP/2+HLOOKUP(Stn_WL,Tools!$AD$2:$AD$27,N171+2,FALSE)*STN_GAP,"")</f>
        <v>6.5849999999999937</v>
      </c>
      <c r="L171" s="433">
        <f>IFERROR(IF(AND(ISNUMBER(K171),O171=0),0,VLOOKUP(HLOOKUP(Stn_WL,Tools!$AD$2:$AD$27,N171+2,FALSE),Tools!$AD$3:$BC$27,O171+1,FALSE)),"")</f>
        <v>0</v>
      </c>
      <c r="M171" s="433">
        <f>IFERROR(IF(ISNUMBER(L171),IF(O171=0,IFERROR(HLOOKUP(Tools!$BD$127,Tools!$BD$127:$BD$152,N171+2,FALSE)*1,0),HLOOKUP(Tools!$BE$2,Tools!$BE$2:$BE$27,O171+1,FALSE)*WLS),""),"")</f>
        <v>0</v>
      </c>
      <c r="N171">
        <f t="shared" si="14"/>
        <v>13</v>
      </c>
      <c r="O171">
        <f t="shared" si="15"/>
        <v>0</v>
      </c>
    </row>
    <row r="172" spans="1:15" x14ac:dyDescent="0.25">
      <c r="A172" s="427">
        <f t="shared" si="16"/>
        <v>171</v>
      </c>
      <c r="B172" s="430">
        <f t="shared" si="12"/>
        <v>15</v>
      </c>
      <c r="C172" s="433">
        <f>IFERROR(-LBP/2+HLOOKUP(Stn_WL,Tools!$AD$2:$AD$27,QUOTIENT(ROW()-2,Max_WL_count)+2,FALSE)*STN_GAP,"")</f>
        <v>13.169999999999987</v>
      </c>
      <c r="D172" s="433">
        <f>IFERROR(VLOOKUP(HLOOKUP(Stn_WL,Tools!$AD$2:$AD$27,QUOTIENT(ROW()-2,Max_WL_count)+2,FALSE),Tools!$AD$3:$BC$27,MOD(ROW()-2,Max_WL_count)+2,FALSE),"")</f>
        <v>11.1</v>
      </c>
      <c r="E172" s="431">
        <f>IFERROR(IF(ISNUMBER(D172),HLOOKUP(Tools!$BE$2,Tools!$BE$2:$BE$27,MOD(ROW()-2,Max_WL_count)+2,FALSE)*WLS,""),"")</f>
        <v>1.8</v>
      </c>
      <c r="I172" s="427">
        <f t="shared" si="17"/>
        <v>171</v>
      </c>
      <c r="J172" s="430">
        <f t="shared" si="13"/>
        <v>14</v>
      </c>
      <c r="K172" s="433">
        <f>IFERROR(-LBP/2+HLOOKUP(Stn_WL,Tools!$AD$2:$AD$27,N172+2,FALSE)*STN_GAP,"")</f>
        <v>6.5849999999999937</v>
      </c>
      <c r="L172" s="433">
        <f>IFERROR(IF(AND(ISNUMBER(K172),O172=0),0,VLOOKUP(HLOOKUP(Stn_WL,Tools!$AD$2:$AD$27,N172+2,FALSE),Tools!$AD$3:$BC$27,O172+1,FALSE)),"")</f>
        <v>8.6</v>
      </c>
      <c r="M172" s="433">
        <f>IFERROR(IF(ISNUMBER(L172),IF(O172=0,IFERROR(HLOOKUP(Tools!$BD$127,Tools!$BD$127:$BD$152,N172+2,FALSE)*1,0),HLOOKUP(Tools!$BE$2,Tools!$BE$2:$BE$27,O172+1,FALSE)*WLS),""),"")</f>
        <v>0</v>
      </c>
      <c r="N172">
        <f t="shared" si="14"/>
        <v>13</v>
      </c>
      <c r="O172">
        <f t="shared" si="15"/>
        <v>1</v>
      </c>
    </row>
    <row r="173" spans="1:15" x14ac:dyDescent="0.25">
      <c r="A173" s="427">
        <f t="shared" si="16"/>
        <v>172</v>
      </c>
      <c r="B173" s="430">
        <f t="shared" si="12"/>
        <v>15</v>
      </c>
      <c r="C173" s="433">
        <f>IFERROR(-LBP/2+HLOOKUP(Stn_WL,Tools!$AD$2:$AD$27,QUOTIENT(ROW()-2,Max_WL_count)+2,FALSE)*STN_GAP,"")</f>
        <v>13.169999999999987</v>
      </c>
      <c r="D173" s="433">
        <f>IFERROR(VLOOKUP(HLOOKUP(Stn_WL,Tools!$AD$2:$AD$27,QUOTIENT(ROW()-2,Max_WL_count)+2,FALSE),Tools!$AD$3:$BC$27,MOD(ROW()-2,Max_WL_count)+2,FALSE),"")</f>
        <v>11.63</v>
      </c>
      <c r="E173" s="431">
        <f>IFERROR(IF(ISNUMBER(D173),HLOOKUP(Tools!$BE$2,Tools!$BE$2:$BE$27,MOD(ROW()-2,Max_WL_count)+2,FALSE)*WLS,""),"")</f>
        <v>2.7</v>
      </c>
      <c r="I173" s="427">
        <f t="shared" si="17"/>
        <v>172</v>
      </c>
      <c r="J173" s="430">
        <f t="shared" si="13"/>
        <v>14</v>
      </c>
      <c r="K173" s="433">
        <f>IFERROR(-LBP/2+HLOOKUP(Stn_WL,Tools!$AD$2:$AD$27,N173+2,FALSE)*STN_GAP,"")</f>
        <v>6.5849999999999937</v>
      </c>
      <c r="L173" s="433">
        <f>IFERROR(IF(AND(ISNUMBER(K173),O173=0),0,VLOOKUP(HLOOKUP(Stn_WL,Tools!$AD$2:$AD$27,N173+2,FALSE),Tools!$AD$3:$BC$27,O173+1,FALSE)),"")</f>
        <v>10.65</v>
      </c>
      <c r="M173" s="433">
        <f>IFERROR(IF(ISNUMBER(L173),IF(O173=0,IFERROR(HLOOKUP(Tools!$BD$127,Tools!$BD$127:$BD$152,N173+2,FALSE)*1,0),HLOOKUP(Tools!$BE$2,Tools!$BE$2:$BE$27,O173+1,FALSE)*WLS),""),"")</f>
        <v>0.9</v>
      </c>
      <c r="N173">
        <f t="shared" si="14"/>
        <v>13</v>
      </c>
      <c r="O173">
        <f t="shared" si="15"/>
        <v>2</v>
      </c>
    </row>
    <row r="174" spans="1:15" x14ac:dyDescent="0.25">
      <c r="A174" s="427">
        <f t="shared" si="16"/>
        <v>173</v>
      </c>
      <c r="B174" s="430">
        <f t="shared" si="12"/>
        <v>15</v>
      </c>
      <c r="C174" s="433">
        <f>IFERROR(-LBP/2+HLOOKUP(Stn_WL,Tools!$AD$2:$AD$27,QUOTIENT(ROW()-2,Max_WL_count)+2,FALSE)*STN_GAP,"")</f>
        <v>13.169999999999987</v>
      </c>
      <c r="D174" s="433">
        <f>IFERROR(VLOOKUP(HLOOKUP(Stn_WL,Tools!$AD$2:$AD$27,QUOTIENT(ROW()-2,Max_WL_count)+2,FALSE),Tools!$AD$3:$BC$27,MOD(ROW()-2,Max_WL_count)+2,FALSE),"")</f>
        <v>11.92</v>
      </c>
      <c r="E174" s="431">
        <f>IFERROR(IF(ISNUMBER(D174),HLOOKUP(Tools!$BE$2,Tools!$BE$2:$BE$27,MOD(ROW()-2,Max_WL_count)+2,FALSE)*WLS,""),"")</f>
        <v>3.6</v>
      </c>
      <c r="I174" s="427">
        <f t="shared" si="17"/>
        <v>173</v>
      </c>
      <c r="J174" s="430">
        <f t="shared" si="13"/>
        <v>14</v>
      </c>
      <c r="K174" s="433">
        <f>IFERROR(-LBP/2+HLOOKUP(Stn_WL,Tools!$AD$2:$AD$27,N174+2,FALSE)*STN_GAP,"")</f>
        <v>6.5849999999999937</v>
      </c>
      <c r="L174" s="433">
        <f>IFERROR(IF(AND(ISNUMBER(K174),O174=0),0,VLOOKUP(HLOOKUP(Stn_WL,Tools!$AD$2:$AD$27,N174+2,FALSE),Tools!$AD$3:$BC$27,O174+1,FALSE)),"")</f>
        <v>11.62</v>
      </c>
      <c r="M174" s="433">
        <f>IFERROR(IF(ISNUMBER(L174),IF(O174=0,IFERROR(HLOOKUP(Tools!$BD$127,Tools!$BD$127:$BD$152,N174+2,FALSE)*1,0),HLOOKUP(Tools!$BE$2,Tools!$BE$2:$BE$27,O174+1,FALSE)*WLS),""),"")</f>
        <v>1.8</v>
      </c>
      <c r="N174">
        <f t="shared" si="14"/>
        <v>13</v>
      </c>
      <c r="O174">
        <f t="shared" si="15"/>
        <v>3</v>
      </c>
    </row>
    <row r="175" spans="1:15" x14ac:dyDescent="0.25">
      <c r="A175" s="427">
        <f t="shared" si="16"/>
        <v>174</v>
      </c>
      <c r="B175" s="430">
        <f t="shared" si="12"/>
        <v>15</v>
      </c>
      <c r="C175" s="433">
        <f>IFERROR(-LBP/2+HLOOKUP(Stn_WL,Tools!$AD$2:$AD$27,QUOTIENT(ROW()-2,Max_WL_count)+2,FALSE)*STN_GAP,"")</f>
        <v>13.169999999999987</v>
      </c>
      <c r="D175" s="433">
        <f>IFERROR(VLOOKUP(HLOOKUP(Stn_WL,Tools!$AD$2:$AD$27,QUOTIENT(ROW()-2,Max_WL_count)+2,FALSE),Tools!$AD$3:$BC$27,MOD(ROW()-2,Max_WL_count)+2,FALSE),"")</f>
        <v>12.2</v>
      </c>
      <c r="E175" s="431">
        <f>IFERROR(IF(ISNUMBER(D175),HLOOKUP(Tools!$BE$2,Tools!$BE$2:$BE$27,MOD(ROW()-2,Max_WL_count)+2,FALSE)*WLS,""),"")</f>
        <v>5.4</v>
      </c>
      <c r="I175" s="427">
        <f t="shared" si="17"/>
        <v>174</v>
      </c>
      <c r="J175" s="430">
        <f t="shared" si="13"/>
        <v>14</v>
      </c>
      <c r="K175" s="433">
        <f>IFERROR(-LBP/2+HLOOKUP(Stn_WL,Tools!$AD$2:$AD$27,N175+2,FALSE)*STN_GAP,"")</f>
        <v>6.5849999999999937</v>
      </c>
      <c r="L175" s="433">
        <f>IFERROR(IF(AND(ISNUMBER(K175),O175=0),0,VLOOKUP(HLOOKUP(Stn_WL,Tools!$AD$2:$AD$27,N175+2,FALSE),Tools!$AD$3:$BC$27,O175+1,FALSE)),"")</f>
        <v>12.04</v>
      </c>
      <c r="M175" s="433">
        <f>IFERROR(IF(ISNUMBER(L175),IF(O175=0,IFERROR(HLOOKUP(Tools!$BD$127,Tools!$BD$127:$BD$152,N175+2,FALSE)*1,0),HLOOKUP(Tools!$BE$2,Tools!$BE$2:$BE$27,O175+1,FALSE)*WLS),""),"")</f>
        <v>2.7</v>
      </c>
      <c r="N175">
        <f t="shared" si="14"/>
        <v>13</v>
      </c>
      <c r="O175">
        <f t="shared" si="15"/>
        <v>4</v>
      </c>
    </row>
    <row r="176" spans="1:15" x14ac:dyDescent="0.25">
      <c r="A176" s="427">
        <f t="shared" si="16"/>
        <v>175</v>
      </c>
      <c r="B176" s="430">
        <f t="shared" si="12"/>
        <v>15</v>
      </c>
      <c r="C176" s="433">
        <f>IFERROR(-LBP/2+HLOOKUP(Stn_WL,Tools!$AD$2:$AD$27,QUOTIENT(ROW()-2,Max_WL_count)+2,FALSE)*STN_GAP,"")</f>
        <v>13.169999999999987</v>
      </c>
      <c r="D176" s="433">
        <f>IFERROR(VLOOKUP(HLOOKUP(Stn_WL,Tools!$AD$2:$AD$27,QUOTIENT(ROW()-2,Max_WL_count)+2,FALSE),Tools!$AD$3:$BC$27,MOD(ROW()-2,Max_WL_count)+2,FALSE),"")</f>
        <v>12.25</v>
      </c>
      <c r="E176" s="431">
        <f>IFERROR(IF(ISNUMBER(D176),HLOOKUP(Tools!$BE$2,Tools!$BE$2:$BE$27,MOD(ROW()-2,Max_WL_count)+2,FALSE)*WLS,""),"")</f>
        <v>7.2</v>
      </c>
      <c r="I176" s="427">
        <f t="shared" si="17"/>
        <v>175</v>
      </c>
      <c r="J176" s="430">
        <f t="shared" si="13"/>
        <v>14</v>
      </c>
      <c r="K176" s="433">
        <f>IFERROR(-LBP/2+HLOOKUP(Stn_WL,Tools!$AD$2:$AD$27,N176+2,FALSE)*STN_GAP,"")</f>
        <v>6.5849999999999937</v>
      </c>
      <c r="L176" s="433">
        <f>IFERROR(IF(AND(ISNUMBER(K176),O176=0),0,VLOOKUP(HLOOKUP(Stn_WL,Tools!$AD$2:$AD$27,N176+2,FALSE),Tools!$AD$3:$BC$27,O176+1,FALSE)),"")</f>
        <v>12.21</v>
      </c>
      <c r="M176" s="433">
        <f>IFERROR(IF(ISNUMBER(L176),IF(O176=0,IFERROR(HLOOKUP(Tools!$BD$127,Tools!$BD$127:$BD$152,N176+2,FALSE)*1,0),HLOOKUP(Tools!$BE$2,Tools!$BE$2:$BE$27,O176+1,FALSE)*WLS),""),"")</f>
        <v>3.6</v>
      </c>
      <c r="N176">
        <f t="shared" si="14"/>
        <v>13</v>
      </c>
      <c r="O176">
        <f t="shared" si="15"/>
        <v>5</v>
      </c>
    </row>
    <row r="177" spans="1:15" x14ac:dyDescent="0.25">
      <c r="A177" s="427">
        <f t="shared" si="16"/>
        <v>176</v>
      </c>
      <c r="B177" s="430">
        <f t="shared" si="12"/>
        <v>15</v>
      </c>
      <c r="C177" s="433">
        <f>IFERROR(-LBP/2+HLOOKUP(Stn_WL,Tools!$AD$2:$AD$27,QUOTIENT(ROW()-2,Max_WL_count)+2,FALSE)*STN_GAP,"")</f>
        <v>13.169999999999987</v>
      </c>
      <c r="D177" s="433">
        <f>IFERROR(VLOOKUP(HLOOKUP(Stn_WL,Tools!$AD$2:$AD$27,QUOTIENT(ROW()-2,Max_WL_count)+2,FALSE),Tools!$AD$3:$BC$27,MOD(ROW()-2,Max_WL_count)+2,FALSE),"")</f>
        <v>12.25</v>
      </c>
      <c r="E177" s="431">
        <f>IFERROR(IF(ISNUMBER(D177),HLOOKUP(Tools!$BE$2,Tools!$BE$2:$BE$27,MOD(ROW()-2,Max_WL_count)+2,FALSE)*WLS,""),"")</f>
        <v>9</v>
      </c>
      <c r="I177" s="427">
        <f t="shared" si="17"/>
        <v>176</v>
      </c>
      <c r="J177" s="430">
        <f t="shared" si="13"/>
        <v>14</v>
      </c>
      <c r="K177" s="433">
        <f>IFERROR(-LBP/2+HLOOKUP(Stn_WL,Tools!$AD$2:$AD$27,N177+2,FALSE)*STN_GAP,"")</f>
        <v>6.5849999999999937</v>
      </c>
      <c r="L177" s="433">
        <f>IFERROR(IF(AND(ISNUMBER(K177),O177=0),0,VLOOKUP(HLOOKUP(Stn_WL,Tools!$AD$2:$AD$27,N177+2,FALSE),Tools!$AD$3:$BC$27,O177+1,FALSE)),"")</f>
        <v>12.25</v>
      </c>
      <c r="M177" s="433">
        <f>IFERROR(IF(ISNUMBER(L177),IF(O177=0,IFERROR(HLOOKUP(Tools!$BD$127,Tools!$BD$127:$BD$152,N177+2,FALSE)*1,0),HLOOKUP(Tools!$BE$2,Tools!$BE$2:$BE$27,O177+1,FALSE)*WLS),""),"")</f>
        <v>5.4</v>
      </c>
      <c r="N177">
        <f t="shared" si="14"/>
        <v>13</v>
      </c>
      <c r="O177">
        <f t="shared" si="15"/>
        <v>6</v>
      </c>
    </row>
    <row r="178" spans="1:15" x14ac:dyDescent="0.25">
      <c r="A178" s="427">
        <f t="shared" si="16"/>
        <v>177</v>
      </c>
      <c r="B178" s="430">
        <f t="shared" si="12"/>
        <v>15</v>
      </c>
      <c r="C178" s="433">
        <f>IFERROR(-LBP/2+HLOOKUP(Stn_WL,Tools!$AD$2:$AD$27,QUOTIENT(ROW()-2,Max_WL_count)+2,FALSE)*STN_GAP,"")</f>
        <v>13.169999999999987</v>
      </c>
      <c r="D178" s="433">
        <f>IFERROR(VLOOKUP(HLOOKUP(Stn_WL,Tools!$AD$2:$AD$27,QUOTIENT(ROW()-2,Max_WL_count)+2,FALSE),Tools!$AD$3:$BC$27,MOD(ROW()-2,Max_WL_count)+2,FALSE),"")</f>
        <v>12.25</v>
      </c>
      <c r="E178" s="431">
        <f>IFERROR(IF(ISNUMBER(D178),HLOOKUP(Tools!$BE$2,Tools!$BE$2:$BE$27,MOD(ROW()-2,Max_WL_count)+2,FALSE)*WLS,""),"")</f>
        <v>10.1</v>
      </c>
      <c r="I178" s="427">
        <f t="shared" si="17"/>
        <v>177</v>
      </c>
      <c r="J178" s="430">
        <f t="shared" si="13"/>
        <v>14</v>
      </c>
      <c r="K178" s="433">
        <f>IFERROR(-LBP/2+HLOOKUP(Stn_WL,Tools!$AD$2:$AD$27,N178+2,FALSE)*STN_GAP,"")</f>
        <v>6.5849999999999937</v>
      </c>
      <c r="L178" s="433">
        <f>IFERROR(IF(AND(ISNUMBER(K178),O178=0),0,VLOOKUP(HLOOKUP(Stn_WL,Tools!$AD$2:$AD$27,N178+2,FALSE),Tools!$AD$3:$BC$27,O178+1,FALSE)),"")</f>
        <v>12.25</v>
      </c>
      <c r="M178" s="433">
        <f>IFERROR(IF(ISNUMBER(L178),IF(O178=0,IFERROR(HLOOKUP(Tools!$BD$127,Tools!$BD$127:$BD$152,N178+2,FALSE)*1,0),HLOOKUP(Tools!$BE$2,Tools!$BE$2:$BE$27,O178+1,FALSE)*WLS),""),"")</f>
        <v>7.2</v>
      </c>
      <c r="N178">
        <f t="shared" si="14"/>
        <v>13</v>
      </c>
      <c r="O178">
        <f t="shared" si="15"/>
        <v>7</v>
      </c>
    </row>
    <row r="179" spans="1:15" x14ac:dyDescent="0.25">
      <c r="A179" s="427">
        <f t="shared" si="16"/>
        <v>178</v>
      </c>
      <c r="B179" s="430">
        <f t="shared" si="12"/>
        <v>15</v>
      </c>
      <c r="C179" s="433">
        <f>IFERROR(-LBP/2+HLOOKUP(Stn_WL,Tools!$AD$2:$AD$27,QUOTIENT(ROW()-2,Max_WL_count)+2,FALSE)*STN_GAP,"")</f>
        <v>13.169999999999987</v>
      </c>
      <c r="D179" s="433">
        <f>IFERROR(VLOOKUP(HLOOKUP(Stn_WL,Tools!$AD$2:$AD$27,QUOTIENT(ROW()-2,Max_WL_count)+2,FALSE),Tools!$AD$3:$BC$27,MOD(ROW()-2,Max_WL_count)+2,FALSE),"")</f>
        <v>12.25</v>
      </c>
      <c r="E179" s="431">
        <f>IFERROR(IF(ISNUMBER(D179),HLOOKUP(Tools!$BE$2,Tools!$BE$2:$BE$27,MOD(ROW()-2,Max_WL_count)+2,FALSE)*WLS,""),"")</f>
        <v>10.8</v>
      </c>
      <c r="I179" s="427">
        <f t="shared" si="17"/>
        <v>178</v>
      </c>
      <c r="J179" s="430">
        <f t="shared" si="13"/>
        <v>14</v>
      </c>
      <c r="K179" s="433">
        <f>IFERROR(-LBP/2+HLOOKUP(Stn_WL,Tools!$AD$2:$AD$27,N179+2,FALSE)*STN_GAP,"")</f>
        <v>6.5849999999999937</v>
      </c>
      <c r="L179" s="433">
        <f>IFERROR(IF(AND(ISNUMBER(K179),O179=0),0,VLOOKUP(HLOOKUP(Stn_WL,Tools!$AD$2:$AD$27,N179+2,FALSE),Tools!$AD$3:$BC$27,O179+1,FALSE)),"")</f>
        <v>12.25</v>
      </c>
      <c r="M179" s="433">
        <f>IFERROR(IF(ISNUMBER(L179),IF(O179=0,IFERROR(HLOOKUP(Tools!$BD$127,Tools!$BD$127:$BD$152,N179+2,FALSE)*1,0),HLOOKUP(Tools!$BE$2,Tools!$BE$2:$BE$27,O179+1,FALSE)*WLS),""),"")</f>
        <v>9</v>
      </c>
      <c r="N179">
        <f t="shared" si="14"/>
        <v>13</v>
      </c>
      <c r="O179">
        <f t="shared" si="15"/>
        <v>8</v>
      </c>
    </row>
    <row r="180" spans="1:15" x14ac:dyDescent="0.25">
      <c r="A180" s="427">
        <f t="shared" si="16"/>
        <v>179</v>
      </c>
      <c r="B180" s="430">
        <f t="shared" si="12"/>
        <v>15</v>
      </c>
      <c r="C180" s="433">
        <f>IFERROR(-LBP/2+HLOOKUP(Stn_WL,Tools!$AD$2:$AD$27,QUOTIENT(ROW()-2,Max_WL_count)+2,FALSE)*STN_GAP,"")</f>
        <v>13.169999999999987</v>
      </c>
      <c r="D180" s="433">
        <f>IFERROR(VLOOKUP(HLOOKUP(Stn_WL,Tools!$AD$2:$AD$27,QUOTIENT(ROW()-2,Max_WL_count)+2,FALSE),Tools!$AD$3:$BC$27,MOD(ROW()-2,Max_WL_count)+2,FALSE),"")</f>
        <v>12.25</v>
      </c>
      <c r="E180" s="431">
        <f>IFERROR(IF(ISNUMBER(D180),HLOOKUP(Tools!$BE$2,Tools!$BE$2:$BE$27,MOD(ROW()-2,Max_WL_count)+2,FALSE)*WLS,""),"")</f>
        <v>12.6</v>
      </c>
      <c r="I180" s="427">
        <f t="shared" si="17"/>
        <v>179</v>
      </c>
      <c r="J180" s="430">
        <f t="shared" si="13"/>
        <v>14</v>
      </c>
      <c r="K180" s="433">
        <f>IFERROR(-LBP/2+HLOOKUP(Stn_WL,Tools!$AD$2:$AD$27,N180+2,FALSE)*STN_GAP,"")</f>
        <v>6.5849999999999937</v>
      </c>
      <c r="L180" s="433">
        <f>IFERROR(IF(AND(ISNUMBER(K180),O180=0),0,VLOOKUP(HLOOKUP(Stn_WL,Tools!$AD$2:$AD$27,N180+2,FALSE),Tools!$AD$3:$BC$27,O180+1,FALSE)),"")</f>
        <v>12.25</v>
      </c>
      <c r="M180" s="433">
        <f>IFERROR(IF(ISNUMBER(L180),IF(O180=0,IFERROR(HLOOKUP(Tools!$BD$127,Tools!$BD$127:$BD$152,N180+2,FALSE)*1,0),HLOOKUP(Tools!$BE$2,Tools!$BE$2:$BE$27,O180+1,FALSE)*WLS),""),"")</f>
        <v>10.1</v>
      </c>
      <c r="N180">
        <f t="shared" si="14"/>
        <v>13</v>
      </c>
      <c r="O180">
        <f t="shared" si="15"/>
        <v>9</v>
      </c>
    </row>
    <row r="181" spans="1:15" x14ac:dyDescent="0.25">
      <c r="A181" s="427">
        <f t="shared" si="16"/>
        <v>180</v>
      </c>
      <c r="B181" s="430">
        <f t="shared" si="12"/>
        <v>15</v>
      </c>
      <c r="C181" s="433">
        <f>IFERROR(-LBP/2+HLOOKUP(Stn_WL,Tools!$AD$2:$AD$27,QUOTIENT(ROW()-2,Max_WL_count)+2,FALSE)*STN_GAP,"")</f>
        <v>13.169999999999987</v>
      </c>
      <c r="D181" s="433">
        <f>IFERROR(VLOOKUP(HLOOKUP(Stn_WL,Tools!$AD$2:$AD$27,QUOTIENT(ROW()-2,Max_WL_count)+2,FALSE),Tools!$AD$3:$BC$27,MOD(ROW()-2,Max_WL_count)+2,FALSE),"")</f>
        <v>12.25</v>
      </c>
      <c r="E181" s="431">
        <f>IFERROR(IF(ISNUMBER(D181),HLOOKUP(Tools!$BE$2,Tools!$BE$2:$BE$27,MOD(ROW()-2,Max_WL_count)+2,FALSE)*WLS,""),"")</f>
        <v>14.19</v>
      </c>
      <c r="I181" s="427">
        <f t="shared" si="17"/>
        <v>180</v>
      </c>
      <c r="J181" s="430">
        <f t="shared" si="13"/>
        <v>14</v>
      </c>
      <c r="K181" s="433">
        <f>IFERROR(-LBP/2+HLOOKUP(Stn_WL,Tools!$AD$2:$AD$27,N181+2,FALSE)*STN_GAP,"")</f>
        <v>6.5849999999999937</v>
      </c>
      <c r="L181" s="433">
        <f>IFERROR(IF(AND(ISNUMBER(K181),O181=0),0,VLOOKUP(HLOOKUP(Stn_WL,Tools!$AD$2:$AD$27,N181+2,FALSE),Tools!$AD$3:$BC$27,O181+1,FALSE)),"")</f>
        <v>12.25</v>
      </c>
      <c r="M181" s="433">
        <f>IFERROR(IF(ISNUMBER(L181),IF(O181=0,IFERROR(HLOOKUP(Tools!$BD$127,Tools!$BD$127:$BD$152,N181+2,FALSE)*1,0),HLOOKUP(Tools!$BE$2,Tools!$BE$2:$BE$27,O181+1,FALSE)*WLS),""),"")</f>
        <v>10.8</v>
      </c>
      <c r="N181">
        <f t="shared" si="14"/>
        <v>13</v>
      </c>
      <c r="O181">
        <f t="shared" si="15"/>
        <v>10</v>
      </c>
    </row>
    <row r="182" spans="1:15" x14ac:dyDescent="0.25">
      <c r="A182" s="427">
        <f t="shared" si="16"/>
        <v>181</v>
      </c>
      <c r="B182" s="430">
        <f t="shared" si="12"/>
        <v>16</v>
      </c>
      <c r="C182" s="433">
        <f>IFERROR(-LBP/2+HLOOKUP(Stn_WL,Tools!$AD$2:$AD$27,QUOTIENT(ROW()-2,Max_WL_count)+2,FALSE)*STN_GAP,"")</f>
        <v>19.754999999999995</v>
      </c>
      <c r="D182" s="433">
        <f>IFERROR(VLOOKUP(HLOOKUP(Stn_WL,Tools!$AD$2:$AD$27,QUOTIENT(ROW()-2,Max_WL_count)+2,FALSE),Tools!$AD$3:$BC$27,MOD(ROW()-2,Max_WL_count)+2,FALSE),"")</f>
        <v>6.7</v>
      </c>
      <c r="E182" s="431">
        <f>IFERROR(IF(ISNUMBER(D182),HLOOKUP(Tools!$BE$2,Tools!$BE$2:$BE$27,MOD(ROW()-2,Max_WL_count)+2,FALSE)*WLS,""),"")</f>
        <v>0</v>
      </c>
      <c r="I182" s="427">
        <f t="shared" si="17"/>
        <v>181</v>
      </c>
      <c r="J182" s="430">
        <f t="shared" si="13"/>
        <v>14</v>
      </c>
      <c r="K182" s="433">
        <f>IFERROR(-LBP/2+HLOOKUP(Stn_WL,Tools!$AD$2:$AD$27,N182+2,FALSE)*STN_GAP,"")</f>
        <v>6.5849999999999937</v>
      </c>
      <c r="L182" s="433">
        <f>IFERROR(IF(AND(ISNUMBER(K182),O182=0),0,VLOOKUP(HLOOKUP(Stn_WL,Tools!$AD$2:$AD$27,N182+2,FALSE),Tools!$AD$3:$BC$27,O182+1,FALSE)),"")</f>
        <v>12.25</v>
      </c>
      <c r="M182" s="433">
        <f>IFERROR(IF(ISNUMBER(L182),IF(O182=0,IFERROR(HLOOKUP(Tools!$BD$127,Tools!$BD$127:$BD$152,N182+2,FALSE)*1,0),HLOOKUP(Tools!$BE$2,Tools!$BE$2:$BE$27,O182+1,FALSE)*WLS),""),"")</f>
        <v>12.6</v>
      </c>
      <c r="N182">
        <f t="shared" si="14"/>
        <v>13</v>
      </c>
      <c r="O182">
        <f t="shared" si="15"/>
        <v>11</v>
      </c>
    </row>
    <row r="183" spans="1:15" x14ac:dyDescent="0.25">
      <c r="A183" s="427">
        <f t="shared" si="16"/>
        <v>182</v>
      </c>
      <c r="B183" s="430">
        <f t="shared" si="12"/>
        <v>16</v>
      </c>
      <c r="C183" s="433">
        <f>IFERROR(-LBP/2+HLOOKUP(Stn_WL,Tools!$AD$2:$AD$27,QUOTIENT(ROW()-2,Max_WL_count)+2,FALSE)*STN_GAP,"")</f>
        <v>19.754999999999995</v>
      </c>
      <c r="D183" s="433">
        <f>IFERROR(VLOOKUP(HLOOKUP(Stn_WL,Tools!$AD$2:$AD$27,QUOTIENT(ROW()-2,Max_WL_count)+2,FALSE),Tools!$AD$3:$BC$27,MOD(ROW()-2,Max_WL_count)+2,FALSE),"")</f>
        <v>8.84</v>
      </c>
      <c r="E183" s="431">
        <f>IFERROR(IF(ISNUMBER(D183),HLOOKUP(Tools!$BE$2,Tools!$BE$2:$BE$27,MOD(ROW()-2,Max_WL_count)+2,FALSE)*WLS,""),"")</f>
        <v>0.9</v>
      </c>
      <c r="I183" s="427">
        <f t="shared" si="17"/>
        <v>182</v>
      </c>
      <c r="J183" s="430">
        <f t="shared" si="13"/>
        <v>14</v>
      </c>
      <c r="K183" s="433">
        <f>IFERROR(-LBP/2+HLOOKUP(Stn_WL,Tools!$AD$2:$AD$27,N183+2,FALSE)*STN_GAP,"")</f>
        <v>6.5849999999999937</v>
      </c>
      <c r="L183" s="433">
        <f>IFERROR(IF(AND(ISNUMBER(K183),O183=0),0,VLOOKUP(HLOOKUP(Stn_WL,Tools!$AD$2:$AD$27,N183+2,FALSE),Tools!$AD$3:$BC$27,O183+1,FALSE)),"")</f>
        <v>12.25</v>
      </c>
      <c r="M183" s="433">
        <f>IFERROR(IF(ISNUMBER(L183),IF(O183=0,IFERROR(HLOOKUP(Tools!$BD$127,Tools!$BD$127:$BD$152,N183+2,FALSE)*1,0),HLOOKUP(Tools!$BE$2,Tools!$BE$2:$BE$27,O183+1,FALSE)*WLS),""),"")</f>
        <v>14.19</v>
      </c>
      <c r="N183">
        <f t="shared" si="14"/>
        <v>13</v>
      </c>
      <c r="O183">
        <f t="shared" si="15"/>
        <v>12</v>
      </c>
    </row>
    <row r="184" spans="1:15" x14ac:dyDescent="0.25">
      <c r="A184" s="427">
        <f t="shared" si="16"/>
        <v>183</v>
      </c>
      <c r="B184" s="430">
        <f t="shared" si="12"/>
        <v>16</v>
      </c>
      <c r="C184" s="433">
        <f>IFERROR(-LBP/2+HLOOKUP(Stn_WL,Tools!$AD$2:$AD$27,QUOTIENT(ROW()-2,Max_WL_count)+2,FALSE)*STN_GAP,"")</f>
        <v>19.754999999999995</v>
      </c>
      <c r="D184" s="433">
        <f>IFERROR(VLOOKUP(HLOOKUP(Stn_WL,Tools!$AD$2:$AD$27,QUOTIENT(ROW()-2,Max_WL_count)+2,FALSE),Tools!$AD$3:$BC$27,MOD(ROW()-2,Max_WL_count)+2,FALSE),"")</f>
        <v>10.029999999999999</v>
      </c>
      <c r="E184" s="431">
        <f>IFERROR(IF(ISNUMBER(D184),HLOOKUP(Tools!$BE$2,Tools!$BE$2:$BE$27,MOD(ROW()-2,Max_WL_count)+2,FALSE)*WLS,""),"")</f>
        <v>1.8</v>
      </c>
      <c r="I184" s="427">
        <f t="shared" si="17"/>
        <v>183</v>
      </c>
      <c r="J184" s="430">
        <f t="shared" si="13"/>
        <v>15</v>
      </c>
      <c r="K184" s="433">
        <f>IFERROR(-LBP/2+HLOOKUP(Stn_WL,Tools!$AD$2:$AD$27,N184+2,FALSE)*STN_GAP,"")</f>
        <v>13.169999999999987</v>
      </c>
      <c r="L184" s="433">
        <f>IFERROR(IF(AND(ISNUMBER(K184),O184=0),0,VLOOKUP(HLOOKUP(Stn_WL,Tools!$AD$2:$AD$27,N184+2,FALSE),Tools!$AD$3:$BC$27,O184+1,FALSE)),"")</f>
        <v>0</v>
      </c>
      <c r="M184" s="433">
        <f>IFERROR(IF(ISNUMBER(L184),IF(O184=0,IFERROR(HLOOKUP(Tools!$BD$127,Tools!$BD$127:$BD$152,N184+2,FALSE)*1,0),HLOOKUP(Tools!$BE$2,Tools!$BE$2:$BE$27,O184+1,FALSE)*WLS),""),"")</f>
        <v>0</v>
      </c>
      <c r="N184">
        <f t="shared" si="14"/>
        <v>14</v>
      </c>
      <c r="O184">
        <f t="shared" si="15"/>
        <v>0</v>
      </c>
    </row>
    <row r="185" spans="1:15" x14ac:dyDescent="0.25">
      <c r="A185" s="427">
        <f t="shared" si="16"/>
        <v>184</v>
      </c>
      <c r="B185" s="430">
        <f t="shared" si="12"/>
        <v>16</v>
      </c>
      <c r="C185" s="433">
        <f>IFERROR(-LBP/2+HLOOKUP(Stn_WL,Tools!$AD$2:$AD$27,QUOTIENT(ROW()-2,Max_WL_count)+2,FALSE)*STN_GAP,"")</f>
        <v>19.754999999999995</v>
      </c>
      <c r="D185" s="433">
        <f>IFERROR(VLOOKUP(HLOOKUP(Stn_WL,Tools!$AD$2:$AD$27,QUOTIENT(ROW()-2,Max_WL_count)+2,FALSE),Tools!$AD$3:$BC$27,MOD(ROW()-2,Max_WL_count)+2,FALSE),"")</f>
        <v>10.68</v>
      </c>
      <c r="E185" s="431">
        <f>IFERROR(IF(ISNUMBER(D185),HLOOKUP(Tools!$BE$2,Tools!$BE$2:$BE$27,MOD(ROW()-2,Max_WL_count)+2,FALSE)*WLS,""),"")</f>
        <v>2.7</v>
      </c>
      <c r="I185" s="427">
        <f t="shared" si="17"/>
        <v>184</v>
      </c>
      <c r="J185" s="430">
        <f t="shared" si="13"/>
        <v>15</v>
      </c>
      <c r="K185" s="433">
        <f>IFERROR(-LBP/2+HLOOKUP(Stn_WL,Tools!$AD$2:$AD$27,N185+2,FALSE)*STN_GAP,"")</f>
        <v>13.169999999999987</v>
      </c>
      <c r="L185" s="433">
        <f>IFERROR(IF(AND(ISNUMBER(K185),O185=0),0,VLOOKUP(HLOOKUP(Stn_WL,Tools!$AD$2:$AD$27,N185+2,FALSE),Tools!$AD$3:$BC$27,O185+1,FALSE)),"")</f>
        <v>7.85</v>
      </c>
      <c r="M185" s="433">
        <f>IFERROR(IF(ISNUMBER(L185),IF(O185=0,IFERROR(HLOOKUP(Tools!$BD$127,Tools!$BD$127:$BD$152,N185+2,FALSE)*1,0),HLOOKUP(Tools!$BE$2,Tools!$BE$2:$BE$27,O185+1,FALSE)*WLS),""),"")</f>
        <v>0</v>
      </c>
      <c r="N185">
        <f t="shared" si="14"/>
        <v>14</v>
      </c>
      <c r="O185">
        <f t="shared" si="15"/>
        <v>1</v>
      </c>
    </row>
    <row r="186" spans="1:15" x14ac:dyDescent="0.25">
      <c r="A186" s="427">
        <f t="shared" si="16"/>
        <v>185</v>
      </c>
      <c r="B186" s="430">
        <f t="shared" si="12"/>
        <v>16</v>
      </c>
      <c r="C186" s="433">
        <f>IFERROR(-LBP/2+HLOOKUP(Stn_WL,Tools!$AD$2:$AD$27,QUOTIENT(ROW()-2,Max_WL_count)+2,FALSE)*STN_GAP,"")</f>
        <v>19.754999999999995</v>
      </c>
      <c r="D186" s="433">
        <f>IFERROR(VLOOKUP(HLOOKUP(Stn_WL,Tools!$AD$2:$AD$27,QUOTIENT(ROW()-2,Max_WL_count)+2,FALSE),Tools!$AD$3:$BC$27,MOD(ROW()-2,Max_WL_count)+2,FALSE),"")</f>
        <v>11.1</v>
      </c>
      <c r="E186" s="431">
        <f>IFERROR(IF(ISNUMBER(D186),HLOOKUP(Tools!$BE$2,Tools!$BE$2:$BE$27,MOD(ROW()-2,Max_WL_count)+2,FALSE)*WLS,""),"")</f>
        <v>3.6</v>
      </c>
      <c r="I186" s="427">
        <f t="shared" si="17"/>
        <v>185</v>
      </c>
      <c r="J186" s="430">
        <f t="shared" si="13"/>
        <v>15</v>
      </c>
      <c r="K186" s="433">
        <f>IFERROR(-LBP/2+HLOOKUP(Stn_WL,Tools!$AD$2:$AD$27,N186+2,FALSE)*STN_GAP,"")</f>
        <v>13.169999999999987</v>
      </c>
      <c r="L186" s="433">
        <f>IFERROR(IF(AND(ISNUMBER(K186),O186=0),0,VLOOKUP(HLOOKUP(Stn_WL,Tools!$AD$2:$AD$27,N186+2,FALSE),Tools!$AD$3:$BC$27,O186+1,FALSE)),"")</f>
        <v>10.02</v>
      </c>
      <c r="M186" s="433">
        <f>IFERROR(IF(ISNUMBER(L186),IF(O186=0,IFERROR(HLOOKUP(Tools!$BD$127,Tools!$BD$127:$BD$152,N186+2,FALSE)*1,0),HLOOKUP(Tools!$BE$2,Tools!$BE$2:$BE$27,O186+1,FALSE)*WLS),""),"")</f>
        <v>0.9</v>
      </c>
      <c r="N186">
        <f t="shared" si="14"/>
        <v>14</v>
      </c>
      <c r="O186">
        <f t="shared" si="15"/>
        <v>2</v>
      </c>
    </row>
    <row r="187" spans="1:15" x14ac:dyDescent="0.25">
      <c r="A187" s="427">
        <f t="shared" si="16"/>
        <v>186</v>
      </c>
      <c r="B187" s="430">
        <f t="shared" si="12"/>
        <v>16</v>
      </c>
      <c r="C187" s="433">
        <f>IFERROR(-LBP/2+HLOOKUP(Stn_WL,Tools!$AD$2:$AD$27,QUOTIENT(ROW()-2,Max_WL_count)+2,FALSE)*STN_GAP,"")</f>
        <v>19.754999999999995</v>
      </c>
      <c r="D187" s="433">
        <f>IFERROR(VLOOKUP(HLOOKUP(Stn_WL,Tools!$AD$2:$AD$27,QUOTIENT(ROW()-2,Max_WL_count)+2,FALSE),Tools!$AD$3:$BC$27,MOD(ROW()-2,Max_WL_count)+2,FALSE),"")</f>
        <v>11.64</v>
      </c>
      <c r="E187" s="431">
        <f>IFERROR(IF(ISNUMBER(D187),HLOOKUP(Tools!$BE$2,Tools!$BE$2:$BE$27,MOD(ROW()-2,Max_WL_count)+2,FALSE)*WLS,""),"")</f>
        <v>5.4</v>
      </c>
      <c r="I187" s="427">
        <f t="shared" si="17"/>
        <v>186</v>
      </c>
      <c r="J187" s="430">
        <f t="shared" si="13"/>
        <v>15</v>
      </c>
      <c r="K187" s="433">
        <f>IFERROR(-LBP/2+HLOOKUP(Stn_WL,Tools!$AD$2:$AD$27,N187+2,FALSE)*STN_GAP,"")</f>
        <v>13.169999999999987</v>
      </c>
      <c r="L187" s="433">
        <f>IFERROR(IF(AND(ISNUMBER(K187),O187=0),0,VLOOKUP(HLOOKUP(Stn_WL,Tools!$AD$2:$AD$27,N187+2,FALSE),Tools!$AD$3:$BC$27,O187+1,FALSE)),"")</f>
        <v>11.1</v>
      </c>
      <c r="M187" s="433">
        <f>IFERROR(IF(ISNUMBER(L187),IF(O187=0,IFERROR(HLOOKUP(Tools!$BD$127,Tools!$BD$127:$BD$152,N187+2,FALSE)*1,0),HLOOKUP(Tools!$BE$2,Tools!$BE$2:$BE$27,O187+1,FALSE)*WLS),""),"")</f>
        <v>1.8</v>
      </c>
      <c r="N187">
        <f t="shared" si="14"/>
        <v>14</v>
      </c>
      <c r="O187">
        <f t="shared" si="15"/>
        <v>3</v>
      </c>
    </row>
    <row r="188" spans="1:15" x14ac:dyDescent="0.25">
      <c r="A188" s="427">
        <f t="shared" si="16"/>
        <v>187</v>
      </c>
      <c r="B188" s="430">
        <f t="shared" si="12"/>
        <v>16</v>
      </c>
      <c r="C188" s="433">
        <f>IFERROR(-LBP/2+HLOOKUP(Stn_WL,Tools!$AD$2:$AD$27,QUOTIENT(ROW()-2,Max_WL_count)+2,FALSE)*STN_GAP,"")</f>
        <v>19.754999999999995</v>
      </c>
      <c r="D188" s="433">
        <f>IFERROR(VLOOKUP(HLOOKUP(Stn_WL,Tools!$AD$2:$AD$27,QUOTIENT(ROW()-2,Max_WL_count)+2,FALSE),Tools!$AD$3:$BC$27,MOD(ROW()-2,Max_WL_count)+2,FALSE),"")</f>
        <v>11.97</v>
      </c>
      <c r="E188" s="431">
        <f>IFERROR(IF(ISNUMBER(D188),HLOOKUP(Tools!$BE$2,Tools!$BE$2:$BE$27,MOD(ROW()-2,Max_WL_count)+2,FALSE)*WLS,""),"")</f>
        <v>7.2</v>
      </c>
      <c r="I188" s="427">
        <f t="shared" si="17"/>
        <v>187</v>
      </c>
      <c r="J188" s="430">
        <f t="shared" si="13"/>
        <v>15</v>
      </c>
      <c r="K188" s="433">
        <f>IFERROR(-LBP/2+HLOOKUP(Stn_WL,Tools!$AD$2:$AD$27,N188+2,FALSE)*STN_GAP,"")</f>
        <v>13.169999999999987</v>
      </c>
      <c r="L188" s="433">
        <f>IFERROR(IF(AND(ISNUMBER(K188),O188=0),0,VLOOKUP(HLOOKUP(Stn_WL,Tools!$AD$2:$AD$27,N188+2,FALSE),Tools!$AD$3:$BC$27,O188+1,FALSE)),"")</f>
        <v>11.63</v>
      </c>
      <c r="M188" s="433">
        <f>IFERROR(IF(ISNUMBER(L188),IF(O188=0,IFERROR(HLOOKUP(Tools!$BD$127,Tools!$BD$127:$BD$152,N188+2,FALSE)*1,0),HLOOKUP(Tools!$BE$2,Tools!$BE$2:$BE$27,O188+1,FALSE)*WLS),""),"")</f>
        <v>2.7</v>
      </c>
      <c r="N188">
        <f t="shared" si="14"/>
        <v>14</v>
      </c>
      <c r="O188">
        <f t="shared" si="15"/>
        <v>4</v>
      </c>
    </row>
    <row r="189" spans="1:15" x14ac:dyDescent="0.25">
      <c r="A189" s="427">
        <f t="shared" si="16"/>
        <v>188</v>
      </c>
      <c r="B189" s="430">
        <f t="shared" si="12"/>
        <v>16</v>
      </c>
      <c r="C189" s="433">
        <f>IFERROR(-LBP/2+HLOOKUP(Stn_WL,Tools!$AD$2:$AD$27,QUOTIENT(ROW()-2,Max_WL_count)+2,FALSE)*STN_GAP,"")</f>
        <v>19.754999999999995</v>
      </c>
      <c r="D189" s="433">
        <f>IFERROR(VLOOKUP(HLOOKUP(Stn_WL,Tools!$AD$2:$AD$27,QUOTIENT(ROW()-2,Max_WL_count)+2,FALSE),Tools!$AD$3:$BC$27,MOD(ROW()-2,Max_WL_count)+2,FALSE),"")</f>
        <v>12.18</v>
      </c>
      <c r="E189" s="431">
        <f>IFERROR(IF(ISNUMBER(D189),HLOOKUP(Tools!$BE$2,Tools!$BE$2:$BE$27,MOD(ROW()-2,Max_WL_count)+2,FALSE)*WLS,""),"")</f>
        <v>9</v>
      </c>
      <c r="I189" s="427">
        <f t="shared" si="17"/>
        <v>188</v>
      </c>
      <c r="J189" s="430">
        <f t="shared" si="13"/>
        <v>15</v>
      </c>
      <c r="K189" s="433">
        <f>IFERROR(-LBP/2+HLOOKUP(Stn_WL,Tools!$AD$2:$AD$27,N189+2,FALSE)*STN_GAP,"")</f>
        <v>13.169999999999987</v>
      </c>
      <c r="L189" s="433">
        <f>IFERROR(IF(AND(ISNUMBER(K189),O189=0),0,VLOOKUP(HLOOKUP(Stn_WL,Tools!$AD$2:$AD$27,N189+2,FALSE),Tools!$AD$3:$BC$27,O189+1,FALSE)),"")</f>
        <v>11.92</v>
      </c>
      <c r="M189" s="433">
        <f>IFERROR(IF(ISNUMBER(L189),IF(O189=0,IFERROR(HLOOKUP(Tools!$BD$127,Tools!$BD$127:$BD$152,N189+2,FALSE)*1,0),HLOOKUP(Tools!$BE$2,Tools!$BE$2:$BE$27,O189+1,FALSE)*WLS),""),"")</f>
        <v>3.6</v>
      </c>
      <c r="N189">
        <f t="shared" si="14"/>
        <v>14</v>
      </c>
      <c r="O189">
        <f t="shared" si="15"/>
        <v>5</v>
      </c>
    </row>
    <row r="190" spans="1:15" x14ac:dyDescent="0.25">
      <c r="A190" s="427">
        <f t="shared" si="16"/>
        <v>189</v>
      </c>
      <c r="B190" s="430">
        <f t="shared" si="12"/>
        <v>16</v>
      </c>
      <c r="C190" s="433">
        <f>IFERROR(-LBP/2+HLOOKUP(Stn_WL,Tools!$AD$2:$AD$27,QUOTIENT(ROW()-2,Max_WL_count)+2,FALSE)*STN_GAP,"")</f>
        <v>19.754999999999995</v>
      </c>
      <c r="D190" s="433">
        <f>IFERROR(VLOOKUP(HLOOKUP(Stn_WL,Tools!$AD$2:$AD$27,QUOTIENT(ROW()-2,Max_WL_count)+2,FALSE),Tools!$AD$3:$BC$27,MOD(ROW()-2,Max_WL_count)+2,FALSE),"")</f>
        <v>12.22</v>
      </c>
      <c r="E190" s="431">
        <f>IFERROR(IF(ISNUMBER(D190),HLOOKUP(Tools!$BE$2,Tools!$BE$2:$BE$27,MOD(ROW()-2,Max_WL_count)+2,FALSE)*WLS,""),"")</f>
        <v>10.1</v>
      </c>
      <c r="I190" s="427">
        <f t="shared" si="17"/>
        <v>189</v>
      </c>
      <c r="J190" s="430">
        <f t="shared" si="13"/>
        <v>15</v>
      </c>
      <c r="K190" s="433">
        <f>IFERROR(-LBP/2+HLOOKUP(Stn_WL,Tools!$AD$2:$AD$27,N190+2,FALSE)*STN_GAP,"")</f>
        <v>13.169999999999987</v>
      </c>
      <c r="L190" s="433">
        <f>IFERROR(IF(AND(ISNUMBER(K190),O190=0),0,VLOOKUP(HLOOKUP(Stn_WL,Tools!$AD$2:$AD$27,N190+2,FALSE),Tools!$AD$3:$BC$27,O190+1,FALSE)),"")</f>
        <v>12.2</v>
      </c>
      <c r="M190" s="433">
        <f>IFERROR(IF(ISNUMBER(L190),IF(O190=0,IFERROR(HLOOKUP(Tools!$BD$127,Tools!$BD$127:$BD$152,N190+2,FALSE)*1,0),HLOOKUP(Tools!$BE$2,Tools!$BE$2:$BE$27,O190+1,FALSE)*WLS),""),"")</f>
        <v>5.4</v>
      </c>
      <c r="N190">
        <f t="shared" si="14"/>
        <v>14</v>
      </c>
      <c r="O190">
        <f t="shared" si="15"/>
        <v>6</v>
      </c>
    </row>
    <row r="191" spans="1:15" x14ac:dyDescent="0.25">
      <c r="A191" s="427">
        <f t="shared" si="16"/>
        <v>190</v>
      </c>
      <c r="B191" s="430">
        <f t="shared" si="12"/>
        <v>16</v>
      </c>
      <c r="C191" s="433">
        <f>IFERROR(-LBP/2+HLOOKUP(Stn_WL,Tools!$AD$2:$AD$27,QUOTIENT(ROW()-2,Max_WL_count)+2,FALSE)*STN_GAP,"")</f>
        <v>19.754999999999995</v>
      </c>
      <c r="D191" s="433">
        <f>IFERROR(VLOOKUP(HLOOKUP(Stn_WL,Tools!$AD$2:$AD$27,QUOTIENT(ROW()-2,Max_WL_count)+2,FALSE),Tools!$AD$3:$BC$27,MOD(ROW()-2,Max_WL_count)+2,FALSE),"")</f>
        <v>12.23</v>
      </c>
      <c r="E191" s="431">
        <f>IFERROR(IF(ISNUMBER(D191),HLOOKUP(Tools!$BE$2,Tools!$BE$2:$BE$27,MOD(ROW()-2,Max_WL_count)+2,FALSE)*WLS,""),"")</f>
        <v>10.8</v>
      </c>
      <c r="I191" s="427">
        <f t="shared" si="17"/>
        <v>190</v>
      </c>
      <c r="J191" s="430">
        <f t="shared" si="13"/>
        <v>15</v>
      </c>
      <c r="K191" s="433">
        <f>IFERROR(-LBP/2+HLOOKUP(Stn_WL,Tools!$AD$2:$AD$27,N191+2,FALSE)*STN_GAP,"")</f>
        <v>13.169999999999987</v>
      </c>
      <c r="L191" s="433">
        <f>IFERROR(IF(AND(ISNUMBER(K191),O191=0),0,VLOOKUP(HLOOKUP(Stn_WL,Tools!$AD$2:$AD$27,N191+2,FALSE),Tools!$AD$3:$BC$27,O191+1,FALSE)),"")</f>
        <v>12.25</v>
      </c>
      <c r="M191" s="433">
        <f>IFERROR(IF(ISNUMBER(L191),IF(O191=0,IFERROR(HLOOKUP(Tools!$BD$127,Tools!$BD$127:$BD$152,N191+2,FALSE)*1,0),HLOOKUP(Tools!$BE$2,Tools!$BE$2:$BE$27,O191+1,FALSE)*WLS),""),"")</f>
        <v>7.2</v>
      </c>
      <c r="N191">
        <f t="shared" si="14"/>
        <v>14</v>
      </c>
      <c r="O191">
        <f t="shared" si="15"/>
        <v>7</v>
      </c>
    </row>
    <row r="192" spans="1:15" x14ac:dyDescent="0.25">
      <c r="A192" s="427">
        <f t="shared" si="16"/>
        <v>191</v>
      </c>
      <c r="B192" s="430">
        <f t="shared" si="12"/>
        <v>16</v>
      </c>
      <c r="C192" s="433">
        <f>IFERROR(-LBP/2+HLOOKUP(Stn_WL,Tools!$AD$2:$AD$27,QUOTIENT(ROW()-2,Max_WL_count)+2,FALSE)*STN_GAP,"")</f>
        <v>19.754999999999995</v>
      </c>
      <c r="D192" s="433">
        <f>IFERROR(VLOOKUP(HLOOKUP(Stn_WL,Tools!$AD$2:$AD$27,QUOTIENT(ROW()-2,Max_WL_count)+2,FALSE),Tools!$AD$3:$BC$27,MOD(ROW()-2,Max_WL_count)+2,FALSE),"")</f>
        <v>12.23</v>
      </c>
      <c r="E192" s="431">
        <f>IFERROR(IF(ISNUMBER(D192),HLOOKUP(Tools!$BE$2,Tools!$BE$2:$BE$27,MOD(ROW()-2,Max_WL_count)+2,FALSE)*WLS,""),"")</f>
        <v>12.6</v>
      </c>
      <c r="I192" s="427">
        <f t="shared" si="17"/>
        <v>191</v>
      </c>
      <c r="J192" s="430">
        <f t="shared" si="13"/>
        <v>15</v>
      </c>
      <c r="K192" s="433">
        <f>IFERROR(-LBP/2+HLOOKUP(Stn_WL,Tools!$AD$2:$AD$27,N192+2,FALSE)*STN_GAP,"")</f>
        <v>13.169999999999987</v>
      </c>
      <c r="L192" s="433">
        <f>IFERROR(IF(AND(ISNUMBER(K192),O192=0),0,VLOOKUP(HLOOKUP(Stn_WL,Tools!$AD$2:$AD$27,N192+2,FALSE),Tools!$AD$3:$BC$27,O192+1,FALSE)),"")</f>
        <v>12.25</v>
      </c>
      <c r="M192" s="433">
        <f>IFERROR(IF(ISNUMBER(L192),IF(O192=0,IFERROR(HLOOKUP(Tools!$BD$127,Tools!$BD$127:$BD$152,N192+2,FALSE)*1,0),HLOOKUP(Tools!$BE$2,Tools!$BE$2:$BE$27,O192+1,FALSE)*WLS),""),"")</f>
        <v>9</v>
      </c>
      <c r="N192">
        <f t="shared" si="14"/>
        <v>14</v>
      </c>
      <c r="O192">
        <f t="shared" si="15"/>
        <v>8</v>
      </c>
    </row>
    <row r="193" spans="1:15" x14ac:dyDescent="0.25">
      <c r="A193" s="427">
        <f t="shared" si="16"/>
        <v>192</v>
      </c>
      <c r="B193" s="430">
        <f t="shared" si="12"/>
        <v>16</v>
      </c>
      <c r="C193" s="433">
        <f>IFERROR(-LBP/2+HLOOKUP(Stn_WL,Tools!$AD$2:$AD$27,QUOTIENT(ROW()-2,Max_WL_count)+2,FALSE)*STN_GAP,"")</f>
        <v>19.754999999999995</v>
      </c>
      <c r="D193" s="433">
        <f>IFERROR(VLOOKUP(HLOOKUP(Stn_WL,Tools!$AD$2:$AD$27,QUOTIENT(ROW()-2,Max_WL_count)+2,FALSE),Tools!$AD$3:$BC$27,MOD(ROW()-2,Max_WL_count)+2,FALSE),"")</f>
        <v>12.25</v>
      </c>
      <c r="E193" s="431">
        <f>IFERROR(IF(ISNUMBER(D193),HLOOKUP(Tools!$BE$2,Tools!$BE$2:$BE$27,MOD(ROW()-2,Max_WL_count)+2,FALSE)*WLS,""),"")</f>
        <v>14.19</v>
      </c>
      <c r="I193" s="427">
        <f t="shared" si="17"/>
        <v>192</v>
      </c>
      <c r="J193" s="430">
        <f t="shared" si="13"/>
        <v>15</v>
      </c>
      <c r="K193" s="433">
        <f>IFERROR(-LBP/2+HLOOKUP(Stn_WL,Tools!$AD$2:$AD$27,N193+2,FALSE)*STN_GAP,"")</f>
        <v>13.169999999999987</v>
      </c>
      <c r="L193" s="433">
        <f>IFERROR(IF(AND(ISNUMBER(K193),O193=0),0,VLOOKUP(HLOOKUP(Stn_WL,Tools!$AD$2:$AD$27,N193+2,FALSE),Tools!$AD$3:$BC$27,O193+1,FALSE)),"")</f>
        <v>12.25</v>
      </c>
      <c r="M193" s="433">
        <f>IFERROR(IF(ISNUMBER(L193),IF(O193=0,IFERROR(HLOOKUP(Tools!$BD$127,Tools!$BD$127:$BD$152,N193+2,FALSE)*1,0),HLOOKUP(Tools!$BE$2,Tools!$BE$2:$BE$27,O193+1,FALSE)*WLS),""),"")</f>
        <v>10.1</v>
      </c>
      <c r="N193">
        <f t="shared" si="14"/>
        <v>14</v>
      </c>
      <c r="O193">
        <f t="shared" si="15"/>
        <v>9</v>
      </c>
    </row>
    <row r="194" spans="1:15" x14ac:dyDescent="0.25">
      <c r="A194" s="427">
        <f t="shared" si="16"/>
        <v>193</v>
      </c>
      <c r="B194" s="430">
        <f t="shared" ref="B194:B257" si="18">IFERROR(IF(ISNUMBER(D194),QUOTIENT(ROW()-2,Max_WL_count)+1,""),"")</f>
        <v>17</v>
      </c>
      <c r="C194" s="433">
        <f>IFERROR(-LBP/2+HLOOKUP(Stn_WL,Tools!$AD$2:$AD$27,QUOTIENT(ROW()-2,Max_WL_count)+2,FALSE)*STN_GAP,"")</f>
        <v>26.339999999999989</v>
      </c>
      <c r="D194" s="433">
        <f>IFERROR(VLOOKUP(HLOOKUP(Stn_WL,Tools!$AD$2:$AD$27,QUOTIENT(ROW()-2,Max_WL_count)+2,FALSE),Tools!$AD$3:$BC$27,MOD(ROW()-2,Max_WL_count)+2,FALSE),"")</f>
        <v>5.35</v>
      </c>
      <c r="E194" s="431">
        <f>IFERROR(IF(ISNUMBER(D194),HLOOKUP(Tools!$BE$2,Tools!$BE$2:$BE$27,MOD(ROW()-2,Max_WL_count)+2,FALSE)*WLS,""),"")</f>
        <v>0</v>
      </c>
      <c r="I194" s="427">
        <f t="shared" si="17"/>
        <v>193</v>
      </c>
      <c r="J194" s="430">
        <f t="shared" ref="J194:J257" si="19">IFERROR(IF(ISNUMBER(L194),QUOTIENT(ROW()-2,Max_WL_count+1)+1,""),"")</f>
        <v>15</v>
      </c>
      <c r="K194" s="433">
        <f>IFERROR(-LBP/2+HLOOKUP(Stn_WL,Tools!$AD$2:$AD$27,N194+2,FALSE)*STN_GAP,"")</f>
        <v>13.169999999999987</v>
      </c>
      <c r="L194" s="433">
        <f>IFERROR(IF(AND(ISNUMBER(K194),O194=0),0,VLOOKUP(HLOOKUP(Stn_WL,Tools!$AD$2:$AD$27,N194+2,FALSE),Tools!$AD$3:$BC$27,O194+1,FALSE)),"")</f>
        <v>12.25</v>
      </c>
      <c r="M194" s="433">
        <f>IFERROR(IF(ISNUMBER(L194),IF(O194=0,IFERROR(HLOOKUP(Tools!$BD$127,Tools!$BD$127:$BD$152,N194+2,FALSE)*1,0),HLOOKUP(Tools!$BE$2,Tools!$BE$2:$BE$27,O194+1,FALSE)*WLS),""),"")</f>
        <v>10.8</v>
      </c>
      <c r="N194">
        <f t="shared" ref="N194:N257" si="20">QUOTIENT(ROW()-2,Max_WL_count+1)</f>
        <v>14</v>
      </c>
      <c r="O194">
        <f t="shared" ref="O194:O257" si="21">MOD(ROW()-2,Max_WL_count+1)</f>
        <v>10</v>
      </c>
    </row>
    <row r="195" spans="1:15" x14ac:dyDescent="0.25">
      <c r="A195" s="427">
        <f t="shared" ref="A195:A258" si="22">IF(ISNUMBER(D195),ROW()-1,"")</f>
        <v>194</v>
      </c>
      <c r="B195" s="430">
        <f t="shared" si="18"/>
        <v>17</v>
      </c>
      <c r="C195" s="433">
        <f>IFERROR(-LBP/2+HLOOKUP(Stn_WL,Tools!$AD$2:$AD$27,QUOTIENT(ROW()-2,Max_WL_count)+2,FALSE)*STN_GAP,"")</f>
        <v>26.339999999999989</v>
      </c>
      <c r="D195" s="433">
        <f>IFERROR(VLOOKUP(HLOOKUP(Stn_WL,Tools!$AD$2:$AD$27,QUOTIENT(ROW()-2,Max_WL_count)+2,FALSE),Tools!$AD$3:$BC$27,MOD(ROW()-2,Max_WL_count)+2,FALSE),"")</f>
        <v>7.29</v>
      </c>
      <c r="E195" s="431">
        <f>IFERROR(IF(ISNUMBER(D195),HLOOKUP(Tools!$BE$2,Tools!$BE$2:$BE$27,MOD(ROW()-2,Max_WL_count)+2,FALSE)*WLS,""),"")</f>
        <v>0.9</v>
      </c>
      <c r="I195" s="427">
        <f t="shared" ref="I195:I258" si="23">IF(ISNUMBER(L195),ROW()-1,"")</f>
        <v>194</v>
      </c>
      <c r="J195" s="430">
        <f t="shared" si="19"/>
        <v>15</v>
      </c>
      <c r="K195" s="433">
        <f>IFERROR(-LBP/2+HLOOKUP(Stn_WL,Tools!$AD$2:$AD$27,N195+2,FALSE)*STN_GAP,"")</f>
        <v>13.169999999999987</v>
      </c>
      <c r="L195" s="433">
        <f>IFERROR(IF(AND(ISNUMBER(K195),O195=0),0,VLOOKUP(HLOOKUP(Stn_WL,Tools!$AD$2:$AD$27,N195+2,FALSE),Tools!$AD$3:$BC$27,O195+1,FALSE)),"")</f>
        <v>12.25</v>
      </c>
      <c r="M195" s="433">
        <f>IFERROR(IF(ISNUMBER(L195),IF(O195=0,IFERROR(HLOOKUP(Tools!$BD$127,Tools!$BD$127:$BD$152,N195+2,FALSE)*1,0),HLOOKUP(Tools!$BE$2,Tools!$BE$2:$BE$27,O195+1,FALSE)*WLS),""),"")</f>
        <v>12.6</v>
      </c>
      <c r="N195">
        <f t="shared" si="20"/>
        <v>14</v>
      </c>
      <c r="O195">
        <f t="shared" si="21"/>
        <v>11</v>
      </c>
    </row>
    <row r="196" spans="1:15" x14ac:dyDescent="0.25">
      <c r="A196" s="427">
        <f t="shared" si="22"/>
        <v>195</v>
      </c>
      <c r="B196" s="430">
        <f t="shared" si="18"/>
        <v>17</v>
      </c>
      <c r="C196" s="433">
        <f>IFERROR(-LBP/2+HLOOKUP(Stn_WL,Tools!$AD$2:$AD$27,QUOTIENT(ROW()-2,Max_WL_count)+2,FALSE)*STN_GAP,"")</f>
        <v>26.339999999999989</v>
      </c>
      <c r="D196" s="433">
        <f>IFERROR(VLOOKUP(HLOOKUP(Stn_WL,Tools!$AD$2:$AD$27,QUOTIENT(ROW()-2,Max_WL_count)+2,FALSE),Tools!$AD$3:$BC$27,MOD(ROW()-2,Max_WL_count)+2,FALSE),"")</f>
        <v>8.15</v>
      </c>
      <c r="E196" s="431">
        <f>IFERROR(IF(ISNUMBER(D196),HLOOKUP(Tools!$BE$2,Tools!$BE$2:$BE$27,MOD(ROW()-2,Max_WL_count)+2,FALSE)*WLS,""),"")</f>
        <v>1.8</v>
      </c>
      <c r="I196" s="427">
        <f t="shared" si="23"/>
        <v>195</v>
      </c>
      <c r="J196" s="430">
        <f t="shared" si="19"/>
        <v>15</v>
      </c>
      <c r="K196" s="433">
        <f>IFERROR(-LBP/2+HLOOKUP(Stn_WL,Tools!$AD$2:$AD$27,N196+2,FALSE)*STN_GAP,"")</f>
        <v>13.169999999999987</v>
      </c>
      <c r="L196" s="433">
        <f>IFERROR(IF(AND(ISNUMBER(K196),O196=0),0,VLOOKUP(HLOOKUP(Stn_WL,Tools!$AD$2:$AD$27,N196+2,FALSE),Tools!$AD$3:$BC$27,O196+1,FALSE)),"")</f>
        <v>12.25</v>
      </c>
      <c r="M196" s="433">
        <f>IFERROR(IF(ISNUMBER(L196),IF(O196=0,IFERROR(HLOOKUP(Tools!$BD$127,Tools!$BD$127:$BD$152,N196+2,FALSE)*1,0),HLOOKUP(Tools!$BE$2,Tools!$BE$2:$BE$27,O196+1,FALSE)*WLS),""),"")</f>
        <v>14.19</v>
      </c>
      <c r="N196">
        <f t="shared" si="20"/>
        <v>14</v>
      </c>
      <c r="O196">
        <f t="shared" si="21"/>
        <v>12</v>
      </c>
    </row>
    <row r="197" spans="1:15" x14ac:dyDescent="0.25">
      <c r="A197" s="427">
        <f t="shared" si="22"/>
        <v>196</v>
      </c>
      <c r="B197" s="430">
        <f t="shared" si="18"/>
        <v>17</v>
      </c>
      <c r="C197" s="433">
        <f>IFERROR(-LBP/2+HLOOKUP(Stn_WL,Tools!$AD$2:$AD$27,QUOTIENT(ROW()-2,Max_WL_count)+2,FALSE)*STN_GAP,"")</f>
        <v>26.339999999999989</v>
      </c>
      <c r="D197" s="433">
        <f>IFERROR(VLOOKUP(HLOOKUP(Stn_WL,Tools!$AD$2:$AD$27,QUOTIENT(ROW()-2,Max_WL_count)+2,FALSE),Tools!$AD$3:$BC$27,MOD(ROW()-2,Max_WL_count)+2,FALSE),"")</f>
        <v>9.25</v>
      </c>
      <c r="E197" s="431">
        <f>IFERROR(IF(ISNUMBER(D197),HLOOKUP(Tools!$BE$2,Tools!$BE$2:$BE$27,MOD(ROW()-2,Max_WL_count)+2,FALSE)*WLS,""),"")</f>
        <v>2.7</v>
      </c>
      <c r="I197" s="427">
        <f t="shared" si="23"/>
        <v>196</v>
      </c>
      <c r="J197" s="430">
        <f t="shared" si="19"/>
        <v>16</v>
      </c>
      <c r="K197" s="433">
        <f>IFERROR(-LBP/2+HLOOKUP(Stn_WL,Tools!$AD$2:$AD$27,N197+2,FALSE)*STN_GAP,"")</f>
        <v>19.754999999999995</v>
      </c>
      <c r="L197" s="433">
        <f>IFERROR(IF(AND(ISNUMBER(K197),O197=0),0,VLOOKUP(HLOOKUP(Stn_WL,Tools!$AD$2:$AD$27,N197+2,FALSE),Tools!$AD$3:$BC$27,O197+1,FALSE)),"")</f>
        <v>0</v>
      </c>
      <c r="M197" s="433">
        <f>IFERROR(IF(ISNUMBER(L197),IF(O197=0,IFERROR(HLOOKUP(Tools!$BD$127,Tools!$BD$127:$BD$152,N197+2,FALSE)*1,0),HLOOKUP(Tools!$BE$2,Tools!$BE$2:$BE$27,O197+1,FALSE)*WLS),""),"")</f>
        <v>0</v>
      </c>
      <c r="N197">
        <f t="shared" si="20"/>
        <v>15</v>
      </c>
      <c r="O197">
        <f t="shared" si="21"/>
        <v>0</v>
      </c>
    </row>
    <row r="198" spans="1:15" x14ac:dyDescent="0.25">
      <c r="A198" s="427">
        <f t="shared" si="22"/>
        <v>197</v>
      </c>
      <c r="B198" s="430">
        <f t="shared" si="18"/>
        <v>17</v>
      </c>
      <c r="C198" s="433">
        <f>IFERROR(-LBP/2+HLOOKUP(Stn_WL,Tools!$AD$2:$AD$27,QUOTIENT(ROW()-2,Max_WL_count)+2,FALSE)*STN_GAP,"")</f>
        <v>26.339999999999989</v>
      </c>
      <c r="D198" s="433">
        <f>IFERROR(VLOOKUP(HLOOKUP(Stn_WL,Tools!$AD$2:$AD$27,QUOTIENT(ROW()-2,Max_WL_count)+2,FALSE),Tools!$AD$3:$BC$27,MOD(ROW()-2,Max_WL_count)+2,FALSE),"")</f>
        <v>9.75</v>
      </c>
      <c r="E198" s="431">
        <f>IFERROR(IF(ISNUMBER(D198),HLOOKUP(Tools!$BE$2,Tools!$BE$2:$BE$27,MOD(ROW()-2,Max_WL_count)+2,FALSE)*WLS,""),"")</f>
        <v>3.6</v>
      </c>
      <c r="I198" s="427">
        <f t="shared" si="23"/>
        <v>197</v>
      </c>
      <c r="J198" s="430">
        <f t="shared" si="19"/>
        <v>16</v>
      </c>
      <c r="K198" s="433">
        <f>IFERROR(-LBP/2+HLOOKUP(Stn_WL,Tools!$AD$2:$AD$27,N198+2,FALSE)*STN_GAP,"")</f>
        <v>19.754999999999995</v>
      </c>
      <c r="L198" s="433">
        <f>IFERROR(IF(AND(ISNUMBER(K198),O198=0),0,VLOOKUP(HLOOKUP(Stn_WL,Tools!$AD$2:$AD$27,N198+2,FALSE),Tools!$AD$3:$BC$27,O198+1,FALSE)),"")</f>
        <v>6.7</v>
      </c>
      <c r="M198" s="433">
        <f>IFERROR(IF(ISNUMBER(L198),IF(O198=0,IFERROR(HLOOKUP(Tools!$BD$127,Tools!$BD$127:$BD$152,N198+2,FALSE)*1,0),HLOOKUP(Tools!$BE$2,Tools!$BE$2:$BE$27,O198+1,FALSE)*WLS),""),"")</f>
        <v>0</v>
      </c>
      <c r="N198">
        <f t="shared" si="20"/>
        <v>15</v>
      </c>
      <c r="O198">
        <f t="shared" si="21"/>
        <v>1</v>
      </c>
    </row>
    <row r="199" spans="1:15" x14ac:dyDescent="0.25">
      <c r="A199" s="427">
        <f t="shared" si="22"/>
        <v>198</v>
      </c>
      <c r="B199" s="430">
        <f t="shared" si="18"/>
        <v>17</v>
      </c>
      <c r="C199" s="433">
        <f>IFERROR(-LBP/2+HLOOKUP(Stn_WL,Tools!$AD$2:$AD$27,QUOTIENT(ROW()-2,Max_WL_count)+2,FALSE)*STN_GAP,"")</f>
        <v>26.339999999999989</v>
      </c>
      <c r="D199" s="433">
        <f>IFERROR(VLOOKUP(HLOOKUP(Stn_WL,Tools!$AD$2:$AD$27,QUOTIENT(ROW()-2,Max_WL_count)+2,FALSE),Tools!$AD$3:$BC$27,MOD(ROW()-2,Max_WL_count)+2,FALSE),"")</f>
        <v>10.5</v>
      </c>
      <c r="E199" s="431">
        <f>IFERROR(IF(ISNUMBER(D199),HLOOKUP(Tools!$BE$2,Tools!$BE$2:$BE$27,MOD(ROW()-2,Max_WL_count)+2,FALSE)*WLS,""),"")</f>
        <v>5.4</v>
      </c>
      <c r="I199" s="427">
        <f t="shared" si="23"/>
        <v>198</v>
      </c>
      <c r="J199" s="430">
        <f t="shared" si="19"/>
        <v>16</v>
      </c>
      <c r="K199" s="433">
        <f>IFERROR(-LBP/2+HLOOKUP(Stn_WL,Tools!$AD$2:$AD$27,N199+2,FALSE)*STN_GAP,"")</f>
        <v>19.754999999999995</v>
      </c>
      <c r="L199" s="433">
        <f>IFERROR(IF(AND(ISNUMBER(K199),O199=0),0,VLOOKUP(HLOOKUP(Stn_WL,Tools!$AD$2:$AD$27,N199+2,FALSE),Tools!$AD$3:$BC$27,O199+1,FALSE)),"")</f>
        <v>8.84</v>
      </c>
      <c r="M199" s="433">
        <f>IFERROR(IF(ISNUMBER(L199),IF(O199=0,IFERROR(HLOOKUP(Tools!$BD$127,Tools!$BD$127:$BD$152,N199+2,FALSE)*1,0),HLOOKUP(Tools!$BE$2,Tools!$BE$2:$BE$27,O199+1,FALSE)*WLS),""),"")</f>
        <v>0.9</v>
      </c>
      <c r="N199">
        <f t="shared" si="20"/>
        <v>15</v>
      </c>
      <c r="O199">
        <f t="shared" si="21"/>
        <v>2</v>
      </c>
    </row>
    <row r="200" spans="1:15" x14ac:dyDescent="0.25">
      <c r="A200" s="427">
        <f t="shared" si="22"/>
        <v>199</v>
      </c>
      <c r="B200" s="430">
        <f t="shared" si="18"/>
        <v>17</v>
      </c>
      <c r="C200" s="433">
        <f>IFERROR(-LBP/2+HLOOKUP(Stn_WL,Tools!$AD$2:$AD$27,QUOTIENT(ROW()-2,Max_WL_count)+2,FALSE)*STN_GAP,"")</f>
        <v>26.339999999999989</v>
      </c>
      <c r="D200" s="433">
        <f>IFERROR(VLOOKUP(HLOOKUP(Stn_WL,Tools!$AD$2:$AD$27,QUOTIENT(ROW()-2,Max_WL_count)+2,FALSE),Tools!$AD$3:$BC$27,MOD(ROW()-2,Max_WL_count)+2,FALSE),"")</f>
        <v>11.06</v>
      </c>
      <c r="E200" s="431">
        <f>IFERROR(IF(ISNUMBER(D200),HLOOKUP(Tools!$BE$2,Tools!$BE$2:$BE$27,MOD(ROW()-2,Max_WL_count)+2,FALSE)*WLS,""),"")</f>
        <v>7.2</v>
      </c>
      <c r="I200" s="427">
        <f t="shared" si="23"/>
        <v>199</v>
      </c>
      <c r="J200" s="430">
        <f t="shared" si="19"/>
        <v>16</v>
      </c>
      <c r="K200" s="433">
        <f>IFERROR(-LBP/2+HLOOKUP(Stn_WL,Tools!$AD$2:$AD$27,N200+2,FALSE)*STN_GAP,"")</f>
        <v>19.754999999999995</v>
      </c>
      <c r="L200" s="433">
        <f>IFERROR(IF(AND(ISNUMBER(K200),O200=0),0,VLOOKUP(HLOOKUP(Stn_WL,Tools!$AD$2:$AD$27,N200+2,FALSE),Tools!$AD$3:$BC$27,O200+1,FALSE)),"")</f>
        <v>10.029999999999999</v>
      </c>
      <c r="M200" s="433">
        <f>IFERROR(IF(ISNUMBER(L200),IF(O200=0,IFERROR(HLOOKUP(Tools!$BD$127,Tools!$BD$127:$BD$152,N200+2,FALSE)*1,0),HLOOKUP(Tools!$BE$2,Tools!$BE$2:$BE$27,O200+1,FALSE)*WLS),""),"")</f>
        <v>1.8</v>
      </c>
      <c r="N200">
        <f t="shared" si="20"/>
        <v>15</v>
      </c>
      <c r="O200">
        <f t="shared" si="21"/>
        <v>3</v>
      </c>
    </row>
    <row r="201" spans="1:15" x14ac:dyDescent="0.25">
      <c r="A201" s="427">
        <f t="shared" si="22"/>
        <v>200</v>
      </c>
      <c r="B201" s="430">
        <f t="shared" si="18"/>
        <v>17</v>
      </c>
      <c r="C201" s="433">
        <f>IFERROR(-LBP/2+HLOOKUP(Stn_WL,Tools!$AD$2:$AD$27,QUOTIENT(ROW()-2,Max_WL_count)+2,FALSE)*STN_GAP,"")</f>
        <v>26.339999999999989</v>
      </c>
      <c r="D201" s="433">
        <f>IFERROR(VLOOKUP(HLOOKUP(Stn_WL,Tools!$AD$2:$AD$27,QUOTIENT(ROW()-2,Max_WL_count)+2,FALSE),Tools!$AD$3:$BC$27,MOD(ROW()-2,Max_WL_count)+2,FALSE),"")</f>
        <v>11.46</v>
      </c>
      <c r="E201" s="431">
        <f>IFERROR(IF(ISNUMBER(D201),HLOOKUP(Tools!$BE$2,Tools!$BE$2:$BE$27,MOD(ROW()-2,Max_WL_count)+2,FALSE)*WLS,""),"")</f>
        <v>9</v>
      </c>
      <c r="I201" s="427">
        <f t="shared" si="23"/>
        <v>200</v>
      </c>
      <c r="J201" s="430">
        <f t="shared" si="19"/>
        <v>16</v>
      </c>
      <c r="K201" s="433">
        <f>IFERROR(-LBP/2+HLOOKUP(Stn_WL,Tools!$AD$2:$AD$27,N201+2,FALSE)*STN_GAP,"")</f>
        <v>19.754999999999995</v>
      </c>
      <c r="L201" s="433">
        <f>IFERROR(IF(AND(ISNUMBER(K201),O201=0),0,VLOOKUP(HLOOKUP(Stn_WL,Tools!$AD$2:$AD$27,N201+2,FALSE),Tools!$AD$3:$BC$27,O201+1,FALSE)),"")</f>
        <v>10.68</v>
      </c>
      <c r="M201" s="433">
        <f>IFERROR(IF(ISNUMBER(L201),IF(O201=0,IFERROR(HLOOKUP(Tools!$BD$127,Tools!$BD$127:$BD$152,N201+2,FALSE)*1,0),HLOOKUP(Tools!$BE$2,Tools!$BE$2:$BE$27,O201+1,FALSE)*WLS),""),"")</f>
        <v>2.7</v>
      </c>
      <c r="N201">
        <f t="shared" si="20"/>
        <v>15</v>
      </c>
      <c r="O201">
        <f t="shared" si="21"/>
        <v>4</v>
      </c>
    </row>
    <row r="202" spans="1:15" x14ac:dyDescent="0.25">
      <c r="A202" s="427">
        <f t="shared" si="22"/>
        <v>201</v>
      </c>
      <c r="B202" s="430">
        <f t="shared" si="18"/>
        <v>17</v>
      </c>
      <c r="C202" s="433">
        <f>IFERROR(-LBP/2+HLOOKUP(Stn_WL,Tools!$AD$2:$AD$27,QUOTIENT(ROW()-2,Max_WL_count)+2,FALSE)*STN_GAP,"")</f>
        <v>26.339999999999989</v>
      </c>
      <c r="D202" s="433">
        <f>IFERROR(VLOOKUP(HLOOKUP(Stn_WL,Tools!$AD$2:$AD$27,QUOTIENT(ROW()-2,Max_WL_count)+2,FALSE),Tools!$AD$3:$BC$27,MOD(ROW()-2,Max_WL_count)+2,FALSE),"")</f>
        <v>11.67</v>
      </c>
      <c r="E202" s="431">
        <f>IFERROR(IF(ISNUMBER(D202),HLOOKUP(Tools!$BE$2,Tools!$BE$2:$BE$27,MOD(ROW()-2,Max_WL_count)+2,FALSE)*WLS,""),"")</f>
        <v>10.1</v>
      </c>
      <c r="I202" s="427">
        <f t="shared" si="23"/>
        <v>201</v>
      </c>
      <c r="J202" s="430">
        <f t="shared" si="19"/>
        <v>16</v>
      </c>
      <c r="K202" s="433">
        <f>IFERROR(-LBP/2+HLOOKUP(Stn_WL,Tools!$AD$2:$AD$27,N202+2,FALSE)*STN_GAP,"")</f>
        <v>19.754999999999995</v>
      </c>
      <c r="L202" s="433">
        <f>IFERROR(IF(AND(ISNUMBER(K202),O202=0),0,VLOOKUP(HLOOKUP(Stn_WL,Tools!$AD$2:$AD$27,N202+2,FALSE),Tools!$AD$3:$BC$27,O202+1,FALSE)),"")</f>
        <v>11.1</v>
      </c>
      <c r="M202" s="433">
        <f>IFERROR(IF(ISNUMBER(L202),IF(O202=0,IFERROR(HLOOKUP(Tools!$BD$127,Tools!$BD$127:$BD$152,N202+2,FALSE)*1,0),HLOOKUP(Tools!$BE$2,Tools!$BE$2:$BE$27,O202+1,FALSE)*WLS),""),"")</f>
        <v>3.6</v>
      </c>
      <c r="N202">
        <f t="shared" si="20"/>
        <v>15</v>
      </c>
      <c r="O202">
        <f t="shared" si="21"/>
        <v>5</v>
      </c>
    </row>
    <row r="203" spans="1:15" x14ac:dyDescent="0.25">
      <c r="A203" s="427">
        <f t="shared" si="22"/>
        <v>202</v>
      </c>
      <c r="B203" s="430">
        <f t="shared" si="18"/>
        <v>17</v>
      </c>
      <c r="C203" s="433">
        <f>IFERROR(-LBP/2+HLOOKUP(Stn_WL,Tools!$AD$2:$AD$27,QUOTIENT(ROW()-2,Max_WL_count)+2,FALSE)*STN_GAP,"")</f>
        <v>26.339999999999989</v>
      </c>
      <c r="D203" s="433">
        <f>IFERROR(VLOOKUP(HLOOKUP(Stn_WL,Tools!$AD$2:$AD$27,QUOTIENT(ROW()-2,Max_WL_count)+2,FALSE),Tools!$AD$3:$BC$27,MOD(ROW()-2,Max_WL_count)+2,FALSE),"")</f>
        <v>11.79</v>
      </c>
      <c r="E203" s="431">
        <f>IFERROR(IF(ISNUMBER(D203),HLOOKUP(Tools!$BE$2,Tools!$BE$2:$BE$27,MOD(ROW()-2,Max_WL_count)+2,FALSE)*WLS,""),"")</f>
        <v>10.8</v>
      </c>
      <c r="I203" s="427">
        <f t="shared" si="23"/>
        <v>202</v>
      </c>
      <c r="J203" s="430">
        <f t="shared" si="19"/>
        <v>16</v>
      </c>
      <c r="K203" s="433">
        <f>IFERROR(-LBP/2+HLOOKUP(Stn_WL,Tools!$AD$2:$AD$27,N203+2,FALSE)*STN_GAP,"")</f>
        <v>19.754999999999995</v>
      </c>
      <c r="L203" s="433">
        <f>IFERROR(IF(AND(ISNUMBER(K203),O203=0),0,VLOOKUP(HLOOKUP(Stn_WL,Tools!$AD$2:$AD$27,N203+2,FALSE),Tools!$AD$3:$BC$27,O203+1,FALSE)),"")</f>
        <v>11.64</v>
      </c>
      <c r="M203" s="433">
        <f>IFERROR(IF(ISNUMBER(L203),IF(O203=0,IFERROR(HLOOKUP(Tools!$BD$127,Tools!$BD$127:$BD$152,N203+2,FALSE)*1,0),HLOOKUP(Tools!$BE$2,Tools!$BE$2:$BE$27,O203+1,FALSE)*WLS),""),"")</f>
        <v>5.4</v>
      </c>
      <c r="N203">
        <f t="shared" si="20"/>
        <v>15</v>
      </c>
      <c r="O203">
        <f t="shared" si="21"/>
        <v>6</v>
      </c>
    </row>
    <row r="204" spans="1:15" x14ac:dyDescent="0.25">
      <c r="A204" s="427">
        <f t="shared" si="22"/>
        <v>203</v>
      </c>
      <c r="B204" s="430">
        <f t="shared" si="18"/>
        <v>17</v>
      </c>
      <c r="C204" s="433">
        <f>IFERROR(-LBP/2+HLOOKUP(Stn_WL,Tools!$AD$2:$AD$27,QUOTIENT(ROW()-2,Max_WL_count)+2,FALSE)*STN_GAP,"")</f>
        <v>26.339999999999989</v>
      </c>
      <c r="D204" s="433">
        <f>IFERROR(VLOOKUP(HLOOKUP(Stn_WL,Tools!$AD$2:$AD$27,QUOTIENT(ROW()-2,Max_WL_count)+2,FALSE),Tools!$AD$3:$BC$27,MOD(ROW()-2,Max_WL_count)+2,FALSE),"")</f>
        <v>12.07</v>
      </c>
      <c r="E204" s="431">
        <f>IFERROR(IF(ISNUMBER(D204),HLOOKUP(Tools!$BE$2,Tools!$BE$2:$BE$27,MOD(ROW()-2,Max_WL_count)+2,FALSE)*WLS,""),"")</f>
        <v>12.6</v>
      </c>
      <c r="I204" s="427">
        <f t="shared" si="23"/>
        <v>203</v>
      </c>
      <c r="J204" s="430">
        <f t="shared" si="19"/>
        <v>16</v>
      </c>
      <c r="K204" s="433">
        <f>IFERROR(-LBP/2+HLOOKUP(Stn_WL,Tools!$AD$2:$AD$27,N204+2,FALSE)*STN_GAP,"")</f>
        <v>19.754999999999995</v>
      </c>
      <c r="L204" s="433">
        <f>IFERROR(IF(AND(ISNUMBER(K204),O204=0),0,VLOOKUP(HLOOKUP(Stn_WL,Tools!$AD$2:$AD$27,N204+2,FALSE),Tools!$AD$3:$BC$27,O204+1,FALSE)),"")</f>
        <v>11.97</v>
      </c>
      <c r="M204" s="433">
        <f>IFERROR(IF(ISNUMBER(L204),IF(O204=0,IFERROR(HLOOKUP(Tools!$BD$127,Tools!$BD$127:$BD$152,N204+2,FALSE)*1,0),HLOOKUP(Tools!$BE$2,Tools!$BE$2:$BE$27,O204+1,FALSE)*WLS),""),"")</f>
        <v>7.2</v>
      </c>
      <c r="N204">
        <f t="shared" si="20"/>
        <v>15</v>
      </c>
      <c r="O204">
        <f t="shared" si="21"/>
        <v>7</v>
      </c>
    </row>
    <row r="205" spans="1:15" x14ac:dyDescent="0.25">
      <c r="A205" s="427">
        <f t="shared" si="22"/>
        <v>204</v>
      </c>
      <c r="B205" s="430">
        <f t="shared" si="18"/>
        <v>17</v>
      </c>
      <c r="C205" s="433">
        <f>IFERROR(-LBP/2+HLOOKUP(Stn_WL,Tools!$AD$2:$AD$27,QUOTIENT(ROW()-2,Max_WL_count)+2,FALSE)*STN_GAP,"")</f>
        <v>26.339999999999989</v>
      </c>
      <c r="D205" s="433">
        <f>IFERROR(VLOOKUP(HLOOKUP(Stn_WL,Tools!$AD$2:$AD$27,QUOTIENT(ROW()-2,Max_WL_count)+2,FALSE),Tools!$AD$3:$BC$27,MOD(ROW()-2,Max_WL_count)+2,FALSE),"")</f>
        <v>12.23</v>
      </c>
      <c r="E205" s="431">
        <f>IFERROR(IF(ISNUMBER(D205),HLOOKUP(Tools!$BE$2,Tools!$BE$2:$BE$27,MOD(ROW()-2,Max_WL_count)+2,FALSE)*WLS,""),"")</f>
        <v>14.19</v>
      </c>
      <c r="I205" s="427">
        <f t="shared" si="23"/>
        <v>204</v>
      </c>
      <c r="J205" s="430">
        <f t="shared" si="19"/>
        <v>16</v>
      </c>
      <c r="K205" s="433">
        <f>IFERROR(-LBP/2+HLOOKUP(Stn_WL,Tools!$AD$2:$AD$27,N205+2,FALSE)*STN_GAP,"")</f>
        <v>19.754999999999995</v>
      </c>
      <c r="L205" s="433">
        <f>IFERROR(IF(AND(ISNUMBER(K205),O205=0),0,VLOOKUP(HLOOKUP(Stn_WL,Tools!$AD$2:$AD$27,N205+2,FALSE),Tools!$AD$3:$BC$27,O205+1,FALSE)),"")</f>
        <v>12.18</v>
      </c>
      <c r="M205" s="433">
        <f>IFERROR(IF(ISNUMBER(L205),IF(O205=0,IFERROR(HLOOKUP(Tools!$BD$127,Tools!$BD$127:$BD$152,N205+2,FALSE)*1,0),HLOOKUP(Tools!$BE$2,Tools!$BE$2:$BE$27,O205+1,FALSE)*WLS),""),"")</f>
        <v>9</v>
      </c>
      <c r="N205">
        <f t="shared" si="20"/>
        <v>15</v>
      </c>
      <c r="O205">
        <f t="shared" si="21"/>
        <v>8</v>
      </c>
    </row>
    <row r="206" spans="1:15" x14ac:dyDescent="0.25">
      <c r="A206" s="427">
        <f t="shared" si="22"/>
        <v>205</v>
      </c>
      <c r="B206" s="430">
        <f t="shared" si="18"/>
        <v>18</v>
      </c>
      <c r="C206" s="433">
        <f>IFERROR(-LBP/2+HLOOKUP(Stn_WL,Tools!$AD$2:$AD$27,QUOTIENT(ROW()-2,Max_WL_count)+2,FALSE)*STN_GAP,"")</f>
        <v>32.924999999999997</v>
      </c>
      <c r="D206" s="433">
        <f>IFERROR(VLOOKUP(HLOOKUP(Stn_WL,Tools!$AD$2:$AD$27,QUOTIENT(ROW()-2,Max_WL_count)+2,FALSE),Tools!$AD$3:$BC$27,MOD(ROW()-2,Max_WL_count)+2,FALSE),"")</f>
        <v>3.8</v>
      </c>
      <c r="E206" s="431">
        <f>IFERROR(IF(ISNUMBER(D206),HLOOKUP(Tools!$BE$2,Tools!$BE$2:$BE$27,MOD(ROW()-2,Max_WL_count)+2,FALSE)*WLS,""),"")</f>
        <v>0</v>
      </c>
      <c r="I206" s="427">
        <f t="shared" si="23"/>
        <v>205</v>
      </c>
      <c r="J206" s="430">
        <f t="shared" si="19"/>
        <v>16</v>
      </c>
      <c r="K206" s="433">
        <f>IFERROR(-LBP/2+HLOOKUP(Stn_WL,Tools!$AD$2:$AD$27,N206+2,FALSE)*STN_GAP,"")</f>
        <v>19.754999999999995</v>
      </c>
      <c r="L206" s="433">
        <f>IFERROR(IF(AND(ISNUMBER(K206),O206=0),0,VLOOKUP(HLOOKUP(Stn_WL,Tools!$AD$2:$AD$27,N206+2,FALSE),Tools!$AD$3:$BC$27,O206+1,FALSE)),"")</f>
        <v>12.22</v>
      </c>
      <c r="M206" s="433">
        <f>IFERROR(IF(ISNUMBER(L206),IF(O206=0,IFERROR(HLOOKUP(Tools!$BD$127,Tools!$BD$127:$BD$152,N206+2,FALSE)*1,0),HLOOKUP(Tools!$BE$2,Tools!$BE$2:$BE$27,O206+1,FALSE)*WLS),""),"")</f>
        <v>10.1</v>
      </c>
      <c r="N206">
        <f t="shared" si="20"/>
        <v>15</v>
      </c>
      <c r="O206">
        <f t="shared" si="21"/>
        <v>9</v>
      </c>
    </row>
    <row r="207" spans="1:15" x14ac:dyDescent="0.25">
      <c r="A207" s="427">
        <f t="shared" si="22"/>
        <v>206</v>
      </c>
      <c r="B207" s="430">
        <f t="shared" si="18"/>
        <v>18</v>
      </c>
      <c r="C207" s="433">
        <f>IFERROR(-LBP/2+HLOOKUP(Stn_WL,Tools!$AD$2:$AD$27,QUOTIENT(ROW()-2,Max_WL_count)+2,FALSE)*STN_GAP,"")</f>
        <v>32.924999999999997</v>
      </c>
      <c r="D207" s="433">
        <f>IFERROR(VLOOKUP(HLOOKUP(Stn_WL,Tools!$AD$2:$AD$27,QUOTIENT(ROW()-2,Max_WL_count)+2,FALSE),Tools!$AD$3:$BC$27,MOD(ROW()-2,Max_WL_count)+2,FALSE),"")</f>
        <v>5.65</v>
      </c>
      <c r="E207" s="431">
        <f>IFERROR(IF(ISNUMBER(D207),HLOOKUP(Tools!$BE$2,Tools!$BE$2:$BE$27,MOD(ROW()-2,Max_WL_count)+2,FALSE)*WLS,""),"")</f>
        <v>0.9</v>
      </c>
      <c r="I207" s="427">
        <f t="shared" si="23"/>
        <v>206</v>
      </c>
      <c r="J207" s="430">
        <f t="shared" si="19"/>
        <v>16</v>
      </c>
      <c r="K207" s="433">
        <f>IFERROR(-LBP/2+HLOOKUP(Stn_WL,Tools!$AD$2:$AD$27,N207+2,FALSE)*STN_GAP,"")</f>
        <v>19.754999999999995</v>
      </c>
      <c r="L207" s="433">
        <f>IFERROR(IF(AND(ISNUMBER(K207),O207=0),0,VLOOKUP(HLOOKUP(Stn_WL,Tools!$AD$2:$AD$27,N207+2,FALSE),Tools!$AD$3:$BC$27,O207+1,FALSE)),"")</f>
        <v>12.23</v>
      </c>
      <c r="M207" s="433">
        <f>IFERROR(IF(ISNUMBER(L207),IF(O207=0,IFERROR(HLOOKUP(Tools!$BD$127,Tools!$BD$127:$BD$152,N207+2,FALSE)*1,0),HLOOKUP(Tools!$BE$2,Tools!$BE$2:$BE$27,O207+1,FALSE)*WLS),""),"")</f>
        <v>10.8</v>
      </c>
      <c r="N207">
        <f t="shared" si="20"/>
        <v>15</v>
      </c>
      <c r="O207">
        <f t="shared" si="21"/>
        <v>10</v>
      </c>
    </row>
    <row r="208" spans="1:15" x14ac:dyDescent="0.25">
      <c r="A208" s="427">
        <f t="shared" si="22"/>
        <v>207</v>
      </c>
      <c r="B208" s="430">
        <f t="shared" si="18"/>
        <v>18</v>
      </c>
      <c r="C208" s="433">
        <f>IFERROR(-LBP/2+HLOOKUP(Stn_WL,Tools!$AD$2:$AD$27,QUOTIENT(ROW()-2,Max_WL_count)+2,FALSE)*STN_GAP,"")</f>
        <v>32.924999999999997</v>
      </c>
      <c r="D208" s="433">
        <f>IFERROR(VLOOKUP(HLOOKUP(Stn_WL,Tools!$AD$2:$AD$27,QUOTIENT(ROW()-2,Max_WL_count)+2,FALSE),Tools!$AD$3:$BC$27,MOD(ROW()-2,Max_WL_count)+2,FALSE),"")</f>
        <v>6.8</v>
      </c>
      <c r="E208" s="431">
        <f>IFERROR(IF(ISNUMBER(D208),HLOOKUP(Tools!$BE$2,Tools!$BE$2:$BE$27,MOD(ROW()-2,Max_WL_count)+2,FALSE)*WLS,""),"")</f>
        <v>1.8</v>
      </c>
      <c r="I208" s="427">
        <f t="shared" si="23"/>
        <v>207</v>
      </c>
      <c r="J208" s="430">
        <f t="shared" si="19"/>
        <v>16</v>
      </c>
      <c r="K208" s="433">
        <f>IFERROR(-LBP/2+HLOOKUP(Stn_WL,Tools!$AD$2:$AD$27,N208+2,FALSE)*STN_GAP,"")</f>
        <v>19.754999999999995</v>
      </c>
      <c r="L208" s="433">
        <f>IFERROR(IF(AND(ISNUMBER(K208),O208=0),0,VLOOKUP(HLOOKUP(Stn_WL,Tools!$AD$2:$AD$27,N208+2,FALSE),Tools!$AD$3:$BC$27,O208+1,FALSE)),"")</f>
        <v>12.23</v>
      </c>
      <c r="M208" s="433">
        <f>IFERROR(IF(ISNUMBER(L208),IF(O208=0,IFERROR(HLOOKUP(Tools!$BD$127,Tools!$BD$127:$BD$152,N208+2,FALSE)*1,0),HLOOKUP(Tools!$BE$2,Tools!$BE$2:$BE$27,O208+1,FALSE)*WLS),""),"")</f>
        <v>12.6</v>
      </c>
      <c r="N208">
        <f t="shared" si="20"/>
        <v>15</v>
      </c>
      <c r="O208">
        <f t="shared" si="21"/>
        <v>11</v>
      </c>
    </row>
    <row r="209" spans="1:15" x14ac:dyDescent="0.25">
      <c r="A209" s="427">
        <f t="shared" si="22"/>
        <v>208</v>
      </c>
      <c r="B209" s="430">
        <f t="shared" si="18"/>
        <v>18</v>
      </c>
      <c r="C209" s="433">
        <f>IFERROR(-LBP/2+HLOOKUP(Stn_WL,Tools!$AD$2:$AD$27,QUOTIENT(ROW()-2,Max_WL_count)+2,FALSE)*STN_GAP,"")</f>
        <v>32.924999999999997</v>
      </c>
      <c r="D209" s="433">
        <f>IFERROR(VLOOKUP(HLOOKUP(Stn_WL,Tools!$AD$2:$AD$27,QUOTIENT(ROW()-2,Max_WL_count)+2,FALSE),Tools!$AD$3:$BC$27,MOD(ROW()-2,Max_WL_count)+2,FALSE),"")</f>
        <v>7.54</v>
      </c>
      <c r="E209" s="431">
        <f>IFERROR(IF(ISNUMBER(D209),HLOOKUP(Tools!$BE$2,Tools!$BE$2:$BE$27,MOD(ROW()-2,Max_WL_count)+2,FALSE)*WLS,""),"")</f>
        <v>2.7</v>
      </c>
      <c r="I209" s="427">
        <f t="shared" si="23"/>
        <v>208</v>
      </c>
      <c r="J209" s="430">
        <f t="shared" si="19"/>
        <v>16</v>
      </c>
      <c r="K209" s="433">
        <f>IFERROR(-LBP/2+HLOOKUP(Stn_WL,Tools!$AD$2:$AD$27,N209+2,FALSE)*STN_GAP,"")</f>
        <v>19.754999999999995</v>
      </c>
      <c r="L209" s="433">
        <f>IFERROR(IF(AND(ISNUMBER(K209),O209=0),0,VLOOKUP(HLOOKUP(Stn_WL,Tools!$AD$2:$AD$27,N209+2,FALSE),Tools!$AD$3:$BC$27,O209+1,FALSE)),"")</f>
        <v>12.25</v>
      </c>
      <c r="M209" s="433">
        <f>IFERROR(IF(ISNUMBER(L209),IF(O209=0,IFERROR(HLOOKUP(Tools!$BD$127,Tools!$BD$127:$BD$152,N209+2,FALSE)*1,0),HLOOKUP(Tools!$BE$2,Tools!$BE$2:$BE$27,O209+1,FALSE)*WLS),""),"")</f>
        <v>14.19</v>
      </c>
      <c r="N209">
        <f t="shared" si="20"/>
        <v>15</v>
      </c>
      <c r="O209">
        <f t="shared" si="21"/>
        <v>12</v>
      </c>
    </row>
    <row r="210" spans="1:15" x14ac:dyDescent="0.25">
      <c r="A210" s="427">
        <f t="shared" si="22"/>
        <v>209</v>
      </c>
      <c r="B210" s="430">
        <f t="shared" si="18"/>
        <v>18</v>
      </c>
      <c r="C210" s="433">
        <f>IFERROR(-LBP/2+HLOOKUP(Stn_WL,Tools!$AD$2:$AD$27,QUOTIENT(ROW()-2,Max_WL_count)+2,FALSE)*STN_GAP,"")</f>
        <v>32.924999999999997</v>
      </c>
      <c r="D210" s="433">
        <f>IFERROR(VLOOKUP(HLOOKUP(Stn_WL,Tools!$AD$2:$AD$27,QUOTIENT(ROW()-2,Max_WL_count)+2,FALSE),Tools!$AD$3:$BC$27,MOD(ROW()-2,Max_WL_count)+2,FALSE),"")</f>
        <v>8.08</v>
      </c>
      <c r="E210" s="431">
        <f>IFERROR(IF(ISNUMBER(D210),HLOOKUP(Tools!$BE$2,Tools!$BE$2:$BE$27,MOD(ROW()-2,Max_WL_count)+2,FALSE)*WLS,""),"")</f>
        <v>3.6</v>
      </c>
      <c r="I210" s="427">
        <f t="shared" si="23"/>
        <v>209</v>
      </c>
      <c r="J210" s="430">
        <f t="shared" si="19"/>
        <v>17</v>
      </c>
      <c r="K210" s="433">
        <f>IFERROR(-LBP/2+HLOOKUP(Stn_WL,Tools!$AD$2:$AD$27,N210+2,FALSE)*STN_GAP,"")</f>
        <v>26.339999999999989</v>
      </c>
      <c r="L210" s="433">
        <f>IFERROR(IF(AND(ISNUMBER(K210),O210=0),0,VLOOKUP(HLOOKUP(Stn_WL,Tools!$AD$2:$AD$27,N210+2,FALSE),Tools!$AD$3:$BC$27,O210+1,FALSE)),"")</f>
        <v>0</v>
      </c>
      <c r="M210" s="433">
        <f>IFERROR(IF(ISNUMBER(L210),IF(O210=0,IFERROR(HLOOKUP(Tools!$BD$127,Tools!$BD$127:$BD$152,N210+2,FALSE)*1,0),HLOOKUP(Tools!$BE$2,Tools!$BE$2:$BE$27,O210+1,FALSE)*WLS),""),"")</f>
        <v>0</v>
      </c>
      <c r="N210">
        <f t="shared" si="20"/>
        <v>16</v>
      </c>
      <c r="O210">
        <f t="shared" si="21"/>
        <v>0</v>
      </c>
    </row>
    <row r="211" spans="1:15" x14ac:dyDescent="0.25">
      <c r="A211" s="427">
        <f t="shared" si="22"/>
        <v>210</v>
      </c>
      <c r="B211" s="430">
        <f t="shared" si="18"/>
        <v>18</v>
      </c>
      <c r="C211" s="433">
        <f>IFERROR(-LBP/2+HLOOKUP(Stn_WL,Tools!$AD$2:$AD$27,QUOTIENT(ROW()-2,Max_WL_count)+2,FALSE)*STN_GAP,"")</f>
        <v>32.924999999999997</v>
      </c>
      <c r="D211" s="433">
        <f>IFERROR(VLOOKUP(HLOOKUP(Stn_WL,Tools!$AD$2:$AD$27,QUOTIENT(ROW()-2,Max_WL_count)+2,FALSE),Tools!$AD$3:$BC$27,MOD(ROW()-2,Max_WL_count)+2,FALSE),"")</f>
        <v>8.91</v>
      </c>
      <c r="E211" s="431">
        <f>IFERROR(IF(ISNUMBER(D211),HLOOKUP(Tools!$BE$2,Tools!$BE$2:$BE$27,MOD(ROW()-2,Max_WL_count)+2,FALSE)*WLS,""),"")</f>
        <v>5.4</v>
      </c>
      <c r="I211" s="427">
        <f t="shared" si="23"/>
        <v>210</v>
      </c>
      <c r="J211" s="430">
        <f t="shared" si="19"/>
        <v>17</v>
      </c>
      <c r="K211" s="433">
        <f>IFERROR(-LBP/2+HLOOKUP(Stn_WL,Tools!$AD$2:$AD$27,N211+2,FALSE)*STN_GAP,"")</f>
        <v>26.339999999999989</v>
      </c>
      <c r="L211" s="433">
        <f>IFERROR(IF(AND(ISNUMBER(K211),O211=0),0,VLOOKUP(HLOOKUP(Stn_WL,Tools!$AD$2:$AD$27,N211+2,FALSE),Tools!$AD$3:$BC$27,O211+1,FALSE)),"")</f>
        <v>5.35</v>
      </c>
      <c r="M211" s="433">
        <f>IFERROR(IF(ISNUMBER(L211),IF(O211=0,IFERROR(HLOOKUP(Tools!$BD$127,Tools!$BD$127:$BD$152,N211+2,FALSE)*1,0),HLOOKUP(Tools!$BE$2,Tools!$BE$2:$BE$27,O211+1,FALSE)*WLS),""),"")</f>
        <v>0</v>
      </c>
      <c r="N211">
        <f t="shared" si="20"/>
        <v>16</v>
      </c>
      <c r="O211">
        <f t="shared" si="21"/>
        <v>1</v>
      </c>
    </row>
    <row r="212" spans="1:15" x14ac:dyDescent="0.25">
      <c r="A212" s="427">
        <f t="shared" si="22"/>
        <v>211</v>
      </c>
      <c r="B212" s="430">
        <f t="shared" si="18"/>
        <v>18</v>
      </c>
      <c r="C212" s="433">
        <f>IFERROR(-LBP/2+HLOOKUP(Stn_WL,Tools!$AD$2:$AD$27,QUOTIENT(ROW()-2,Max_WL_count)+2,FALSE)*STN_GAP,"")</f>
        <v>32.924999999999997</v>
      </c>
      <c r="D212" s="433">
        <f>IFERROR(VLOOKUP(HLOOKUP(Stn_WL,Tools!$AD$2:$AD$27,QUOTIENT(ROW()-2,Max_WL_count)+2,FALSE),Tools!$AD$3:$BC$27,MOD(ROW()-2,Max_WL_count)+2,FALSE),"")</f>
        <v>9.64</v>
      </c>
      <c r="E212" s="431">
        <f>IFERROR(IF(ISNUMBER(D212),HLOOKUP(Tools!$BE$2,Tools!$BE$2:$BE$27,MOD(ROW()-2,Max_WL_count)+2,FALSE)*WLS,""),"")</f>
        <v>7.2</v>
      </c>
      <c r="I212" s="427">
        <f t="shared" si="23"/>
        <v>211</v>
      </c>
      <c r="J212" s="430">
        <f t="shared" si="19"/>
        <v>17</v>
      </c>
      <c r="K212" s="433">
        <f>IFERROR(-LBP/2+HLOOKUP(Stn_WL,Tools!$AD$2:$AD$27,N212+2,FALSE)*STN_GAP,"")</f>
        <v>26.339999999999989</v>
      </c>
      <c r="L212" s="433">
        <f>IFERROR(IF(AND(ISNUMBER(K212),O212=0),0,VLOOKUP(HLOOKUP(Stn_WL,Tools!$AD$2:$AD$27,N212+2,FALSE),Tools!$AD$3:$BC$27,O212+1,FALSE)),"")</f>
        <v>7.29</v>
      </c>
      <c r="M212" s="433">
        <f>IFERROR(IF(ISNUMBER(L212),IF(O212=0,IFERROR(HLOOKUP(Tools!$BD$127,Tools!$BD$127:$BD$152,N212+2,FALSE)*1,0),HLOOKUP(Tools!$BE$2,Tools!$BE$2:$BE$27,O212+1,FALSE)*WLS),""),"")</f>
        <v>0.9</v>
      </c>
      <c r="N212">
        <f t="shared" si="20"/>
        <v>16</v>
      </c>
      <c r="O212">
        <f t="shared" si="21"/>
        <v>2</v>
      </c>
    </row>
    <row r="213" spans="1:15" x14ac:dyDescent="0.25">
      <c r="A213" s="427">
        <f t="shared" si="22"/>
        <v>212</v>
      </c>
      <c r="B213" s="430">
        <f t="shared" si="18"/>
        <v>18</v>
      </c>
      <c r="C213" s="433">
        <f>IFERROR(-LBP/2+HLOOKUP(Stn_WL,Tools!$AD$2:$AD$27,QUOTIENT(ROW()-2,Max_WL_count)+2,FALSE)*STN_GAP,"")</f>
        <v>32.924999999999997</v>
      </c>
      <c r="D213" s="433">
        <f>IFERROR(VLOOKUP(HLOOKUP(Stn_WL,Tools!$AD$2:$AD$27,QUOTIENT(ROW()-2,Max_WL_count)+2,FALSE),Tools!$AD$3:$BC$27,MOD(ROW()-2,Max_WL_count)+2,FALSE),"")</f>
        <v>10.26</v>
      </c>
      <c r="E213" s="431">
        <f>IFERROR(IF(ISNUMBER(D213),HLOOKUP(Tools!$BE$2,Tools!$BE$2:$BE$27,MOD(ROW()-2,Max_WL_count)+2,FALSE)*WLS,""),"")</f>
        <v>9</v>
      </c>
      <c r="I213" s="427">
        <f t="shared" si="23"/>
        <v>212</v>
      </c>
      <c r="J213" s="430">
        <f t="shared" si="19"/>
        <v>17</v>
      </c>
      <c r="K213" s="433">
        <f>IFERROR(-LBP/2+HLOOKUP(Stn_WL,Tools!$AD$2:$AD$27,N213+2,FALSE)*STN_GAP,"")</f>
        <v>26.339999999999989</v>
      </c>
      <c r="L213" s="433">
        <f>IFERROR(IF(AND(ISNUMBER(K213),O213=0),0,VLOOKUP(HLOOKUP(Stn_WL,Tools!$AD$2:$AD$27,N213+2,FALSE),Tools!$AD$3:$BC$27,O213+1,FALSE)),"")</f>
        <v>8.15</v>
      </c>
      <c r="M213" s="433">
        <f>IFERROR(IF(ISNUMBER(L213),IF(O213=0,IFERROR(HLOOKUP(Tools!$BD$127,Tools!$BD$127:$BD$152,N213+2,FALSE)*1,0),HLOOKUP(Tools!$BE$2,Tools!$BE$2:$BE$27,O213+1,FALSE)*WLS),""),"")</f>
        <v>1.8</v>
      </c>
      <c r="N213">
        <f t="shared" si="20"/>
        <v>16</v>
      </c>
      <c r="O213">
        <f t="shared" si="21"/>
        <v>3</v>
      </c>
    </row>
    <row r="214" spans="1:15" x14ac:dyDescent="0.25">
      <c r="A214" s="427">
        <f t="shared" si="22"/>
        <v>213</v>
      </c>
      <c r="B214" s="430">
        <f t="shared" si="18"/>
        <v>18</v>
      </c>
      <c r="C214" s="433">
        <f>IFERROR(-LBP/2+HLOOKUP(Stn_WL,Tools!$AD$2:$AD$27,QUOTIENT(ROW()-2,Max_WL_count)+2,FALSE)*STN_GAP,"")</f>
        <v>32.924999999999997</v>
      </c>
      <c r="D214" s="433">
        <f>IFERROR(VLOOKUP(HLOOKUP(Stn_WL,Tools!$AD$2:$AD$27,QUOTIENT(ROW()-2,Max_WL_count)+2,FALSE),Tools!$AD$3:$BC$27,MOD(ROW()-2,Max_WL_count)+2,FALSE),"")</f>
        <v>10.6</v>
      </c>
      <c r="E214" s="431">
        <f>IFERROR(IF(ISNUMBER(D214),HLOOKUP(Tools!$BE$2,Tools!$BE$2:$BE$27,MOD(ROW()-2,Max_WL_count)+2,FALSE)*WLS,""),"")</f>
        <v>10.1</v>
      </c>
      <c r="I214" s="427">
        <f t="shared" si="23"/>
        <v>213</v>
      </c>
      <c r="J214" s="430">
        <f t="shared" si="19"/>
        <v>17</v>
      </c>
      <c r="K214" s="433">
        <f>IFERROR(-LBP/2+HLOOKUP(Stn_WL,Tools!$AD$2:$AD$27,N214+2,FALSE)*STN_GAP,"")</f>
        <v>26.339999999999989</v>
      </c>
      <c r="L214" s="433">
        <f>IFERROR(IF(AND(ISNUMBER(K214),O214=0),0,VLOOKUP(HLOOKUP(Stn_WL,Tools!$AD$2:$AD$27,N214+2,FALSE),Tools!$AD$3:$BC$27,O214+1,FALSE)),"")</f>
        <v>9.25</v>
      </c>
      <c r="M214" s="433">
        <f>IFERROR(IF(ISNUMBER(L214),IF(O214=0,IFERROR(HLOOKUP(Tools!$BD$127,Tools!$BD$127:$BD$152,N214+2,FALSE)*1,0),HLOOKUP(Tools!$BE$2,Tools!$BE$2:$BE$27,O214+1,FALSE)*WLS),""),"")</f>
        <v>2.7</v>
      </c>
      <c r="N214">
        <f t="shared" si="20"/>
        <v>16</v>
      </c>
      <c r="O214">
        <f t="shared" si="21"/>
        <v>4</v>
      </c>
    </row>
    <row r="215" spans="1:15" x14ac:dyDescent="0.25">
      <c r="A215" s="427">
        <f t="shared" si="22"/>
        <v>214</v>
      </c>
      <c r="B215" s="430">
        <f t="shared" si="18"/>
        <v>18</v>
      </c>
      <c r="C215" s="433">
        <f>IFERROR(-LBP/2+HLOOKUP(Stn_WL,Tools!$AD$2:$AD$27,QUOTIENT(ROW()-2,Max_WL_count)+2,FALSE)*STN_GAP,"")</f>
        <v>32.924999999999997</v>
      </c>
      <c r="D215" s="433">
        <f>IFERROR(VLOOKUP(HLOOKUP(Stn_WL,Tools!$AD$2:$AD$27,QUOTIENT(ROW()-2,Max_WL_count)+2,FALSE),Tools!$AD$3:$BC$27,MOD(ROW()-2,Max_WL_count)+2,FALSE),"")</f>
        <v>10.8</v>
      </c>
      <c r="E215" s="431">
        <f>IFERROR(IF(ISNUMBER(D215),HLOOKUP(Tools!$BE$2,Tools!$BE$2:$BE$27,MOD(ROW()-2,Max_WL_count)+2,FALSE)*WLS,""),"")</f>
        <v>10.8</v>
      </c>
      <c r="I215" s="427">
        <f t="shared" si="23"/>
        <v>214</v>
      </c>
      <c r="J215" s="430">
        <f t="shared" si="19"/>
        <v>17</v>
      </c>
      <c r="K215" s="433">
        <f>IFERROR(-LBP/2+HLOOKUP(Stn_WL,Tools!$AD$2:$AD$27,N215+2,FALSE)*STN_GAP,"")</f>
        <v>26.339999999999989</v>
      </c>
      <c r="L215" s="433">
        <f>IFERROR(IF(AND(ISNUMBER(K215),O215=0),0,VLOOKUP(HLOOKUP(Stn_WL,Tools!$AD$2:$AD$27,N215+2,FALSE),Tools!$AD$3:$BC$27,O215+1,FALSE)),"")</f>
        <v>9.75</v>
      </c>
      <c r="M215" s="433">
        <f>IFERROR(IF(ISNUMBER(L215),IF(O215=0,IFERROR(HLOOKUP(Tools!$BD$127,Tools!$BD$127:$BD$152,N215+2,FALSE)*1,0),HLOOKUP(Tools!$BE$2,Tools!$BE$2:$BE$27,O215+1,FALSE)*WLS),""),"")</f>
        <v>3.6</v>
      </c>
      <c r="N215">
        <f t="shared" si="20"/>
        <v>16</v>
      </c>
      <c r="O215">
        <f t="shared" si="21"/>
        <v>5</v>
      </c>
    </row>
    <row r="216" spans="1:15" x14ac:dyDescent="0.25">
      <c r="A216" s="427">
        <f t="shared" si="22"/>
        <v>215</v>
      </c>
      <c r="B216" s="430">
        <f t="shared" si="18"/>
        <v>18</v>
      </c>
      <c r="C216" s="433">
        <f>IFERROR(-LBP/2+HLOOKUP(Stn_WL,Tools!$AD$2:$AD$27,QUOTIENT(ROW()-2,Max_WL_count)+2,FALSE)*STN_GAP,"")</f>
        <v>32.924999999999997</v>
      </c>
      <c r="D216" s="433">
        <f>IFERROR(VLOOKUP(HLOOKUP(Stn_WL,Tools!$AD$2:$AD$27,QUOTIENT(ROW()-2,Max_WL_count)+2,FALSE),Tools!$AD$3:$BC$27,MOD(ROW()-2,Max_WL_count)+2,FALSE),"")</f>
        <v>11.29</v>
      </c>
      <c r="E216" s="431">
        <f>IFERROR(IF(ISNUMBER(D216),HLOOKUP(Tools!$BE$2,Tools!$BE$2:$BE$27,MOD(ROW()-2,Max_WL_count)+2,FALSE)*WLS,""),"")</f>
        <v>12.6</v>
      </c>
      <c r="I216" s="427">
        <f t="shared" si="23"/>
        <v>215</v>
      </c>
      <c r="J216" s="430">
        <f t="shared" si="19"/>
        <v>17</v>
      </c>
      <c r="K216" s="433">
        <f>IFERROR(-LBP/2+HLOOKUP(Stn_WL,Tools!$AD$2:$AD$27,N216+2,FALSE)*STN_GAP,"")</f>
        <v>26.339999999999989</v>
      </c>
      <c r="L216" s="433">
        <f>IFERROR(IF(AND(ISNUMBER(K216),O216=0),0,VLOOKUP(HLOOKUP(Stn_WL,Tools!$AD$2:$AD$27,N216+2,FALSE),Tools!$AD$3:$BC$27,O216+1,FALSE)),"")</f>
        <v>10.5</v>
      </c>
      <c r="M216" s="433">
        <f>IFERROR(IF(ISNUMBER(L216),IF(O216=0,IFERROR(HLOOKUP(Tools!$BD$127,Tools!$BD$127:$BD$152,N216+2,FALSE)*1,0),HLOOKUP(Tools!$BE$2,Tools!$BE$2:$BE$27,O216+1,FALSE)*WLS),""),"")</f>
        <v>5.4</v>
      </c>
      <c r="N216">
        <f t="shared" si="20"/>
        <v>16</v>
      </c>
      <c r="O216">
        <f t="shared" si="21"/>
        <v>6</v>
      </c>
    </row>
    <row r="217" spans="1:15" x14ac:dyDescent="0.25">
      <c r="A217" s="427">
        <f t="shared" si="22"/>
        <v>216</v>
      </c>
      <c r="B217" s="430">
        <f t="shared" si="18"/>
        <v>18</v>
      </c>
      <c r="C217" s="433">
        <f>IFERROR(-LBP/2+HLOOKUP(Stn_WL,Tools!$AD$2:$AD$27,QUOTIENT(ROW()-2,Max_WL_count)+2,FALSE)*STN_GAP,"")</f>
        <v>32.924999999999997</v>
      </c>
      <c r="D217" s="433">
        <f>IFERROR(VLOOKUP(HLOOKUP(Stn_WL,Tools!$AD$2:$AD$27,QUOTIENT(ROW()-2,Max_WL_count)+2,FALSE),Tools!$AD$3:$BC$27,MOD(ROW()-2,Max_WL_count)+2,FALSE),"")</f>
        <v>12.15</v>
      </c>
      <c r="E217" s="431">
        <f>IFERROR(IF(ISNUMBER(D217),HLOOKUP(Tools!$BE$2,Tools!$BE$2:$BE$27,MOD(ROW()-2,Max_WL_count)+2,FALSE)*WLS,""),"")</f>
        <v>14.19</v>
      </c>
      <c r="I217" s="427">
        <f t="shared" si="23"/>
        <v>216</v>
      </c>
      <c r="J217" s="430">
        <f t="shared" si="19"/>
        <v>17</v>
      </c>
      <c r="K217" s="433">
        <f>IFERROR(-LBP/2+HLOOKUP(Stn_WL,Tools!$AD$2:$AD$27,N217+2,FALSE)*STN_GAP,"")</f>
        <v>26.339999999999989</v>
      </c>
      <c r="L217" s="433">
        <f>IFERROR(IF(AND(ISNUMBER(K217),O217=0),0,VLOOKUP(HLOOKUP(Stn_WL,Tools!$AD$2:$AD$27,N217+2,FALSE),Tools!$AD$3:$BC$27,O217+1,FALSE)),"")</f>
        <v>11.06</v>
      </c>
      <c r="M217" s="433">
        <f>IFERROR(IF(ISNUMBER(L217),IF(O217=0,IFERROR(HLOOKUP(Tools!$BD$127,Tools!$BD$127:$BD$152,N217+2,FALSE)*1,0),HLOOKUP(Tools!$BE$2,Tools!$BE$2:$BE$27,O217+1,FALSE)*WLS),""),"")</f>
        <v>7.2</v>
      </c>
      <c r="N217">
        <f t="shared" si="20"/>
        <v>16</v>
      </c>
      <c r="O217">
        <f t="shared" si="21"/>
        <v>7</v>
      </c>
    </row>
    <row r="218" spans="1:15" x14ac:dyDescent="0.25">
      <c r="A218" s="427">
        <f t="shared" si="22"/>
        <v>217</v>
      </c>
      <c r="B218" s="430">
        <f t="shared" si="18"/>
        <v>19</v>
      </c>
      <c r="C218" s="433">
        <f>IFERROR(-LBP/2+HLOOKUP(Stn_WL,Tools!$AD$2:$AD$27,QUOTIENT(ROW()-2,Max_WL_count)+2,FALSE)*STN_GAP,"")</f>
        <v>39.509999999999991</v>
      </c>
      <c r="D218" s="433">
        <f>IFERROR(VLOOKUP(HLOOKUP(Stn_WL,Tools!$AD$2:$AD$27,QUOTIENT(ROW()-2,Max_WL_count)+2,FALSE),Tools!$AD$3:$BC$27,MOD(ROW()-2,Max_WL_count)+2,FALSE),"")</f>
        <v>2.2200000000000002</v>
      </c>
      <c r="E218" s="431">
        <f>IFERROR(IF(ISNUMBER(D218),HLOOKUP(Tools!$BE$2,Tools!$BE$2:$BE$27,MOD(ROW()-2,Max_WL_count)+2,FALSE)*WLS,""),"")</f>
        <v>0</v>
      </c>
      <c r="I218" s="427">
        <f t="shared" si="23"/>
        <v>217</v>
      </c>
      <c r="J218" s="430">
        <f t="shared" si="19"/>
        <v>17</v>
      </c>
      <c r="K218" s="433">
        <f>IFERROR(-LBP/2+HLOOKUP(Stn_WL,Tools!$AD$2:$AD$27,N218+2,FALSE)*STN_GAP,"")</f>
        <v>26.339999999999989</v>
      </c>
      <c r="L218" s="433">
        <f>IFERROR(IF(AND(ISNUMBER(K218),O218=0),0,VLOOKUP(HLOOKUP(Stn_WL,Tools!$AD$2:$AD$27,N218+2,FALSE),Tools!$AD$3:$BC$27,O218+1,FALSE)),"")</f>
        <v>11.46</v>
      </c>
      <c r="M218" s="433">
        <f>IFERROR(IF(ISNUMBER(L218),IF(O218=0,IFERROR(HLOOKUP(Tools!$BD$127,Tools!$BD$127:$BD$152,N218+2,FALSE)*1,0),HLOOKUP(Tools!$BE$2,Tools!$BE$2:$BE$27,O218+1,FALSE)*WLS),""),"")</f>
        <v>9</v>
      </c>
      <c r="N218">
        <f t="shared" si="20"/>
        <v>16</v>
      </c>
      <c r="O218">
        <f t="shared" si="21"/>
        <v>8</v>
      </c>
    </row>
    <row r="219" spans="1:15" x14ac:dyDescent="0.25">
      <c r="A219" s="427">
        <f t="shared" si="22"/>
        <v>218</v>
      </c>
      <c r="B219" s="430">
        <f t="shared" si="18"/>
        <v>19</v>
      </c>
      <c r="C219" s="433">
        <f>IFERROR(-LBP/2+HLOOKUP(Stn_WL,Tools!$AD$2:$AD$27,QUOTIENT(ROW()-2,Max_WL_count)+2,FALSE)*STN_GAP,"")</f>
        <v>39.509999999999991</v>
      </c>
      <c r="D219" s="433">
        <f>IFERROR(VLOOKUP(HLOOKUP(Stn_WL,Tools!$AD$2:$AD$27,QUOTIENT(ROW()-2,Max_WL_count)+2,FALSE),Tools!$AD$3:$BC$27,MOD(ROW()-2,Max_WL_count)+2,FALSE),"")</f>
        <v>4.05</v>
      </c>
      <c r="E219" s="431">
        <f>IFERROR(IF(ISNUMBER(D219),HLOOKUP(Tools!$BE$2,Tools!$BE$2:$BE$27,MOD(ROW()-2,Max_WL_count)+2,FALSE)*WLS,""),"")</f>
        <v>0.9</v>
      </c>
      <c r="I219" s="427">
        <f t="shared" si="23"/>
        <v>218</v>
      </c>
      <c r="J219" s="430">
        <f t="shared" si="19"/>
        <v>17</v>
      </c>
      <c r="K219" s="433">
        <f>IFERROR(-LBP/2+HLOOKUP(Stn_WL,Tools!$AD$2:$AD$27,N219+2,FALSE)*STN_GAP,"")</f>
        <v>26.339999999999989</v>
      </c>
      <c r="L219" s="433">
        <f>IFERROR(IF(AND(ISNUMBER(K219),O219=0),0,VLOOKUP(HLOOKUP(Stn_WL,Tools!$AD$2:$AD$27,N219+2,FALSE),Tools!$AD$3:$BC$27,O219+1,FALSE)),"")</f>
        <v>11.67</v>
      </c>
      <c r="M219" s="433">
        <f>IFERROR(IF(ISNUMBER(L219),IF(O219=0,IFERROR(HLOOKUP(Tools!$BD$127,Tools!$BD$127:$BD$152,N219+2,FALSE)*1,0),HLOOKUP(Tools!$BE$2,Tools!$BE$2:$BE$27,O219+1,FALSE)*WLS),""),"")</f>
        <v>10.1</v>
      </c>
      <c r="N219">
        <f t="shared" si="20"/>
        <v>16</v>
      </c>
      <c r="O219">
        <f t="shared" si="21"/>
        <v>9</v>
      </c>
    </row>
    <row r="220" spans="1:15" x14ac:dyDescent="0.25">
      <c r="A220" s="427">
        <f t="shared" si="22"/>
        <v>219</v>
      </c>
      <c r="B220" s="430">
        <f t="shared" si="18"/>
        <v>19</v>
      </c>
      <c r="C220" s="433">
        <f>IFERROR(-LBP/2+HLOOKUP(Stn_WL,Tools!$AD$2:$AD$27,QUOTIENT(ROW()-2,Max_WL_count)+2,FALSE)*STN_GAP,"")</f>
        <v>39.509999999999991</v>
      </c>
      <c r="D220" s="433">
        <f>IFERROR(VLOOKUP(HLOOKUP(Stn_WL,Tools!$AD$2:$AD$27,QUOTIENT(ROW()-2,Max_WL_count)+2,FALSE),Tools!$AD$3:$BC$27,MOD(ROW()-2,Max_WL_count)+2,FALSE),"")</f>
        <v>5.0999999999999996</v>
      </c>
      <c r="E220" s="431">
        <f>IFERROR(IF(ISNUMBER(D220),HLOOKUP(Tools!$BE$2,Tools!$BE$2:$BE$27,MOD(ROW()-2,Max_WL_count)+2,FALSE)*WLS,""),"")</f>
        <v>1.8</v>
      </c>
      <c r="I220" s="427">
        <f t="shared" si="23"/>
        <v>219</v>
      </c>
      <c r="J220" s="430">
        <f t="shared" si="19"/>
        <v>17</v>
      </c>
      <c r="K220" s="433">
        <f>IFERROR(-LBP/2+HLOOKUP(Stn_WL,Tools!$AD$2:$AD$27,N220+2,FALSE)*STN_GAP,"")</f>
        <v>26.339999999999989</v>
      </c>
      <c r="L220" s="433">
        <f>IFERROR(IF(AND(ISNUMBER(K220),O220=0),0,VLOOKUP(HLOOKUP(Stn_WL,Tools!$AD$2:$AD$27,N220+2,FALSE),Tools!$AD$3:$BC$27,O220+1,FALSE)),"")</f>
        <v>11.79</v>
      </c>
      <c r="M220" s="433">
        <f>IFERROR(IF(ISNUMBER(L220),IF(O220=0,IFERROR(HLOOKUP(Tools!$BD$127,Tools!$BD$127:$BD$152,N220+2,FALSE)*1,0),HLOOKUP(Tools!$BE$2,Tools!$BE$2:$BE$27,O220+1,FALSE)*WLS),""),"")</f>
        <v>10.8</v>
      </c>
      <c r="N220">
        <f t="shared" si="20"/>
        <v>16</v>
      </c>
      <c r="O220">
        <f t="shared" si="21"/>
        <v>10</v>
      </c>
    </row>
    <row r="221" spans="1:15" x14ac:dyDescent="0.25">
      <c r="A221" s="427">
        <f t="shared" si="22"/>
        <v>220</v>
      </c>
      <c r="B221" s="430">
        <f t="shared" si="18"/>
        <v>19</v>
      </c>
      <c r="C221" s="433">
        <f>IFERROR(-LBP/2+HLOOKUP(Stn_WL,Tools!$AD$2:$AD$27,QUOTIENT(ROW()-2,Max_WL_count)+2,FALSE)*STN_GAP,"")</f>
        <v>39.509999999999991</v>
      </c>
      <c r="D221" s="433">
        <f>IFERROR(VLOOKUP(HLOOKUP(Stn_WL,Tools!$AD$2:$AD$27,QUOTIENT(ROW()-2,Max_WL_count)+2,FALSE),Tools!$AD$3:$BC$27,MOD(ROW()-2,Max_WL_count)+2,FALSE),"")</f>
        <v>5.74</v>
      </c>
      <c r="E221" s="431">
        <f>IFERROR(IF(ISNUMBER(D221),HLOOKUP(Tools!$BE$2,Tools!$BE$2:$BE$27,MOD(ROW()-2,Max_WL_count)+2,FALSE)*WLS,""),"")</f>
        <v>2.7</v>
      </c>
      <c r="I221" s="427">
        <f t="shared" si="23"/>
        <v>220</v>
      </c>
      <c r="J221" s="430">
        <f t="shared" si="19"/>
        <v>17</v>
      </c>
      <c r="K221" s="433">
        <f>IFERROR(-LBP/2+HLOOKUP(Stn_WL,Tools!$AD$2:$AD$27,N221+2,FALSE)*STN_GAP,"")</f>
        <v>26.339999999999989</v>
      </c>
      <c r="L221" s="433">
        <f>IFERROR(IF(AND(ISNUMBER(K221),O221=0),0,VLOOKUP(HLOOKUP(Stn_WL,Tools!$AD$2:$AD$27,N221+2,FALSE),Tools!$AD$3:$BC$27,O221+1,FALSE)),"")</f>
        <v>12.07</v>
      </c>
      <c r="M221" s="433">
        <f>IFERROR(IF(ISNUMBER(L221),IF(O221=0,IFERROR(HLOOKUP(Tools!$BD$127,Tools!$BD$127:$BD$152,N221+2,FALSE)*1,0),HLOOKUP(Tools!$BE$2,Tools!$BE$2:$BE$27,O221+1,FALSE)*WLS),""),"")</f>
        <v>12.6</v>
      </c>
      <c r="N221">
        <f t="shared" si="20"/>
        <v>16</v>
      </c>
      <c r="O221">
        <f t="shared" si="21"/>
        <v>11</v>
      </c>
    </row>
    <row r="222" spans="1:15" x14ac:dyDescent="0.25">
      <c r="A222" s="427">
        <f t="shared" si="22"/>
        <v>221</v>
      </c>
      <c r="B222" s="430">
        <f t="shared" si="18"/>
        <v>19</v>
      </c>
      <c r="C222" s="433">
        <f>IFERROR(-LBP/2+HLOOKUP(Stn_WL,Tools!$AD$2:$AD$27,QUOTIENT(ROW()-2,Max_WL_count)+2,FALSE)*STN_GAP,"")</f>
        <v>39.509999999999991</v>
      </c>
      <c r="D222" s="433">
        <f>IFERROR(VLOOKUP(HLOOKUP(Stn_WL,Tools!$AD$2:$AD$27,QUOTIENT(ROW()-2,Max_WL_count)+2,FALSE),Tools!$AD$3:$BC$27,MOD(ROW()-2,Max_WL_count)+2,FALSE),"")</f>
        <v>6.23</v>
      </c>
      <c r="E222" s="431">
        <f>IFERROR(IF(ISNUMBER(D222),HLOOKUP(Tools!$BE$2,Tools!$BE$2:$BE$27,MOD(ROW()-2,Max_WL_count)+2,FALSE)*WLS,""),"")</f>
        <v>3.6</v>
      </c>
      <c r="I222" s="427">
        <f t="shared" si="23"/>
        <v>221</v>
      </c>
      <c r="J222" s="430">
        <f t="shared" si="19"/>
        <v>17</v>
      </c>
      <c r="K222" s="433">
        <f>IFERROR(-LBP/2+HLOOKUP(Stn_WL,Tools!$AD$2:$AD$27,N222+2,FALSE)*STN_GAP,"")</f>
        <v>26.339999999999989</v>
      </c>
      <c r="L222" s="433">
        <f>IFERROR(IF(AND(ISNUMBER(K222),O222=0),0,VLOOKUP(HLOOKUP(Stn_WL,Tools!$AD$2:$AD$27,N222+2,FALSE),Tools!$AD$3:$BC$27,O222+1,FALSE)),"")</f>
        <v>12.23</v>
      </c>
      <c r="M222" s="433">
        <f>IFERROR(IF(ISNUMBER(L222),IF(O222=0,IFERROR(HLOOKUP(Tools!$BD$127,Tools!$BD$127:$BD$152,N222+2,FALSE)*1,0),HLOOKUP(Tools!$BE$2,Tools!$BE$2:$BE$27,O222+1,FALSE)*WLS),""),"")</f>
        <v>14.19</v>
      </c>
      <c r="N222">
        <f t="shared" si="20"/>
        <v>16</v>
      </c>
      <c r="O222">
        <f t="shared" si="21"/>
        <v>12</v>
      </c>
    </row>
    <row r="223" spans="1:15" x14ac:dyDescent="0.25">
      <c r="A223" s="427">
        <f t="shared" si="22"/>
        <v>222</v>
      </c>
      <c r="B223" s="430">
        <f t="shared" si="18"/>
        <v>19</v>
      </c>
      <c r="C223" s="433">
        <f>IFERROR(-LBP/2+HLOOKUP(Stn_WL,Tools!$AD$2:$AD$27,QUOTIENT(ROW()-2,Max_WL_count)+2,FALSE)*STN_GAP,"")</f>
        <v>39.509999999999991</v>
      </c>
      <c r="D223" s="433">
        <f>IFERROR(VLOOKUP(HLOOKUP(Stn_WL,Tools!$AD$2:$AD$27,QUOTIENT(ROW()-2,Max_WL_count)+2,FALSE),Tools!$AD$3:$BC$27,MOD(ROW()-2,Max_WL_count)+2,FALSE),"")</f>
        <v>7.02</v>
      </c>
      <c r="E223" s="431">
        <f>IFERROR(IF(ISNUMBER(D223),HLOOKUP(Tools!$BE$2,Tools!$BE$2:$BE$27,MOD(ROW()-2,Max_WL_count)+2,FALSE)*WLS,""),"")</f>
        <v>5.4</v>
      </c>
      <c r="I223" s="427">
        <f t="shared" si="23"/>
        <v>222</v>
      </c>
      <c r="J223" s="430">
        <f t="shared" si="19"/>
        <v>18</v>
      </c>
      <c r="K223" s="433">
        <f>IFERROR(-LBP/2+HLOOKUP(Stn_WL,Tools!$AD$2:$AD$27,N223+2,FALSE)*STN_GAP,"")</f>
        <v>32.924999999999997</v>
      </c>
      <c r="L223" s="433">
        <f>IFERROR(IF(AND(ISNUMBER(K223),O223=0),0,VLOOKUP(HLOOKUP(Stn_WL,Tools!$AD$2:$AD$27,N223+2,FALSE),Tools!$AD$3:$BC$27,O223+1,FALSE)),"")</f>
        <v>0</v>
      </c>
      <c r="M223" s="433">
        <f>IFERROR(IF(ISNUMBER(L223),IF(O223=0,IFERROR(HLOOKUP(Tools!$BD$127,Tools!$BD$127:$BD$152,N223+2,FALSE)*1,0),HLOOKUP(Tools!$BE$2,Tools!$BE$2:$BE$27,O223+1,FALSE)*WLS),""),"")</f>
        <v>0</v>
      </c>
      <c r="N223">
        <f t="shared" si="20"/>
        <v>17</v>
      </c>
      <c r="O223">
        <f t="shared" si="21"/>
        <v>0</v>
      </c>
    </row>
    <row r="224" spans="1:15" x14ac:dyDescent="0.25">
      <c r="A224" s="427">
        <f t="shared" si="22"/>
        <v>223</v>
      </c>
      <c r="B224" s="430">
        <f t="shared" si="18"/>
        <v>19</v>
      </c>
      <c r="C224" s="433">
        <f>IFERROR(-LBP/2+HLOOKUP(Stn_WL,Tools!$AD$2:$AD$27,QUOTIENT(ROW()-2,Max_WL_count)+2,FALSE)*STN_GAP,"")</f>
        <v>39.509999999999991</v>
      </c>
      <c r="D224" s="433">
        <f>IFERROR(VLOOKUP(HLOOKUP(Stn_WL,Tools!$AD$2:$AD$27,QUOTIENT(ROW()-2,Max_WL_count)+2,FALSE),Tools!$AD$3:$BC$27,MOD(ROW()-2,Max_WL_count)+2,FALSE),"")</f>
        <v>7.81</v>
      </c>
      <c r="E224" s="431">
        <f>IFERROR(IF(ISNUMBER(D224),HLOOKUP(Tools!$BE$2,Tools!$BE$2:$BE$27,MOD(ROW()-2,Max_WL_count)+2,FALSE)*WLS,""),"")</f>
        <v>7.2</v>
      </c>
      <c r="I224" s="427">
        <f t="shared" si="23"/>
        <v>223</v>
      </c>
      <c r="J224" s="430">
        <f t="shared" si="19"/>
        <v>18</v>
      </c>
      <c r="K224" s="433">
        <f>IFERROR(-LBP/2+HLOOKUP(Stn_WL,Tools!$AD$2:$AD$27,N224+2,FALSE)*STN_GAP,"")</f>
        <v>32.924999999999997</v>
      </c>
      <c r="L224" s="433">
        <f>IFERROR(IF(AND(ISNUMBER(K224),O224=0),0,VLOOKUP(HLOOKUP(Stn_WL,Tools!$AD$2:$AD$27,N224+2,FALSE),Tools!$AD$3:$BC$27,O224+1,FALSE)),"")</f>
        <v>3.8</v>
      </c>
      <c r="M224" s="433">
        <f>IFERROR(IF(ISNUMBER(L224),IF(O224=0,IFERROR(HLOOKUP(Tools!$BD$127,Tools!$BD$127:$BD$152,N224+2,FALSE)*1,0),HLOOKUP(Tools!$BE$2,Tools!$BE$2:$BE$27,O224+1,FALSE)*WLS),""),"")</f>
        <v>0</v>
      </c>
      <c r="N224">
        <f t="shared" si="20"/>
        <v>17</v>
      </c>
      <c r="O224">
        <f t="shared" si="21"/>
        <v>1</v>
      </c>
    </row>
    <row r="225" spans="1:15" x14ac:dyDescent="0.25">
      <c r="A225" s="427">
        <f t="shared" si="22"/>
        <v>224</v>
      </c>
      <c r="B225" s="430">
        <f t="shared" si="18"/>
        <v>19</v>
      </c>
      <c r="C225" s="433">
        <f>IFERROR(-LBP/2+HLOOKUP(Stn_WL,Tools!$AD$2:$AD$27,QUOTIENT(ROW()-2,Max_WL_count)+2,FALSE)*STN_GAP,"")</f>
        <v>39.509999999999991</v>
      </c>
      <c r="D225" s="433">
        <f>IFERROR(VLOOKUP(HLOOKUP(Stn_WL,Tools!$AD$2:$AD$27,QUOTIENT(ROW()-2,Max_WL_count)+2,FALSE),Tools!$AD$3:$BC$27,MOD(ROW()-2,Max_WL_count)+2,FALSE),"")</f>
        <v>8.6300000000000008</v>
      </c>
      <c r="E225" s="431">
        <f>IFERROR(IF(ISNUMBER(D225),HLOOKUP(Tools!$BE$2,Tools!$BE$2:$BE$27,MOD(ROW()-2,Max_WL_count)+2,FALSE)*WLS,""),"")</f>
        <v>9</v>
      </c>
      <c r="I225" s="427">
        <f t="shared" si="23"/>
        <v>224</v>
      </c>
      <c r="J225" s="430">
        <f t="shared" si="19"/>
        <v>18</v>
      </c>
      <c r="K225" s="433">
        <f>IFERROR(-LBP/2+HLOOKUP(Stn_WL,Tools!$AD$2:$AD$27,N225+2,FALSE)*STN_GAP,"")</f>
        <v>32.924999999999997</v>
      </c>
      <c r="L225" s="433">
        <f>IFERROR(IF(AND(ISNUMBER(K225),O225=0),0,VLOOKUP(HLOOKUP(Stn_WL,Tools!$AD$2:$AD$27,N225+2,FALSE),Tools!$AD$3:$BC$27,O225+1,FALSE)),"")</f>
        <v>5.65</v>
      </c>
      <c r="M225" s="433">
        <f>IFERROR(IF(ISNUMBER(L225),IF(O225=0,IFERROR(HLOOKUP(Tools!$BD$127,Tools!$BD$127:$BD$152,N225+2,FALSE)*1,0),HLOOKUP(Tools!$BE$2,Tools!$BE$2:$BE$27,O225+1,FALSE)*WLS),""),"")</f>
        <v>0.9</v>
      </c>
      <c r="N225">
        <f t="shared" si="20"/>
        <v>17</v>
      </c>
      <c r="O225">
        <f t="shared" si="21"/>
        <v>2</v>
      </c>
    </row>
    <row r="226" spans="1:15" x14ac:dyDescent="0.25">
      <c r="A226" s="427">
        <f t="shared" si="22"/>
        <v>225</v>
      </c>
      <c r="B226" s="430">
        <f t="shared" si="18"/>
        <v>19</v>
      </c>
      <c r="C226" s="433">
        <f>IFERROR(-LBP/2+HLOOKUP(Stn_WL,Tools!$AD$2:$AD$27,QUOTIENT(ROW()-2,Max_WL_count)+2,FALSE)*STN_GAP,"")</f>
        <v>39.509999999999991</v>
      </c>
      <c r="D226" s="433">
        <f>IFERROR(VLOOKUP(HLOOKUP(Stn_WL,Tools!$AD$2:$AD$27,QUOTIENT(ROW()-2,Max_WL_count)+2,FALSE),Tools!$AD$3:$BC$27,MOD(ROW()-2,Max_WL_count)+2,FALSE),"")</f>
        <v>9.1199999999999992</v>
      </c>
      <c r="E226" s="431">
        <f>IFERROR(IF(ISNUMBER(D226),HLOOKUP(Tools!$BE$2,Tools!$BE$2:$BE$27,MOD(ROW()-2,Max_WL_count)+2,FALSE)*WLS,""),"")</f>
        <v>10.1</v>
      </c>
      <c r="I226" s="427">
        <f t="shared" si="23"/>
        <v>225</v>
      </c>
      <c r="J226" s="430">
        <f t="shared" si="19"/>
        <v>18</v>
      </c>
      <c r="K226" s="433">
        <f>IFERROR(-LBP/2+HLOOKUP(Stn_WL,Tools!$AD$2:$AD$27,N226+2,FALSE)*STN_GAP,"")</f>
        <v>32.924999999999997</v>
      </c>
      <c r="L226" s="433">
        <f>IFERROR(IF(AND(ISNUMBER(K226),O226=0),0,VLOOKUP(HLOOKUP(Stn_WL,Tools!$AD$2:$AD$27,N226+2,FALSE),Tools!$AD$3:$BC$27,O226+1,FALSE)),"")</f>
        <v>6.8</v>
      </c>
      <c r="M226" s="433">
        <f>IFERROR(IF(ISNUMBER(L226),IF(O226=0,IFERROR(HLOOKUP(Tools!$BD$127,Tools!$BD$127:$BD$152,N226+2,FALSE)*1,0),HLOOKUP(Tools!$BE$2,Tools!$BE$2:$BE$27,O226+1,FALSE)*WLS),""),"")</f>
        <v>1.8</v>
      </c>
      <c r="N226">
        <f t="shared" si="20"/>
        <v>17</v>
      </c>
      <c r="O226">
        <f t="shared" si="21"/>
        <v>3</v>
      </c>
    </row>
    <row r="227" spans="1:15" x14ac:dyDescent="0.25">
      <c r="A227" s="427">
        <f t="shared" si="22"/>
        <v>226</v>
      </c>
      <c r="B227" s="430">
        <f t="shared" si="18"/>
        <v>19</v>
      </c>
      <c r="C227" s="433">
        <f>IFERROR(-LBP/2+HLOOKUP(Stn_WL,Tools!$AD$2:$AD$27,QUOTIENT(ROW()-2,Max_WL_count)+2,FALSE)*STN_GAP,"")</f>
        <v>39.509999999999991</v>
      </c>
      <c r="D227" s="433">
        <f>IFERROR(VLOOKUP(HLOOKUP(Stn_WL,Tools!$AD$2:$AD$27,QUOTIENT(ROW()-2,Max_WL_count)+2,FALSE),Tools!$AD$3:$BC$27,MOD(ROW()-2,Max_WL_count)+2,FALSE),"")</f>
        <v>9.43</v>
      </c>
      <c r="E227" s="431">
        <f>IFERROR(IF(ISNUMBER(D227),HLOOKUP(Tools!$BE$2,Tools!$BE$2:$BE$27,MOD(ROW()-2,Max_WL_count)+2,FALSE)*WLS,""),"")</f>
        <v>10.8</v>
      </c>
      <c r="I227" s="427">
        <f t="shared" si="23"/>
        <v>226</v>
      </c>
      <c r="J227" s="430">
        <f t="shared" si="19"/>
        <v>18</v>
      </c>
      <c r="K227" s="433">
        <f>IFERROR(-LBP/2+HLOOKUP(Stn_WL,Tools!$AD$2:$AD$27,N227+2,FALSE)*STN_GAP,"")</f>
        <v>32.924999999999997</v>
      </c>
      <c r="L227" s="433">
        <f>IFERROR(IF(AND(ISNUMBER(K227),O227=0),0,VLOOKUP(HLOOKUP(Stn_WL,Tools!$AD$2:$AD$27,N227+2,FALSE),Tools!$AD$3:$BC$27,O227+1,FALSE)),"")</f>
        <v>7.54</v>
      </c>
      <c r="M227" s="433">
        <f>IFERROR(IF(ISNUMBER(L227),IF(O227=0,IFERROR(HLOOKUP(Tools!$BD$127,Tools!$BD$127:$BD$152,N227+2,FALSE)*1,0),HLOOKUP(Tools!$BE$2,Tools!$BE$2:$BE$27,O227+1,FALSE)*WLS),""),"")</f>
        <v>2.7</v>
      </c>
      <c r="N227">
        <f t="shared" si="20"/>
        <v>17</v>
      </c>
      <c r="O227">
        <f t="shared" si="21"/>
        <v>4</v>
      </c>
    </row>
    <row r="228" spans="1:15" x14ac:dyDescent="0.25">
      <c r="A228" s="427">
        <f t="shared" si="22"/>
        <v>227</v>
      </c>
      <c r="B228" s="430">
        <f t="shared" si="18"/>
        <v>19</v>
      </c>
      <c r="C228" s="433">
        <f>IFERROR(-LBP/2+HLOOKUP(Stn_WL,Tools!$AD$2:$AD$27,QUOTIENT(ROW()-2,Max_WL_count)+2,FALSE)*STN_GAP,"")</f>
        <v>39.509999999999991</v>
      </c>
      <c r="D228" s="433">
        <f>IFERROR(VLOOKUP(HLOOKUP(Stn_WL,Tools!$AD$2:$AD$27,QUOTIENT(ROW()-2,Max_WL_count)+2,FALSE),Tools!$AD$3:$BC$27,MOD(ROW()-2,Max_WL_count)+2,FALSE),"")</f>
        <v>10.199999999999999</v>
      </c>
      <c r="E228" s="431">
        <f>IFERROR(IF(ISNUMBER(D228),HLOOKUP(Tools!$BE$2,Tools!$BE$2:$BE$27,MOD(ROW()-2,Max_WL_count)+2,FALSE)*WLS,""),"")</f>
        <v>12.6</v>
      </c>
      <c r="I228" s="427">
        <f t="shared" si="23"/>
        <v>227</v>
      </c>
      <c r="J228" s="430">
        <f t="shared" si="19"/>
        <v>18</v>
      </c>
      <c r="K228" s="433">
        <f>IFERROR(-LBP/2+HLOOKUP(Stn_WL,Tools!$AD$2:$AD$27,N228+2,FALSE)*STN_GAP,"")</f>
        <v>32.924999999999997</v>
      </c>
      <c r="L228" s="433">
        <f>IFERROR(IF(AND(ISNUMBER(K228),O228=0),0,VLOOKUP(HLOOKUP(Stn_WL,Tools!$AD$2:$AD$27,N228+2,FALSE),Tools!$AD$3:$BC$27,O228+1,FALSE)),"")</f>
        <v>8.08</v>
      </c>
      <c r="M228" s="433">
        <f>IFERROR(IF(ISNUMBER(L228),IF(O228=0,IFERROR(HLOOKUP(Tools!$BD$127,Tools!$BD$127:$BD$152,N228+2,FALSE)*1,0),HLOOKUP(Tools!$BE$2,Tools!$BE$2:$BE$27,O228+1,FALSE)*WLS),""),"")</f>
        <v>3.6</v>
      </c>
      <c r="N228">
        <f t="shared" si="20"/>
        <v>17</v>
      </c>
      <c r="O228">
        <f t="shared" si="21"/>
        <v>5</v>
      </c>
    </row>
    <row r="229" spans="1:15" x14ac:dyDescent="0.25">
      <c r="A229" s="427">
        <f t="shared" si="22"/>
        <v>228</v>
      </c>
      <c r="B229" s="430">
        <f t="shared" si="18"/>
        <v>19</v>
      </c>
      <c r="C229" s="433">
        <f>IFERROR(-LBP/2+HLOOKUP(Stn_WL,Tools!$AD$2:$AD$27,QUOTIENT(ROW()-2,Max_WL_count)+2,FALSE)*STN_GAP,"")</f>
        <v>39.509999999999991</v>
      </c>
      <c r="D229" s="433">
        <f>IFERROR(VLOOKUP(HLOOKUP(Stn_WL,Tools!$AD$2:$AD$27,QUOTIENT(ROW()-2,Max_WL_count)+2,FALSE),Tools!$AD$3:$BC$27,MOD(ROW()-2,Max_WL_count)+2,FALSE),"")</f>
        <v>11.75</v>
      </c>
      <c r="E229" s="431">
        <f>IFERROR(IF(ISNUMBER(D229),HLOOKUP(Tools!$BE$2,Tools!$BE$2:$BE$27,MOD(ROW()-2,Max_WL_count)+2,FALSE)*WLS,""),"")</f>
        <v>14.19</v>
      </c>
      <c r="I229" s="427">
        <f t="shared" si="23"/>
        <v>228</v>
      </c>
      <c r="J229" s="430">
        <f t="shared" si="19"/>
        <v>18</v>
      </c>
      <c r="K229" s="433">
        <f>IFERROR(-LBP/2+HLOOKUP(Stn_WL,Tools!$AD$2:$AD$27,N229+2,FALSE)*STN_GAP,"")</f>
        <v>32.924999999999997</v>
      </c>
      <c r="L229" s="433">
        <f>IFERROR(IF(AND(ISNUMBER(K229),O229=0),0,VLOOKUP(HLOOKUP(Stn_WL,Tools!$AD$2:$AD$27,N229+2,FALSE),Tools!$AD$3:$BC$27,O229+1,FALSE)),"")</f>
        <v>8.91</v>
      </c>
      <c r="M229" s="433">
        <f>IFERROR(IF(ISNUMBER(L229),IF(O229=0,IFERROR(HLOOKUP(Tools!$BD$127,Tools!$BD$127:$BD$152,N229+2,FALSE)*1,0),HLOOKUP(Tools!$BE$2,Tools!$BE$2:$BE$27,O229+1,FALSE)*WLS),""),"")</f>
        <v>5.4</v>
      </c>
      <c r="N229">
        <f t="shared" si="20"/>
        <v>17</v>
      </c>
      <c r="O229">
        <f t="shared" si="21"/>
        <v>6</v>
      </c>
    </row>
    <row r="230" spans="1:15" x14ac:dyDescent="0.25">
      <c r="A230" s="427">
        <f t="shared" si="22"/>
        <v>229</v>
      </c>
      <c r="B230" s="430">
        <f t="shared" si="18"/>
        <v>20</v>
      </c>
      <c r="C230" s="433">
        <f>IFERROR(-LBP/2+HLOOKUP(Stn_WL,Tools!$AD$2:$AD$27,QUOTIENT(ROW()-2,Max_WL_count)+2,FALSE)*STN_GAP,"")</f>
        <v>46.094999999999985</v>
      </c>
      <c r="D230" s="433">
        <f>IFERROR(VLOOKUP(HLOOKUP(Stn_WL,Tools!$AD$2:$AD$27,QUOTIENT(ROW()-2,Max_WL_count)+2,FALSE),Tools!$AD$3:$BC$27,MOD(ROW()-2,Max_WL_count)+2,FALSE),"")</f>
        <v>0.65</v>
      </c>
      <c r="E230" s="431">
        <f>IFERROR(IF(ISNUMBER(D230),HLOOKUP(Tools!$BE$2,Tools!$BE$2:$BE$27,MOD(ROW()-2,Max_WL_count)+2,FALSE)*WLS,""),"")</f>
        <v>0</v>
      </c>
      <c r="I230" s="427">
        <f t="shared" si="23"/>
        <v>229</v>
      </c>
      <c r="J230" s="430">
        <f t="shared" si="19"/>
        <v>18</v>
      </c>
      <c r="K230" s="433">
        <f>IFERROR(-LBP/2+HLOOKUP(Stn_WL,Tools!$AD$2:$AD$27,N230+2,FALSE)*STN_GAP,"")</f>
        <v>32.924999999999997</v>
      </c>
      <c r="L230" s="433">
        <f>IFERROR(IF(AND(ISNUMBER(K230),O230=0),0,VLOOKUP(HLOOKUP(Stn_WL,Tools!$AD$2:$AD$27,N230+2,FALSE),Tools!$AD$3:$BC$27,O230+1,FALSE)),"")</f>
        <v>9.64</v>
      </c>
      <c r="M230" s="433">
        <f>IFERROR(IF(ISNUMBER(L230),IF(O230=0,IFERROR(HLOOKUP(Tools!$BD$127,Tools!$BD$127:$BD$152,N230+2,FALSE)*1,0),HLOOKUP(Tools!$BE$2,Tools!$BE$2:$BE$27,O230+1,FALSE)*WLS),""),"")</f>
        <v>7.2</v>
      </c>
      <c r="N230">
        <f t="shared" si="20"/>
        <v>17</v>
      </c>
      <c r="O230">
        <f t="shared" si="21"/>
        <v>7</v>
      </c>
    </row>
    <row r="231" spans="1:15" x14ac:dyDescent="0.25">
      <c r="A231" s="427">
        <f t="shared" si="22"/>
        <v>230</v>
      </c>
      <c r="B231" s="430">
        <f t="shared" si="18"/>
        <v>20</v>
      </c>
      <c r="C231" s="433">
        <f>IFERROR(-LBP/2+HLOOKUP(Stn_WL,Tools!$AD$2:$AD$27,QUOTIENT(ROW()-2,Max_WL_count)+2,FALSE)*STN_GAP,"")</f>
        <v>46.094999999999985</v>
      </c>
      <c r="D231" s="433">
        <f>IFERROR(VLOOKUP(HLOOKUP(Stn_WL,Tools!$AD$2:$AD$27,QUOTIENT(ROW()-2,Max_WL_count)+2,FALSE),Tools!$AD$3:$BC$27,MOD(ROW()-2,Max_WL_count)+2,FALSE),"")</f>
        <v>2.63</v>
      </c>
      <c r="E231" s="431">
        <f>IFERROR(IF(ISNUMBER(D231),HLOOKUP(Tools!$BE$2,Tools!$BE$2:$BE$27,MOD(ROW()-2,Max_WL_count)+2,FALSE)*WLS,""),"")</f>
        <v>0.9</v>
      </c>
      <c r="I231" s="427">
        <f t="shared" si="23"/>
        <v>230</v>
      </c>
      <c r="J231" s="430">
        <f t="shared" si="19"/>
        <v>18</v>
      </c>
      <c r="K231" s="433">
        <f>IFERROR(-LBP/2+HLOOKUP(Stn_WL,Tools!$AD$2:$AD$27,N231+2,FALSE)*STN_GAP,"")</f>
        <v>32.924999999999997</v>
      </c>
      <c r="L231" s="433">
        <f>IFERROR(IF(AND(ISNUMBER(K231),O231=0),0,VLOOKUP(HLOOKUP(Stn_WL,Tools!$AD$2:$AD$27,N231+2,FALSE),Tools!$AD$3:$BC$27,O231+1,FALSE)),"")</f>
        <v>10.26</v>
      </c>
      <c r="M231" s="433">
        <f>IFERROR(IF(ISNUMBER(L231),IF(O231=0,IFERROR(HLOOKUP(Tools!$BD$127,Tools!$BD$127:$BD$152,N231+2,FALSE)*1,0),HLOOKUP(Tools!$BE$2,Tools!$BE$2:$BE$27,O231+1,FALSE)*WLS),""),"")</f>
        <v>9</v>
      </c>
      <c r="N231">
        <f t="shared" si="20"/>
        <v>17</v>
      </c>
      <c r="O231">
        <f t="shared" si="21"/>
        <v>8</v>
      </c>
    </row>
    <row r="232" spans="1:15" x14ac:dyDescent="0.25">
      <c r="A232" s="427">
        <f t="shared" si="22"/>
        <v>231</v>
      </c>
      <c r="B232" s="430">
        <f t="shared" si="18"/>
        <v>20</v>
      </c>
      <c r="C232" s="433">
        <f>IFERROR(-LBP/2+HLOOKUP(Stn_WL,Tools!$AD$2:$AD$27,QUOTIENT(ROW()-2,Max_WL_count)+2,FALSE)*STN_GAP,"")</f>
        <v>46.094999999999985</v>
      </c>
      <c r="D232" s="433">
        <f>IFERROR(VLOOKUP(HLOOKUP(Stn_WL,Tools!$AD$2:$AD$27,QUOTIENT(ROW()-2,Max_WL_count)+2,FALSE),Tools!$AD$3:$BC$27,MOD(ROW()-2,Max_WL_count)+2,FALSE),"")</f>
        <v>3.52</v>
      </c>
      <c r="E232" s="431">
        <f>IFERROR(IF(ISNUMBER(D232),HLOOKUP(Tools!$BE$2,Tools!$BE$2:$BE$27,MOD(ROW()-2,Max_WL_count)+2,FALSE)*WLS,""),"")</f>
        <v>1.8</v>
      </c>
      <c r="I232" s="427">
        <f t="shared" si="23"/>
        <v>231</v>
      </c>
      <c r="J232" s="430">
        <f t="shared" si="19"/>
        <v>18</v>
      </c>
      <c r="K232" s="433">
        <f>IFERROR(-LBP/2+HLOOKUP(Stn_WL,Tools!$AD$2:$AD$27,N232+2,FALSE)*STN_GAP,"")</f>
        <v>32.924999999999997</v>
      </c>
      <c r="L232" s="433">
        <f>IFERROR(IF(AND(ISNUMBER(K232),O232=0),0,VLOOKUP(HLOOKUP(Stn_WL,Tools!$AD$2:$AD$27,N232+2,FALSE),Tools!$AD$3:$BC$27,O232+1,FALSE)),"")</f>
        <v>10.6</v>
      </c>
      <c r="M232" s="433">
        <f>IFERROR(IF(ISNUMBER(L232),IF(O232=0,IFERROR(HLOOKUP(Tools!$BD$127,Tools!$BD$127:$BD$152,N232+2,FALSE)*1,0),HLOOKUP(Tools!$BE$2,Tools!$BE$2:$BE$27,O232+1,FALSE)*WLS),""),"")</f>
        <v>10.1</v>
      </c>
      <c r="N232">
        <f t="shared" si="20"/>
        <v>17</v>
      </c>
      <c r="O232">
        <f t="shared" si="21"/>
        <v>9</v>
      </c>
    </row>
    <row r="233" spans="1:15" x14ac:dyDescent="0.25">
      <c r="A233" s="427">
        <f t="shared" si="22"/>
        <v>232</v>
      </c>
      <c r="B233" s="430">
        <f t="shared" si="18"/>
        <v>20</v>
      </c>
      <c r="C233" s="433">
        <f>IFERROR(-LBP/2+HLOOKUP(Stn_WL,Tools!$AD$2:$AD$27,QUOTIENT(ROW()-2,Max_WL_count)+2,FALSE)*STN_GAP,"")</f>
        <v>46.094999999999985</v>
      </c>
      <c r="D233" s="433">
        <f>IFERROR(VLOOKUP(HLOOKUP(Stn_WL,Tools!$AD$2:$AD$27,QUOTIENT(ROW()-2,Max_WL_count)+2,FALSE),Tools!$AD$3:$BC$27,MOD(ROW()-2,Max_WL_count)+2,FALSE),"")</f>
        <v>4.0599999999999996</v>
      </c>
      <c r="E233" s="431">
        <f>IFERROR(IF(ISNUMBER(D233),HLOOKUP(Tools!$BE$2,Tools!$BE$2:$BE$27,MOD(ROW()-2,Max_WL_count)+2,FALSE)*WLS,""),"")</f>
        <v>2.7</v>
      </c>
      <c r="I233" s="427">
        <f t="shared" si="23"/>
        <v>232</v>
      </c>
      <c r="J233" s="430">
        <f t="shared" si="19"/>
        <v>18</v>
      </c>
      <c r="K233" s="433">
        <f>IFERROR(-LBP/2+HLOOKUP(Stn_WL,Tools!$AD$2:$AD$27,N233+2,FALSE)*STN_GAP,"")</f>
        <v>32.924999999999997</v>
      </c>
      <c r="L233" s="433">
        <f>IFERROR(IF(AND(ISNUMBER(K233),O233=0),0,VLOOKUP(HLOOKUP(Stn_WL,Tools!$AD$2:$AD$27,N233+2,FALSE),Tools!$AD$3:$BC$27,O233+1,FALSE)),"")</f>
        <v>10.8</v>
      </c>
      <c r="M233" s="433">
        <f>IFERROR(IF(ISNUMBER(L233),IF(O233=0,IFERROR(HLOOKUP(Tools!$BD$127,Tools!$BD$127:$BD$152,N233+2,FALSE)*1,0),HLOOKUP(Tools!$BE$2,Tools!$BE$2:$BE$27,O233+1,FALSE)*WLS),""),"")</f>
        <v>10.8</v>
      </c>
      <c r="N233">
        <f t="shared" si="20"/>
        <v>17</v>
      </c>
      <c r="O233">
        <f t="shared" si="21"/>
        <v>10</v>
      </c>
    </row>
    <row r="234" spans="1:15" x14ac:dyDescent="0.25">
      <c r="A234" s="427">
        <f t="shared" si="22"/>
        <v>233</v>
      </c>
      <c r="B234" s="430">
        <f t="shared" si="18"/>
        <v>20</v>
      </c>
      <c r="C234" s="433">
        <f>IFERROR(-LBP/2+HLOOKUP(Stn_WL,Tools!$AD$2:$AD$27,QUOTIENT(ROW()-2,Max_WL_count)+2,FALSE)*STN_GAP,"")</f>
        <v>46.094999999999985</v>
      </c>
      <c r="D234" s="433">
        <f>IFERROR(VLOOKUP(HLOOKUP(Stn_WL,Tools!$AD$2:$AD$27,QUOTIENT(ROW()-2,Max_WL_count)+2,FALSE),Tools!$AD$3:$BC$27,MOD(ROW()-2,Max_WL_count)+2,FALSE),"")</f>
        <v>4.43</v>
      </c>
      <c r="E234" s="431">
        <f>IFERROR(IF(ISNUMBER(D234),HLOOKUP(Tools!$BE$2,Tools!$BE$2:$BE$27,MOD(ROW()-2,Max_WL_count)+2,FALSE)*WLS,""),"")</f>
        <v>3.6</v>
      </c>
      <c r="I234" s="427">
        <f t="shared" si="23"/>
        <v>233</v>
      </c>
      <c r="J234" s="430">
        <f t="shared" si="19"/>
        <v>18</v>
      </c>
      <c r="K234" s="433">
        <f>IFERROR(-LBP/2+HLOOKUP(Stn_WL,Tools!$AD$2:$AD$27,N234+2,FALSE)*STN_GAP,"")</f>
        <v>32.924999999999997</v>
      </c>
      <c r="L234" s="433">
        <f>IFERROR(IF(AND(ISNUMBER(K234),O234=0),0,VLOOKUP(HLOOKUP(Stn_WL,Tools!$AD$2:$AD$27,N234+2,FALSE),Tools!$AD$3:$BC$27,O234+1,FALSE)),"")</f>
        <v>11.29</v>
      </c>
      <c r="M234" s="433">
        <f>IFERROR(IF(ISNUMBER(L234),IF(O234=0,IFERROR(HLOOKUP(Tools!$BD$127,Tools!$BD$127:$BD$152,N234+2,FALSE)*1,0),HLOOKUP(Tools!$BE$2,Tools!$BE$2:$BE$27,O234+1,FALSE)*WLS),""),"")</f>
        <v>12.6</v>
      </c>
      <c r="N234">
        <f t="shared" si="20"/>
        <v>17</v>
      </c>
      <c r="O234">
        <f t="shared" si="21"/>
        <v>11</v>
      </c>
    </row>
    <row r="235" spans="1:15" x14ac:dyDescent="0.25">
      <c r="A235" s="427">
        <f t="shared" si="22"/>
        <v>234</v>
      </c>
      <c r="B235" s="430">
        <f t="shared" si="18"/>
        <v>20</v>
      </c>
      <c r="C235" s="433">
        <f>IFERROR(-LBP/2+HLOOKUP(Stn_WL,Tools!$AD$2:$AD$27,QUOTIENT(ROW()-2,Max_WL_count)+2,FALSE)*STN_GAP,"")</f>
        <v>46.094999999999985</v>
      </c>
      <c r="D235" s="433">
        <f>IFERROR(VLOOKUP(HLOOKUP(Stn_WL,Tools!$AD$2:$AD$27,QUOTIENT(ROW()-2,Max_WL_count)+2,FALSE),Tools!$AD$3:$BC$27,MOD(ROW()-2,Max_WL_count)+2,FALSE),"")</f>
        <v>5.03</v>
      </c>
      <c r="E235" s="431">
        <f>IFERROR(IF(ISNUMBER(D235),HLOOKUP(Tools!$BE$2,Tools!$BE$2:$BE$27,MOD(ROW()-2,Max_WL_count)+2,FALSE)*WLS,""),"")</f>
        <v>5.4</v>
      </c>
      <c r="I235" s="427">
        <f t="shared" si="23"/>
        <v>234</v>
      </c>
      <c r="J235" s="430">
        <f t="shared" si="19"/>
        <v>18</v>
      </c>
      <c r="K235" s="433">
        <f>IFERROR(-LBP/2+HLOOKUP(Stn_WL,Tools!$AD$2:$AD$27,N235+2,FALSE)*STN_GAP,"")</f>
        <v>32.924999999999997</v>
      </c>
      <c r="L235" s="433">
        <f>IFERROR(IF(AND(ISNUMBER(K235),O235=0),0,VLOOKUP(HLOOKUP(Stn_WL,Tools!$AD$2:$AD$27,N235+2,FALSE),Tools!$AD$3:$BC$27,O235+1,FALSE)),"")</f>
        <v>12.15</v>
      </c>
      <c r="M235" s="433">
        <f>IFERROR(IF(ISNUMBER(L235),IF(O235=0,IFERROR(HLOOKUP(Tools!$BD$127,Tools!$BD$127:$BD$152,N235+2,FALSE)*1,0),HLOOKUP(Tools!$BE$2,Tools!$BE$2:$BE$27,O235+1,FALSE)*WLS),""),"")</f>
        <v>14.19</v>
      </c>
      <c r="N235">
        <f t="shared" si="20"/>
        <v>17</v>
      </c>
      <c r="O235">
        <f t="shared" si="21"/>
        <v>12</v>
      </c>
    </row>
    <row r="236" spans="1:15" x14ac:dyDescent="0.25">
      <c r="A236" s="427">
        <f t="shared" si="22"/>
        <v>235</v>
      </c>
      <c r="B236" s="430">
        <f t="shared" si="18"/>
        <v>20</v>
      </c>
      <c r="C236" s="433">
        <f>IFERROR(-LBP/2+HLOOKUP(Stn_WL,Tools!$AD$2:$AD$27,QUOTIENT(ROW()-2,Max_WL_count)+2,FALSE)*STN_GAP,"")</f>
        <v>46.094999999999985</v>
      </c>
      <c r="D236" s="433">
        <f>IFERROR(VLOOKUP(HLOOKUP(Stn_WL,Tools!$AD$2:$AD$27,QUOTIENT(ROW()-2,Max_WL_count)+2,FALSE),Tools!$AD$3:$BC$27,MOD(ROW()-2,Max_WL_count)+2,FALSE),"")</f>
        <v>5.69</v>
      </c>
      <c r="E236" s="431">
        <f>IFERROR(IF(ISNUMBER(D236),HLOOKUP(Tools!$BE$2,Tools!$BE$2:$BE$27,MOD(ROW()-2,Max_WL_count)+2,FALSE)*WLS,""),"")</f>
        <v>7.2</v>
      </c>
      <c r="I236" s="427">
        <f t="shared" si="23"/>
        <v>235</v>
      </c>
      <c r="J236" s="430">
        <f t="shared" si="19"/>
        <v>19</v>
      </c>
      <c r="K236" s="433">
        <f>IFERROR(-LBP/2+HLOOKUP(Stn_WL,Tools!$AD$2:$AD$27,N236+2,FALSE)*STN_GAP,"")</f>
        <v>39.509999999999991</v>
      </c>
      <c r="L236" s="433">
        <f>IFERROR(IF(AND(ISNUMBER(K236),O236=0),0,VLOOKUP(HLOOKUP(Stn_WL,Tools!$AD$2:$AD$27,N236+2,FALSE),Tools!$AD$3:$BC$27,O236+1,FALSE)),"")</f>
        <v>0</v>
      </c>
      <c r="M236" s="433">
        <f>IFERROR(IF(ISNUMBER(L236),IF(O236=0,IFERROR(HLOOKUP(Tools!$BD$127,Tools!$BD$127:$BD$152,N236+2,FALSE)*1,0),HLOOKUP(Tools!$BE$2,Tools!$BE$2:$BE$27,O236+1,FALSE)*WLS),""),"")</f>
        <v>0</v>
      </c>
      <c r="N236">
        <f t="shared" si="20"/>
        <v>18</v>
      </c>
      <c r="O236">
        <f t="shared" si="21"/>
        <v>0</v>
      </c>
    </row>
    <row r="237" spans="1:15" x14ac:dyDescent="0.25">
      <c r="A237" s="427">
        <f t="shared" si="22"/>
        <v>236</v>
      </c>
      <c r="B237" s="430">
        <f t="shared" si="18"/>
        <v>20</v>
      </c>
      <c r="C237" s="433">
        <f>IFERROR(-LBP/2+HLOOKUP(Stn_WL,Tools!$AD$2:$AD$27,QUOTIENT(ROW()-2,Max_WL_count)+2,FALSE)*STN_GAP,"")</f>
        <v>46.094999999999985</v>
      </c>
      <c r="D237" s="433">
        <f>IFERROR(VLOOKUP(HLOOKUP(Stn_WL,Tools!$AD$2:$AD$27,QUOTIENT(ROW()-2,Max_WL_count)+2,FALSE),Tools!$AD$3:$BC$27,MOD(ROW()-2,Max_WL_count)+2,FALSE),"")</f>
        <v>6.59</v>
      </c>
      <c r="E237" s="431">
        <f>IFERROR(IF(ISNUMBER(D237),HLOOKUP(Tools!$BE$2,Tools!$BE$2:$BE$27,MOD(ROW()-2,Max_WL_count)+2,FALSE)*WLS,""),"")</f>
        <v>9</v>
      </c>
      <c r="I237" s="427">
        <f t="shared" si="23"/>
        <v>236</v>
      </c>
      <c r="J237" s="430">
        <f t="shared" si="19"/>
        <v>19</v>
      </c>
      <c r="K237" s="433">
        <f>IFERROR(-LBP/2+HLOOKUP(Stn_WL,Tools!$AD$2:$AD$27,N237+2,FALSE)*STN_GAP,"")</f>
        <v>39.509999999999991</v>
      </c>
      <c r="L237" s="433">
        <f>IFERROR(IF(AND(ISNUMBER(K237),O237=0),0,VLOOKUP(HLOOKUP(Stn_WL,Tools!$AD$2:$AD$27,N237+2,FALSE),Tools!$AD$3:$BC$27,O237+1,FALSE)),"")</f>
        <v>2.2200000000000002</v>
      </c>
      <c r="M237" s="433">
        <f>IFERROR(IF(ISNUMBER(L237),IF(O237=0,IFERROR(HLOOKUP(Tools!$BD$127,Tools!$BD$127:$BD$152,N237+2,FALSE)*1,0),HLOOKUP(Tools!$BE$2,Tools!$BE$2:$BE$27,O237+1,FALSE)*WLS),""),"")</f>
        <v>0</v>
      </c>
      <c r="N237">
        <f t="shared" si="20"/>
        <v>18</v>
      </c>
      <c r="O237">
        <f t="shared" si="21"/>
        <v>1</v>
      </c>
    </row>
    <row r="238" spans="1:15" x14ac:dyDescent="0.25">
      <c r="A238" s="427">
        <f t="shared" si="22"/>
        <v>237</v>
      </c>
      <c r="B238" s="430">
        <f t="shared" si="18"/>
        <v>20</v>
      </c>
      <c r="C238" s="433">
        <f>IFERROR(-LBP/2+HLOOKUP(Stn_WL,Tools!$AD$2:$AD$27,QUOTIENT(ROW()-2,Max_WL_count)+2,FALSE)*STN_GAP,"")</f>
        <v>46.094999999999985</v>
      </c>
      <c r="D238" s="433">
        <f>IFERROR(VLOOKUP(HLOOKUP(Stn_WL,Tools!$AD$2:$AD$27,QUOTIENT(ROW()-2,Max_WL_count)+2,FALSE),Tools!$AD$3:$BC$27,MOD(ROW()-2,Max_WL_count)+2,FALSE),"")</f>
        <v>7.22</v>
      </c>
      <c r="E238" s="431">
        <f>IFERROR(IF(ISNUMBER(D238),HLOOKUP(Tools!$BE$2,Tools!$BE$2:$BE$27,MOD(ROW()-2,Max_WL_count)+2,FALSE)*WLS,""),"")</f>
        <v>10.1</v>
      </c>
      <c r="I238" s="427">
        <f t="shared" si="23"/>
        <v>237</v>
      </c>
      <c r="J238" s="430">
        <f t="shared" si="19"/>
        <v>19</v>
      </c>
      <c r="K238" s="433">
        <f>IFERROR(-LBP/2+HLOOKUP(Stn_WL,Tools!$AD$2:$AD$27,N238+2,FALSE)*STN_GAP,"")</f>
        <v>39.509999999999991</v>
      </c>
      <c r="L238" s="433">
        <f>IFERROR(IF(AND(ISNUMBER(K238),O238=0),0,VLOOKUP(HLOOKUP(Stn_WL,Tools!$AD$2:$AD$27,N238+2,FALSE),Tools!$AD$3:$BC$27,O238+1,FALSE)),"")</f>
        <v>4.05</v>
      </c>
      <c r="M238" s="433">
        <f>IFERROR(IF(ISNUMBER(L238),IF(O238=0,IFERROR(HLOOKUP(Tools!$BD$127,Tools!$BD$127:$BD$152,N238+2,FALSE)*1,0),HLOOKUP(Tools!$BE$2,Tools!$BE$2:$BE$27,O238+1,FALSE)*WLS),""),"")</f>
        <v>0.9</v>
      </c>
      <c r="N238">
        <f t="shared" si="20"/>
        <v>18</v>
      </c>
      <c r="O238">
        <f t="shared" si="21"/>
        <v>2</v>
      </c>
    </row>
    <row r="239" spans="1:15" x14ac:dyDescent="0.25">
      <c r="A239" s="427">
        <f t="shared" si="22"/>
        <v>238</v>
      </c>
      <c r="B239" s="430">
        <f t="shared" si="18"/>
        <v>20</v>
      </c>
      <c r="C239" s="433">
        <f>IFERROR(-LBP/2+HLOOKUP(Stn_WL,Tools!$AD$2:$AD$27,QUOTIENT(ROW()-2,Max_WL_count)+2,FALSE)*STN_GAP,"")</f>
        <v>46.094999999999985</v>
      </c>
      <c r="D239" s="433">
        <f>IFERROR(VLOOKUP(HLOOKUP(Stn_WL,Tools!$AD$2:$AD$27,QUOTIENT(ROW()-2,Max_WL_count)+2,FALSE),Tools!$AD$3:$BC$27,MOD(ROW()-2,Max_WL_count)+2,FALSE),"")</f>
        <v>7.64</v>
      </c>
      <c r="E239" s="431">
        <f>IFERROR(IF(ISNUMBER(D239),HLOOKUP(Tools!$BE$2,Tools!$BE$2:$BE$27,MOD(ROW()-2,Max_WL_count)+2,FALSE)*WLS,""),"")</f>
        <v>10.8</v>
      </c>
      <c r="I239" s="427">
        <f t="shared" si="23"/>
        <v>238</v>
      </c>
      <c r="J239" s="430">
        <f t="shared" si="19"/>
        <v>19</v>
      </c>
      <c r="K239" s="433">
        <f>IFERROR(-LBP/2+HLOOKUP(Stn_WL,Tools!$AD$2:$AD$27,N239+2,FALSE)*STN_GAP,"")</f>
        <v>39.509999999999991</v>
      </c>
      <c r="L239" s="433">
        <f>IFERROR(IF(AND(ISNUMBER(K239),O239=0),0,VLOOKUP(HLOOKUP(Stn_WL,Tools!$AD$2:$AD$27,N239+2,FALSE),Tools!$AD$3:$BC$27,O239+1,FALSE)),"")</f>
        <v>5.0999999999999996</v>
      </c>
      <c r="M239" s="433">
        <f>IFERROR(IF(ISNUMBER(L239),IF(O239=0,IFERROR(HLOOKUP(Tools!$BD$127,Tools!$BD$127:$BD$152,N239+2,FALSE)*1,0),HLOOKUP(Tools!$BE$2,Tools!$BE$2:$BE$27,O239+1,FALSE)*WLS),""),"")</f>
        <v>1.8</v>
      </c>
      <c r="N239">
        <f t="shared" si="20"/>
        <v>18</v>
      </c>
      <c r="O239">
        <f t="shared" si="21"/>
        <v>3</v>
      </c>
    </row>
    <row r="240" spans="1:15" x14ac:dyDescent="0.25">
      <c r="A240" s="427">
        <f t="shared" si="22"/>
        <v>239</v>
      </c>
      <c r="B240" s="430">
        <f t="shared" si="18"/>
        <v>20</v>
      </c>
      <c r="C240" s="433">
        <f>IFERROR(-LBP/2+HLOOKUP(Stn_WL,Tools!$AD$2:$AD$27,QUOTIENT(ROW()-2,Max_WL_count)+2,FALSE)*STN_GAP,"")</f>
        <v>46.094999999999985</v>
      </c>
      <c r="D240" s="433">
        <f>IFERROR(VLOOKUP(HLOOKUP(Stn_WL,Tools!$AD$2:$AD$27,QUOTIENT(ROW()-2,Max_WL_count)+2,FALSE),Tools!$AD$3:$BC$27,MOD(ROW()-2,Max_WL_count)+2,FALSE),"")</f>
        <v>8.73</v>
      </c>
      <c r="E240" s="431">
        <f>IFERROR(IF(ISNUMBER(D240),HLOOKUP(Tools!$BE$2,Tools!$BE$2:$BE$27,MOD(ROW()-2,Max_WL_count)+2,FALSE)*WLS,""),"")</f>
        <v>12.6</v>
      </c>
      <c r="I240" s="427">
        <f t="shared" si="23"/>
        <v>239</v>
      </c>
      <c r="J240" s="430">
        <f t="shared" si="19"/>
        <v>19</v>
      </c>
      <c r="K240" s="433">
        <f>IFERROR(-LBP/2+HLOOKUP(Stn_WL,Tools!$AD$2:$AD$27,N240+2,FALSE)*STN_GAP,"")</f>
        <v>39.509999999999991</v>
      </c>
      <c r="L240" s="433">
        <f>IFERROR(IF(AND(ISNUMBER(K240),O240=0),0,VLOOKUP(HLOOKUP(Stn_WL,Tools!$AD$2:$AD$27,N240+2,FALSE),Tools!$AD$3:$BC$27,O240+1,FALSE)),"")</f>
        <v>5.74</v>
      </c>
      <c r="M240" s="433">
        <f>IFERROR(IF(ISNUMBER(L240),IF(O240=0,IFERROR(HLOOKUP(Tools!$BD$127,Tools!$BD$127:$BD$152,N240+2,FALSE)*1,0),HLOOKUP(Tools!$BE$2,Tools!$BE$2:$BE$27,O240+1,FALSE)*WLS),""),"")</f>
        <v>2.7</v>
      </c>
      <c r="N240">
        <f t="shared" si="20"/>
        <v>18</v>
      </c>
      <c r="O240">
        <f t="shared" si="21"/>
        <v>4</v>
      </c>
    </row>
    <row r="241" spans="1:15" x14ac:dyDescent="0.25">
      <c r="A241" s="427">
        <f t="shared" si="22"/>
        <v>240</v>
      </c>
      <c r="B241" s="430">
        <f t="shared" si="18"/>
        <v>20</v>
      </c>
      <c r="C241" s="433">
        <f>IFERROR(-LBP/2+HLOOKUP(Stn_WL,Tools!$AD$2:$AD$27,QUOTIENT(ROW()-2,Max_WL_count)+2,FALSE)*STN_GAP,"")</f>
        <v>46.094999999999985</v>
      </c>
      <c r="D241" s="433">
        <f>IFERROR(VLOOKUP(HLOOKUP(Stn_WL,Tools!$AD$2:$AD$27,QUOTIENT(ROW()-2,Max_WL_count)+2,FALSE),Tools!$AD$3:$BC$27,MOD(ROW()-2,Max_WL_count)+2,FALSE),"")</f>
        <v>10.94</v>
      </c>
      <c r="E241" s="431">
        <f>IFERROR(IF(ISNUMBER(D241),HLOOKUP(Tools!$BE$2,Tools!$BE$2:$BE$27,MOD(ROW()-2,Max_WL_count)+2,FALSE)*WLS,""),"")</f>
        <v>14.19</v>
      </c>
      <c r="I241" s="427">
        <f t="shared" si="23"/>
        <v>240</v>
      </c>
      <c r="J241" s="430">
        <f t="shared" si="19"/>
        <v>19</v>
      </c>
      <c r="K241" s="433">
        <f>IFERROR(-LBP/2+HLOOKUP(Stn_WL,Tools!$AD$2:$AD$27,N241+2,FALSE)*STN_GAP,"")</f>
        <v>39.509999999999991</v>
      </c>
      <c r="L241" s="433">
        <f>IFERROR(IF(AND(ISNUMBER(K241),O241=0),0,VLOOKUP(HLOOKUP(Stn_WL,Tools!$AD$2:$AD$27,N241+2,FALSE),Tools!$AD$3:$BC$27,O241+1,FALSE)),"")</f>
        <v>6.23</v>
      </c>
      <c r="M241" s="433">
        <f>IFERROR(IF(ISNUMBER(L241),IF(O241=0,IFERROR(HLOOKUP(Tools!$BD$127,Tools!$BD$127:$BD$152,N241+2,FALSE)*1,0),HLOOKUP(Tools!$BE$2,Tools!$BE$2:$BE$27,O241+1,FALSE)*WLS),""),"")</f>
        <v>3.6</v>
      </c>
      <c r="N241">
        <f t="shared" si="20"/>
        <v>18</v>
      </c>
      <c r="O241">
        <f t="shared" si="21"/>
        <v>5</v>
      </c>
    </row>
    <row r="242" spans="1:15" x14ac:dyDescent="0.25">
      <c r="A242" s="427">
        <f t="shared" si="22"/>
        <v>241</v>
      </c>
      <c r="B242" s="430">
        <f t="shared" si="18"/>
        <v>21</v>
      </c>
      <c r="C242" s="433">
        <f>IFERROR(-LBP/2+HLOOKUP(Stn_WL,Tools!$AD$2:$AD$27,QUOTIENT(ROW()-2,Max_WL_count)+2,FALSE)*STN_GAP,"")</f>
        <v>52.679999999999993</v>
      </c>
      <c r="D242" s="433">
        <f>IFERROR(VLOOKUP(HLOOKUP(Stn_WL,Tools!$AD$2:$AD$27,QUOTIENT(ROW()-2,Max_WL_count)+2,FALSE),Tools!$AD$3:$BC$27,MOD(ROW()-2,Max_WL_count)+2,FALSE),"")</f>
        <v>0</v>
      </c>
      <c r="E242" s="431">
        <f>IFERROR(IF(ISNUMBER(D242),HLOOKUP(Tools!$BE$2,Tools!$BE$2:$BE$27,MOD(ROW()-2,Max_WL_count)+2,FALSE)*WLS,""),"")</f>
        <v>0</v>
      </c>
      <c r="I242" s="427">
        <f t="shared" si="23"/>
        <v>241</v>
      </c>
      <c r="J242" s="430">
        <f t="shared" si="19"/>
        <v>19</v>
      </c>
      <c r="K242" s="433">
        <f>IFERROR(-LBP/2+HLOOKUP(Stn_WL,Tools!$AD$2:$AD$27,N242+2,FALSE)*STN_GAP,"")</f>
        <v>39.509999999999991</v>
      </c>
      <c r="L242" s="433">
        <f>IFERROR(IF(AND(ISNUMBER(K242),O242=0),0,VLOOKUP(HLOOKUP(Stn_WL,Tools!$AD$2:$AD$27,N242+2,FALSE),Tools!$AD$3:$BC$27,O242+1,FALSE)),"")</f>
        <v>7.02</v>
      </c>
      <c r="M242" s="433">
        <f>IFERROR(IF(ISNUMBER(L242),IF(O242=0,IFERROR(HLOOKUP(Tools!$BD$127,Tools!$BD$127:$BD$152,N242+2,FALSE)*1,0),HLOOKUP(Tools!$BE$2,Tools!$BE$2:$BE$27,O242+1,FALSE)*WLS),""),"")</f>
        <v>5.4</v>
      </c>
      <c r="N242">
        <f t="shared" si="20"/>
        <v>18</v>
      </c>
      <c r="O242">
        <f t="shared" si="21"/>
        <v>6</v>
      </c>
    </row>
    <row r="243" spans="1:15" x14ac:dyDescent="0.25">
      <c r="A243" s="427">
        <f t="shared" si="22"/>
        <v>242</v>
      </c>
      <c r="B243" s="430">
        <f t="shared" si="18"/>
        <v>21</v>
      </c>
      <c r="C243" s="433">
        <f>IFERROR(-LBP/2+HLOOKUP(Stn_WL,Tools!$AD$2:$AD$27,QUOTIENT(ROW()-2,Max_WL_count)+2,FALSE)*STN_GAP,"")</f>
        <v>52.679999999999993</v>
      </c>
      <c r="D243" s="433">
        <f>IFERROR(VLOOKUP(HLOOKUP(Stn_WL,Tools!$AD$2:$AD$27,QUOTIENT(ROW()-2,Max_WL_count)+2,FALSE),Tools!$AD$3:$BC$27,MOD(ROW()-2,Max_WL_count)+2,FALSE),"")</f>
        <v>1.49</v>
      </c>
      <c r="E243" s="431">
        <f>IFERROR(IF(ISNUMBER(D243),HLOOKUP(Tools!$BE$2,Tools!$BE$2:$BE$27,MOD(ROW()-2,Max_WL_count)+2,FALSE)*WLS,""),"")</f>
        <v>0.9</v>
      </c>
      <c r="I243" s="427">
        <f t="shared" si="23"/>
        <v>242</v>
      </c>
      <c r="J243" s="430">
        <f t="shared" si="19"/>
        <v>19</v>
      </c>
      <c r="K243" s="433">
        <f>IFERROR(-LBP/2+HLOOKUP(Stn_WL,Tools!$AD$2:$AD$27,N243+2,FALSE)*STN_GAP,"")</f>
        <v>39.509999999999991</v>
      </c>
      <c r="L243" s="433">
        <f>IFERROR(IF(AND(ISNUMBER(K243),O243=0),0,VLOOKUP(HLOOKUP(Stn_WL,Tools!$AD$2:$AD$27,N243+2,FALSE),Tools!$AD$3:$BC$27,O243+1,FALSE)),"")</f>
        <v>7.81</v>
      </c>
      <c r="M243" s="433">
        <f>IFERROR(IF(ISNUMBER(L243),IF(O243=0,IFERROR(HLOOKUP(Tools!$BD$127,Tools!$BD$127:$BD$152,N243+2,FALSE)*1,0),HLOOKUP(Tools!$BE$2,Tools!$BE$2:$BE$27,O243+1,FALSE)*WLS),""),"")</f>
        <v>7.2</v>
      </c>
      <c r="N243">
        <f t="shared" si="20"/>
        <v>18</v>
      </c>
      <c r="O243">
        <f t="shared" si="21"/>
        <v>7</v>
      </c>
    </row>
    <row r="244" spans="1:15" x14ac:dyDescent="0.25">
      <c r="A244" s="427">
        <f t="shared" si="22"/>
        <v>243</v>
      </c>
      <c r="B244" s="430">
        <f t="shared" si="18"/>
        <v>21</v>
      </c>
      <c r="C244" s="433">
        <f>IFERROR(-LBP/2+HLOOKUP(Stn_WL,Tools!$AD$2:$AD$27,QUOTIENT(ROW()-2,Max_WL_count)+2,FALSE)*STN_GAP,"")</f>
        <v>52.679999999999993</v>
      </c>
      <c r="D244" s="433">
        <f>IFERROR(VLOOKUP(HLOOKUP(Stn_WL,Tools!$AD$2:$AD$27,QUOTIENT(ROW()-2,Max_WL_count)+2,FALSE),Tools!$AD$3:$BC$27,MOD(ROW()-2,Max_WL_count)+2,FALSE),"")</f>
        <v>2.23</v>
      </c>
      <c r="E244" s="431">
        <f>IFERROR(IF(ISNUMBER(D244),HLOOKUP(Tools!$BE$2,Tools!$BE$2:$BE$27,MOD(ROW()-2,Max_WL_count)+2,FALSE)*WLS,""),"")</f>
        <v>1.8</v>
      </c>
      <c r="I244" s="427">
        <f t="shared" si="23"/>
        <v>243</v>
      </c>
      <c r="J244" s="430">
        <f t="shared" si="19"/>
        <v>19</v>
      </c>
      <c r="K244" s="433">
        <f>IFERROR(-LBP/2+HLOOKUP(Stn_WL,Tools!$AD$2:$AD$27,N244+2,FALSE)*STN_GAP,"")</f>
        <v>39.509999999999991</v>
      </c>
      <c r="L244" s="433">
        <f>IFERROR(IF(AND(ISNUMBER(K244),O244=0),0,VLOOKUP(HLOOKUP(Stn_WL,Tools!$AD$2:$AD$27,N244+2,FALSE),Tools!$AD$3:$BC$27,O244+1,FALSE)),"")</f>
        <v>8.6300000000000008</v>
      </c>
      <c r="M244" s="433">
        <f>IFERROR(IF(ISNUMBER(L244),IF(O244=0,IFERROR(HLOOKUP(Tools!$BD$127,Tools!$BD$127:$BD$152,N244+2,FALSE)*1,0),HLOOKUP(Tools!$BE$2,Tools!$BE$2:$BE$27,O244+1,FALSE)*WLS),""),"")</f>
        <v>9</v>
      </c>
      <c r="N244">
        <f t="shared" si="20"/>
        <v>18</v>
      </c>
      <c r="O244">
        <f t="shared" si="21"/>
        <v>8</v>
      </c>
    </row>
    <row r="245" spans="1:15" x14ac:dyDescent="0.25">
      <c r="A245" s="427">
        <f t="shared" si="22"/>
        <v>244</v>
      </c>
      <c r="B245" s="430">
        <f t="shared" si="18"/>
        <v>21</v>
      </c>
      <c r="C245" s="433">
        <f>IFERROR(-LBP/2+HLOOKUP(Stn_WL,Tools!$AD$2:$AD$27,QUOTIENT(ROW()-2,Max_WL_count)+2,FALSE)*STN_GAP,"")</f>
        <v>52.679999999999993</v>
      </c>
      <c r="D245" s="433">
        <f>IFERROR(VLOOKUP(HLOOKUP(Stn_WL,Tools!$AD$2:$AD$27,QUOTIENT(ROW()-2,Max_WL_count)+2,FALSE),Tools!$AD$3:$BC$27,MOD(ROW()-2,Max_WL_count)+2,FALSE),"")</f>
        <v>2.69</v>
      </c>
      <c r="E245" s="431">
        <f>IFERROR(IF(ISNUMBER(D245),HLOOKUP(Tools!$BE$2,Tools!$BE$2:$BE$27,MOD(ROW()-2,Max_WL_count)+2,FALSE)*WLS,""),"")</f>
        <v>2.7</v>
      </c>
      <c r="I245" s="427">
        <f t="shared" si="23"/>
        <v>244</v>
      </c>
      <c r="J245" s="430">
        <f t="shared" si="19"/>
        <v>19</v>
      </c>
      <c r="K245" s="433">
        <f>IFERROR(-LBP/2+HLOOKUP(Stn_WL,Tools!$AD$2:$AD$27,N245+2,FALSE)*STN_GAP,"")</f>
        <v>39.509999999999991</v>
      </c>
      <c r="L245" s="433">
        <f>IFERROR(IF(AND(ISNUMBER(K245),O245=0),0,VLOOKUP(HLOOKUP(Stn_WL,Tools!$AD$2:$AD$27,N245+2,FALSE),Tools!$AD$3:$BC$27,O245+1,FALSE)),"")</f>
        <v>9.1199999999999992</v>
      </c>
      <c r="M245" s="433">
        <f>IFERROR(IF(ISNUMBER(L245),IF(O245=0,IFERROR(HLOOKUP(Tools!$BD$127,Tools!$BD$127:$BD$152,N245+2,FALSE)*1,0),HLOOKUP(Tools!$BE$2,Tools!$BE$2:$BE$27,O245+1,FALSE)*WLS),""),"")</f>
        <v>10.1</v>
      </c>
      <c r="N245">
        <f t="shared" si="20"/>
        <v>18</v>
      </c>
      <c r="O245">
        <f t="shared" si="21"/>
        <v>9</v>
      </c>
    </row>
    <row r="246" spans="1:15" x14ac:dyDescent="0.25">
      <c r="A246" s="427">
        <f t="shared" si="22"/>
        <v>245</v>
      </c>
      <c r="B246" s="430">
        <f t="shared" si="18"/>
        <v>21</v>
      </c>
      <c r="C246" s="433">
        <f>IFERROR(-LBP/2+HLOOKUP(Stn_WL,Tools!$AD$2:$AD$27,QUOTIENT(ROW()-2,Max_WL_count)+2,FALSE)*STN_GAP,"")</f>
        <v>52.679999999999993</v>
      </c>
      <c r="D246" s="433">
        <f>IFERROR(VLOOKUP(HLOOKUP(Stn_WL,Tools!$AD$2:$AD$27,QUOTIENT(ROW()-2,Max_WL_count)+2,FALSE),Tools!$AD$3:$BC$27,MOD(ROW()-2,Max_WL_count)+2,FALSE),"")</f>
        <v>2.97</v>
      </c>
      <c r="E246" s="431">
        <f>IFERROR(IF(ISNUMBER(D246),HLOOKUP(Tools!$BE$2,Tools!$BE$2:$BE$27,MOD(ROW()-2,Max_WL_count)+2,FALSE)*WLS,""),"")</f>
        <v>3.6</v>
      </c>
      <c r="I246" s="427">
        <f t="shared" si="23"/>
        <v>245</v>
      </c>
      <c r="J246" s="430">
        <f t="shared" si="19"/>
        <v>19</v>
      </c>
      <c r="K246" s="433">
        <f>IFERROR(-LBP/2+HLOOKUP(Stn_WL,Tools!$AD$2:$AD$27,N246+2,FALSE)*STN_GAP,"")</f>
        <v>39.509999999999991</v>
      </c>
      <c r="L246" s="433">
        <f>IFERROR(IF(AND(ISNUMBER(K246),O246=0),0,VLOOKUP(HLOOKUP(Stn_WL,Tools!$AD$2:$AD$27,N246+2,FALSE),Tools!$AD$3:$BC$27,O246+1,FALSE)),"")</f>
        <v>9.43</v>
      </c>
      <c r="M246" s="433">
        <f>IFERROR(IF(ISNUMBER(L246),IF(O246=0,IFERROR(HLOOKUP(Tools!$BD$127,Tools!$BD$127:$BD$152,N246+2,FALSE)*1,0),HLOOKUP(Tools!$BE$2,Tools!$BE$2:$BE$27,O246+1,FALSE)*WLS),""),"")</f>
        <v>10.8</v>
      </c>
      <c r="N246">
        <f t="shared" si="20"/>
        <v>18</v>
      </c>
      <c r="O246">
        <f t="shared" si="21"/>
        <v>10</v>
      </c>
    </row>
    <row r="247" spans="1:15" x14ac:dyDescent="0.25">
      <c r="A247" s="427">
        <f t="shared" si="22"/>
        <v>246</v>
      </c>
      <c r="B247" s="430">
        <f t="shared" si="18"/>
        <v>21</v>
      </c>
      <c r="C247" s="433">
        <f>IFERROR(-LBP/2+HLOOKUP(Stn_WL,Tools!$AD$2:$AD$27,QUOTIENT(ROW()-2,Max_WL_count)+2,FALSE)*STN_GAP,"")</f>
        <v>52.679999999999993</v>
      </c>
      <c r="D247" s="433">
        <f>IFERROR(VLOOKUP(HLOOKUP(Stn_WL,Tools!$AD$2:$AD$27,QUOTIENT(ROW()-2,Max_WL_count)+2,FALSE),Tools!$AD$3:$BC$27,MOD(ROW()-2,Max_WL_count)+2,FALSE),"")</f>
        <v>3.25</v>
      </c>
      <c r="E247" s="431">
        <f>IFERROR(IF(ISNUMBER(D247),HLOOKUP(Tools!$BE$2,Tools!$BE$2:$BE$27,MOD(ROW()-2,Max_WL_count)+2,FALSE)*WLS,""),"")</f>
        <v>5.4</v>
      </c>
      <c r="I247" s="427">
        <f t="shared" si="23"/>
        <v>246</v>
      </c>
      <c r="J247" s="430">
        <f t="shared" si="19"/>
        <v>19</v>
      </c>
      <c r="K247" s="433">
        <f>IFERROR(-LBP/2+HLOOKUP(Stn_WL,Tools!$AD$2:$AD$27,N247+2,FALSE)*STN_GAP,"")</f>
        <v>39.509999999999991</v>
      </c>
      <c r="L247" s="433">
        <f>IFERROR(IF(AND(ISNUMBER(K247),O247=0),0,VLOOKUP(HLOOKUP(Stn_WL,Tools!$AD$2:$AD$27,N247+2,FALSE),Tools!$AD$3:$BC$27,O247+1,FALSE)),"")</f>
        <v>10.199999999999999</v>
      </c>
      <c r="M247" s="433">
        <f>IFERROR(IF(ISNUMBER(L247),IF(O247=0,IFERROR(HLOOKUP(Tools!$BD$127,Tools!$BD$127:$BD$152,N247+2,FALSE)*1,0),HLOOKUP(Tools!$BE$2,Tools!$BE$2:$BE$27,O247+1,FALSE)*WLS),""),"")</f>
        <v>12.6</v>
      </c>
      <c r="N247">
        <f t="shared" si="20"/>
        <v>18</v>
      </c>
      <c r="O247">
        <f t="shared" si="21"/>
        <v>11</v>
      </c>
    </row>
    <row r="248" spans="1:15" x14ac:dyDescent="0.25">
      <c r="A248" s="427">
        <f t="shared" si="22"/>
        <v>247</v>
      </c>
      <c r="B248" s="430">
        <f t="shared" si="18"/>
        <v>21</v>
      </c>
      <c r="C248" s="433">
        <f>IFERROR(-LBP/2+HLOOKUP(Stn_WL,Tools!$AD$2:$AD$27,QUOTIENT(ROW()-2,Max_WL_count)+2,FALSE)*STN_GAP,"")</f>
        <v>52.679999999999993</v>
      </c>
      <c r="D248" s="433">
        <f>IFERROR(VLOOKUP(HLOOKUP(Stn_WL,Tools!$AD$2:$AD$27,QUOTIENT(ROW()-2,Max_WL_count)+2,FALSE),Tools!$AD$3:$BC$27,MOD(ROW()-2,Max_WL_count)+2,FALSE),"")</f>
        <v>3.51</v>
      </c>
      <c r="E248" s="431">
        <f>IFERROR(IF(ISNUMBER(D248),HLOOKUP(Tools!$BE$2,Tools!$BE$2:$BE$27,MOD(ROW()-2,Max_WL_count)+2,FALSE)*WLS,""),"")</f>
        <v>7.2</v>
      </c>
      <c r="I248" s="427">
        <f t="shared" si="23"/>
        <v>247</v>
      </c>
      <c r="J248" s="430">
        <f t="shared" si="19"/>
        <v>19</v>
      </c>
      <c r="K248" s="433">
        <f>IFERROR(-LBP/2+HLOOKUP(Stn_WL,Tools!$AD$2:$AD$27,N248+2,FALSE)*STN_GAP,"")</f>
        <v>39.509999999999991</v>
      </c>
      <c r="L248" s="433">
        <f>IFERROR(IF(AND(ISNUMBER(K248),O248=0),0,VLOOKUP(HLOOKUP(Stn_WL,Tools!$AD$2:$AD$27,N248+2,FALSE),Tools!$AD$3:$BC$27,O248+1,FALSE)),"")</f>
        <v>11.75</v>
      </c>
      <c r="M248" s="433">
        <f>IFERROR(IF(ISNUMBER(L248),IF(O248=0,IFERROR(HLOOKUP(Tools!$BD$127,Tools!$BD$127:$BD$152,N248+2,FALSE)*1,0),HLOOKUP(Tools!$BE$2,Tools!$BE$2:$BE$27,O248+1,FALSE)*WLS),""),"")</f>
        <v>14.19</v>
      </c>
      <c r="N248">
        <f t="shared" si="20"/>
        <v>18</v>
      </c>
      <c r="O248">
        <f t="shared" si="21"/>
        <v>12</v>
      </c>
    </row>
    <row r="249" spans="1:15" x14ac:dyDescent="0.25">
      <c r="A249" s="427">
        <f t="shared" si="22"/>
        <v>248</v>
      </c>
      <c r="B249" s="430">
        <f t="shared" si="18"/>
        <v>21</v>
      </c>
      <c r="C249" s="433">
        <f>IFERROR(-LBP/2+HLOOKUP(Stn_WL,Tools!$AD$2:$AD$27,QUOTIENT(ROW()-2,Max_WL_count)+2,FALSE)*STN_GAP,"")</f>
        <v>52.679999999999993</v>
      </c>
      <c r="D249" s="433">
        <f>IFERROR(VLOOKUP(HLOOKUP(Stn_WL,Tools!$AD$2:$AD$27,QUOTIENT(ROW()-2,Max_WL_count)+2,FALSE),Tools!$AD$3:$BC$27,MOD(ROW()-2,Max_WL_count)+2,FALSE),"")</f>
        <v>4.28</v>
      </c>
      <c r="E249" s="431">
        <f>IFERROR(IF(ISNUMBER(D249),HLOOKUP(Tools!$BE$2,Tools!$BE$2:$BE$27,MOD(ROW()-2,Max_WL_count)+2,FALSE)*WLS,""),"")</f>
        <v>9</v>
      </c>
      <c r="I249" s="427">
        <f t="shared" si="23"/>
        <v>248</v>
      </c>
      <c r="J249" s="430">
        <f t="shared" si="19"/>
        <v>20</v>
      </c>
      <c r="K249" s="433">
        <f>IFERROR(-LBP/2+HLOOKUP(Stn_WL,Tools!$AD$2:$AD$27,N249+2,FALSE)*STN_GAP,"")</f>
        <v>46.094999999999985</v>
      </c>
      <c r="L249" s="433">
        <f>IFERROR(IF(AND(ISNUMBER(K249),O249=0),0,VLOOKUP(HLOOKUP(Stn_WL,Tools!$AD$2:$AD$27,N249+2,FALSE),Tools!$AD$3:$BC$27,O249+1,FALSE)),"")</f>
        <v>0</v>
      </c>
      <c r="M249" s="433">
        <f>IFERROR(IF(ISNUMBER(L249),IF(O249=0,IFERROR(HLOOKUP(Tools!$BD$127,Tools!$BD$127:$BD$152,N249+2,FALSE)*1,0),HLOOKUP(Tools!$BE$2,Tools!$BE$2:$BE$27,O249+1,FALSE)*WLS),""),"")</f>
        <v>0</v>
      </c>
      <c r="N249">
        <f t="shared" si="20"/>
        <v>19</v>
      </c>
      <c r="O249">
        <f t="shared" si="21"/>
        <v>0</v>
      </c>
    </row>
    <row r="250" spans="1:15" x14ac:dyDescent="0.25">
      <c r="A250" s="427">
        <f t="shared" si="22"/>
        <v>249</v>
      </c>
      <c r="B250" s="430">
        <f t="shared" si="18"/>
        <v>21</v>
      </c>
      <c r="C250" s="433">
        <f>IFERROR(-LBP/2+HLOOKUP(Stn_WL,Tools!$AD$2:$AD$27,QUOTIENT(ROW()-2,Max_WL_count)+2,FALSE)*STN_GAP,"")</f>
        <v>52.679999999999993</v>
      </c>
      <c r="D250" s="433">
        <f>IFERROR(VLOOKUP(HLOOKUP(Stn_WL,Tools!$AD$2:$AD$27,QUOTIENT(ROW()-2,Max_WL_count)+2,FALSE),Tools!$AD$3:$BC$27,MOD(ROW()-2,Max_WL_count)+2,FALSE),"")</f>
        <v>4.97</v>
      </c>
      <c r="E250" s="431">
        <f>IFERROR(IF(ISNUMBER(D250),HLOOKUP(Tools!$BE$2,Tools!$BE$2:$BE$27,MOD(ROW()-2,Max_WL_count)+2,FALSE)*WLS,""),"")</f>
        <v>10.1</v>
      </c>
      <c r="I250" s="427">
        <f t="shared" si="23"/>
        <v>249</v>
      </c>
      <c r="J250" s="430">
        <f t="shared" si="19"/>
        <v>20</v>
      </c>
      <c r="K250" s="433">
        <f>IFERROR(-LBP/2+HLOOKUP(Stn_WL,Tools!$AD$2:$AD$27,N250+2,FALSE)*STN_GAP,"")</f>
        <v>46.094999999999985</v>
      </c>
      <c r="L250" s="433">
        <f>IFERROR(IF(AND(ISNUMBER(K250),O250=0),0,VLOOKUP(HLOOKUP(Stn_WL,Tools!$AD$2:$AD$27,N250+2,FALSE),Tools!$AD$3:$BC$27,O250+1,FALSE)),"")</f>
        <v>0.65</v>
      </c>
      <c r="M250" s="433">
        <f>IFERROR(IF(ISNUMBER(L250),IF(O250=0,IFERROR(HLOOKUP(Tools!$BD$127,Tools!$BD$127:$BD$152,N250+2,FALSE)*1,0),HLOOKUP(Tools!$BE$2,Tools!$BE$2:$BE$27,O250+1,FALSE)*WLS),""),"")</f>
        <v>0</v>
      </c>
      <c r="N250">
        <f t="shared" si="20"/>
        <v>19</v>
      </c>
      <c r="O250">
        <f t="shared" si="21"/>
        <v>1</v>
      </c>
    </row>
    <row r="251" spans="1:15" x14ac:dyDescent="0.25">
      <c r="A251" s="427">
        <f t="shared" si="22"/>
        <v>250</v>
      </c>
      <c r="B251" s="430">
        <f t="shared" si="18"/>
        <v>21</v>
      </c>
      <c r="C251" s="433">
        <f>IFERROR(-LBP/2+HLOOKUP(Stn_WL,Tools!$AD$2:$AD$27,QUOTIENT(ROW()-2,Max_WL_count)+2,FALSE)*STN_GAP,"")</f>
        <v>52.679999999999993</v>
      </c>
      <c r="D251" s="433">
        <f>IFERROR(VLOOKUP(HLOOKUP(Stn_WL,Tools!$AD$2:$AD$27,QUOTIENT(ROW()-2,Max_WL_count)+2,FALSE),Tools!$AD$3:$BC$27,MOD(ROW()-2,Max_WL_count)+2,FALSE),"")</f>
        <v>5.47</v>
      </c>
      <c r="E251" s="431">
        <f>IFERROR(IF(ISNUMBER(D251),HLOOKUP(Tools!$BE$2,Tools!$BE$2:$BE$27,MOD(ROW()-2,Max_WL_count)+2,FALSE)*WLS,""),"")</f>
        <v>10.8</v>
      </c>
      <c r="I251" s="427">
        <f t="shared" si="23"/>
        <v>250</v>
      </c>
      <c r="J251" s="430">
        <f t="shared" si="19"/>
        <v>20</v>
      </c>
      <c r="K251" s="433">
        <f>IFERROR(-LBP/2+HLOOKUP(Stn_WL,Tools!$AD$2:$AD$27,N251+2,FALSE)*STN_GAP,"")</f>
        <v>46.094999999999985</v>
      </c>
      <c r="L251" s="433">
        <f>IFERROR(IF(AND(ISNUMBER(K251),O251=0),0,VLOOKUP(HLOOKUP(Stn_WL,Tools!$AD$2:$AD$27,N251+2,FALSE),Tools!$AD$3:$BC$27,O251+1,FALSE)),"")</f>
        <v>2.63</v>
      </c>
      <c r="M251" s="433">
        <f>IFERROR(IF(ISNUMBER(L251),IF(O251=0,IFERROR(HLOOKUP(Tools!$BD$127,Tools!$BD$127:$BD$152,N251+2,FALSE)*1,0),HLOOKUP(Tools!$BE$2,Tools!$BE$2:$BE$27,O251+1,FALSE)*WLS),""),"")</f>
        <v>0.9</v>
      </c>
      <c r="N251">
        <f t="shared" si="20"/>
        <v>19</v>
      </c>
      <c r="O251">
        <f t="shared" si="21"/>
        <v>2</v>
      </c>
    </row>
    <row r="252" spans="1:15" x14ac:dyDescent="0.25">
      <c r="A252" s="427">
        <f t="shared" si="22"/>
        <v>251</v>
      </c>
      <c r="B252" s="430">
        <f t="shared" si="18"/>
        <v>21</v>
      </c>
      <c r="C252" s="433">
        <f>IFERROR(-LBP/2+HLOOKUP(Stn_WL,Tools!$AD$2:$AD$27,QUOTIENT(ROW()-2,Max_WL_count)+2,FALSE)*STN_GAP,"")</f>
        <v>52.679999999999993</v>
      </c>
      <c r="D252" s="433">
        <f>IFERROR(VLOOKUP(HLOOKUP(Stn_WL,Tools!$AD$2:$AD$27,QUOTIENT(ROW()-2,Max_WL_count)+2,FALSE),Tools!$AD$3:$BC$27,MOD(ROW()-2,Max_WL_count)+2,FALSE),"")</f>
        <v>6.84</v>
      </c>
      <c r="E252" s="431">
        <f>IFERROR(IF(ISNUMBER(D252),HLOOKUP(Tools!$BE$2,Tools!$BE$2:$BE$27,MOD(ROW()-2,Max_WL_count)+2,FALSE)*WLS,""),"")</f>
        <v>12.6</v>
      </c>
      <c r="I252" s="427">
        <f t="shared" si="23"/>
        <v>251</v>
      </c>
      <c r="J252" s="430">
        <f t="shared" si="19"/>
        <v>20</v>
      </c>
      <c r="K252" s="433">
        <f>IFERROR(-LBP/2+HLOOKUP(Stn_WL,Tools!$AD$2:$AD$27,N252+2,FALSE)*STN_GAP,"")</f>
        <v>46.094999999999985</v>
      </c>
      <c r="L252" s="433">
        <f>IFERROR(IF(AND(ISNUMBER(K252),O252=0),0,VLOOKUP(HLOOKUP(Stn_WL,Tools!$AD$2:$AD$27,N252+2,FALSE),Tools!$AD$3:$BC$27,O252+1,FALSE)),"")</f>
        <v>3.52</v>
      </c>
      <c r="M252" s="433">
        <f>IFERROR(IF(ISNUMBER(L252),IF(O252=0,IFERROR(HLOOKUP(Tools!$BD$127,Tools!$BD$127:$BD$152,N252+2,FALSE)*1,0),HLOOKUP(Tools!$BE$2,Tools!$BE$2:$BE$27,O252+1,FALSE)*WLS),""),"")</f>
        <v>1.8</v>
      </c>
      <c r="N252">
        <f t="shared" si="20"/>
        <v>19</v>
      </c>
      <c r="O252">
        <f t="shared" si="21"/>
        <v>3</v>
      </c>
    </row>
    <row r="253" spans="1:15" x14ac:dyDescent="0.25">
      <c r="A253" s="427">
        <f t="shared" si="22"/>
        <v>252</v>
      </c>
      <c r="B253" s="430">
        <f t="shared" si="18"/>
        <v>21</v>
      </c>
      <c r="C253" s="433">
        <f>IFERROR(-LBP/2+HLOOKUP(Stn_WL,Tools!$AD$2:$AD$27,QUOTIENT(ROW()-2,Max_WL_count)+2,FALSE)*STN_GAP,"")</f>
        <v>52.679999999999993</v>
      </c>
      <c r="D253" s="433">
        <f>IFERROR(VLOOKUP(HLOOKUP(Stn_WL,Tools!$AD$2:$AD$27,QUOTIENT(ROW()-2,Max_WL_count)+2,FALSE),Tools!$AD$3:$BC$27,MOD(ROW()-2,Max_WL_count)+2,FALSE),"")</f>
        <v>9.77</v>
      </c>
      <c r="E253" s="431">
        <f>IFERROR(IF(ISNUMBER(D253),HLOOKUP(Tools!$BE$2,Tools!$BE$2:$BE$27,MOD(ROW()-2,Max_WL_count)+2,FALSE)*WLS,""),"")</f>
        <v>14.19</v>
      </c>
      <c r="I253" s="427">
        <f t="shared" si="23"/>
        <v>252</v>
      </c>
      <c r="J253" s="430">
        <f t="shared" si="19"/>
        <v>20</v>
      </c>
      <c r="K253" s="433">
        <f>IFERROR(-LBP/2+HLOOKUP(Stn_WL,Tools!$AD$2:$AD$27,N253+2,FALSE)*STN_GAP,"")</f>
        <v>46.094999999999985</v>
      </c>
      <c r="L253" s="433">
        <f>IFERROR(IF(AND(ISNUMBER(K253),O253=0),0,VLOOKUP(HLOOKUP(Stn_WL,Tools!$AD$2:$AD$27,N253+2,FALSE),Tools!$AD$3:$BC$27,O253+1,FALSE)),"")</f>
        <v>4.0599999999999996</v>
      </c>
      <c r="M253" s="433">
        <f>IFERROR(IF(ISNUMBER(L253),IF(O253=0,IFERROR(HLOOKUP(Tools!$BD$127,Tools!$BD$127:$BD$152,N253+2,FALSE)*1,0),HLOOKUP(Tools!$BE$2,Tools!$BE$2:$BE$27,O253+1,FALSE)*WLS),""),"")</f>
        <v>2.7</v>
      </c>
      <c r="N253">
        <f t="shared" si="20"/>
        <v>19</v>
      </c>
      <c r="O253">
        <f t="shared" si="21"/>
        <v>4</v>
      </c>
    </row>
    <row r="254" spans="1:15" x14ac:dyDescent="0.25">
      <c r="A254" s="427">
        <f t="shared" si="22"/>
        <v>253</v>
      </c>
      <c r="B254" s="430">
        <f t="shared" si="18"/>
        <v>22</v>
      </c>
      <c r="C254" s="433">
        <f>IFERROR(-LBP/2+HLOOKUP(Stn_WL,Tools!$AD$2:$AD$27,QUOTIENT(ROW()-2,Max_WL_count)+2,FALSE)*STN_GAP,"")</f>
        <v>55.972499999999982</v>
      </c>
      <c r="D254" s="433">
        <f>IFERROR(VLOOKUP(HLOOKUP(Stn_WL,Tools!$AD$2:$AD$27,QUOTIENT(ROW()-2,Max_WL_count)+2,FALSE),Tools!$AD$3:$BC$27,MOD(ROW()-2,Max_WL_count)+2,FALSE),"")</f>
        <v>0</v>
      </c>
      <c r="E254" s="431">
        <f>IFERROR(IF(ISNUMBER(D254),HLOOKUP(Tools!$BE$2,Tools!$BE$2:$BE$27,MOD(ROW()-2,Max_WL_count)+2,FALSE)*WLS,""),"")</f>
        <v>0</v>
      </c>
      <c r="I254" s="427">
        <f t="shared" si="23"/>
        <v>253</v>
      </c>
      <c r="J254" s="430">
        <f t="shared" si="19"/>
        <v>20</v>
      </c>
      <c r="K254" s="433">
        <f>IFERROR(-LBP/2+HLOOKUP(Stn_WL,Tools!$AD$2:$AD$27,N254+2,FALSE)*STN_GAP,"")</f>
        <v>46.094999999999985</v>
      </c>
      <c r="L254" s="433">
        <f>IFERROR(IF(AND(ISNUMBER(K254),O254=0),0,VLOOKUP(HLOOKUP(Stn_WL,Tools!$AD$2:$AD$27,N254+2,FALSE),Tools!$AD$3:$BC$27,O254+1,FALSE)),"")</f>
        <v>4.43</v>
      </c>
      <c r="M254" s="433">
        <f>IFERROR(IF(ISNUMBER(L254),IF(O254=0,IFERROR(HLOOKUP(Tools!$BD$127,Tools!$BD$127:$BD$152,N254+2,FALSE)*1,0),HLOOKUP(Tools!$BE$2,Tools!$BE$2:$BE$27,O254+1,FALSE)*WLS),""),"")</f>
        <v>3.6</v>
      </c>
      <c r="N254">
        <f t="shared" si="20"/>
        <v>19</v>
      </c>
      <c r="O254">
        <f t="shared" si="21"/>
        <v>5</v>
      </c>
    </row>
    <row r="255" spans="1:15" x14ac:dyDescent="0.25">
      <c r="A255" s="427">
        <f t="shared" si="22"/>
        <v>254</v>
      </c>
      <c r="B255" s="430">
        <f t="shared" si="18"/>
        <v>22</v>
      </c>
      <c r="C255" s="433">
        <f>IFERROR(-LBP/2+HLOOKUP(Stn_WL,Tools!$AD$2:$AD$27,QUOTIENT(ROW()-2,Max_WL_count)+2,FALSE)*STN_GAP,"")</f>
        <v>55.972499999999982</v>
      </c>
      <c r="D255" s="433">
        <f>IFERROR(VLOOKUP(HLOOKUP(Stn_WL,Tools!$AD$2:$AD$27,QUOTIENT(ROW()-2,Max_WL_count)+2,FALSE),Tools!$AD$3:$BC$27,MOD(ROW()-2,Max_WL_count)+2,FALSE),"")</f>
        <v>1.04</v>
      </c>
      <c r="E255" s="431">
        <f>IFERROR(IF(ISNUMBER(D255),HLOOKUP(Tools!$BE$2,Tools!$BE$2:$BE$27,MOD(ROW()-2,Max_WL_count)+2,FALSE)*WLS,""),"")</f>
        <v>0.9</v>
      </c>
      <c r="I255" s="427">
        <f t="shared" si="23"/>
        <v>254</v>
      </c>
      <c r="J255" s="430">
        <f t="shared" si="19"/>
        <v>20</v>
      </c>
      <c r="K255" s="433">
        <f>IFERROR(-LBP/2+HLOOKUP(Stn_WL,Tools!$AD$2:$AD$27,N255+2,FALSE)*STN_GAP,"")</f>
        <v>46.094999999999985</v>
      </c>
      <c r="L255" s="433">
        <f>IFERROR(IF(AND(ISNUMBER(K255),O255=0),0,VLOOKUP(HLOOKUP(Stn_WL,Tools!$AD$2:$AD$27,N255+2,FALSE),Tools!$AD$3:$BC$27,O255+1,FALSE)),"")</f>
        <v>5.03</v>
      </c>
      <c r="M255" s="433">
        <f>IFERROR(IF(ISNUMBER(L255),IF(O255=0,IFERROR(HLOOKUP(Tools!$BD$127,Tools!$BD$127:$BD$152,N255+2,FALSE)*1,0),HLOOKUP(Tools!$BE$2,Tools!$BE$2:$BE$27,O255+1,FALSE)*WLS),""),"")</f>
        <v>5.4</v>
      </c>
      <c r="N255">
        <f t="shared" si="20"/>
        <v>19</v>
      </c>
      <c r="O255">
        <f t="shared" si="21"/>
        <v>6</v>
      </c>
    </row>
    <row r="256" spans="1:15" x14ac:dyDescent="0.25">
      <c r="A256" s="427">
        <f t="shared" si="22"/>
        <v>255</v>
      </c>
      <c r="B256" s="430">
        <f t="shared" si="18"/>
        <v>22</v>
      </c>
      <c r="C256" s="433">
        <f>IFERROR(-LBP/2+HLOOKUP(Stn_WL,Tools!$AD$2:$AD$27,QUOTIENT(ROW()-2,Max_WL_count)+2,FALSE)*STN_GAP,"")</f>
        <v>55.972499999999982</v>
      </c>
      <c r="D256" s="433">
        <f>IFERROR(VLOOKUP(HLOOKUP(Stn_WL,Tools!$AD$2:$AD$27,QUOTIENT(ROW()-2,Max_WL_count)+2,FALSE),Tools!$AD$3:$BC$27,MOD(ROW()-2,Max_WL_count)+2,FALSE),"")</f>
        <v>1.7</v>
      </c>
      <c r="E256" s="431">
        <f>IFERROR(IF(ISNUMBER(D256),HLOOKUP(Tools!$BE$2,Tools!$BE$2:$BE$27,MOD(ROW()-2,Max_WL_count)+2,FALSE)*WLS,""),"")</f>
        <v>1.8</v>
      </c>
      <c r="I256" s="427">
        <f t="shared" si="23"/>
        <v>255</v>
      </c>
      <c r="J256" s="430">
        <f t="shared" si="19"/>
        <v>20</v>
      </c>
      <c r="K256" s="433">
        <f>IFERROR(-LBP/2+HLOOKUP(Stn_WL,Tools!$AD$2:$AD$27,N256+2,FALSE)*STN_GAP,"")</f>
        <v>46.094999999999985</v>
      </c>
      <c r="L256" s="433">
        <f>IFERROR(IF(AND(ISNUMBER(K256),O256=0),0,VLOOKUP(HLOOKUP(Stn_WL,Tools!$AD$2:$AD$27,N256+2,FALSE),Tools!$AD$3:$BC$27,O256+1,FALSE)),"")</f>
        <v>5.69</v>
      </c>
      <c r="M256" s="433">
        <f>IFERROR(IF(ISNUMBER(L256),IF(O256=0,IFERROR(HLOOKUP(Tools!$BD$127,Tools!$BD$127:$BD$152,N256+2,FALSE)*1,0),HLOOKUP(Tools!$BE$2,Tools!$BE$2:$BE$27,O256+1,FALSE)*WLS),""),"")</f>
        <v>7.2</v>
      </c>
      <c r="N256">
        <f t="shared" si="20"/>
        <v>19</v>
      </c>
      <c r="O256">
        <f t="shared" si="21"/>
        <v>7</v>
      </c>
    </row>
    <row r="257" spans="1:15" x14ac:dyDescent="0.25">
      <c r="A257" s="427">
        <f t="shared" si="22"/>
        <v>256</v>
      </c>
      <c r="B257" s="430">
        <f t="shared" si="18"/>
        <v>22</v>
      </c>
      <c r="C257" s="433">
        <f>IFERROR(-LBP/2+HLOOKUP(Stn_WL,Tools!$AD$2:$AD$27,QUOTIENT(ROW()-2,Max_WL_count)+2,FALSE)*STN_GAP,"")</f>
        <v>55.972499999999982</v>
      </c>
      <c r="D257" s="433">
        <f>IFERROR(VLOOKUP(HLOOKUP(Stn_WL,Tools!$AD$2:$AD$27,QUOTIENT(ROW()-2,Max_WL_count)+2,FALSE),Tools!$AD$3:$BC$27,MOD(ROW()-2,Max_WL_count)+2,FALSE),"")</f>
        <v>2.14</v>
      </c>
      <c r="E257" s="431">
        <f>IFERROR(IF(ISNUMBER(D257),HLOOKUP(Tools!$BE$2,Tools!$BE$2:$BE$27,MOD(ROW()-2,Max_WL_count)+2,FALSE)*WLS,""),"")</f>
        <v>2.7</v>
      </c>
      <c r="I257" s="427">
        <f t="shared" si="23"/>
        <v>256</v>
      </c>
      <c r="J257" s="430">
        <f t="shared" si="19"/>
        <v>20</v>
      </c>
      <c r="K257" s="433">
        <f>IFERROR(-LBP/2+HLOOKUP(Stn_WL,Tools!$AD$2:$AD$27,N257+2,FALSE)*STN_GAP,"")</f>
        <v>46.094999999999985</v>
      </c>
      <c r="L257" s="433">
        <f>IFERROR(IF(AND(ISNUMBER(K257),O257=0),0,VLOOKUP(HLOOKUP(Stn_WL,Tools!$AD$2:$AD$27,N257+2,FALSE),Tools!$AD$3:$BC$27,O257+1,FALSE)),"")</f>
        <v>6.59</v>
      </c>
      <c r="M257" s="433">
        <f>IFERROR(IF(ISNUMBER(L257),IF(O257=0,IFERROR(HLOOKUP(Tools!$BD$127,Tools!$BD$127:$BD$152,N257+2,FALSE)*1,0),HLOOKUP(Tools!$BE$2,Tools!$BE$2:$BE$27,O257+1,FALSE)*WLS),""),"")</f>
        <v>9</v>
      </c>
      <c r="N257">
        <f t="shared" si="20"/>
        <v>19</v>
      </c>
      <c r="O257">
        <f t="shared" si="21"/>
        <v>8</v>
      </c>
    </row>
    <row r="258" spans="1:15" x14ac:dyDescent="0.25">
      <c r="A258" s="427">
        <f t="shared" si="22"/>
        <v>257</v>
      </c>
      <c r="B258" s="430">
        <f t="shared" ref="B258:B321" si="24">IFERROR(IF(ISNUMBER(D258),QUOTIENT(ROW()-2,Max_WL_count)+1,""),"")</f>
        <v>22</v>
      </c>
      <c r="C258" s="433">
        <f>IFERROR(-LBP/2+HLOOKUP(Stn_WL,Tools!$AD$2:$AD$27,QUOTIENT(ROW()-2,Max_WL_count)+2,FALSE)*STN_GAP,"")</f>
        <v>55.972499999999982</v>
      </c>
      <c r="D258" s="433">
        <f>IFERROR(VLOOKUP(HLOOKUP(Stn_WL,Tools!$AD$2:$AD$27,QUOTIENT(ROW()-2,Max_WL_count)+2,FALSE),Tools!$AD$3:$BC$27,MOD(ROW()-2,Max_WL_count)+2,FALSE),"")</f>
        <v>2.4</v>
      </c>
      <c r="E258" s="431">
        <f>IFERROR(IF(ISNUMBER(D258),HLOOKUP(Tools!$BE$2,Tools!$BE$2:$BE$27,MOD(ROW()-2,Max_WL_count)+2,FALSE)*WLS,""),"")</f>
        <v>3.6</v>
      </c>
      <c r="I258" s="427">
        <f t="shared" si="23"/>
        <v>257</v>
      </c>
      <c r="J258" s="430">
        <f t="shared" ref="J258:J321" si="25">IFERROR(IF(ISNUMBER(L258),QUOTIENT(ROW()-2,Max_WL_count+1)+1,""),"")</f>
        <v>20</v>
      </c>
      <c r="K258" s="433">
        <f>IFERROR(-LBP/2+HLOOKUP(Stn_WL,Tools!$AD$2:$AD$27,N258+2,FALSE)*STN_GAP,"")</f>
        <v>46.094999999999985</v>
      </c>
      <c r="L258" s="433">
        <f>IFERROR(IF(AND(ISNUMBER(K258),O258=0),0,VLOOKUP(HLOOKUP(Stn_WL,Tools!$AD$2:$AD$27,N258+2,FALSE),Tools!$AD$3:$BC$27,O258+1,FALSE)),"")</f>
        <v>7.22</v>
      </c>
      <c r="M258" s="433">
        <f>IFERROR(IF(ISNUMBER(L258),IF(O258=0,IFERROR(HLOOKUP(Tools!$BD$127,Tools!$BD$127:$BD$152,N258+2,FALSE)*1,0),HLOOKUP(Tools!$BE$2,Tools!$BE$2:$BE$27,O258+1,FALSE)*WLS),""),"")</f>
        <v>10.1</v>
      </c>
      <c r="N258">
        <f t="shared" ref="N258:N321" si="26">QUOTIENT(ROW()-2,Max_WL_count+1)</f>
        <v>19</v>
      </c>
      <c r="O258">
        <f t="shared" ref="O258:O321" si="27">MOD(ROW()-2,Max_WL_count+1)</f>
        <v>9</v>
      </c>
    </row>
    <row r="259" spans="1:15" x14ac:dyDescent="0.25">
      <c r="A259" s="427">
        <f t="shared" ref="A259:A322" si="28">IF(ISNUMBER(D259),ROW()-1,"")</f>
        <v>258</v>
      </c>
      <c r="B259" s="430">
        <f t="shared" si="24"/>
        <v>22</v>
      </c>
      <c r="C259" s="433">
        <f>IFERROR(-LBP/2+HLOOKUP(Stn_WL,Tools!$AD$2:$AD$27,QUOTIENT(ROW()-2,Max_WL_count)+2,FALSE)*STN_GAP,"")</f>
        <v>55.972499999999982</v>
      </c>
      <c r="D259" s="433">
        <f>IFERROR(VLOOKUP(HLOOKUP(Stn_WL,Tools!$AD$2:$AD$27,QUOTIENT(ROW()-2,Max_WL_count)+2,FALSE),Tools!$AD$3:$BC$27,MOD(ROW()-2,Max_WL_count)+2,FALSE),"")</f>
        <v>2.57</v>
      </c>
      <c r="E259" s="431">
        <f>IFERROR(IF(ISNUMBER(D259),HLOOKUP(Tools!$BE$2,Tools!$BE$2:$BE$27,MOD(ROW()-2,Max_WL_count)+2,FALSE)*WLS,""),"")</f>
        <v>5.4</v>
      </c>
      <c r="I259" s="427">
        <f t="shared" ref="I259:I322" si="29">IF(ISNUMBER(L259),ROW()-1,"")</f>
        <v>258</v>
      </c>
      <c r="J259" s="430">
        <f t="shared" si="25"/>
        <v>20</v>
      </c>
      <c r="K259" s="433">
        <f>IFERROR(-LBP/2+HLOOKUP(Stn_WL,Tools!$AD$2:$AD$27,N259+2,FALSE)*STN_GAP,"")</f>
        <v>46.094999999999985</v>
      </c>
      <c r="L259" s="433">
        <f>IFERROR(IF(AND(ISNUMBER(K259),O259=0),0,VLOOKUP(HLOOKUP(Stn_WL,Tools!$AD$2:$AD$27,N259+2,FALSE),Tools!$AD$3:$BC$27,O259+1,FALSE)),"")</f>
        <v>7.64</v>
      </c>
      <c r="M259" s="433">
        <f>IFERROR(IF(ISNUMBER(L259),IF(O259=0,IFERROR(HLOOKUP(Tools!$BD$127,Tools!$BD$127:$BD$152,N259+2,FALSE)*1,0),HLOOKUP(Tools!$BE$2,Tools!$BE$2:$BE$27,O259+1,FALSE)*WLS),""),"")</f>
        <v>10.8</v>
      </c>
      <c r="N259">
        <f t="shared" si="26"/>
        <v>19</v>
      </c>
      <c r="O259">
        <f t="shared" si="27"/>
        <v>10</v>
      </c>
    </row>
    <row r="260" spans="1:15" x14ac:dyDescent="0.25">
      <c r="A260" s="427">
        <f t="shared" si="28"/>
        <v>259</v>
      </c>
      <c r="B260" s="430">
        <f t="shared" si="24"/>
        <v>22</v>
      </c>
      <c r="C260" s="433">
        <f>IFERROR(-LBP/2+HLOOKUP(Stn_WL,Tools!$AD$2:$AD$27,QUOTIENT(ROW()-2,Max_WL_count)+2,FALSE)*STN_GAP,"")</f>
        <v>55.972499999999982</v>
      </c>
      <c r="D260" s="433">
        <f>IFERROR(VLOOKUP(HLOOKUP(Stn_WL,Tools!$AD$2:$AD$27,QUOTIENT(ROW()-2,Max_WL_count)+2,FALSE),Tools!$AD$3:$BC$27,MOD(ROW()-2,Max_WL_count)+2,FALSE),"")</f>
        <v>2.5499999999999998</v>
      </c>
      <c r="E260" s="431">
        <f>IFERROR(IF(ISNUMBER(D260),HLOOKUP(Tools!$BE$2,Tools!$BE$2:$BE$27,MOD(ROW()-2,Max_WL_count)+2,FALSE)*WLS,""),"")</f>
        <v>7.2</v>
      </c>
      <c r="I260" s="427">
        <f t="shared" si="29"/>
        <v>259</v>
      </c>
      <c r="J260" s="430">
        <f t="shared" si="25"/>
        <v>20</v>
      </c>
      <c r="K260" s="433">
        <f>IFERROR(-LBP/2+HLOOKUP(Stn_WL,Tools!$AD$2:$AD$27,N260+2,FALSE)*STN_GAP,"")</f>
        <v>46.094999999999985</v>
      </c>
      <c r="L260" s="433">
        <f>IFERROR(IF(AND(ISNUMBER(K260),O260=0),0,VLOOKUP(HLOOKUP(Stn_WL,Tools!$AD$2:$AD$27,N260+2,FALSE),Tools!$AD$3:$BC$27,O260+1,FALSE)),"")</f>
        <v>8.73</v>
      </c>
      <c r="M260" s="433">
        <f>IFERROR(IF(ISNUMBER(L260),IF(O260=0,IFERROR(HLOOKUP(Tools!$BD$127,Tools!$BD$127:$BD$152,N260+2,FALSE)*1,0),HLOOKUP(Tools!$BE$2,Tools!$BE$2:$BE$27,O260+1,FALSE)*WLS),""),"")</f>
        <v>12.6</v>
      </c>
      <c r="N260">
        <f t="shared" si="26"/>
        <v>19</v>
      </c>
      <c r="O260">
        <f t="shared" si="27"/>
        <v>11</v>
      </c>
    </row>
    <row r="261" spans="1:15" x14ac:dyDescent="0.25">
      <c r="A261" s="427">
        <f t="shared" si="28"/>
        <v>260</v>
      </c>
      <c r="B261" s="430">
        <f t="shared" si="24"/>
        <v>22</v>
      </c>
      <c r="C261" s="433">
        <f>IFERROR(-LBP/2+HLOOKUP(Stn_WL,Tools!$AD$2:$AD$27,QUOTIENT(ROW()-2,Max_WL_count)+2,FALSE)*STN_GAP,"")</f>
        <v>55.972499999999982</v>
      </c>
      <c r="D261" s="433">
        <f>IFERROR(VLOOKUP(HLOOKUP(Stn_WL,Tools!$AD$2:$AD$27,QUOTIENT(ROW()-2,Max_WL_count)+2,FALSE),Tools!$AD$3:$BC$27,MOD(ROW()-2,Max_WL_count)+2,FALSE),"")</f>
        <v>3.12</v>
      </c>
      <c r="E261" s="431">
        <f>IFERROR(IF(ISNUMBER(D261),HLOOKUP(Tools!$BE$2,Tools!$BE$2:$BE$27,MOD(ROW()-2,Max_WL_count)+2,FALSE)*WLS,""),"")</f>
        <v>9</v>
      </c>
      <c r="I261" s="427">
        <f t="shared" si="29"/>
        <v>260</v>
      </c>
      <c r="J261" s="430">
        <f t="shared" si="25"/>
        <v>20</v>
      </c>
      <c r="K261" s="433">
        <f>IFERROR(-LBP/2+HLOOKUP(Stn_WL,Tools!$AD$2:$AD$27,N261+2,FALSE)*STN_GAP,"")</f>
        <v>46.094999999999985</v>
      </c>
      <c r="L261" s="433">
        <f>IFERROR(IF(AND(ISNUMBER(K261),O261=0),0,VLOOKUP(HLOOKUP(Stn_WL,Tools!$AD$2:$AD$27,N261+2,FALSE),Tools!$AD$3:$BC$27,O261+1,FALSE)),"")</f>
        <v>10.94</v>
      </c>
      <c r="M261" s="433">
        <f>IFERROR(IF(ISNUMBER(L261),IF(O261=0,IFERROR(HLOOKUP(Tools!$BD$127,Tools!$BD$127:$BD$152,N261+2,FALSE)*1,0),HLOOKUP(Tools!$BE$2,Tools!$BE$2:$BE$27,O261+1,FALSE)*WLS),""),"")</f>
        <v>14.19</v>
      </c>
      <c r="N261">
        <f t="shared" si="26"/>
        <v>19</v>
      </c>
      <c r="O261">
        <f t="shared" si="27"/>
        <v>12</v>
      </c>
    </row>
    <row r="262" spans="1:15" x14ac:dyDescent="0.25">
      <c r="A262" s="427">
        <f t="shared" si="28"/>
        <v>261</v>
      </c>
      <c r="B262" s="430">
        <f t="shared" si="24"/>
        <v>22</v>
      </c>
      <c r="C262" s="433">
        <f>IFERROR(-LBP/2+HLOOKUP(Stn_WL,Tools!$AD$2:$AD$27,QUOTIENT(ROW()-2,Max_WL_count)+2,FALSE)*STN_GAP,"")</f>
        <v>55.972499999999982</v>
      </c>
      <c r="D262" s="433">
        <f>IFERROR(VLOOKUP(HLOOKUP(Stn_WL,Tools!$AD$2:$AD$27,QUOTIENT(ROW()-2,Max_WL_count)+2,FALSE),Tools!$AD$3:$BC$27,MOD(ROW()-2,Max_WL_count)+2,FALSE),"")</f>
        <v>3.79</v>
      </c>
      <c r="E262" s="431">
        <f>IFERROR(IF(ISNUMBER(D262),HLOOKUP(Tools!$BE$2,Tools!$BE$2:$BE$27,MOD(ROW()-2,Max_WL_count)+2,FALSE)*WLS,""),"")</f>
        <v>10.1</v>
      </c>
      <c r="I262" s="427">
        <f t="shared" si="29"/>
        <v>261</v>
      </c>
      <c r="J262" s="430">
        <f t="shared" si="25"/>
        <v>21</v>
      </c>
      <c r="K262" s="433">
        <f>IFERROR(-LBP/2+HLOOKUP(Stn_WL,Tools!$AD$2:$AD$27,N262+2,FALSE)*STN_GAP,"")</f>
        <v>52.679999999999993</v>
      </c>
      <c r="L262" s="433">
        <f>IFERROR(IF(AND(ISNUMBER(K262),O262=0),0,VLOOKUP(HLOOKUP(Stn_WL,Tools!$AD$2:$AD$27,N262+2,FALSE),Tools!$AD$3:$BC$27,O262+1,FALSE)),"")</f>
        <v>0</v>
      </c>
      <c r="M262" s="433">
        <f>IFERROR(IF(ISNUMBER(L262),IF(O262=0,IFERROR(HLOOKUP(Tools!$BD$127,Tools!$BD$127:$BD$152,N262+2,FALSE)*1,0),HLOOKUP(Tools!$BE$2,Tools!$BE$2:$BE$27,O262+1,FALSE)*WLS),""),"")</f>
        <v>0</v>
      </c>
      <c r="N262">
        <f t="shared" si="26"/>
        <v>20</v>
      </c>
      <c r="O262">
        <f t="shared" si="27"/>
        <v>0</v>
      </c>
    </row>
    <row r="263" spans="1:15" x14ac:dyDescent="0.25">
      <c r="A263" s="427">
        <f t="shared" si="28"/>
        <v>262</v>
      </c>
      <c r="B263" s="430">
        <f t="shared" si="24"/>
        <v>22</v>
      </c>
      <c r="C263" s="433">
        <f>IFERROR(-LBP/2+HLOOKUP(Stn_WL,Tools!$AD$2:$AD$27,QUOTIENT(ROW()-2,Max_WL_count)+2,FALSE)*STN_GAP,"")</f>
        <v>55.972499999999982</v>
      </c>
      <c r="D263" s="433">
        <f>IFERROR(VLOOKUP(HLOOKUP(Stn_WL,Tools!$AD$2:$AD$27,QUOTIENT(ROW()-2,Max_WL_count)+2,FALSE),Tools!$AD$3:$BC$27,MOD(ROW()-2,Max_WL_count)+2,FALSE),"")</f>
        <v>4.3</v>
      </c>
      <c r="E263" s="431">
        <f>IFERROR(IF(ISNUMBER(D263),HLOOKUP(Tools!$BE$2,Tools!$BE$2:$BE$27,MOD(ROW()-2,Max_WL_count)+2,FALSE)*WLS,""),"")</f>
        <v>10.8</v>
      </c>
      <c r="I263" s="427">
        <f t="shared" si="29"/>
        <v>262</v>
      </c>
      <c r="J263" s="430">
        <f t="shared" si="25"/>
        <v>21</v>
      </c>
      <c r="K263" s="433">
        <f>IFERROR(-LBP/2+HLOOKUP(Stn_WL,Tools!$AD$2:$AD$27,N263+2,FALSE)*STN_GAP,"")</f>
        <v>52.679999999999993</v>
      </c>
      <c r="L263" s="433">
        <f>IFERROR(IF(AND(ISNUMBER(K263),O263=0),0,VLOOKUP(HLOOKUP(Stn_WL,Tools!$AD$2:$AD$27,N263+2,FALSE),Tools!$AD$3:$BC$27,O263+1,FALSE)),"")</f>
        <v>0</v>
      </c>
      <c r="M263" s="433">
        <f>IFERROR(IF(ISNUMBER(L263),IF(O263=0,IFERROR(HLOOKUP(Tools!$BD$127,Tools!$BD$127:$BD$152,N263+2,FALSE)*1,0),HLOOKUP(Tools!$BE$2,Tools!$BE$2:$BE$27,O263+1,FALSE)*WLS),""),"")</f>
        <v>0</v>
      </c>
      <c r="N263">
        <f t="shared" si="26"/>
        <v>20</v>
      </c>
      <c r="O263">
        <f t="shared" si="27"/>
        <v>1</v>
      </c>
    </row>
    <row r="264" spans="1:15" x14ac:dyDescent="0.25">
      <c r="A264" s="427">
        <f t="shared" si="28"/>
        <v>263</v>
      </c>
      <c r="B264" s="430">
        <f t="shared" si="24"/>
        <v>22</v>
      </c>
      <c r="C264" s="433">
        <f>IFERROR(-LBP/2+HLOOKUP(Stn_WL,Tools!$AD$2:$AD$27,QUOTIENT(ROW()-2,Max_WL_count)+2,FALSE)*STN_GAP,"")</f>
        <v>55.972499999999982</v>
      </c>
      <c r="D264" s="433">
        <f>IFERROR(VLOOKUP(HLOOKUP(Stn_WL,Tools!$AD$2:$AD$27,QUOTIENT(ROW()-2,Max_WL_count)+2,FALSE),Tools!$AD$3:$BC$27,MOD(ROW()-2,Max_WL_count)+2,FALSE),"")</f>
        <v>5.71</v>
      </c>
      <c r="E264" s="431">
        <f>IFERROR(IF(ISNUMBER(D264),HLOOKUP(Tools!$BE$2,Tools!$BE$2:$BE$27,MOD(ROW()-2,Max_WL_count)+2,FALSE)*WLS,""),"")</f>
        <v>12.6</v>
      </c>
      <c r="I264" s="427">
        <f t="shared" si="29"/>
        <v>263</v>
      </c>
      <c r="J264" s="430">
        <f t="shared" si="25"/>
        <v>21</v>
      </c>
      <c r="K264" s="433">
        <f>IFERROR(-LBP/2+HLOOKUP(Stn_WL,Tools!$AD$2:$AD$27,N264+2,FALSE)*STN_GAP,"")</f>
        <v>52.679999999999993</v>
      </c>
      <c r="L264" s="433">
        <f>IFERROR(IF(AND(ISNUMBER(K264),O264=0),0,VLOOKUP(HLOOKUP(Stn_WL,Tools!$AD$2:$AD$27,N264+2,FALSE),Tools!$AD$3:$BC$27,O264+1,FALSE)),"")</f>
        <v>1.49</v>
      </c>
      <c r="M264" s="433">
        <f>IFERROR(IF(ISNUMBER(L264),IF(O264=0,IFERROR(HLOOKUP(Tools!$BD$127,Tools!$BD$127:$BD$152,N264+2,FALSE)*1,0),HLOOKUP(Tools!$BE$2,Tools!$BE$2:$BE$27,O264+1,FALSE)*WLS),""),"")</f>
        <v>0.9</v>
      </c>
      <c r="N264">
        <f t="shared" si="26"/>
        <v>20</v>
      </c>
      <c r="O264">
        <f t="shared" si="27"/>
        <v>2</v>
      </c>
    </row>
    <row r="265" spans="1:15" x14ac:dyDescent="0.25">
      <c r="A265" s="427">
        <f t="shared" si="28"/>
        <v>264</v>
      </c>
      <c r="B265" s="430">
        <f t="shared" si="24"/>
        <v>22</v>
      </c>
      <c r="C265" s="433">
        <f>IFERROR(-LBP/2+HLOOKUP(Stn_WL,Tools!$AD$2:$AD$27,QUOTIENT(ROW()-2,Max_WL_count)+2,FALSE)*STN_GAP,"")</f>
        <v>55.972499999999982</v>
      </c>
      <c r="D265" s="433">
        <f>IFERROR(VLOOKUP(HLOOKUP(Stn_WL,Tools!$AD$2:$AD$27,QUOTIENT(ROW()-2,Max_WL_count)+2,FALSE),Tools!$AD$3:$BC$27,MOD(ROW()-2,Max_WL_count)+2,FALSE),"")</f>
        <v>8.1</v>
      </c>
      <c r="E265" s="431">
        <f>IFERROR(IF(ISNUMBER(D265),HLOOKUP(Tools!$BE$2,Tools!$BE$2:$BE$27,MOD(ROW()-2,Max_WL_count)+2,FALSE)*WLS,""),"")</f>
        <v>14.19</v>
      </c>
      <c r="I265" s="427">
        <f t="shared" si="29"/>
        <v>264</v>
      </c>
      <c r="J265" s="430">
        <f t="shared" si="25"/>
        <v>21</v>
      </c>
      <c r="K265" s="433">
        <f>IFERROR(-LBP/2+HLOOKUP(Stn_WL,Tools!$AD$2:$AD$27,N265+2,FALSE)*STN_GAP,"")</f>
        <v>52.679999999999993</v>
      </c>
      <c r="L265" s="433">
        <f>IFERROR(IF(AND(ISNUMBER(K265),O265=0),0,VLOOKUP(HLOOKUP(Stn_WL,Tools!$AD$2:$AD$27,N265+2,FALSE),Tools!$AD$3:$BC$27,O265+1,FALSE)),"")</f>
        <v>2.23</v>
      </c>
      <c r="M265" s="433">
        <f>IFERROR(IF(ISNUMBER(L265),IF(O265=0,IFERROR(HLOOKUP(Tools!$BD$127,Tools!$BD$127:$BD$152,N265+2,FALSE)*1,0),HLOOKUP(Tools!$BE$2,Tools!$BE$2:$BE$27,O265+1,FALSE)*WLS),""),"")</f>
        <v>1.8</v>
      </c>
      <c r="N265">
        <f t="shared" si="26"/>
        <v>20</v>
      </c>
      <c r="O265">
        <f t="shared" si="27"/>
        <v>3</v>
      </c>
    </row>
    <row r="266" spans="1:15" x14ac:dyDescent="0.25">
      <c r="A266" s="427">
        <f t="shared" si="28"/>
        <v>265</v>
      </c>
      <c r="B266" s="430">
        <f t="shared" si="24"/>
        <v>23</v>
      </c>
      <c r="C266" s="433">
        <f>IFERROR(-LBP/2+HLOOKUP(Stn_WL,Tools!$AD$2:$AD$27,QUOTIENT(ROW()-2,Max_WL_count)+2,FALSE)*STN_GAP,"")</f>
        <v>59.264999999999986</v>
      </c>
      <c r="D266" s="433">
        <f>IFERROR(VLOOKUP(HLOOKUP(Stn_WL,Tools!$AD$2:$AD$27,QUOTIENT(ROW()-2,Max_WL_count)+2,FALSE),Tools!$AD$3:$BC$27,MOD(ROW()-2,Max_WL_count)+2,FALSE),"")</f>
        <v>0</v>
      </c>
      <c r="E266" s="431">
        <f>IFERROR(IF(ISNUMBER(D266),HLOOKUP(Tools!$BE$2,Tools!$BE$2:$BE$27,MOD(ROW()-2,Max_WL_count)+2,FALSE)*WLS,""),"")</f>
        <v>0</v>
      </c>
      <c r="I266" s="427">
        <f t="shared" si="29"/>
        <v>265</v>
      </c>
      <c r="J266" s="430">
        <f t="shared" si="25"/>
        <v>21</v>
      </c>
      <c r="K266" s="433">
        <f>IFERROR(-LBP/2+HLOOKUP(Stn_WL,Tools!$AD$2:$AD$27,N266+2,FALSE)*STN_GAP,"")</f>
        <v>52.679999999999993</v>
      </c>
      <c r="L266" s="433">
        <f>IFERROR(IF(AND(ISNUMBER(K266),O266=0),0,VLOOKUP(HLOOKUP(Stn_WL,Tools!$AD$2:$AD$27,N266+2,FALSE),Tools!$AD$3:$BC$27,O266+1,FALSE)),"")</f>
        <v>2.69</v>
      </c>
      <c r="M266" s="433">
        <f>IFERROR(IF(ISNUMBER(L266),IF(O266=0,IFERROR(HLOOKUP(Tools!$BD$127,Tools!$BD$127:$BD$152,N266+2,FALSE)*1,0),HLOOKUP(Tools!$BE$2,Tools!$BE$2:$BE$27,O266+1,FALSE)*WLS),""),"")</f>
        <v>2.7</v>
      </c>
      <c r="N266">
        <f t="shared" si="26"/>
        <v>20</v>
      </c>
      <c r="O266">
        <f t="shared" si="27"/>
        <v>4</v>
      </c>
    </row>
    <row r="267" spans="1:15" x14ac:dyDescent="0.25">
      <c r="A267" s="427">
        <f t="shared" si="28"/>
        <v>266</v>
      </c>
      <c r="B267" s="430">
        <f t="shared" si="24"/>
        <v>23</v>
      </c>
      <c r="C267" s="433">
        <f>IFERROR(-LBP/2+HLOOKUP(Stn_WL,Tools!$AD$2:$AD$27,QUOTIENT(ROW()-2,Max_WL_count)+2,FALSE)*STN_GAP,"")</f>
        <v>59.264999999999986</v>
      </c>
      <c r="D267" s="433">
        <f>IFERROR(VLOOKUP(HLOOKUP(Stn_WL,Tools!$AD$2:$AD$27,QUOTIENT(ROW()-2,Max_WL_count)+2,FALSE),Tools!$AD$3:$BC$27,MOD(ROW()-2,Max_WL_count)+2,FALSE),"")</f>
        <v>0.64</v>
      </c>
      <c r="E267" s="431">
        <f>IFERROR(IF(ISNUMBER(D267),HLOOKUP(Tools!$BE$2,Tools!$BE$2:$BE$27,MOD(ROW()-2,Max_WL_count)+2,FALSE)*WLS,""),"")</f>
        <v>0.9</v>
      </c>
      <c r="I267" s="427">
        <f t="shared" si="29"/>
        <v>266</v>
      </c>
      <c r="J267" s="430">
        <f t="shared" si="25"/>
        <v>21</v>
      </c>
      <c r="K267" s="433">
        <f>IFERROR(-LBP/2+HLOOKUP(Stn_WL,Tools!$AD$2:$AD$27,N267+2,FALSE)*STN_GAP,"")</f>
        <v>52.679999999999993</v>
      </c>
      <c r="L267" s="433">
        <f>IFERROR(IF(AND(ISNUMBER(K267),O267=0),0,VLOOKUP(HLOOKUP(Stn_WL,Tools!$AD$2:$AD$27,N267+2,FALSE),Tools!$AD$3:$BC$27,O267+1,FALSE)),"")</f>
        <v>2.97</v>
      </c>
      <c r="M267" s="433">
        <f>IFERROR(IF(ISNUMBER(L267),IF(O267=0,IFERROR(HLOOKUP(Tools!$BD$127,Tools!$BD$127:$BD$152,N267+2,FALSE)*1,0),HLOOKUP(Tools!$BE$2,Tools!$BE$2:$BE$27,O267+1,FALSE)*WLS),""),"")</f>
        <v>3.6</v>
      </c>
      <c r="N267">
        <f t="shared" si="26"/>
        <v>20</v>
      </c>
      <c r="O267">
        <f t="shared" si="27"/>
        <v>5</v>
      </c>
    </row>
    <row r="268" spans="1:15" x14ac:dyDescent="0.25">
      <c r="A268" s="427">
        <f t="shared" si="28"/>
        <v>267</v>
      </c>
      <c r="B268" s="430">
        <f t="shared" si="24"/>
        <v>23</v>
      </c>
      <c r="C268" s="433">
        <f>IFERROR(-LBP/2+HLOOKUP(Stn_WL,Tools!$AD$2:$AD$27,QUOTIENT(ROW()-2,Max_WL_count)+2,FALSE)*STN_GAP,"")</f>
        <v>59.264999999999986</v>
      </c>
      <c r="D268" s="433">
        <f>IFERROR(VLOOKUP(HLOOKUP(Stn_WL,Tools!$AD$2:$AD$27,QUOTIENT(ROW()-2,Max_WL_count)+2,FALSE),Tools!$AD$3:$BC$27,MOD(ROW()-2,Max_WL_count)+2,FALSE),"")</f>
        <v>1.27</v>
      </c>
      <c r="E268" s="431">
        <f>IFERROR(IF(ISNUMBER(D268),HLOOKUP(Tools!$BE$2,Tools!$BE$2:$BE$27,MOD(ROW()-2,Max_WL_count)+2,FALSE)*WLS,""),"")</f>
        <v>1.8</v>
      </c>
      <c r="I268" s="427">
        <f t="shared" si="29"/>
        <v>267</v>
      </c>
      <c r="J268" s="430">
        <f t="shared" si="25"/>
        <v>21</v>
      </c>
      <c r="K268" s="433">
        <f>IFERROR(-LBP/2+HLOOKUP(Stn_WL,Tools!$AD$2:$AD$27,N268+2,FALSE)*STN_GAP,"")</f>
        <v>52.679999999999993</v>
      </c>
      <c r="L268" s="433">
        <f>IFERROR(IF(AND(ISNUMBER(K268),O268=0),0,VLOOKUP(HLOOKUP(Stn_WL,Tools!$AD$2:$AD$27,N268+2,FALSE),Tools!$AD$3:$BC$27,O268+1,FALSE)),"")</f>
        <v>3.25</v>
      </c>
      <c r="M268" s="433">
        <f>IFERROR(IF(ISNUMBER(L268),IF(O268=0,IFERROR(HLOOKUP(Tools!$BD$127,Tools!$BD$127:$BD$152,N268+2,FALSE)*1,0),HLOOKUP(Tools!$BE$2,Tools!$BE$2:$BE$27,O268+1,FALSE)*WLS),""),"")</f>
        <v>5.4</v>
      </c>
      <c r="N268">
        <f t="shared" si="26"/>
        <v>20</v>
      </c>
      <c r="O268">
        <f t="shared" si="27"/>
        <v>6</v>
      </c>
    </row>
    <row r="269" spans="1:15" x14ac:dyDescent="0.25">
      <c r="A269" s="427">
        <f t="shared" si="28"/>
        <v>268</v>
      </c>
      <c r="B269" s="430">
        <f t="shared" si="24"/>
        <v>23</v>
      </c>
      <c r="C269" s="433">
        <f>IFERROR(-LBP/2+HLOOKUP(Stn_WL,Tools!$AD$2:$AD$27,QUOTIENT(ROW()-2,Max_WL_count)+2,FALSE)*STN_GAP,"")</f>
        <v>59.264999999999986</v>
      </c>
      <c r="D269" s="433">
        <f>IFERROR(VLOOKUP(HLOOKUP(Stn_WL,Tools!$AD$2:$AD$27,QUOTIENT(ROW()-2,Max_WL_count)+2,FALSE),Tools!$AD$3:$BC$27,MOD(ROW()-2,Max_WL_count)+2,FALSE),"")</f>
        <v>1.68</v>
      </c>
      <c r="E269" s="431">
        <f>IFERROR(IF(ISNUMBER(D269),HLOOKUP(Tools!$BE$2,Tools!$BE$2:$BE$27,MOD(ROW()-2,Max_WL_count)+2,FALSE)*WLS,""),"")</f>
        <v>2.7</v>
      </c>
      <c r="I269" s="427">
        <f t="shared" si="29"/>
        <v>268</v>
      </c>
      <c r="J269" s="430">
        <f t="shared" si="25"/>
        <v>21</v>
      </c>
      <c r="K269" s="433">
        <f>IFERROR(-LBP/2+HLOOKUP(Stn_WL,Tools!$AD$2:$AD$27,N269+2,FALSE)*STN_GAP,"")</f>
        <v>52.679999999999993</v>
      </c>
      <c r="L269" s="433">
        <f>IFERROR(IF(AND(ISNUMBER(K269),O269=0),0,VLOOKUP(HLOOKUP(Stn_WL,Tools!$AD$2:$AD$27,N269+2,FALSE),Tools!$AD$3:$BC$27,O269+1,FALSE)),"")</f>
        <v>3.51</v>
      </c>
      <c r="M269" s="433">
        <f>IFERROR(IF(ISNUMBER(L269),IF(O269=0,IFERROR(HLOOKUP(Tools!$BD$127,Tools!$BD$127:$BD$152,N269+2,FALSE)*1,0),HLOOKUP(Tools!$BE$2,Tools!$BE$2:$BE$27,O269+1,FALSE)*WLS),""),"")</f>
        <v>7.2</v>
      </c>
      <c r="N269">
        <f t="shared" si="26"/>
        <v>20</v>
      </c>
      <c r="O269">
        <f t="shared" si="27"/>
        <v>7</v>
      </c>
    </row>
    <row r="270" spans="1:15" x14ac:dyDescent="0.25">
      <c r="A270" s="427">
        <f t="shared" si="28"/>
        <v>269</v>
      </c>
      <c r="B270" s="430">
        <f t="shared" si="24"/>
        <v>23</v>
      </c>
      <c r="C270" s="433">
        <f>IFERROR(-LBP/2+HLOOKUP(Stn_WL,Tools!$AD$2:$AD$27,QUOTIENT(ROW()-2,Max_WL_count)+2,FALSE)*STN_GAP,"")</f>
        <v>59.264999999999986</v>
      </c>
      <c r="D270" s="433">
        <f>IFERROR(VLOOKUP(HLOOKUP(Stn_WL,Tools!$AD$2:$AD$27,QUOTIENT(ROW()-2,Max_WL_count)+2,FALSE),Tools!$AD$3:$BC$27,MOD(ROW()-2,Max_WL_count)+2,FALSE),"")</f>
        <v>1.96</v>
      </c>
      <c r="E270" s="431">
        <f>IFERROR(IF(ISNUMBER(D270),HLOOKUP(Tools!$BE$2,Tools!$BE$2:$BE$27,MOD(ROW()-2,Max_WL_count)+2,FALSE)*WLS,""),"")</f>
        <v>3.6</v>
      </c>
      <c r="I270" s="427">
        <f t="shared" si="29"/>
        <v>269</v>
      </c>
      <c r="J270" s="430">
        <f t="shared" si="25"/>
        <v>21</v>
      </c>
      <c r="K270" s="433">
        <f>IFERROR(-LBP/2+HLOOKUP(Stn_WL,Tools!$AD$2:$AD$27,N270+2,FALSE)*STN_GAP,"")</f>
        <v>52.679999999999993</v>
      </c>
      <c r="L270" s="433">
        <f>IFERROR(IF(AND(ISNUMBER(K270),O270=0),0,VLOOKUP(HLOOKUP(Stn_WL,Tools!$AD$2:$AD$27,N270+2,FALSE),Tools!$AD$3:$BC$27,O270+1,FALSE)),"")</f>
        <v>4.28</v>
      </c>
      <c r="M270" s="433">
        <f>IFERROR(IF(ISNUMBER(L270),IF(O270=0,IFERROR(HLOOKUP(Tools!$BD$127,Tools!$BD$127:$BD$152,N270+2,FALSE)*1,0),HLOOKUP(Tools!$BE$2,Tools!$BE$2:$BE$27,O270+1,FALSE)*WLS),""),"")</f>
        <v>9</v>
      </c>
      <c r="N270">
        <f t="shared" si="26"/>
        <v>20</v>
      </c>
      <c r="O270">
        <f t="shared" si="27"/>
        <v>8</v>
      </c>
    </row>
    <row r="271" spans="1:15" x14ac:dyDescent="0.25">
      <c r="A271" s="427">
        <f t="shared" si="28"/>
        <v>270</v>
      </c>
      <c r="B271" s="430">
        <f t="shared" si="24"/>
        <v>23</v>
      </c>
      <c r="C271" s="433">
        <f>IFERROR(-LBP/2+HLOOKUP(Stn_WL,Tools!$AD$2:$AD$27,QUOTIENT(ROW()-2,Max_WL_count)+2,FALSE)*STN_GAP,"")</f>
        <v>59.264999999999986</v>
      </c>
      <c r="D271" s="433">
        <f>IFERROR(VLOOKUP(HLOOKUP(Stn_WL,Tools!$AD$2:$AD$27,QUOTIENT(ROW()-2,Max_WL_count)+2,FALSE),Tools!$AD$3:$BC$27,MOD(ROW()-2,Max_WL_count)+2,FALSE),"")</f>
        <v>2.1</v>
      </c>
      <c r="E271" s="431">
        <f>IFERROR(IF(ISNUMBER(D271),HLOOKUP(Tools!$BE$2,Tools!$BE$2:$BE$27,MOD(ROW()-2,Max_WL_count)+2,FALSE)*WLS,""),"")</f>
        <v>5.4</v>
      </c>
      <c r="I271" s="427">
        <f t="shared" si="29"/>
        <v>270</v>
      </c>
      <c r="J271" s="430">
        <f t="shared" si="25"/>
        <v>21</v>
      </c>
      <c r="K271" s="433">
        <f>IFERROR(-LBP/2+HLOOKUP(Stn_WL,Tools!$AD$2:$AD$27,N271+2,FALSE)*STN_GAP,"")</f>
        <v>52.679999999999993</v>
      </c>
      <c r="L271" s="433">
        <f>IFERROR(IF(AND(ISNUMBER(K271),O271=0),0,VLOOKUP(HLOOKUP(Stn_WL,Tools!$AD$2:$AD$27,N271+2,FALSE),Tools!$AD$3:$BC$27,O271+1,FALSE)),"")</f>
        <v>4.97</v>
      </c>
      <c r="M271" s="433">
        <f>IFERROR(IF(ISNUMBER(L271),IF(O271=0,IFERROR(HLOOKUP(Tools!$BD$127,Tools!$BD$127:$BD$152,N271+2,FALSE)*1,0),HLOOKUP(Tools!$BE$2,Tools!$BE$2:$BE$27,O271+1,FALSE)*WLS),""),"")</f>
        <v>10.1</v>
      </c>
      <c r="N271">
        <f t="shared" si="26"/>
        <v>20</v>
      </c>
      <c r="O271">
        <f t="shared" si="27"/>
        <v>9</v>
      </c>
    </row>
    <row r="272" spans="1:15" x14ac:dyDescent="0.25">
      <c r="A272" s="427">
        <f t="shared" si="28"/>
        <v>271</v>
      </c>
      <c r="B272" s="430">
        <f t="shared" si="24"/>
        <v>23</v>
      </c>
      <c r="C272" s="433">
        <f>IFERROR(-LBP/2+HLOOKUP(Stn_WL,Tools!$AD$2:$AD$27,QUOTIENT(ROW()-2,Max_WL_count)+2,FALSE)*STN_GAP,"")</f>
        <v>59.264999999999986</v>
      </c>
      <c r="D272" s="433">
        <f>IFERROR(VLOOKUP(HLOOKUP(Stn_WL,Tools!$AD$2:$AD$27,QUOTIENT(ROW()-2,Max_WL_count)+2,FALSE),Tools!$AD$3:$BC$27,MOD(ROW()-2,Max_WL_count)+2,FALSE),"")</f>
        <v>1.8</v>
      </c>
      <c r="E272" s="431">
        <f>IFERROR(IF(ISNUMBER(D272),HLOOKUP(Tools!$BE$2,Tools!$BE$2:$BE$27,MOD(ROW()-2,Max_WL_count)+2,FALSE)*WLS,""),"")</f>
        <v>7.2</v>
      </c>
      <c r="I272" s="427">
        <f t="shared" si="29"/>
        <v>271</v>
      </c>
      <c r="J272" s="430">
        <f t="shared" si="25"/>
        <v>21</v>
      </c>
      <c r="K272" s="433">
        <f>IFERROR(-LBP/2+HLOOKUP(Stn_WL,Tools!$AD$2:$AD$27,N272+2,FALSE)*STN_GAP,"")</f>
        <v>52.679999999999993</v>
      </c>
      <c r="L272" s="433">
        <f>IFERROR(IF(AND(ISNUMBER(K272),O272=0),0,VLOOKUP(HLOOKUP(Stn_WL,Tools!$AD$2:$AD$27,N272+2,FALSE),Tools!$AD$3:$BC$27,O272+1,FALSE)),"")</f>
        <v>5.47</v>
      </c>
      <c r="M272" s="433">
        <f>IFERROR(IF(ISNUMBER(L272),IF(O272=0,IFERROR(HLOOKUP(Tools!$BD$127,Tools!$BD$127:$BD$152,N272+2,FALSE)*1,0),HLOOKUP(Tools!$BE$2,Tools!$BE$2:$BE$27,O272+1,FALSE)*WLS),""),"")</f>
        <v>10.8</v>
      </c>
      <c r="N272">
        <f t="shared" si="26"/>
        <v>20</v>
      </c>
      <c r="O272">
        <f t="shared" si="27"/>
        <v>10</v>
      </c>
    </row>
    <row r="273" spans="1:15" x14ac:dyDescent="0.25">
      <c r="A273" s="427">
        <f t="shared" si="28"/>
        <v>272</v>
      </c>
      <c r="B273" s="430">
        <f t="shared" si="24"/>
        <v>23</v>
      </c>
      <c r="C273" s="433">
        <f>IFERROR(-LBP/2+HLOOKUP(Stn_WL,Tools!$AD$2:$AD$27,QUOTIENT(ROW()-2,Max_WL_count)+2,FALSE)*STN_GAP,"")</f>
        <v>59.264999999999986</v>
      </c>
      <c r="D273" s="433">
        <f>IFERROR(VLOOKUP(HLOOKUP(Stn_WL,Tools!$AD$2:$AD$27,QUOTIENT(ROW()-2,Max_WL_count)+2,FALSE),Tools!$AD$3:$BC$27,MOD(ROW()-2,Max_WL_count)+2,FALSE),"")</f>
        <v>2</v>
      </c>
      <c r="E273" s="431">
        <f>IFERROR(IF(ISNUMBER(D273),HLOOKUP(Tools!$BE$2,Tools!$BE$2:$BE$27,MOD(ROW()-2,Max_WL_count)+2,FALSE)*WLS,""),"")</f>
        <v>9</v>
      </c>
      <c r="I273" s="427">
        <f t="shared" si="29"/>
        <v>272</v>
      </c>
      <c r="J273" s="430">
        <f t="shared" si="25"/>
        <v>21</v>
      </c>
      <c r="K273" s="433">
        <f>IFERROR(-LBP/2+HLOOKUP(Stn_WL,Tools!$AD$2:$AD$27,N273+2,FALSE)*STN_GAP,"")</f>
        <v>52.679999999999993</v>
      </c>
      <c r="L273" s="433">
        <f>IFERROR(IF(AND(ISNUMBER(K273),O273=0),0,VLOOKUP(HLOOKUP(Stn_WL,Tools!$AD$2:$AD$27,N273+2,FALSE),Tools!$AD$3:$BC$27,O273+1,FALSE)),"")</f>
        <v>6.84</v>
      </c>
      <c r="M273" s="433">
        <f>IFERROR(IF(ISNUMBER(L273),IF(O273=0,IFERROR(HLOOKUP(Tools!$BD$127,Tools!$BD$127:$BD$152,N273+2,FALSE)*1,0),HLOOKUP(Tools!$BE$2,Tools!$BE$2:$BE$27,O273+1,FALSE)*WLS),""),"")</f>
        <v>12.6</v>
      </c>
      <c r="N273">
        <f t="shared" si="26"/>
        <v>20</v>
      </c>
      <c r="O273">
        <f t="shared" si="27"/>
        <v>11</v>
      </c>
    </row>
    <row r="274" spans="1:15" x14ac:dyDescent="0.25">
      <c r="A274" s="427">
        <f t="shared" si="28"/>
        <v>273</v>
      </c>
      <c r="B274" s="430">
        <f t="shared" si="24"/>
        <v>23</v>
      </c>
      <c r="C274" s="433">
        <f>IFERROR(-LBP/2+HLOOKUP(Stn_WL,Tools!$AD$2:$AD$27,QUOTIENT(ROW()-2,Max_WL_count)+2,FALSE)*STN_GAP,"")</f>
        <v>59.264999999999986</v>
      </c>
      <c r="D274" s="433">
        <f>IFERROR(VLOOKUP(HLOOKUP(Stn_WL,Tools!$AD$2:$AD$27,QUOTIENT(ROW()-2,Max_WL_count)+2,FALSE),Tools!$AD$3:$BC$27,MOD(ROW()-2,Max_WL_count)+2,FALSE),"")</f>
        <v>2.61</v>
      </c>
      <c r="E274" s="431">
        <f>IFERROR(IF(ISNUMBER(D274),HLOOKUP(Tools!$BE$2,Tools!$BE$2:$BE$27,MOD(ROW()-2,Max_WL_count)+2,FALSE)*WLS,""),"")</f>
        <v>10.1</v>
      </c>
      <c r="I274" s="427">
        <f t="shared" si="29"/>
        <v>273</v>
      </c>
      <c r="J274" s="430">
        <f t="shared" si="25"/>
        <v>21</v>
      </c>
      <c r="K274" s="433">
        <f>IFERROR(-LBP/2+HLOOKUP(Stn_WL,Tools!$AD$2:$AD$27,N274+2,FALSE)*STN_GAP,"")</f>
        <v>52.679999999999993</v>
      </c>
      <c r="L274" s="433">
        <f>IFERROR(IF(AND(ISNUMBER(K274),O274=0),0,VLOOKUP(HLOOKUP(Stn_WL,Tools!$AD$2:$AD$27,N274+2,FALSE),Tools!$AD$3:$BC$27,O274+1,FALSE)),"")</f>
        <v>9.77</v>
      </c>
      <c r="M274" s="433">
        <f>IFERROR(IF(ISNUMBER(L274),IF(O274=0,IFERROR(HLOOKUP(Tools!$BD$127,Tools!$BD$127:$BD$152,N274+2,FALSE)*1,0),HLOOKUP(Tools!$BE$2,Tools!$BE$2:$BE$27,O274+1,FALSE)*WLS),""),"")</f>
        <v>14.19</v>
      </c>
      <c r="N274">
        <f t="shared" si="26"/>
        <v>20</v>
      </c>
      <c r="O274">
        <f t="shared" si="27"/>
        <v>12</v>
      </c>
    </row>
    <row r="275" spans="1:15" x14ac:dyDescent="0.25">
      <c r="A275" s="427">
        <f t="shared" si="28"/>
        <v>274</v>
      </c>
      <c r="B275" s="430">
        <f t="shared" si="24"/>
        <v>23</v>
      </c>
      <c r="C275" s="433">
        <f>IFERROR(-LBP/2+HLOOKUP(Stn_WL,Tools!$AD$2:$AD$27,QUOTIENT(ROW()-2,Max_WL_count)+2,FALSE)*STN_GAP,"")</f>
        <v>59.264999999999986</v>
      </c>
      <c r="D275" s="433">
        <f>IFERROR(VLOOKUP(HLOOKUP(Stn_WL,Tools!$AD$2:$AD$27,QUOTIENT(ROW()-2,Max_WL_count)+2,FALSE),Tools!$AD$3:$BC$27,MOD(ROW()-2,Max_WL_count)+2,FALSE),"")</f>
        <v>3.1</v>
      </c>
      <c r="E275" s="431">
        <f>IFERROR(IF(ISNUMBER(D275),HLOOKUP(Tools!$BE$2,Tools!$BE$2:$BE$27,MOD(ROW()-2,Max_WL_count)+2,FALSE)*WLS,""),"")</f>
        <v>10.8</v>
      </c>
      <c r="I275" s="427">
        <f t="shared" si="29"/>
        <v>274</v>
      </c>
      <c r="J275" s="430">
        <f t="shared" si="25"/>
        <v>22</v>
      </c>
      <c r="K275" s="433">
        <f>IFERROR(-LBP/2+HLOOKUP(Stn_WL,Tools!$AD$2:$AD$27,N275+2,FALSE)*STN_GAP,"")</f>
        <v>55.972499999999982</v>
      </c>
      <c r="L275" s="433">
        <f>IFERROR(IF(AND(ISNUMBER(K275),O275=0),0,VLOOKUP(HLOOKUP(Stn_WL,Tools!$AD$2:$AD$27,N275+2,FALSE),Tools!$AD$3:$BC$27,O275+1,FALSE)),"")</f>
        <v>0</v>
      </c>
      <c r="M275" s="433">
        <f>IFERROR(IF(ISNUMBER(L275),IF(O275=0,IFERROR(HLOOKUP(Tools!$BD$127,Tools!$BD$127:$BD$152,N275+2,FALSE)*1,0),HLOOKUP(Tools!$BE$2,Tools!$BE$2:$BE$27,O275+1,FALSE)*WLS),""),"")</f>
        <v>0.32</v>
      </c>
      <c r="N275">
        <f t="shared" si="26"/>
        <v>21</v>
      </c>
      <c r="O275">
        <f t="shared" si="27"/>
        <v>0</v>
      </c>
    </row>
    <row r="276" spans="1:15" x14ac:dyDescent="0.25">
      <c r="A276" s="427">
        <f t="shared" si="28"/>
        <v>275</v>
      </c>
      <c r="B276" s="430">
        <f t="shared" si="24"/>
        <v>23</v>
      </c>
      <c r="C276" s="433">
        <f>IFERROR(-LBP/2+HLOOKUP(Stn_WL,Tools!$AD$2:$AD$27,QUOTIENT(ROW()-2,Max_WL_count)+2,FALSE)*STN_GAP,"")</f>
        <v>59.264999999999986</v>
      </c>
      <c r="D276" s="433">
        <f>IFERROR(VLOOKUP(HLOOKUP(Stn_WL,Tools!$AD$2:$AD$27,QUOTIENT(ROW()-2,Max_WL_count)+2,FALSE),Tools!$AD$3:$BC$27,MOD(ROW()-2,Max_WL_count)+2,FALSE),"")</f>
        <v>4.42</v>
      </c>
      <c r="E276" s="431">
        <f>IFERROR(IF(ISNUMBER(D276),HLOOKUP(Tools!$BE$2,Tools!$BE$2:$BE$27,MOD(ROW()-2,Max_WL_count)+2,FALSE)*WLS,""),"")</f>
        <v>12.6</v>
      </c>
      <c r="I276" s="427">
        <f t="shared" si="29"/>
        <v>275</v>
      </c>
      <c r="J276" s="430">
        <f t="shared" si="25"/>
        <v>22</v>
      </c>
      <c r="K276" s="433">
        <f>IFERROR(-LBP/2+HLOOKUP(Stn_WL,Tools!$AD$2:$AD$27,N276+2,FALSE)*STN_GAP,"")</f>
        <v>55.972499999999982</v>
      </c>
      <c r="L276" s="433">
        <f>IFERROR(IF(AND(ISNUMBER(K276),O276=0),0,VLOOKUP(HLOOKUP(Stn_WL,Tools!$AD$2:$AD$27,N276+2,FALSE),Tools!$AD$3:$BC$27,O276+1,FALSE)),"")</f>
        <v>0</v>
      </c>
      <c r="M276" s="433">
        <f>IFERROR(IF(ISNUMBER(L276),IF(O276=0,IFERROR(HLOOKUP(Tools!$BD$127,Tools!$BD$127:$BD$152,N276+2,FALSE)*1,0),HLOOKUP(Tools!$BE$2,Tools!$BE$2:$BE$27,O276+1,FALSE)*WLS),""),"")</f>
        <v>0</v>
      </c>
      <c r="N276">
        <f t="shared" si="26"/>
        <v>21</v>
      </c>
      <c r="O276">
        <f t="shared" si="27"/>
        <v>1</v>
      </c>
    </row>
    <row r="277" spans="1:15" x14ac:dyDescent="0.25">
      <c r="A277" s="427">
        <f t="shared" si="28"/>
        <v>276</v>
      </c>
      <c r="B277" s="430">
        <f t="shared" si="24"/>
        <v>23</v>
      </c>
      <c r="C277" s="433">
        <f>IFERROR(-LBP/2+HLOOKUP(Stn_WL,Tools!$AD$2:$AD$27,QUOTIENT(ROW()-2,Max_WL_count)+2,FALSE)*STN_GAP,"")</f>
        <v>59.264999999999986</v>
      </c>
      <c r="D277" s="433">
        <f>IFERROR(VLOOKUP(HLOOKUP(Stn_WL,Tools!$AD$2:$AD$27,QUOTIENT(ROW()-2,Max_WL_count)+2,FALSE),Tools!$AD$3:$BC$27,MOD(ROW()-2,Max_WL_count)+2,FALSE),"")</f>
        <v>5.76</v>
      </c>
      <c r="E277" s="431">
        <f>IFERROR(IF(ISNUMBER(D277),HLOOKUP(Tools!$BE$2,Tools!$BE$2:$BE$27,MOD(ROW()-2,Max_WL_count)+2,FALSE)*WLS,""),"")</f>
        <v>14.19</v>
      </c>
      <c r="I277" s="427">
        <f t="shared" si="29"/>
        <v>276</v>
      </c>
      <c r="J277" s="430">
        <f t="shared" si="25"/>
        <v>22</v>
      </c>
      <c r="K277" s="433">
        <f>IFERROR(-LBP/2+HLOOKUP(Stn_WL,Tools!$AD$2:$AD$27,N277+2,FALSE)*STN_GAP,"")</f>
        <v>55.972499999999982</v>
      </c>
      <c r="L277" s="433">
        <f>IFERROR(IF(AND(ISNUMBER(K277),O277=0),0,VLOOKUP(HLOOKUP(Stn_WL,Tools!$AD$2:$AD$27,N277+2,FALSE),Tools!$AD$3:$BC$27,O277+1,FALSE)),"")</f>
        <v>1.04</v>
      </c>
      <c r="M277" s="433">
        <f>IFERROR(IF(ISNUMBER(L277),IF(O277=0,IFERROR(HLOOKUP(Tools!$BD$127,Tools!$BD$127:$BD$152,N277+2,FALSE)*1,0),HLOOKUP(Tools!$BE$2,Tools!$BE$2:$BE$27,O277+1,FALSE)*WLS),""),"")</f>
        <v>0.9</v>
      </c>
      <c r="N277">
        <f t="shared" si="26"/>
        <v>21</v>
      </c>
      <c r="O277">
        <f t="shared" si="27"/>
        <v>2</v>
      </c>
    </row>
    <row r="278" spans="1:15" x14ac:dyDescent="0.25">
      <c r="A278" s="427">
        <f t="shared" si="28"/>
        <v>277</v>
      </c>
      <c r="B278" s="430">
        <f t="shared" si="24"/>
        <v>24</v>
      </c>
      <c r="C278" s="433">
        <f>IFERROR(-LBP/2+HLOOKUP(Stn_WL,Tools!$AD$2:$AD$27,QUOTIENT(ROW()-2,Max_WL_count)+2,FALSE)*STN_GAP,"")</f>
        <v>62.557499999999976</v>
      </c>
      <c r="D278" s="433">
        <f>IFERROR(VLOOKUP(HLOOKUP(Stn_WL,Tools!$AD$2:$AD$27,QUOTIENT(ROW()-2,Max_WL_count)+2,FALSE),Tools!$AD$3:$BC$27,MOD(ROW()-2,Max_WL_count)+2,FALSE),"")</f>
        <v>0</v>
      </c>
      <c r="E278" s="431">
        <f>IFERROR(IF(ISNUMBER(D278),HLOOKUP(Tools!$BE$2,Tools!$BE$2:$BE$27,MOD(ROW()-2,Max_WL_count)+2,FALSE)*WLS,""),"")</f>
        <v>0</v>
      </c>
      <c r="I278" s="427">
        <f t="shared" si="29"/>
        <v>277</v>
      </c>
      <c r="J278" s="430">
        <f t="shared" si="25"/>
        <v>22</v>
      </c>
      <c r="K278" s="433">
        <f>IFERROR(-LBP/2+HLOOKUP(Stn_WL,Tools!$AD$2:$AD$27,N278+2,FALSE)*STN_GAP,"")</f>
        <v>55.972499999999982</v>
      </c>
      <c r="L278" s="433">
        <f>IFERROR(IF(AND(ISNUMBER(K278),O278=0),0,VLOOKUP(HLOOKUP(Stn_WL,Tools!$AD$2:$AD$27,N278+2,FALSE),Tools!$AD$3:$BC$27,O278+1,FALSE)),"")</f>
        <v>1.7</v>
      </c>
      <c r="M278" s="433">
        <f>IFERROR(IF(ISNUMBER(L278),IF(O278=0,IFERROR(HLOOKUP(Tools!$BD$127,Tools!$BD$127:$BD$152,N278+2,FALSE)*1,0),HLOOKUP(Tools!$BE$2,Tools!$BE$2:$BE$27,O278+1,FALSE)*WLS),""),"")</f>
        <v>1.8</v>
      </c>
      <c r="N278">
        <f t="shared" si="26"/>
        <v>21</v>
      </c>
      <c r="O278">
        <f t="shared" si="27"/>
        <v>3</v>
      </c>
    </row>
    <row r="279" spans="1:15" x14ac:dyDescent="0.25">
      <c r="A279" s="427">
        <f t="shared" si="28"/>
        <v>278</v>
      </c>
      <c r="B279" s="430">
        <f t="shared" si="24"/>
        <v>24</v>
      </c>
      <c r="C279" s="433">
        <f>IFERROR(-LBP/2+HLOOKUP(Stn_WL,Tools!$AD$2:$AD$27,QUOTIENT(ROW()-2,Max_WL_count)+2,FALSE)*STN_GAP,"")</f>
        <v>62.557499999999976</v>
      </c>
      <c r="D279" s="433">
        <f>IFERROR(VLOOKUP(HLOOKUP(Stn_WL,Tools!$AD$2:$AD$27,QUOTIENT(ROW()-2,Max_WL_count)+2,FALSE),Tools!$AD$3:$BC$27,MOD(ROW()-2,Max_WL_count)+2,FALSE),"")</f>
        <v>0</v>
      </c>
      <c r="E279" s="431">
        <f>IFERROR(IF(ISNUMBER(D279),HLOOKUP(Tools!$BE$2,Tools!$BE$2:$BE$27,MOD(ROW()-2,Max_WL_count)+2,FALSE)*WLS,""),"")</f>
        <v>0.9</v>
      </c>
      <c r="I279" s="427">
        <f t="shared" si="29"/>
        <v>278</v>
      </c>
      <c r="J279" s="430">
        <f t="shared" si="25"/>
        <v>22</v>
      </c>
      <c r="K279" s="433">
        <f>IFERROR(-LBP/2+HLOOKUP(Stn_WL,Tools!$AD$2:$AD$27,N279+2,FALSE)*STN_GAP,"")</f>
        <v>55.972499999999982</v>
      </c>
      <c r="L279" s="433">
        <f>IFERROR(IF(AND(ISNUMBER(K279),O279=0),0,VLOOKUP(HLOOKUP(Stn_WL,Tools!$AD$2:$AD$27,N279+2,FALSE),Tools!$AD$3:$BC$27,O279+1,FALSE)),"")</f>
        <v>2.14</v>
      </c>
      <c r="M279" s="433">
        <f>IFERROR(IF(ISNUMBER(L279),IF(O279=0,IFERROR(HLOOKUP(Tools!$BD$127,Tools!$BD$127:$BD$152,N279+2,FALSE)*1,0),HLOOKUP(Tools!$BE$2,Tools!$BE$2:$BE$27,O279+1,FALSE)*WLS),""),"")</f>
        <v>2.7</v>
      </c>
      <c r="N279">
        <f t="shared" si="26"/>
        <v>21</v>
      </c>
      <c r="O279">
        <f t="shared" si="27"/>
        <v>4</v>
      </c>
    </row>
    <row r="280" spans="1:15" x14ac:dyDescent="0.25">
      <c r="A280" s="427">
        <f t="shared" si="28"/>
        <v>279</v>
      </c>
      <c r="B280" s="430">
        <f t="shared" si="24"/>
        <v>24</v>
      </c>
      <c r="C280" s="433">
        <f>IFERROR(-LBP/2+HLOOKUP(Stn_WL,Tools!$AD$2:$AD$27,QUOTIENT(ROW()-2,Max_WL_count)+2,FALSE)*STN_GAP,"")</f>
        <v>62.557499999999976</v>
      </c>
      <c r="D280" s="433">
        <f>IFERROR(VLOOKUP(HLOOKUP(Stn_WL,Tools!$AD$2:$AD$27,QUOTIENT(ROW()-2,Max_WL_count)+2,FALSE),Tools!$AD$3:$BC$27,MOD(ROW()-2,Max_WL_count)+2,FALSE),"")</f>
        <v>0.86</v>
      </c>
      <c r="E280" s="431">
        <f>IFERROR(IF(ISNUMBER(D280),HLOOKUP(Tools!$BE$2,Tools!$BE$2:$BE$27,MOD(ROW()-2,Max_WL_count)+2,FALSE)*WLS,""),"")</f>
        <v>1.8</v>
      </c>
      <c r="I280" s="427">
        <f t="shared" si="29"/>
        <v>279</v>
      </c>
      <c r="J280" s="430">
        <f t="shared" si="25"/>
        <v>22</v>
      </c>
      <c r="K280" s="433">
        <f>IFERROR(-LBP/2+HLOOKUP(Stn_WL,Tools!$AD$2:$AD$27,N280+2,FALSE)*STN_GAP,"")</f>
        <v>55.972499999999982</v>
      </c>
      <c r="L280" s="433">
        <f>IFERROR(IF(AND(ISNUMBER(K280),O280=0),0,VLOOKUP(HLOOKUP(Stn_WL,Tools!$AD$2:$AD$27,N280+2,FALSE),Tools!$AD$3:$BC$27,O280+1,FALSE)),"")</f>
        <v>2.4</v>
      </c>
      <c r="M280" s="433">
        <f>IFERROR(IF(ISNUMBER(L280),IF(O280=0,IFERROR(HLOOKUP(Tools!$BD$127,Tools!$BD$127:$BD$152,N280+2,FALSE)*1,0),HLOOKUP(Tools!$BE$2,Tools!$BE$2:$BE$27,O280+1,FALSE)*WLS),""),"")</f>
        <v>3.6</v>
      </c>
      <c r="N280">
        <f t="shared" si="26"/>
        <v>21</v>
      </c>
      <c r="O280">
        <f t="shared" si="27"/>
        <v>5</v>
      </c>
    </row>
    <row r="281" spans="1:15" x14ac:dyDescent="0.25">
      <c r="A281" s="427">
        <f t="shared" si="28"/>
        <v>280</v>
      </c>
      <c r="B281" s="430">
        <f t="shared" si="24"/>
        <v>24</v>
      </c>
      <c r="C281" s="433">
        <f>IFERROR(-LBP/2+HLOOKUP(Stn_WL,Tools!$AD$2:$AD$27,QUOTIENT(ROW()-2,Max_WL_count)+2,FALSE)*STN_GAP,"")</f>
        <v>62.557499999999976</v>
      </c>
      <c r="D281" s="433">
        <f>IFERROR(VLOOKUP(HLOOKUP(Stn_WL,Tools!$AD$2:$AD$27,QUOTIENT(ROW()-2,Max_WL_count)+2,FALSE),Tools!$AD$3:$BC$27,MOD(ROW()-2,Max_WL_count)+2,FALSE),"")</f>
        <v>1.29</v>
      </c>
      <c r="E281" s="431">
        <f>IFERROR(IF(ISNUMBER(D281),HLOOKUP(Tools!$BE$2,Tools!$BE$2:$BE$27,MOD(ROW()-2,Max_WL_count)+2,FALSE)*WLS,""),"")</f>
        <v>2.7</v>
      </c>
      <c r="I281" s="427">
        <f t="shared" si="29"/>
        <v>280</v>
      </c>
      <c r="J281" s="430">
        <f t="shared" si="25"/>
        <v>22</v>
      </c>
      <c r="K281" s="433">
        <f>IFERROR(-LBP/2+HLOOKUP(Stn_WL,Tools!$AD$2:$AD$27,N281+2,FALSE)*STN_GAP,"")</f>
        <v>55.972499999999982</v>
      </c>
      <c r="L281" s="433">
        <f>IFERROR(IF(AND(ISNUMBER(K281),O281=0),0,VLOOKUP(HLOOKUP(Stn_WL,Tools!$AD$2:$AD$27,N281+2,FALSE),Tools!$AD$3:$BC$27,O281+1,FALSE)),"")</f>
        <v>2.57</v>
      </c>
      <c r="M281" s="433">
        <f>IFERROR(IF(ISNUMBER(L281),IF(O281=0,IFERROR(HLOOKUP(Tools!$BD$127,Tools!$BD$127:$BD$152,N281+2,FALSE)*1,0),HLOOKUP(Tools!$BE$2,Tools!$BE$2:$BE$27,O281+1,FALSE)*WLS),""),"")</f>
        <v>5.4</v>
      </c>
      <c r="N281">
        <f t="shared" si="26"/>
        <v>21</v>
      </c>
      <c r="O281">
        <f t="shared" si="27"/>
        <v>6</v>
      </c>
    </row>
    <row r="282" spans="1:15" x14ac:dyDescent="0.25">
      <c r="A282" s="427">
        <f t="shared" si="28"/>
        <v>281</v>
      </c>
      <c r="B282" s="430">
        <f t="shared" si="24"/>
        <v>24</v>
      </c>
      <c r="C282" s="433">
        <f>IFERROR(-LBP/2+HLOOKUP(Stn_WL,Tools!$AD$2:$AD$27,QUOTIENT(ROW()-2,Max_WL_count)+2,FALSE)*STN_GAP,"")</f>
        <v>62.557499999999976</v>
      </c>
      <c r="D282" s="433">
        <f>IFERROR(VLOOKUP(HLOOKUP(Stn_WL,Tools!$AD$2:$AD$27,QUOTIENT(ROW()-2,Max_WL_count)+2,FALSE),Tools!$AD$3:$BC$27,MOD(ROW()-2,Max_WL_count)+2,FALSE),"")</f>
        <v>1.6</v>
      </c>
      <c r="E282" s="431">
        <f>IFERROR(IF(ISNUMBER(D282),HLOOKUP(Tools!$BE$2,Tools!$BE$2:$BE$27,MOD(ROW()-2,Max_WL_count)+2,FALSE)*WLS,""),"")</f>
        <v>3.6</v>
      </c>
      <c r="I282" s="427">
        <f t="shared" si="29"/>
        <v>281</v>
      </c>
      <c r="J282" s="430">
        <f t="shared" si="25"/>
        <v>22</v>
      </c>
      <c r="K282" s="433">
        <f>IFERROR(-LBP/2+HLOOKUP(Stn_WL,Tools!$AD$2:$AD$27,N282+2,FALSE)*STN_GAP,"")</f>
        <v>55.972499999999982</v>
      </c>
      <c r="L282" s="433">
        <f>IFERROR(IF(AND(ISNUMBER(K282),O282=0),0,VLOOKUP(HLOOKUP(Stn_WL,Tools!$AD$2:$AD$27,N282+2,FALSE),Tools!$AD$3:$BC$27,O282+1,FALSE)),"")</f>
        <v>2.5499999999999998</v>
      </c>
      <c r="M282" s="433">
        <f>IFERROR(IF(ISNUMBER(L282),IF(O282=0,IFERROR(HLOOKUP(Tools!$BD$127,Tools!$BD$127:$BD$152,N282+2,FALSE)*1,0),HLOOKUP(Tools!$BE$2,Tools!$BE$2:$BE$27,O282+1,FALSE)*WLS),""),"")</f>
        <v>7.2</v>
      </c>
      <c r="N282">
        <f t="shared" si="26"/>
        <v>21</v>
      </c>
      <c r="O282">
        <f t="shared" si="27"/>
        <v>7</v>
      </c>
    </row>
    <row r="283" spans="1:15" x14ac:dyDescent="0.25">
      <c r="A283" s="427">
        <f t="shared" si="28"/>
        <v>282</v>
      </c>
      <c r="B283" s="430">
        <f t="shared" si="24"/>
        <v>24</v>
      </c>
      <c r="C283" s="433">
        <f>IFERROR(-LBP/2+HLOOKUP(Stn_WL,Tools!$AD$2:$AD$27,QUOTIENT(ROW()-2,Max_WL_count)+2,FALSE)*STN_GAP,"")</f>
        <v>62.557499999999976</v>
      </c>
      <c r="D283" s="433">
        <f>IFERROR(VLOOKUP(HLOOKUP(Stn_WL,Tools!$AD$2:$AD$27,QUOTIENT(ROW()-2,Max_WL_count)+2,FALSE),Tools!$AD$3:$BC$27,MOD(ROW()-2,Max_WL_count)+2,FALSE),"")</f>
        <v>1.77</v>
      </c>
      <c r="E283" s="431">
        <f>IFERROR(IF(ISNUMBER(D283),HLOOKUP(Tools!$BE$2,Tools!$BE$2:$BE$27,MOD(ROW()-2,Max_WL_count)+2,FALSE)*WLS,""),"")</f>
        <v>5.4</v>
      </c>
      <c r="I283" s="427">
        <f t="shared" si="29"/>
        <v>282</v>
      </c>
      <c r="J283" s="430">
        <f t="shared" si="25"/>
        <v>22</v>
      </c>
      <c r="K283" s="433">
        <f>IFERROR(-LBP/2+HLOOKUP(Stn_WL,Tools!$AD$2:$AD$27,N283+2,FALSE)*STN_GAP,"")</f>
        <v>55.972499999999982</v>
      </c>
      <c r="L283" s="433">
        <f>IFERROR(IF(AND(ISNUMBER(K283),O283=0),0,VLOOKUP(HLOOKUP(Stn_WL,Tools!$AD$2:$AD$27,N283+2,FALSE),Tools!$AD$3:$BC$27,O283+1,FALSE)),"")</f>
        <v>3.12</v>
      </c>
      <c r="M283" s="433">
        <f>IFERROR(IF(ISNUMBER(L283),IF(O283=0,IFERROR(HLOOKUP(Tools!$BD$127,Tools!$BD$127:$BD$152,N283+2,FALSE)*1,0),HLOOKUP(Tools!$BE$2,Tools!$BE$2:$BE$27,O283+1,FALSE)*WLS),""),"")</f>
        <v>9</v>
      </c>
      <c r="N283">
        <f t="shared" si="26"/>
        <v>21</v>
      </c>
      <c r="O283">
        <f t="shared" si="27"/>
        <v>8</v>
      </c>
    </row>
    <row r="284" spans="1:15" x14ac:dyDescent="0.25">
      <c r="A284" s="427">
        <f t="shared" si="28"/>
        <v>283</v>
      </c>
      <c r="B284" s="430">
        <f t="shared" si="24"/>
        <v>24</v>
      </c>
      <c r="C284" s="433">
        <f>IFERROR(-LBP/2+HLOOKUP(Stn_WL,Tools!$AD$2:$AD$27,QUOTIENT(ROW()-2,Max_WL_count)+2,FALSE)*STN_GAP,"")</f>
        <v>62.557499999999976</v>
      </c>
      <c r="D284" s="433">
        <f>IFERROR(VLOOKUP(HLOOKUP(Stn_WL,Tools!$AD$2:$AD$27,QUOTIENT(ROW()-2,Max_WL_count)+2,FALSE),Tools!$AD$3:$BC$27,MOD(ROW()-2,Max_WL_count)+2,FALSE),"")</f>
        <v>1.31</v>
      </c>
      <c r="E284" s="431">
        <f>IFERROR(IF(ISNUMBER(D284),HLOOKUP(Tools!$BE$2,Tools!$BE$2:$BE$27,MOD(ROW()-2,Max_WL_count)+2,FALSE)*WLS,""),"")</f>
        <v>7.2</v>
      </c>
      <c r="I284" s="427">
        <f t="shared" si="29"/>
        <v>283</v>
      </c>
      <c r="J284" s="430">
        <f t="shared" si="25"/>
        <v>22</v>
      </c>
      <c r="K284" s="433">
        <f>IFERROR(-LBP/2+HLOOKUP(Stn_WL,Tools!$AD$2:$AD$27,N284+2,FALSE)*STN_GAP,"")</f>
        <v>55.972499999999982</v>
      </c>
      <c r="L284" s="433">
        <f>IFERROR(IF(AND(ISNUMBER(K284),O284=0),0,VLOOKUP(HLOOKUP(Stn_WL,Tools!$AD$2:$AD$27,N284+2,FALSE),Tools!$AD$3:$BC$27,O284+1,FALSE)),"")</f>
        <v>3.79</v>
      </c>
      <c r="M284" s="433">
        <f>IFERROR(IF(ISNUMBER(L284),IF(O284=0,IFERROR(HLOOKUP(Tools!$BD$127,Tools!$BD$127:$BD$152,N284+2,FALSE)*1,0),HLOOKUP(Tools!$BE$2,Tools!$BE$2:$BE$27,O284+1,FALSE)*WLS),""),"")</f>
        <v>10.1</v>
      </c>
      <c r="N284">
        <f t="shared" si="26"/>
        <v>21</v>
      </c>
      <c r="O284">
        <f t="shared" si="27"/>
        <v>9</v>
      </c>
    </row>
    <row r="285" spans="1:15" x14ac:dyDescent="0.25">
      <c r="A285" s="427">
        <f t="shared" si="28"/>
        <v>284</v>
      </c>
      <c r="B285" s="430">
        <f t="shared" si="24"/>
        <v>24</v>
      </c>
      <c r="C285" s="433">
        <f>IFERROR(-LBP/2+HLOOKUP(Stn_WL,Tools!$AD$2:$AD$27,QUOTIENT(ROW()-2,Max_WL_count)+2,FALSE)*STN_GAP,"")</f>
        <v>62.557499999999976</v>
      </c>
      <c r="D285" s="433">
        <f>IFERROR(VLOOKUP(HLOOKUP(Stn_WL,Tools!$AD$2:$AD$27,QUOTIENT(ROW()-2,Max_WL_count)+2,FALSE),Tools!$AD$3:$BC$27,MOD(ROW()-2,Max_WL_count)+2,FALSE),"")</f>
        <v>1</v>
      </c>
      <c r="E285" s="431">
        <f>IFERROR(IF(ISNUMBER(D285),HLOOKUP(Tools!$BE$2,Tools!$BE$2:$BE$27,MOD(ROW()-2,Max_WL_count)+2,FALSE)*WLS,""),"")</f>
        <v>9</v>
      </c>
      <c r="I285" s="427">
        <f t="shared" si="29"/>
        <v>284</v>
      </c>
      <c r="J285" s="430">
        <f t="shared" si="25"/>
        <v>22</v>
      </c>
      <c r="K285" s="433">
        <f>IFERROR(-LBP/2+HLOOKUP(Stn_WL,Tools!$AD$2:$AD$27,N285+2,FALSE)*STN_GAP,"")</f>
        <v>55.972499999999982</v>
      </c>
      <c r="L285" s="433">
        <f>IFERROR(IF(AND(ISNUMBER(K285),O285=0),0,VLOOKUP(HLOOKUP(Stn_WL,Tools!$AD$2:$AD$27,N285+2,FALSE),Tools!$AD$3:$BC$27,O285+1,FALSE)),"")</f>
        <v>4.3</v>
      </c>
      <c r="M285" s="433">
        <f>IFERROR(IF(ISNUMBER(L285),IF(O285=0,IFERROR(HLOOKUP(Tools!$BD$127,Tools!$BD$127:$BD$152,N285+2,FALSE)*1,0),HLOOKUP(Tools!$BE$2,Tools!$BE$2:$BE$27,O285+1,FALSE)*WLS),""),"")</f>
        <v>10.8</v>
      </c>
      <c r="N285">
        <f t="shared" si="26"/>
        <v>21</v>
      </c>
      <c r="O285">
        <f t="shared" si="27"/>
        <v>10</v>
      </c>
    </row>
    <row r="286" spans="1:15" x14ac:dyDescent="0.25">
      <c r="A286" s="427">
        <f t="shared" si="28"/>
        <v>285</v>
      </c>
      <c r="B286" s="430">
        <f t="shared" si="24"/>
        <v>24</v>
      </c>
      <c r="C286" s="433">
        <f>IFERROR(-LBP/2+HLOOKUP(Stn_WL,Tools!$AD$2:$AD$27,QUOTIENT(ROW()-2,Max_WL_count)+2,FALSE)*STN_GAP,"")</f>
        <v>62.557499999999976</v>
      </c>
      <c r="D286" s="433">
        <f>IFERROR(VLOOKUP(HLOOKUP(Stn_WL,Tools!$AD$2:$AD$27,QUOTIENT(ROW()-2,Max_WL_count)+2,FALSE),Tools!$AD$3:$BC$27,MOD(ROW()-2,Max_WL_count)+2,FALSE),"")</f>
        <v>1.44</v>
      </c>
      <c r="E286" s="431">
        <f>IFERROR(IF(ISNUMBER(D286),HLOOKUP(Tools!$BE$2,Tools!$BE$2:$BE$27,MOD(ROW()-2,Max_WL_count)+2,FALSE)*WLS,""),"")</f>
        <v>10.1</v>
      </c>
      <c r="I286" s="427">
        <f t="shared" si="29"/>
        <v>285</v>
      </c>
      <c r="J286" s="430">
        <f t="shared" si="25"/>
        <v>22</v>
      </c>
      <c r="K286" s="433">
        <f>IFERROR(-LBP/2+HLOOKUP(Stn_WL,Tools!$AD$2:$AD$27,N286+2,FALSE)*STN_GAP,"")</f>
        <v>55.972499999999982</v>
      </c>
      <c r="L286" s="433">
        <f>IFERROR(IF(AND(ISNUMBER(K286),O286=0),0,VLOOKUP(HLOOKUP(Stn_WL,Tools!$AD$2:$AD$27,N286+2,FALSE),Tools!$AD$3:$BC$27,O286+1,FALSE)),"")</f>
        <v>5.71</v>
      </c>
      <c r="M286" s="433">
        <f>IFERROR(IF(ISNUMBER(L286),IF(O286=0,IFERROR(HLOOKUP(Tools!$BD$127,Tools!$BD$127:$BD$152,N286+2,FALSE)*1,0),HLOOKUP(Tools!$BE$2,Tools!$BE$2:$BE$27,O286+1,FALSE)*WLS),""),"")</f>
        <v>12.6</v>
      </c>
      <c r="N286">
        <f t="shared" si="26"/>
        <v>21</v>
      </c>
      <c r="O286">
        <f t="shared" si="27"/>
        <v>11</v>
      </c>
    </row>
    <row r="287" spans="1:15" x14ac:dyDescent="0.25">
      <c r="A287" s="427">
        <f t="shared" si="28"/>
        <v>286</v>
      </c>
      <c r="B287" s="430">
        <f t="shared" si="24"/>
        <v>24</v>
      </c>
      <c r="C287" s="433">
        <f>IFERROR(-LBP/2+HLOOKUP(Stn_WL,Tools!$AD$2:$AD$27,QUOTIENT(ROW()-2,Max_WL_count)+2,FALSE)*STN_GAP,"")</f>
        <v>62.557499999999976</v>
      </c>
      <c r="D287" s="433">
        <f>IFERROR(VLOOKUP(HLOOKUP(Stn_WL,Tools!$AD$2:$AD$27,QUOTIENT(ROW()-2,Max_WL_count)+2,FALSE),Tools!$AD$3:$BC$27,MOD(ROW()-2,Max_WL_count)+2,FALSE),"")</f>
        <v>1.74</v>
      </c>
      <c r="E287" s="431">
        <f>IFERROR(IF(ISNUMBER(D287),HLOOKUP(Tools!$BE$2,Tools!$BE$2:$BE$27,MOD(ROW()-2,Max_WL_count)+2,FALSE)*WLS,""),"")</f>
        <v>10.8</v>
      </c>
      <c r="I287" s="427">
        <f t="shared" si="29"/>
        <v>286</v>
      </c>
      <c r="J287" s="430">
        <f t="shared" si="25"/>
        <v>22</v>
      </c>
      <c r="K287" s="433">
        <f>IFERROR(-LBP/2+HLOOKUP(Stn_WL,Tools!$AD$2:$AD$27,N287+2,FALSE)*STN_GAP,"")</f>
        <v>55.972499999999982</v>
      </c>
      <c r="L287" s="433">
        <f>IFERROR(IF(AND(ISNUMBER(K287),O287=0),0,VLOOKUP(HLOOKUP(Stn_WL,Tools!$AD$2:$AD$27,N287+2,FALSE),Tools!$AD$3:$BC$27,O287+1,FALSE)),"")</f>
        <v>8.1</v>
      </c>
      <c r="M287" s="433">
        <f>IFERROR(IF(ISNUMBER(L287),IF(O287=0,IFERROR(HLOOKUP(Tools!$BD$127,Tools!$BD$127:$BD$152,N287+2,FALSE)*1,0),HLOOKUP(Tools!$BE$2,Tools!$BE$2:$BE$27,O287+1,FALSE)*WLS),""),"")</f>
        <v>14.19</v>
      </c>
      <c r="N287">
        <f t="shared" si="26"/>
        <v>21</v>
      </c>
      <c r="O287">
        <f t="shared" si="27"/>
        <v>12</v>
      </c>
    </row>
    <row r="288" spans="1:15" x14ac:dyDescent="0.25">
      <c r="A288" s="427">
        <f t="shared" si="28"/>
        <v>287</v>
      </c>
      <c r="B288" s="430">
        <f t="shared" si="24"/>
        <v>24</v>
      </c>
      <c r="C288" s="433">
        <f>IFERROR(-LBP/2+HLOOKUP(Stn_WL,Tools!$AD$2:$AD$27,QUOTIENT(ROW()-2,Max_WL_count)+2,FALSE)*STN_GAP,"")</f>
        <v>62.557499999999976</v>
      </c>
      <c r="D288" s="433">
        <f>IFERROR(VLOOKUP(HLOOKUP(Stn_WL,Tools!$AD$2:$AD$27,QUOTIENT(ROW()-2,Max_WL_count)+2,FALSE),Tools!$AD$3:$BC$27,MOD(ROW()-2,Max_WL_count)+2,FALSE),"")</f>
        <v>2.79</v>
      </c>
      <c r="E288" s="431">
        <f>IFERROR(IF(ISNUMBER(D288),HLOOKUP(Tools!$BE$2,Tools!$BE$2:$BE$27,MOD(ROW()-2,Max_WL_count)+2,FALSE)*WLS,""),"")</f>
        <v>12.6</v>
      </c>
      <c r="I288" s="427">
        <f t="shared" si="29"/>
        <v>287</v>
      </c>
      <c r="J288" s="430">
        <f t="shared" si="25"/>
        <v>23</v>
      </c>
      <c r="K288" s="433">
        <f>IFERROR(-LBP/2+HLOOKUP(Stn_WL,Tools!$AD$2:$AD$27,N288+2,FALSE)*STN_GAP,"")</f>
        <v>59.264999999999986</v>
      </c>
      <c r="L288" s="433">
        <f>IFERROR(IF(AND(ISNUMBER(K288),O288=0),0,VLOOKUP(HLOOKUP(Stn_WL,Tools!$AD$2:$AD$27,N288+2,FALSE),Tools!$AD$3:$BC$27,O288+1,FALSE)),"")</f>
        <v>0</v>
      </c>
      <c r="M288" s="433">
        <f>IFERROR(IF(ISNUMBER(L288),IF(O288=0,IFERROR(HLOOKUP(Tools!$BD$127,Tools!$BD$127:$BD$152,N288+2,FALSE)*1,0),HLOOKUP(Tools!$BE$2,Tools!$BE$2:$BE$27,O288+1,FALSE)*WLS),""),"")</f>
        <v>0.66</v>
      </c>
      <c r="N288">
        <f t="shared" si="26"/>
        <v>22</v>
      </c>
      <c r="O288">
        <f t="shared" si="27"/>
        <v>0</v>
      </c>
    </row>
    <row r="289" spans="1:15" x14ac:dyDescent="0.25">
      <c r="A289" s="427">
        <f t="shared" si="28"/>
        <v>288</v>
      </c>
      <c r="B289" s="430">
        <f t="shared" si="24"/>
        <v>24</v>
      </c>
      <c r="C289" s="433">
        <f>IFERROR(-LBP/2+HLOOKUP(Stn_WL,Tools!$AD$2:$AD$27,QUOTIENT(ROW()-2,Max_WL_count)+2,FALSE)*STN_GAP,"")</f>
        <v>62.557499999999976</v>
      </c>
      <c r="D289" s="433">
        <f>IFERROR(VLOOKUP(HLOOKUP(Stn_WL,Tools!$AD$2:$AD$27,QUOTIENT(ROW()-2,Max_WL_count)+2,FALSE),Tools!$AD$3:$BC$27,MOD(ROW()-2,Max_WL_count)+2,FALSE),"")</f>
        <v>4.0999999999999996</v>
      </c>
      <c r="E289" s="431">
        <f>IFERROR(IF(ISNUMBER(D289),HLOOKUP(Tools!$BE$2,Tools!$BE$2:$BE$27,MOD(ROW()-2,Max_WL_count)+2,FALSE)*WLS,""),"")</f>
        <v>14.19</v>
      </c>
      <c r="I289" s="427">
        <f t="shared" si="29"/>
        <v>288</v>
      </c>
      <c r="J289" s="430">
        <f t="shared" si="25"/>
        <v>23</v>
      </c>
      <c r="K289" s="433">
        <f>IFERROR(-LBP/2+HLOOKUP(Stn_WL,Tools!$AD$2:$AD$27,N289+2,FALSE)*STN_GAP,"")</f>
        <v>59.264999999999986</v>
      </c>
      <c r="L289" s="433">
        <f>IFERROR(IF(AND(ISNUMBER(K289),O289=0),0,VLOOKUP(HLOOKUP(Stn_WL,Tools!$AD$2:$AD$27,N289+2,FALSE),Tools!$AD$3:$BC$27,O289+1,FALSE)),"")</f>
        <v>0</v>
      </c>
      <c r="M289" s="433">
        <f>IFERROR(IF(ISNUMBER(L289),IF(O289=0,IFERROR(HLOOKUP(Tools!$BD$127,Tools!$BD$127:$BD$152,N289+2,FALSE)*1,0),HLOOKUP(Tools!$BE$2,Tools!$BE$2:$BE$27,O289+1,FALSE)*WLS),""),"")</f>
        <v>0</v>
      </c>
      <c r="N289">
        <f t="shared" si="26"/>
        <v>22</v>
      </c>
      <c r="O289">
        <f t="shared" si="27"/>
        <v>1</v>
      </c>
    </row>
    <row r="290" spans="1:15" x14ac:dyDescent="0.25">
      <c r="A290" s="427">
        <f t="shared" si="28"/>
        <v>289</v>
      </c>
      <c r="B290" s="430">
        <f t="shared" si="24"/>
        <v>25</v>
      </c>
      <c r="C290" s="433">
        <f>IFERROR(-LBP/2+HLOOKUP(Stn_WL,Tools!$AD$2:$AD$27,QUOTIENT(ROW()-2,Max_WL_count)+2,FALSE)*STN_GAP,"")</f>
        <v>65.849999999999994</v>
      </c>
      <c r="D290" s="433">
        <f>IFERROR(VLOOKUP(HLOOKUP(Stn_WL,Tools!$AD$2:$AD$27,QUOTIENT(ROW()-2,Max_WL_count)+2,FALSE),Tools!$AD$3:$BC$27,MOD(ROW()-2,Max_WL_count)+2,FALSE),"")</f>
        <v>0</v>
      </c>
      <c r="E290" s="431">
        <f>IFERROR(IF(ISNUMBER(D290),HLOOKUP(Tools!$BE$2,Tools!$BE$2:$BE$27,MOD(ROW()-2,Max_WL_count)+2,FALSE)*WLS,""),"")</f>
        <v>0</v>
      </c>
      <c r="I290" s="427">
        <f t="shared" si="29"/>
        <v>289</v>
      </c>
      <c r="J290" s="430">
        <f t="shared" si="25"/>
        <v>23</v>
      </c>
      <c r="K290" s="433">
        <f>IFERROR(-LBP/2+HLOOKUP(Stn_WL,Tools!$AD$2:$AD$27,N290+2,FALSE)*STN_GAP,"")</f>
        <v>59.264999999999986</v>
      </c>
      <c r="L290" s="433">
        <f>IFERROR(IF(AND(ISNUMBER(K290),O290=0),0,VLOOKUP(HLOOKUP(Stn_WL,Tools!$AD$2:$AD$27,N290+2,FALSE),Tools!$AD$3:$BC$27,O290+1,FALSE)),"")</f>
        <v>0.64</v>
      </c>
      <c r="M290" s="433">
        <f>IFERROR(IF(ISNUMBER(L290),IF(O290=0,IFERROR(HLOOKUP(Tools!$BD$127,Tools!$BD$127:$BD$152,N290+2,FALSE)*1,0),HLOOKUP(Tools!$BE$2,Tools!$BE$2:$BE$27,O290+1,FALSE)*WLS),""),"")</f>
        <v>0.9</v>
      </c>
      <c r="N290">
        <f t="shared" si="26"/>
        <v>22</v>
      </c>
      <c r="O290">
        <f t="shared" si="27"/>
        <v>2</v>
      </c>
    </row>
    <row r="291" spans="1:15" x14ac:dyDescent="0.25">
      <c r="A291" s="427">
        <f t="shared" si="28"/>
        <v>290</v>
      </c>
      <c r="B291" s="430">
        <f t="shared" si="24"/>
        <v>25</v>
      </c>
      <c r="C291" s="433">
        <f>IFERROR(-LBP/2+HLOOKUP(Stn_WL,Tools!$AD$2:$AD$27,QUOTIENT(ROW()-2,Max_WL_count)+2,FALSE)*STN_GAP,"")</f>
        <v>65.849999999999994</v>
      </c>
      <c r="D291" s="433">
        <f>IFERROR(VLOOKUP(HLOOKUP(Stn_WL,Tools!$AD$2:$AD$27,QUOTIENT(ROW()-2,Max_WL_count)+2,FALSE),Tools!$AD$3:$BC$27,MOD(ROW()-2,Max_WL_count)+2,FALSE),"")</f>
        <v>0</v>
      </c>
      <c r="E291" s="431">
        <f>IFERROR(IF(ISNUMBER(D291),HLOOKUP(Tools!$BE$2,Tools!$BE$2:$BE$27,MOD(ROW()-2,Max_WL_count)+2,FALSE)*WLS,""),"")</f>
        <v>0.9</v>
      </c>
      <c r="I291" s="427">
        <f t="shared" si="29"/>
        <v>290</v>
      </c>
      <c r="J291" s="430">
        <f t="shared" si="25"/>
        <v>23</v>
      </c>
      <c r="K291" s="433">
        <f>IFERROR(-LBP/2+HLOOKUP(Stn_WL,Tools!$AD$2:$AD$27,N291+2,FALSE)*STN_GAP,"")</f>
        <v>59.264999999999986</v>
      </c>
      <c r="L291" s="433">
        <f>IFERROR(IF(AND(ISNUMBER(K291),O291=0),0,VLOOKUP(HLOOKUP(Stn_WL,Tools!$AD$2:$AD$27,N291+2,FALSE),Tools!$AD$3:$BC$27,O291+1,FALSE)),"")</f>
        <v>1.27</v>
      </c>
      <c r="M291" s="433">
        <f>IFERROR(IF(ISNUMBER(L291),IF(O291=0,IFERROR(HLOOKUP(Tools!$BD$127,Tools!$BD$127:$BD$152,N291+2,FALSE)*1,0),HLOOKUP(Tools!$BE$2,Tools!$BE$2:$BE$27,O291+1,FALSE)*WLS),""),"")</f>
        <v>1.8</v>
      </c>
      <c r="N291">
        <f t="shared" si="26"/>
        <v>22</v>
      </c>
      <c r="O291">
        <f t="shared" si="27"/>
        <v>3</v>
      </c>
    </row>
    <row r="292" spans="1:15" x14ac:dyDescent="0.25">
      <c r="A292" s="427">
        <f t="shared" si="28"/>
        <v>291</v>
      </c>
      <c r="B292" s="430">
        <f t="shared" si="24"/>
        <v>25</v>
      </c>
      <c r="C292" s="433">
        <f>IFERROR(-LBP/2+HLOOKUP(Stn_WL,Tools!$AD$2:$AD$27,QUOTIENT(ROW()-2,Max_WL_count)+2,FALSE)*STN_GAP,"")</f>
        <v>65.849999999999994</v>
      </c>
      <c r="D292" s="433">
        <f>IFERROR(VLOOKUP(HLOOKUP(Stn_WL,Tools!$AD$2:$AD$27,QUOTIENT(ROW()-2,Max_WL_count)+2,FALSE),Tools!$AD$3:$BC$27,MOD(ROW()-2,Max_WL_count)+2,FALSE),"")</f>
        <v>0</v>
      </c>
      <c r="E292" s="431">
        <f>IFERROR(IF(ISNUMBER(D292),HLOOKUP(Tools!$BE$2,Tools!$BE$2:$BE$27,MOD(ROW()-2,Max_WL_count)+2,FALSE)*WLS,""),"")</f>
        <v>1.8</v>
      </c>
      <c r="I292" s="427">
        <f t="shared" si="29"/>
        <v>291</v>
      </c>
      <c r="J292" s="430">
        <f t="shared" si="25"/>
        <v>23</v>
      </c>
      <c r="K292" s="433">
        <f>IFERROR(-LBP/2+HLOOKUP(Stn_WL,Tools!$AD$2:$AD$27,N292+2,FALSE)*STN_GAP,"")</f>
        <v>59.264999999999986</v>
      </c>
      <c r="L292" s="433">
        <f>IFERROR(IF(AND(ISNUMBER(K292),O292=0),0,VLOOKUP(HLOOKUP(Stn_WL,Tools!$AD$2:$AD$27,N292+2,FALSE),Tools!$AD$3:$BC$27,O292+1,FALSE)),"")</f>
        <v>1.68</v>
      </c>
      <c r="M292" s="433">
        <f>IFERROR(IF(ISNUMBER(L292),IF(O292=0,IFERROR(HLOOKUP(Tools!$BD$127,Tools!$BD$127:$BD$152,N292+2,FALSE)*1,0),HLOOKUP(Tools!$BE$2,Tools!$BE$2:$BE$27,O292+1,FALSE)*WLS),""),"")</f>
        <v>2.7</v>
      </c>
      <c r="N292">
        <f t="shared" si="26"/>
        <v>22</v>
      </c>
      <c r="O292">
        <f t="shared" si="27"/>
        <v>4</v>
      </c>
    </row>
    <row r="293" spans="1:15" x14ac:dyDescent="0.25">
      <c r="A293" s="427">
        <f t="shared" si="28"/>
        <v>292</v>
      </c>
      <c r="B293" s="430">
        <f t="shared" si="24"/>
        <v>25</v>
      </c>
      <c r="C293" s="433">
        <f>IFERROR(-LBP/2+HLOOKUP(Stn_WL,Tools!$AD$2:$AD$27,QUOTIENT(ROW()-2,Max_WL_count)+2,FALSE)*STN_GAP,"")</f>
        <v>65.849999999999994</v>
      </c>
      <c r="D293" s="433">
        <f>IFERROR(VLOOKUP(HLOOKUP(Stn_WL,Tools!$AD$2:$AD$27,QUOTIENT(ROW()-2,Max_WL_count)+2,FALSE),Tools!$AD$3:$BC$27,MOD(ROW()-2,Max_WL_count)+2,FALSE),"")</f>
        <v>0.76</v>
      </c>
      <c r="E293" s="431">
        <f>IFERROR(IF(ISNUMBER(D293),HLOOKUP(Tools!$BE$2,Tools!$BE$2:$BE$27,MOD(ROW()-2,Max_WL_count)+2,FALSE)*WLS,""),"")</f>
        <v>2.7</v>
      </c>
      <c r="I293" s="427">
        <f t="shared" si="29"/>
        <v>292</v>
      </c>
      <c r="J293" s="430">
        <f t="shared" si="25"/>
        <v>23</v>
      </c>
      <c r="K293" s="433">
        <f>IFERROR(-LBP/2+HLOOKUP(Stn_WL,Tools!$AD$2:$AD$27,N293+2,FALSE)*STN_GAP,"")</f>
        <v>59.264999999999986</v>
      </c>
      <c r="L293" s="433">
        <f>IFERROR(IF(AND(ISNUMBER(K293),O293=0),0,VLOOKUP(HLOOKUP(Stn_WL,Tools!$AD$2:$AD$27,N293+2,FALSE),Tools!$AD$3:$BC$27,O293+1,FALSE)),"")</f>
        <v>1.96</v>
      </c>
      <c r="M293" s="433">
        <f>IFERROR(IF(ISNUMBER(L293),IF(O293=0,IFERROR(HLOOKUP(Tools!$BD$127,Tools!$BD$127:$BD$152,N293+2,FALSE)*1,0),HLOOKUP(Tools!$BE$2,Tools!$BE$2:$BE$27,O293+1,FALSE)*WLS),""),"")</f>
        <v>3.6</v>
      </c>
      <c r="N293">
        <f t="shared" si="26"/>
        <v>22</v>
      </c>
      <c r="O293">
        <f t="shared" si="27"/>
        <v>5</v>
      </c>
    </row>
    <row r="294" spans="1:15" x14ac:dyDescent="0.25">
      <c r="A294" s="427">
        <f t="shared" si="28"/>
        <v>293</v>
      </c>
      <c r="B294" s="430">
        <f t="shared" si="24"/>
        <v>25</v>
      </c>
      <c r="C294" s="433">
        <f>IFERROR(-LBP/2+HLOOKUP(Stn_WL,Tools!$AD$2:$AD$27,QUOTIENT(ROW()-2,Max_WL_count)+2,FALSE)*STN_GAP,"")</f>
        <v>65.849999999999994</v>
      </c>
      <c r="D294" s="433">
        <f>IFERROR(VLOOKUP(HLOOKUP(Stn_WL,Tools!$AD$2:$AD$27,QUOTIENT(ROW()-2,Max_WL_count)+2,FALSE),Tools!$AD$3:$BC$27,MOD(ROW()-2,Max_WL_count)+2,FALSE),"")</f>
        <v>1.1499999999999999</v>
      </c>
      <c r="E294" s="431">
        <f>IFERROR(IF(ISNUMBER(D294),HLOOKUP(Tools!$BE$2,Tools!$BE$2:$BE$27,MOD(ROW()-2,Max_WL_count)+2,FALSE)*WLS,""),"")</f>
        <v>3.6</v>
      </c>
      <c r="I294" s="427">
        <f t="shared" si="29"/>
        <v>293</v>
      </c>
      <c r="J294" s="430">
        <f t="shared" si="25"/>
        <v>23</v>
      </c>
      <c r="K294" s="433">
        <f>IFERROR(-LBP/2+HLOOKUP(Stn_WL,Tools!$AD$2:$AD$27,N294+2,FALSE)*STN_GAP,"")</f>
        <v>59.264999999999986</v>
      </c>
      <c r="L294" s="433">
        <f>IFERROR(IF(AND(ISNUMBER(K294),O294=0),0,VLOOKUP(HLOOKUP(Stn_WL,Tools!$AD$2:$AD$27,N294+2,FALSE),Tools!$AD$3:$BC$27,O294+1,FALSE)),"")</f>
        <v>2.1</v>
      </c>
      <c r="M294" s="433">
        <f>IFERROR(IF(ISNUMBER(L294),IF(O294=0,IFERROR(HLOOKUP(Tools!$BD$127,Tools!$BD$127:$BD$152,N294+2,FALSE)*1,0),HLOOKUP(Tools!$BE$2,Tools!$BE$2:$BE$27,O294+1,FALSE)*WLS),""),"")</f>
        <v>5.4</v>
      </c>
      <c r="N294">
        <f t="shared" si="26"/>
        <v>22</v>
      </c>
      <c r="O294">
        <f t="shared" si="27"/>
        <v>6</v>
      </c>
    </row>
    <row r="295" spans="1:15" x14ac:dyDescent="0.25">
      <c r="A295" s="427">
        <f t="shared" si="28"/>
        <v>294</v>
      </c>
      <c r="B295" s="430">
        <f t="shared" si="24"/>
        <v>25</v>
      </c>
      <c r="C295" s="433">
        <f>IFERROR(-LBP/2+HLOOKUP(Stn_WL,Tools!$AD$2:$AD$27,QUOTIENT(ROW()-2,Max_WL_count)+2,FALSE)*STN_GAP,"")</f>
        <v>65.849999999999994</v>
      </c>
      <c r="D295" s="433">
        <f>IFERROR(VLOOKUP(HLOOKUP(Stn_WL,Tools!$AD$2:$AD$27,QUOTIENT(ROW()-2,Max_WL_count)+2,FALSE),Tools!$AD$3:$BC$27,MOD(ROW()-2,Max_WL_count)+2,FALSE),"")</f>
        <v>1.45</v>
      </c>
      <c r="E295" s="431">
        <f>IFERROR(IF(ISNUMBER(D295),HLOOKUP(Tools!$BE$2,Tools!$BE$2:$BE$27,MOD(ROW()-2,Max_WL_count)+2,FALSE)*WLS,""),"")</f>
        <v>5.4</v>
      </c>
      <c r="I295" s="427">
        <f t="shared" si="29"/>
        <v>294</v>
      </c>
      <c r="J295" s="430">
        <f t="shared" si="25"/>
        <v>23</v>
      </c>
      <c r="K295" s="433">
        <f>IFERROR(-LBP/2+HLOOKUP(Stn_WL,Tools!$AD$2:$AD$27,N295+2,FALSE)*STN_GAP,"")</f>
        <v>59.264999999999986</v>
      </c>
      <c r="L295" s="433">
        <f>IFERROR(IF(AND(ISNUMBER(K295),O295=0),0,VLOOKUP(HLOOKUP(Stn_WL,Tools!$AD$2:$AD$27,N295+2,FALSE),Tools!$AD$3:$BC$27,O295+1,FALSE)),"")</f>
        <v>1.8</v>
      </c>
      <c r="M295" s="433">
        <f>IFERROR(IF(ISNUMBER(L295),IF(O295=0,IFERROR(HLOOKUP(Tools!$BD$127,Tools!$BD$127:$BD$152,N295+2,FALSE)*1,0),HLOOKUP(Tools!$BE$2,Tools!$BE$2:$BE$27,O295+1,FALSE)*WLS),""),"")</f>
        <v>7.2</v>
      </c>
      <c r="N295">
        <f t="shared" si="26"/>
        <v>22</v>
      </c>
      <c r="O295">
        <f t="shared" si="27"/>
        <v>7</v>
      </c>
    </row>
    <row r="296" spans="1:15" x14ac:dyDescent="0.25">
      <c r="A296" s="427">
        <f t="shared" si="28"/>
        <v>295</v>
      </c>
      <c r="B296" s="430">
        <f t="shared" si="24"/>
        <v>25</v>
      </c>
      <c r="C296" s="433">
        <f>IFERROR(-LBP/2+HLOOKUP(Stn_WL,Tools!$AD$2:$AD$27,QUOTIENT(ROW()-2,Max_WL_count)+2,FALSE)*STN_GAP,"")</f>
        <v>65.849999999999994</v>
      </c>
      <c r="D296" s="433">
        <f>IFERROR(VLOOKUP(HLOOKUP(Stn_WL,Tools!$AD$2:$AD$27,QUOTIENT(ROW()-2,Max_WL_count)+2,FALSE),Tools!$AD$3:$BC$27,MOD(ROW()-2,Max_WL_count)+2,FALSE),"")</f>
        <v>1.04</v>
      </c>
      <c r="E296" s="431">
        <f>IFERROR(IF(ISNUMBER(D296),HLOOKUP(Tools!$BE$2,Tools!$BE$2:$BE$27,MOD(ROW()-2,Max_WL_count)+2,FALSE)*WLS,""),"")</f>
        <v>7.2</v>
      </c>
      <c r="I296" s="427">
        <f t="shared" si="29"/>
        <v>295</v>
      </c>
      <c r="J296" s="430">
        <f t="shared" si="25"/>
        <v>23</v>
      </c>
      <c r="K296" s="433">
        <f>IFERROR(-LBP/2+HLOOKUP(Stn_WL,Tools!$AD$2:$AD$27,N296+2,FALSE)*STN_GAP,"")</f>
        <v>59.264999999999986</v>
      </c>
      <c r="L296" s="433">
        <f>IFERROR(IF(AND(ISNUMBER(K296),O296=0),0,VLOOKUP(HLOOKUP(Stn_WL,Tools!$AD$2:$AD$27,N296+2,FALSE),Tools!$AD$3:$BC$27,O296+1,FALSE)),"")</f>
        <v>2</v>
      </c>
      <c r="M296" s="433">
        <f>IFERROR(IF(ISNUMBER(L296),IF(O296=0,IFERROR(HLOOKUP(Tools!$BD$127,Tools!$BD$127:$BD$152,N296+2,FALSE)*1,0),HLOOKUP(Tools!$BE$2,Tools!$BE$2:$BE$27,O296+1,FALSE)*WLS),""),"")</f>
        <v>9</v>
      </c>
      <c r="N296">
        <f t="shared" si="26"/>
        <v>22</v>
      </c>
      <c r="O296">
        <f t="shared" si="27"/>
        <v>8</v>
      </c>
    </row>
    <row r="297" spans="1:15" x14ac:dyDescent="0.25">
      <c r="A297" s="427">
        <f t="shared" si="28"/>
        <v>296</v>
      </c>
      <c r="B297" s="430">
        <f t="shared" si="24"/>
        <v>25</v>
      </c>
      <c r="C297" s="433">
        <f>IFERROR(-LBP/2+HLOOKUP(Stn_WL,Tools!$AD$2:$AD$27,QUOTIENT(ROW()-2,Max_WL_count)+2,FALSE)*STN_GAP,"")</f>
        <v>65.849999999999994</v>
      </c>
      <c r="D297" s="433">
        <f>IFERROR(VLOOKUP(HLOOKUP(Stn_WL,Tools!$AD$2:$AD$27,QUOTIENT(ROW()-2,Max_WL_count)+2,FALSE),Tools!$AD$3:$BC$27,MOD(ROW()-2,Max_WL_count)+2,FALSE),"")</f>
        <v>0</v>
      </c>
      <c r="E297" s="431">
        <f>IFERROR(IF(ISNUMBER(D297),HLOOKUP(Tools!$BE$2,Tools!$BE$2:$BE$27,MOD(ROW()-2,Max_WL_count)+2,FALSE)*WLS,""),"")</f>
        <v>9</v>
      </c>
      <c r="I297" s="427">
        <f t="shared" si="29"/>
        <v>296</v>
      </c>
      <c r="J297" s="430">
        <f t="shared" si="25"/>
        <v>23</v>
      </c>
      <c r="K297" s="433">
        <f>IFERROR(-LBP/2+HLOOKUP(Stn_WL,Tools!$AD$2:$AD$27,N297+2,FALSE)*STN_GAP,"")</f>
        <v>59.264999999999986</v>
      </c>
      <c r="L297" s="433">
        <f>IFERROR(IF(AND(ISNUMBER(K297),O297=0),0,VLOOKUP(HLOOKUP(Stn_WL,Tools!$AD$2:$AD$27,N297+2,FALSE),Tools!$AD$3:$BC$27,O297+1,FALSE)),"")</f>
        <v>2.61</v>
      </c>
      <c r="M297" s="433">
        <f>IFERROR(IF(ISNUMBER(L297),IF(O297=0,IFERROR(HLOOKUP(Tools!$BD$127,Tools!$BD$127:$BD$152,N297+2,FALSE)*1,0),HLOOKUP(Tools!$BE$2,Tools!$BE$2:$BE$27,O297+1,FALSE)*WLS),""),"")</f>
        <v>10.1</v>
      </c>
      <c r="N297">
        <f t="shared" si="26"/>
        <v>22</v>
      </c>
      <c r="O297">
        <f t="shared" si="27"/>
        <v>9</v>
      </c>
    </row>
    <row r="298" spans="1:15" x14ac:dyDescent="0.25">
      <c r="A298" s="427">
        <f t="shared" si="28"/>
        <v>297</v>
      </c>
      <c r="B298" s="430">
        <f t="shared" si="24"/>
        <v>25</v>
      </c>
      <c r="C298" s="433">
        <f>IFERROR(-LBP/2+HLOOKUP(Stn_WL,Tools!$AD$2:$AD$27,QUOTIENT(ROW()-2,Max_WL_count)+2,FALSE)*STN_GAP,"")</f>
        <v>65.849999999999994</v>
      </c>
      <c r="D298" s="433">
        <f>IFERROR(VLOOKUP(HLOOKUP(Stn_WL,Tools!$AD$2:$AD$27,QUOTIENT(ROW()-2,Max_WL_count)+2,FALSE),Tools!$AD$3:$BC$27,MOD(ROW()-2,Max_WL_count)+2,FALSE),"")</f>
        <v>0</v>
      </c>
      <c r="E298" s="431">
        <f>IFERROR(IF(ISNUMBER(D298),HLOOKUP(Tools!$BE$2,Tools!$BE$2:$BE$27,MOD(ROW()-2,Max_WL_count)+2,FALSE)*WLS,""),"")</f>
        <v>10.1</v>
      </c>
      <c r="I298" s="427">
        <f t="shared" si="29"/>
        <v>297</v>
      </c>
      <c r="J298" s="430">
        <f t="shared" si="25"/>
        <v>23</v>
      </c>
      <c r="K298" s="433">
        <f>IFERROR(-LBP/2+HLOOKUP(Stn_WL,Tools!$AD$2:$AD$27,N298+2,FALSE)*STN_GAP,"")</f>
        <v>59.264999999999986</v>
      </c>
      <c r="L298" s="433">
        <f>IFERROR(IF(AND(ISNUMBER(K298),O298=0),0,VLOOKUP(HLOOKUP(Stn_WL,Tools!$AD$2:$AD$27,N298+2,FALSE),Tools!$AD$3:$BC$27,O298+1,FALSE)),"")</f>
        <v>3.1</v>
      </c>
      <c r="M298" s="433">
        <f>IFERROR(IF(ISNUMBER(L298),IF(O298=0,IFERROR(HLOOKUP(Tools!$BD$127,Tools!$BD$127:$BD$152,N298+2,FALSE)*1,0),HLOOKUP(Tools!$BE$2,Tools!$BE$2:$BE$27,O298+1,FALSE)*WLS),""),"")</f>
        <v>10.8</v>
      </c>
      <c r="N298">
        <f t="shared" si="26"/>
        <v>22</v>
      </c>
      <c r="O298">
        <f t="shared" si="27"/>
        <v>10</v>
      </c>
    </row>
    <row r="299" spans="1:15" x14ac:dyDescent="0.25">
      <c r="A299" s="427">
        <f t="shared" si="28"/>
        <v>298</v>
      </c>
      <c r="B299" s="430">
        <f t="shared" si="24"/>
        <v>25</v>
      </c>
      <c r="C299" s="433">
        <f>IFERROR(-LBP/2+HLOOKUP(Stn_WL,Tools!$AD$2:$AD$27,QUOTIENT(ROW()-2,Max_WL_count)+2,FALSE)*STN_GAP,"")</f>
        <v>65.849999999999994</v>
      </c>
      <c r="D299" s="433">
        <f>IFERROR(VLOOKUP(HLOOKUP(Stn_WL,Tools!$AD$2:$AD$27,QUOTIENT(ROW()-2,Max_WL_count)+2,FALSE),Tools!$AD$3:$BC$27,MOD(ROW()-2,Max_WL_count)+2,FALSE),"")</f>
        <v>0.25</v>
      </c>
      <c r="E299" s="431">
        <f>IFERROR(IF(ISNUMBER(D299),HLOOKUP(Tools!$BE$2,Tools!$BE$2:$BE$27,MOD(ROW()-2,Max_WL_count)+2,FALSE)*WLS,""),"")</f>
        <v>10.8</v>
      </c>
      <c r="I299" s="427">
        <f t="shared" si="29"/>
        <v>298</v>
      </c>
      <c r="J299" s="430">
        <f t="shared" si="25"/>
        <v>23</v>
      </c>
      <c r="K299" s="433">
        <f>IFERROR(-LBP/2+HLOOKUP(Stn_WL,Tools!$AD$2:$AD$27,N299+2,FALSE)*STN_GAP,"")</f>
        <v>59.264999999999986</v>
      </c>
      <c r="L299" s="433">
        <f>IFERROR(IF(AND(ISNUMBER(K299),O299=0),0,VLOOKUP(HLOOKUP(Stn_WL,Tools!$AD$2:$AD$27,N299+2,FALSE),Tools!$AD$3:$BC$27,O299+1,FALSE)),"")</f>
        <v>4.42</v>
      </c>
      <c r="M299" s="433">
        <f>IFERROR(IF(ISNUMBER(L299),IF(O299=0,IFERROR(HLOOKUP(Tools!$BD$127,Tools!$BD$127:$BD$152,N299+2,FALSE)*1,0),HLOOKUP(Tools!$BE$2,Tools!$BE$2:$BE$27,O299+1,FALSE)*WLS),""),"")</f>
        <v>12.6</v>
      </c>
      <c r="N299">
        <f t="shared" si="26"/>
        <v>22</v>
      </c>
      <c r="O299">
        <f t="shared" si="27"/>
        <v>11</v>
      </c>
    </row>
    <row r="300" spans="1:15" x14ac:dyDescent="0.25">
      <c r="A300" s="427">
        <f t="shared" si="28"/>
        <v>299</v>
      </c>
      <c r="B300" s="430">
        <f t="shared" si="24"/>
        <v>25</v>
      </c>
      <c r="C300" s="433">
        <f>IFERROR(-LBP/2+HLOOKUP(Stn_WL,Tools!$AD$2:$AD$27,QUOTIENT(ROW()-2,Max_WL_count)+2,FALSE)*STN_GAP,"")</f>
        <v>65.849999999999994</v>
      </c>
      <c r="D300" s="433">
        <f>IFERROR(VLOOKUP(HLOOKUP(Stn_WL,Tools!$AD$2:$AD$27,QUOTIENT(ROW()-2,Max_WL_count)+2,FALSE),Tools!$AD$3:$BC$27,MOD(ROW()-2,Max_WL_count)+2,FALSE),"")</f>
        <v>0.85</v>
      </c>
      <c r="E300" s="431">
        <f>IFERROR(IF(ISNUMBER(D300),HLOOKUP(Tools!$BE$2,Tools!$BE$2:$BE$27,MOD(ROW()-2,Max_WL_count)+2,FALSE)*WLS,""),"")</f>
        <v>12.6</v>
      </c>
      <c r="I300" s="427">
        <f t="shared" si="29"/>
        <v>299</v>
      </c>
      <c r="J300" s="430">
        <f t="shared" si="25"/>
        <v>23</v>
      </c>
      <c r="K300" s="433">
        <f>IFERROR(-LBP/2+HLOOKUP(Stn_WL,Tools!$AD$2:$AD$27,N300+2,FALSE)*STN_GAP,"")</f>
        <v>59.264999999999986</v>
      </c>
      <c r="L300" s="433">
        <f>IFERROR(IF(AND(ISNUMBER(K300),O300=0),0,VLOOKUP(HLOOKUP(Stn_WL,Tools!$AD$2:$AD$27,N300+2,FALSE),Tools!$AD$3:$BC$27,O300+1,FALSE)),"")</f>
        <v>5.76</v>
      </c>
      <c r="M300" s="433">
        <f>IFERROR(IF(ISNUMBER(L300),IF(O300=0,IFERROR(HLOOKUP(Tools!$BD$127,Tools!$BD$127:$BD$152,N300+2,FALSE)*1,0),HLOOKUP(Tools!$BE$2,Tools!$BE$2:$BE$27,O300+1,FALSE)*WLS),""),"")</f>
        <v>14.19</v>
      </c>
      <c r="N300">
        <f t="shared" si="26"/>
        <v>22</v>
      </c>
      <c r="O300">
        <f t="shared" si="27"/>
        <v>12</v>
      </c>
    </row>
    <row r="301" spans="1:15" x14ac:dyDescent="0.25">
      <c r="A301" s="427">
        <f t="shared" si="28"/>
        <v>300</v>
      </c>
      <c r="B301" s="430">
        <f t="shared" si="24"/>
        <v>25</v>
      </c>
      <c r="C301" s="433">
        <f>IFERROR(-LBP/2+HLOOKUP(Stn_WL,Tools!$AD$2:$AD$27,QUOTIENT(ROW()-2,Max_WL_count)+2,FALSE)*STN_GAP,"")</f>
        <v>65.849999999999994</v>
      </c>
      <c r="D301" s="433">
        <f>IFERROR(VLOOKUP(HLOOKUP(Stn_WL,Tools!$AD$2:$AD$27,QUOTIENT(ROW()-2,Max_WL_count)+2,FALSE),Tools!$AD$3:$BC$27,MOD(ROW()-2,Max_WL_count)+2,FALSE),"")</f>
        <v>1.78</v>
      </c>
      <c r="E301" s="431">
        <f>IFERROR(IF(ISNUMBER(D301),HLOOKUP(Tools!$BE$2,Tools!$BE$2:$BE$27,MOD(ROW()-2,Max_WL_count)+2,FALSE)*WLS,""),"")</f>
        <v>14.19</v>
      </c>
      <c r="I301" s="427">
        <f t="shared" si="29"/>
        <v>300</v>
      </c>
      <c r="J301" s="430">
        <f t="shared" si="25"/>
        <v>24</v>
      </c>
      <c r="K301" s="433">
        <f>IFERROR(-LBP/2+HLOOKUP(Stn_WL,Tools!$AD$2:$AD$27,N301+2,FALSE)*STN_GAP,"")</f>
        <v>62.557499999999976</v>
      </c>
      <c r="L301" s="433">
        <f>IFERROR(IF(AND(ISNUMBER(K301),O301=0),0,VLOOKUP(HLOOKUP(Stn_WL,Tools!$AD$2:$AD$27,N301+2,FALSE),Tools!$AD$3:$BC$27,O301+1,FALSE)),"")</f>
        <v>0</v>
      </c>
      <c r="M301" s="433">
        <f>IFERROR(IF(ISNUMBER(L301),IF(O301=0,IFERROR(HLOOKUP(Tools!$BD$127,Tools!$BD$127:$BD$152,N301+2,FALSE)*1,0),HLOOKUP(Tools!$BE$2,Tools!$BE$2:$BE$27,O301+1,FALSE)*WLS),""),"")</f>
        <v>1</v>
      </c>
      <c r="N301">
        <f t="shared" si="26"/>
        <v>23</v>
      </c>
      <c r="O301">
        <f t="shared" si="27"/>
        <v>0</v>
      </c>
    </row>
    <row r="302" spans="1:15" x14ac:dyDescent="0.25">
      <c r="A302" s="427" t="str">
        <f t="shared" si="28"/>
        <v/>
      </c>
      <c r="B302" s="430" t="str">
        <f t="shared" si="24"/>
        <v/>
      </c>
      <c r="C302" s="433" t="str">
        <f>IFERROR(-LBP/2+HLOOKUP(Stn_WL,Tools!$AD$2:$AD$27,QUOTIENT(ROW()-2,Max_WL_count)+2,FALSE)*STN_GAP,"")</f>
        <v/>
      </c>
      <c r="D302" s="433" t="str">
        <f>IFERROR(VLOOKUP(HLOOKUP(Stn_WL,Tools!$AD$2:$AD$27,QUOTIENT(ROW()-2,Max_WL_count)+2,FALSE),Tools!$AD$3:$BC$27,MOD(ROW()-2,Max_WL_count)+2,FALSE),"")</f>
        <v/>
      </c>
      <c r="E302" s="431" t="str">
        <f>IFERROR(IF(ISNUMBER(D302),HLOOKUP(Tools!$BE$2,Tools!$BE$2:$BE$27,MOD(ROW()-2,Max_WL_count)+2,FALSE)*WLS,""),"")</f>
        <v/>
      </c>
      <c r="I302" s="427">
        <f t="shared" si="29"/>
        <v>301</v>
      </c>
      <c r="J302" s="430">
        <f t="shared" si="25"/>
        <v>24</v>
      </c>
      <c r="K302" s="433">
        <f>IFERROR(-LBP/2+HLOOKUP(Stn_WL,Tools!$AD$2:$AD$27,N302+2,FALSE)*STN_GAP,"")</f>
        <v>62.557499999999976</v>
      </c>
      <c r="L302" s="433">
        <f>IFERROR(IF(AND(ISNUMBER(K302),O302=0),0,VLOOKUP(HLOOKUP(Stn_WL,Tools!$AD$2:$AD$27,N302+2,FALSE),Tools!$AD$3:$BC$27,O302+1,FALSE)),"")</f>
        <v>0</v>
      </c>
      <c r="M302" s="433">
        <f>IFERROR(IF(ISNUMBER(L302),IF(O302=0,IFERROR(HLOOKUP(Tools!$BD$127,Tools!$BD$127:$BD$152,N302+2,FALSE)*1,0),HLOOKUP(Tools!$BE$2,Tools!$BE$2:$BE$27,O302+1,FALSE)*WLS),""),"")</f>
        <v>0</v>
      </c>
      <c r="N302">
        <f t="shared" si="26"/>
        <v>23</v>
      </c>
      <c r="O302">
        <f t="shared" si="27"/>
        <v>1</v>
      </c>
    </row>
    <row r="303" spans="1:15" x14ac:dyDescent="0.25">
      <c r="A303" s="427" t="str">
        <f t="shared" si="28"/>
        <v/>
      </c>
      <c r="B303" s="430" t="str">
        <f t="shared" si="24"/>
        <v/>
      </c>
      <c r="C303" s="433" t="str">
        <f>IFERROR(-LBP/2+HLOOKUP(Stn_WL,Tools!$AD$2:$AD$27,QUOTIENT(ROW()-2,Max_WL_count)+2,FALSE)*STN_GAP,"")</f>
        <v/>
      </c>
      <c r="D303" s="433" t="str">
        <f>IFERROR(VLOOKUP(HLOOKUP(Stn_WL,Tools!$AD$2:$AD$27,QUOTIENT(ROW()-2,Max_WL_count)+2,FALSE),Tools!$AD$3:$BC$27,MOD(ROW()-2,Max_WL_count)+2,FALSE),"")</f>
        <v/>
      </c>
      <c r="E303" s="431" t="str">
        <f>IFERROR(IF(ISNUMBER(D303),HLOOKUP(Tools!$BE$2,Tools!$BE$2:$BE$27,MOD(ROW()-2,Max_WL_count)+2,FALSE)*WLS,""),"")</f>
        <v/>
      </c>
      <c r="I303" s="427">
        <f t="shared" si="29"/>
        <v>302</v>
      </c>
      <c r="J303" s="430">
        <f t="shared" si="25"/>
        <v>24</v>
      </c>
      <c r="K303" s="433">
        <f>IFERROR(-LBP/2+HLOOKUP(Stn_WL,Tools!$AD$2:$AD$27,N303+2,FALSE)*STN_GAP,"")</f>
        <v>62.557499999999976</v>
      </c>
      <c r="L303" s="433">
        <f>IFERROR(IF(AND(ISNUMBER(K303),O303=0),0,VLOOKUP(HLOOKUP(Stn_WL,Tools!$AD$2:$AD$27,N303+2,FALSE),Tools!$AD$3:$BC$27,O303+1,FALSE)),"")</f>
        <v>0</v>
      </c>
      <c r="M303" s="433">
        <f>IFERROR(IF(ISNUMBER(L303),IF(O303=0,IFERROR(HLOOKUP(Tools!$BD$127,Tools!$BD$127:$BD$152,N303+2,FALSE)*1,0),HLOOKUP(Tools!$BE$2,Tools!$BE$2:$BE$27,O303+1,FALSE)*WLS),""),"")</f>
        <v>0.9</v>
      </c>
      <c r="N303">
        <f t="shared" si="26"/>
        <v>23</v>
      </c>
      <c r="O303">
        <f t="shared" si="27"/>
        <v>2</v>
      </c>
    </row>
    <row r="304" spans="1:15" x14ac:dyDescent="0.25">
      <c r="A304" s="427" t="str">
        <f t="shared" si="28"/>
        <v/>
      </c>
      <c r="B304" s="430" t="str">
        <f t="shared" si="24"/>
        <v/>
      </c>
      <c r="C304" s="433" t="str">
        <f>IFERROR(-LBP/2+HLOOKUP(Stn_WL,Tools!$AD$2:$AD$27,QUOTIENT(ROW()-2,Max_WL_count)+2,FALSE)*STN_GAP,"")</f>
        <v/>
      </c>
      <c r="D304" s="433" t="str">
        <f>IFERROR(VLOOKUP(HLOOKUP(Stn_WL,Tools!$AD$2:$AD$27,QUOTIENT(ROW()-2,Max_WL_count)+2,FALSE),Tools!$AD$3:$BC$27,MOD(ROW()-2,Max_WL_count)+2,FALSE),"")</f>
        <v/>
      </c>
      <c r="E304" s="431" t="str">
        <f>IFERROR(IF(ISNUMBER(D304),HLOOKUP(Tools!$BE$2,Tools!$BE$2:$BE$27,MOD(ROW()-2,Max_WL_count)+2,FALSE)*WLS,""),"")</f>
        <v/>
      </c>
      <c r="I304" s="427">
        <f t="shared" si="29"/>
        <v>303</v>
      </c>
      <c r="J304" s="430">
        <f t="shared" si="25"/>
        <v>24</v>
      </c>
      <c r="K304" s="433">
        <f>IFERROR(-LBP/2+HLOOKUP(Stn_WL,Tools!$AD$2:$AD$27,N304+2,FALSE)*STN_GAP,"")</f>
        <v>62.557499999999976</v>
      </c>
      <c r="L304" s="433">
        <f>IFERROR(IF(AND(ISNUMBER(K304),O304=0),0,VLOOKUP(HLOOKUP(Stn_WL,Tools!$AD$2:$AD$27,N304+2,FALSE),Tools!$AD$3:$BC$27,O304+1,FALSE)),"")</f>
        <v>0.86</v>
      </c>
      <c r="M304" s="433">
        <f>IFERROR(IF(ISNUMBER(L304),IF(O304=0,IFERROR(HLOOKUP(Tools!$BD$127,Tools!$BD$127:$BD$152,N304+2,FALSE)*1,0),HLOOKUP(Tools!$BE$2,Tools!$BE$2:$BE$27,O304+1,FALSE)*WLS),""),"")</f>
        <v>1.8</v>
      </c>
      <c r="N304">
        <f t="shared" si="26"/>
        <v>23</v>
      </c>
      <c r="O304">
        <f t="shared" si="27"/>
        <v>3</v>
      </c>
    </row>
    <row r="305" spans="1:15" x14ac:dyDescent="0.25">
      <c r="A305" s="427" t="str">
        <f t="shared" si="28"/>
        <v/>
      </c>
      <c r="B305" s="430" t="str">
        <f t="shared" si="24"/>
        <v/>
      </c>
      <c r="C305" s="433" t="str">
        <f>IFERROR(-LBP/2+HLOOKUP(Stn_WL,Tools!$AD$2:$AD$27,QUOTIENT(ROW()-2,Max_WL_count)+2,FALSE)*STN_GAP,"")</f>
        <v/>
      </c>
      <c r="D305" s="433" t="str">
        <f>IFERROR(VLOOKUP(HLOOKUP(Stn_WL,Tools!$AD$2:$AD$27,QUOTIENT(ROW()-2,Max_WL_count)+2,FALSE),Tools!$AD$3:$BC$27,MOD(ROW()-2,Max_WL_count)+2,FALSE),"")</f>
        <v/>
      </c>
      <c r="E305" s="431" t="str">
        <f>IFERROR(IF(ISNUMBER(D305),HLOOKUP(Tools!$BE$2,Tools!$BE$2:$BE$27,MOD(ROW()-2,Max_WL_count)+2,FALSE)*WLS,""),"")</f>
        <v/>
      </c>
      <c r="I305" s="427">
        <f t="shared" si="29"/>
        <v>304</v>
      </c>
      <c r="J305" s="430">
        <f t="shared" si="25"/>
        <v>24</v>
      </c>
      <c r="K305" s="433">
        <f>IFERROR(-LBP/2+HLOOKUP(Stn_WL,Tools!$AD$2:$AD$27,N305+2,FALSE)*STN_GAP,"")</f>
        <v>62.557499999999976</v>
      </c>
      <c r="L305" s="433">
        <f>IFERROR(IF(AND(ISNUMBER(K305),O305=0),0,VLOOKUP(HLOOKUP(Stn_WL,Tools!$AD$2:$AD$27,N305+2,FALSE),Tools!$AD$3:$BC$27,O305+1,FALSE)),"")</f>
        <v>1.29</v>
      </c>
      <c r="M305" s="433">
        <f>IFERROR(IF(ISNUMBER(L305),IF(O305=0,IFERROR(HLOOKUP(Tools!$BD$127,Tools!$BD$127:$BD$152,N305+2,FALSE)*1,0),HLOOKUP(Tools!$BE$2,Tools!$BE$2:$BE$27,O305+1,FALSE)*WLS),""),"")</f>
        <v>2.7</v>
      </c>
      <c r="N305">
        <f t="shared" si="26"/>
        <v>23</v>
      </c>
      <c r="O305">
        <f t="shared" si="27"/>
        <v>4</v>
      </c>
    </row>
    <row r="306" spans="1:15" x14ac:dyDescent="0.25">
      <c r="A306" s="427" t="str">
        <f t="shared" si="28"/>
        <v/>
      </c>
      <c r="B306" s="430" t="str">
        <f t="shared" si="24"/>
        <v/>
      </c>
      <c r="C306" s="433" t="str">
        <f>IFERROR(-LBP/2+HLOOKUP(Stn_WL,Tools!$AD$2:$AD$27,QUOTIENT(ROW()-2,Max_WL_count)+2,FALSE)*STN_GAP,"")</f>
        <v/>
      </c>
      <c r="D306" s="433" t="str">
        <f>IFERROR(VLOOKUP(HLOOKUP(Stn_WL,Tools!$AD$2:$AD$27,QUOTIENT(ROW()-2,Max_WL_count)+2,FALSE),Tools!$AD$3:$BC$27,MOD(ROW()-2,Max_WL_count)+2,FALSE),"")</f>
        <v/>
      </c>
      <c r="E306" s="431" t="str">
        <f>IFERROR(IF(ISNUMBER(D306),HLOOKUP(Tools!$BE$2,Tools!$BE$2:$BE$27,MOD(ROW()-2,Max_WL_count)+2,FALSE)*WLS,""),"")</f>
        <v/>
      </c>
      <c r="I306" s="427">
        <f t="shared" si="29"/>
        <v>305</v>
      </c>
      <c r="J306" s="430">
        <f t="shared" si="25"/>
        <v>24</v>
      </c>
      <c r="K306" s="433">
        <f>IFERROR(-LBP/2+HLOOKUP(Stn_WL,Tools!$AD$2:$AD$27,N306+2,FALSE)*STN_GAP,"")</f>
        <v>62.557499999999976</v>
      </c>
      <c r="L306" s="433">
        <f>IFERROR(IF(AND(ISNUMBER(K306),O306=0),0,VLOOKUP(HLOOKUP(Stn_WL,Tools!$AD$2:$AD$27,N306+2,FALSE),Tools!$AD$3:$BC$27,O306+1,FALSE)),"")</f>
        <v>1.6</v>
      </c>
      <c r="M306" s="433">
        <f>IFERROR(IF(ISNUMBER(L306),IF(O306=0,IFERROR(HLOOKUP(Tools!$BD$127,Tools!$BD$127:$BD$152,N306+2,FALSE)*1,0),HLOOKUP(Tools!$BE$2,Tools!$BE$2:$BE$27,O306+1,FALSE)*WLS),""),"")</f>
        <v>3.6</v>
      </c>
      <c r="N306">
        <f t="shared" si="26"/>
        <v>23</v>
      </c>
      <c r="O306">
        <f t="shared" si="27"/>
        <v>5</v>
      </c>
    </row>
    <row r="307" spans="1:15" x14ac:dyDescent="0.25">
      <c r="A307" s="427" t="str">
        <f t="shared" si="28"/>
        <v/>
      </c>
      <c r="B307" s="430" t="str">
        <f t="shared" si="24"/>
        <v/>
      </c>
      <c r="C307" s="433" t="str">
        <f>IFERROR(-LBP/2+HLOOKUP(Stn_WL,Tools!$AD$2:$AD$27,QUOTIENT(ROW()-2,Max_WL_count)+2,FALSE)*STN_GAP,"")</f>
        <v/>
      </c>
      <c r="D307" s="433" t="str">
        <f>IFERROR(VLOOKUP(HLOOKUP(Stn_WL,Tools!$AD$2:$AD$27,QUOTIENT(ROW()-2,Max_WL_count)+2,FALSE),Tools!$AD$3:$BC$27,MOD(ROW()-2,Max_WL_count)+2,FALSE),"")</f>
        <v/>
      </c>
      <c r="E307" s="431" t="str">
        <f>IFERROR(IF(ISNUMBER(D307),HLOOKUP(Tools!$BE$2,Tools!$BE$2:$BE$27,MOD(ROW()-2,Max_WL_count)+2,FALSE)*WLS,""),"")</f>
        <v/>
      </c>
      <c r="I307" s="427">
        <f t="shared" si="29"/>
        <v>306</v>
      </c>
      <c r="J307" s="430">
        <f t="shared" si="25"/>
        <v>24</v>
      </c>
      <c r="K307" s="433">
        <f>IFERROR(-LBP/2+HLOOKUP(Stn_WL,Tools!$AD$2:$AD$27,N307+2,FALSE)*STN_GAP,"")</f>
        <v>62.557499999999976</v>
      </c>
      <c r="L307" s="433">
        <f>IFERROR(IF(AND(ISNUMBER(K307),O307=0),0,VLOOKUP(HLOOKUP(Stn_WL,Tools!$AD$2:$AD$27,N307+2,FALSE),Tools!$AD$3:$BC$27,O307+1,FALSE)),"")</f>
        <v>1.77</v>
      </c>
      <c r="M307" s="433">
        <f>IFERROR(IF(ISNUMBER(L307),IF(O307=0,IFERROR(HLOOKUP(Tools!$BD$127,Tools!$BD$127:$BD$152,N307+2,FALSE)*1,0),HLOOKUP(Tools!$BE$2,Tools!$BE$2:$BE$27,O307+1,FALSE)*WLS),""),"")</f>
        <v>5.4</v>
      </c>
      <c r="N307">
        <f t="shared" si="26"/>
        <v>23</v>
      </c>
      <c r="O307">
        <f t="shared" si="27"/>
        <v>6</v>
      </c>
    </row>
    <row r="308" spans="1:15" x14ac:dyDescent="0.25">
      <c r="A308" s="427" t="str">
        <f t="shared" si="28"/>
        <v/>
      </c>
      <c r="B308" s="430" t="str">
        <f t="shared" si="24"/>
        <v/>
      </c>
      <c r="C308" s="433" t="str">
        <f>IFERROR(-LBP/2+HLOOKUP(Stn_WL,Tools!$AD$2:$AD$27,QUOTIENT(ROW()-2,Max_WL_count)+2,FALSE)*STN_GAP,"")</f>
        <v/>
      </c>
      <c r="D308" s="433" t="str">
        <f>IFERROR(VLOOKUP(HLOOKUP(Stn_WL,Tools!$AD$2:$AD$27,QUOTIENT(ROW()-2,Max_WL_count)+2,FALSE),Tools!$AD$3:$BC$27,MOD(ROW()-2,Max_WL_count)+2,FALSE),"")</f>
        <v/>
      </c>
      <c r="E308" s="431" t="str">
        <f>IFERROR(IF(ISNUMBER(D308),HLOOKUP(Tools!$BE$2,Tools!$BE$2:$BE$27,MOD(ROW()-2,Max_WL_count)+2,FALSE)*WLS,""),"")</f>
        <v/>
      </c>
      <c r="I308" s="427">
        <f t="shared" si="29"/>
        <v>307</v>
      </c>
      <c r="J308" s="430">
        <f t="shared" si="25"/>
        <v>24</v>
      </c>
      <c r="K308" s="433">
        <f>IFERROR(-LBP/2+HLOOKUP(Stn_WL,Tools!$AD$2:$AD$27,N308+2,FALSE)*STN_GAP,"")</f>
        <v>62.557499999999976</v>
      </c>
      <c r="L308" s="433">
        <f>IFERROR(IF(AND(ISNUMBER(K308),O308=0),0,VLOOKUP(HLOOKUP(Stn_WL,Tools!$AD$2:$AD$27,N308+2,FALSE),Tools!$AD$3:$BC$27,O308+1,FALSE)),"")</f>
        <v>1.31</v>
      </c>
      <c r="M308" s="433">
        <f>IFERROR(IF(ISNUMBER(L308),IF(O308=0,IFERROR(HLOOKUP(Tools!$BD$127,Tools!$BD$127:$BD$152,N308+2,FALSE)*1,0),HLOOKUP(Tools!$BE$2,Tools!$BE$2:$BE$27,O308+1,FALSE)*WLS),""),"")</f>
        <v>7.2</v>
      </c>
      <c r="N308">
        <f t="shared" si="26"/>
        <v>23</v>
      </c>
      <c r="O308">
        <f t="shared" si="27"/>
        <v>7</v>
      </c>
    </row>
    <row r="309" spans="1:15" x14ac:dyDescent="0.25">
      <c r="A309" s="427" t="str">
        <f t="shared" si="28"/>
        <v/>
      </c>
      <c r="B309" s="430" t="str">
        <f t="shared" si="24"/>
        <v/>
      </c>
      <c r="C309" s="433" t="str">
        <f>IFERROR(-LBP/2+HLOOKUP(Stn_WL,Tools!$AD$2:$AD$27,QUOTIENT(ROW()-2,Max_WL_count)+2,FALSE)*STN_GAP,"")</f>
        <v/>
      </c>
      <c r="D309" s="433" t="str">
        <f>IFERROR(VLOOKUP(HLOOKUP(Stn_WL,Tools!$AD$2:$AD$27,QUOTIENT(ROW()-2,Max_WL_count)+2,FALSE),Tools!$AD$3:$BC$27,MOD(ROW()-2,Max_WL_count)+2,FALSE),"")</f>
        <v/>
      </c>
      <c r="E309" s="431" t="str">
        <f>IFERROR(IF(ISNUMBER(D309),HLOOKUP(Tools!$BE$2,Tools!$BE$2:$BE$27,MOD(ROW()-2,Max_WL_count)+2,FALSE)*WLS,""),"")</f>
        <v/>
      </c>
      <c r="I309" s="427">
        <f t="shared" si="29"/>
        <v>308</v>
      </c>
      <c r="J309" s="430">
        <f t="shared" si="25"/>
        <v>24</v>
      </c>
      <c r="K309" s="433">
        <f>IFERROR(-LBP/2+HLOOKUP(Stn_WL,Tools!$AD$2:$AD$27,N309+2,FALSE)*STN_GAP,"")</f>
        <v>62.557499999999976</v>
      </c>
      <c r="L309" s="433">
        <f>IFERROR(IF(AND(ISNUMBER(K309),O309=0),0,VLOOKUP(HLOOKUP(Stn_WL,Tools!$AD$2:$AD$27,N309+2,FALSE),Tools!$AD$3:$BC$27,O309+1,FALSE)),"")</f>
        <v>1</v>
      </c>
      <c r="M309" s="433">
        <f>IFERROR(IF(ISNUMBER(L309),IF(O309=0,IFERROR(HLOOKUP(Tools!$BD$127,Tools!$BD$127:$BD$152,N309+2,FALSE)*1,0),HLOOKUP(Tools!$BE$2,Tools!$BE$2:$BE$27,O309+1,FALSE)*WLS),""),"")</f>
        <v>9</v>
      </c>
      <c r="N309">
        <f t="shared" si="26"/>
        <v>23</v>
      </c>
      <c r="O309">
        <f t="shared" si="27"/>
        <v>8</v>
      </c>
    </row>
    <row r="310" spans="1:15" x14ac:dyDescent="0.25">
      <c r="A310" s="427" t="str">
        <f t="shared" si="28"/>
        <v/>
      </c>
      <c r="B310" s="430" t="str">
        <f t="shared" si="24"/>
        <v/>
      </c>
      <c r="C310" s="433" t="str">
        <f>IFERROR(-LBP/2+HLOOKUP(Stn_WL,Tools!$AD$2:$AD$27,QUOTIENT(ROW()-2,Max_WL_count)+2,FALSE)*STN_GAP,"")</f>
        <v/>
      </c>
      <c r="D310" s="433" t="str">
        <f>IFERROR(VLOOKUP(HLOOKUP(Stn_WL,Tools!$AD$2:$AD$27,QUOTIENT(ROW()-2,Max_WL_count)+2,FALSE),Tools!$AD$3:$BC$27,MOD(ROW()-2,Max_WL_count)+2,FALSE),"")</f>
        <v/>
      </c>
      <c r="E310" s="431" t="str">
        <f>IFERROR(IF(ISNUMBER(D310),HLOOKUP(Tools!$BE$2,Tools!$BE$2:$BE$27,MOD(ROW()-2,Max_WL_count)+2,FALSE)*WLS,""),"")</f>
        <v/>
      </c>
      <c r="I310" s="427">
        <f t="shared" si="29"/>
        <v>309</v>
      </c>
      <c r="J310" s="430">
        <f t="shared" si="25"/>
        <v>24</v>
      </c>
      <c r="K310" s="433">
        <f>IFERROR(-LBP/2+HLOOKUP(Stn_WL,Tools!$AD$2:$AD$27,N310+2,FALSE)*STN_GAP,"")</f>
        <v>62.557499999999976</v>
      </c>
      <c r="L310" s="433">
        <f>IFERROR(IF(AND(ISNUMBER(K310),O310=0),0,VLOOKUP(HLOOKUP(Stn_WL,Tools!$AD$2:$AD$27,N310+2,FALSE),Tools!$AD$3:$BC$27,O310+1,FALSE)),"")</f>
        <v>1.44</v>
      </c>
      <c r="M310" s="433">
        <f>IFERROR(IF(ISNUMBER(L310),IF(O310=0,IFERROR(HLOOKUP(Tools!$BD$127,Tools!$BD$127:$BD$152,N310+2,FALSE)*1,0),HLOOKUP(Tools!$BE$2,Tools!$BE$2:$BE$27,O310+1,FALSE)*WLS),""),"")</f>
        <v>10.1</v>
      </c>
      <c r="N310">
        <f t="shared" si="26"/>
        <v>23</v>
      </c>
      <c r="O310">
        <f t="shared" si="27"/>
        <v>9</v>
      </c>
    </row>
    <row r="311" spans="1:15" x14ac:dyDescent="0.25">
      <c r="A311" s="427" t="str">
        <f t="shared" si="28"/>
        <v/>
      </c>
      <c r="B311" s="430" t="str">
        <f t="shared" si="24"/>
        <v/>
      </c>
      <c r="C311" s="433" t="str">
        <f>IFERROR(-LBP/2+HLOOKUP(Stn_WL,Tools!$AD$2:$AD$27,QUOTIENT(ROW()-2,Max_WL_count)+2,FALSE)*STN_GAP,"")</f>
        <v/>
      </c>
      <c r="D311" s="433" t="str">
        <f>IFERROR(VLOOKUP(HLOOKUP(Stn_WL,Tools!$AD$2:$AD$27,QUOTIENT(ROW()-2,Max_WL_count)+2,FALSE),Tools!$AD$3:$BC$27,MOD(ROW()-2,Max_WL_count)+2,FALSE),"")</f>
        <v/>
      </c>
      <c r="E311" s="431" t="str">
        <f>IFERROR(IF(ISNUMBER(D311),HLOOKUP(Tools!$BE$2,Tools!$BE$2:$BE$27,MOD(ROW()-2,Max_WL_count)+2,FALSE)*WLS,""),"")</f>
        <v/>
      </c>
      <c r="I311" s="427">
        <f t="shared" si="29"/>
        <v>310</v>
      </c>
      <c r="J311" s="430">
        <f t="shared" si="25"/>
        <v>24</v>
      </c>
      <c r="K311" s="433">
        <f>IFERROR(-LBP/2+HLOOKUP(Stn_WL,Tools!$AD$2:$AD$27,N311+2,FALSE)*STN_GAP,"")</f>
        <v>62.557499999999976</v>
      </c>
      <c r="L311" s="433">
        <f>IFERROR(IF(AND(ISNUMBER(K311),O311=0),0,VLOOKUP(HLOOKUP(Stn_WL,Tools!$AD$2:$AD$27,N311+2,FALSE),Tools!$AD$3:$BC$27,O311+1,FALSE)),"")</f>
        <v>1.74</v>
      </c>
      <c r="M311" s="433">
        <f>IFERROR(IF(ISNUMBER(L311),IF(O311=0,IFERROR(HLOOKUP(Tools!$BD$127,Tools!$BD$127:$BD$152,N311+2,FALSE)*1,0),HLOOKUP(Tools!$BE$2,Tools!$BE$2:$BE$27,O311+1,FALSE)*WLS),""),"")</f>
        <v>10.8</v>
      </c>
      <c r="N311">
        <f t="shared" si="26"/>
        <v>23</v>
      </c>
      <c r="O311">
        <f t="shared" si="27"/>
        <v>10</v>
      </c>
    </row>
    <row r="312" spans="1:15" x14ac:dyDescent="0.25">
      <c r="A312" s="427" t="str">
        <f t="shared" si="28"/>
        <v/>
      </c>
      <c r="B312" s="430" t="str">
        <f t="shared" si="24"/>
        <v/>
      </c>
      <c r="C312" s="433" t="str">
        <f>IFERROR(-LBP/2+HLOOKUP(Stn_WL,Tools!$AD$2:$AD$27,QUOTIENT(ROW()-2,Max_WL_count)+2,FALSE)*STN_GAP,"")</f>
        <v/>
      </c>
      <c r="D312" s="433" t="str">
        <f>IFERROR(VLOOKUP(HLOOKUP(Stn_WL,Tools!$AD$2:$AD$27,QUOTIENT(ROW()-2,Max_WL_count)+2,FALSE),Tools!$AD$3:$BC$27,MOD(ROW()-2,Max_WL_count)+2,FALSE),"")</f>
        <v/>
      </c>
      <c r="E312" s="431" t="str">
        <f>IFERROR(IF(ISNUMBER(D312),HLOOKUP(Tools!$BE$2,Tools!$BE$2:$BE$27,MOD(ROW()-2,Max_WL_count)+2,FALSE)*WLS,""),"")</f>
        <v/>
      </c>
      <c r="I312" s="427">
        <f t="shared" si="29"/>
        <v>311</v>
      </c>
      <c r="J312" s="430">
        <f t="shared" si="25"/>
        <v>24</v>
      </c>
      <c r="K312" s="433">
        <f>IFERROR(-LBP/2+HLOOKUP(Stn_WL,Tools!$AD$2:$AD$27,N312+2,FALSE)*STN_GAP,"")</f>
        <v>62.557499999999976</v>
      </c>
      <c r="L312" s="433">
        <f>IFERROR(IF(AND(ISNUMBER(K312),O312=0),0,VLOOKUP(HLOOKUP(Stn_WL,Tools!$AD$2:$AD$27,N312+2,FALSE),Tools!$AD$3:$BC$27,O312+1,FALSE)),"")</f>
        <v>2.79</v>
      </c>
      <c r="M312" s="433">
        <f>IFERROR(IF(ISNUMBER(L312),IF(O312=0,IFERROR(HLOOKUP(Tools!$BD$127,Tools!$BD$127:$BD$152,N312+2,FALSE)*1,0),HLOOKUP(Tools!$BE$2,Tools!$BE$2:$BE$27,O312+1,FALSE)*WLS),""),"")</f>
        <v>12.6</v>
      </c>
      <c r="N312">
        <f t="shared" si="26"/>
        <v>23</v>
      </c>
      <c r="O312">
        <f t="shared" si="27"/>
        <v>11</v>
      </c>
    </row>
    <row r="313" spans="1:15" x14ac:dyDescent="0.25">
      <c r="A313" s="427" t="str">
        <f t="shared" si="28"/>
        <v/>
      </c>
      <c r="B313" s="430" t="str">
        <f t="shared" si="24"/>
        <v/>
      </c>
      <c r="C313" s="433" t="str">
        <f>IFERROR(-LBP/2+HLOOKUP(Stn_WL,Tools!$AD$2:$AD$27,QUOTIENT(ROW()-2,Max_WL_count)+2,FALSE)*STN_GAP,"")</f>
        <v/>
      </c>
      <c r="D313" s="433" t="str">
        <f>IFERROR(VLOOKUP(HLOOKUP(Stn_WL,Tools!$AD$2:$AD$27,QUOTIENT(ROW()-2,Max_WL_count)+2,FALSE),Tools!$AD$3:$BC$27,MOD(ROW()-2,Max_WL_count)+2,FALSE),"")</f>
        <v/>
      </c>
      <c r="E313" s="431" t="str">
        <f>IFERROR(IF(ISNUMBER(D313),HLOOKUP(Tools!$BE$2,Tools!$BE$2:$BE$27,MOD(ROW()-2,Max_WL_count)+2,FALSE)*WLS,""),"")</f>
        <v/>
      </c>
      <c r="I313" s="427">
        <f t="shared" si="29"/>
        <v>312</v>
      </c>
      <c r="J313" s="430">
        <f t="shared" si="25"/>
        <v>24</v>
      </c>
      <c r="K313" s="433">
        <f>IFERROR(-LBP/2+HLOOKUP(Stn_WL,Tools!$AD$2:$AD$27,N313+2,FALSE)*STN_GAP,"")</f>
        <v>62.557499999999976</v>
      </c>
      <c r="L313" s="433">
        <f>IFERROR(IF(AND(ISNUMBER(K313),O313=0),0,VLOOKUP(HLOOKUP(Stn_WL,Tools!$AD$2:$AD$27,N313+2,FALSE),Tools!$AD$3:$BC$27,O313+1,FALSE)),"")</f>
        <v>4.0999999999999996</v>
      </c>
      <c r="M313" s="433">
        <f>IFERROR(IF(ISNUMBER(L313),IF(O313=0,IFERROR(HLOOKUP(Tools!$BD$127,Tools!$BD$127:$BD$152,N313+2,FALSE)*1,0),HLOOKUP(Tools!$BE$2,Tools!$BE$2:$BE$27,O313+1,FALSE)*WLS),""),"")</f>
        <v>14.19</v>
      </c>
      <c r="N313">
        <f t="shared" si="26"/>
        <v>23</v>
      </c>
      <c r="O313">
        <f t="shared" si="27"/>
        <v>12</v>
      </c>
    </row>
    <row r="314" spans="1:15" x14ac:dyDescent="0.25">
      <c r="A314" s="427" t="str">
        <f t="shared" si="28"/>
        <v/>
      </c>
      <c r="B314" s="430" t="str">
        <f t="shared" si="24"/>
        <v/>
      </c>
      <c r="C314" s="433" t="str">
        <f>IFERROR(-LBP/2+HLOOKUP(Stn_WL,Tools!$AD$2:$AD$27,QUOTIENT(ROW()-2,Max_WL_count)+2,FALSE)*STN_GAP,"")</f>
        <v/>
      </c>
      <c r="D314" s="433" t="str">
        <f>IFERROR(VLOOKUP(HLOOKUP(Stn_WL,Tools!$AD$2:$AD$27,QUOTIENT(ROW()-2,Max_WL_count)+2,FALSE),Tools!$AD$3:$BC$27,MOD(ROW()-2,Max_WL_count)+2,FALSE),"")</f>
        <v/>
      </c>
      <c r="E314" s="431" t="str">
        <f>IFERROR(IF(ISNUMBER(D314),HLOOKUP(Tools!$BE$2,Tools!$BE$2:$BE$27,MOD(ROW()-2,Max_WL_count)+2,FALSE)*WLS,""),"")</f>
        <v/>
      </c>
      <c r="I314" s="427">
        <f t="shared" si="29"/>
        <v>313</v>
      </c>
      <c r="J314" s="430">
        <f t="shared" si="25"/>
        <v>25</v>
      </c>
      <c r="K314" s="433">
        <f>IFERROR(-LBP/2+HLOOKUP(Stn_WL,Tools!$AD$2:$AD$27,N314+2,FALSE)*STN_GAP,"")</f>
        <v>65.849999999999994</v>
      </c>
      <c r="L314" s="433">
        <f>IFERROR(IF(AND(ISNUMBER(K314),O314=0),0,VLOOKUP(HLOOKUP(Stn_WL,Tools!$AD$2:$AD$27,N314+2,FALSE),Tools!$AD$3:$BC$27,O314+1,FALSE)),"")</f>
        <v>0</v>
      </c>
      <c r="M314" s="433">
        <f>IFERROR(IF(ISNUMBER(L314),IF(O314=0,IFERROR(HLOOKUP(Tools!$BD$127,Tools!$BD$127:$BD$152,N314+2,FALSE)*1,0),HLOOKUP(Tools!$BE$2,Tools!$BE$2:$BE$27,O314+1,FALSE)*WLS),""),"")</f>
        <v>2</v>
      </c>
      <c r="N314">
        <f t="shared" si="26"/>
        <v>24</v>
      </c>
      <c r="O314">
        <f t="shared" si="27"/>
        <v>0</v>
      </c>
    </row>
    <row r="315" spans="1:15" x14ac:dyDescent="0.25">
      <c r="A315" s="427" t="str">
        <f t="shared" si="28"/>
        <v/>
      </c>
      <c r="B315" s="430" t="str">
        <f t="shared" si="24"/>
        <v/>
      </c>
      <c r="C315" s="433" t="str">
        <f>IFERROR(-LBP/2+HLOOKUP(Stn_WL,Tools!$AD$2:$AD$27,QUOTIENT(ROW()-2,Max_WL_count)+2,FALSE)*STN_GAP,"")</f>
        <v/>
      </c>
      <c r="D315" s="433" t="str">
        <f>IFERROR(VLOOKUP(HLOOKUP(Stn_WL,Tools!$AD$2:$AD$27,QUOTIENT(ROW()-2,Max_WL_count)+2,FALSE),Tools!$AD$3:$BC$27,MOD(ROW()-2,Max_WL_count)+2,FALSE),"")</f>
        <v/>
      </c>
      <c r="E315" s="431" t="str">
        <f>IFERROR(IF(ISNUMBER(D315),HLOOKUP(Tools!$BE$2,Tools!$BE$2:$BE$27,MOD(ROW()-2,Max_WL_count)+2,FALSE)*WLS,""),"")</f>
        <v/>
      </c>
      <c r="I315" s="427">
        <f t="shared" si="29"/>
        <v>314</v>
      </c>
      <c r="J315" s="430">
        <f t="shared" si="25"/>
        <v>25</v>
      </c>
      <c r="K315" s="433">
        <f>IFERROR(-LBP/2+HLOOKUP(Stn_WL,Tools!$AD$2:$AD$27,N315+2,FALSE)*STN_GAP,"")</f>
        <v>65.849999999999994</v>
      </c>
      <c r="L315" s="433">
        <f>IFERROR(IF(AND(ISNUMBER(K315),O315=0),0,VLOOKUP(HLOOKUP(Stn_WL,Tools!$AD$2:$AD$27,N315+2,FALSE),Tools!$AD$3:$BC$27,O315+1,FALSE)),"")</f>
        <v>0</v>
      </c>
      <c r="M315" s="433">
        <f>IFERROR(IF(ISNUMBER(L315),IF(O315=0,IFERROR(HLOOKUP(Tools!$BD$127,Tools!$BD$127:$BD$152,N315+2,FALSE)*1,0),HLOOKUP(Tools!$BE$2,Tools!$BE$2:$BE$27,O315+1,FALSE)*WLS),""),"")</f>
        <v>0</v>
      </c>
      <c r="N315">
        <f t="shared" si="26"/>
        <v>24</v>
      </c>
      <c r="O315">
        <f t="shared" si="27"/>
        <v>1</v>
      </c>
    </row>
    <row r="316" spans="1:15" x14ac:dyDescent="0.25">
      <c r="A316" s="427" t="str">
        <f t="shared" si="28"/>
        <v/>
      </c>
      <c r="B316" s="430" t="str">
        <f t="shared" si="24"/>
        <v/>
      </c>
      <c r="C316" s="433" t="str">
        <f>IFERROR(-LBP/2+HLOOKUP(Stn_WL,Tools!$AD$2:$AD$27,QUOTIENT(ROW()-2,Max_WL_count)+2,FALSE)*STN_GAP,"")</f>
        <v/>
      </c>
      <c r="D316" s="433" t="str">
        <f>IFERROR(VLOOKUP(HLOOKUP(Stn_WL,Tools!$AD$2:$AD$27,QUOTIENT(ROW()-2,Max_WL_count)+2,FALSE),Tools!$AD$3:$BC$27,MOD(ROW()-2,Max_WL_count)+2,FALSE),"")</f>
        <v/>
      </c>
      <c r="E316" s="431" t="str">
        <f>IFERROR(IF(ISNUMBER(D316),HLOOKUP(Tools!$BE$2,Tools!$BE$2:$BE$27,MOD(ROW()-2,Max_WL_count)+2,FALSE)*WLS,""),"")</f>
        <v/>
      </c>
      <c r="I316" s="427">
        <f t="shared" si="29"/>
        <v>315</v>
      </c>
      <c r="J316" s="430">
        <f t="shared" si="25"/>
        <v>25</v>
      </c>
      <c r="K316" s="433">
        <f>IFERROR(-LBP/2+HLOOKUP(Stn_WL,Tools!$AD$2:$AD$27,N316+2,FALSE)*STN_GAP,"")</f>
        <v>65.849999999999994</v>
      </c>
      <c r="L316" s="433">
        <f>IFERROR(IF(AND(ISNUMBER(K316),O316=0),0,VLOOKUP(HLOOKUP(Stn_WL,Tools!$AD$2:$AD$27,N316+2,FALSE),Tools!$AD$3:$BC$27,O316+1,FALSE)),"")</f>
        <v>0</v>
      </c>
      <c r="M316" s="433">
        <f>IFERROR(IF(ISNUMBER(L316),IF(O316=0,IFERROR(HLOOKUP(Tools!$BD$127,Tools!$BD$127:$BD$152,N316+2,FALSE)*1,0),HLOOKUP(Tools!$BE$2,Tools!$BE$2:$BE$27,O316+1,FALSE)*WLS),""),"")</f>
        <v>0.9</v>
      </c>
      <c r="N316">
        <f t="shared" si="26"/>
        <v>24</v>
      </c>
      <c r="O316">
        <f t="shared" si="27"/>
        <v>2</v>
      </c>
    </row>
    <row r="317" spans="1:15" x14ac:dyDescent="0.25">
      <c r="A317" s="427" t="str">
        <f t="shared" si="28"/>
        <v/>
      </c>
      <c r="B317" s="430" t="str">
        <f t="shared" si="24"/>
        <v/>
      </c>
      <c r="C317" s="433" t="str">
        <f>IFERROR(-LBP/2+HLOOKUP(Stn_WL,Tools!$AD$2:$AD$27,QUOTIENT(ROW()-2,Max_WL_count)+2,FALSE)*STN_GAP,"")</f>
        <v/>
      </c>
      <c r="D317" s="433" t="str">
        <f>IFERROR(VLOOKUP(HLOOKUP(Stn_WL,Tools!$AD$2:$AD$27,QUOTIENT(ROW()-2,Max_WL_count)+2,FALSE),Tools!$AD$3:$BC$27,MOD(ROW()-2,Max_WL_count)+2,FALSE),"")</f>
        <v/>
      </c>
      <c r="E317" s="431" t="str">
        <f>IFERROR(IF(ISNUMBER(D317),HLOOKUP(Tools!$BE$2,Tools!$BE$2:$BE$27,MOD(ROW()-2,Max_WL_count)+2,FALSE)*WLS,""),"")</f>
        <v/>
      </c>
      <c r="I317" s="427">
        <f t="shared" si="29"/>
        <v>316</v>
      </c>
      <c r="J317" s="430">
        <f t="shared" si="25"/>
        <v>25</v>
      </c>
      <c r="K317" s="433">
        <f>IFERROR(-LBP/2+HLOOKUP(Stn_WL,Tools!$AD$2:$AD$27,N317+2,FALSE)*STN_GAP,"")</f>
        <v>65.849999999999994</v>
      </c>
      <c r="L317" s="433">
        <f>IFERROR(IF(AND(ISNUMBER(K317),O317=0),0,VLOOKUP(HLOOKUP(Stn_WL,Tools!$AD$2:$AD$27,N317+2,FALSE),Tools!$AD$3:$BC$27,O317+1,FALSE)),"")</f>
        <v>0</v>
      </c>
      <c r="M317" s="433">
        <f>IFERROR(IF(ISNUMBER(L317),IF(O317=0,IFERROR(HLOOKUP(Tools!$BD$127,Tools!$BD$127:$BD$152,N317+2,FALSE)*1,0),HLOOKUP(Tools!$BE$2,Tools!$BE$2:$BE$27,O317+1,FALSE)*WLS),""),"")</f>
        <v>1.8</v>
      </c>
      <c r="N317">
        <f t="shared" si="26"/>
        <v>24</v>
      </c>
      <c r="O317">
        <f t="shared" si="27"/>
        <v>3</v>
      </c>
    </row>
    <row r="318" spans="1:15" x14ac:dyDescent="0.25">
      <c r="A318" s="427" t="str">
        <f t="shared" si="28"/>
        <v/>
      </c>
      <c r="B318" s="430" t="str">
        <f t="shared" si="24"/>
        <v/>
      </c>
      <c r="C318" s="433" t="str">
        <f>IFERROR(-LBP/2+HLOOKUP(Stn_WL,Tools!$AD$2:$AD$27,QUOTIENT(ROW()-2,Max_WL_count)+2,FALSE)*STN_GAP,"")</f>
        <v/>
      </c>
      <c r="D318" s="433" t="str">
        <f>IFERROR(VLOOKUP(HLOOKUP(Stn_WL,Tools!$AD$2:$AD$27,QUOTIENT(ROW()-2,Max_WL_count)+2,FALSE),Tools!$AD$3:$BC$27,MOD(ROW()-2,Max_WL_count)+2,FALSE),"")</f>
        <v/>
      </c>
      <c r="E318" s="431" t="str">
        <f>IFERROR(IF(ISNUMBER(D318),HLOOKUP(Tools!$BE$2,Tools!$BE$2:$BE$27,MOD(ROW()-2,Max_WL_count)+2,FALSE)*WLS,""),"")</f>
        <v/>
      </c>
      <c r="I318" s="427">
        <f t="shared" si="29"/>
        <v>317</v>
      </c>
      <c r="J318" s="430">
        <f t="shared" si="25"/>
        <v>25</v>
      </c>
      <c r="K318" s="433">
        <f>IFERROR(-LBP/2+HLOOKUP(Stn_WL,Tools!$AD$2:$AD$27,N318+2,FALSE)*STN_GAP,"")</f>
        <v>65.849999999999994</v>
      </c>
      <c r="L318" s="433">
        <f>IFERROR(IF(AND(ISNUMBER(K318),O318=0),0,VLOOKUP(HLOOKUP(Stn_WL,Tools!$AD$2:$AD$27,N318+2,FALSE),Tools!$AD$3:$BC$27,O318+1,FALSE)),"")</f>
        <v>0.76</v>
      </c>
      <c r="M318" s="433">
        <f>IFERROR(IF(ISNUMBER(L318),IF(O318=0,IFERROR(HLOOKUP(Tools!$BD$127,Tools!$BD$127:$BD$152,N318+2,FALSE)*1,0),HLOOKUP(Tools!$BE$2,Tools!$BE$2:$BE$27,O318+1,FALSE)*WLS),""),"")</f>
        <v>2.7</v>
      </c>
      <c r="N318">
        <f t="shared" si="26"/>
        <v>24</v>
      </c>
      <c r="O318">
        <f t="shared" si="27"/>
        <v>4</v>
      </c>
    </row>
    <row r="319" spans="1:15" x14ac:dyDescent="0.25">
      <c r="A319" s="427" t="str">
        <f t="shared" si="28"/>
        <v/>
      </c>
      <c r="B319" s="430" t="str">
        <f t="shared" si="24"/>
        <v/>
      </c>
      <c r="C319" s="433" t="str">
        <f>IFERROR(-LBP/2+HLOOKUP(Stn_WL,Tools!$AD$2:$AD$27,QUOTIENT(ROW()-2,Max_WL_count)+2,FALSE)*STN_GAP,"")</f>
        <v/>
      </c>
      <c r="D319" s="433" t="str">
        <f>IFERROR(VLOOKUP(HLOOKUP(Stn_WL,Tools!$AD$2:$AD$27,QUOTIENT(ROW()-2,Max_WL_count)+2,FALSE),Tools!$AD$3:$BC$27,MOD(ROW()-2,Max_WL_count)+2,FALSE),"")</f>
        <v/>
      </c>
      <c r="E319" s="431" t="str">
        <f>IFERROR(IF(ISNUMBER(D319),HLOOKUP(Tools!$BE$2,Tools!$BE$2:$BE$27,MOD(ROW()-2,Max_WL_count)+2,FALSE)*WLS,""),"")</f>
        <v/>
      </c>
      <c r="I319" s="427">
        <f t="shared" si="29"/>
        <v>318</v>
      </c>
      <c r="J319" s="430">
        <f t="shared" si="25"/>
        <v>25</v>
      </c>
      <c r="K319" s="433">
        <f>IFERROR(-LBP/2+HLOOKUP(Stn_WL,Tools!$AD$2:$AD$27,N319+2,FALSE)*STN_GAP,"")</f>
        <v>65.849999999999994</v>
      </c>
      <c r="L319" s="433">
        <f>IFERROR(IF(AND(ISNUMBER(K319),O319=0),0,VLOOKUP(HLOOKUP(Stn_WL,Tools!$AD$2:$AD$27,N319+2,FALSE),Tools!$AD$3:$BC$27,O319+1,FALSE)),"")</f>
        <v>1.1499999999999999</v>
      </c>
      <c r="M319" s="433">
        <f>IFERROR(IF(ISNUMBER(L319),IF(O319=0,IFERROR(HLOOKUP(Tools!$BD$127,Tools!$BD$127:$BD$152,N319+2,FALSE)*1,0),HLOOKUP(Tools!$BE$2,Tools!$BE$2:$BE$27,O319+1,FALSE)*WLS),""),"")</f>
        <v>3.6</v>
      </c>
      <c r="N319">
        <f t="shared" si="26"/>
        <v>24</v>
      </c>
      <c r="O319">
        <f t="shared" si="27"/>
        <v>5</v>
      </c>
    </row>
    <row r="320" spans="1:15" x14ac:dyDescent="0.25">
      <c r="A320" s="427" t="str">
        <f t="shared" si="28"/>
        <v/>
      </c>
      <c r="B320" s="430" t="str">
        <f t="shared" si="24"/>
        <v/>
      </c>
      <c r="C320" s="433" t="str">
        <f>IFERROR(-LBP/2+HLOOKUP(Stn_WL,Tools!$AD$2:$AD$27,QUOTIENT(ROW()-2,Max_WL_count)+2,FALSE)*STN_GAP,"")</f>
        <v/>
      </c>
      <c r="D320" s="433" t="str">
        <f>IFERROR(VLOOKUP(HLOOKUP(Stn_WL,Tools!$AD$2:$AD$27,QUOTIENT(ROW()-2,Max_WL_count)+2,FALSE),Tools!$AD$3:$BC$27,MOD(ROW()-2,Max_WL_count)+2,FALSE),"")</f>
        <v/>
      </c>
      <c r="E320" s="431" t="str">
        <f>IFERROR(IF(ISNUMBER(D320),HLOOKUP(Tools!$BE$2,Tools!$BE$2:$BE$27,MOD(ROW()-2,Max_WL_count)+2,FALSE)*WLS,""),"")</f>
        <v/>
      </c>
      <c r="I320" s="427">
        <f t="shared" si="29"/>
        <v>319</v>
      </c>
      <c r="J320" s="430">
        <f t="shared" si="25"/>
        <v>25</v>
      </c>
      <c r="K320" s="433">
        <f>IFERROR(-LBP/2+HLOOKUP(Stn_WL,Tools!$AD$2:$AD$27,N320+2,FALSE)*STN_GAP,"")</f>
        <v>65.849999999999994</v>
      </c>
      <c r="L320" s="433">
        <f>IFERROR(IF(AND(ISNUMBER(K320),O320=0),0,VLOOKUP(HLOOKUP(Stn_WL,Tools!$AD$2:$AD$27,N320+2,FALSE),Tools!$AD$3:$BC$27,O320+1,FALSE)),"")</f>
        <v>1.45</v>
      </c>
      <c r="M320" s="433">
        <f>IFERROR(IF(ISNUMBER(L320),IF(O320=0,IFERROR(HLOOKUP(Tools!$BD$127,Tools!$BD$127:$BD$152,N320+2,FALSE)*1,0),HLOOKUP(Tools!$BE$2,Tools!$BE$2:$BE$27,O320+1,FALSE)*WLS),""),"")</f>
        <v>5.4</v>
      </c>
      <c r="N320">
        <f t="shared" si="26"/>
        <v>24</v>
      </c>
      <c r="O320">
        <f t="shared" si="27"/>
        <v>6</v>
      </c>
    </row>
    <row r="321" spans="1:15" x14ac:dyDescent="0.25">
      <c r="A321" s="427" t="str">
        <f t="shared" si="28"/>
        <v/>
      </c>
      <c r="B321" s="430" t="str">
        <f t="shared" si="24"/>
        <v/>
      </c>
      <c r="C321" s="433" t="str">
        <f>IFERROR(-LBP/2+HLOOKUP(Stn_WL,Tools!$AD$2:$AD$27,QUOTIENT(ROW()-2,Max_WL_count)+2,FALSE)*STN_GAP,"")</f>
        <v/>
      </c>
      <c r="D321" s="433" t="str">
        <f>IFERROR(VLOOKUP(HLOOKUP(Stn_WL,Tools!$AD$2:$AD$27,QUOTIENT(ROW()-2,Max_WL_count)+2,FALSE),Tools!$AD$3:$BC$27,MOD(ROW()-2,Max_WL_count)+2,FALSE),"")</f>
        <v/>
      </c>
      <c r="E321" s="431" t="str">
        <f>IFERROR(IF(ISNUMBER(D321),HLOOKUP(Tools!$BE$2,Tools!$BE$2:$BE$27,MOD(ROW()-2,Max_WL_count)+2,FALSE)*WLS,""),"")</f>
        <v/>
      </c>
      <c r="I321" s="427">
        <f t="shared" si="29"/>
        <v>320</v>
      </c>
      <c r="J321" s="430">
        <f t="shared" si="25"/>
        <v>25</v>
      </c>
      <c r="K321" s="433">
        <f>IFERROR(-LBP/2+HLOOKUP(Stn_WL,Tools!$AD$2:$AD$27,N321+2,FALSE)*STN_GAP,"")</f>
        <v>65.849999999999994</v>
      </c>
      <c r="L321" s="433">
        <f>IFERROR(IF(AND(ISNUMBER(K321),O321=0),0,VLOOKUP(HLOOKUP(Stn_WL,Tools!$AD$2:$AD$27,N321+2,FALSE),Tools!$AD$3:$BC$27,O321+1,FALSE)),"")</f>
        <v>1.04</v>
      </c>
      <c r="M321" s="433">
        <f>IFERROR(IF(ISNUMBER(L321),IF(O321=0,IFERROR(HLOOKUP(Tools!$BD$127,Tools!$BD$127:$BD$152,N321+2,FALSE)*1,0),HLOOKUP(Tools!$BE$2,Tools!$BE$2:$BE$27,O321+1,FALSE)*WLS),""),"")</f>
        <v>7.2</v>
      </c>
      <c r="N321">
        <f t="shared" si="26"/>
        <v>24</v>
      </c>
      <c r="O321">
        <f t="shared" si="27"/>
        <v>7</v>
      </c>
    </row>
    <row r="322" spans="1:15" x14ac:dyDescent="0.25">
      <c r="A322" s="427" t="str">
        <f t="shared" si="28"/>
        <v/>
      </c>
      <c r="B322" s="430" t="str">
        <f t="shared" ref="B322:B385" si="30">IFERROR(IF(ISNUMBER(D322),QUOTIENT(ROW()-2,Max_WL_count)+1,""),"")</f>
        <v/>
      </c>
      <c r="C322" s="433" t="str">
        <f>IFERROR(-LBP/2+HLOOKUP(Stn_WL,Tools!$AD$2:$AD$27,QUOTIENT(ROW()-2,Max_WL_count)+2,FALSE)*STN_GAP,"")</f>
        <v/>
      </c>
      <c r="D322" s="433" t="str">
        <f>IFERROR(VLOOKUP(HLOOKUP(Stn_WL,Tools!$AD$2:$AD$27,QUOTIENT(ROW()-2,Max_WL_count)+2,FALSE),Tools!$AD$3:$BC$27,MOD(ROW()-2,Max_WL_count)+2,FALSE),"")</f>
        <v/>
      </c>
      <c r="E322" s="431" t="str">
        <f>IFERROR(IF(ISNUMBER(D322),HLOOKUP(Tools!$BE$2,Tools!$BE$2:$BE$27,MOD(ROW()-2,Max_WL_count)+2,FALSE)*WLS,""),"")</f>
        <v/>
      </c>
      <c r="I322" s="427">
        <f t="shared" si="29"/>
        <v>321</v>
      </c>
      <c r="J322" s="430">
        <f t="shared" ref="J322:J385" si="31">IFERROR(IF(ISNUMBER(L322),QUOTIENT(ROW()-2,Max_WL_count+1)+1,""),"")</f>
        <v>25</v>
      </c>
      <c r="K322" s="433">
        <f>IFERROR(-LBP/2+HLOOKUP(Stn_WL,Tools!$AD$2:$AD$27,N322+2,FALSE)*STN_GAP,"")</f>
        <v>65.849999999999994</v>
      </c>
      <c r="L322" s="433">
        <f>IFERROR(IF(AND(ISNUMBER(K322),O322=0),0,VLOOKUP(HLOOKUP(Stn_WL,Tools!$AD$2:$AD$27,N322+2,FALSE),Tools!$AD$3:$BC$27,O322+1,FALSE)),"")</f>
        <v>0</v>
      </c>
      <c r="M322" s="433">
        <f>IFERROR(IF(ISNUMBER(L322),IF(O322=0,IFERROR(HLOOKUP(Tools!$BD$127,Tools!$BD$127:$BD$152,N322+2,FALSE)*1,0),HLOOKUP(Tools!$BE$2,Tools!$BE$2:$BE$27,O322+1,FALSE)*WLS),""),"")</f>
        <v>9</v>
      </c>
      <c r="N322">
        <f t="shared" ref="N322:N385" si="32">QUOTIENT(ROW()-2,Max_WL_count+1)</f>
        <v>24</v>
      </c>
      <c r="O322">
        <f t="shared" ref="O322:O385" si="33">MOD(ROW()-2,Max_WL_count+1)</f>
        <v>8</v>
      </c>
    </row>
    <row r="323" spans="1:15" x14ac:dyDescent="0.25">
      <c r="A323" s="427" t="str">
        <f t="shared" ref="A323:A386" si="34">IF(ISNUMBER(D323),ROW()-1,"")</f>
        <v/>
      </c>
      <c r="B323" s="430" t="str">
        <f t="shared" si="30"/>
        <v/>
      </c>
      <c r="C323" s="433" t="str">
        <f>IFERROR(-LBP/2+HLOOKUP(Stn_WL,Tools!$AD$2:$AD$27,QUOTIENT(ROW()-2,Max_WL_count)+2,FALSE)*STN_GAP,"")</f>
        <v/>
      </c>
      <c r="D323" s="433" t="str">
        <f>IFERROR(VLOOKUP(HLOOKUP(Stn_WL,Tools!$AD$2:$AD$27,QUOTIENT(ROW()-2,Max_WL_count)+2,FALSE),Tools!$AD$3:$BC$27,MOD(ROW()-2,Max_WL_count)+2,FALSE),"")</f>
        <v/>
      </c>
      <c r="E323" s="431" t="str">
        <f>IFERROR(IF(ISNUMBER(D323),HLOOKUP(Tools!$BE$2,Tools!$BE$2:$BE$27,MOD(ROW()-2,Max_WL_count)+2,FALSE)*WLS,""),"")</f>
        <v/>
      </c>
      <c r="I323" s="427">
        <f t="shared" ref="I323:I386" si="35">IF(ISNUMBER(L323),ROW()-1,"")</f>
        <v>322</v>
      </c>
      <c r="J323" s="430">
        <f t="shared" si="31"/>
        <v>25</v>
      </c>
      <c r="K323" s="433">
        <f>IFERROR(-LBP/2+HLOOKUP(Stn_WL,Tools!$AD$2:$AD$27,N323+2,FALSE)*STN_GAP,"")</f>
        <v>65.849999999999994</v>
      </c>
      <c r="L323" s="433">
        <f>IFERROR(IF(AND(ISNUMBER(K323),O323=0),0,VLOOKUP(HLOOKUP(Stn_WL,Tools!$AD$2:$AD$27,N323+2,FALSE),Tools!$AD$3:$BC$27,O323+1,FALSE)),"")</f>
        <v>0</v>
      </c>
      <c r="M323" s="433">
        <f>IFERROR(IF(ISNUMBER(L323),IF(O323=0,IFERROR(HLOOKUP(Tools!$BD$127,Tools!$BD$127:$BD$152,N323+2,FALSE)*1,0),HLOOKUP(Tools!$BE$2,Tools!$BE$2:$BE$27,O323+1,FALSE)*WLS),""),"")</f>
        <v>10.1</v>
      </c>
      <c r="N323">
        <f t="shared" si="32"/>
        <v>24</v>
      </c>
      <c r="O323">
        <f t="shared" si="33"/>
        <v>9</v>
      </c>
    </row>
    <row r="324" spans="1:15" x14ac:dyDescent="0.25">
      <c r="A324" s="427" t="str">
        <f t="shared" si="34"/>
        <v/>
      </c>
      <c r="B324" s="430" t="str">
        <f t="shared" si="30"/>
        <v/>
      </c>
      <c r="C324" s="433" t="str">
        <f>IFERROR(-LBP/2+HLOOKUP(Stn_WL,Tools!$AD$2:$AD$27,QUOTIENT(ROW()-2,Max_WL_count)+2,FALSE)*STN_GAP,"")</f>
        <v/>
      </c>
      <c r="D324" s="433" t="str">
        <f>IFERROR(VLOOKUP(HLOOKUP(Stn_WL,Tools!$AD$2:$AD$27,QUOTIENT(ROW()-2,Max_WL_count)+2,FALSE),Tools!$AD$3:$BC$27,MOD(ROW()-2,Max_WL_count)+2,FALSE),"")</f>
        <v/>
      </c>
      <c r="E324" s="431" t="str">
        <f>IFERROR(IF(ISNUMBER(D324),HLOOKUP(Tools!$BE$2,Tools!$BE$2:$BE$27,MOD(ROW()-2,Max_WL_count)+2,FALSE)*WLS,""),"")</f>
        <v/>
      </c>
      <c r="I324" s="427">
        <f t="shared" si="35"/>
        <v>323</v>
      </c>
      <c r="J324" s="430">
        <f t="shared" si="31"/>
        <v>25</v>
      </c>
      <c r="K324" s="433">
        <f>IFERROR(-LBP/2+HLOOKUP(Stn_WL,Tools!$AD$2:$AD$27,N324+2,FALSE)*STN_GAP,"")</f>
        <v>65.849999999999994</v>
      </c>
      <c r="L324" s="433">
        <f>IFERROR(IF(AND(ISNUMBER(K324),O324=0),0,VLOOKUP(HLOOKUP(Stn_WL,Tools!$AD$2:$AD$27,N324+2,FALSE),Tools!$AD$3:$BC$27,O324+1,FALSE)),"")</f>
        <v>0.25</v>
      </c>
      <c r="M324" s="433">
        <f>IFERROR(IF(ISNUMBER(L324),IF(O324=0,IFERROR(HLOOKUP(Tools!$BD$127,Tools!$BD$127:$BD$152,N324+2,FALSE)*1,0),HLOOKUP(Tools!$BE$2,Tools!$BE$2:$BE$27,O324+1,FALSE)*WLS),""),"")</f>
        <v>10.8</v>
      </c>
      <c r="N324">
        <f t="shared" si="32"/>
        <v>24</v>
      </c>
      <c r="O324">
        <f t="shared" si="33"/>
        <v>10</v>
      </c>
    </row>
    <row r="325" spans="1:15" x14ac:dyDescent="0.25">
      <c r="A325" s="427" t="str">
        <f t="shared" si="34"/>
        <v/>
      </c>
      <c r="B325" s="430" t="str">
        <f t="shared" si="30"/>
        <v/>
      </c>
      <c r="C325" s="433" t="str">
        <f>IFERROR(-LBP/2+HLOOKUP(Stn_WL,Tools!$AD$2:$AD$27,QUOTIENT(ROW()-2,Max_WL_count)+2,FALSE)*STN_GAP,"")</f>
        <v/>
      </c>
      <c r="D325" s="433" t="str">
        <f>IFERROR(VLOOKUP(HLOOKUP(Stn_WL,Tools!$AD$2:$AD$27,QUOTIENT(ROW()-2,Max_WL_count)+2,FALSE),Tools!$AD$3:$BC$27,MOD(ROW()-2,Max_WL_count)+2,FALSE),"")</f>
        <v/>
      </c>
      <c r="E325" s="431" t="str">
        <f>IFERROR(IF(ISNUMBER(D325),HLOOKUP(Tools!$BE$2,Tools!$BE$2:$BE$27,MOD(ROW()-2,Max_WL_count)+2,FALSE)*WLS,""),"")</f>
        <v/>
      </c>
      <c r="I325" s="427">
        <f t="shared" si="35"/>
        <v>324</v>
      </c>
      <c r="J325" s="430">
        <f t="shared" si="31"/>
        <v>25</v>
      </c>
      <c r="K325" s="433">
        <f>IFERROR(-LBP/2+HLOOKUP(Stn_WL,Tools!$AD$2:$AD$27,N325+2,FALSE)*STN_GAP,"")</f>
        <v>65.849999999999994</v>
      </c>
      <c r="L325" s="433">
        <f>IFERROR(IF(AND(ISNUMBER(K325),O325=0),0,VLOOKUP(HLOOKUP(Stn_WL,Tools!$AD$2:$AD$27,N325+2,FALSE),Tools!$AD$3:$BC$27,O325+1,FALSE)),"")</f>
        <v>0.85</v>
      </c>
      <c r="M325" s="433">
        <f>IFERROR(IF(ISNUMBER(L325),IF(O325=0,IFERROR(HLOOKUP(Tools!$BD$127,Tools!$BD$127:$BD$152,N325+2,FALSE)*1,0),HLOOKUP(Tools!$BE$2,Tools!$BE$2:$BE$27,O325+1,FALSE)*WLS),""),"")</f>
        <v>12.6</v>
      </c>
      <c r="N325">
        <f t="shared" si="32"/>
        <v>24</v>
      </c>
      <c r="O325">
        <f t="shared" si="33"/>
        <v>11</v>
      </c>
    </row>
    <row r="326" spans="1:15" x14ac:dyDescent="0.25">
      <c r="A326" s="427" t="str">
        <f t="shared" si="34"/>
        <v/>
      </c>
      <c r="B326" s="430" t="str">
        <f t="shared" si="30"/>
        <v/>
      </c>
      <c r="C326" s="433" t="str">
        <f>IFERROR(-LBP/2+HLOOKUP(Stn_WL,Tools!$AD$2:$AD$27,QUOTIENT(ROW()-2,Max_WL_count)+2,FALSE)*STN_GAP,"")</f>
        <v/>
      </c>
      <c r="D326" s="433" t="str">
        <f>IFERROR(VLOOKUP(HLOOKUP(Stn_WL,Tools!$AD$2:$AD$27,QUOTIENT(ROW()-2,Max_WL_count)+2,FALSE),Tools!$AD$3:$BC$27,MOD(ROW()-2,Max_WL_count)+2,FALSE),"")</f>
        <v/>
      </c>
      <c r="E326" s="431" t="str">
        <f>IFERROR(IF(ISNUMBER(D326),HLOOKUP(Tools!$BE$2,Tools!$BE$2:$BE$27,MOD(ROW()-2,Max_WL_count)+2,FALSE)*WLS,""),"")</f>
        <v/>
      </c>
      <c r="I326" s="427">
        <f t="shared" si="35"/>
        <v>325</v>
      </c>
      <c r="J326" s="430">
        <f t="shared" si="31"/>
        <v>25</v>
      </c>
      <c r="K326" s="433">
        <f>IFERROR(-LBP/2+HLOOKUP(Stn_WL,Tools!$AD$2:$AD$27,N326+2,FALSE)*STN_GAP,"")</f>
        <v>65.849999999999994</v>
      </c>
      <c r="L326" s="433">
        <f>IFERROR(IF(AND(ISNUMBER(K326),O326=0),0,VLOOKUP(HLOOKUP(Stn_WL,Tools!$AD$2:$AD$27,N326+2,FALSE),Tools!$AD$3:$BC$27,O326+1,FALSE)),"")</f>
        <v>1.78</v>
      </c>
      <c r="M326" s="433">
        <f>IFERROR(IF(ISNUMBER(L326),IF(O326=0,IFERROR(HLOOKUP(Tools!$BD$127,Tools!$BD$127:$BD$152,N326+2,FALSE)*1,0),HLOOKUP(Tools!$BE$2,Tools!$BE$2:$BE$27,O326+1,FALSE)*WLS),""),"")</f>
        <v>14.19</v>
      </c>
      <c r="N326">
        <f t="shared" si="32"/>
        <v>24</v>
      </c>
      <c r="O326">
        <f t="shared" si="33"/>
        <v>12</v>
      </c>
    </row>
    <row r="327" spans="1:15" x14ac:dyDescent="0.25">
      <c r="A327" s="427" t="str">
        <f t="shared" si="34"/>
        <v/>
      </c>
      <c r="B327" s="430" t="str">
        <f t="shared" si="30"/>
        <v/>
      </c>
      <c r="C327" s="433" t="str">
        <f>IFERROR(-LBP/2+HLOOKUP(Stn_WL,Tools!$AD$2:$AD$27,QUOTIENT(ROW()-2,Max_WL_count)+2,FALSE)*STN_GAP,"")</f>
        <v/>
      </c>
      <c r="D327" s="433" t="str">
        <f>IFERROR(VLOOKUP(HLOOKUP(Stn_WL,Tools!$AD$2:$AD$27,QUOTIENT(ROW()-2,Max_WL_count)+2,FALSE),Tools!$AD$3:$BC$27,MOD(ROW()-2,Max_WL_count)+2,FALSE),"")</f>
        <v/>
      </c>
      <c r="E327" s="431" t="str">
        <f>IFERROR(IF(ISNUMBER(D327),HLOOKUP(Tools!$BE$2,Tools!$BE$2:$BE$27,MOD(ROW()-2,Max_WL_count)+2,FALSE)*WLS,""),"")</f>
        <v/>
      </c>
      <c r="I327" s="427" t="str">
        <f t="shared" si="35"/>
        <v/>
      </c>
      <c r="J327" s="430" t="str">
        <f t="shared" si="31"/>
        <v/>
      </c>
      <c r="K327" s="433" t="str">
        <f>IFERROR(-LBP/2+HLOOKUP(Stn_WL,Tools!$AD$2:$AD$27,N327+2,FALSE)*STN_GAP,"")</f>
        <v/>
      </c>
      <c r="L327" s="433" t="str">
        <f>IFERROR(IF(AND(ISNUMBER(K327),O327=0),0,VLOOKUP(HLOOKUP(Stn_WL,Tools!$AD$2:$AD$27,N327+2,FALSE),Tools!$AD$3:$BC$27,O327+1,FALSE)),"")</f>
        <v/>
      </c>
      <c r="M327" s="433" t="str">
        <f>IFERROR(IF(ISNUMBER(L327),IF(O327=0,IFERROR(HLOOKUP(Tools!$BD$127,Tools!$BD$127:$BD$152,N327+2,FALSE)*1,0),HLOOKUP(Tools!$BE$2,Tools!$BE$2:$BE$27,O327+1,FALSE)*WLS),""),"")</f>
        <v/>
      </c>
      <c r="N327">
        <f t="shared" si="32"/>
        <v>25</v>
      </c>
      <c r="O327">
        <f t="shared" si="33"/>
        <v>0</v>
      </c>
    </row>
    <row r="328" spans="1:15" x14ac:dyDescent="0.25">
      <c r="A328" s="427" t="str">
        <f t="shared" si="34"/>
        <v/>
      </c>
      <c r="B328" s="430" t="str">
        <f t="shared" si="30"/>
        <v/>
      </c>
      <c r="C328" s="433" t="str">
        <f>IFERROR(-LBP/2+HLOOKUP(Stn_WL,Tools!$AD$2:$AD$27,QUOTIENT(ROW()-2,Max_WL_count)+2,FALSE)*STN_GAP,"")</f>
        <v/>
      </c>
      <c r="D328" s="433" t="str">
        <f>IFERROR(VLOOKUP(HLOOKUP(Stn_WL,Tools!$AD$2:$AD$27,QUOTIENT(ROW()-2,Max_WL_count)+2,FALSE),Tools!$AD$3:$BC$27,MOD(ROW()-2,Max_WL_count)+2,FALSE),"")</f>
        <v/>
      </c>
      <c r="E328" s="431" t="str">
        <f>IFERROR(IF(ISNUMBER(D328),HLOOKUP(Tools!$BE$2,Tools!$BE$2:$BE$27,MOD(ROW()-2,Max_WL_count)+2,FALSE)*WLS,""),"")</f>
        <v/>
      </c>
      <c r="I328" s="427" t="str">
        <f t="shared" si="35"/>
        <v/>
      </c>
      <c r="J328" s="430" t="str">
        <f t="shared" si="31"/>
        <v/>
      </c>
      <c r="K328" s="433" t="str">
        <f>IFERROR(-LBP/2+HLOOKUP(Stn_WL,Tools!$AD$2:$AD$27,N328+2,FALSE)*STN_GAP,"")</f>
        <v/>
      </c>
      <c r="L328" s="433" t="str">
        <f>IFERROR(IF(AND(ISNUMBER(K328),O328=0),0,VLOOKUP(HLOOKUP(Stn_WL,Tools!$AD$2:$AD$27,N328+2,FALSE),Tools!$AD$3:$BC$27,O328+1,FALSE)),"")</f>
        <v/>
      </c>
      <c r="M328" s="433" t="str">
        <f>IFERROR(IF(ISNUMBER(L328),IF(O328=0,IFERROR(HLOOKUP(Tools!$BD$127,Tools!$BD$127:$BD$152,N328+2,FALSE)*1,0),HLOOKUP(Tools!$BE$2,Tools!$BE$2:$BE$27,O328+1,FALSE)*WLS),""),"")</f>
        <v/>
      </c>
      <c r="N328">
        <f t="shared" si="32"/>
        <v>25</v>
      </c>
      <c r="O328">
        <f t="shared" si="33"/>
        <v>1</v>
      </c>
    </row>
    <row r="329" spans="1:15" x14ac:dyDescent="0.25">
      <c r="A329" s="427" t="str">
        <f t="shared" si="34"/>
        <v/>
      </c>
      <c r="B329" s="430" t="str">
        <f t="shared" si="30"/>
        <v/>
      </c>
      <c r="C329" s="433" t="str">
        <f>IFERROR(-LBP/2+HLOOKUP(Stn_WL,Tools!$AD$2:$AD$27,QUOTIENT(ROW()-2,Max_WL_count)+2,FALSE)*STN_GAP,"")</f>
        <v/>
      </c>
      <c r="D329" s="433" t="str">
        <f>IFERROR(VLOOKUP(HLOOKUP(Stn_WL,Tools!$AD$2:$AD$27,QUOTIENT(ROW()-2,Max_WL_count)+2,FALSE),Tools!$AD$3:$BC$27,MOD(ROW()-2,Max_WL_count)+2,FALSE),"")</f>
        <v/>
      </c>
      <c r="E329" s="431" t="str">
        <f>IFERROR(IF(ISNUMBER(D329),HLOOKUP(Tools!$BE$2,Tools!$BE$2:$BE$27,MOD(ROW()-2,Max_WL_count)+2,FALSE)*WLS,""),"")</f>
        <v/>
      </c>
      <c r="I329" s="427" t="str">
        <f t="shared" si="35"/>
        <v/>
      </c>
      <c r="J329" s="430" t="str">
        <f t="shared" si="31"/>
        <v/>
      </c>
      <c r="K329" s="433" t="str">
        <f>IFERROR(-LBP/2+HLOOKUP(Stn_WL,Tools!$AD$2:$AD$27,N329+2,FALSE)*STN_GAP,"")</f>
        <v/>
      </c>
      <c r="L329" s="433" t="str">
        <f>IFERROR(IF(AND(ISNUMBER(K329),O329=0),0,VLOOKUP(HLOOKUP(Stn_WL,Tools!$AD$2:$AD$27,N329+2,FALSE),Tools!$AD$3:$BC$27,O329+1,FALSE)),"")</f>
        <v/>
      </c>
      <c r="M329" s="433" t="str">
        <f>IFERROR(IF(ISNUMBER(L329),IF(O329=0,IFERROR(HLOOKUP(Tools!$BD$127,Tools!$BD$127:$BD$152,N329+2,FALSE)*1,0),HLOOKUP(Tools!$BE$2,Tools!$BE$2:$BE$27,O329+1,FALSE)*WLS),""),"")</f>
        <v/>
      </c>
      <c r="N329">
        <f t="shared" si="32"/>
        <v>25</v>
      </c>
      <c r="O329">
        <f t="shared" si="33"/>
        <v>2</v>
      </c>
    </row>
    <row r="330" spans="1:15" x14ac:dyDescent="0.25">
      <c r="A330" s="427" t="str">
        <f t="shared" si="34"/>
        <v/>
      </c>
      <c r="B330" s="430" t="str">
        <f t="shared" si="30"/>
        <v/>
      </c>
      <c r="C330" s="433" t="str">
        <f>IFERROR(-LBP/2+HLOOKUP(Stn_WL,Tools!$AD$2:$AD$27,QUOTIENT(ROW()-2,Max_WL_count)+2,FALSE)*STN_GAP,"")</f>
        <v/>
      </c>
      <c r="D330" s="433" t="str">
        <f>IFERROR(VLOOKUP(HLOOKUP(Stn_WL,Tools!$AD$2:$AD$27,QUOTIENT(ROW()-2,Max_WL_count)+2,FALSE),Tools!$AD$3:$BC$27,MOD(ROW()-2,Max_WL_count)+2,FALSE),"")</f>
        <v/>
      </c>
      <c r="E330" s="431" t="str">
        <f>IFERROR(IF(ISNUMBER(D330),HLOOKUP(Tools!$BE$2,Tools!$BE$2:$BE$27,MOD(ROW()-2,Max_WL_count)+2,FALSE)*WLS,""),"")</f>
        <v/>
      </c>
      <c r="I330" s="427" t="str">
        <f t="shared" si="35"/>
        <v/>
      </c>
      <c r="J330" s="430" t="str">
        <f t="shared" si="31"/>
        <v/>
      </c>
      <c r="K330" s="433" t="str">
        <f>IFERROR(-LBP/2+HLOOKUP(Stn_WL,Tools!$AD$2:$AD$27,N330+2,FALSE)*STN_GAP,"")</f>
        <v/>
      </c>
      <c r="L330" s="433" t="str">
        <f>IFERROR(IF(AND(ISNUMBER(K330),O330=0),0,VLOOKUP(HLOOKUP(Stn_WL,Tools!$AD$2:$AD$27,N330+2,FALSE),Tools!$AD$3:$BC$27,O330+1,FALSE)),"")</f>
        <v/>
      </c>
      <c r="M330" s="433" t="str">
        <f>IFERROR(IF(ISNUMBER(L330),IF(O330=0,IFERROR(HLOOKUP(Tools!$BD$127,Tools!$BD$127:$BD$152,N330+2,FALSE)*1,0),HLOOKUP(Tools!$BE$2,Tools!$BE$2:$BE$27,O330+1,FALSE)*WLS),""),"")</f>
        <v/>
      </c>
      <c r="N330">
        <f t="shared" si="32"/>
        <v>25</v>
      </c>
      <c r="O330">
        <f t="shared" si="33"/>
        <v>3</v>
      </c>
    </row>
    <row r="331" spans="1:15" x14ac:dyDescent="0.25">
      <c r="A331" s="427" t="str">
        <f t="shared" si="34"/>
        <v/>
      </c>
      <c r="B331" s="430" t="str">
        <f t="shared" si="30"/>
        <v/>
      </c>
      <c r="C331" s="433" t="str">
        <f>IFERROR(-LBP/2+HLOOKUP(Stn_WL,Tools!$AD$2:$AD$27,QUOTIENT(ROW()-2,Max_WL_count)+2,FALSE)*STN_GAP,"")</f>
        <v/>
      </c>
      <c r="D331" s="433" t="str">
        <f>IFERROR(VLOOKUP(HLOOKUP(Stn_WL,Tools!$AD$2:$AD$27,QUOTIENT(ROW()-2,Max_WL_count)+2,FALSE),Tools!$AD$3:$BC$27,MOD(ROW()-2,Max_WL_count)+2,FALSE),"")</f>
        <v/>
      </c>
      <c r="E331" s="431" t="str">
        <f>IFERROR(IF(ISNUMBER(D331),HLOOKUP(Tools!$BE$2,Tools!$BE$2:$BE$27,MOD(ROW()-2,Max_WL_count)+2,FALSE)*WLS,""),"")</f>
        <v/>
      </c>
      <c r="I331" s="427" t="str">
        <f t="shared" si="35"/>
        <v/>
      </c>
      <c r="J331" s="430" t="str">
        <f t="shared" si="31"/>
        <v/>
      </c>
      <c r="K331" s="433" t="str">
        <f>IFERROR(-LBP/2+HLOOKUP(Stn_WL,Tools!$AD$2:$AD$27,N331+2,FALSE)*STN_GAP,"")</f>
        <v/>
      </c>
      <c r="L331" s="433" t="str">
        <f>IFERROR(IF(AND(ISNUMBER(K331),O331=0),0,VLOOKUP(HLOOKUP(Stn_WL,Tools!$AD$2:$AD$27,N331+2,FALSE),Tools!$AD$3:$BC$27,O331+1,FALSE)),"")</f>
        <v/>
      </c>
      <c r="M331" s="433" t="str">
        <f>IFERROR(IF(ISNUMBER(L331),IF(O331=0,IFERROR(HLOOKUP(Tools!$BD$127,Tools!$BD$127:$BD$152,N331+2,FALSE)*1,0),HLOOKUP(Tools!$BE$2,Tools!$BE$2:$BE$27,O331+1,FALSE)*WLS),""),"")</f>
        <v/>
      </c>
      <c r="N331">
        <f t="shared" si="32"/>
        <v>25</v>
      </c>
      <c r="O331">
        <f t="shared" si="33"/>
        <v>4</v>
      </c>
    </row>
    <row r="332" spans="1:15" x14ac:dyDescent="0.25">
      <c r="A332" s="427" t="str">
        <f t="shared" si="34"/>
        <v/>
      </c>
      <c r="B332" s="430" t="str">
        <f t="shared" si="30"/>
        <v/>
      </c>
      <c r="C332" s="433" t="str">
        <f>IFERROR(-LBP/2+HLOOKUP(Stn_WL,Tools!$AD$2:$AD$27,QUOTIENT(ROW()-2,Max_WL_count)+2,FALSE)*STN_GAP,"")</f>
        <v/>
      </c>
      <c r="D332" s="433" t="str">
        <f>IFERROR(VLOOKUP(HLOOKUP(Stn_WL,Tools!$AD$2:$AD$27,QUOTIENT(ROW()-2,Max_WL_count)+2,FALSE),Tools!$AD$3:$BC$27,MOD(ROW()-2,Max_WL_count)+2,FALSE),"")</f>
        <v/>
      </c>
      <c r="E332" s="431" t="str">
        <f>IFERROR(IF(ISNUMBER(D332),HLOOKUP(Tools!$BE$2,Tools!$BE$2:$BE$27,MOD(ROW()-2,Max_WL_count)+2,FALSE)*WLS,""),"")</f>
        <v/>
      </c>
      <c r="I332" s="427" t="str">
        <f t="shared" si="35"/>
        <v/>
      </c>
      <c r="J332" s="430" t="str">
        <f t="shared" si="31"/>
        <v/>
      </c>
      <c r="K332" s="433" t="str">
        <f>IFERROR(-LBP/2+HLOOKUP(Stn_WL,Tools!$AD$2:$AD$27,N332+2,FALSE)*STN_GAP,"")</f>
        <v/>
      </c>
      <c r="L332" s="433" t="str">
        <f>IFERROR(IF(AND(ISNUMBER(K332),O332=0),0,VLOOKUP(HLOOKUP(Stn_WL,Tools!$AD$2:$AD$27,N332+2,FALSE),Tools!$AD$3:$BC$27,O332+1,FALSE)),"")</f>
        <v/>
      </c>
      <c r="M332" s="433" t="str">
        <f>IFERROR(IF(ISNUMBER(L332),IF(O332=0,IFERROR(HLOOKUP(Tools!$BD$127,Tools!$BD$127:$BD$152,N332+2,FALSE)*1,0),HLOOKUP(Tools!$BE$2,Tools!$BE$2:$BE$27,O332+1,FALSE)*WLS),""),"")</f>
        <v/>
      </c>
      <c r="N332">
        <f t="shared" si="32"/>
        <v>25</v>
      </c>
      <c r="O332">
        <f t="shared" si="33"/>
        <v>5</v>
      </c>
    </row>
    <row r="333" spans="1:15" x14ac:dyDescent="0.25">
      <c r="A333" s="427" t="str">
        <f t="shared" si="34"/>
        <v/>
      </c>
      <c r="B333" s="430" t="str">
        <f t="shared" si="30"/>
        <v/>
      </c>
      <c r="C333" s="433" t="str">
        <f>IFERROR(-LBP/2+HLOOKUP(Stn_WL,Tools!$AD$2:$AD$27,QUOTIENT(ROW()-2,Max_WL_count)+2,FALSE)*STN_GAP,"")</f>
        <v/>
      </c>
      <c r="D333" s="433" t="str">
        <f>IFERROR(VLOOKUP(HLOOKUP(Stn_WL,Tools!$AD$2:$AD$27,QUOTIENT(ROW()-2,Max_WL_count)+2,FALSE),Tools!$AD$3:$BC$27,MOD(ROW()-2,Max_WL_count)+2,FALSE),"")</f>
        <v/>
      </c>
      <c r="E333" s="431" t="str">
        <f>IFERROR(IF(ISNUMBER(D333),HLOOKUP(Tools!$BE$2,Tools!$BE$2:$BE$27,MOD(ROW()-2,Max_WL_count)+2,FALSE)*WLS,""),"")</f>
        <v/>
      </c>
      <c r="I333" s="427" t="str">
        <f t="shared" si="35"/>
        <v/>
      </c>
      <c r="J333" s="430" t="str">
        <f t="shared" si="31"/>
        <v/>
      </c>
      <c r="K333" s="433" t="str">
        <f>IFERROR(-LBP/2+HLOOKUP(Stn_WL,Tools!$AD$2:$AD$27,N333+2,FALSE)*STN_GAP,"")</f>
        <v/>
      </c>
      <c r="L333" s="433" t="str">
        <f>IFERROR(IF(AND(ISNUMBER(K333),O333=0),0,VLOOKUP(HLOOKUP(Stn_WL,Tools!$AD$2:$AD$27,N333+2,FALSE),Tools!$AD$3:$BC$27,O333+1,FALSE)),"")</f>
        <v/>
      </c>
      <c r="M333" s="433" t="str">
        <f>IFERROR(IF(ISNUMBER(L333),IF(O333=0,IFERROR(HLOOKUP(Tools!$BD$127,Tools!$BD$127:$BD$152,N333+2,FALSE)*1,0),HLOOKUP(Tools!$BE$2,Tools!$BE$2:$BE$27,O333+1,FALSE)*WLS),""),"")</f>
        <v/>
      </c>
      <c r="N333">
        <f t="shared" si="32"/>
        <v>25</v>
      </c>
      <c r="O333">
        <f t="shared" si="33"/>
        <v>6</v>
      </c>
    </row>
    <row r="334" spans="1:15" x14ac:dyDescent="0.25">
      <c r="A334" s="427" t="str">
        <f t="shared" si="34"/>
        <v/>
      </c>
      <c r="B334" s="430" t="str">
        <f t="shared" si="30"/>
        <v/>
      </c>
      <c r="C334" s="433" t="str">
        <f>IFERROR(-LBP/2+HLOOKUP(Stn_WL,Tools!$AD$2:$AD$27,QUOTIENT(ROW()-2,Max_WL_count)+2,FALSE)*STN_GAP,"")</f>
        <v/>
      </c>
      <c r="D334" s="433" t="str">
        <f>IFERROR(VLOOKUP(HLOOKUP(Stn_WL,Tools!$AD$2:$AD$27,QUOTIENT(ROW()-2,Max_WL_count)+2,FALSE),Tools!$AD$3:$BC$27,MOD(ROW()-2,Max_WL_count)+2,FALSE),"")</f>
        <v/>
      </c>
      <c r="E334" s="431" t="str">
        <f>IFERROR(IF(ISNUMBER(D334),HLOOKUP(Tools!$BE$2,Tools!$BE$2:$BE$27,MOD(ROW()-2,Max_WL_count)+2,FALSE)*WLS,""),"")</f>
        <v/>
      </c>
      <c r="I334" s="427" t="str">
        <f t="shared" si="35"/>
        <v/>
      </c>
      <c r="J334" s="430" t="str">
        <f t="shared" si="31"/>
        <v/>
      </c>
      <c r="K334" s="433" t="str">
        <f>IFERROR(-LBP/2+HLOOKUP(Stn_WL,Tools!$AD$2:$AD$27,N334+2,FALSE)*STN_GAP,"")</f>
        <v/>
      </c>
      <c r="L334" s="433" t="str">
        <f>IFERROR(IF(AND(ISNUMBER(K334),O334=0),0,VLOOKUP(HLOOKUP(Stn_WL,Tools!$AD$2:$AD$27,N334+2,FALSE),Tools!$AD$3:$BC$27,O334+1,FALSE)),"")</f>
        <v/>
      </c>
      <c r="M334" s="433" t="str">
        <f>IFERROR(IF(ISNUMBER(L334),IF(O334=0,IFERROR(HLOOKUP(Tools!$BD$127,Tools!$BD$127:$BD$152,N334+2,FALSE)*1,0),HLOOKUP(Tools!$BE$2,Tools!$BE$2:$BE$27,O334+1,FALSE)*WLS),""),"")</f>
        <v/>
      </c>
      <c r="N334">
        <f t="shared" si="32"/>
        <v>25</v>
      </c>
      <c r="O334">
        <f t="shared" si="33"/>
        <v>7</v>
      </c>
    </row>
    <row r="335" spans="1:15" x14ac:dyDescent="0.25">
      <c r="A335" s="427" t="str">
        <f t="shared" si="34"/>
        <v/>
      </c>
      <c r="B335" s="430" t="str">
        <f t="shared" si="30"/>
        <v/>
      </c>
      <c r="C335" s="433" t="str">
        <f>IFERROR(-LBP/2+HLOOKUP(Stn_WL,Tools!$AD$2:$AD$27,QUOTIENT(ROW()-2,Max_WL_count)+2,FALSE)*STN_GAP,"")</f>
        <v/>
      </c>
      <c r="D335" s="433" t="str">
        <f>IFERROR(VLOOKUP(HLOOKUP(Stn_WL,Tools!$AD$2:$AD$27,QUOTIENT(ROW()-2,Max_WL_count)+2,FALSE),Tools!$AD$3:$BC$27,MOD(ROW()-2,Max_WL_count)+2,FALSE),"")</f>
        <v/>
      </c>
      <c r="E335" s="431" t="str">
        <f>IFERROR(IF(ISNUMBER(D335),HLOOKUP(Tools!$BE$2,Tools!$BE$2:$BE$27,MOD(ROW()-2,Max_WL_count)+2,FALSE)*WLS,""),"")</f>
        <v/>
      </c>
      <c r="I335" s="427" t="str">
        <f t="shared" si="35"/>
        <v/>
      </c>
      <c r="J335" s="430" t="str">
        <f t="shared" si="31"/>
        <v/>
      </c>
      <c r="K335" s="433" t="str">
        <f>IFERROR(-LBP/2+HLOOKUP(Stn_WL,Tools!$AD$2:$AD$27,N335+2,FALSE)*STN_GAP,"")</f>
        <v/>
      </c>
      <c r="L335" s="433" t="str">
        <f>IFERROR(IF(AND(ISNUMBER(K335),O335=0),0,VLOOKUP(HLOOKUP(Stn_WL,Tools!$AD$2:$AD$27,N335+2,FALSE),Tools!$AD$3:$BC$27,O335+1,FALSE)),"")</f>
        <v/>
      </c>
      <c r="M335" s="433" t="str">
        <f>IFERROR(IF(ISNUMBER(L335),IF(O335=0,IFERROR(HLOOKUP(Tools!$BD$127,Tools!$BD$127:$BD$152,N335+2,FALSE)*1,0),HLOOKUP(Tools!$BE$2,Tools!$BE$2:$BE$27,O335+1,FALSE)*WLS),""),"")</f>
        <v/>
      </c>
      <c r="N335">
        <f t="shared" si="32"/>
        <v>25</v>
      </c>
      <c r="O335">
        <f t="shared" si="33"/>
        <v>8</v>
      </c>
    </row>
    <row r="336" spans="1:15" x14ac:dyDescent="0.25">
      <c r="A336" s="427" t="str">
        <f t="shared" si="34"/>
        <v/>
      </c>
      <c r="B336" s="430" t="str">
        <f t="shared" si="30"/>
        <v/>
      </c>
      <c r="C336" s="433" t="str">
        <f>IFERROR(-LBP/2+HLOOKUP(Stn_WL,Tools!$AD$2:$AD$27,QUOTIENT(ROW()-2,Max_WL_count)+2,FALSE)*STN_GAP,"")</f>
        <v/>
      </c>
      <c r="D336" s="433" t="str">
        <f>IFERROR(VLOOKUP(HLOOKUP(Stn_WL,Tools!$AD$2:$AD$27,QUOTIENT(ROW()-2,Max_WL_count)+2,FALSE),Tools!$AD$3:$BC$27,MOD(ROW()-2,Max_WL_count)+2,FALSE),"")</f>
        <v/>
      </c>
      <c r="E336" s="431" t="str">
        <f>IFERROR(IF(ISNUMBER(D336),HLOOKUP(Tools!$BE$2,Tools!$BE$2:$BE$27,MOD(ROW()-2,Max_WL_count)+2,FALSE)*WLS,""),"")</f>
        <v/>
      </c>
      <c r="I336" s="427" t="str">
        <f t="shared" si="35"/>
        <v/>
      </c>
      <c r="J336" s="430" t="str">
        <f t="shared" si="31"/>
        <v/>
      </c>
      <c r="K336" s="433" t="str">
        <f>IFERROR(-LBP/2+HLOOKUP(Stn_WL,Tools!$AD$2:$AD$27,N336+2,FALSE)*STN_GAP,"")</f>
        <v/>
      </c>
      <c r="L336" s="433" t="str">
        <f>IFERROR(IF(AND(ISNUMBER(K336),O336=0),0,VLOOKUP(HLOOKUP(Stn_WL,Tools!$AD$2:$AD$27,N336+2,FALSE),Tools!$AD$3:$BC$27,O336+1,FALSE)),"")</f>
        <v/>
      </c>
      <c r="M336" s="433" t="str">
        <f>IFERROR(IF(ISNUMBER(L336),IF(O336=0,IFERROR(HLOOKUP(Tools!$BD$127,Tools!$BD$127:$BD$152,N336+2,FALSE)*1,0),HLOOKUP(Tools!$BE$2,Tools!$BE$2:$BE$27,O336+1,FALSE)*WLS),""),"")</f>
        <v/>
      </c>
      <c r="N336">
        <f t="shared" si="32"/>
        <v>25</v>
      </c>
      <c r="O336">
        <f t="shared" si="33"/>
        <v>9</v>
      </c>
    </row>
    <row r="337" spans="1:15" x14ac:dyDescent="0.25">
      <c r="A337" s="427" t="str">
        <f t="shared" si="34"/>
        <v/>
      </c>
      <c r="B337" s="430" t="str">
        <f t="shared" si="30"/>
        <v/>
      </c>
      <c r="C337" s="433" t="str">
        <f>IFERROR(-LBP/2+HLOOKUP(Stn_WL,Tools!$AD$2:$AD$27,QUOTIENT(ROW()-2,Max_WL_count)+2,FALSE)*STN_GAP,"")</f>
        <v/>
      </c>
      <c r="D337" s="433" t="str">
        <f>IFERROR(VLOOKUP(HLOOKUP(Stn_WL,Tools!$AD$2:$AD$27,QUOTIENT(ROW()-2,Max_WL_count)+2,FALSE),Tools!$AD$3:$BC$27,MOD(ROW()-2,Max_WL_count)+2,FALSE),"")</f>
        <v/>
      </c>
      <c r="E337" s="431" t="str">
        <f>IFERROR(IF(ISNUMBER(D337),HLOOKUP(Tools!$BE$2,Tools!$BE$2:$BE$27,MOD(ROW()-2,Max_WL_count)+2,FALSE)*WLS,""),"")</f>
        <v/>
      </c>
      <c r="I337" s="427" t="str">
        <f t="shared" si="35"/>
        <v/>
      </c>
      <c r="J337" s="430" t="str">
        <f t="shared" si="31"/>
        <v/>
      </c>
      <c r="K337" s="433" t="str">
        <f>IFERROR(-LBP/2+HLOOKUP(Stn_WL,Tools!$AD$2:$AD$27,N337+2,FALSE)*STN_GAP,"")</f>
        <v/>
      </c>
      <c r="L337" s="433" t="str">
        <f>IFERROR(IF(AND(ISNUMBER(K337),O337=0),0,VLOOKUP(HLOOKUP(Stn_WL,Tools!$AD$2:$AD$27,N337+2,FALSE),Tools!$AD$3:$BC$27,O337+1,FALSE)),"")</f>
        <v/>
      </c>
      <c r="M337" s="433" t="str">
        <f>IFERROR(IF(ISNUMBER(L337),IF(O337=0,IFERROR(HLOOKUP(Tools!$BD$127,Tools!$BD$127:$BD$152,N337+2,FALSE)*1,0),HLOOKUP(Tools!$BE$2,Tools!$BE$2:$BE$27,O337+1,FALSE)*WLS),""),"")</f>
        <v/>
      </c>
      <c r="N337">
        <f t="shared" si="32"/>
        <v>25</v>
      </c>
      <c r="O337">
        <f t="shared" si="33"/>
        <v>10</v>
      </c>
    </row>
    <row r="338" spans="1:15" x14ac:dyDescent="0.25">
      <c r="A338" s="427" t="str">
        <f t="shared" si="34"/>
        <v/>
      </c>
      <c r="B338" s="430" t="str">
        <f t="shared" si="30"/>
        <v/>
      </c>
      <c r="C338" s="433" t="str">
        <f>IFERROR(-LBP/2+HLOOKUP(Stn_WL,Tools!$AD$2:$AD$27,QUOTIENT(ROW()-2,Max_WL_count)+2,FALSE)*STN_GAP,"")</f>
        <v/>
      </c>
      <c r="D338" s="433" t="str">
        <f>IFERROR(VLOOKUP(HLOOKUP(Stn_WL,Tools!$AD$2:$AD$27,QUOTIENT(ROW()-2,Max_WL_count)+2,FALSE),Tools!$AD$3:$BC$27,MOD(ROW()-2,Max_WL_count)+2,FALSE),"")</f>
        <v/>
      </c>
      <c r="E338" s="431" t="str">
        <f>IFERROR(IF(ISNUMBER(D338),HLOOKUP(Tools!$BE$2,Tools!$BE$2:$BE$27,MOD(ROW()-2,Max_WL_count)+2,FALSE)*WLS,""),"")</f>
        <v/>
      </c>
      <c r="I338" s="427" t="str">
        <f t="shared" si="35"/>
        <v/>
      </c>
      <c r="J338" s="430" t="str">
        <f t="shared" si="31"/>
        <v/>
      </c>
      <c r="K338" s="433" t="str">
        <f>IFERROR(-LBP/2+HLOOKUP(Stn_WL,Tools!$AD$2:$AD$27,N338+2,FALSE)*STN_GAP,"")</f>
        <v/>
      </c>
      <c r="L338" s="433" t="str">
        <f>IFERROR(IF(AND(ISNUMBER(K338),O338=0),0,VLOOKUP(HLOOKUP(Stn_WL,Tools!$AD$2:$AD$27,N338+2,FALSE),Tools!$AD$3:$BC$27,O338+1,FALSE)),"")</f>
        <v/>
      </c>
      <c r="M338" s="433" t="str">
        <f>IFERROR(IF(ISNUMBER(L338),IF(O338=0,IFERROR(HLOOKUP(Tools!$BD$127,Tools!$BD$127:$BD$152,N338+2,FALSE)*1,0),HLOOKUP(Tools!$BE$2,Tools!$BE$2:$BE$27,O338+1,FALSE)*WLS),""),"")</f>
        <v/>
      </c>
      <c r="N338">
        <f t="shared" si="32"/>
        <v>25</v>
      </c>
      <c r="O338">
        <f t="shared" si="33"/>
        <v>11</v>
      </c>
    </row>
    <row r="339" spans="1:15" x14ac:dyDescent="0.25">
      <c r="A339" s="427" t="str">
        <f t="shared" si="34"/>
        <v/>
      </c>
      <c r="B339" s="430" t="str">
        <f t="shared" si="30"/>
        <v/>
      </c>
      <c r="C339" s="433" t="str">
        <f>IFERROR(-LBP/2+HLOOKUP(Stn_WL,Tools!$AD$2:$AD$27,QUOTIENT(ROW()-2,Max_WL_count)+2,FALSE)*STN_GAP,"")</f>
        <v/>
      </c>
      <c r="D339" s="433" t="str">
        <f>IFERROR(VLOOKUP(HLOOKUP(Stn_WL,Tools!$AD$2:$AD$27,QUOTIENT(ROW()-2,Max_WL_count)+2,FALSE),Tools!$AD$3:$BC$27,MOD(ROW()-2,Max_WL_count)+2,FALSE),"")</f>
        <v/>
      </c>
      <c r="E339" s="431" t="str">
        <f>IFERROR(IF(ISNUMBER(D339),HLOOKUP(Tools!$BE$2,Tools!$BE$2:$BE$27,MOD(ROW()-2,Max_WL_count)+2,FALSE)*WLS,""),"")</f>
        <v/>
      </c>
      <c r="I339" s="427" t="str">
        <f t="shared" si="35"/>
        <v/>
      </c>
      <c r="J339" s="430" t="str">
        <f t="shared" si="31"/>
        <v/>
      </c>
      <c r="K339" s="433" t="str">
        <f>IFERROR(-LBP/2+HLOOKUP(Stn_WL,Tools!$AD$2:$AD$27,N339+2,FALSE)*STN_GAP,"")</f>
        <v/>
      </c>
      <c r="L339" s="433" t="str">
        <f>IFERROR(IF(AND(ISNUMBER(K339),O339=0),0,VLOOKUP(HLOOKUP(Stn_WL,Tools!$AD$2:$AD$27,N339+2,FALSE),Tools!$AD$3:$BC$27,O339+1,FALSE)),"")</f>
        <v/>
      </c>
      <c r="M339" s="433" t="str">
        <f>IFERROR(IF(ISNUMBER(L339),IF(O339=0,IFERROR(HLOOKUP(Tools!$BD$127,Tools!$BD$127:$BD$152,N339+2,FALSE)*1,0),HLOOKUP(Tools!$BE$2,Tools!$BE$2:$BE$27,O339+1,FALSE)*WLS),""),"")</f>
        <v/>
      </c>
      <c r="N339">
        <f t="shared" si="32"/>
        <v>25</v>
      </c>
      <c r="O339">
        <f t="shared" si="33"/>
        <v>12</v>
      </c>
    </row>
    <row r="340" spans="1:15" x14ac:dyDescent="0.25">
      <c r="A340" s="427" t="str">
        <f t="shared" si="34"/>
        <v/>
      </c>
      <c r="B340" s="430" t="str">
        <f t="shared" si="30"/>
        <v/>
      </c>
      <c r="C340" s="433" t="str">
        <f>IFERROR(-LBP/2+HLOOKUP(Stn_WL,Tools!$AD$2:$AD$27,QUOTIENT(ROW()-2,Max_WL_count)+2,FALSE)*STN_GAP,"")</f>
        <v/>
      </c>
      <c r="D340" s="433" t="str">
        <f>IFERROR(VLOOKUP(HLOOKUP(Stn_WL,Tools!$AD$2:$AD$27,QUOTIENT(ROW()-2,Max_WL_count)+2,FALSE),Tools!$AD$3:$BC$27,MOD(ROW()-2,Max_WL_count)+2,FALSE),"")</f>
        <v/>
      </c>
      <c r="E340" s="431" t="str">
        <f>IFERROR(IF(ISNUMBER(D340),HLOOKUP(Tools!$BE$2,Tools!$BE$2:$BE$27,MOD(ROW()-2,Max_WL_count)+2,FALSE)*WLS,""),"")</f>
        <v/>
      </c>
      <c r="I340" s="427" t="str">
        <f t="shared" si="35"/>
        <v/>
      </c>
      <c r="J340" s="430" t="str">
        <f t="shared" si="31"/>
        <v/>
      </c>
      <c r="K340" s="433" t="str">
        <f>IFERROR(-LBP/2+HLOOKUP(Stn_WL,Tools!$AD$2:$AD$27,N340+2,FALSE)*STN_GAP,"")</f>
        <v/>
      </c>
      <c r="L340" s="433" t="str">
        <f>IFERROR(IF(AND(ISNUMBER(K340),O340=0),0,VLOOKUP(HLOOKUP(Stn_WL,Tools!$AD$2:$AD$27,N340+2,FALSE),Tools!$AD$3:$BC$27,O340+1,FALSE)),"")</f>
        <v/>
      </c>
      <c r="M340" s="433" t="str">
        <f>IFERROR(IF(ISNUMBER(L340),IF(O340=0,IFERROR(HLOOKUP(Tools!$BD$127,Tools!$BD$127:$BD$152,N340+2,FALSE)*1,0),HLOOKUP(Tools!$BE$2,Tools!$BE$2:$BE$27,O340+1,FALSE)*WLS),""),"")</f>
        <v/>
      </c>
      <c r="N340">
        <f t="shared" si="32"/>
        <v>26</v>
      </c>
      <c r="O340">
        <f t="shared" si="33"/>
        <v>0</v>
      </c>
    </row>
    <row r="341" spans="1:15" x14ac:dyDescent="0.25">
      <c r="A341" s="427" t="str">
        <f t="shared" si="34"/>
        <v/>
      </c>
      <c r="B341" s="430" t="str">
        <f t="shared" si="30"/>
        <v/>
      </c>
      <c r="C341" s="433" t="str">
        <f>IFERROR(-LBP/2+HLOOKUP(Stn_WL,Tools!$AD$2:$AD$27,QUOTIENT(ROW()-2,Max_WL_count)+2,FALSE)*STN_GAP,"")</f>
        <v/>
      </c>
      <c r="D341" s="433" t="str">
        <f>IFERROR(VLOOKUP(HLOOKUP(Stn_WL,Tools!$AD$2:$AD$27,QUOTIENT(ROW()-2,Max_WL_count)+2,FALSE),Tools!$AD$3:$BC$27,MOD(ROW()-2,Max_WL_count)+2,FALSE),"")</f>
        <v/>
      </c>
      <c r="E341" s="431" t="str">
        <f>IFERROR(IF(ISNUMBER(D341),HLOOKUP(Tools!$BE$2,Tools!$BE$2:$BE$27,MOD(ROW()-2,Max_WL_count)+2,FALSE)*WLS,""),"")</f>
        <v/>
      </c>
      <c r="I341" s="427" t="str">
        <f t="shared" si="35"/>
        <v/>
      </c>
      <c r="J341" s="430" t="str">
        <f t="shared" si="31"/>
        <v/>
      </c>
      <c r="K341" s="433" t="str">
        <f>IFERROR(-LBP/2+HLOOKUP(Stn_WL,Tools!$AD$2:$AD$27,N341+2,FALSE)*STN_GAP,"")</f>
        <v/>
      </c>
      <c r="L341" s="433" t="str">
        <f>IFERROR(IF(AND(ISNUMBER(K341),O341=0),0,VLOOKUP(HLOOKUP(Stn_WL,Tools!$AD$2:$AD$27,N341+2,FALSE),Tools!$AD$3:$BC$27,O341+1,FALSE)),"")</f>
        <v/>
      </c>
      <c r="M341" s="433" t="str">
        <f>IFERROR(IF(ISNUMBER(L341),IF(O341=0,IFERROR(HLOOKUP(Tools!$BD$127,Tools!$BD$127:$BD$152,N341+2,FALSE)*1,0),HLOOKUP(Tools!$BE$2,Tools!$BE$2:$BE$27,O341+1,FALSE)*WLS),""),"")</f>
        <v/>
      </c>
      <c r="N341">
        <f t="shared" si="32"/>
        <v>26</v>
      </c>
      <c r="O341">
        <f t="shared" si="33"/>
        <v>1</v>
      </c>
    </row>
    <row r="342" spans="1:15" x14ac:dyDescent="0.25">
      <c r="A342" s="427" t="str">
        <f t="shared" si="34"/>
        <v/>
      </c>
      <c r="B342" s="430" t="str">
        <f t="shared" si="30"/>
        <v/>
      </c>
      <c r="C342" s="433" t="str">
        <f>IFERROR(-LBP/2+HLOOKUP(Stn_WL,Tools!$AD$2:$AD$27,QUOTIENT(ROW()-2,Max_WL_count)+2,FALSE)*STN_GAP,"")</f>
        <v/>
      </c>
      <c r="D342" s="433" t="str">
        <f>IFERROR(VLOOKUP(HLOOKUP(Stn_WL,Tools!$AD$2:$AD$27,QUOTIENT(ROW()-2,Max_WL_count)+2,FALSE),Tools!$AD$3:$BC$27,MOD(ROW()-2,Max_WL_count)+2,FALSE),"")</f>
        <v/>
      </c>
      <c r="E342" s="431" t="str">
        <f>IFERROR(IF(ISNUMBER(D342),HLOOKUP(Tools!$BE$2,Tools!$BE$2:$BE$27,MOD(ROW()-2,Max_WL_count)+2,FALSE)*WLS,""),"")</f>
        <v/>
      </c>
      <c r="I342" s="427" t="str">
        <f t="shared" si="35"/>
        <v/>
      </c>
      <c r="J342" s="430" t="str">
        <f t="shared" si="31"/>
        <v/>
      </c>
      <c r="K342" s="433" t="str">
        <f>IFERROR(-LBP/2+HLOOKUP(Stn_WL,Tools!$AD$2:$AD$27,N342+2,FALSE)*STN_GAP,"")</f>
        <v/>
      </c>
      <c r="L342" s="433" t="str">
        <f>IFERROR(IF(AND(ISNUMBER(K342),O342=0),0,VLOOKUP(HLOOKUP(Stn_WL,Tools!$AD$2:$AD$27,N342+2,FALSE),Tools!$AD$3:$BC$27,O342+1,FALSE)),"")</f>
        <v/>
      </c>
      <c r="M342" s="433" t="str">
        <f>IFERROR(IF(ISNUMBER(L342),IF(O342=0,IFERROR(HLOOKUP(Tools!$BD$127,Tools!$BD$127:$BD$152,N342+2,FALSE)*1,0),HLOOKUP(Tools!$BE$2,Tools!$BE$2:$BE$27,O342+1,FALSE)*WLS),""),"")</f>
        <v/>
      </c>
      <c r="N342">
        <f t="shared" si="32"/>
        <v>26</v>
      </c>
      <c r="O342">
        <f t="shared" si="33"/>
        <v>2</v>
      </c>
    </row>
    <row r="343" spans="1:15" x14ac:dyDescent="0.25">
      <c r="A343" s="427" t="str">
        <f t="shared" si="34"/>
        <v/>
      </c>
      <c r="B343" s="430" t="str">
        <f t="shared" si="30"/>
        <v/>
      </c>
      <c r="C343" s="433" t="str">
        <f>IFERROR(-LBP/2+HLOOKUP(Stn_WL,Tools!$AD$2:$AD$27,QUOTIENT(ROW()-2,Max_WL_count)+2,FALSE)*STN_GAP,"")</f>
        <v/>
      </c>
      <c r="D343" s="433" t="str">
        <f>IFERROR(VLOOKUP(HLOOKUP(Stn_WL,Tools!$AD$2:$AD$27,QUOTIENT(ROW()-2,Max_WL_count)+2,FALSE),Tools!$AD$3:$BC$27,MOD(ROW()-2,Max_WL_count)+2,FALSE),"")</f>
        <v/>
      </c>
      <c r="E343" s="431" t="str">
        <f>IFERROR(IF(ISNUMBER(D343),HLOOKUP(Tools!$BE$2,Tools!$BE$2:$BE$27,MOD(ROW()-2,Max_WL_count)+2,FALSE)*WLS,""),"")</f>
        <v/>
      </c>
      <c r="I343" s="427" t="str">
        <f t="shared" si="35"/>
        <v/>
      </c>
      <c r="J343" s="430" t="str">
        <f t="shared" si="31"/>
        <v/>
      </c>
      <c r="K343" s="433" t="str">
        <f>IFERROR(-LBP/2+HLOOKUP(Stn_WL,Tools!$AD$2:$AD$27,N343+2,FALSE)*STN_GAP,"")</f>
        <v/>
      </c>
      <c r="L343" s="433" t="str">
        <f>IFERROR(IF(AND(ISNUMBER(K343),O343=0),0,VLOOKUP(HLOOKUP(Stn_WL,Tools!$AD$2:$AD$27,N343+2,FALSE),Tools!$AD$3:$BC$27,O343+1,FALSE)),"")</f>
        <v/>
      </c>
      <c r="M343" s="433" t="str">
        <f>IFERROR(IF(ISNUMBER(L343),IF(O343=0,IFERROR(HLOOKUP(Tools!$BD$127,Tools!$BD$127:$BD$152,N343+2,FALSE)*1,0),HLOOKUP(Tools!$BE$2,Tools!$BE$2:$BE$27,O343+1,FALSE)*WLS),""),"")</f>
        <v/>
      </c>
      <c r="N343">
        <f t="shared" si="32"/>
        <v>26</v>
      </c>
      <c r="O343">
        <f t="shared" si="33"/>
        <v>3</v>
      </c>
    </row>
    <row r="344" spans="1:15" x14ac:dyDescent="0.25">
      <c r="A344" s="427" t="str">
        <f t="shared" si="34"/>
        <v/>
      </c>
      <c r="B344" s="430" t="str">
        <f t="shared" si="30"/>
        <v/>
      </c>
      <c r="C344" s="433" t="str">
        <f>IFERROR(-LBP/2+HLOOKUP(Stn_WL,Tools!$AD$2:$AD$27,QUOTIENT(ROW()-2,Max_WL_count)+2,FALSE)*STN_GAP,"")</f>
        <v/>
      </c>
      <c r="D344" s="433" t="str">
        <f>IFERROR(VLOOKUP(HLOOKUP(Stn_WL,Tools!$AD$2:$AD$27,QUOTIENT(ROW()-2,Max_WL_count)+2,FALSE),Tools!$AD$3:$BC$27,MOD(ROW()-2,Max_WL_count)+2,FALSE),"")</f>
        <v/>
      </c>
      <c r="E344" s="431" t="str">
        <f>IFERROR(IF(ISNUMBER(D344),HLOOKUP(Tools!$BE$2,Tools!$BE$2:$BE$27,MOD(ROW()-2,Max_WL_count)+2,FALSE)*WLS,""),"")</f>
        <v/>
      </c>
      <c r="I344" s="427" t="str">
        <f t="shared" si="35"/>
        <v/>
      </c>
      <c r="J344" s="430" t="str">
        <f t="shared" si="31"/>
        <v/>
      </c>
      <c r="K344" s="433" t="str">
        <f>IFERROR(-LBP/2+HLOOKUP(Stn_WL,Tools!$AD$2:$AD$27,N344+2,FALSE)*STN_GAP,"")</f>
        <v/>
      </c>
      <c r="L344" s="433" t="str">
        <f>IFERROR(IF(AND(ISNUMBER(K344),O344=0),0,VLOOKUP(HLOOKUP(Stn_WL,Tools!$AD$2:$AD$27,N344+2,FALSE),Tools!$AD$3:$BC$27,O344+1,FALSE)),"")</f>
        <v/>
      </c>
      <c r="M344" s="433" t="str">
        <f>IFERROR(IF(ISNUMBER(L344),IF(O344=0,IFERROR(HLOOKUP(Tools!$BD$127,Tools!$BD$127:$BD$152,N344+2,FALSE)*1,0),HLOOKUP(Tools!$BE$2,Tools!$BE$2:$BE$27,O344+1,FALSE)*WLS),""),"")</f>
        <v/>
      </c>
      <c r="N344">
        <f t="shared" si="32"/>
        <v>26</v>
      </c>
      <c r="O344">
        <f t="shared" si="33"/>
        <v>4</v>
      </c>
    </row>
    <row r="345" spans="1:15" x14ac:dyDescent="0.25">
      <c r="A345" s="427" t="str">
        <f t="shared" si="34"/>
        <v/>
      </c>
      <c r="B345" s="430" t="str">
        <f t="shared" si="30"/>
        <v/>
      </c>
      <c r="C345" s="433" t="str">
        <f>IFERROR(-LBP/2+HLOOKUP(Stn_WL,Tools!$AD$2:$AD$27,QUOTIENT(ROW()-2,Max_WL_count)+2,FALSE)*STN_GAP,"")</f>
        <v/>
      </c>
      <c r="D345" s="433" t="str">
        <f>IFERROR(VLOOKUP(HLOOKUP(Stn_WL,Tools!$AD$2:$AD$27,QUOTIENT(ROW()-2,Max_WL_count)+2,FALSE),Tools!$AD$3:$BC$27,MOD(ROW()-2,Max_WL_count)+2,FALSE),"")</f>
        <v/>
      </c>
      <c r="E345" s="431" t="str">
        <f>IFERROR(IF(ISNUMBER(D345),HLOOKUP(Tools!$BE$2,Tools!$BE$2:$BE$27,MOD(ROW()-2,Max_WL_count)+2,FALSE)*WLS,""),"")</f>
        <v/>
      </c>
      <c r="I345" s="427" t="str">
        <f t="shared" si="35"/>
        <v/>
      </c>
      <c r="J345" s="430" t="str">
        <f t="shared" si="31"/>
        <v/>
      </c>
      <c r="K345" s="433" t="str">
        <f>IFERROR(-LBP/2+HLOOKUP(Stn_WL,Tools!$AD$2:$AD$27,N345+2,FALSE)*STN_GAP,"")</f>
        <v/>
      </c>
      <c r="L345" s="433" t="str">
        <f>IFERROR(IF(AND(ISNUMBER(K345),O345=0),0,VLOOKUP(HLOOKUP(Stn_WL,Tools!$AD$2:$AD$27,N345+2,FALSE),Tools!$AD$3:$BC$27,O345+1,FALSE)),"")</f>
        <v/>
      </c>
      <c r="M345" s="433" t="str">
        <f>IFERROR(IF(ISNUMBER(L345),IF(O345=0,IFERROR(HLOOKUP(Tools!$BD$127,Tools!$BD$127:$BD$152,N345+2,FALSE)*1,0),HLOOKUP(Tools!$BE$2,Tools!$BE$2:$BE$27,O345+1,FALSE)*WLS),""),"")</f>
        <v/>
      </c>
      <c r="N345">
        <f t="shared" si="32"/>
        <v>26</v>
      </c>
      <c r="O345">
        <f t="shared" si="33"/>
        <v>5</v>
      </c>
    </row>
    <row r="346" spans="1:15" x14ac:dyDescent="0.25">
      <c r="A346" s="427" t="str">
        <f t="shared" si="34"/>
        <v/>
      </c>
      <c r="B346" s="430" t="str">
        <f t="shared" si="30"/>
        <v/>
      </c>
      <c r="C346" s="433" t="str">
        <f>IFERROR(-LBP/2+HLOOKUP(Stn_WL,Tools!$AD$2:$AD$27,QUOTIENT(ROW()-2,Max_WL_count)+2,FALSE)*STN_GAP,"")</f>
        <v/>
      </c>
      <c r="D346" s="433" t="str">
        <f>IFERROR(VLOOKUP(HLOOKUP(Stn_WL,Tools!$AD$2:$AD$27,QUOTIENT(ROW()-2,Max_WL_count)+2,FALSE),Tools!$AD$3:$BC$27,MOD(ROW()-2,Max_WL_count)+2,FALSE),"")</f>
        <v/>
      </c>
      <c r="E346" s="431" t="str">
        <f>IFERROR(IF(ISNUMBER(D346),HLOOKUP(Tools!$BE$2,Tools!$BE$2:$BE$27,MOD(ROW()-2,Max_WL_count)+2,FALSE)*WLS,""),"")</f>
        <v/>
      </c>
      <c r="I346" s="427" t="str">
        <f t="shared" si="35"/>
        <v/>
      </c>
      <c r="J346" s="430" t="str">
        <f t="shared" si="31"/>
        <v/>
      </c>
      <c r="K346" s="433" t="str">
        <f>IFERROR(-LBP/2+HLOOKUP(Stn_WL,Tools!$AD$2:$AD$27,N346+2,FALSE)*STN_GAP,"")</f>
        <v/>
      </c>
      <c r="L346" s="433" t="str">
        <f>IFERROR(IF(AND(ISNUMBER(K346),O346=0),0,VLOOKUP(HLOOKUP(Stn_WL,Tools!$AD$2:$AD$27,N346+2,FALSE),Tools!$AD$3:$BC$27,O346+1,FALSE)),"")</f>
        <v/>
      </c>
      <c r="M346" s="433" t="str">
        <f>IFERROR(IF(ISNUMBER(L346),IF(O346=0,IFERROR(HLOOKUP(Tools!$BD$127,Tools!$BD$127:$BD$152,N346+2,FALSE)*1,0),HLOOKUP(Tools!$BE$2,Tools!$BE$2:$BE$27,O346+1,FALSE)*WLS),""),"")</f>
        <v/>
      </c>
      <c r="N346">
        <f t="shared" si="32"/>
        <v>26</v>
      </c>
      <c r="O346">
        <f t="shared" si="33"/>
        <v>6</v>
      </c>
    </row>
    <row r="347" spans="1:15" x14ac:dyDescent="0.25">
      <c r="A347" s="427" t="str">
        <f t="shared" si="34"/>
        <v/>
      </c>
      <c r="B347" s="430" t="str">
        <f t="shared" si="30"/>
        <v/>
      </c>
      <c r="C347" s="433" t="str">
        <f>IFERROR(-LBP/2+HLOOKUP(Stn_WL,Tools!$AD$2:$AD$27,QUOTIENT(ROW()-2,Max_WL_count)+2,FALSE)*STN_GAP,"")</f>
        <v/>
      </c>
      <c r="D347" s="433" t="str">
        <f>IFERROR(VLOOKUP(HLOOKUP(Stn_WL,Tools!$AD$2:$AD$27,QUOTIENT(ROW()-2,Max_WL_count)+2,FALSE),Tools!$AD$3:$BC$27,MOD(ROW()-2,Max_WL_count)+2,FALSE),"")</f>
        <v/>
      </c>
      <c r="E347" s="431" t="str">
        <f>IFERROR(IF(ISNUMBER(D347),HLOOKUP(Tools!$BE$2,Tools!$BE$2:$BE$27,MOD(ROW()-2,Max_WL_count)+2,FALSE)*WLS,""),"")</f>
        <v/>
      </c>
      <c r="I347" s="427" t="str">
        <f t="shared" si="35"/>
        <v/>
      </c>
      <c r="J347" s="430" t="str">
        <f t="shared" si="31"/>
        <v/>
      </c>
      <c r="K347" s="433" t="str">
        <f>IFERROR(-LBP/2+HLOOKUP(Stn_WL,Tools!$AD$2:$AD$27,N347+2,FALSE)*STN_GAP,"")</f>
        <v/>
      </c>
      <c r="L347" s="433" t="str">
        <f>IFERROR(IF(AND(ISNUMBER(K347),O347=0),0,VLOOKUP(HLOOKUP(Stn_WL,Tools!$AD$2:$AD$27,N347+2,FALSE),Tools!$AD$3:$BC$27,O347+1,FALSE)),"")</f>
        <v/>
      </c>
      <c r="M347" s="433" t="str">
        <f>IFERROR(IF(ISNUMBER(L347),IF(O347=0,IFERROR(HLOOKUP(Tools!$BD$127,Tools!$BD$127:$BD$152,N347+2,FALSE)*1,0),HLOOKUP(Tools!$BE$2,Tools!$BE$2:$BE$27,O347+1,FALSE)*WLS),""),"")</f>
        <v/>
      </c>
      <c r="N347">
        <f t="shared" si="32"/>
        <v>26</v>
      </c>
      <c r="O347">
        <f t="shared" si="33"/>
        <v>7</v>
      </c>
    </row>
    <row r="348" spans="1:15" x14ac:dyDescent="0.25">
      <c r="A348" s="427" t="str">
        <f t="shared" si="34"/>
        <v/>
      </c>
      <c r="B348" s="430" t="str">
        <f t="shared" si="30"/>
        <v/>
      </c>
      <c r="C348" s="433" t="str">
        <f>IFERROR(-LBP/2+HLOOKUP(Stn_WL,Tools!$AD$2:$AD$27,QUOTIENT(ROW()-2,Max_WL_count)+2,FALSE)*STN_GAP,"")</f>
        <v/>
      </c>
      <c r="D348" s="433" t="str">
        <f>IFERROR(VLOOKUP(HLOOKUP(Stn_WL,Tools!$AD$2:$AD$27,QUOTIENT(ROW()-2,Max_WL_count)+2,FALSE),Tools!$AD$3:$BC$27,MOD(ROW()-2,Max_WL_count)+2,FALSE),"")</f>
        <v/>
      </c>
      <c r="E348" s="431" t="str">
        <f>IFERROR(IF(ISNUMBER(D348),HLOOKUP(Tools!$BE$2,Tools!$BE$2:$BE$27,MOD(ROW()-2,Max_WL_count)+2,FALSE)*WLS,""),"")</f>
        <v/>
      </c>
      <c r="I348" s="427" t="str">
        <f t="shared" si="35"/>
        <v/>
      </c>
      <c r="J348" s="430" t="str">
        <f t="shared" si="31"/>
        <v/>
      </c>
      <c r="K348" s="433" t="str">
        <f>IFERROR(-LBP/2+HLOOKUP(Stn_WL,Tools!$AD$2:$AD$27,N348+2,FALSE)*STN_GAP,"")</f>
        <v/>
      </c>
      <c r="L348" s="433" t="str">
        <f>IFERROR(IF(AND(ISNUMBER(K348),O348=0),0,VLOOKUP(HLOOKUP(Stn_WL,Tools!$AD$2:$AD$27,N348+2,FALSE),Tools!$AD$3:$BC$27,O348+1,FALSE)),"")</f>
        <v/>
      </c>
      <c r="M348" s="433" t="str">
        <f>IFERROR(IF(ISNUMBER(L348),IF(O348=0,IFERROR(HLOOKUP(Tools!$BD$127,Tools!$BD$127:$BD$152,N348+2,FALSE)*1,0),HLOOKUP(Tools!$BE$2,Tools!$BE$2:$BE$27,O348+1,FALSE)*WLS),""),"")</f>
        <v/>
      </c>
      <c r="N348">
        <f t="shared" si="32"/>
        <v>26</v>
      </c>
      <c r="O348">
        <f t="shared" si="33"/>
        <v>8</v>
      </c>
    </row>
    <row r="349" spans="1:15" x14ac:dyDescent="0.25">
      <c r="A349" s="427" t="str">
        <f t="shared" si="34"/>
        <v/>
      </c>
      <c r="B349" s="430" t="str">
        <f t="shared" si="30"/>
        <v/>
      </c>
      <c r="C349" s="433" t="str">
        <f>IFERROR(-LBP/2+HLOOKUP(Stn_WL,Tools!$AD$2:$AD$27,QUOTIENT(ROW()-2,Max_WL_count)+2,FALSE)*STN_GAP,"")</f>
        <v/>
      </c>
      <c r="D349" s="433" t="str">
        <f>IFERROR(VLOOKUP(HLOOKUP(Stn_WL,Tools!$AD$2:$AD$27,QUOTIENT(ROW()-2,Max_WL_count)+2,FALSE),Tools!$AD$3:$BC$27,MOD(ROW()-2,Max_WL_count)+2,FALSE),"")</f>
        <v/>
      </c>
      <c r="E349" s="431" t="str">
        <f>IFERROR(IF(ISNUMBER(D349),HLOOKUP(Tools!$BE$2,Tools!$BE$2:$BE$27,MOD(ROW()-2,Max_WL_count)+2,FALSE)*WLS,""),"")</f>
        <v/>
      </c>
      <c r="I349" s="427" t="str">
        <f t="shared" si="35"/>
        <v/>
      </c>
      <c r="J349" s="430" t="str">
        <f t="shared" si="31"/>
        <v/>
      </c>
      <c r="K349" s="433" t="str">
        <f>IFERROR(-LBP/2+HLOOKUP(Stn_WL,Tools!$AD$2:$AD$27,N349+2,FALSE)*STN_GAP,"")</f>
        <v/>
      </c>
      <c r="L349" s="433" t="str">
        <f>IFERROR(IF(AND(ISNUMBER(K349),O349=0),0,VLOOKUP(HLOOKUP(Stn_WL,Tools!$AD$2:$AD$27,N349+2,FALSE),Tools!$AD$3:$BC$27,O349+1,FALSE)),"")</f>
        <v/>
      </c>
      <c r="M349" s="433" t="str">
        <f>IFERROR(IF(ISNUMBER(L349),IF(O349=0,IFERROR(HLOOKUP(Tools!$BD$127,Tools!$BD$127:$BD$152,N349+2,FALSE)*1,0),HLOOKUP(Tools!$BE$2,Tools!$BE$2:$BE$27,O349+1,FALSE)*WLS),""),"")</f>
        <v/>
      </c>
      <c r="N349">
        <f t="shared" si="32"/>
        <v>26</v>
      </c>
      <c r="O349">
        <f t="shared" si="33"/>
        <v>9</v>
      </c>
    </row>
    <row r="350" spans="1:15" x14ac:dyDescent="0.25">
      <c r="A350" s="427" t="str">
        <f t="shared" si="34"/>
        <v/>
      </c>
      <c r="B350" s="430" t="str">
        <f t="shared" si="30"/>
        <v/>
      </c>
      <c r="C350" s="433" t="str">
        <f>IFERROR(-LBP/2+HLOOKUP(Stn_WL,Tools!$AD$2:$AD$27,QUOTIENT(ROW()-2,Max_WL_count)+2,FALSE)*STN_GAP,"")</f>
        <v/>
      </c>
      <c r="D350" s="433" t="str">
        <f>IFERROR(VLOOKUP(HLOOKUP(Stn_WL,Tools!$AD$2:$AD$27,QUOTIENT(ROW()-2,Max_WL_count)+2,FALSE),Tools!$AD$3:$BC$27,MOD(ROW()-2,Max_WL_count)+2,FALSE),"")</f>
        <v/>
      </c>
      <c r="E350" s="431" t="str">
        <f>IFERROR(IF(ISNUMBER(D350),HLOOKUP(Tools!$BE$2,Tools!$BE$2:$BE$27,MOD(ROW()-2,Max_WL_count)+2,FALSE)*WLS,""),"")</f>
        <v/>
      </c>
      <c r="I350" s="427" t="str">
        <f t="shared" si="35"/>
        <v/>
      </c>
      <c r="J350" s="430" t="str">
        <f t="shared" si="31"/>
        <v/>
      </c>
      <c r="K350" s="433" t="str">
        <f>IFERROR(-LBP/2+HLOOKUP(Stn_WL,Tools!$AD$2:$AD$27,N350+2,FALSE)*STN_GAP,"")</f>
        <v/>
      </c>
      <c r="L350" s="433" t="str">
        <f>IFERROR(IF(AND(ISNUMBER(K350),O350=0),0,VLOOKUP(HLOOKUP(Stn_WL,Tools!$AD$2:$AD$27,N350+2,FALSE),Tools!$AD$3:$BC$27,O350+1,FALSE)),"")</f>
        <v/>
      </c>
      <c r="M350" s="433" t="str">
        <f>IFERROR(IF(ISNUMBER(L350),IF(O350=0,IFERROR(HLOOKUP(Tools!$BD$127,Tools!$BD$127:$BD$152,N350+2,FALSE)*1,0),HLOOKUP(Tools!$BE$2,Tools!$BE$2:$BE$27,O350+1,FALSE)*WLS),""),"")</f>
        <v/>
      </c>
      <c r="N350">
        <f t="shared" si="32"/>
        <v>26</v>
      </c>
      <c r="O350">
        <f t="shared" si="33"/>
        <v>10</v>
      </c>
    </row>
    <row r="351" spans="1:15" x14ac:dyDescent="0.25">
      <c r="A351" s="427" t="str">
        <f t="shared" si="34"/>
        <v/>
      </c>
      <c r="B351" s="430" t="str">
        <f t="shared" si="30"/>
        <v/>
      </c>
      <c r="C351" s="433" t="str">
        <f>IFERROR(-LBP/2+HLOOKUP(Stn_WL,Tools!$AD$2:$AD$27,QUOTIENT(ROW()-2,Max_WL_count)+2,FALSE)*STN_GAP,"")</f>
        <v/>
      </c>
      <c r="D351" s="433" t="str">
        <f>IFERROR(VLOOKUP(HLOOKUP(Stn_WL,Tools!$AD$2:$AD$27,QUOTIENT(ROW()-2,Max_WL_count)+2,FALSE),Tools!$AD$3:$BC$27,MOD(ROW()-2,Max_WL_count)+2,FALSE),"")</f>
        <v/>
      </c>
      <c r="E351" s="431" t="str">
        <f>IFERROR(IF(ISNUMBER(D351),HLOOKUP(Tools!$BE$2,Tools!$BE$2:$BE$27,MOD(ROW()-2,Max_WL_count)+2,FALSE)*WLS,""),"")</f>
        <v/>
      </c>
      <c r="I351" s="427" t="str">
        <f t="shared" si="35"/>
        <v/>
      </c>
      <c r="J351" s="430" t="str">
        <f t="shared" si="31"/>
        <v/>
      </c>
      <c r="K351" s="433" t="str">
        <f>IFERROR(-LBP/2+HLOOKUP(Stn_WL,Tools!$AD$2:$AD$27,N351+2,FALSE)*STN_GAP,"")</f>
        <v/>
      </c>
      <c r="L351" s="433" t="str">
        <f>IFERROR(IF(AND(ISNUMBER(K351),O351=0),0,VLOOKUP(HLOOKUP(Stn_WL,Tools!$AD$2:$AD$27,N351+2,FALSE),Tools!$AD$3:$BC$27,O351+1,FALSE)),"")</f>
        <v/>
      </c>
      <c r="M351" s="433" t="str">
        <f>IFERROR(IF(ISNUMBER(L351),IF(O351=0,IFERROR(HLOOKUP(Tools!$BD$127,Tools!$BD$127:$BD$152,N351+2,FALSE)*1,0),HLOOKUP(Tools!$BE$2,Tools!$BE$2:$BE$27,O351+1,FALSE)*WLS),""),"")</f>
        <v/>
      </c>
      <c r="N351">
        <f t="shared" si="32"/>
        <v>26</v>
      </c>
      <c r="O351">
        <f t="shared" si="33"/>
        <v>11</v>
      </c>
    </row>
    <row r="352" spans="1:15" x14ac:dyDescent="0.25">
      <c r="A352" s="427" t="str">
        <f t="shared" si="34"/>
        <v/>
      </c>
      <c r="B352" s="430" t="str">
        <f t="shared" si="30"/>
        <v/>
      </c>
      <c r="C352" s="433" t="str">
        <f>IFERROR(-LBP/2+HLOOKUP(Stn_WL,Tools!$AD$2:$AD$27,QUOTIENT(ROW()-2,Max_WL_count)+2,FALSE)*STN_GAP,"")</f>
        <v/>
      </c>
      <c r="D352" s="433" t="str">
        <f>IFERROR(VLOOKUP(HLOOKUP(Stn_WL,Tools!$AD$2:$AD$27,QUOTIENT(ROW()-2,Max_WL_count)+2,FALSE),Tools!$AD$3:$BC$27,MOD(ROW()-2,Max_WL_count)+2,FALSE),"")</f>
        <v/>
      </c>
      <c r="E352" s="431" t="str">
        <f>IFERROR(IF(ISNUMBER(D352),HLOOKUP(Tools!$BE$2,Tools!$BE$2:$BE$27,MOD(ROW()-2,Max_WL_count)+2,FALSE)*WLS,""),"")</f>
        <v/>
      </c>
      <c r="I352" s="427" t="str">
        <f t="shared" si="35"/>
        <v/>
      </c>
      <c r="J352" s="430" t="str">
        <f t="shared" si="31"/>
        <v/>
      </c>
      <c r="K352" s="433" t="str">
        <f>IFERROR(-LBP/2+HLOOKUP(Stn_WL,Tools!$AD$2:$AD$27,N352+2,FALSE)*STN_GAP,"")</f>
        <v/>
      </c>
      <c r="L352" s="433" t="str">
        <f>IFERROR(IF(AND(ISNUMBER(K352),O352=0),0,VLOOKUP(HLOOKUP(Stn_WL,Tools!$AD$2:$AD$27,N352+2,FALSE),Tools!$AD$3:$BC$27,O352+1,FALSE)),"")</f>
        <v/>
      </c>
      <c r="M352" s="433" t="str">
        <f>IFERROR(IF(ISNUMBER(L352),IF(O352=0,IFERROR(HLOOKUP(Tools!$BD$127,Tools!$BD$127:$BD$152,N352+2,FALSE)*1,0),HLOOKUP(Tools!$BE$2,Tools!$BE$2:$BE$27,O352+1,FALSE)*WLS),""),"")</f>
        <v/>
      </c>
      <c r="N352">
        <f t="shared" si="32"/>
        <v>26</v>
      </c>
      <c r="O352">
        <f t="shared" si="33"/>
        <v>12</v>
      </c>
    </row>
    <row r="353" spans="1:15" x14ac:dyDescent="0.25">
      <c r="A353" s="427" t="str">
        <f t="shared" si="34"/>
        <v/>
      </c>
      <c r="B353" s="430" t="str">
        <f t="shared" si="30"/>
        <v/>
      </c>
      <c r="C353" s="433" t="str">
        <f>IFERROR(-LBP/2+HLOOKUP(Stn_WL,Tools!$AD$2:$AD$27,QUOTIENT(ROW()-2,Max_WL_count)+2,FALSE)*STN_GAP,"")</f>
        <v/>
      </c>
      <c r="D353" s="433" t="str">
        <f>IFERROR(VLOOKUP(HLOOKUP(Stn_WL,Tools!$AD$2:$AD$27,QUOTIENT(ROW()-2,Max_WL_count)+2,FALSE),Tools!$AD$3:$BC$27,MOD(ROW()-2,Max_WL_count)+2,FALSE),"")</f>
        <v/>
      </c>
      <c r="E353" s="431" t="str">
        <f>IFERROR(IF(ISNUMBER(D353),HLOOKUP(Tools!$BE$2,Tools!$BE$2:$BE$27,MOD(ROW()-2,Max_WL_count)+2,FALSE)*WLS,""),"")</f>
        <v/>
      </c>
      <c r="I353" s="427" t="str">
        <f t="shared" si="35"/>
        <v/>
      </c>
      <c r="J353" s="430" t="str">
        <f t="shared" si="31"/>
        <v/>
      </c>
      <c r="K353" s="433" t="str">
        <f>IFERROR(-LBP/2+HLOOKUP(Stn_WL,Tools!$AD$2:$AD$27,N353+2,FALSE)*STN_GAP,"")</f>
        <v/>
      </c>
      <c r="L353" s="433" t="str">
        <f>IFERROR(IF(AND(ISNUMBER(K353),O353=0),0,VLOOKUP(HLOOKUP(Stn_WL,Tools!$AD$2:$AD$27,N353+2,FALSE),Tools!$AD$3:$BC$27,O353+1,FALSE)),"")</f>
        <v/>
      </c>
      <c r="M353" s="433" t="str">
        <f>IFERROR(IF(ISNUMBER(L353),IF(O353=0,IFERROR(HLOOKUP(Tools!$BD$127,Tools!$BD$127:$BD$152,N353+2,FALSE)*1,0),HLOOKUP(Tools!$BE$2,Tools!$BE$2:$BE$27,O353+1,FALSE)*WLS),""),"")</f>
        <v/>
      </c>
      <c r="N353">
        <f t="shared" si="32"/>
        <v>27</v>
      </c>
      <c r="O353">
        <f t="shared" si="33"/>
        <v>0</v>
      </c>
    </row>
    <row r="354" spans="1:15" x14ac:dyDescent="0.25">
      <c r="A354" s="427" t="str">
        <f t="shared" si="34"/>
        <v/>
      </c>
      <c r="B354" s="430" t="str">
        <f t="shared" si="30"/>
        <v/>
      </c>
      <c r="C354" s="433" t="str">
        <f>IFERROR(-LBP/2+HLOOKUP(Stn_WL,Tools!$AD$2:$AD$27,QUOTIENT(ROW()-2,Max_WL_count)+2,FALSE)*STN_GAP,"")</f>
        <v/>
      </c>
      <c r="D354" s="433" t="str">
        <f>IFERROR(VLOOKUP(HLOOKUP(Stn_WL,Tools!$AD$2:$AD$27,QUOTIENT(ROW()-2,Max_WL_count)+2,FALSE),Tools!$AD$3:$BC$27,MOD(ROW()-2,Max_WL_count)+2,FALSE),"")</f>
        <v/>
      </c>
      <c r="E354" s="431" t="str">
        <f>IFERROR(IF(ISNUMBER(D354),HLOOKUP(Tools!$BE$2,Tools!$BE$2:$BE$27,MOD(ROW()-2,Max_WL_count)+2,FALSE)*WLS,""),"")</f>
        <v/>
      </c>
      <c r="I354" s="427" t="str">
        <f t="shared" si="35"/>
        <v/>
      </c>
      <c r="J354" s="430" t="str">
        <f t="shared" si="31"/>
        <v/>
      </c>
      <c r="K354" s="433" t="str">
        <f>IFERROR(-LBP/2+HLOOKUP(Stn_WL,Tools!$AD$2:$AD$27,N354+2,FALSE)*STN_GAP,"")</f>
        <v/>
      </c>
      <c r="L354" s="433" t="str">
        <f>IFERROR(IF(AND(ISNUMBER(K354),O354=0),0,VLOOKUP(HLOOKUP(Stn_WL,Tools!$AD$2:$AD$27,N354+2,FALSE),Tools!$AD$3:$BC$27,O354+1,FALSE)),"")</f>
        <v/>
      </c>
      <c r="M354" s="433" t="str">
        <f>IFERROR(IF(ISNUMBER(L354),IF(O354=0,IFERROR(HLOOKUP(Tools!$BD$127,Tools!$BD$127:$BD$152,N354+2,FALSE)*1,0),HLOOKUP(Tools!$BE$2,Tools!$BE$2:$BE$27,O354+1,FALSE)*WLS),""),"")</f>
        <v/>
      </c>
      <c r="N354">
        <f t="shared" si="32"/>
        <v>27</v>
      </c>
      <c r="O354">
        <f t="shared" si="33"/>
        <v>1</v>
      </c>
    </row>
    <row r="355" spans="1:15" x14ac:dyDescent="0.25">
      <c r="A355" s="427" t="str">
        <f t="shared" si="34"/>
        <v/>
      </c>
      <c r="B355" s="430" t="str">
        <f t="shared" si="30"/>
        <v/>
      </c>
      <c r="C355" s="433" t="str">
        <f>IFERROR(-LBP/2+HLOOKUP(Stn_WL,Tools!$AD$2:$AD$27,QUOTIENT(ROW()-2,Max_WL_count)+2,FALSE)*STN_GAP,"")</f>
        <v/>
      </c>
      <c r="D355" s="433" t="str">
        <f>IFERROR(VLOOKUP(HLOOKUP(Stn_WL,Tools!$AD$2:$AD$27,QUOTIENT(ROW()-2,Max_WL_count)+2,FALSE),Tools!$AD$3:$BC$27,MOD(ROW()-2,Max_WL_count)+2,FALSE),"")</f>
        <v/>
      </c>
      <c r="E355" s="431" t="str">
        <f>IFERROR(IF(ISNUMBER(D355),HLOOKUP(Tools!$BE$2,Tools!$BE$2:$BE$27,MOD(ROW()-2,Max_WL_count)+2,FALSE)*WLS,""),"")</f>
        <v/>
      </c>
      <c r="I355" s="427" t="str">
        <f t="shared" si="35"/>
        <v/>
      </c>
      <c r="J355" s="430" t="str">
        <f t="shared" si="31"/>
        <v/>
      </c>
      <c r="K355" s="433" t="str">
        <f>IFERROR(-LBP/2+HLOOKUP(Stn_WL,Tools!$AD$2:$AD$27,N355+2,FALSE)*STN_GAP,"")</f>
        <v/>
      </c>
      <c r="L355" s="433" t="str">
        <f>IFERROR(IF(AND(ISNUMBER(K355),O355=0),0,VLOOKUP(HLOOKUP(Stn_WL,Tools!$AD$2:$AD$27,N355+2,FALSE),Tools!$AD$3:$BC$27,O355+1,FALSE)),"")</f>
        <v/>
      </c>
      <c r="M355" s="433" t="str">
        <f>IFERROR(IF(ISNUMBER(L355),IF(O355=0,IFERROR(HLOOKUP(Tools!$BD$127,Tools!$BD$127:$BD$152,N355+2,FALSE)*1,0),HLOOKUP(Tools!$BE$2,Tools!$BE$2:$BE$27,O355+1,FALSE)*WLS),""),"")</f>
        <v/>
      </c>
      <c r="N355">
        <f t="shared" si="32"/>
        <v>27</v>
      </c>
      <c r="O355">
        <f t="shared" si="33"/>
        <v>2</v>
      </c>
    </row>
    <row r="356" spans="1:15" x14ac:dyDescent="0.25">
      <c r="A356" s="427" t="str">
        <f t="shared" si="34"/>
        <v/>
      </c>
      <c r="B356" s="430" t="str">
        <f t="shared" si="30"/>
        <v/>
      </c>
      <c r="C356" s="433" t="str">
        <f>IFERROR(-LBP/2+HLOOKUP(Stn_WL,Tools!$AD$2:$AD$27,QUOTIENT(ROW()-2,Max_WL_count)+2,FALSE)*STN_GAP,"")</f>
        <v/>
      </c>
      <c r="D356" s="433" t="str">
        <f>IFERROR(VLOOKUP(HLOOKUP(Stn_WL,Tools!$AD$2:$AD$27,QUOTIENT(ROW()-2,Max_WL_count)+2,FALSE),Tools!$AD$3:$BC$27,MOD(ROW()-2,Max_WL_count)+2,FALSE),"")</f>
        <v/>
      </c>
      <c r="E356" s="431" t="str">
        <f>IFERROR(IF(ISNUMBER(D356),HLOOKUP(Tools!$BE$2,Tools!$BE$2:$BE$27,MOD(ROW()-2,Max_WL_count)+2,FALSE)*WLS,""),"")</f>
        <v/>
      </c>
      <c r="I356" s="427" t="str">
        <f t="shared" si="35"/>
        <v/>
      </c>
      <c r="J356" s="430" t="str">
        <f t="shared" si="31"/>
        <v/>
      </c>
      <c r="K356" s="433" t="str">
        <f>IFERROR(-LBP/2+HLOOKUP(Stn_WL,Tools!$AD$2:$AD$27,N356+2,FALSE)*STN_GAP,"")</f>
        <v/>
      </c>
      <c r="L356" s="433" t="str">
        <f>IFERROR(IF(AND(ISNUMBER(K356),O356=0),0,VLOOKUP(HLOOKUP(Stn_WL,Tools!$AD$2:$AD$27,N356+2,FALSE),Tools!$AD$3:$BC$27,O356+1,FALSE)),"")</f>
        <v/>
      </c>
      <c r="M356" s="433" t="str">
        <f>IFERROR(IF(ISNUMBER(L356),IF(O356=0,IFERROR(HLOOKUP(Tools!$BD$127,Tools!$BD$127:$BD$152,N356+2,FALSE)*1,0),HLOOKUP(Tools!$BE$2,Tools!$BE$2:$BE$27,O356+1,FALSE)*WLS),""),"")</f>
        <v/>
      </c>
      <c r="N356">
        <f t="shared" si="32"/>
        <v>27</v>
      </c>
      <c r="O356">
        <f t="shared" si="33"/>
        <v>3</v>
      </c>
    </row>
    <row r="357" spans="1:15" x14ac:dyDescent="0.25">
      <c r="A357" s="427" t="str">
        <f t="shared" si="34"/>
        <v/>
      </c>
      <c r="B357" s="430" t="str">
        <f t="shared" si="30"/>
        <v/>
      </c>
      <c r="C357" s="433" t="str">
        <f>IFERROR(-LBP/2+HLOOKUP(Stn_WL,Tools!$AD$2:$AD$27,QUOTIENT(ROW()-2,Max_WL_count)+2,FALSE)*STN_GAP,"")</f>
        <v/>
      </c>
      <c r="D357" s="433" t="str">
        <f>IFERROR(VLOOKUP(HLOOKUP(Stn_WL,Tools!$AD$2:$AD$27,QUOTIENT(ROW()-2,Max_WL_count)+2,FALSE),Tools!$AD$3:$BC$27,MOD(ROW()-2,Max_WL_count)+2,FALSE),"")</f>
        <v/>
      </c>
      <c r="E357" s="431" t="str">
        <f>IFERROR(IF(ISNUMBER(D357),HLOOKUP(Tools!$BE$2,Tools!$BE$2:$BE$27,MOD(ROW()-2,Max_WL_count)+2,FALSE)*WLS,""),"")</f>
        <v/>
      </c>
      <c r="I357" s="427" t="str">
        <f t="shared" si="35"/>
        <v/>
      </c>
      <c r="J357" s="430" t="str">
        <f t="shared" si="31"/>
        <v/>
      </c>
      <c r="K357" s="433" t="str">
        <f>IFERROR(-LBP/2+HLOOKUP(Stn_WL,Tools!$AD$2:$AD$27,N357+2,FALSE)*STN_GAP,"")</f>
        <v/>
      </c>
      <c r="L357" s="433" t="str">
        <f>IFERROR(IF(AND(ISNUMBER(K357),O357=0),0,VLOOKUP(HLOOKUP(Stn_WL,Tools!$AD$2:$AD$27,N357+2,FALSE),Tools!$AD$3:$BC$27,O357+1,FALSE)),"")</f>
        <v/>
      </c>
      <c r="M357" s="433" t="str">
        <f>IFERROR(IF(ISNUMBER(L357),IF(O357=0,IFERROR(HLOOKUP(Tools!$BD$127,Tools!$BD$127:$BD$152,N357+2,FALSE)*1,0),HLOOKUP(Tools!$BE$2,Tools!$BE$2:$BE$27,O357+1,FALSE)*WLS),""),"")</f>
        <v/>
      </c>
      <c r="N357">
        <f t="shared" si="32"/>
        <v>27</v>
      </c>
      <c r="O357">
        <f t="shared" si="33"/>
        <v>4</v>
      </c>
    </row>
    <row r="358" spans="1:15" x14ac:dyDescent="0.25">
      <c r="A358" s="427" t="str">
        <f t="shared" si="34"/>
        <v/>
      </c>
      <c r="B358" s="430" t="str">
        <f t="shared" si="30"/>
        <v/>
      </c>
      <c r="C358" s="433" t="str">
        <f>IFERROR(-LBP/2+HLOOKUP(Stn_WL,Tools!$AD$2:$AD$27,QUOTIENT(ROW()-2,Max_WL_count)+2,FALSE)*STN_GAP,"")</f>
        <v/>
      </c>
      <c r="D358" s="433" t="str">
        <f>IFERROR(VLOOKUP(HLOOKUP(Stn_WL,Tools!$AD$2:$AD$27,QUOTIENT(ROW()-2,Max_WL_count)+2,FALSE),Tools!$AD$3:$BC$27,MOD(ROW()-2,Max_WL_count)+2,FALSE),"")</f>
        <v/>
      </c>
      <c r="E358" s="431" t="str">
        <f>IFERROR(IF(ISNUMBER(D358),HLOOKUP(Tools!$BE$2,Tools!$BE$2:$BE$27,MOD(ROW()-2,Max_WL_count)+2,FALSE)*WLS,""),"")</f>
        <v/>
      </c>
      <c r="I358" s="427" t="str">
        <f t="shared" si="35"/>
        <v/>
      </c>
      <c r="J358" s="430" t="str">
        <f t="shared" si="31"/>
        <v/>
      </c>
      <c r="K358" s="433" t="str">
        <f>IFERROR(-LBP/2+HLOOKUP(Stn_WL,Tools!$AD$2:$AD$27,N358+2,FALSE)*STN_GAP,"")</f>
        <v/>
      </c>
      <c r="L358" s="433" t="str">
        <f>IFERROR(IF(AND(ISNUMBER(K358),O358=0),0,VLOOKUP(HLOOKUP(Stn_WL,Tools!$AD$2:$AD$27,N358+2,FALSE),Tools!$AD$3:$BC$27,O358+1,FALSE)),"")</f>
        <v/>
      </c>
      <c r="M358" s="433" t="str">
        <f>IFERROR(IF(ISNUMBER(L358),IF(O358=0,IFERROR(HLOOKUP(Tools!$BD$127,Tools!$BD$127:$BD$152,N358+2,FALSE)*1,0),HLOOKUP(Tools!$BE$2,Tools!$BE$2:$BE$27,O358+1,FALSE)*WLS),""),"")</f>
        <v/>
      </c>
      <c r="N358">
        <f t="shared" si="32"/>
        <v>27</v>
      </c>
      <c r="O358">
        <f t="shared" si="33"/>
        <v>5</v>
      </c>
    </row>
    <row r="359" spans="1:15" x14ac:dyDescent="0.25">
      <c r="A359" s="427" t="str">
        <f t="shared" si="34"/>
        <v/>
      </c>
      <c r="B359" s="430" t="str">
        <f t="shared" si="30"/>
        <v/>
      </c>
      <c r="C359" s="433" t="str">
        <f>IFERROR(-LBP/2+HLOOKUP(Stn_WL,Tools!$AD$2:$AD$27,QUOTIENT(ROW()-2,Max_WL_count)+2,FALSE)*STN_GAP,"")</f>
        <v/>
      </c>
      <c r="D359" s="433" t="str">
        <f>IFERROR(VLOOKUP(HLOOKUP(Stn_WL,Tools!$AD$2:$AD$27,QUOTIENT(ROW()-2,Max_WL_count)+2,FALSE),Tools!$AD$3:$BC$27,MOD(ROW()-2,Max_WL_count)+2,FALSE),"")</f>
        <v/>
      </c>
      <c r="E359" s="431" t="str">
        <f>IFERROR(IF(ISNUMBER(D359),HLOOKUP(Tools!$BE$2,Tools!$BE$2:$BE$27,MOD(ROW()-2,Max_WL_count)+2,FALSE)*WLS,""),"")</f>
        <v/>
      </c>
      <c r="I359" s="427" t="str">
        <f t="shared" si="35"/>
        <v/>
      </c>
      <c r="J359" s="430" t="str">
        <f t="shared" si="31"/>
        <v/>
      </c>
      <c r="K359" s="433" t="str">
        <f>IFERROR(-LBP/2+HLOOKUP(Stn_WL,Tools!$AD$2:$AD$27,N359+2,FALSE)*STN_GAP,"")</f>
        <v/>
      </c>
      <c r="L359" s="433" t="str">
        <f>IFERROR(IF(AND(ISNUMBER(K359),O359=0),0,VLOOKUP(HLOOKUP(Stn_WL,Tools!$AD$2:$AD$27,N359+2,FALSE),Tools!$AD$3:$BC$27,O359+1,FALSE)),"")</f>
        <v/>
      </c>
      <c r="M359" s="433" t="str">
        <f>IFERROR(IF(ISNUMBER(L359),IF(O359=0,IFERROR(HLOOKUP(Tools!$BD$127,Tools!$BD$127:$BD$152,N359+2,FALSE)*1,0),HLOOKUP(Tools!$BE$2,Tools!$BE$2:$BE$27,O359+1,FALSE)*WLS),""),"")</f>
        <v/>
      </c>
      <c r="N359">
        <f t="shared" si="32"/>
        <v>27</v>
      </c>
      <c r="O359">
        <f t="shared" si="33"/>
        <v>6</v>
      </c>
    </row>
    <row r="360" spans="1:15" x14ac:dyDescent="0.25">
      <c r="A360" s="427" t="str">
        <f t="shared" si="34"/>
        <v/>
      </c>
      <c r="B360" s="430" t="str">
        <f t="shared" si="30"/>
        <v/>
      </c>
      <c r="C360" s="433" t="str">
        <f>IFERROR(-LBP/2+HLOOKUP(Stn_WL,Tools!$AD$2:$AD$27,QUOTIENT(ROW()-2,Max_WL_count)+2,FALSE)*STN_GAP,"")</f>
        <v/>
      </c>
      <c r="D360" s="433" t="str">
        <f>IFERROR(VLOOKUP(HLOOKUP(Stn_WL,Tools!$AD$2:$AD$27,QUOTIENT(ROW()-2,Max_WL_count)+2,FALSE),Tools!$AD$3:$BC$27,MOD(ROW()-2,Max_WL_count)+2,FALSE),"")</f>
        <v/>
      </c>
      <c r="E360" s="431" t="str">
        <f>IFERROR(IF(ISNUMBER(D360),HLOOKUP(Tools!$BE$2,Tools!$BE$2:$BE$27,MOD(ROW()-2,Max_WL_count)+2,FALSE)*WLS,""),"")</f>
        <v/>
      </c>
      <c r="I360" s="427" t="str">
        <f t="shared" si="35"/>
        <v/>
      </c>
      <c r="J360" s="430" t="str">
        <f t="shared" si="31"/>
        <v/>
      </c>
      <c r="K360" s="433" t="str">
        <f>IFERROR(-LBP/2+HLOOKUP(Stn_WL,Tools!$AD$2:$AD$27,N360+2,FALSE)*STN_GAP,"")</f>
        <v/>
      </c>
      <c r="L360" s="433" t="str">
        <f>IFERROR(IF(AND(ISNUMBER(K360),O360=0),0,VLOOKUP(HLOOKUP(Stn_WL,Tools!$AD$2:$AD$27,N360+2,FALSE),Tools!$AD$3:$BC$27,O360+1,FALSE)),"")</f>
        <v/>
      </c>
      <c r="M360" s="433" t="str">
        <f>IFERROR(IF(ISNUMBER(L360),IF(O360=0,IFERROR(HLOOKUP(Tools!$BD$127,Tools!$BD$127:$BD$152,N360+2,FALSE)*1,0),HLOOKUP(Tools!$BE$2,Tools!$BE$2:$BE$27,O360+1,FALSE)*WLS),""),"")</f>
        <v/>
      </c>
      <c r="N360">
        <f t="shared" si="32"/>
        <v>27</v>
      </c>
      <c r="O360">
        <f t="shared" si="33"/>
        <v>7</v>
      </c>
    </row>
    <row r="361" spans="1:15" x14ac:dyDescent="0.25">
      <c r="A361" s="427" t="str">
        <f t="shared" si="34"/>
        <v/>
      </c>
      <c r="B361" s="430" t="str">
        <f t="shared" si="30"/>
        <v/>
      </c>
      <c r="C361" s="433" t="str">
        <f>IFERROR(-LBP/2+HLOOKUP(Stn_WL,Tools!$AD$2:$AD$27,QUOTIENT(ROW()-2,Max_WL_count)+2,FALSE)*STN_GAP,"")</f>
        <v/>
      </c>
      <c r="D361" s="433" t="str">
        <f>IFERROR(VLOOKUP(HLOOKUP(Stn_WL,Tools!$AD$2:$AD$27,QUOTIENT(ROW()-2,Max_WL_count)+2,FALSE),Tools!$AD$3:$BC$27,MOD(ROW()-2,Max_WL_count)+2,FALSE),"")</f>
        <v/>
      </c>
      <c r="E361" s="431" t="str">
        <f>IFERROR(IF(ISNUMBER(D361),HLOOKUP(Tools!$BE$2,Tools!$BE$2:$BE$27,MOD(ROW()-2,Max_WL_count)+2,FALSE)*WLS,""),"")</f>
        <v/>
      </c>
      <c r="I361" s="427" t="str">
        <f t="shared" si="35"/>
        <v/>
      </c>
      <c r="J361" s="430" t="str">
        <f t="shared" si="31"/>
        <v/>
      </c>
      <c r="K361" s="433" t="str">
        <f>IFERROR(-LBP/2+HLOOKUP(Stn_WL,Tools!$AD$2:$AD$27,N361+2,FALSE)*STN_GAP,"")</f>
        <v/>
      </c>
      <c r="L361" s="433" t="str">
        <f>IFERROR(IF(AND(ISNUMBER(K361),O361=0),0,VLOOKUP(HLOOKUP(Stn_WL,Tools!$AD$2:$AD$27,N361+2,FALSE),Tools!$AD$3:$BC$27,O361+1,FALSE)),"")</f>
        <v/>
      </c>
      <c r="M361" s="433" t="str">
        <f>IFERROR(IF(ISNUMBER(L361),IF(O361=0,IFERROR(HLOOKUP(Tools!$BD$127,Tools!$BD$127:$BD$152,N361+2,FALSE)*1,0),HLOOKUP(Tools!$BE$2,Tools!$BE$2:$BE$27,O361+1,FALSE)*WLS),""),"")</f>
        <v/>
      </c>
      <c r="N361">
        <f t="shared" si="32"/>
        <v>27</v>
      </c>
      <c r="O361">
        <f t="shared" si="33"/>
        <v>8</v>
      </c>
    </row>
    <row r="362" spans="1:15" x14ac:dyDescent="0.25">
      <c r="A362" s="427" t="str">
        <f t="shared" si="34"/>
        <v/>
      </c>
      <c r="B362" s="430" t="str">
        <f t="shared" si="30"/>
        <v/>
      </c>
      <c r="C362" s="433" t="str">
        <f>IFERROR(-LBP/2+HLOOKUP(Stn_WL,Tools!$AD$2:$AD$27,QUOTIENT(ROW()-2,Max_WL_count)+2,FALSE)*STN_GAP,"")</f>
        <v/>
      </c>
      <c r="D362" s="433" t="str">
        <f>IFERROR(VLOOKUP(HLOOKUP(Stn_WL,Tools!$AD$2:$AD$27,QUOTIENT(ROW()-2,Max_WL_count)+2,FALSE),Tools!$AD$3:$BC$27,MOD(ROW()-2,Max_WL_count)+2,FALSE),"")</f>
        <v/>
      </c>
      <c r="E362" s="431" t="str">
        <f>IFERROR(IF(ISNUMBER(D362),HLOOKUP(Tools!$BE$2,Tools!$BE$2:$BE$27,MOD(ROW()-2,Max_WL_count)+2,FALSE)*WLS,""),"")</f>
        <v/>
      </c>
      <c r="I362" s="427" t="str">
        <f t="shared" si="35"/>
        <v/>
      </c>
      <c r="J362" s="430" t="str">
        <f t="shared" si="31"/>
        <v/>
      </c>
      <c r="K362" s="433" t="str">
        <f>IFERROR(-LBP/2+HLOOKUP(Stn_WL,Tools!$AD$2:$AD$27,N362+2,FALSE)*STN_GAP,"")</f>
        <v/>
      </c>
      <c r="L362" s="433" t="str">
        <f>IFERROR(IF(AND(ISNUMBER(K362),O362=0),0,VLOOKUP(HLOOKUP(Stn_WL,Tools!$AD$2:$AD$27,N362+2,FALSE),Tools!$AD$3:$BC$27,O362+1,FALSE)),"")</f>
        <v/>
      </c>
      <c r="M362" s="433" t="str">
        <f>IFERROR(IF(ISNUMBER(L362),IF(O362=0,IFERROR(HLOOKUP(Tools!$BD$127,Tools!$BD$127:$BD$152,N362+2,FALSE)*1,0),HLOOKUP(Tools!$BE$2,Tools!$BE$2:$BE$27,O362+1,FALSE)*WLS),""),"")</f>
        <v/>
      </c>
      <c r="N362">
        <f t="shared" si="32"/>
        <v>27</v>
      </c>
      <c r="O362">
        <f t="shared" si="33"/>
        <v>9</v>
      </c>
    </row>
    <row r="363" spans="1:15" x14ac:dyDescent="0.25">
      <c r="A363" s="427" t="str">
        <f t="shared" si="34"/>
        <v/>
      </c>
      <c r="B363" s="430" t="str">
        <f t="shared" si="30"/>
        <v/>
      </c>
      <c r="C363" s="433" t="str">
        <f>IFERROR(-LBP/2+HLOOKUP(Stn_WL,Tools!$AD$2:$AD$27,QUOTIENT(ROW()-2,Max_WL_count)+2,FALSE)*STN_GAP,"")</f>
        <v/>
      </c>
      <c r="D363" s="433" t="str">
        <f>IFERROR(VLOOKUP(HLOOKUP(Stn_WL,Tools!$AD$2:$AD$27,QUOTIENT(ROW()-2,Max_WL_count)+2,FALSE),Tools!$AD$3:$BC$27,MOD(ROW()-2,Max_WL_count)+2,FALSE),"")</f>
        <v/>
      </c>
      <c r="E363" s="431" t="str">
        <f>IFERROR(IF(ISNUMBER(D363),HLOOKUP(Tools!$BE$2,Tools!$BE$2:$BE$27,MOD(ROW()-2,Max_WL_count)+2,FALSE)*WLS,""),"")</f>
        <v/>
      </c>
      <c r="I363" s="427" t="str">
        <f t="shared" si="35"/>
        <v/>
      </c>
      <c r="J363" s="430" t="str">
        <f t="shared" si="31"/>
        <v/>
      </c>
      <c r="K363" s="433" t="str">
        <f>IFERROR(-LBP/2+HLOOKUP(Stn_WL,Tools!$AD$2:$AD$27,N363+2,FALSE)*STN_GAP,"")</f>
        <v/>
      </c>
      <c r="L363" s="433" t="str">
        <f>IFERROR(IF(AND(ISNUMBER(K363),O363=0),0,VLOOKUP(HLOOKUP(Stn_WL,Tools!$AD$2:$AD$27,N363+2,FALSE),Tools!$AD$3:$BC$27,O363+1,FALSE)),"")</f>
        <v/>
      </c>
      <c r="M363" s="433" t="str">
        <f>IFERROR(IF(ISNUMBER(L363),IF(O363=0,IFERROR(HLOOKUP(Tools!$BD$127,Tools!$BD$127:$BD$152,N363+2,FALSE)*1,0),HLOOKUP(Tools!$BE$2,Tools!$BE$2:$BE$27,O363+1,FALSE)*WLS),""),"")</f>
        <v/>
      </c>
      <c r="N363">
        <f t="shared" si="32"/>
        <v>27</v>
      </c>
      <c r="O363">
        <f t="shared" si="33"/>
        <v>10</v>
      </c>
    </row>
    <row r="364" spans="1:15" x14ac:dyDescent="0.25">
      <c r="A364" s="427" t="str">
        <f t="shared" si="34"/>
        <v/>
      </c>
      <c r="B364" s="430" t="str">
        <f t="shared" si="30"/>
        <v/>
      </c>
      <c r="C364" s="433" t="str">
        <f>IFERROR(-LBP/2+HLOOKUP(Stn_WL,Tools!$AD$2:$AD$27,QUOTIENT(ROW()-2,Max_WL_count)+2,FALSE)*STN_GAP,"")</f>
        <v/>
      </c>
      <c r="D364" s="433" t="str">
        <f>IFERROR(VLOOKUP(HLOOKUP(Stn_WL,Tools!$AD$2:$AD$27,QUOTIENT(ROW()-2,Max_WL_count)+2,FALSE),Tools!$AD$3:$BC$27,MOD(ROW()-2,Max_WL_count)+2,FALSE),"")</f>
        <v/>
      </c>
      <c r="E364" s="431" t="str">
        <f>IFERROR(IF(ISNUMBER(D364),HLOOKUP(Tools!$BE$2,Tools!$BE$2:$BE$27,MOD(ROW()-2,Max_WL_count)+2,FALSE)*WLS,""),"")</f>
        <v/>
      </c>
      <c r="I364" s="427" t="str">
        <f t="shared" si="35"/>
        <v/>
      </c>
      <c r="J364" s="430" t="str">
        <f t="shared" si="31"/>
        <v/>
      </c>
      <c r="K364" s="433" t="str">
        <f>IFERROR(-LBP/2+HLOOKUP(Stn_WL,Tools!$AD$2:$AD$27,N364+2,FALSE)*STN_GAP,"")</f>
        <v/>
      </c>
      <c r="L364" s="433" t="str">
        <f>IFERROR(IF(AND(ISNUMBER(K364),O364=0),0,VLOOKUP(HLOOKUP(Stn_WL,Tools!$AD$2:$AD$27,N364+2,FALSE),Tools!$AD$3:$BC$27,O364+1,FALSE)),"")</f>
        <v/>
      </c>
      <c r="M364" s="433" t="str">
        <f>IFERROR(IF(ISNUMBER(L364),IF(O364=0,IFERROR(HLOOKUP(Tools!$BD$127,Tools!$BD$127:$BD$152,N364+2,FALSE)*1,0),HLOOKUP(Tools!$BE$2,Tools!$BE$2:$BE$27,O364+1,FALSE)*WLS),""),"")</f>
        <v/>
      </c>
      <c r="N364">
        <f t="shared" si="32"/>
        <v>27</v>
      </c>
      <c r="O364">
        <f t="shared" si="33"/>
        <v>11</v>
      </c>
    </row>
    <row r="365" spans="1:15" x14ac:dyDescent="0.25">
      <c r="A365" s="427" t="str">
        <f t="shared" si="34"/>
        <v/>
      </c>
      <c r="B365" s="430" t="str">
        <f t="shared" si="30"/>
        <v/>
      </c>
      <c r="C365" s="433" t="str">
        <f>IFERROR(-LBP/2+HLOOKUP(Stn_WL,Tools!$AD$2:$AD$27,QUOTIENT(ROW()-2,Max_WL_count)+2,FALSE)*STN_GAP,"")</f>
        <v/>
      </c>
      <c r="D365" s="433" t="str">
        <f>IFERROR(VLOOKUP(HLOOKUP(Stn_WL,Tools!$AD$2:$AD$27,QUOTIENT(ROW()-2,Max_WL_count)+2,FALSE),Tools!$AD$3:$BC$27,MOD(ROW()-2,Max_WL_count)+2,FALSE),"")</f>
        <v/>
      </c>
      <c r="E365" s="431" t="str">
        <f>IFERROR(IF(ISNUMBER(D365),HLOOKUP(Tools!$BE$2,Tools!$BE$2:$BE$27,MOD(ROW()-2,Max_WL_count)+2,FALSE)*WLS,""),"")</f>
        <v/>
      </c>
      <c r="I365" s="427" t="str">
        <f t="shared" si="35"/>
        <v/>
      </c>
      <c r="J365" s="430" t="str">
        <f t="shared" si="31"/>
        <v/>
      </c>
      <c r="K365" s="433" t="str">
        <f>IFERROR(-LBP/2+HLOOKUP(Stn_WL,Tools!$AD$2:$AD$27,N365+2,FALSE)*STN_GAP,"")</f>
        <v/>
      </c>
      <c r="L365" s="433" t="str">
        <f>IFERROR(IF(AND(ISNUMBER(K365),O365=0),0,VLOOKUP(HLOOKUP(Stn_WL,Tools!$AD$2:$AD$27,N365+2,FALSE),Tools!$AD$3:$BC$27,O365+1,FALSE)),"")</f>
        <v/>
      </c>
      <c r="M365" s="433" t="str">
        <f>IFERROR(IF(ISNUMBER(L365),IF(O365=0,IFERROR(HLOOKUP(Tools!$BD$127,Tools!$BD$127:$BD$152,N365+2,FALSE)*1,0),HLOOKUP(Tools!$BE$2,Tools!$BE$2:$BE$27,O365+1,FALSE)*WLS),""),"")</f>
        <v/>
      </c>
      <c r="N365">
        <f t="shared" si="32"/>
        <v>27</v>
      </c>
      <c r="O365">
        <f t="shared" si="33"/>
        <v>12</v>
      </c>
    </row>
    <row r="366" spans="1:15" x14ac:dyDescent="0.25">
      <c r="A366" s="427" t="str">
        <f t="shared" si="34"/>
        <v/>
      </c>
      <c r="B366" s="430" t="str">
        <f t="shared" si="30"/>
        <v/>
      </c>
      <c r="C366" s="433" t="str">
        <f>IFERROR(-LBP/2+HLOOKUP(Stn_WL,Tools!$AD$2:$AD$27,QUOTIENT(ROW()-2,Max_WL_count)+2,FALSE)*STN_GAP,"")</f>
        <v/>
      </c>
      <c r="D366" s="433" t="str">
        <f>IFERROR(VLOOKUP(HLOOKUP(Stn_WL,Tools!$AD$2:$AD$27,QUOTIENT(ROW()-2,Max_WL_count)+2,FALSE),Tools!$AD$3:$BC$27,MOD(ROW()-2,Max_WL_count)+2,FALSE),"")</f>
        <v/>
      </c>
      <c r="E366" s="431" t="str">
        <f>IFERROR(IF(ISNUMBER(D366),HLOOKUP(Tools!$BE$2,Tools!$BE$2:$BE$27,MOD(ROW()-2,Max_WL_count)+2,FALSE)*WLS,""),"")</f>
        <v/>
      </c>
      <c r="I366" s="427" t="str">
        <f t="shared" si="35"/>
        <v/>
      </c>
      <c r="J366" s="430" t="str">
        <f t="shared" si="31"/>
        <v/>
      </c>
      <c r="K366" s="433" t="str">
        <f>IFERROR(-LBP/2+HLOOKUP(Stn_WL,Tools!$AD$2:$AD$27,N366+2,FALSE)*STN_GAP,"")</f>
        <v/>
      </c>
      <c r="L366" s="433" t="str">
        <f>IFERROR(IF(AND(ISNUMBER(K366),O366=0),0,VLOOKUP(HLOOKUP(Stn_WL,Tools!$AD$2:$AD$27,N366+2,FALSE),Tools!$AD$3:$BC$27,O366+1,FALSE)),"")</f>
        <v/>
      </c>
      <c r="M366" s="433" t="str">
        <f>IFERROR(IF(ISNUMBER(L366),IF(O366=0,IFERROR(HLOOKUP(Tools!$BD$127,Tools!$BD$127:$BD$152,N366+2,FALSE)*1,0),HLOOKUP(Tools!$BE$2,Tools!$BE$2:$BE$27,O366+1,FALSE)*WLS),""),"")</f>
        <v/>
      </c>
      <c r="N366">
        <f t="shared" si="32"/>
        <v>28</v>
      </c>
      <c r="O366">
        <f t="shared" si="33"/>
        <v>0</v>
      </c>
    </row>
    <row r="367" spans="1:15" x14ac:dyDescent="0.25">
      <c r="A367" s="427" t="str">
        <f t="shared" si="34"/>
        <v/>
      </c>
      <c r="B367" s="430" t="str">
        <f t="shared" si="30"/>
        <v/>
      </c>
      <c r="C367" s="433" t="str">
        <f>IFERROR(-LBP/2+HLOOKUP(Stn_WL,Tools!$AD$2:$AD$27,QUOTIENT(ROW()-2,Max_WL_count)+2,FALSE)*STN_GAP,"")</f>
        <v/>
      </c>
      <c r="D367" s="433" t="str">
        <f>IFERROR(VLOOKUP(HLOOKUP(Stn_WL,Tools!$AD$2:$AD$27,QUOTIENT(ROW()-2,Max_WL_count)+2,FALSE),Tools!$AD$3:$BC$27,MOD(ROW()-2,Max_WL_count)+2,FALSE),"")</f>
        <v/>
      </c>
      <c r="E367" s="431" t="str">
        <f>IFERROR(IF(ISNUMBER(D367),HLOOKUP(Tools!$BE$2,Tools!$BE$2:$BE$27,MOD(ROW()-2,Max_WL_count)+2,FALSE)*WLS,""),"")</f>
        <v/>
      </c>
      <c r="I367" s="427" t="str">
        <f t="shared" si="35"/>
        <v/>
      </c>
      <c r="J367" s="430" t="str">
        <f t="shared" si="31"/>
        <v/>
      </c>
      <c r="K367" s="433" t="str">
        <f>IFERROR(-LBP/2+HLOOKUP(Stn_WL,Tools!$AD$2:$AD$27,N367+2,FALSE)*STN_GAP,"")</f>
        <v/>
      </c>
      <c r="L367" s="433" t="str">
        <f>IFERROR(IF(AND(ISNUMBER(K367),O367=0),0,VLOOKUP(HLOOKUP(Stn_WL,Tools!$AD$2:$AD$27,N367+2,FALSE),Tools!$AD$3:$BC$27,O367+1,FALSE)),"")</f>
        <v/>
      </c>
      <c r="M367" s="433" t="str">
        <f>IFERROR(IF(ISNUMBER(L367),IF(O367=0,IFERROR(HLOOKUP(Tools!$BD$127,Tools!$BD$127:$BD$152,N367+2,FALSE)*1,0),HLOOKUP(Tools!$BE$2,Tools!$BE$2:$BE$27,O367+1,FALSE)*WLS),""),"")</f>
        <v/>
      </c>
      <c r="N367">
        <f t="shared" si="32"/>
        <v>28</v>
      </c>
      <c r="O367">
        <f t="shared" si="33"/>
        <v>1</v>
      </c>
    </row>
    <row r="368" spans="1:15" x14ac:dyDescent="0.25">
      <c r="A368" s="427" t="str">
        <f t="shared" si="34"/>
        <v/>
      </c>
      <c r="B368" s="430" t="str">
        <f t="shared" si="30"/>
        <v/>
      </c>
      <c r="C368" s="433" t="str">
        <f>IFERROR(-LBP/2+HLOOKUP(Stn_WL,Tools!$AD$2:$AD$27,QUOTIENT(ROW()-2,Max_WL_count)+2,FALSE)*STN_GAP,"")</f>
        <v/>
      </c>
      <c r="D368" s="433" t="str">
        <f>IFERROR(VLOOKUP(HLOOKUP(Stn_WL,Tools!$AD$2:$AD$27,QUOTIENT(ROW()-2,Max_WL_count)+2,FALSE),Tools!$AD$3:$BC$27,MOD(ROW()-2,Max_WL_count)+2,FALSE),"")</f>
        <v/>
      </c>
      <c r="E368" s="431" t="str">
        <f>IFERROR(IF(ISNUMBER(D368),HLOOKUP(Tools!$BE$2,Tools!$BE$2:$BE$27,MOD(ROW()-2,Max_WL_count)+2,FALSE)*WLS,""),"")</f>
        <v/>
      </c>
      <c r="I368" s="427" t="str">
        <f t="shared" si="35"/>
        <v/>
      </c>
      <c r="J368" s="430" t="str">
        <f t="shared" si="31"/>
        <v/>
      </c>
      <c r="K368" s="433" t="str">
        <f>IFERROR(-LBP/2+HLOOKUP(Stn_WL,Tools!$AD$2:$AD$27,N368+2,FALSE)*STN_GAP,"")</f>
        <v/>
      </c>
      <c r="L368" s="433" t="str">
        <f>IFERROR(IF(AND(ISNUMBER(K368),O368=0),0,VLOOKUP(HLOOKUP(Stn_WL,Tools!$AD$2:$AD$27,N368+2,FALSE),Tools!$AD$3:$BC$27,O368+1,FALSE)),"")</f>
        <v/>
      </c>
      <c r="M368" s="433" t="str">
        <f>IFERROR(IF(ISNUMBER(L368),IF(O368=0,IFERROR(HLOOKUP(Tools!$BD$127,Tools!$BD$127:$BD$152,N368+2,FALSE)*1,0),HLOOKUP(Tools!$BE$2,Tools!$BE$2:$BE$27,O368+1,FALSE)*WLS),""),"")</f>
        <v/>
      </c>
      <c r="N368">
        <f t="shared" si="32"/>
        <v>28</v>
      </c>
      <c r="O368">
        <f t="shared" si="33"/>
        <v>2</v>
      </c>
    </row>
    <row r="369" spans="1:15" x14ac:dyDescent="0.25">
      <c r="A369" s="427" t="str">
        <f t="shared" si="34"/>
        <v/>
      </c>
      <c r="B369" s="430" t="str">
        <f t="shared" si="30"/>
        <v/>
      </c>
      <c r="C369" s="433" t="str">
        <f>IFERROR(-LBP/2+HLOOKUP(Stn_WL,Tools!$AD$2:$AD$27,QUOTIENT(ROW()-2,Max_WL_count)+2,FALSE)*STN_GAP,"")</f>
        <v/>
      </c>
      <c r="D369" s="433" t="str">
        <f>IFERROR(VLOOKUP(HLOOKUP(Stn_WL,Tools!$AD$2:$AD$27,QUOTIENT(ROW()-2,Max_WL_count)+2,FALSE),Tools!$AD$3:$BC$27,MOD(ROW()-2,Max_WL_count)+2,FALSE),"")</f>
        <v/>
      </c>
      <c r="E369" s="431" t="str">
        <f>IFERROR(IF(ISNUMBER(D369),HLOOKUP(Tools!$BE$2,Tools!$BE$2:$BE$27,MOD(ROW()-2,Max_WL_count)+2,FALSE)*WLS,""),"")</f>
        <v/>
      </c>
      <c r="I369" s="427" t="str">
        <f t="shared" si="35"/>
        <v/>
      </c>
      <c r="J369" s="430" t="str">
        <f t="shared" si="31"/>
        <v/>
      </c>
      <c r="K369" s="433" t="str">
        <f>IFERROR(-LBP/2+HLOOKUP(Stn_WL,Tools!$AD$2:$AD$27,N369+2,FALSE)*STN_GAP,"")</f>
        <v/>
      </c>
      <c r="L369" s="433" t="str">
        <f>IFERROR(IF(AND(ISNUMBER(K369),O369=0),0,VLOOKUP(HLOOKUP(Stn_WL,Tools!$AD$2:$AD$27,N369+2,FALSE),Tools!$AD$3:$BC$27,O369+1,FALSE)),"")</f>
        <v/>
      </c>
      <c r="M369" s="433" t="str">
        <f>IFERROR(IF(ISNUMBER(L369),IF(O369=0,IFERROR(HLOOKUP(Tools!$BD$127,Tools!$BD$127:$BD$152,N369+2,FALSE)*1,0),HLOOKUP(Tools!$BE$2,Tools!$BE$2:$BE$27,O369+1,FALSE)*WLS),""),"")</f>
        <v/>
      </c>
      <c r="N369">
        <f t="shared" si="32"/>
        <v>28</v>
      </c>
      <c r="O369">
        <f t="shared" si="33"/>
        <v>3</v>
      </c>
    </row>
    <row r="370" spans="1:15" x14ac:dyDescent="0.25">
      <c r="A370" s="427" t="str">
        <f t="shared" si="34"/>
        <v/>
      </c>
      <c r="B370" s="430" t="str">
        <f t="shared" si="30"/>
        <v/>
      </c>
      <c r="C370" s="433" t="str">
        <f>IFERROR(-LBP/2+HLOOKUP(Stn_WL,Tools!$AD$2:$AD$27,QUOTIENT(ROW()-2,Max_WL_count)+2,FALSE)*STN_GAP,"")</f>
        <v/>
      </c>
      <c r="D370" s="433" t="str">
        <f>IFERROR(VLOOKUP(HLOOKUP(Stn_WL,Tools!$AD$2:$AD$27,QUOTIENT(ROW()-2,Max_WL_count)+2,FALSE),Tools!$AD$3:$BC$27,MOD(ROW()-2,Max_WL_count)+2,FALSE),"")</f>
        <v/>
      </c>
      <c r="E370" s="431" t="str">
        <f>IFERROR(IF(ISNUMBER(D370),HLOOKUP(Tools!$BE$2,Tools!$BE$2:$BE$27,MOD(ROW()-2,Max_WL_count)+2,FALSE)*WLS,""),"")</f>
        <v/>
      </c>
      <c r="I370" s="427" t="str">
        <f t="shared" si="35"/>
        <v/>
      </c>
      <c r="J370" s="430" t="str">
        <f t="shared" si="31"/>
        <v/>
      </c>
      <c r="K370" s="433" t="str">
        <f>IFERROR(-LBP/2+HLOOKUP(Stn_WL,Tools!$AD$2:$AD$27,N370+2,FALSE)*STN_GAP,"")</f>
        <v/>
      </c>
      <c r="L370" s="433" t="str">
        <f>IFERROR(IF(AND(ISNUMBER(K370),O370=0),0,VLOOKUP(HLOOKUP(Stn_WL,Tools!$AD$2:$AD$27,N370+2,FALSE),Tools!$AD$3:$BC$27,O370+1,FALSE)),"")</f>
        <v/>
      </c>
      <c r="M370" s="433" t="str">
        <f>IFERROR(IF(ISNUMBER(L370),IF(O370=0,IFERROR(HLOOKUP(Tools!$BD$127,Tools!$BD$127:$BD$152,N370+2,FALSE)*1,0),HLOOKUP(Tools!$BE$2,Tools!$BE$2:$BE$27,O370+1,FALSE)*WLS),""),"")</f>
        <v/>
      </c>
      <c r="N370">
        <f t="shared" si="32"/>
        <v>28</v>
      </c>
      <c r="O370">
        <f t="shared" si="33"/>
        <v>4</v>
      </c>
    </row>
    <row r="371" spans="1:15" x14ac:dyDescent="0.25">
      <c r="A371" s="427" t="str">
        <f t="shared" si="34"/>
        <v/>
      </c>
      <c r="B371" s="430" t="str">
        <f t="shared" si="30"/>
        <v/>
      </c>
      <c r="C371" s="433" t="str">
        <f>IFERROR(-LBP/2+HLOOKUP(Stn_WL,Tools!$AD$2:$AD$27,QUOTIENT(ROW()-2,Max_WL_count)+2,FALSE)*STN_GAP,"")</f>
        <v/>
      </c>
      <c r="D371" s="433" t="str">
        <f>IFERROR(VLOOKUP(HLOOKUP(Stn_WL,Tools!$AD$2:$AD$27,QUOTIENT(ROW()-2,Max_WL_count)+2,FALSE),Tools!$AD$3:$BC$27,MOD(ROW()-2,Max_WL_count)+2,FALSE),"")</f>
        <v/>
      </c>
      <c r="E371" s="431" t="str">
        <f>IFERROR(IF(ISNUMBER(D371),HLOOKUP(Tools!$BE$2,Tools!$BE$2:$BE$27,MOD(ROW()-2,Max_WL_count)+2,FALSE)*WLS,""),"")</f>
        <v/>
      </c>
      <c r="I371" s="427" t="str">
        <f t="shared" si="35"/>
        <v/>
      </c>
      <c r="J371" s="430" t="str">
        <f t="shared" si="31"/>
        <v/>
      </c>
      <c r="K371" s="433" t="str">
        <f>IFERROR(-LBP/2+HLOOKUP(Stn_WL,Tools!$AD$2:$AD$27,N371+2,FALSE)*STN_GAP,"")</f>
        <v/>
      </c>
      <c r="L371" s="433" t="str">
        <f>IFERROR(IF(AND(ISNUMBER(K371),O371=0),0,VLOOKUP(HLOOKUP(Stn_WL,Tools!$AD$2:$AD$27,N371+2,FALSE),Tools!$AD$3:$BC$27,O371+1,FALSE)),"")</f>
        <v/>
      </c>
      <c r="M371" s="433" t="str">
        <f>IFERROR(IF(ISNUMBER(L371),IF(O371=0,IFERROR(HLOOKUP(Tools!$BD$127,Tools!$BD$127:$BD$152,N371+2,FALSE)*1,0),HLOOKUP(Tools!$BE$2,Tools!$BE$2:$BE$27,O371+1,FALSE)*WLS),""),"")</f>
        <v/>
      </c>
      <c r="N371">
        <f t="shared" si="32"/>
        <v>28</v>
      </c>
      <c r="O371">
        <f t="shared" si="33"/>
        <v>5</v>
      </c>
    </row>
    <row r="372" spans="1:15" x14ac:dyDescent="0.25">
      <c r="A372" s="427" t="str">
        <f t="shared" si="34"/>
        <v/>
      </c>
      <c r="B372" s="430" t="str">
        <f t="shared" si="30"/>
        <v/>
      </c>
      <c r="C372" s="433" t="str">
        <f>IFERROR(-LBP/2+HLOOKUP(Stn_WL,Tools!$AD$2:$AD$27,QUOTIENT(ROW()-2,Max_WL_count)+2,FALSE)*STN_GAP,"")</f>
        <v/>
      </c>
      <c r="D372" s="433" t="str">
        <f>IFERROR(VLOOKUP(HLOOKUP(Stn_WL,Tools!$AD$2:$AD$27,QUOTIENT(ROW()-2,Max_WL_count)+2,FALSE),Tools!$AD$3:$BC$27,MOD(ROW()-2,Max_WL_count)+2,FALSE),"")</f>
        <v/>
      </c>
      <c r="E372" s="431" t="str">
        <f>IFERROR(IF(ISNUMBER(D372),HLOOKUP(Tools!$BE$2,Tools!$BE$2:$BE$27,MOD(ROW()-2,Max_WL_count)+2,FALSE)*WLS,""),"")</f>
        <v/>
      </c>
      <c r="I372" s="427" t="str">
        <f t="shared" si="35"/>
        <v/>
      </c>
      <c r="J372" s="430" t="str">
        <f t="shared" si="31"/>
        <v/>
      </c>
      <c r="K372" s="433" t="str">
        <f>IFERROR(-LBP/2+HLOOKUP(Stn_WL,Tools!$AD$2:$AD$27,N372+2,FALSE)*STN_GAP,"")</f>
        <v/>
      </c>
      <c r="L372" s="433" t="str">
        <f>IFERROR(IF(AND(ISNUMBER(K372),O372=0),0,VLOOKUP(HLOOKUP(Stn_WL,Tools!$AD$2:$AD$27,N372+2,FALSE),Tools!$AD$3:$BC$27,O372+1,FALSE)),"")</f>
        <v/>
      </c>
      <c r="M372" s="433" t="str">
        <f>IFERROR(IF(ISNUMBER(L372),IF(O372=0,IFERROR(HLOOKUP(Tools!$BD$127,Tools!$BD$127:$BD$152,N372+2,FALSE)*1,0),HLOOKUP(Tools!$BE$2,Tools!$BE$2:$BE$27,O372+1,FALSE)*WLS),""),"")</f>
        <v/>
      </c>
      <c r="N372">
        <f t="shared" si="32"/>
        <v>28</v>
      </c>
      <c r="O372">
        <f t="shared" si="33"/>
        <v>6</v>
      </c>
    </row>
    <row r="373" spans="1:15" x14ac:dyDescent="0.25">
      <c r="A373" s="427" t="str">
        <f t="shared" si="34"/>
        <v/>
      </c>
      <c r="B373" s="430" t="str">
        <f t="shared" si="30"/>
        <v/>
      </c>
      <c r="C373" s="433" t="str">
        <f>IFERROR(-LBP/2+HLOOKUP(Stn_WL,Tools!$AD$2:$AD$27,QUOTIENT(ROW()-2,Max_WL_count)+2,FALSE)*STN_GAP,"")</f>
        <v/>
      </c>
      <c r="D373" s="433" t="str">
        <f>IFERROR(VLOOKUP(HLOOKUP(Stn_WL,Tools!$AD$2:$AD$27,QUOTIENT(ROW()-2,Max_WL_count)+2,FALSE),Tools!$AD$3:$BC$27,MOD(ROW()-2,Max_WL_count)+2,FALSE),"")</f>
        <v/>
      </c>
      <c r="E373" s="431" t="str">
        <f>IFERROR(IF(ISNUMBER(D373),HLOOKUP(Tools!$BE$2,Tools!$BE$2:$BE$27,MOD(ROW()-2,Max_WL_count)+2,FALSE)*WLS,""),"")</f>
        <v/>
      </c>
      <c r="I373" s="427" t="str">
        <f t="shared" si="35"/>
        <v/>
      </c>
      <c r="J373" s="430" t="str">
        <f t="shared" si="31"/>
        <v/>
      </c>
      <c r="K373" s="433" t="str">
        <f>IFERROR(-LBP/2+HLOOKUP(Stn_WL,Tools!$AD$2:$AD$27,N373+2,FALSE)*STN_GAP,"")</f>
        <v/>
      </c>
      <c r="L373" s="433" t="str">
        <f>IFERROR(IF(AND(ISNUMBER(K373),O373=0),0,VLOOKUP(HLOOKUP(Stn_WL,Tools!$AD$2:$AD$27,N373+2,FALSE),Tools!$AD$3:$BC$27,O373+1,FALSE)),"")</f>
        <v/>
      </c>
      <c r="M373" s="433" t="str">
        <f>IFERROR(IF(ISNUMBER(L373),IF(O373=0,IFERROR(HLOOKUP(Tools!$BD$127,Tools!$BD$127:$BD$152,N373+2,FALSE)*1,0),HLOOKUP(Tools!$BE$2,Tools!$BE$2:$BE$27,O373+1,FALSE)*WLS),""),"")</f>
        <v/>
      </c>
      <c r="N373">
        <f t="shared" si="32"/>
        <v>28</v>
      </c>
      <c r="O373">
        <f t="shared" si="33"/>
        <v>7</v>
      </c>
    </row>
    <row r="374" spans="1:15" x14ac:dyDescent="0.25">
      <c r="A374" s="427" t="str">
        <f t="shared" si="34"/>
        <v/>
      </c>
      <c r="B374" s="430" t="str">
        <f t="shared" si="30"/>
        <v/>
      </c>
      <c r="C374" s="433" t="str">
        <f>IFERROR(-LBP/2+HLOOKUP(Stn_WL,Tools!$AD$2:$AD$27,QUOTIENT(ROW()-2,Max_WL_count)+2,FALSE)*STN_GAP,"")</f>
        <v/>
      </c>
      <c r="D374" s="433" t="str">
        <f>IFERROR(VLOOKUP(HLOOKUP(Stn_WL,Tools!$AD$2:$AD$27,QUOTIENT(ROW()-2,Max_WL_count)+2,FALSE),Tools!$AD$3:$BC$27,MOD(ROW()-2,Max_WL_count)+2,FALSE),"")</f>
        <v/>
      </c>
      <c r="E374" s="431" t="str">
        <f>IFERROR(IF(ISNUMBER(D374),HLOOKUP(Tools!$BE$2,Tools!$BE$2:$BE$27,MOD(ROW()-2,Max_WL_count)+2,FALSE)*WLS,""),"")</f>
        <v/>
      </c>
      <c r="I374" s="427" t="str">
        <f t="shared" si="35"/>
        <v/>
      </c>
      <c r="J374" s="430" t="str">
        <f t="shared" si="31"/>
        <v/>
      </c>
      <c r="K374" s="433" t="str">
        <f>IFERROR(-LBP/2+HLOOKUP(Stn_WL,Tools!$AD$2:$AD$27,N374+2,FALSE)*STN_GAP,"")</f>
        <v/>
      </c>
      <c r="L374" s="433" t="str">
        <f>IFERROR(IF(AND(ISNUMBER(K374),O374=0),0,VLOOKUP(HLOOKUP(Stn_WL,Tools!$AD$2:$AD$27,N374+2,FALSE),Tools!$AD$3:$BC$27,O374+1,FALSE)),"")</f>
        <v/>
      </c>
      <c r="M374" s="433" t="str">
        <f>IFERROR(IF(ISNUMBER(L374),IF(O374=0,IFERROR(HLOOKUP(Tools!$BD$127,Tools!$BD$127:$BD$152,N374+2,FALSE)*1,0),HLOOKUP(Tools!$BE$2,Tools!$BE$2:$BE$27,O374+1,FALSE)*WLS),""),"")</f>
        <v/>
      </c>
      <c r="N374">
        <f t="shared" si="32"/>
        <v>28</v>
      </c>
      <c r="O374">
        <f t="shared" si="33"/>
        <v>8</v>
      </c>
    </row>
    <row r="375" spans="1:15" x14ac:dyDescent="0.25">
      <c r="A375" s="427" t="str">
        <f t="shared" si="34"/>
        <v/>
      </c>
      <c r="B375" s="430" t="str">
        <f t="shared" si="30"/>
        <v/>
      </c>
      <c r="C375" s="433" t="str">
        <f>IFERROR(-LBP/2+HLOOKUP(Stn_WL,Tools!$AD$2:$AD$27,QUOTIENT(ROW()-2,Max_WL_count)+2,FALSE)*STN_GAP,"")</f>
        <v/>
      </c>
      <c r="D375" s="433" t="str">
        <f>IFERROR(VLOOKUP(HLOOKUP(Stn_WL,Tools!$AD$2:$AD$27,QUOTIENT(ROW()-2,Max_WL_count)+2,FALSE),Tools!$AD$3:$BC$27,MOD(ROW()-2,Max_WL_count)+2,FALSE),"")</f>
        <v/>
      </c>
      <c r="E375" s="431" t="str">
        <f>IFERROR(IF(ISNUMBER(D375),HLOOKUP(Tools!$BE$2,Tools!$BE$2:$BE$27,MOD(ROW()-2,Max_WL_count)+2,FALSE)*WLS,""),"")</f>
        <v/>
      </c>
      <c r="I375" s="427" t="str">
        <f t="shared" si="35"/>
        <v/>
      </c>
      <c r="J375" s="430" t="str">
        <f t="shared" si="31"/>
        <v/>
      </c>
      <c r="K375" s="433" t="str">
        <f>IFERROR(-LBP/2+HLOOKUP(Stn_WL,Tools!$AD$2:$AD$27,N375+2,FALSE)*STN_GAP,"")</f>
        <v/>
      </c>
      <c r="L375" s="433" t="str">
        <f>IFERROR(IF(AND(ISNUMBER(K375),O375=0),0,VLOOKUP(HLOOKUP(Stn_WL,Tools!$AD$2:$AD$27,N375+2,FALSE),Tools!$AD$3:$BC$27,O375+1,FALSE)),"")</f>
        <v/>
      </c>
      <c r="M375" s="433" t="str">
        <f>IFERROR(IF(ISNUMBER(L375),IF(O375=0,IFERROR(HLOOKUP(Tools!$BD$127,Tools!$BD$127:$BD$152,N375+2,FALSE)*1,0),HLOOKUP(Tools!$BE$2,Tools!$BE$2:$BE$27,O375+1,FALSE)*WLS),""),"")</f>
        <v/>
      </c>
      <c r="N375">
        <f t="shared" si="32"/>
        <v>28</v>
      </c>
      <c r="O375">
        <f t="shared" si="33"/>
        <v>9</v>
      </c>
    </row>
    <row r="376" spans="1:15" x14ac:dyDescent="0.25">
      <c r="A376" s="427" t="str">
        <f t="shared" si="34"/>
        <v/>
      </c>
      <c r="B376" s="430" t="str">
        <f t="shared" si="30"/>
        <v/>
      </c>
      <c r="C376" s="433" t="str">
        <f>IFERROR(-LBP/2+HLOOKUP(Stn_WL,Tools!$AD$2:$AD$27,QUOTIENT(ROW()-2,Max_WL_count)+2,FALSE)*STN_GAP,"")</f>
        <v/>
      </c>
      <c r="D376" s="433" t="str">
        <f>IFERROR(VLOOKUP(HLOOKUP(Stn_WL,Tools!$AD$2:$AD$27,QUOTIENT(ROW()-2,Max_WL_count)+2,FALSE),Tools!$AD$3:$BC$27,MOD(ROW()-2,Max_WL_count)+2,FALSE),"")</f>
        <v/>
      </c>
      <c r="E376" s="431" t="str">
        <f>IFERROR(IF(ISNUMBER(D376),HLOOKUP(Tools!$BE$2,Tools!$BE$2:$BE$27,MOD(ROW()-2,Max_WL_count)+2,FALSE)*WLS,""),"")</f>
        <v/>
      </c>
      <c r="I376" s="427" t="str">
        <f t="shared" si="35"/>
        <v/>
      </c>
      <c r="J376" s="430" t="str">
        <f t="shared" si="31"/>
        <v/>
      </c>
      <c r="K376" s="433" t="str">
        <f>IFERROR(-LBP/2+HLOOKUP(Stn_WL,Tools!$AD$2:$AD$27,N376+2,FALSE)*STN_GAP,"")</f>
        <v/>
      </c>
      <c r="L376" s="433" t="str">
        <f>IFERROR(IF(AND(ISNUMBER(K376),O376=0),0,VLOOKUP(HLOOKUP(Stn_WL,Tools!$AD$2:$AD$27,N376+2,FALSE),Tools!$AD$3:$BC$27,O376+1,FALSE)),"")</f>
        <v/>
      </c>
      <c r="M376" s="433" t="str">
        <f>IFERROR(IF(ISNUMBER(L376),IF(O376=0,IFERROR(HLOOKUP(Tools!$BD$127,Tools!$BD$127:$BD$152,N376+2,FALSE)*1,0),HLOOKUP(Tools!$BE$2,Tools!$BE$2:$BE$27,O376+1,FALSE)*WLS),""),"")</f>
        <v/>
      </c>
      <c r="N376">
        <f t="shared" si="32"/>
        <v>28</v>
      </c>
      <c r="O376">
        <f t="shared" si="33"/>
        <v>10</v>
      </c>
    </row>
    <row r="377" spans="1:15" x14ac:dyDescent="0.25">
      <c r="A377" s="427" t="str">
        <f t="shared" si="34"/>
        <v/>
      </c>
      <c r="B377" s="430" t="str">
        <f t="shared" si="30"/>
        <v/>
      </c>
      <c r="C377" s="433" t="str">
        <f>IFERROR(-LBP/2+HLOOKUP(Stn_WL,Tools!$AD$2:$AD$27,QUOTIENT(ROW()-2,Max_WL_count)+2,FALSE)*STN_GAP,"")</f>
        <v/>
      </c>
      <c r="D377" s="433" t="str">
        <f>IFERROR(VLOOKUP(HLOOKUP(Stn_WL,Tools!$AD$2:$AD$27,QUOTIENT(ROW()-2,Max_WL_count)+2,FALSE),Tools!$AD$3:$BC$27,MOD(ROW()-2,Max_WL_count)+2,FALSE),"")</f>
        <v/>
      </c>
      <c r="E377" s="431" t="str">
        <f>IFERROR(IF(ISNUMBER(D377),HLOOKUP(Tools!$BE$2,Tools!$BE$2:$BE$27,MOD(ROW()-2,Max_WL_count)+2,FALSE)*WLS,""),"")</f>
        <v/>
      </c>
      <c r="I377" s="427" t="str">
        <f t="shared" si="35"/>
        <v/>
      </c>
      <c r="J377" s="430" t="str">
        <f t="shared" si="31"/>
        <v/>
      </c>
      <c r="K377" s="433" t="str">
        <f>IFERROR(-LBP/2+HLOOKUP(Stn_WL,Tools!$AD$2:$AD$27,N377+2,FALSE)*STN_GAP,"")</f>
        <v/>
      </c>
      <c r="L377" s="433" t="str">
        <f>IFERROR(IF(AND(ISNUMBER(K377),O377=0),0,VLOOKUP(HLOOKUP(Stn_WL,Tools!$AD$2:$AD$27,N377+2,FALSE),Tools!$AD$3:$BC$27,O377+1,FALSE)),"")</f>
        <v/>
      </c>
      <c r="M377" s="433" t="str">
        <f>IFERROR(IF(ISNUMBER(L377),IF(O377=0,IFERROR(HLOOKUP(Tools!$BD$127,Tools!$BD$127:$BD$152,N377+2,FALSE)*1,0),HLOOKUP(Tools!$BE$2,Tools!$BE$2:$BE$27,O377+1,FALSE)*WLS),""),"")</f>
        <v/>
      </c>
      <c r="N377">
        <f t="shared" si="32"/>
        <v>28</v>
      </c>
      <c r="O377">
        <f t="shared" si="33"/>
        <v>11</v>
      </c>
    </row>
    <row r="378" spans="1:15" x14ac:dyDescent="0.25">
      <c r="A378" s="427" t="str">
        <f t="shared" si="34"/>
        <v/>
      </c>
      <c r="B378" s="430" t="str">
        <f t="shared" si="30"/>
        <v/>
      </c>
      <c r="C378" s="433" t="str">
        <f>IFERROR(-LBP/2+HLOOKUP(Stn_WL,Tools!$AD$2:$AD$27,QUOTIENT(ROW()-2,Max_WL_count)+2,FALSE)*STN_GAP,"")</f>
        <v/>
      </c>
      <c r="D378" s="433" t="str">
        <f>IFERROR(VLOOKUP(HLOOKUP(Stn_WL,Tools!$AD$2:$AD$27,QUOTIENT(ROW()-2,Max_WL_count)+2,FALSE),Tools!$AD$3:$BC$27,MOD(ROW()-2,Max_WL_count)+2,FALSE),"")</f>
        <v/>
      </c>
      <c r="E378" s="431" t="str">
        <f>IFERROR(IF(ISNUMBER(D378),HLOOKUP(Tools!$BE$2,Tools!$BE$2:$BE$27,MOD(ROW()-2,Max_WL_count)+2,FALSE)*WLS,""),"")</f>
        <v/>
      </c>
      <c r="I378" s="427" t="str">
        <f t="shared" si="35"/>
        <v/>
      </c>
      <c r="J378" s="430" t="str">
        <f t="shared" si="31"/>
        <v/>
      </c>
      <c r="K378" s="433" t="str">
        <f>IFERROR(-LBP/2+HLOOKUP(Stn_WL,Tools!$AD$2:$AD$27,N378+2,FALSE)*STN_GAP,"")</f>
        <v/>
      </c>
      <c r="L378" s="433" t="str">
        <f>IFERROR(IF(AND(ISNUMBER(K378),O378=0),0,VLOOKUP(HLOOKUP(Stn_WL,Tools!$AD$2:$AD$27,N378+2,FALSE),Tools!$AD$3:$BC$27,O378+1,FALSE)),"")</f>
        <v/>
      </c>
      <c r="M378" s="433" t="str">
        <f>IFERROR(IF(ISNUMBER(L378),IF(O378=0,IFERROR(HLOOKUP(Tools!$BD$127,Tools!$BD$127:$BD$152,N378+2,FALSE)*1,0),HLOOKUP(Tools!$BE$2,Tools!$BE$2:$BE$27,O378+1,FALSE)*WLS),""),"")</f>
        <v/>
      </c>
      <c r="N378">
        <f t="shared" si="32"/>
        <v>28</v>
      </c>
      <c r="O378">
        <f t="shared" si="33"/>
        <v>12</v>
      </c>
    </row>
    <row r="379" spans="1:15" x14ac:dyDescent="0.25">
      <c r="A379" s="427" t="str">
        <f t="shared" si="34"/>
        <v/>
      </c>
      <c r="B379" s="430" t="str">
        <f t="shared" si="30"/>
        <v/>
      </c>
      <c r="C379" s="433" t="str">
        <f>IFERROR(-LBP/2+HLOOKUP(Stn_WL,Tools!$AD$2:$AD$27,QUOTIENT(ROW()-2,Max_WL_count)+2,FALSE)*STN_GAP,"")</f>
        <v/>
      </c>
      <c r="D379" s="433" t="str">
        <f>IFERROR(VLOOKUP(HLOOKUP(Stn_WL,Tools!$AD$2:$AD$27,QUOTIENT(ROW()-2,Max_WL_count)+2,FALSE),Tools!$AD$3:$BC$27,MOD(ROW()-2,Max_WL_count)+2,FALSE),"")</f>
        <v/>
      </c>
      <c r="E379" s="431" t="str">
        <f>IFERROR(IF(ISNUMBER(D379),HLOOKUP(Tools!$BE$2,Tools!$BE$2:$BE$27,MOD(ROW()-2,Max_WL_count)+2,FALSE)*WLS,""),"")</f>
        <v/>
      </c>
      <c r="I379" s="427" t="str">
        <f t="shared" si="35"/>
        <v/>
      </c>
      <c r="J379" s="430" t="str">
        <f t="shared" si="31"/>
        <v/>
      </c>
      <c r="K379" s="433" t="str">
        <f>IFERROR(-LBP/2+HLOOKUP(Stn_WL,Tools!$AD$2:$AD$27,N379+2,FALSE)*STN_GAP,"")</f>
        <v/>
      </c>
      <c r="L379" s="433" t="str">
        <f>IFERROR(IF(AND(ISNUMBER(K379),O379=0),0,VLOOKUP(HLOOKUP(Stn_WL,Tools!$AD$2:$AD$27,N379+2,FALSE),Tools!$AD$3:$BC$27,O379+1,FALSE)),"")</f>
        <v/>
      </c>
      <c r="M379" s="433" t="str">
        <f>IFERROR(IF(ISNUMBER(L379),IF(O379=0,IFERROR(HLOOKUP(Tools!$BD$127,Tools!$BD$127:$BD$152,N379+2,FALSE)*1,0),HLOOKUP(Tools!$BE$2,Tools!$BE$2:$BE$27,O379+1,FALSE)*WLS),""),"")</f>
        <v/>
      </c>
      <c r="N379">
        <f t="shared" si="32"/>
        <v>29</v>
      </c>
      <c r="O379">
        <f t="shared" si="33"/>
        <v>0</v>
      </c>
    </row>
    <row r="380" spans="1:15" x14ac:dyDescent="0.25">
      <c r="A380" s="427" t="str">
        <f t="shared" si="34"/>
        <v/>
      </c>
      <c r="B380" s="430" t="str">
        <f t="shared" si="30"/>
        <v/>
      </c>
      <c r="C380" s="433" t="str">
        <f>IFERROR(-LBP/2+HLOOKUP(Stn_WL,Tools!$AD$2:$AD$27,QUOTIENT(ROW()-2,Max_WL_count)+2,FALSE)*STN_GAP,"")</f>
        <v/>
      </c>
      <c r="D380" s="433" t="str">
        <f>IFERROR(VLOOKUP(HLOOKUP(Stn_WL,Tools!$AD$2:$AD$27,QUOTIENT(ROW()-2,Max_WL_count)+2,FALSE),Tools!$AD$3:$BC$27,MOD(ROW()-2,Max_WL_count)+2,FALSE),"")</f>
        <v/>
      </c>
      <c r="E380" s="431" t="str">
        <f>IFERROR(IF(ISNUMBER(D380),HLOOKUP(Tools!$BE$2,Tools!$BE$2:$BE$27,MOD(ROW()-2,Max_WL_count)+2,FALSE)*WLS,""),"")</f>
        <v/>
      </c>
      <c r="I380" s="427" t="str">
        <f t="shared" si="35"/>
        <v/>
      </c>
      <c r="J380" s="430" t="str">
        <f t="shared" si="31"/>
        <v/>
      </c>
      <c r="K380" s="433" t="str">
        <f>IFERROR(-LBP/2+HLOOKUP(Stn_WL,Tools!$AD$2:$AD$27,N380+2,FALSE)*STN_GAP,"")</f>
        <v/>
      </c>
      <c r="L380" s="433" t="str">
        <f>IFERROR(IF(AND(ISNUMBER(K380),O380=0),0,VLOOKUP(HLOOKUP(Stn_WL,Tools!$AD$2:$AD$27,N380+2,FALSE),Tools!$AD$3:$BC$27,O380+1,FALSE)),"")</f>
        <v/>
      </c>
      <c r="M380" s="433" t="str">
        <f>IFERROR(IF(ISNUMBER(L380),IF(O380=0,IFERROR(HLOOKUP(Tools!$BD$127,Tools!$BD$127:$BD$152,N380+2,FALSE)*1,0),HLOOKUP(Tools!$BE$2,Tools!$BE$2:$BE$27,O380+1,FALSE)*WLS),""),"")</f>
        <v/>
      </c>
      <c r="N380">
        <f t="shared" si="32"/>
        <v>29</v>
      </c>
      <c r="O380">
        <f t="shared" si="33"/>
        <v>1</v>
      </c>
    </row>
    <row r="381" spans="1:15" x14ac:dyDescent="0.25">
      <c r="A381" s="427" t="str">
        <f t="shared" si="34"/>
        <v/>
      </c>
      <c r="B381" s="430" t="str">
        <f t="shared" si="30"/>
        <v/>
      </c>
      <c r="C381" s="433" t="str">
        <f>IFERROR(-LBP/2+HLOOKUP(Stn_WL,Tools!$AD$2:$AD$27,QUOTIENT(ROW()-2,Max_WL_count)+2,FALSE)*STN_GAP,"")</f>
        <v/>
      </c>
      <c r="D381" s="433" t="str">
        <f>IFERROR(VLOOKUP(HLOOKUP(Stn_WL,Tools!$AD$2:$AD$27,QUOTIENT(ROW()-2,Max_WL_count)+2,FALSE),Tools!$AD$3:$BC$27,MOD(ROW()-2,Max_WL_count)+2,FALSE),"")</f>
        <v/>
      </c>
      <c r="E381" s="431" t="str">
        <f>IFERROR(IF(ISNUMBER(D381),HLOOKUP(Tools!$BE$2,Tools!$BE$2:$BE$27,MOD(ROW()-2,Max_WL_count)+2,FALSE)*WLS,""),"")</f>
        <v/>
      </c>
      <c r="I381" s="427" t="str">
        <f t="shared" si="35"/>
        <v/>
      </c>
      <c r="J381" s="430" t="str">
        <f t="shared" si="31"/>
        <v/>
      </c>
      <c r="K381" s="433" t="str">
        <f>IFERROR(-LBP/2+HLOOKUP(Stn_WL,Tools!$AD$2:$AD$27,N381+2,FALSE)*STN_GAP,"")</f>
        <v/>
      </c>
      <c r="L381" s="433" t="str">
        <f>IFERROR(IF(AND(ISNUMBER(K381),O381=0),0,VLOOKUP(HLOOKUP(Stn_WL,Tools!$AD$2:$AD$27,N381+2,FALSE),Tools!$AD$3:$BC$27,O381+1,FALSE)),"")</f>
        <v/>
      </c>
      <c r="M381" s="433" t="str">
        <f>IFERROR(IF(ISNUMBER(L381),IF(O381=0,IFERROR(HLOOKUP(Tools!$BD$127,Tools!$BD$127:$BD$152,N381+2,FALSE)*1,0),HLOOKUP(Tools!$BE$2,Tools!$BE$2:$BE$27,O381+1,FALSE)*WLS),""),"")</f>
        <v/>
      </c>
      <c r="N381">
        <f t="shared" si="32"/>
        <v>29</v>
      </c>
      <c r="O381">
        <f t="shared" si="33"/>
        <v>2</v>
      </c>
    </row>
    <row r="382" spans="1:15" x14ac:dyDescent="0.25">
      <c r="A382" s="427" t="str">
        <f t="shared" si="34"/>
        <v/>
      </c>
      <c r="B382" s="430" t="str">
        <f t="shared" si="30"/>
        <v/>
      </c>
      <c r="C382" s="433" t="str">
        <f>IFERROR(-LBP/2+HLOOKUP(Stn_WL,Tools!$AD$2:$AD$27,QUOTIENT(ROW()-2,Max_WL_count)+2,FALSE)*STN_GAP,"")</f>
        <v/>
      </c>
      <c r="D382" s="433" t="str">
        <f>IFERROR(VLOOKUP(HLOOKUP(Stn_WL,Tools!$AD$2:$AD$27,QUOTIENT(ROW()-2,Max_WL_count)+2,FALSE),Tools!$AD$3:$BC$27,MOD(ROW()-2,Max_WL_count)+2,FALSE),"")</f>
        <v/>
      </c>
      <c r="E382" s="431" t="str">
        <f>IFERROR(IF(ISNUMBER(D382),HLOOKUP(Tools!$BE$2,Tools!$BE$2:$BE$27,MOD(ROW()-2,Max_WL_count)+2,FALSE)*WLS,""),"")</f>
        <v/>
      </c>
      <c r="I382" s="427" t="str">
        <f t="shared" si="35"/>
        <v/>
      </c>
      <c r="J382" s="430" t="str">
        <f t="shared" si="31"/>
        <v/>
      </c>
      <c r="K382" s="433" t="str">
        <f>IFERROR(-LBP/2+HLOOKUP(Stn_WL,Tools!$AD$2:$AD$27,N382+2,FALSE)*STN_GAP,"")</f>
        <v/>
      </c>
      <c r="L382" s="433" t="str">
        <f>IFERROR(IF(AND(ISNUMBER(K382),O382=0),0,VLOOKUP(HLOOKUP(Stn_WL,Tools!$AD$2:$AD$27,N382+2,FALSE),Tools!$AD$3:$BC$27,O382+1,FALSE)),"")</f>
        <v/>
      </c>
      <c r="M382" s="433" t="str">
        <f>IFERROR(IF(ISNUMBER(L382),IF(O382=0,IFERROR(HLOOKUP(Tools!$BD$127,Tools!$BD$127:$BD$152,N382+2,FALSE)*1,0),HLOOKUP(Tools!$BE$2,Tools!$BE$2:$BE$27,O382+1,FALSE)*WLS),""),"")</f>
        <v/>
      </c>
      <c r="N382">
        <f t="shared" si="32"/>
        <v>29</v>
      </c>
      <c r="O382">
        <f t="shared" si="33"/>
        <v>3</v>
      </c>
    </row>
    <row r="383" spans="1:15" x14ac:dyDescent="0.25">
      <c r="A383" s="427" t="str">
        <f t="shared" si="34"/>
        <v/>
      </c>
      <c r="B383" s="430" t="str">
        <f t="shared" si="30"/>
        <v/>
      </c>
      <c r="C383" s="433" t="str">
        <f>IFERROR(-LBP/2+HLOOKUP(Stn_WL,Tools!$AD$2:$AD$27,QUOTIENT(ROW()-2,Max_WL_count)+2,FALSE)*STN_GAP,"")</f>
        <v/>
      </c>
      <c r="D383" s="433" t="str">
        <f>IFERROR(VLOOKUP(HLOOKUP(Stn_WL,Tools!$AD$2:$AD$27,QUOTIENT(ROW()-2,Max_WL_count)+2,FALSE),Tools!$AD$3:$BC$27,MOD(ROW()-2,Max_WL_count)+2,FALSE),"")</f>
        <v/>
      </c>
      <c r="E383" s="431" t="str">
        <f>IFERROR(IF(ISNUMBER(D383),HLOOKUP(Tools!$BE$2,Tools!$BE$2:$BE$27,MOD(ROW()-2,Max_WL_count)+2,FALSE)*WLS,""),"")</f>
        <v/>
      </c>
      <c r="I383" s="427" t="str">
        <f t="shared" si="35"/>
        <v/>
      </c>
      <c r="J383" s="430" t="str">
        <f t="shared" si="31"/>
        <v/>
      </c>
      <c r="K383" s="433" t="str">
        <f>IFERROR(-LBP/2+HLOOKUP(Stn_WL,Tools!$AD$2:$AD$27,N383+2,FALSE)*STN_GAP,"")</f>
        <v/>
      </c>
      <c r="L383" s="433" t="str">
        <f>IFERROR(IF(AND(ISNUMBER(K383),O383=0),0,VLOOKUP(HLOOKUP(Stn_WL,Tools!$AD$2:$AD$27,N383+2,FALSE),Tools!$AD$3:$BC$27,O383+1,FALSE)),"")</f>
        <v/>
      </c>
      <c r="M383" s="433" t="str">
        <f>IFERROR(IF(ISNUMBER(L383),IF(O383=0,IFERROR(HLOOKUP(Tools!$BD$127,Tools!$BD$127:$BD$152,N383+2,FALSE)*1,0),HLOOKUP(Tools!$BE$2,Tools!$BE$2:$BE$27,O383+1,FALSE)*WLS),""),"")</f>
        <v/>
      </c>
      <c r="N383">
        <f t="shared" si="32"/>
        <v>29</v>
      </c>
      <c r="O383">
        <f t="shared" si="33"/>
        <v>4</v>
      </c>
    </row>
    <row r="384" spans="1:15" x14ac:dyDescent="0.25">
      <c r="A384" s="427" t="str">
        <f t="shared" si="34"/>
        <v/>
      </c>
      <c r="B384" s="430" t="str">
        <f t="shared" si="30"/>
        <v/>
      </c>
      <c r="C384" s="433" t="str">
        <f>IFERROR(-LBP/2+HLOOKUP(Stn_WL,Tools!$AD$2:$AD$27,QUOTIENT(ROW()-2,Max_WL_count)+2,FALSE)*STN_GAP,"")</f>
        <v/>
      </c>
      <c r="D384" s="433" t="str">
        <f>IFERROR(VLOOKUP(HLOOKUP(Stn_WL,Tools!$AD$2:$AD$27,QUOTIENT(ROW()-2,Max_WL_count)+2,FALSE),Tools!$AD$3:$BC$27,MOD(ROW()-2,Max_WL_count)+2,FALSE),"")</f>
        <v/>
      </c>
      <c r="E384" s="431" t="str">
        <f>IFERROR(IF(ISNUMBER(D384),HLOOKUP(Tools!$BE$2,Tools!$BE$2:$BE$27,MOD(ROW()-2,Max_WL_count)+2,FALSE)*WLS,""),"")</f>
        <v/>
      </c>
      <c r="I384" s="427" t="str">
        <f t="shared" si="35"/>
        <v/>
      </c>
      <c r="J384" s="430" t="str">
        <f t="shared" si="31"/>
        <v/>
      </c>
      <c r="K384" s="433" t="str">
        <f>IFERROR(-LBP/2+HLOOKUP(Stn_WL,Tools!$AD$2:$AD$27,N384+2,FALSE)*STN_GAP,"")</f>
        <v/>
      </c>
      <c r="L384" s="433" t="str">
        <f>IFERROR(IF(AND(ISNUMBER(K384),O384=0),0,VLOOKUP(HLOOKUP(Stn_WL,Tools!$AD$2:$AD$27,N384+2,FALSE),Tools!$AD$3:$BC$27,O384+1,FALSE)),"")</f>
        <v/>
      </c>
      <c r="M384" s="433" t="str">
        <f>IFERROR(IF(ISNUMBER(L384),IF(O384=0,IFERROR(HLOOKUP(Tools!$BD$127,Tools!$BD$127:$BD$152,N384+2,FALSE)*1,0),HLOOKUP(Tools!$BE$2,Tools!$BE$2:$BE$27,O384+1,FALSE)*WLS),""),"")</f>
        <v/>
      </c>
      <c r="N384">
        <f t="shared" si="32"/>
        <v>29</v>
      </c>
      <c r="O384">
        <f t="shared" si="33"/>
        <v>5</v>
      </c>
    </row>
    <row r="385" spans="1:15" x14ac:dyDescent="0.25">
      <c r="A385" s="427" t="str">
        <f t="shared" si="34"/>
        <v/>
      </c>
      <c r="B385" s="430" t="str">
        <f t="shared" si="30"/>
        <v/>
      </c>
      <c r="C385" s="433" t="str">
        <f>IFERROR(-LBP/2+HLOOKUP(Stn_WL,Tools!$AD$2:$AD$27,QUOTIENT(ROW()-2,Max_WL_count)+2,FALSE)*STN_GAP,"")</f>
        <v/>
      </c>
      <c r="D385" s="433" t="str">
        <f>IFERROR(VLOOKUP(HLOOKUP(Stn_WL,Tools!$AD$2:$AD$27,QUOTIENT(ROW()-2,Max_WL_count)+2,FALSE),Tools!$AD$3:$BC$27,MOD(ROW()-2,Max_WL_count)+2,FALSE),"")</f>
        <v/>
      </c>
      <c r="E385" s="431" t="str">
        <f>IFERROR(IF(ISNUMBER(D385),HLOOKUP(Tools!$BE$2,Tools!$BE$2:$BE$27,MOD(ROW()-2,Max_WL_count)+2,FALSE)*WLS,""),"")</f>
        <v/>
      </c>
      <c r="I385" s="427" t="str">
        <f t="shared" si="35"/>
        <v/>
      </c>
      <c r="J385" s="430" t="str">
        <f t="shared" si="31"/>
        <v/>
      </c>
      <c r="K385" s="433" t="str">
        <f>IFERROR(-LBP/2+HLOOKUP(Stn_WL,Tools!$AD$2:$AD$27,N385+2,FALSE)*STN_GAP,"")</f>
        <v/>
      </c>
      <c r="L385" s="433" t="str">
        <f>IFERROR(IF(AND(ISNUMBER(K385),O385=0),0,VLOOKUP(HLOOKUP(Stn_WL,Tools!$AD$2:$AD$27,N385+2,FALSE),Tools!$AD$3:$BC$27,O385+1,FALSE)),"")</f>
        <v/>
      </c>
      <c r="M385" s="433" t="str">
        <f>IFERROR(IF(ISNUMBER(L385),IF(O385=0,IFERROR(HLOOKUP(Tools!$BD$127,Tools!$BD$127:$BD$152,N385+2,FALSE)*1,0),HLOOKUP(Tools!$BE$2,Tools!$BE$2:$BE$27,O385+1,FALSE)*WLS),""),"")</f>
        <v/>
      </c>
      <c r="N385">
        <f t="shared" si="32"/>
        <v>29</v>
      </c>
      <c r="O385">
        <f t="shared" si="33"/>
        <v>6</v>
      </c>
    </row>
    <row r="386" spans="1:15" x14ac:dyDescent="0.25">
      <c r="A386" s="427" t="str">
        <f t="shared" si="34"/>
        <v/>
      </c>
      <c r="B386" s="430" t="str">
        <f t="shared" ref="B386:B449" si="36">IFERROR(IF(ISNUMBER(D386),QUOTIENT(ROW()-2,Max_WL_count)+1,""),"")</f>
        <v/>
      </c>
      <c r="C386" s="433" t="str">
        <f>IFERROR(-LBP/2+HLOOKUP(Stn_WL,Tools!$AD$2:$AD$27,QUOTIENT(ROW()-2,Max_WL_count)+2,FALSE)*STN_GAP,"")</f>
        <v/>
      </c>
      <c r="D386" s="433" t="str">
        <f>IFERROR(VLOOKUP(HLOOKUP(Stn_WL,Tools!$AD$2:$AD$27,QUOTIENT(ROW()-2,Max_WL_count)+2,FALSE),Tools!$AD$3:$BC$27,MOD(ROW()-2,Max_WL_count)+2,FALSE),"")</f>
        <v/>
      </c>
      <c r="E386" s="431" t="str">
        <f>IFERROR(IF(ISNUMBER(D386),HLOOKUP(Tools!$BE$2,Tools!$BE$2:$BE$27,MOD(ROW()-2,Max_WL_count)+2,FALSE)*WLS,""),"")</f>
        <v/>
      </c>
      <c r="I386" s="427" t="str">
        <f t="shared" si="35"/>
        <v/>
      </c>
      <c r="J386" s="430" t="str">
        <f t="shared" ref="J386:J449" si="37">IFERROR(IF(ISNUMBER(L386),QUOTIENT(ROW()-2,Max_WL_count+1)+1,""),"")</f>
        <v/>
      </c>
      <c r="K386" s="433" t="str">
        <f>IFERROR(-LBP/2+HLOOKUP(Stn_WL,Tools!$AD$2:$AD$27,N386+2,FALSE)*STN_GAP,"")</f>
        <v/>
      </c>
      <c r="L386" s="433" t="str">
        <f>IFERROR(IF(AND(ISNUMBER(K386),O386=0),0,VLOOKUP(HLOOKUP(Stn_WL,Tools!$AD$2:$AD$27,N386+2,FALSE),Tools!$AD$3:$BC$27,O386+1,FALSE)),"")</f>
        <v/>
      </c>
      <c r="M386" s="433" t="str">
        <f>IFERROR(IF(ISNUMBER(L386),IF(O386=0,IFERROR(HLOOKUP(Tools!$BD$127,Tools!$BD$127:$BD$152,N386+2,FALSE)*1,0),HLOOKUP(Tools!$BE$2,Tools!$BE$2:$BE$27,O386+1,FALSE)*WLS),""),"")</f>
        <v/>
      </c>
      <c r="N386">
        <f t="shared" ref="N386:N449" si="38">QUOTIENT(ROW()-2,Max_WL_count+1)</f>
        <v>29</v>
      </c>
      <c r="O386">
        <f t="shared" ref="O386:O449" si="39">MOD(ROW()-2,Max_WL_count+1)</f>
        <v>7</v>
      </c>
    </row>
    <row r="387" spans="1:15" x14ac:dyDescent="0.25">
      <c r="A387" s="427" t="str">
        <f t="shared" ref="A387:A450" si="40">IF(ISNUMBER(D387),ROW()-1,"")</f>
        <v/>
      </c>
      <c r="B387" s="430" t="str">
        <f t="shared" si="36"/>
        <v/>
      </c>
      <c r="C387" s="433" t="str">
        <f>IFERROR(-LBP/2+HLOOKUP(Stn_WL,Tools!$AD$2:$AD$27,QUOTIENT(ROW()-2,Max_WL_count)+2,FALSE)*STN_GAP,"")</f>
        <v/>
      </c>
      <c r="D387" s="433" t="str">
        <f>IFERROR(VLOOKUP(HLOOKUP(Stn_WL,Tools!$AD$2:$AD$27,QUOTIENT(ROW()-2,Max_WL_count)+2,FALSE),Tools!$AD$3:$BC$27,MOD(ROW()-2,Max_WL_count)+2,FALSE),"")</f>
        <v/>
      </c>
      <c r="E387" s="431" t="str">
        <f>IFERROR(IF(ISNUMBER(D387),HLOOKUP(Tools!$BE$2,Tools!$BE$2:$BE$27,MOD(ROW()-2,Max_WL_count)+2,FALSE)*WLS,""),"")</f>
        <v/>
      </c>
      <c r="I387" s="427" t="str">
        <f t="shared" ref="I387:I450" si="41">IF(ISNUMBER(L387),ROW()-1,"")</f>
        <v/>
      </c>
      <c r="J387" s="430" t="str">
        <f t="shared" si="37"/>
        <v/>
      </c>
      <c r="K387" s="433" t="str">
        <f>IFERROR(-LBP/2+HLOOKUP(Stn_WL,Tools!$AD$2:$AD$27,N387+2,FALSE)*STN_GAP,"")</f>
        <v/>
      </c>
      <c r="L387" s="433" t="str">
        <f>IFERROR(IF(AND(ISNUMBER(K387),O387=0),0,VLOOKUP(HLOOKUP(Stn_WL,Tools!$AD$2:$AD$27,N387+2,FALSE),Tools!$AD$3:$BC$27,O387+1,FALSE)),"")</f>
        <v/>
      </c>
      <c r="M387" s="433" t="str">
        <f>IFERROR(IF(ISNUMBER(L387),IF(O387=0,IFERROR(HLOOKUP(Tools!$BD$127,Tools!$BD$127:$BD$152,N387+2,FALSE)*1,0),HLOOKUP(Tools!$BE$2,Tools!$BE$2:$BE$27,O387+1,FALSE)*WLS),""),"")</f>
        <v/>
      </c>
      <c r="N387">
        <f t="shared" si="38"/>
        <v>29</v>
      </c>
      <c r="O387">
        <f t="shared" si="39"/>
        <v>8</v>
      </c>
    </row>
    <row r="388" spans="1:15" x14ac:dyDescent="0.25">
      <c r="A388" s="427" t="str">
        <f t="shared" si="40"/>
        <v/>
      </c>
      <c r="B388" s="430" t="str">
        <f t="shared" si="36"/>
        <v/>
      </c>
      <c r="C388" s="433" t="str">
        <f>IFERROR(-LBP/2+HLOOKUP(Stn_WL,Tools!$AD$2:$AD$27,QUOTIENT(ROW()-2,Max_WL_count)+2,FALSE)*STN_GAP,"")</f>
        <v/>
      </c>
      <c r="D388" s="433" t="str">
        <f>IFERROR(VLOOKUP(HLOOKUP(Stn_WL,Tools!$AD$2:$AD$27,QUOTIENT(ROW()-2,Max_WL_count)+2,FALSE),Tools!$AD$3:$BC$27,MOD(ROW()-2,Max_WL_count)+2,FALSE),"")</f>
        <v/>
      </c>
      <c r="E388" s="431" t="str">
        <f>IFERROR(IF(ISNUMBER(D388),HLOOKUP(Tools!$BE$2,Tools!$BE$2:$BE$27,MOD(ROW()-2,Max_WL_count)+2,FALSE)*WLS,""),"")</f>
        <v/>
      </c>
      <c r="I388" s="427" t="str">
        <f t="shared" si="41"/>
        <v/>
      </c>
      <c r="J388" s="430" t="str">
        <f t="shared" si="37"/>
        <v/>
      </c>
      <c r="K388" s="433" t="str">
        <f>IFERROR(-LBP/2+HLOOKUP(Stn_WL,Tools!$AD$2:$AD$27,N388+2,FALSE)*STN_GAP,"")</f>
        <v/>
      </c>
      <c r="L388" s="433" t="str">
        <f>IFERROR(IF(AND(ISNUMBER(K388),O388=0),0,VLOOKUP(HLOOKUP(Stn_WL,Tools!$AD$2:$AD$27,N388+2,FALSE),Tools!$AD$3:$BC$27,O388+1,FALSE)),"")</f>
        <v/>
      </c>
      <c r="M388" s="433" t="str">
        <f>IFERROR(IF(ISNUMBER(L388),IF(O388=0,IFERROR(HLOOKUP(Tools!$BD$127,Tools!$BD$127:$BD$152,N388+2,FALSE)*1,0),HLOOKUP(Tools!$BE$2,Tools!$BE$2:$BE$27,O388+1,FALSE)*WLS),""),"")</f>
        <v/>
      </c>
      <c r="N388">
        <f t="shared" si="38"/>
        <v>29</v>
      </c>
      <c r="O388">
        <f t="shared" si="39"/>
        <v>9</v>
      </c>
    </row>
    <row r="389" spans="1:15" x14ac:dyDescent="0.25">
      <c r="A389" s="427" t="str">
        <f t="shared" si="40"/>
        <v/>
      </c>
      <c r="B389" s="430" t="str">
        <f t="shared" si="36"/>
        <v/>
      </c>
      <c r="C389" s="433" t="str">
        <f>IFERROR(-LBP/2+HLOOKUP(Stn_WL,Tools!$AD$2:$AD$27,QUOTIENT(ROW()-2,Max_WL_count)+2,FALSE)*STN_GAP,"")</f>
        <v/>
      </c>
      <c r="D389" s="433" t="str">
        <f>IFERROR(VLOOKUP(HLOOKUP(Stn_WL,Tools!$AD$2:$AD$27,QUOTIENT(ROW()-2,Max_WL_count)+2,FALSE),Tools!$AD$3:$BC$27,MOD(ROW()-2,Max_WL_count)+2,FALSE),"")</f>
        <v/>
      </c>
      <c r="E389" s="431" t="str">
        <f>IFERROR(IF(ISNUMBER(D389),HLOOKUP(Tools!$BE$2,Tools!$BE$2:$BE$27,MOD(ROW()-2,Max_WL_count)+2,FALSE)*WLS,""),"")</f>
        <v/>
      </c>
      <c r="I389" s="427" t="str">
        <f t="shared" si="41"/>
        <v/>
      </c>
      <c r="J389" s="430" t="str">
        <f t="shared" si="37"/>
        <v/>
      </c>
      <c r="K389" s="433" t="str">
        <f>IFERROR(-LBP/2+HLOOKUP(Stn_WL,Tools!$AD$2:$AD$27,N389+2,FALSE)*STN_GAP,"")</f>
        <v/>
      </c>
      <c r="L389" s="433" t="str">
        <f>IFERROR(IF(AND(ISNUMBER(K389),O389=0),0,VLOOKUP(HLOOKUP(Stn_WL,Tools!$AD$2:$AD$27,N389+2,FALSE),Tools!$AD$3:$BC$27,O389+1,FALSE)),"")</f>
        <v/>
      </c>
      <c r="M389" s="433" t="str">
        <f>IFERROR(IF(ISNUMBER(L389),IF(O389=0,IFERROR(HLOOKUP(Tools!$BD$127,Tools!$BD$127:$BD$152,N389+2,FALSE)*1,0),HLOOKUP(Tools!$BE$2,Tools!$BE$2:$BE$27,O389+1,FALSE)*WLS),""),"")</f>
        <v/>
      </c>
      <c r="N389">
        <f t="shared" si="38"/>
        <v>29</v>
      </c>
      <c r="O389">
        <f t="shared" si="39"/>
        <v>10</v>
      </c>
    </row>
    <row r="390" spans="1:15" x14ac:dyDescent="0.25">
      <c r="A390" s="427" t="str">
        <f t="shared" si="40"/>
        <v/>
      </c>
      <c r="B390" s="430" t="str">
        <f t="shared" si="36"/>
        <v/>
      </c>
      <c r="C390" s="433" t="str">
        <f>IFERROR(-LBP/2+HLOOKUP(Stn_WL,Tools!$AD$2:$AD$27,QUOTIENT(ROW()-2,Max_WL_count)+2,FALSE)*STN_GAP,"")</f>
        <v/>
      </c>
      <c r="D390" s="433" t="str">
        <f>IFERROR(VLOOKUP(HLOOKUP(Stn_WL,Tools!$AD$2:$AD$27,QUOTIENT(ROW()-2,Max_WL_count)+2,FALSE),Tools!$AD$3:$BC$27,MOD(ROW()-2,Max_WL_count)+2,FALSE),"")</f>
        <v/>
      </c>
      <c r="E390" s="431" t="str">
        <f>IFERROR(IF(ISNUMBER(D390),HLOOKUP(Tools!$BE$2,Tools!$BE$2:$BE$27,MOD(ROW()-2,Max_WL_count)+2,FALSE)*WLS,""),"")</f>
        <v/>
      </c>
      <c r="I390" s="427" t="str">
        <f t="shared" si="41"/>
        <v/>
      </c>
      <c r="J390" s="430" t="str">
        <f t="shared" si="37"/>
        <v/>
      </c>
      <c r="K390" s="433" t="str">
        <f>IFERROR(-LBP/2+HLOOKUP(Stn_WL,Tools!$AD$2:$AD$27,N390+2,FALSE)*STN_GAP,"")</f>
        <v/>
      </c>
      <c r="L390" s="433" t="str">
        <f>IFERROR(IF(AND(ISNUMBER(K390),O390=0),0,VLOOKUP(HLOOKUP(Stn_WL,Tools!$AD$2:$AD$27,N390+2,FALSE),Tools!$AD$3:$BC$27,O390+1,FALSE)),"")</f>
        <v/>
      </c>
      <c r="M390" s="433" t="str">
        <f>IFERROR(IF(ISNUMBER(L390),IF(O390=0,IFERROR(HLOOKUP(Tools!$BD$127,Tools!$BD$127:$BD$152,N390+2,FALSE)*1,0),HLOOKUP(Tools!$BE$2,Tools!$BE$2:$BE$27,O390+1,FALSE)*WLS),""),"")</f>
        <v/>
      </c>
      <c r="N390">
        <f t="shared" si="38"/>
        <v>29</v>
      </c>
      <c r="O390">
        <f t="shared" si="39"/>
        <v>11</v>
      </c>
    </row>
    <row r="391" spans="1:15" x14ac:dyDescent="0.25">
      <c r="A391" s="427" t="str">
        <f t="shared" si="40"/>
        <v/>
      </c>
      <c r="B391" s="430" t="str">
        <f t="shared" si="36"/>
        <v/>
      </c>
      <c r="C391" s="433" t="str">
        <f>IFERROR(-LBP/2+HLOOKUP(Stn_WL,Tools!$AD$2:$AD$27,QUOTIENT(ROW()-2,Max_WL_count)+2,FALSE)*STN_GAP,"")</f>
        <v/>
      </c>
      <c r="D391" s="433" t="str">
        <f>IFERROR(VLOOKUP(HLOOKUP(Stn_WL,Tools!$AD$2:$AD$27,QUOTIENT(ROW()-2,Max_WL_count)+2,FALSE),Tools!$AD$3:$BC$27,MOD(ROW()-2,Max_WL_count)+2,FALSE),"")</f>
        <v/>
      </c>
      <c r="E391" s="431" t="str">
        <f>IFERROR(IF(ISNUMBER(D391),HLOOKUP(Tools!$BE$2,Tools!$BE$2:$BE$27,MOD(ROW()-2,Max_WL_count)+2,FALSE)*WLS,""),"")</f>
        <v/>
      </c>
      <c r="I391" s="427" t="str">
        <f t="shared" si="41"/>
        <v/>
      </c>
      <c r="J391" s="430" t="str">
        <f t="shared" si="37"/>
        <v/>
      </c>
      <c r="K391" s="433" t="str">
        <f>IFERROR(-LBP/2+HLOOKUP(Stn_WL,Tools!$AD$2:$AD$27,N391+2,FALSE)*STN_GAP,"")</f>
        <v/>
      </c>
      <c r="L391" s="433" t="str">
        <f>IFERROR(IF(AND(ISNUMBER(K391),O391=0),0,VLOOKUP(HLOOKUP(Stn_WL,Tools!$AD$2:$AD$27,N391+2,FALSE),Tools!$AD$3:$BC$27,O391+1,FALSE)),"")</f>
        <v/>
      </c>
      <c r="M391" s="433" t="str">
        <f>IFERROR(IF(ISNUMBER(L391),IF(O391=0,IFERROR(HLOOKUP(Tools!$BD$127,Tools!$BD$127:$BD$152,N391+2,FALSE)*1,0),HLOOKUP(Tools!$BE$2,Tools!$BE$2:$BE$27,O391+1,FALSE)*WLS),""),"")</f>
        <v/>
      </c>
      <c r="N391">
        <f t="shared" si="38"/>
        <v>29</v>
      </c>
      <c r="O391">
        <f t="shared" si="39"/>
        <v>12</v>
      </c>
    </row>
    <row r="392" spans="1:15" x14ac:dyDescent="0.25">
      <c r="A392" s="427" t="str">
        <f t="shared" si="40"/>
        <v/>
      </c>
      <c r="B392" s="430" t="str">
        <f t="shared" si="36"/>
        <v/>
      </c>
      <c r="C392" s="433" t="str">
        <f>IFERROR(-LBP/2+HLOOKUP(Stn_WL,Tools!$AD$2:$AD$27,QUOTIENT(ROW()-2,Max_WL_count)+2,FALSE)*STN_GAP,"")</f>
        <v/>
      </c>
      <c r="D392" s="433" t="str">
        <f>IFERROR(VLOOKUP(HLOOKUP(Stn_WL,Tools!$AD$2:$AD$27,QUOTIENT(ROW()-2,Max_WL_count)+2,FALSE),Tools!$AD$3:$BC$27,MOD(ROW()-2,Max_WL_count)+2,FALSE),"")</f>
        <v/>
      </c>
      <c r="E392" s="431" t="str">
        <f>IFERROR(IF(ISNUMBER(D392),HLOOKUP(Tools!$BE$2,Tools!$BE$2:$BE$27,MOD(ROW()-2,Max_WL_count)+2,FALSE)*WLS,""),"")</f>
        <v/>
      </c>
      <c r="I392" s="427" t="str">
        <f t="shared" si="41"/>
        <v/>
      </c>
      <c r="J392" s="430" t="str">
        <f t="shared" si="37"/>
        <v/>
      </c>
      <c r="K392" s="433" t="str">
        <f>IFERROR(-LBP/2+HLOOKUP(Stn_WL,Tools!$AD$2:$AD$27,N392+2,FALSE)*STN_GAP,"")</f>
        <v/>
      </c>
      <c r="L392" s="433" t="str">
        <f>IFERROR(IF(AND(ISNUMBER(K392),O392=0),0,VLOOKUP(HLOOKUP(Stn_WL,Tools!$AD$2:$AD$27,N392+2,FALSE),Tools!$AD$3:$BC$27,O392+1,FALSE)),"")</f>
        <v/>
      </c>
      <c r="M392" s="433" t="str">
        <f>IFERROR(IF(ISNUMBER(L392),IF(O392=0,IFERROR(HLOOKUP(Tools!$BD$127,Tools!$BD$127:$BD$152,N392+2,FALSE)*1,0),HLOOKUP(Tools!$BE$2,Tools!$BE$2:$BE$27,O392+1,FALSE)*WLS),""),"")</f>
        <v/>
      </c>
      <c r="N392">
        <f t="shared" si="38"/>
        <v>30</v>
      </c>
      <c r="O392">
        <f t="shared" si="39"/>
        <v>0</v>
      </c>
    </row>
    <row r="393" spans="1:15" x14ac:dyDescent="0.25">
      <c r="A393" s="427" t="str">
        <f t="shared" si="40"/>
        <v/>
      </c>
      <c r="B393" s="430" t="str">
        <f t="shared" si="36"/>
        <v/>
      </c>
      <c r="C393" s="433" t="str">
        <f>IFERROR(-LBP/2+HLOOKUP(Stn_WL,Tools!$AD$2:$AD$27,QUOTIENT(ROW()-2,Max_WL_count)+2,FALSE)*STN_GAP,"")</f>
        <v/>
      </c>
      <c r="D393" s="433" t="str">
        <f>IFERROR(VLOOKUP(HLOOKUP(Stn_WL,Tools!$AD$2:$AD$27,QUOTIENT(ROW()-2,Max_WL_count)+2,FALSE),Tools!$AD$3:$BC$27,MOD(ROW()-2,Max_WL_count)+2,FALSE),"")</f>
        <v/>
      </c>
      <c r="E393" s="431" t="str">
        <f>IFERROR(IF(ISNUMBER(D393),HLOOKUP(Tools!$BE$2,Tools!$BE$2:$BE$27,MOD(ROW()-2,Max_WL_count)+2,FALSE)*WLS,""),"")</f>
        <v/>
      </c>
      <c r="I393" s="427" t="str">
        <f t="shared" si="41"/>
        <v/>
      </c>
      <c r="J393" s="430" t="str">
        <f t="shared" si="37"/>
        <v/>
      </c>
      <c r="K393" s="433" t="str">
        <f>IFERROR(-LBP/2+HLOOKUP(Stn_WL,Tools!$AD$2:$AD$27,N393+2,FALSE)*STN_GAP,"")</f>
        <v/>
      </c>
      <c r="L393" s="433" t="str">
        <f>IFERROR(IF(AND(ISNUMBER(K393),O393=0),0,VLOOKUP(HLOOKUP(Stn_WL,Tools!$AD$2:$AD$27,N393+2,FALSE),Tools!$AD$3:$BC$27,O393+1,FALSE)),"")</f>
        <v/>
      </c>
      <c r="M393" s="433" t="str">
        <f>IFERROR(IF(ISNUMBER(L393),IF(O393=0,IFERROR(HLOOKUP(Tools!$BD$127,Tools!$BD$127:$BD$152,N393+2,FALSE)*1,0),HLOOKUP(Tools!$BE$2,Tools!$BE$2:$BE$27,O393+1,FALSE)*WLS),""),"")</f>
        <v/>
      </c>
      <c r="N393">
        <f t="shared" si="38"/>
        <v>30</v>
      </c>
      <c r="O393">
        <f t="shared" si="39"/>
        <v>1</v>
      </c>
    </row>
    <row r="394" spans="1:15" x14ac:dyDescent="0.25">
      <c r="A394" s="427" t="str">
        <f t="shared" si="40"/>
        <v/>
      </c>
      <c r="B394" s="430" t="str">
        <f t="shared" si="36"/>
        <v/>
      </c>
      <c r="C394" s="433" t="str">
        <f>IFERROR(-LBP/2+HLOOKUP(Stn_WL,Tools!$AD$2:$AD$27,QUOTIENT(ROW()-2,Max_WL_count)+2,FALSE)*STN_GAP,"")</f>
        <v/>
      </c>
      <c r="D394" s="433" t="str">
        <f>IFERROR(VLOOKUP(HLOOKUP(Stn_WL,Tools!$AD$2:$AD$27,QUOTIENT(ROW()-2,Max_WL_count)+2,FALSE),Tools!$AD$3:$BC$27,MOD(ROW()-2,Max_WL_count)+2,FALSE),"")</f>
        <v/>
      </c>
      <c r="E394" s="431" t="str">
        <f>IFERROR(IF(ISNUMBER(D394),HLOOKUP(Tools!$BE$2,Tools!$BE$2:$BE$27,MOD(ROW()-2,Max_WL_count)+2,FALSE)*WLS,""),"")</f>
        <v/>
      </c>
      <c r="I394" s="427" t="str">
        <f t="shared" si="41"/>
        <v/>
      </c>
      <c r="J394" s="430" t="str">
        <f t="shared" si="37"/>
        <v/>
      </c>
      <c r="K394" s="433" t="str">
        <f>IFERROR(-LBP/2+HLOOKUP(Stn_WL,Tools!$AD$2:$AD$27,N394+2,FALSE)*STN_GAP,"")</f>
        <v/>
      </c>
      <c r="L394" s="433" t="str">
        <f>IFERROR(IF(AND(ISNUMBER(K394),O394=0),0,VLOOKUP(HLOOKUP(Stn_WL,Tools!$AD$2:$AD$27,N394+2,FALSE),Tools!$AD$3:$BC$27,O394+1,FALSE)),"")</f>
        <v/>
      </c>
      <c r="M394" s="433" t="str">
        <f>IFERROR(IF(ISNUMBER(L394),IF(O394=0,IFERROR(HLOOKUP(Tools!$BD$127,Tools!$BD$127:$BD$152,N394+2,FALSE)*1,0),HLOOKUP(Tools!$BE$2,Tools!$BE$2:$BE$27,O394+1,FALSE)*WLS),""),"")</f>
        <v/>
      </c>
      <c r="N394">
        <f t="shared" si="38"/>
        <v>30</v>
      </c>
      <c r="O394">
        <f t="shared" si="39"/>
        <v>2</v>
      </c>
    </row>
    <row r="395" spans="1:15" x14ac:dyDescent="0.25">
      <c r="A395" s="427" t="str">
        <f t="shared" si="40"/>
        <v/>
      </c>
      <c r="B395" s="430" t="str">
        <f t="shared" si="36"/>
        <v/>
      </c>
      <c r="C395" s="433" t="str">
        <f>IFERROR(-LBP/2+HLOOKUP(Stn_WL,Tools!$AD$2:$AD$27,QUOTIENT(ROW()-2,Max_WL_count)+2,FALSE)*STN_GAP,"")</f>
        <v/>
      </c>
      <c r="D395" s="433" t="str">
        <f>IFERROR(VLOOKUP(HLOOKUP(Stn_WL,Tools!$AD$2:$AD$27,QUOTIENT(ROW()-2,Max_WL_count)+2,FALSE),Tools!$AD$3:$BC$27,MOD(ROW()-2,Max_WL_count)+2,FALSE),"")</f>
        <v/>
      </c>
      <c r="E395" s="431" t="str">
        <f>IFERROR(IF(ISNUMBER(D395),HLOOKUP(Tools!$BE$2,Tools!$BE$2:$BE$27,MOD(ROW()-2,Max_WL_count)+2,FALSE)*WLS,""),"")</f>
        <v/>
      </c>
      <c r="I395" s="427" t="str">
        <f t="shared" si="41"/>
        <v/>
      </c>
      <c r="J395" s="430" t="str">
        <f t="shared" si="37"/>
        <v/>
      </c>
      <c r="K395" s="433" t="str">
        <f>IFERROR(-LBP/2+HLOOKUP(Stn_WL,Tools!$AD$2:$AD$27,N395+2,FALSE)*STN_GAP,"")</f>
        <v/>
      </c>
      <c r="L395" s="433" t="str">
        <f>IFERROR(IF(AND(ISNUMBER(K395),O395=0),0,VLOOKUP(HLOOKUP(Stn_WL,Tools!$AD$2:$AD$27,N395+2,FALSE),Tools!$AD$3:$BC$27,O395+1,FALSE)),"")</f>
        <v/>
      </c>
      <c r="M395" s="433" t="str">
        <f>IFERROR(IF(ISNUMBER(L395),IF(O395=0,IFERROR(HLOOKUP(Tools!$BD$127,Tools!$BD$127:$BD$152,N395+2,FALSE)*1,0),HLOOKUP(Tools!$BE$2,Tools!$BE$2:$BE$27,O395+1,FALSE)*WLS),""),"")</f>
        <v/>
      </c>
      <c r="N395">
        <f t="shared" si="38"/>
        <v>30</v>
      </c>
      <c r="O395">
        <f t="shared" si="39"/>
        <v>3</v>
      </c>
    </row>
    <row r="396" spans="1:15" x14ac:dyDescent="0.25">
      <c r="A396" s="427" t="str">
        <f t="shared" si="40"/>
        <v/>
      </c>
      <c r="B396" s="430" t="str">
        <f t="shared" si="36"/>
        <v/>
      </c>
      <c r="C396" s="433" t="str">
        <f>IFERROR(-LBP/2+HLOOKUP(Stn_WL,Tools!$AD$2:$AD$27,QUOTIENT(ROW()-2,Max_WL_count)+2,FALSE)*STN_GAP,"")</f>
        <v/>
      </c>
      <c r="D396" s="433" t="str">
        <f>IFERROR(VLOOKUP(HLOOKUP(Stn_WL,Tools!$AD$2:$AD$27,QUOTIENT(ROW()-2,Max_WL_count)+2,FALSE),Tools!$AD$3:$BC$27,MOD(ROW()-2,Max_WL_count)+2,FALSE),"")</f>
        <v/>
      </c>
      <c r="E396" s="431" t="str">
        <f>IFERROR(IF(ISNUMBER(D396),HLOOKUP(Tools!$BE$2,Tools!$BE$2:$BE$27,MOD(ROW()-2,Max_WL_count)+2,FALSE)*WLS,""),"")</f>
        <v/>
      </c>
      <c r="I396" s="427" t="str">
        <f t="shared" si="41"/>
        <v/>
      </c>
      <c r="J396" s="430" t="str">
        <f t="shared" si="37"/>
        <v/>
      </c>
      <c r="K396" s="433" t="str">
        <f>IFERROR(-LBP/2+HLOOKUP(Stn_WL,Tools!$AD$2:$AD$27,N396+2,FALSE)*STN_GAP,"")</f>
        <v/>
      </c>
      <c r="L396" s="433" t="str">
        <f>IFERROR(IF(AND(ISNUMBER(K396),O396=0),0,VLOOKUP(HLOOKUP(Stn_WL,Tools!$AD$2:$AD$27,N396+2,FALSE),Tools!$AD$3:$BC$27,O396+1,FALSE)),"")</f>
        <v/>
      </c>
      <c r="M396" s="433" t="str">
        <f>IFERROR(IF(ISNUMBER(L396),IF(O396=0,IFERROR(HLOOKUP(Tools!$BD$127,Tools!$BD$127:$BD$152,N396+2,FALSE)*1,0),HLOOKUP(Tools!$BE$2,Tools!$BE$2:$BE$27,O396+1,FALSE)*WLS),""),"")</f>
        <v/>
      </c>
      <c r="N396">
        <f t="shared" si="38"/>
        <v>30</v>
      </c>
      <c r="O396">
        <f t="shared" si="39"/>
        <v>4</v>
      </c>
    </row>
    <row r="397" spans="1:15" x14ac:dyDescent="0.25">
      <c r="A397" s="427" t="str">
        <f t="shared" si="40"/>
        <v/>
      </c>
      <c r="B397" s="430" t="str">
        <f t="shared" si="36"/>
        <v/>
      </c>
      <c r="C397" s="433" t="str">
        <f>IFERROR(-LBP/2+HLOOKUP(Stn_WL,Tools!$AD$2:$AD$27,QUOTIENT(ROW()-2,Max_WL_count)+2,FALSE)*STN_GAP,"")</f>
        <v/>
      </c>
      <c r="D397" s="433" t="str">
        <f>IFERROR(VLOOKUP(HLOOKUP(Stn_WL,Tools!$AD$2:$AD$27,QUOTIENT(ROW()-2,Max_WL_count)+2,FALSE),Tools!$AD$3:$BC$27,MOD(ROW()-2,Max_WL_count)+2,FALSE),"")</f>
        <v/>
      </c>
      <c r="E397" s="431" t="str">
        <f>IFERROR(IF(ISNUMBER(D397),HLOOKUP(Tools!$BE$2,Tools!$BE$2:$BE$27,MOD(ROW()-2,Max_WL_count)+2,FALSE)*WLS,""),"")</f>
        <v/>
      </c>
      <c r="I397" s="427" t="str">
        <f t="shared" si="41"/>
        <v/>
      </c>
      <c r="J397" s="430" t="str">
        <f t="shared" si="37"/>
        <v/>
      </c>
      <c r="K397" s="433" t="str">
        <f>IFERROR(-LBP/2+HLOOKUP(Stn_WL,Tools!$AD$2:$AD$27,N397+2,FALSE)*STN_GAP,"")</f>
        <v/>
      </c>
      <c r="L397" s="433" t="str">
        <f>IFERROR(IF(AND(ISNUMBER(K397),O397=0),0,VLOOKUP(HLOOKUP(Stn_WL,Tools!$AD$2:$AD$27,N397+2,FALSE),Tools!$AD$3:$BC$27,O397+1,FALSE)),"")</f>
        <v/>
      </c>
      <c r="M397" s="433" t="str">
        <f>IFERROR(IF(ISNUMBER(L397),IF(O397=0,IFERROR(HLOOKUP(Tools!$BD$127,Tools!$BD$127:$BD$152,N397+2,FALSE)*1,0),HLOOKUP(Tools!$BE$2,Tools!$BE$2:$BE$27,O397+1,FALSE)*WLS),""),"")</f>
        <v/>
      </c>
      <c r="N397">
        <f t="shared" si="38"/>
        <v>30</v>
      </c>
      <c r="O397">
        <f t="shared" si="39"/>
        <v>5</v>
      </c>
    </row>
    <row r="398" spans="1:15" x14ac:dyDescent="0.25">
      <c r="A398" s="427" t="str">
        <f t="shared" si="40"/>
        <v/>
      </c>
      <c r="B398" s="430" t="str">
        <f t="shared" si="36"/>
        <v/>
      </c>
      <c r="C398" s="433" t="str">
        <f>IFERROR(-LBP/2+HLOOKUP(Stn_WL,Tools!$AD$2:$AD$27,QUOTIENT(ROW()-2,Max_WL_count)+2,FALSE)*STN_GAP,"")</f>
        <v/>
      </c>
      <c r="D398" s="433" t="str">
        <f>IFERROR(VLOOKUP(HLOOKUP(Stn_WL,Tools!$AD$2:$AD$27,QUOTIENT(ROW()-2,Max_WL_count)+2,FALSE),Tools!$AD$3:$BC$27,MOD(ROW()-2,Max_WL_count)+2,FALSE),"")</f>
        <v/>
      </c>
      <c r="E398" s="431" t="str">
        <f>IFERROR(IF(ISNUMBER(D398),HLOOKUP(Tools!$BE$2,Tools!$BE$2:$BE$27,MOD(ROW()-2,Max_WL_count)+2,FALSE)*WLS,""),"")</f>
        <v/>
      </c>
      <c r="I398" s="427" t="str">
        <f t="shared" si="41"/>
        <v/>
      </c>
      <c r="J398" s="430" t="str">
        <f t="shared" si="37"/>
        <v/>
      </c>
      <c r="K398" s="433" t="str">
        <f>IFERROR(-LBP/2+HLOOKUP(Stn_WL,Tools!$AD$2:$AD$27,N398+2,FALSE)*STN_GAP,"")</f>
        <v/>
      </c>
      <c r="L398" s="433" t="str">
        <f>IFERROR(IF(AND(ISNUMBER(K398),O398=0),0,VLOOKUP(HLOOKUP(Stn_WL,Tools!$AD$2:$AD$27,N398+2,FALSE),Tools!$AD$3:$BC$27,O398+1,FALSE)),"")</f>
        <v/>
      </c>
      <c r="M398" s="433" t="str">
        <f>IFERROR(IF(ISNUMBER(L398),IF(O398=0,IFERROR(HLOOKUP(Tools!$BD$127,Tools!$BD$127:$BD$152,N398+2,FALSE)*1,0),HLOOKUP(Tools!$BE$2,Tools!$BE$2:$BE$27,O398+1,FALSE)*WLS),""),"")</f>
        <v/>
      </c>
      <c r="N398">
        <f t="shared" si="38"/>
        <v>30</v>
      </c>
      <c r="O398">
        <f t="shared" si="39"/>
        <v>6</v>
      </c>
    </row>
    <row r="399" spans="1:15" x14ac:dyDescent="0.25">
      <c r="A399" s="427" t="str">
        <f t="shared" si="40"/>
        <v/>
      </c>
      <c r="B399" s="430" t="str">
        <f t="shared" si="36"/>
        <v/>
      </c>
      <c r="C399" s="433" t="str">
        <f>IFERROR(-LBP/2+HLOOKUP(Stn_WL,Tools!$AD$2:$AD$27,QUOTIENT(ROW()-2,Max_WL_count)+2,FALSE)*STN_GAP,"")</f>
        <v/>
      </c>
      <c r="D399" s="433" t="str">
        <f>IFERROR(VLOOKUP(HLOOKUP(Stn_WL,Tools!$AD$2:$AD$27,QUOTIENT(ROW()-2,Max_WL_count)+2,FALSE),Tools!$AD$3:$BC$27,MOD(ROW()-2,Max_WL_count)+2,FALSE),"")</f>
        <v/>
      </c>
      <c r="E399" s="431" t="str">
        <f>IFERROR(IF(ISNUMBER(D399),HLOOKUP(Tools!$BE$2,Tools!$BE$2:$BE$27,MOD(ROW()-2,Max_WL_count)+2,FALSE)*WLS,""),"")</f>
        <v/>
      </c>
      <c r="I399" s="427" t="str">
        <f t="shared" si="41"/>
        <v/>
      </c>
      <c r="J399" s="430" t="str">
        <f t="shared" si="37"/>
        <v/>
      </c>
      <c r="K399" s="433" t="str">
        <f>IFERROR(-LBP/2+HLOOKUP(Stn_WL,Tools!$AD$2:$AD$27,N399+2,FALSE)*STN_GAP,"")</f>
        <v/>
      </c>
      <c r="L399" s="433" t="str">
        <f>IFERROR(IF(AND(ISNUMBER(K399),O399=0),0,VLOOKUP(HLOOKUP(Stn_WL,Tools!$AD$2:$AD$27,N399+2,FALSE),Tools!$AD$3:$BC$27,O399+1,FALSE)),"")</f>
        <v/>
      </c>
      <c r="M399" s="433" t="str">
        <f>IFERROR(IF(ISNUMBER(L399),IF(O399=0,IFERROR(HLOOKUP(Tools!$BD$127,Tools!$BD$127:$BD$152,N399+2,FALSE)*1,0),HLOOKUP(Tools!$BE$2,Tools!$BE$2:$BE$27,O399+1,FALSE)*WLS),""),"")</f>
        <v/>
      </c>
      <c r="N399">
        <f t="shared" si="38"/>
        <v>30</v>
      </c>
      <c r="O399">
        <f t="shared" si="39"/>
        <v>7</v>
      </c>
    </row>
    <row r="400" spans="1:15" x14ac:dyDescent="0.25">
      <c r="A400" s="427" t="str">
        <f t="shared" si="40"/>
        <v/>
      </c>
      <c r="B400" s="430" t="str">
        <f t="shared" si="36"/>
        <v/>
      </c>
      <c r="C400" s="433" t="str">
        <f>IFERROR(-LBP/2+HLOOKUP(Stn_WL,Tools!$AD$2:$AD$27,QUOTIENT(ROW()-2,Max_WL_count)+2,FALSE)*STN_GAP,"")</f>
        <v/>
      </c>
      <c r="D400" s="433" t="str">
        <f>IFERROR(VLOOKUP(HLOOKUP(Stn_WL,Tools!$AD$2:$AD$27,QUOTIENT(ROW()-2,Max_WL_count)+2,FALSE),Tools!$AD$3:$BC$27,MOD(ROW()-2,Max_WL_count)+2,FALSE),"")</f>
        <v/>
      </c>
      <c r="E400" s="431" t="str">
        <f>IFERROR(IF(ISNUMBER(D400),HLOOKUP(Tools!$BE$2,Tools!$BE$2:$BE$27,MOD(ROW()-2,Max_WL_count)+2,FALSE)*WLS,""),"")</f>
        <v/>
      </c>
      <c r="I400" s="427" t="str">
        <f t="shared" si="41"/>
        <v/>
      </c>
      <c r="J400" s="430" t="str">
        <f t="shared" si="37"/>
        <v/>
      </c>
      <c r="K400" s="433" t="str">
        <f>IFERROR(-LBP/2+HLOOKUP(Stn_WL,Tools!$AD$2:$AD$27,N400+2,FALSE)*STN_GAP,"")</f>
        <v/>
      </c>
      <c r="L400" s="433" t="str">
        <f>IFERROR(IF(AND(ISNUMBER(K400),O400=0),0,VLOOKUP(HLOOKUP(Stn_WL,Tools!$AD$2:$AD$27,N400+2,FALSE),Tools!$AD$3:$BC$27,O400+1,FALSE)),"")</f>
        <v/>
      </c>
      <c r="M400" s="433" t="str">
        <f>IFERROR(IF(ISNUMBER(L400),IF(O400=0,IFERROR(HLOOKUP(Tools!$BD$127,Tools!$BD$127:$BD$152,N400+2,FALSE)*1,0),HLOOKUP(Tools!$BE$2,Tools!$BE$2:$BE$27,O400+1,FALSE)*WLS),""),"")</f>
        <v/>
      </c>
      <c r="N400">
        <f t="shared" si="38"/>
        <v>30</v>
      </c>
      <c r="O400">
        <f t="shared" si="39"/>
        <v>8</v>
      </c>
    </row>
    <row r="401" spans="1:15" x14ac:dyDescent="0.25">
      <c r="A401" s="427" t="str">
        <f t="shared" si="40"/>
        <v/>
      </c>
      <c r="B401" s="430" t="str">
        <f t="shared" si="36"/>
        <v/>
      </c>
      <c r="C401" s="433" t="str">
        <f>IFERROR(-LBP/2+HLOOKUP(Stn_WL,Tools!$AD$2:$AD$27,QUOTIENT(ROW()-2,Max_WL_count)+2,FALSE)*STN_GAP,"")</f>
        <v/>
      </c>
      <c r="D401" s="433" t="str">
        <f>IFERROR(VLOOKUP(HLOOKUP(Stn_WL,Tools!$AD$2:$AD$27,QUOTIENT(ROW()-2,Max_WL_count)+2,FALSE),Tools!$AD$3:$BC$27,MOD(ROW()-2,Max_WL_count)+2,FALSE),"")</f>
        <v/>
      </c>
      <c r="E401" s="431" t="str">
        <f>IFERROR(IF(ISNUMBER(D401),HLOOKUP(Tools!$BE$2,Tools!$BE$2:$BE$27,MOD(ROW()-2,Max_WL_count)+2,FALSE)*WLS,""),"")</f>
        <v/>
      </c>
      <c r="I401" s="427" t="str">
        <f t="shared" si="41"/>
        <v/>
      </c>
      <c r="J401" s="430" t="str">
        <f t="shared" si="37"/>
        <v/>
      </c>
      <c r="K401" s="433" t="str">
        <f>IFERROR(-LBP/2+HLOOKUP(Stn_WL,Tools!$AD$2:$AD$27,N401+2,FALSE)*STN_GAP,"")</f>
        <v/>
      </c>
      <c r="L401" s="433" t="str">
        <f>IFERROR(IF(AND(ISNUMBER(K401),O401=0),0,VLOOKUP(HLOOKUP(Stn_WL,Tools!$AD$2:$AD$27,N401+2,FALSE),Tools!$AD$3:$BC$27,O401+1,FALSE)),"")</f>
        <v/>
      </c>
      <c r="M401" s="433" t="str">
        <f>IFERROR(IF(ISNUMBER(L401),IF(O401=0,IFERROR(HLOOKUP(Tools!$BD$127,Tools!$BD$127:$BD$152,N401+2,FALSE)*1,0),HLOOKUP(Tools!$BE$2,Tools!$BE$2:$BE$27,O401+1,FALSE)*WLS),""),"")</f>
        <v/>
      </c>
      <c r="N401">
        <f t="shared" si="38"/>
        <v>30</v>
      </c>
      <c r="O401">
        <f t="shared" si="39"/>
        <v>9</v>
      </c>
    </row>
    <row r="402" spans="1:15" x14ac:dyDescent="0.25">
      <c r="A402" s="427" t="str">
        <f t="shared" si="40"/>
        <v/>
      </c>
      <c r="B402" s="430" t="str">
        <f t="shared" si="36"/>
        <v/>
      </c>
      <c r="C402" s="433" t="str">
        <f>IFERROR(-LBP/2+HLOOKUP(Stn_WL,Tools!$AD$2:$AD$27,QUOTIENT(ROW()-2,Max_WL_count)+2,FALSE)*STN_GAP,"")</f>
        <v/>
      </c>
      <c r="D402" s="433" t="str">
        <f>IFERROR(VLOOKUP(HLOOKUP(Stn_WL,Tools!$AD$2:$AD$27,QUOTIENT(ROW()-2,Max_WL_count)+2,FALSE),Tools!$AD$3:$BC$27,MOD(ROW()-2,Max_WL_count)+2,FALSE),"")</f>
        <v/>
      </c>
      <c r="E402" s="431" t="str">
        <f>IFERROR(IF(ISNUMBER(D402),HLOOKUP(Tools!$BE$2,Tools!$BE$2:$BE$27,MOD(ROW()-2,Max_WL_count)+2,FALSE)*WLS,""),"")</f>
        <v/>
      </c>
      <c r="I402" s="427" t="str">
        <f t="shared" si="41"/>
        <v/>
      </c>
      <c r="J402" s="430" t="str">
        <f t="shared" si="37"/>
        <v/>
      </c>
      <c r="K402" s="433" t="str">
        <f>IFERROR(-LBP/2+HLOOKUP(Stn_WL,Tools!$AD$2:$AD$27,N402+2,FALSE)*STN_GAP,"")</f>
        <v/>
      </c>
      <c r="L402" s="433" t="str">
        <f>IFERROR(IF(AND(ISNUMBER(K402),O402=0),0,VLOOKUP(HLOOKUP(Stn_WL,Tools!$AD$2:$AD$27,N402+2,FALSE),Tools!$AD$3:$BC$27,O402+1,FALSE)),"")</f>
        <v/>
      </c>
      <c r="M402" s="433" t="str">
        <f>IFERROR(IF(ISNUMBER(L402),IF(O402=0,IFERROR(HLOOKUP(Tools!$BD$127,Tools!$BD$127:$BD$152,N402+2,FALSE)*1,0),HLOOKUP(Tools!$BE$2,Tools!$BE$2:$BE$27,O402+1,FALSE)*WLS),""),"")</f>
        <v/>
      </c>
      <c r="N402">
        <f t="shared" si="38"/>
        <v>30</v>
      </c>
      <c r="O402">
        <f t="shared" si="39"/>
        <v>10</v>
      </c>
    </row>
    <row r="403" spans="1:15" x14ac:dyDescent="0.25">
      <c r="A403" s="427" t="str">
        <f t="shared" si="40"/>
        <v/>
      </c>
      <c r="B403" s="430" t="str">
        <f t="shared" si="36"/>
        <v/>
      </c>
      <c r="C403" s="433" t="str">
        <f>IFERROR(-LBP/2+HLOOKUP(Stn_WL,Tools!$AD$2:$AD$27,QUOTIENT(ROW()-2,Max_WL_count)+2,FALSE)*STN_GAP,"")</f>
        <v/>
      </c>
      <c r="D403" s="433" t="str">
        <f>IFERROR(VLOOKUP(HLOOKUP(Stn_WL,Tools!$AD$2:$AD$27,QUOTIENT(ROW()-2,Max_WL_count)+2,FALSE),Tools!$AD$3:$BC$27,MOD(ROW()-2,Max_WL_count)+2,FALSE),"")</f>
        <v/>
      </c>
      <c r="E403" s="431" t="str">
        <f>IFERROR(IF(ISNUMBER(D403),HLOOKUP(Tools!$BE$2,Tools!$BE$2:$BE$27,MOD(ROW()-2,Max_WL_count)+2,FALSE)*WLS,""),"")</f>
        <v/>
      </c>
      <c r="I403" s="427" t="str">
        <f t="shared" si="41"/>
        <v/>
      </c>
      <c r="J403" s="430" t="str">
        <f t="shared" si="37"/>
        <v/>
      </c>
      <c r="K403" s="433" t="str">
        <f>IFERROR(-LBP/2+HLOOKUP(Stn_WL,Tools!$AD$2:$AD$27,N403+2,FALSE)*STN_GAP,"")</f>
        <v/>
      </c>
      <c r="L403" s="433" t="str">
        <f>IFERROR(IF(AND(ISNUMBER(K403),O403=0),0,VLOOKUP(HLOOKUP(Stn_WL,Tools!$AD$2:$AD$27,N403+2,FALSE),Tools!$AD$3:$BC$27,O403+1,FALSE)),"")</f>
        <v/>
      </c>
      <c r="M403" s="433" t="str">
        <f>IFERROR(IF(ISNUMBER(L403),IF(O403=0,IFERROR(HLOOKUP(Tools!$BD$127,Tools!$BD$127:$BD$152,N403+2,FALSE)*1,0),HLOOKUP(Tools!$BE$2,Tools!$BE$2:$BE$27,O403+1,FALSE)*WLS),""),"")</f>
        <v/>
      </c>
      <c r="N403">
        <f t="shared" si="38"/>
        <v>30</v>
      </c>
      <c r="O403">
        <f t="shared" si="39"/>
        <v>11</v>
      </c>
    </row>
    <row r="404" spans="1:15" x14ac:dyDescent="0.25">
      <c r="A404" s="427" t="str">
        <f t="shared" si="40"/>
        <v/>
      </c>
      <c r="B404" s="430" t="str">
        <f t="shared" si="36"/>
        <v/>
      </c>
      <c r="C404" s="433" t="str">
        <f>IFERROR(-LBP/2+HLOOKUP(Stn_WL,Tools!$AD$2:$AD$27,QUOTIENT(ROW()-2,Max_WL_count)+2,FALSE)*STN_GAP,"")</f>
        <v/>
      </c>
      <c r="D404" s="433" t="str">
        <f>IFERROR(VLOOKUP(HLOOKUP(Stn_WL,Tools!$AD$2:$AD$27,QUOTIENT(ROW()-2,Max_WL_count)+2,FALSE),Tools!$AD$3:$BC$27,MOD(ROW()-2,Max_WL_count)+2,FALSE),"")</f>
        <v/>
      </c>
      <c r="E404" s="431" t="str">
        <f>IFERROR(IF(ISNUMBER(D404),HLOOKUP(Tools!$BE$2,Tools!$BE$2:$BE$27,MOD(ROW()-2,Max_WL_count)+2,FALSE)*WLS,""),"")</f>
        <v/>
      </c>
      <c r="I404" s="427" t="str">
        <f t="shared" si="41"/>
        <v/>
      </c>
      <c r="J404" s="430" t="str">
        <f t="shared" si="37"/>
        <v/>
      </c>
      <c r="K404" s="433" t="str">
        <f>IFERROR(-LBP/2+HLOOKUP(Stn_WL,Tools!$AD$2:$AD$27,N404+2,FALSE)*STN_GAP,"")</f>
        <v/>
      </c>
      <c r="L404" s="433" t="str">
        <f>IFERROR(IF(AND(ISNUMBER(K404),O404=0),0,VLOOKUP(HLOOKUP(Stn_WL,Tools!$AD$2:$AD$27,N404+2,FALSE),Tools!$AD$3:$BC$27,O404+1,FALSE)),"")</f>
        <v/>
      </c>
      <c r="M404" s="433" t="str">
        <f>IFERROR(IF(ISNUMBER(L404),IF(O404=0,IFERROR(HLOOKUP(Tools!$BD$127,Tools!$BD$127:$BD$152,N404+2,FALSE)*1,0),HLOOKUP(Tools!$BE$2,Tools!$BE$2:$BE$27,O404+1,FALSE)*WLS),""),"")</f>
        <v/>
      </c>
      <c r="N404">
        <f t="shared" si="38"/>
        <v>30</v>
      </c>
      <c r="O404">
        <f t="shared" si="39"/>
        <v>12</v>
      </c>
    </row>
    <row r="405" spans="1:15" x14ac:dyDescent="0.25">
      <c r="A405" s="427" t="str">
        <f t="shared" si="40"/>
        <v/>
      </c>
      <c r="B405" s="430" t="str">
        <f t="shared" si="36"/>
        <v/>
      </c>
      <c r="C405" s="433" t="str">
        <f>IFERROR(-LBP/2+HLOOKUP(Stn_WL,Tools!$AD$2:$AD$27,QUOTIENT(ROW()-2,Max_WL_count)+2,FALSE)*STN_GAP,"")</f>
        <v/>
      </c>
      <c r="D405" s="433" t="str">
        <f>IFERROR(VLOOKUP(HLOOKUP(Stn_WL,Tools!$AD$2:$AD$27,QUOTIENT(ROW()-2,Max_WL_count)+2,FALSE),Tools!$AD$3:$BC$27,MOD(ROW()-2,Max_WL_count)+2,FALSE),"")</f>
        <v/>
      </c>
      <c r="E405" s="431" t="str">
        <f>IFERROR(IF(ISNUMBER(D405),HLOOKUP(Tools!$BE$2,Tools!$BE$2:$BE$27,MOD(ROW()-2,Max_WL_count)+2,FALSE)*WLS,""),"")</f>
        <v/>
      </c>
      <c r="I405" s="427" t="str">
        <f t="shared" si="41"/>
        <v/>
      </c>
      <c r="J405" s="430" t="str">
        <f t="shared" si="37"/>
        <v/>
      </c>
      <c r="K405" s="433" t="str">
        <f>IFERROR(-LBP/2+HLOOKUP(Stn_WL,Tools!$AD$2:$AD$27,N405+2,FALSE)*STN_GAP,"")</f>
        <v/>
      </c>
      <c r="L405" s="433" t="str">
        <f>IFERROR(IF(AND(ISNUMBER(K405),O405=0),0,VLOOKUP(HLOOKUP(Stn_WL,Tools!$AD$2:$AD$27,N405+2,FALSE),Tools!$AD$3:$BC$27,O405+1,FALSE)),"")</f>
        <v/>
      </c>
      <c r="M405" s="433" t="str">
        <f>IFERROR(IF(ISNUMBER(L405),IF(O405=0,IFERROR(HLOOKUP(Tools!$BD$127,Tools!$BD$127:$BD$152,N405+2,FALSE)*1,0),HLOOKUP(Tools!$BE$2,Tools!$BE$2:$BE$27,O405+1,FALSE)*WLS),""),"")</f>
        <v/>
      </c>
      <c r="N405">
        <f t="shared" si="38"/>
        <v>31</v>
      </c>
      <c r="O405">
        <f t="shared" si="39"/>
        <v>0</v>
      </c>
    </row>
    <row r="406" spans="1:15" x14ac:dyDescent="0.25">
      <c r="A406" s="427" t="str">
        <f t="shared" si="40"/>
        <v/>
      </c>
      <c r="B406" s="430" t="str">
        <f t="shared" si="36"/>
        <v/>
      </c>
      <c r="C406" s="433" t="str">
        <f>IFERROR(-LBP/2+HLOOKUP(Stn_WL,Tools!$AD$2:$AD$27,QUOTIENT(ROW()-2,Max_WL_count)+2,FALSE)*STN_GAP,"")</f>
        <v/>
      </c>
      <c r="D406" s="433" t="str">
        <f>IFERROR(VLOOKUP(HLOOKUP(Stn_WL,Tools!$AD$2:$AD$27,QUOTIENT(ROW()-2,Max_WL_count)+2,FALSE),Tools!$AD$3:$BC$27,MOD(ROW()-2,Max_WL_count)+2,FALSE),"")</f>
        <v/>
      </c>
      <c r="E406" s="431" t="str">
        <f>IFERROR(IF(ISNUMBER(D406),HLOOKUP(Tools!$BE$2,Tools!$BE$2:$BE$27,MOD(ROW()-2,Max_WL_count)+2,FALSE)*WLS,""),"")</f>
        <v/>
      </c>
      <c r="I406" s="427" t="str">
        <f t="shared" si="41"/>
        <v/>
      </c>
      <c r="J406" s="430" t="str">
        <f t="shared" si="37"/>
        <v/>
      </c>
      <c r="K406" s="433" t="str">
        <f>IFERROR(-LBP/2+HLOOKUP(Stn_WL,Tools!$AD$2:$AD$27,N406+2,FALSE)*STN_GAP,"")</f>
        <v/>
      </c>
      <c r="L406" s="433" t="str">
        <f>IFERROR(IF(AND(ISNUMBER(K406),O406=0),0,VLOOKUP(HLOOKUP(Stn_WL,Tools!$AD$2:$AD$27,N406+2,FALSE),Tools!$AD$3:$BC$27,O406+1,FALSE)),"")</f>
        <v/>
      </c>
      <c r="M406" s="433" t="str">
        <f>IFERROR(IF(ISNUMBER(L406),IF(O406=0,IFERROR(HLOOKUP(Tools!$BD$127,Tools!$BD$127:$BD$152,N406+2,FALSE)*1,0),HLOOKUP(Tools!$BE$2,Tools!$BE$2:$BE$27,O406+1,FALSE)*WLS),""),"")</f>
        <v/>
      </c>
      <c r="N406">
        <f t="shared" si="38"/>
        <v>31</v>
      </c>
      <c r="O406">
        <f t="shared" si="39"/>
        <v>1</v>
      </c>
    </row>
    <row r="407" spans="1:15" x14ac:dyDescent="0.25">
      <c r="A407" s="427" t="str">
        <f t="shared" si="40"/>
        <v/>
      </c>
      <c r="B407" s="430" t="str">
        <f t="shared" si="36"/>
        <v/>
      </c>
      <c r="C407" s="433" t="str">
        <f>IFERROR(-LBP/2+HLOOKUP(Stn_WL,Tools!$AD$2:$AD$27,QUOTIENT(ROW()-2,Max_WL_count)+2,FALSE)*STN_GAP,"")</f>
        <v/>
      </c>
      <c r="D407" s="433" t="str">
        <f>IFERROR(VLOOKUP(HLOOKUP(Stn_WL,Tools!$AD$2:$AD$27,QUOTIENT(ROW()-2,Max_WL_count)+2,FALSE),Tools!$AD$3:$BC$27,MOD(ROW()-2,Max_WL_count)+2,FALSE),"")</f>
        <v/>
      </c>
      <c r="E407" s="431" t="str">
        <f>IFERROR(IF(ISNUMBER(D407),HLOOKUP(Tools!$BE$2,Tools!$BE$2:$BE$27,MOD(ROW()-2,Max_WL_count)+2,FALSE)*WLS,""),"")</f>
        <v/>
      </c>
      <c r="I407" s="427" t="str">
        <f t="shared" si="41"/>
        <v/>
      </c>
      <c r="J407" s="430" t="str">
        <f t="shared" si="37"/>
        <v/>
      </c>
      <c r="K407" s="433" t="str">
        <f>IFERROR(-LBP/2+HLOOKUP(Stn_WL,Tools!$AD$2:$AD$27,N407+2,FALSE)*STN_GAP,"")</f>
        <v/>
      </c>
      <c r="L407" s="433" t="str">
        <f>IFERROR(IF(AND(ISNUMBER(K407),O407=0),0,VLOOKUP(HLOOKUP(Stn_WL,Tools!$AD$2:$AD$27,N407+2,FALSE),Tools!$AD$3:$BC$27,O407+1,FALSE)),"")</f>
        <v/>
      </c>
      <c r="M407" s="433" t="str">
        <f>IFERROR(IF(ISNUMBER(L407),IF(O407=0,IFERROR(HLOOKUP(Tools!$BD$127,Tools!$BD$127:$BD$152,N407+2,FALSE)*1,0),HLOOKUP(Tools!$BE$2,Tools!$BE$2:$BE$27,O407+1,FALSE)*WLS),""),"")</f>
        <v/>
      </c>
      <c r="N407">
        <f t="shared" si="38"/>
        <v>31</v>
      </c>
      <c r="O407">
        <f t="shared" si="39"/>
        <v>2</v>
      </c>
    </row>
    <row r="408" spans="1:15" x14ac:dyDescent="0.25">
      <c r="A408" s="427" t="str">
        <f t="shared" si="40"/>
        <v/>
      </c>
      <c r="B408" s="430" t="str">
        <f t="shared" si="36"/>
        <v/>
      </c>
      <c r="C408" s="433" t="str">
        <f>IFERROR(-LBP/2+HLOOKUP(Stn_WL,Tools!$AD$2:$AD$27,QUOTIENT(ROW()-2,Max_WL_count)+2,FALSE)*STN_GAP,"")</f>
        <v/>
      </c>
      <c r="D408" s="433" t="str">
        <f>IFERROR(VLOOKUP(HLOOKUP(Stn_WL,Tools!$AD$2:$AD$27,QUOTIENT(ROW()-2,Max_WL_count)+2,FALSE),Tools!$AD$3:$BC$27,MOD(ROW()-2,Max_WL_count)+2,FALSE),"")</f>
        <v/>
      </c>
      <c r="E408" s="431" t="str">
        <f>IFERROR(IF(ISNUMBER(D408),HLOOKUP(Tools!$BE$2,Tools!$BE$2:$BE$27,MOD(ROW()-2,Max_WL_count)+2,FALSE)*WLS,""),"")</f>
        <v/>
      </c>
      <c r="I408" s="427" t="str">
        <f t="shared" si="41"/>
        <v/>
      </c>
      <c r="J408" s="430" t="str">
        <f t="shared" si="37"/>
        <v/>
      </c>
      <c r="K408" s="433" t="str">
        <f>IFERROR(-LBP/2+HLOOKUP(Stn_WL,Tools!$AD$2:$AD$27,N408+2,FALSE)*STN_GAP,"")</f>
        <v/>
      </c>
      <c r="L408" s="433" t="str">
        <f>IFERROR(IF(AND(ISNUMBER(K408),O408=0),0,VLOOKUP(HLOOKUP(Stn_WL,Tools!$AD$2:$AD$27,N408+2,FALSE),Tools!$AD$3:$BC$27,O408+1,FALSE)),"")</f>
        <v/>
      </c>
      <c r="M408" s="433" t="str">
        <f>IFERROR(IF(ISNUMBER(L408),IF(O408=0,IFERROR(HLOOKUP(Tools!$BD$127,Tools!$BD$127:$BD$152,N408+2,FALSE)*1,0),HLOOKUP(Tools!$BE$2,Tools!$BE$2:$BE$27,O408+1,FALSE)*WLS),""),"")</f>
        <v/>
      </c>
      <c r="N408">
        <f t="shared" si="38"/>
        <v>31</v>
      </c>
      <c r="O408">
        <f t="shared" si="39"/>
        <v>3</v>
      </c>
    </row>
    <row r="409" spans="1:15" x14ac:dyDescent="0.25">
      <c r="A409" s="427" t="str">
        <f t="shared" si="40"/>
        <v/>
      </c>
      <c r="B409" s="430" t="str">
        <f t="shared" si="36"/>
        <v/>
      </c>
      <c r="C409" s="433" t="str">
        <f>IFERROR(-LBP/2+HLOOKUP(Stn_WL,Tools!$AD$2:$AD$27,QUOTIENT(ROW()-2,Max_WL_count)+2,FALSE)*STN_GAP,"")</f>
        <v/>
      </c>
      <c r="D409" s="433" t="str">
        <f>IFERROR(VLOOKUP(HLOOKUP(Stn_WL,Tools!$AD$2:$AD$27,QUOTIENT(ROW()-2,Max_WL_count)+2,FALSE),Tools!$AD$3:$BC$27,MOD(ROW()-2,Max_WL_count)+2,FALSE),"")</f>
        <v/>
      </c>
      <c r="E409" s="431" t="str">
        <f>IFERROR(IF(ISNUMBER(D409),HLOOKUP(Tools!$BE$2,Tools!$BE$2:$BE$27,MOD(ROW()-2,Max_WL_count)+2,FALSE)*WLS,""),"")</f>
        <v/>
      </c>
      <c r="I409" s="427" t="str">
        <f t="shared" si="41"/>
        <v/>
      </c>
      <c r="J409" s="430" t="str">
        <f t="shared" si="37"/>
        <v/>
      </c>
      <c r="K409" s="433" t="str">
        <f>IFERROR(-LBP/2+HLOOKUP(Stn_WL,Tools!$AD$2:$AD$27,N409+2,FALSE)*STN_GAP,"")</f>
        <v/>
      </c>
      <c r="L409" s="433" t="str">
        <f>IFERROR(IF(AND(ISNUMBER(K409),O409=0),0,VLOOKUP(HLOOKUP(Stn_WL,Tools!$AD$2:$AD$27,N409+2,FALSE),Tools!$AD$3:$BC$27,O409+1,FALSE)),"")</f>
        <v/>
      </c>
      <c r="M409" s="433" t="str">
        <f>IFERROR(IF(ISNUMBER(L409),IF(O409=0,IFERROR(HLOOKUP(Tools!$BD$127,Tools!$BD$127:$BD$152,N409+2,FALSE)*1,0),HLOOKUP(Tools!$BE$2,Tools!$BE$2:$BE$27,O409+1,FALSE)*WLS),""),"")</f>
        <v/>
      </c>
      <c r="N409">
        <f t="shared" si="38"/>
        <v>31</v>
      </c>
      <c r="O409">
        <f t="shared" si="39"/>
        <v>4</v>
      </c>
    </row>
    <row r="410" spans="1:15" x14ac:dyDescent="0.25">
      <c r="A410" s="427" t="str">
        <f t="shared" si="40"/>
        <v/>
      </c>
      <c r="B410" s="430" t="str">
        <f t="shared" si="36"/>
        <v/>
      </c>
      <c r="C410" s="433" t="str">
        <f>IFERROR(-LBP/2+HLOOKUP(Stn_WL,Tools!$AD$2:$AD$27,QUOTIENT(ROW()-2,Max_WL_count)+2,FALSE)*STN_GAP,"")</f>
        <v/>
      </c>
      <c r="D410" s="433" t="str">
        <f>IFERROR(VLOOKUP(HLOOKUP(Stn_WL,Tools!$AD$2:$AD$27,QUOTIENT(ROW()-2,Max_WL_count)+2,FALSE),Tools!$AD$3:$BC$27,MOD(ROW()-2,Max_WL_count)+2,FALSE),"")</f>
        <v/>
      </c>
      <c r="E410" s="431" t="str">
        <f>IFERROR(IF(ISNUMBER(D410),HLOOKUP(Tools!$BE$2,Tools!$BE$2:$BE$27,MOD(ROW()-2,Max_WL_count)+2,FALSE)*WLS,""),"")</f>
        <v/>
      </c>
      <c r="I410" s="427" t="str">
        <f t="shared" si="41"/>
        <v/>
      </c>
      <c r="J410" s="430" t="str">
        <f t="shared" si="37"/>
        <v/>
      </c>
      <c r="K410" s="433" t="str">
        <f>IFERROR(-LBP/2+HLOOKUP(Stn_WL,Tools!$AD$2:$AD$27,N410+2,FALSE)*STN_GAP,"")</f>
        <v/>
      </c>
      <c r="L410" s="433" t="str">
        <f>IFERROR(IF(AND(ISNUMBER(K410),O410=0),0,VLOOKUP(HLOOKUP(Stn_WL,Tools!$AD$2:$AD$27,N410+2,FALSE),Tools!$AD$3:$BC$27,O410+1,FALSE)),"")</f>
        <v/>
      </c>
      <c r="M410" s="433" t="str">
        <f>IFERROR(IF(ISNUMBER(L410),IF(O410=0,IFERROR(HLOOKUP(Tools!$BD$127,Tools!$BD$127:$BD$152,N410+2,FALSE)*1,0),HLOOKUP(Tools!$BE$2,Tools!$BE$2:$BE$27,O410+1,FALSE)*WLS),""),"")</f>
        <v/>
      </c>
      <c r="N410">
        <f t="shared" si="38"/>
        <v>31</v>
      </c>
      <c r="O410">
        <f t="shared" si="39"/>
        <v>5</v>
      </c>
    </row>
    <row r="411" spans="1:15" x14ac:dyDescent="0.25">
      <c r="A411" s="427" t="str">
        <f t="shared" si="40"/>
        <v/>
      </c>
      <c r="B411" s="430" t="str">
        <f t="shared" si="36"/>
        <v/>
      </c>
      <c r="C411" s="433" t="str">
        <f>IFERROR(-LBP/2+HLOOKUP(Stn_WL,Tools!$AD$2:$AD$27,QUOTIENT(ROW()-2,Max_WL_count)+2,FALSE)*STN_GAP,"")</f>
        <v/>
      </c>
      <c r="D411" s="433" t="str">
        <f>IFERROR(VLOOKUP(HLOOKUP(Stn_WL,Tools!$AD$2:$AD$27,QUOTIENT(ROW()-2,Max_WL_count)+2,FALSE),Tools!$AD$3:$BC$27,MOD(ROW()-2,Max_WL_count)+2,FALSE),"")</f>
        <v/>
      </c>
      <c r="E411" s="431" t="str">
        <f>IFERROR(IF(ISNUMBER(D411),HLOOKUP(Tools!$BE$2,Tools!$BE$2:$BE$27,MOD(ROW()-2,Max_WL_count)+2,FALSE)*WLS,""),"")</f>
        <v/>
      </c>
      <c r="I411" s="427" t="str">
        <f t="shared" si="41"/>
        <v/>
      </c>
      <c r="J411" s="430" t="str">
        <f t="shared" si="37"/>
        <v/>
      </c>
      <c r="K411" s="433" t="str">
        <f>IFERROR(-LBP/2+HLOOKUP(Stn_WL,Tools!$AD$2:$AD$27,N411+2,FALSE)*STN_GAP,"")</f>
        <v/>
      </c>
      <c r="L411" s="433" t="str">
        <f>IFERROR(IF(AND(ISNUMBER(K411),O411=0),0,VLOOKUP(HLOOKUP(Stn_WL,Tools!$AD$2:$AD$27,N411+2,FALSE),Tools!$AD$3:$BC$27,O411+1,FALSE)),"")</f>
        <v/>
      </c>
      <c r="M411" s="433" t="str">
        <f>IFERROR(IF(ISNUMBER(L411),IF(O411=0,IFERROR(HLOOKUP(Tools!$BD$127,Tools!$BD$127:$BD$152,N411+2,FALSE)*1,0),HLOOKUP(Tools!$BE$2,Tools!$BE$2:$BE$27,O411+1,FALSE)*WLS),""),"")</f>
        <v/>
      </c>
      <c r="N411">
        <f t="shared" si="38"/>
        <v>31</v>
      </c>
      <c r="O411">
        <f t="shared" si="39"/>
        <v>6</v>
      </c>
    </row>
    <row r="412" spans="1:15" x14ac:dyDescent="0.25">
      <c r="A412" s="427" t="str">
        <f t="shared" si="40"/>
        <v/>
      </c>
      <c r="B412" s="430" t="str">
        <f t="shared" si="36"/>
        <v/>
      </c>
      <c r="C412" s="433" t="str">
        <f>IFERROR(-LBP/2+HLOOKUP(Stn_WL,Tools!$AD$2:$AD$27,QUOTIENT(ROW()-2,Max_WL_count)+2,FALSE)*STN_GAP,"")</f>
        <v/>
      </c>
      <c r="D412" s="433" t="str">
        <f>IFERROR(VLOOKUP(HLOOKUP(Stn_WL,Tools!$AD$2:$AD$27,QUOTIENT(ROW()-2,Max_WL_count)+2,FALSE),Tools!$AD$3:$BC$27,MOD(ROW()-2,Max_WL_count)+2,FALSE),"")</f>
        <v/>
      </c>
      <c r="E412" s="431" t="str">
        <f>IFERROR(IF(ISNUMBER(D412),HLOOKUP(Tools!$BE$2,Tools!$BE$2:$BE$27,MOD(ROW()-2,Max_WL_count)+2,FALSE)*WLS,""),"")</f>
        <v/>
      </c>
      <c r="I412" s="427" t="str">
        <f t="shared" si="41"/>
        <v/>
      </c>
      <c r="J412" s="430" t="str">
        <f t="shared" si="37"/>
        <v/>
      </c>
      <c r="K412" s="433" t="str">
        <f>IFERROR(-LBP/2+HLOOKUP(Stn_WL,Tools!$AD$2:$AD$27,N412+2,FALSE)*STN_GAP,"")</f>
        <v/>
      </c>
      <c r="L412" s="433" t="str">
        <f>IFERROR(IF(AND(ISNUMBER(K412),O412=0),0,VLOOKUP(HLOOKUP(Stn_WL,Tools!$AD$2:$AD$27,N412+2,FALSE),Tools!$AD$3:$BC$27,O412+1,FALSE)),"")</f>
        <v/>
      </c>
      <c r="M412" s="433" t="str">
        <f>IFERROR(IF(ISNUMBER(L412),IF(O412=0,IFERROR(HLOOKUP(Tools!$BD$127,Tools!$BD$127:$BD$152,N412+2,FALSE)*1,0),HLOOKUP(Tools!$BE$2,Tools!$BE$2:$BE$27,O412+1,FALSE)*WLS),""),"")</f>
        <v/>
      </c>
      <c r="N412">
        <f t="shared" si="38"/>
        <v>31</v>
      </c>
      <c r="O412">
        <f t="shared" si="39"/>
        <v>7</v>
      </c>
    </row>
    <row r="413" spans="1:15" x14ac:dyDescent="0.25">
      <c r="A413" s="427" t="str">
        <f t="shared" si="40"/>
        <v/>
      </c>
      <c r="B413" s="430" t="str">
        <f t="shared" si="36"/>
        <v/>
      </c>
      <c r="C413" s="433" t="str">
        <f>IFERROR(-LBP/2+HLOOKUP(Stn_WL,Tools!$AD$2:$AD$27,QUOTIENT(ROW()-2,Max_WL_count)+2,FALSE)*STN_GAP,"")</f>
        <v/>
      </c>
      <c r="D413" s="433" t="str">
        <f>IFERROR(VLOOKUP(HLOOKUP(Stn_WL,Tools!$AD$2:$AD$27,QUOTIENT(ROW()-2,Max_WL_count)+2,FALSE),Tools!$AD$3:$BC$27,MOD(ROW()-2,Max_WL_count)+2,FALSE),"")</f>
        <v/>
      </c>
      <c r="E413" s="431" t="str">
        <f>IFERROR(IF(ISNUMBER(D413),HLOOKUP(Tools!$BE$2,Tools!$BE$2:$BE$27,MOD(ROW()-2,Max_WL_count)+2,FALSE)*WLS,""),"")</f>
        <v/>
      </c>
      <c r="I413" s="427" t="str">
        <f t="shared" si="41"/>
        <v/>
      </c>
      <c r="J413" s="430" t="str">
        <f t="shared" si="37"/>
        <v/>
      </c>
      <c r="K413" s="433" t="str">
        <f>IFERROR(-LBP/2+HLOOKUP(Stn_WL,Tools!$AD$2:$AD$27,N413+2,FALSE)*STN_GAP,"")</f>
        <v/>
      </c>
      <c r="L413" s="433" t="str">
        <f>IFERROR(IF(AND(ISNUMBER(K413),O413=0),0,VLOOKUP(HLOOKUP(Stn_WL,Tools!$AD$2:$AD$27,N413+2,FALSE),Tools!$AD$3:$BC$27,O413+1,FALSE)),"")</f>
        <v/>
      </c>
      <c r="M413" s="433" t="str">
        <f>IFERROR(IF(ISNUMBER(L413),IF(O413=0,IFERROR(HLOOKUP(Tools!$BD$127,Tools!$BD$127:$BD$152,N413+2,FALSE)*1,0),HLOOKUP(Tools!$BE$2,Tools!$BE$2:$BE$27,O413+1,FALSE)*WLS),""),"")</f>
        <v/>
      </c>
      <c r="N413">
        <f t="shared" si="38"/>
        <v>31</v>
      </c>
      <c r="O413">
        <f t="shared" si="39"/>
        <v>8</v>
      </c>
    </row>
    <row r="414" spans="1:15" x14ac:dyDescent="0.25">
      <c r="A414" s="427" t="str">
        <f t="shared" si="40"/>
        <v/>
      </c>
      <c r="B414" s="430" t="str">
        <f t="shared" si="36"/>
        <v/>
      </c>
      <c r="C414" s="433" t="str">
        <f>IFERROR(-LBP/2+HLOOKUP(Stn_WL,Tools!$AD$2:$AD$27,QUOTIENT(ROW()-2,Max_WL_count)+2,FALSE)*STN_GAP,"")</f>
        <v/>
      </c>
      <c r="D414" s="433" t="str">
        <f>IFERROR(VLOOKUP(HLOOKUP(Stn_WL,Tools!$AD$2:$AD$27,QUOTIENT(ROW()-2,Max_WL_count)+2,FALSE),Tools!$AD$3:$BC$27,MOD(ROW()-2,Max_WL_count)+2,FALSE),"")</f>
        <v/>
      </c>
      <c r="E414" s="431" t="str">
        <f>IFERROR(IF(ISNUMBER(D414),HLOOKUP(Tools!$BE$2,Tools!$BE$2:$BE$27,MOD(ROW()-2,Max_WL_count)+2,FALSE)*WLS,""),"")</f>
        <v/>
      </c>
      <c r="I414" s="427" t="str">
        <f t="shared" si="41"/>
        <v/>
      </c>
      <c r="J414" s="430" t="str">
        <f t="shared" si="37"/>
        <v/>
      </c>
      <c r="K414" s="433" t="str">
        <f>IFERROR(-LBP/2+HLOOKUP(Stn_WL,Tools!$AD$2:$AD$27,N414+2,FALSE)*STN_GAP,"")</f>
        <v/>
      </c>
      <c r="L414" s="433" t="str">
        <f>IFERROR(IF(AND(ISNUMBER(K414),O414=0),0,VLOOKUP(HLOOKUP(Stn_WL,Tools!$AD$2:$AD$27,N414+2,FALSE),Tools!$AD$3:$BC$27,O414+1,FALSE)),"")</f>
        <v/>
      </c>
      <c r="M414" s="433" t="str">
        <f>IFERROR(IF(ISNUMBER(L414),IF(O414=0,IFERROR(HLOOKUP(Tools!$BD$127,Tools!$BD$127:$BD$152,N414+2,FALSE)*1,0),HLOOKUP(Tools!$BE$2,Tools!$BE$2:$BE$27,O414+1,FALSE)*WLS),""),"")</f>
        <v/>
      </c>
      <c r="N414">
        <f t="shared" si="38"/>
        <v>31</v>
      </c>
      <c r="O414">
        <f t="shared" si="39"/>
        <v>9</v>
      </c>
    </row>
    <row r="415" spans="1:15" x14ac:dyDescent="0.25">
      <c r="A415" s="427" t="str">
        <f t="shared" si="40"/>
        <v/>
      </c>
      <c r="B415" s="430" t="str">
        <f t="shared" si="36"/>
        <v/>
      </c>
      <c r="C415" s="433" t="str">
        <f>IFERROR(-LBP/2+HLOOKUP(Stn_WL,Tools!$AD$2:$AD$27,QUOTIENT(ROW()-2,Max_WL_count)+2,FALSE)*STN_GAP,"")</f>
        <v/>
      </c>
      <c r="D415" s="433" t="str">
        <f>IFERROR(VLOOKUP(HLOOKUP(Stn_WL,Tools!$AD$2:$AD$27,QUOTIENT(ROW()-2,Max_WL_count)+2,FALSE),Tools!$AD$3:$BC$27,MOD(ROW()-2,Max_WL_count)+2,FALSE),"")</f>
        <v/>
      </c>
      <c r="E415" s="431" t="str">
        <f>IFERROR(IF(ISNUMBER(D415),HLOOKUP(Tools!$BE$2,Tools!$BE$2:$BE$27,MOD(ROW()-2,Max_WL_count)+2,FALSE)*WLS,""),"")</f>
        <v/>
      </c>
      <c r="I415" s="427" t="str">
        <f t="shared" si="41"/>
        <v/>
      </c>
      <c r="J415" s="430" t="str">
        <f t="shared" si="37"/>
        <v/>
      </c>
      <c r="K415" s="433" t="str">
        <f>IFERROR(-LBP/2+HLOOKUP(Stn_WL,Tools!$AD$2:$AD$27,N415+2,FALSE)*STN_GAP,"")</f>
        <v/>
      </c>
      <c r="L415" s="433" t="str">
        <f>IFERROR(IF(AND(ISNUMBER(K415),O415=0),0,VLOOKUP(HLOOKUP(Stn_WL,Tools!$AD$2:$AD$27,N415+2,FALSE),Tools!$AD$3:$BC$27,O415+1,FALSE)),"")</f>
        <v/>
      </c>
      <c r="M415" s="433" t="str">
        <f>IFERROR(IF(ISNUMBER(L415),IF(O415=0,IFERROR(HLOOKUP(Tools!$BD$127,Tools!$BD$127:$BD$152,N415+2,FALSE)*1,0),HLOOKUP(Tools!$BE$2,Tools!$BE$2:$BE$27,O415+1,FALSE)*WLS),""),"")</f>
        <v/>
      </c>
      <c r="N415">
        <f t="shared" si="38"/>
        <v>31</v>
      </c>
      <c r="O415">
        <f t="shared" si="39"/>
        <v>10</v>
      </c>
    </row>
    <row r="416" spans="1:15" x14ac:dyDescent="0.25">
      <c r="A416" s="427" t="str">
        <f t="shared" si="40"/>
        <v/>
      </c>
      <c r="B416" s="430" t="str">
        <f t="shared" si="36"/>
        <v/>
      </c>
      <c r="C416" s="433" t="str">
        <f>IFERROR(-LBP/2+HLOOKUP(Stn_WL,Tools!$AD$2:$AD$27,QUOTIENT(ROW()-2,Max_WL_count)+2,FALSE)*STN_GAP,"")</f>
        <v/>
      </c>
      <c r="D416" s="433" t="str">
        <f>IFERROR(VLOOKUP(HLOOKUP(Stn_WL,Tools!$AD$2:$AD$27,QUOTIENT(ROW()-2,Max_WL_count)+2,FALSE),Tools!$AD$3:$BC$27,MOD(ROW()-2,Max_WL_count)+2,FALSE),"")</f>
        <v/>
      </c>
      <c r="E416" s="431" t="str">
        <f>IFERROR(IF(ISNUMBER(D416),HLOOKUP(Tools!$BE$2,Tools!$BE$2:$BE$27,MOD(ROW()-2,Max_WL_count)+2,FALSE)*WLS,""),"")</f>
        <v/>
      </c>
      <c r="I416" s="427" t="str">
        <f t="shared" si="41"/>
        <v/>
      </c>
      <c r="J416" s="430" t="str">
        <f t="shared" si="37"/>
        <v/>
      </c>
      <c r="K416" s="433" t="str">
        <f>IFERROR(-LBP/2+HLOOKUP(Stn_WL,Tools!$AD$2:$AD$27,N416+2,FALSE)*STN_GAP,"")</f>
        <v/>
      </c>
      <c r="L416" s="433" t="str">
        <f>IFERROR(IF(AND(ISNUMBER(K416),O416=0),0,VLOOKUP(HLOOKUP(Stn_WL,Tools!$AD$2:$AD$27,N416+2,FALSE),Tools!$AD$3:$BC$27,O416+1,FALSE)),"")</f>
        <v/>
      </c>
      <c r="M416" s="433" t="str">
        <f>IFERROR(IF(ISNUMBER(L416),IF(O416=0,IFERROR(HLOOKUP(Tools!$BD$127,Tools!$BD$127:$BD$152,N416+2,FALSE)*1,0),HLOOKUP(Tools!$BE$2,Tools!$BE$2:$BE$27,O416+1,FALSE)*WLS),""),"")</f>
        <v/>
      </c>
      <c r="N416">
        <f t="shared" si="38"/>
        <v>31</v>
      </c>
      <c r="O416">
        <f t="shared" si="39"/>
        <v>11</v>
      </c>
    </row>
    <row r="417" spans="1:15" x14ac:dyDescent="0.25">
      <c r="A417" s="427" t="str">
        <f t="shared" si="40"/>
        <v/>
      </c>
      <c r="B417" s="430" t="str">
        <f t="shared" si="36"/>
        <v/>
      </c>
      <c r="C417" s="433" t="str">
        <f>IFERROR(-LBP/2+HLOOKUP(Stn_WL,Tools!$AD$2:$AD$27,QUOTIENT(ROW()-2,Max_WL_count)+2,FALSE)*STN_GAP,"")</f>
        <v/>
      </c>
      <c r="D417" s="433" t="str">
        <f>IFERROR(VLOOKUP(HLOOKUP(Stn_WL,Tools!$AD$2:$AD$27,QUOTIENT(ROW()-2,Max_WL_count)+2,FALSE),Tools!$AD$3:$BC$27,MOD(ROW()-2,Max_WL_count)+2,FALSE),"")</f>
        <v/>
      </c>
      <c r="E417" s="431" t="str">
        <f>IFERROR(IF(ISNUMBER(D417),HLOOKUP(Tools!$BE$2,Tools!$BE$2:$BE$27,MOD(ROW()-2,Max_WL_count)+2,FALSE)*WLS,""),"")</f>
        <v/>
      </c>
      <c r="I417" s="427" t="str">
        <f t="shared" si="41"/>
        <v/>
      </c>
      <c r="J417" s="430" t="str">
        <f t="shared" si="37"/>
        <v/>
      </c>
      <c r="K417" s="433" t="str">
        <f>IFERROR(-LBP/2+HLOOKUP(Stn_WL,Tools!$AD$2:$AD$27,N417+2,FALSE)*STN_GAP,"")</f>
        <v/>
      </c>
      <c r="L417" s="433" t="str">
        <f>IFERROR(IF(AND(ISNUMBER(K417),O417=0),0,VLOOKUP(HLOOKUP(Stn_WL,Tools!$AD$2:$AD$27,N417+2,FALSE),Tools!$AD$3:$BC$27,O417+1,FALSE)),"")</f>
        <v/>
      </c>
      <c r="M417" s="433" t="str">
        <f>IFERROR(IF(ISNUMBER(L417),IF(O417=0,IFERROR(HLOOKUP(Tools!$BD$127,Tools!$BD$127:$BD$152,N417+2,FALSE)*1,0),HLOOKUP(Tools!$BE$2,Tools!$BE$2:$BE$27,O417+1,FALSE)*WLS),""),"")</f>
        <v/>
      </c>
      <c r="N417">
        <f t="shared" si="38"/>
        <v>31</v>
      </c>
      <c r="O417">
        <f t="shared" si="39"/>
        <v>12</v>
      </c>
    </row>
    <row r="418" spans="1:15" x14ac:dyDescent="0.25">
      <c r="A418" s="427" t="str">
        <f t="shared" si="40"/>
        <v/>
      </c>
      <c r="B418" s="430" t="str">
        <f t="shared" si="36"/>
        <v/>
      </c>
      <c r="C418" s="433" t="str">
        <f>IFERROR(-LBP/2+HLOOKUP(Stn_WL,Tools!$AD$2:$AD$27,QUOTIENT(ROW()-2,Max_WL_count)+2,FALSE)*STN_GAP,"")</f>
        <v/>
      </c>
      <c r="D418" s="433" t="str">
        <f>IFERROR(VLOOKUP(HLOOKUP(Stn_WL,Tools!$AD$2:$AD$27,QUOTIENT(ROW()-2,Max_WL_count)+2,FALSE),Tools!$AD$3:$BC$27,MOD(ROW()-2,Max_WL_count)+2,FALSE),"")</f>
        <v/>
      </c>
      <c r="E418" s="431" t="str">
        <f>IFERROR(IF(ISNUMBER(D418),HLOOKUP(Tools!$BE$2,Tools!$BE$2:$BE$27,MOD(ROW()-2,Max_WL_count)+2,FALSE)*WLS,""),"")</f>
        <v/>
      </c>
      <c r="I418" s="427" t="str">
        <f t="shared" si="41"/>
        <v/>
      </c>
      <c r="J418" s="430" t="str">
        <f t="shared" si="37"/>
        <v/>
      </c>
      <c r="K418" s="433" t="str">
        <f>IFERROR(-LBP/2+HLOOKUP(Stn_WL,Tools!$AD$2:$AD$27,N418+2,FALSE)*STN_GAP,"")</f>
        <v/>
      </c>
      <c r="L418" s="433" t="str">
        <f>IFERROR(IF(AND(ISNUMBER(K418),O418=0),0,VLOOKUP(HLOOKUP(Stn_WL,Tools!$AD$2:$AD$27,N418+2,FALSE),Tools!$AD$3:$BC$27,O418+1,FALSE)),"")</f>
        <v/>
      </c>
      <c r="M418" s="433" t="str">
        <f>IFERROR(IF(ISNUMBER(L418),IF(O418=0,IFERROR(HLOOKUP(Tools!$BD$127,Tools!$BD$127:$BD$152,N418+2,FALSE)*1,0),HLOOKUP(Tools!$BE$2,Tools!$BE$2:$BE$27,O418+1,FALSE)*WLS),""),"")</f>
        <v/>
      </c>
      <c r="N418">
        <f t="shared" si="38"/>
        <v>32</v>
      </c>
      <c r="O418">
        <f t="shared" si="39"/>
        <v>0</v>
      </c>
    </row>
    <row r="419" spans="1:15" x14ac:dyDescent="0.25">
      <c r="A419" s="427" t="str">
        <f t="shared" si="40"/>
        <v/>
      </c>
      <c r="B419" s="430" t="str">
        <f t="shared" si="36"/>
        <v/>
      </c>
      <c r="C419" s="433" t="str">
        <f>IFERROR(-LBP/2+HLOOKUP(Stn_WL,Tools!$AD$2:$AD$27,QUOTIENT(ROW()-2,Max_WL_count)+2,FALSE)*STN_GAP,"")</f>
        <v/>
      </c>
      <c r="D419" s="433" t="str">
        <f>IFERROR(VLOOKUP(HLOOKUP(Stn_WL,Tools!$AD$2:$AD$27,QUOTIENT(ROW()-2,Max_WL_count)+2,FALSE),Tools!$AD$3:$BC$27,MOD(ROW()-2,Max_WL_count)+2,FALSE),"")</f>
        <v/>
      </c>
      <c r="E419" s="431" t="str">
        <f>IFERROR(IF(ISNUMBER(D419),HLOOKUP(Tools!$BE$2,Tools!$BE$2:$BE$27,MOD(ROW()-2,Max_WL_count)+2,FALSE)*WLS,""),"")</f>
        <v/>
      </c>
      <c r="I419" s="427" t="str">
        <f t="shared" si="41"/>
        <v/>
      </c>
      <c r="J419" s="430" t="str">
        <f t="shared" si="37"/>
        <v/>
      </c>
      <c r="K419" s="433" t="str">
        <f>IFERROR(-LBP/2+HLOOKUP(Stn_WL,Tools!$AD$2:$AD$27,N419+2,FALSE)*STN_GAP,"")</f>
        <v/>
      </c>
      <c r="L419" s="433" t="str">
        <f>IFERROR(IF(AND(ISNUMBER(K419),O419=0),0,VLOOKUP(HLOOKUP(Stn_WL,Tools!$AD$2:$AD$27,N419+2,FALSE),Tools!$AD$3:$BC$27,O419+1,FALSE)),"")</f>
        <v/>
      </c>
      <c r="M419" s="433" t="str">
        <f>IFERROR(IF(ISNUMBER(L419),IF(O419=0,IFERROR(HLOOKUP(Tools!$BD$127,Tools!$BD$127:$BD$152,N419+2,FALSE)*1,0),HLOOKUP(Tools!$BE$2,Tools!$BE$2:$BE$27,O419+1,FALSE)*WLS),""),"")</f>
        <v/>
      </c>
      <c r="N419">
        <f t="shared" si="38"/>
        <v>32</v>
      </c>
      <c r="O419">
        <f t="shared" si="39"/>
        <v>1</v>
      </c>
    </row>
    <row r="420" spans="1:15" x14ac:dyDescent="0.25">
      <c r="A420" s="427" t="str">
        <f t="shared" si="40"/>
        <v/>
      </c>
      <c r="B420" s="430" t="str">
        <f t="shared" si="36"/>
        <v/>
      </c>
      <c r="C420" s="433" t="str">
        <f>IFERROR(-LBP/2+HLOOKUP(Stn_WL,Tools!$AD$2:$AD$27,QUOTIENT(ROW()-2,Max_WL_count)+2,FALSE)*STN_GAP,"")</f>
        <v/>
      </c>
      <c r="D420" s="433" t="str">
        <f>IFERROR(VLOOKUP(HLOOKUP(Stn_WL,Tools!$AD$2:$AD$27,QUOTIENT(ROW()-2,Max_WL_count)+2,FALSE),Tools!$AD$3:$BC$27,MOD(ROW()-2,Max_WL_count)+2,FALSE),"")</f>
        <v/>
      </c>
      <c r="E420" s="431" t="str">
        <f>IFERROR(IF(ISNUMBER(D420),HLOOKUP(Tools!$BE$2,Tools!$BE$2:$BE$27,MOD(ROW()-2,Max_WL_count)+2,FALSE)*WLS,""),"")</f>
        <v/>
      </c>
      <c r="I420" s="427" t="str">
        <f t="shared" si="41"/>
        <v/>
      </c>
      <c r="J420" s="430" t="str">
        <f t="shared" si="37"/>
        <v/>
      </c>
      <c r="K420" s="433" t="str">
        <f>IFERROR(-LBP/2+HLOOKUP(Stn_WL,Tools!$AD$2:$AD$27,N420+2,FALSE)*STN_GAP,"")</f>
        <v/>
      </c>
      <c r="L420" s="433" t="str">
        <f>IFERROR(IF(AND(ISNUMBER(K420),O420=0),0,VLOOKUP(HLOOKUP(Stn_WL,Tools!$AD$2:$AD$27,N420+2,FALSE),Tools!$AD$3:$BC$27,O420+1,FALSE)),"")</f>
        <v/>
      </c>
      <c r="M420" s="433" t="str">
        <f>IFERROR(IF(ISNUMBER(L420),IF(O420=0,IFERROR(HLOOKUP(Tools!$BD$127,Tools!$BD$127:$BD$152,N420+2,FALSE)*1,0),HLOOKUP(Tools!$BE$2,Tools!$BE$2:$BE$27,O420+1,FALSE)*WLS),""),"")</f>
        <v/>
      </c>
      <c r="N420">
        <f t="shared" si="38"/>
        <v>32</v>
      </c>
      <c r="O420">
        <f t="shared" si="39"/>
        <v>2</v>
      </c>
    </row>
    <row r="421" spans="1:15" x14ac:dyDescent="0.25">
      <c r="A421" s="427" t="str">
        <f t="shared" si="40"/>
        <v/>
      </c>
      <c r="B421" s="430" t="str">
        <f t="shared" si="36"/>
        <v/>
      </c>
      <c r="C421" s="433" t="str">
        <f>IFERROR(-LBP/2+HLOOKUP(Stn_WL,Tools!$AD$2:$AD$27,QUOTIENT(ROW()-2,Max_WL_count)+2,FALSE)*STN_GAP,"")</f>
        <v/>
      </c>
      <c r="D421" s="433" t="str">
        <f>IFERROR(VLOOKUP(HLOOKUP(Stn_WL,Tools!$AD$2:$AD$27,QUOTIENT(ROW()-2,Max_WL_count)+2,FALSE),Tools!$AD$3:$BC$27,MOD(ROW()-2,Max_WL_count)+2,FALSE),"")</f>
        <v/>
      </c>
      <c r="E421" s="431" t="str">
        <f>IFERROR(IF(ISNUMBER(D421),HLOOKUP(Tools!$BE$2,Tools!$BE$2:$BE$27,MOD(ROW()-2,Max_WL_count)+2,FALSE)*WLS,""),"")</f>
        <v/>
      </c>
      <c r="I421" s="427" t="str">
        <f t="shared" si="41"/>
        <v/>
      </c>
      <c r="J421" s="430" t="str">
        <f t="shared" si="37"/>
        <v/>
      </c>
      <c r="K421" s="433" t="str">
        <f>IFERROR(-LBP/2+HLOOKUP(Stn_WL,Tools!$AD$2:$AD$27,N421+2,FALSE)*STN_GAP,"")</f>
        <v/>
      </c>
      <c r="L421" s="433" t="str">
        <f>IFERROR(IF(AND(ISNUMBER(K421),O421=0),0,VLOOKUP(HLOOKUP(Stn_WL,Tools!$AD$2:$AD$27,N421+2,FALSE),Tools!$AD$3:$BC$27,O421+1,FALSE)),"")</f>
        <v/>
      </c>
      <c r="M421" s="433" t="str">
        <f>IFERROR(IF(ISNUMBER(L421),IF(O421=0,IFERROR(HLOOKUP(Tools!$BD$127,Tools!$BD$127:$BD$152,N421+2,FALSE)*1,0),HLOOKUP(Tools!$BE$2,Tools!$BE$2:$BE$27,O421+1,FALSE)*WLS),""),"")</f>
        <v/>
      </c>
      <c r="N421">
        <f t="shared" si="38"/>
        <v>32</v>
      </c>
      <c r="O421">
        <f t="shared" si="39"/>
        <v>3</v>
      </c>
    </row>
    <row r="422" spans="1:15" x14ac:dyDescent="0.25">
      <c r="A422" s="427" t="str">
        <f t="shared" si="40"/>
        <v/>
      </c>
      <c r="B422" s="430" t="str">
        <f t="shared" si="36"/>
        <v/>
      </c>
      <c r="C422" s="433" t="str">
        <f>IFERROR(-LBP/2+HLOOKUP(Stn_WL,Tools!$AD$2:$AD$27,QUOTIENT(ROW()-2,Max_WL_count)+2,FALSE)*STN_GAP,"")</f>
        <v/>
      </c>
      <c r="D422" s="433" t="str">
        <f>IFERROR(VLOOKUP(HLOOKUP(Stn_WL,Tools!$AD$2:$AD$27,QUOTIENT(ROW()-2,Max_WL_count)+2,FALSE),Tools!$AD$3:$BC$27,MOD(ROW()-2,Max_WL_count)+2,FALSE),"")</f>
        <v/>
      </c>
      <c r="E422" s="431" t="str">
        <f>IFERROR(IF(ISNUMBER(D422),HLOOKUP(Tools!$BE$2,Tools!$BE$2:$BE$27,MOD(ROW()-2,Max_WL_count)+2,FALSE)*WLS,""),"")</f>
        <v/>
      </c>
      <c r="I422" s="427" t="str">
        <f t="shared" si="41"/>
        <v/>
      </c>
      <c r="J422" s="430" t="str">
        <f t="shared" si="37"/>
        <v/>
      </c>
      <c r="K422" s="433" t="str">
        <f>IFERROR(-LBP/2+HLOOKUP(Stn_WL,Tools!$AD$2:$AD$27,N422+2,FALSE)*STN_GAP,"")</f>
        <v/>
      </c>
      <c r="L422" s="433" t="str">
        <f>IFERROR(IF(AND(ISNUMBER(K422),O422=0),0,VLOOKUP(HLOOKUP(Stn_WL,Tools!$AD$2:$AD$27,N422+2,FALSE),Tools!$AD$3:$BC$27,O422+1,FALSE)),"")</f>
        <v/>
      </c>
      <c r="M422" s="433" t="str">
        <f>IFERROR(IF(ISNUMBER(L422),IF(O422=0,IFERROR(HLOOKUP(Tools!$BD$127,Tools!$BD$127:$BD$152,N422+2,FALSE)*1,0),HLOOKUP(Tools!$BE$2,Tools!$BE$2:$BE$27,O422+1,FALSE)*WLS),""),"")</f>
        <v/>
      </c>
      <c r="N422">
        <f t="shared" si="38"/>
        <v>32</v>
      </c>
      <c r="O422">
        <f t="shared" si="39"/>
        <v>4</v>
      </c>
    </row>
    <row r="423" spans="1:15" x14ac:dyDescent="0.25">
      <c r="A423" s="427" t="str">
        <f t="shared" si="40"/>
        <v/>
      </c>
      <c r="B423" s="430" t="str">
        <f t="shared" si="36"/>
        <v/>
      </c>
      <c r="C423" s="433" t="str">
        <f>IFERROR(-LBP/2+HLOOKUP(Stn_WL,Tools!$AD$2:$AD$27,QUOTIENT(ROW()-2,Max_WL_count)+2,FALSE)*STN_GAP,"")</f>
        <v/>
      </c>
      <c r="D423" s="433" t="str">
        <f>IFERROR(VLOOKUP(HLOOKUP(Stn_WL,Tools!$AD$2:$AD$27,QUOTIENT(ROW()-2,Max_WL_count)+2,FALSE),Tools!$AD$3:$BC$27,MOD(ROW()-2,Max_WL_count)+2,FALSE),"")</f>
        <v/>
      </c>
      <c r="E423" s="431" t="str">
        <f>IFERROR(IF(ISNUMBER(D423),HLOOKUP(Tools!$BE$2,Tools!$BE$2:$BE$27,MOD(ROW()-2,Max_WL_count)+2,FALSE)*WLS,""),"")</f>
        <v/>
      </c>
      <c r="I423" s="427" t="str">
        <f t="shared" si="41"/>
        <v/>
      </c>
      <c r="J423" s="430" t="str">
        <f t="shared" si="37"/>
        <v/>
      </c>
      <c r="K423" s="433" t="str">
        <f>IFERROR(-LBP/2+HLOOKUP(Stn_WL,Tools!$AD$2:$AD$27,N423+2,FALSE)*STN_GAP,"")</f>
        <v/>
      </c>
      <c r="L423" s="433" t="str">
        <f>IFERROR(IF(AND(ISNUMBER(K423),O423=0),0,VLOOKUP(HLOOKUP(Stn_WL,Tools!$AD$2:$AD$27,N423+2,FALSE),Tools!$AD$3:$BC$27,O423+1,FALSE)),"")</f>
        <v/>
      </c>
      <c r="M423" s="433" t="str">
        <f>IFERROR(IF(ISNUMBER(L423),IF(O423=0,IFERROR(HLOOKUP(Tools!$BD$127,Tools!$BD$127:$BD$152,N423+2,FALSE)*1,0),HLOOKUP(Tools!$BE$2,Tools!$BE$2:$BE$27,O423+1,FALSE)*WLS),""),"")</f>
        <v/>
      </c>
      <c r="N423">
        <f t="shared" si="38"/>
        <v>32</v>
      </c>
      <c r="O423">
        <f t="shared" si="39"/>
        <v>5</v>
      </c>
    </row>
    <row r="424" spans="1:15" x14ac:dyDescent="0.25">
      <c r="A424" s="427" t="str">
        <f t="shared" si="40"/>
        <v/>
      </c>
      <c r="B424" s="430" t="str">
        <f t="shared" si="36"/>
        <v/>
      </c>
      <c r="C424" s="433" t="str">
        <f>IFERROR(-LBP/2+HLOOKUP(Stn_WL,Tools!$AD$2:$AD$27,QUOTIENT(ROW()-2,Max_WL_count)+2,FALSE)*STN_GAP,"")</f>
        <v/>
      </c>
      <c r="D424" s="433" t="str">
        <f>IFERROR(VLOOKUP(HLOOKUP(Stn_WL,Tools!$AD$2:$AD$27,QUOTIENT(ROW()-2,Max_WL_count)+2,FALSE),Tools!$AD$3:$BC$27,MOD(ROW()-2,Max_WL_count)+2,FALSE),"")</f>
        <v/>
      </c>
      <c r="E424" s="431" t="str">
        <f>IFERROR(IF(ISNUMBER(D424),HLOOKUP(Tools!$BE$2,Tools!$BE$2:$BE$27,MOD(ROW()-2,Max_WL_count)+2,FALSE)*WLS,""),"")</f>
        <v/>
      </c>
      <c r="I424" s="427" t="str">
        <f t="shared" si="41"/>
        <v/>
      </c>
      <c r="J424" s="430" t="str">
        <f t="shared" si="37"/>
        <v/>
      </c>
      <c r="K424" s="433" t="str">
        <f>IFERROR(-LBP/2+HLOOKUP(Stn_WL,Tools!$AD$2:$AD$27,N424+2,FALSE)*STN_GAP,"")</f>
        <v/>
      </c>
      <c r="L424" s="433" t="str">
        <f>IFERROR(IF(AND(ISNUMBER(K424),O424=0),0,VLOOKUP(HLOOKUP(Stn_WL,Tools!$AD$2:$AD$27,N424+2,FALSE),Tools!$AD$3:$BC$27,O424+1,FALSE)),"")</f>
        <v/>
      </c>
      <c r="M424" s="433" t="str">
        <f>IFERROR(IF(ISNUMBER(L424),IF(O424=0,IFERROR(HLOOKUP(Tools!$BD$127,Tools!$BD$127:$BD$152,N424+2,FALSE)*1,0),HLOOKUP(Tools!$BE$2,Tools!$BE$2:$BE$27,O424+1,FALSE)*WLS),""),"")</f>
        <v/>
      </c>
      <c r="N424">
        <f t="shared" si="38"/>
        <v>32</v>
      </c>
      <c r="O424">
        <f t="shared" si="39"/>
        <v>6</v>
      </c>
    </row>
    <row r="425" spans="1:15" x14ac:dyDescent="0.25">
      <c r="A425" s="427" t="str">
        <f t="shared" si="40"/>
        <v/>
      </c>
      <c r="B425" s="430" t="str">
        <f t="shared" si="36"/>
        <v/>
      </c>
      <c r="C425" s="433" t="str">
        <f>IFERROR(-LBP/2+HLOOKUP(Stn_WL,Tools!$AD$2:$AD$27,QUOTIENT(ROW()-2,Max_WL_count)+2,FALSE)*STN_GAP,"")</f>
        <v/>
      </c>
      <c r="D425" s="433" t="str">
        <f>IFERROR(VLOOKUP(HLOOKUP(Stn_WL,Tools!$AD$2:$AD$27,QUOTIENT(ROW()-2,Max_WL_count)+2,FALSE),Tools!$AD$3:$BC$27,MOD(ROW()-2,Max_WL_count)+2,FALSE),"")</f>
        <v/>
      </c>
      <c r="E425" s="431" t="str">
        <f>IFERROR(IF(ISNUMBER(D425),HLOOKUP(Tools!$BE$2,Tools!$BE$2:$BE$27,MOD(ROW()-2,Max_WL_count)+2,FALSE)*WLS,""),"")</f>
        <v/>
      </c>
      <c r="I425" s="427" t="str">
        <f t="shared" si="41"/>
        <v/>
      </c>
      <c r="J425" s="430" t="str">
        <f t="shared" si="37"/>
        <v/>
      </c>
      <c r="K425" s="433" t="str">
        <f>IFERROR(-LBP/2+HLOOKUP(Stn_WL,Tools!$AD$2:$AD$27,N425+2,FALSE)*STN_GAP,"")</f>
        <v/>
      </c>
      <c r="L425" s="433" t="str">
        <f>IFERROR(IF(AND(ISNUMBER(K425),O425=0),0,VLOOKUP(HLOOKUP(Stn_WL,Tools!$AD$2:$AD$27,N425+2,FALSE),Tools!$AD$3:$BC$27,O425+1,FALSE)),"")</f>
        <v/>
      </c>
      <c r="M425" s="433" t="str">
        <f>IFERROR(IF(ISNUMBER(L425),IF(O425=0,IFERROR(HLOOKUP(Tools!$BD$127,Tools!$BD$127:$BD$152,N425+2,FALSE)*1,0),HLOOKUP(Tools!$BE$2,Tools!$BE$2:$BE$27,O425+1,FALSE)*WLS),""),"")</f>
        <v/>
      </c>
      <c r="N425">
        <f t="shared" si="38"/>
        <v>32</v>
      </c>
      <c r="O425">
        <f t="shared" si="39"/>
        <v>7</v>
      </c>
    </row>
    <row r="426" spans="1:15" x14ac:dyDescent="0.25">
      <c r="A426" s="427" t="str">
        <f t="shared" si="40"/>
        <v/>
      </c>
      <c r="B426" s="430" t="str">
        <f t="shared" si="36"/>
        <v/>
      </c>
      <c r="C426" s="433" t="str">
        <f>IFERROR(-LBP/2+HLOOKUP(Stn_WL,Tools!$AD$2:$AD$27,QUOTIENT(ROW()-2,Max_WL_count)+2,FALSE)*STN_GAP,"")</f>
        <v/>
      </c>
      <c r="D426" s="433" t="str">
        <f>IFERROR(VLOOKUP(HLOOKUP(Stn_WL,Tools!$AD$2:$AD$27,QUOTIENT(ROW()-2,Max_WL_count)+2,FALSE),Tools!$AD$3:$BC$27,MOD(ROW()-2,Max_WL_count)+2,FALSE),"")</f>
        <v/>
      </c>
      <c r="E426" s="431" t="str">
        <f>IFERROR(IF(ISNUMBER(D426),HLOOKUP(Tools!$BE$2,Tools!$BE$2:$BE$27,MOD(ROW()-2,Max_WL_count)+2,FALSE)*WLS,""),"")</f>
        <v/>
      </c>
      <c r="I426" s="427" t="str">
        <f t="shared" si="41"/>
        <v/>
      </c>
      <c r="J426" s="430" t="str">
        <f t="shared" si="37"/>
        <v/>
      </c>
      <c r="K426" s="433" t="str">
        <f>IFERROR(-LBP/2+HLOOKUP(Stn_WL,Tools!$AD$2:$AD$27,N426+2,FALSE)*STN_GAP,"")</f>
        <v/>
      </c>
      <c r="L426" s="433" t="str">
        <f>IFERROR(IF(AND(ISNUMBER(K426),O426=0),0,VLOOKUP(HLOOKUP(Stn_WL,Tools!$AD$2:$AD$27,N426+2,FALSE),Tools!$AD$3:$BC$27,O426+1,FALSE)),"")</f>
        <v/>
      </c>
      <c r="M426" s="433" t="str">
        <f>IFERROR(IF(ISNUMBER(L426),IF(O426=0,IFERROR(HLOOKUP(Tools!$BD$127,Tools!$BD$127:$BD$152,N426+2,FALSE)*1,0),HLOOKUP(Tools!$BE$2,Tools!$BE$2:$BE$27,O426+1,FALSE)*WLS),""),"")</f>
        <v/>
      </c>
      <c r="N426">
        <f t="shared" si="38"/>
        <v>32</v>
      </c>
      <c r="O426">
        <f t="shared" si="39"/>
        <v>8</v>
      </c>
    </row>
    <row r="427" spans="1:15" x14ac:dyDescent="0.25">
      <c r="A427" s="427" t="str">
        <f t="shared" si="40"/>
        <v/>
      </c>
      <c r="B427" s="430" t="str">
        <f t="shared" si="36"/>
        <v/>
      </c>
      <c r="C427" s="433" t="str">
        <f>IFERROR(-LBP/2+HLOOKUP(Stn_WL,Tools!$AD$2:$AD$27,QUOTIENT(ROW()-2,Max_WL_count)+2,FALSE)*STN_GAP,"")</f>
        <v/>
      </c>
      <c r="D427" s="433" t="str">
        <f>IFERROR(VLOOKUP(HLOOKUP(Stn_WL,Tools!$AD$2:$AD$27,QUOTIENT(ROW()-2,Max_WL_count)+2,FALSE),Tools!$AD$3:$BC$27,MOD(ROW()-2,Max_WL_count)+2,FALSE),"")</f>
        <v/>
      </c>
      <c r="E427" s="431" t="str">
        <f>IFERROR(IF(ISNUMBER(D427),HLOOKUP(Tools!$BE$2,Tools!$BE$2:$BE$27,MOD(ROW()-2,Max_WL_count)+2,FALSE)*WLS,""),"")</f>
        <v/>
      </c>
      <c r="I427" s="427" t="str">
        <f t="shared" si="41"/>
        <v/>
      </c>
      <c r="J427" s="430" t="str">
        <f t="shared" si="37"/>
        <v/>
      </c>
      <c r="K427" s="433" t="str">
        <f>IFERROR(-LBP/2+HLOOKUP(Stn_WL,Tools!$AD$2:$AD$27,N427+2,FALSE)*STN_GAP,"")</f>
        <v/>
      </c>
      <c r="L427" s="433" t="str">
        <f>IFERROR(IF(AND(ISNUMBER(K427),O427=0),0,VLOOKUP(HLOOKUP(Stn_WL,Tools!$AD$2:$AD$27,N427+2,FALSE),Tools!$AD$3:$BC$27,O427+1,FALSE)),"")</f>
        <v/>
      </c>
      <c r="M427" s="433" t="str">
        <f>IFERROR(IF(ISNUMBER(L427),IF(O427=0,IFERROR(HLOOKUP(Tools!$BD$127,Tools!$BD$127:$BD$152,N427+2,FALSE)*1,0),HLOOKUP(Tools!$BE$2,Tools!$BE$2:$BE$27,O427+1,FALSE)*WLS),""),"")</f>
        <v/>
      </c>
      <c r="N427">
        <f t="shared" si="38"/>
        <v>32</v>
      </c>
      <c r="O427">
        <f t="shared" si="39"/>
        <v>9</v>
      </c>
    </row>
    <row r="428" spans="1:15" x14ac:dyDescent="0.25">
      <c r="A428" s="427" t="str">
        <f t="shared" si="40"/>
        <v/>
      </c>
      <c r="B428" s="430" t="str">
        <f t="shared" si="36"/>
        <v/>
      </c>
      <c r="C428" s="433" t="str">
        <f>IFERROR(-LBP/2+HLOOKUP(Stn_WL,Tools!$AD$2:$AD$27,QUOTIENT(ROW()-2,Max_WL_count)+2,FALSE)*STN_GAP,"")</f>
        <v/>
      </c>
      <c r="D428" s="433" t="str">
        <f>IFERROR(VLOOKUP(HLOOKUP(Stn_WL,Tools!$AD$2:$AD$27,QUOTIENT(ROW()-2,Max_WL_count)+2,FALSE),Tools!$AD$3:$BC$27,MOD(ROW()-2,Max_WL_count)+2,FALSE),"")</f>
        <v/>
      </c>
      <c r="E428" s="431" t="str">
        <f>IFERROR(IF(ISNUMBER(D428),HLOOKUP(Tools!$BE$2,Tools!$BE$2:$BE$27,MOD(ROW()-2,Max_WL_count)+2,FALSE)*WLS,""),"")</f>
        <v/>
      </c>
      <c r="I428" s="427" t="str">
        <f t="shared" si="41"/>
        <v/>
      </c>
      <c r="J428" s="430" t="str">
        <f t="shared" si="37"/>
        <v/>
      </c>
      <c r="K428" s="433" t="str">
        <f>IFERROR(-LBP/2+HLOOKUP(Stn_WL,Tools!$AD$2:$AD$27,N428+2,FALSE)*STN_GAP,"")</f>
        <v/>
      </c>
      <c r="L428" s="433" t="str">
        <f>IFERROR(IF(AND(ISNUMBER(K428),O428=0),0,VLOOKUP(HLOOKUP(Stn_WL,Tools!$AD$2:$AD$27,N428+2,FALSE),Tools!$AD$3:$BC$27,O428+1,FALSE)),"")</f>
        <v/>
      </c>
      <c r="M428" s="433" t="str">
        <f>IFERROR(IF(ISNUMBER(L428),IF(O428=0,IFERROR(HLOOKUP(Tools!$BD$127,Tools!$BD$127:$BD$152,N428+2,FALSE)*1,0),HLOOKUP(Tools!$BE$2,Tools!$BE$2:$BE$27,O428+1,FALSE)*WLS),""),"")</f>
        <v/>
      </c>
      <c r="N428">
        <f t="shared" si="38"/>
        <v>32</v>
      </c>
      <c r="O428">
        <f t="shared" si="39"/>
        <v>10</v>
      </c>
    </row>
    <row r="429" spans="1:15" x14ac:dyDescent="0.25">
      <c r="A429" s="427" t="str">
        <f t="shared" si="40"/>
        <v/>
      </c>
      <c r="B429" s="430" t="str">
        <f t="shared" si="36"/>
        <v/>
      </c>
      <c r="C429" s="433" t="str">
        <f>IFERROR(-LBP/2+HLOOKUP(Stn_WL,Tools!$AD$2:$AD$27,QUOTIENT(ROW()-2,Max_WL_count)+2,FALSE)*STN_GAP,"")</f>
        <v/>
      </c>
      <c r="D429" s="433" t="str">
        <f>IFERROR(VLOOKUP(HLOOKUP(Stn_WL,Tools!$AD$2:$AD$27,QUOTIENT(ROW()-2,Max_WL_count)+2,FALSE),Tools!$AD$3:$BC$27,MOD(ROW()-2,Max_WL_count)+2,FALSE),"")</f>
        <v/>
      </c>
      <c r="E429" s="431" t="str">
        <f>IFERROR(IF(ISNUMBER(D429),HLOOKUP(Tools!$BE$2,Tools!$BE$2:$BE$27,MOD(ROW()-2,Max_WL_count)+2,FALSE)*WLS,""),"")</f>
        <v/>
      </c>
      <c r="I429" s="427" t="str">
        <f t="shared" si="41"/>
        <v/>
      </c>
      <c r="J429" s="430" t="str">
        <f t="shared" si="37"/>
        <v/>
      </c>
      <c r="K429" s="433" t="str">
        <f>IFERROR(-LBP/2+HLOOKUP(Stn_WL,Tools!$AD$2:$AD$27,N429+2,FALSE)*STN_GAP,"")</f>
        <v/>
      </c>
      <c r="L429" s="433" t="str">
        <f>IFERROR(IF(AND(ISNUMBER(K429),O429=0),0,VLOOKUP(HLOOKUP(Stn_WL,Tools!$AD$2:$AD$27,N429+2,FALSE),Tools!$AD$3:$BC$27,O429+1,FALSE)),"")</f>
        <v/>
      </c>
      <c r="M429" s="433" t="str">
        <f>IFERROR(IF(ISNUMBER(L429),IF(O429=0,IFERROR(HLOOKUP(Tools!$BD$127,Tools!$BD$127:$BD$152,N429+2,FALSE)*1,0),HLOOKUP(Tools!$BE$2,Tools!$BE$2:$BE$27,O429+1,FALSE)*WLS),""),"")</f>
        <v/>
      </c>
      <c r="N429">
        <f t="shared" si="38"/>
        <v>32</v>
      </c>
      <c r="O429">
        <f t="shared" si="39"/>
        <v>11</v>
      </c>
    </row>
    <row r="430" spans="1:15" x14ac:dyDescent="0.25">
      <c r="A430" s="427" t="str">
        <f t="shared" si="40"/>
        <v/>
      </c>
      <c r="B430" s="430" t="str">
        <f t="shared" si="36"/>
        <v/>
      </c>
      <c r="C430" s="433" t="str">
        <f>IFERROR(-LBP/2+HLOOKUP(Stn_WL,Tools!$AD$2:$AD$27,QUOTIENT(ROW()-2,Max_WL_count)+2,FALSE)*STN_GAP,"")</f>
        <v/>
      </c>
      <c r="D430" s="433" t="str">
        <f>IFERROR(VLOOKUP(HLOOKUP(Stn_WL,Tools!$AD$2:$AD$27,QUOTIENT(ROW()-2,Max_WL_count)+2,FALSE),Tools!$AD$3:$BC$27,MOD(ROW()-2,Max_WL_count)+2,FALSE),"")</f>
        <v/>
      </c>
      <c r="E430" s="431" t="str">
        <f>IFERROR(IF(ISNUMBER(D430),HLOOKUP(Tools!$BE$2,Tools!$BE$2:$BE$27,MOD(ROW()-2,Max_WL_count)+2,FALSE)*WLS,""),"")</f>
        <v/>
      </c>
      <c r="I430" s="427" t="str">
        <f t="shared" si="41"/>
        <v/>
      </c>
      <c r="J430" s="430" t="str">
        <f t="shared" si="37"/>
        <v/>
      </c>
      <c r="K430" s="433" t="str">
        <f>IFERROR(-LBP/2+HLOOKUP(Stn_WL,Tools!$AD$2:$AD$27,N430+2,FALSE)*STN_GAP,"")</f>
        <v/>
      </c>
      <c r="L430" s="433" t="str">
        <f>IFERROR(IF(AND(ISNUMBER(K430),O430=0),0,VLOOKUP(HLOOKUP(Stn_WL,Tools!$AD$2:$AD$27,N430+2,FALSE),Tools!$AD$3:$BC$27,O430+1,FALSE)),"")</f>
        <v/>
      </c>
      <c r="M430" s="433" t="str">
        <f>IFERROR(IF(ISNUMBER(L430),IF(O430=0,IFERROR(HLOOKUP(Tools!$BD$127,Tools!$BD$127:$BD$152,N430+2,FALSE)*1,0),HLOOKUP(Tools!$BE$2,Tools!$BE$2:$BE$27,O430+1,FALSE)*WLS),""),"")</f>
        <v/>
      </c>
      <c r="N430">
        <f t="shared" si="38"/>
        <v>32</v>
      </c>
      <c r="O430">
        <f t="shared" si="39"/>
        <v>12</v>
      </c>
    </row>
    <row r="431" spans="1:15" x14ac:dyDescent="0.25">
      <c r="A431" s="427" t="str">
        <f t="shared" si="40"/>
        <v/>
      </c>
      <c r="B431" s="430" t="str">
        <f t="shared" si="36"/>
        <v/>
      </c>
      <c r="C431" s="433" t="str">
        <f>IFERROR(-LBP/2+HLOOKUP(Stn_WL,Tools!$AD$2:$AD$27,QUOTIENT(ROW()-2,Max_WL_count)+2,FALSE)*STN_GAP,"")</f>
        <v/>
      </c>
      <c r="D431" s="433" t="str">
        <f>IFERROR(VLOOKUP(HLOOKUP(Stn_WL,Tools!$AD$2:$AD$27,QUOTIENT(ROW()-2,Max_WL_count)+2,FALSE),Tools!$AD$3:$BC$27,MOD(ROW()-2,Max_WL_count)+2,FALSE),"")</f>
        <v/>
      </c>
      <c r="E431" s="431" t="str">
        <f>IFERROR(IF(ISNUMBER(D431),HLOOKUP(Tools!$BE$2,Tools!$BE$2:$BE$27,MOD(ROW()-2,Max_WL_count)+2,FALSE)*WLS,""),"")</f>
        <v/>
      </c>
      <c r="I431" s="427" t="str">
        <f t="shared" si="41"/>
        <v/>
      </c>
      <c r="J431" s="430" t="str">
        <f t="shared" si="37"/>
        <v/>
      </c>
      <c r="K431" s="433" t="str">
        <f>IFERROR(-LBP/2+HLOOKUP(Stn_WL,Tools!$AD$2:$AD$27,N431+2,FALSE)*STN_GAP,"")</f>
        <v/>
      </c>
      <c r="L431" s="433" t="str">
        <f>IFERROR(IF(AND(ISNUMBER(K431),O431=0),0,VLOOKUP(HLOOKUP(Stn_WL,Tools!$AD$2:$AD$27,N431+2,FALSE),Tools!$AD$3:$BC$27,O431+1,FALSE)),"")</f>
        <v/>
      </c>
      <c r="M431" s="433" t="str">
        <f>IFERROR(IF(ISNUMBER(L431),IF(O431=0,IFERROR(HLOOKUP(Tools!$BD$127,Tools!$BD$127:$BD$152,N431+2,FALSE)*1,0),HLOOKUP(Tools!$BE$2,Tools!$BE$2:$BE$27,O431+1,FALSE)*WLS),""),"")</f>
        <v/>
      </c>
      <c r="N431">
        <f t="shared" si="38"/>
        <v>33</v>
      </c>
      <c r="O431">
        <f t="shared" si="39"/>
        <v>0</v>
      </c>
    </row>
    <row r="432" spans="1:15" x14ac:dyDescent="0.25">
      <c r="A432" s="427" t="str">
        <f t="shared" si="40"/>
        <v/>
      </c>
      <c r="B432" s="430" t="str">
        <f t="shared" si="36"/>
        <v/>
      </c>
      <c r="C432" s="433" t="str">
        <f>IFERROR(-LBP/2+HLOOKUP(Stn_WL,Tools!$AD$2:$AD$27,QUOTIENT(ROW()-2,Max_WL_count)+2,FALSE)*STN_GAP,"")</f>
        <v/>
      </c>
      <c r="D432" s="433" t="str">
        <f>IFERROR(VLOOKUP(HLOOKUP(Stn_WL,Tools!$AD$2:$AD$27,QUOTIENT(ROW()-2,Max_WL_count)+2,FALSE),Tools!$AD$3:$BC$27,MOD(ROW()-2,Max_WL_count)+2,FALSE),"")</f>
        <v/>
      </c>
      <c r="E432" s="431" t="str">
        <f>IFERROR(IF(ISNUMBER(D432),HLOOKUP(Tools!$BE$2,Tools!$BE$2:$BE$27,MOD(ROW()-2,Max_WL_count)+2,FALSE)*WLS,""),"")</f>
        <v/>
      </c>
      <c r="I432" s="427" t="str">
        <f t="shared" si="41"/>
        <v/>
      </c>
      <c r="J432" s="430" t="str">
        <f t="shared" si="37"/>
        <v/>
      </c>
      <c r="K432" s="433" t="str">
        <f>IFERROR(-LBP/2+HLOOKUP(Stn_WL,Tools!$AD$2:$AD$27,N432+2,FALSE)*STN_GAP,"")</f>
        <v/>
      </c>
      <c r="L432" s="433" t="str">
        <f>IFERROR(IF(AND(ISNUMBER(K432),O432=0),0,VLOOKUP(HLOOKUP(Stn_WL,Tools!$AD$2:$AD$27,N432+2,FALSE),Tools!$AD$3:$BC$27,O432+1,FALSE)),"")</f>
        <v/>
      </c>
      <c r="M432" s="433" t="str">
        <f>IFERROR(IF(ISNUMBER(L432),IF(O432=0,IFERROR(HLOOKUP(Tools!$BD$127,Tools!$BD$127:$BD$152,N432+2,FALSE)*1,0),HLOOKUP(Tools!$BE$2,Tools!$BE$2:$BE$27,O432+1,FALSE)*WLS),""),"")</f>
        <v/>
      </c>
      <c r="N432">
        <f t="shared" si="38"/>
        <v>33</v>
      </c>
      <c r="O432">
        <f t="shared" si="39"/>
        <v>1</v>
      </c>
    </row>
    <row r="433" spans="1:15" x14ac:dyDescent="0.25">
      <c r="A433" s="427" t="str">
        <f t="shared" si="40"/>
        <v/>
      </c>
      <c r="B433" s="430" t="str">
        <f t="shared" si="36"/>
        <v/>
      </c>
      <c r="C433" s="433" t="str">
        <f>IFERROR(-LBP/2+HLOOKUP(Stn_WL,Tools!$AD$2:$AD$27,QUOTIENT(ROW()-2,Max_WL_count)+2,FALSE)*STN_GAP,"")</f>
        <v/>
      </c>
      <c r="D433" s="433" t="str">
        <f>IFERROR(VLOOKUP(HLOOKUP(Stn_WL,Tools!$AD$2:$AD$27,QUOTIENT(ROW()-2,Max_WL_count)+2,FALSE),Tools!$AD$3:$BC$27,MOD(ROW()-2,Max_WL_count)+2,FALSE),"")</f>
        <v/>
      </c>
      <c r="E433" s="431" t="str">
        <f>IFERROR(IF(ISNUMBER(D433),HLOOKUP(Tools!$BE$2,Tools!$BE$2:$BE$27,MOD(ROW()-2,Max_WL_count)+2,FALSE)*WLS,""),"")</f>
        <v/>
      </c>
      <c r="I433" s="427" t="str">
        <f t="shared" si="41"/>
        <v/>
      </c>
      <c r="J433" s="430" t="str">
        <f t="shared" si="37"/>
        <v/>
      </c>
      <c r="K433" s="433" t="str">
        <f>IFERROR(-LBP/2+HLOOKUP(Stn_WL,Tools!$AD$2:$AD$27,N433+2,FALSE)*STN_GAP,"")</f>
        <v/>
      </c>
      <c r="L433" s="433" t="str">
        <f>IFERROR(IF(AND(ISNUMBER(K433),O433=0),0,VLOOKUP(HLOOKUP(Stn_WL,Tools!$AD$2:$AD$27,N433+2,FALSE),Tools!$AD$3:$BC$27,O433+1,FALSE)),"")</f>
        <v/>
      </c>
      <c r="M433" s="433" t="str">
        <f>IFERROR(IF(ISNUMBER(L433),IF(O433=0,IFERROR(HLOOKUP(Tools!$BD$127,Tools!$BD$127:$BD$152,N433+2,FALSE)*1,0),HLOOKUP(Tools!$BE$2,Tools!$BE$2:$BE$27,O433+1,FALSE)*WLS),""),"")</f>
        <v/>
      </c>
      <c r="N433">
        <f t="shared" si="38"/>
        <v>33</v>
      </c>
      <c r="O433">
        <f t="shared" si="39"/>
        <v>2</v>
      </c>
    </row>
    <row r="434" spans="1:15" x14ac:dyDescent="0.25">
      <c r="A434" s="427" t="str">
        <f t="shared" si="40"/>
        <v/>
      </c>
      <c r="B434" s="430" t="str">
        <f t="shared" si="36"/>
        <v/>
      </c>
      <c r="C434" s="433" t="str">
        <f>IFERROR(-LBP/2+HLOOKUP(Stn_WL,Tools!$AD$2:$AD$27,QUOTIENT(ROW()-2,Max_WL_count)+2,FALSE)*STN_GAP,"")</f>
        <v/>
      </c>
      <c r="D434" s="433" t="str">
        <f>IFERROR(VLOOKUP(HLOOKUP(Stn_WL,Tools!$AD$2:$AD$27,QUOTIENT(ROW()-2,Max_WL_count)+2,FALSE),Tools!$AD$3:$BC$27,MOD(ROW()-2,Max_WL_count)+2,FALSE),"")</f>
        <v/>
      </c>
      <c r="E434" s="431" t="str">
        <f>IFERROR(IF(ISNUMBER(D434),HLOOKUP(Tools!$BE$2,Tools!$BE$2:$BE$27,MOD(ROW()-2,Max_WL_count)+2,FALSE)*WLS,""),"")</f>
        <v/>
      </c>
      <c r="I434" s="427" t="str">
        <f t="shared" si="41"/>
        <v/>
      </c>
      <c r="J434" s="430" t="str">
        <f t="shared" si="37"/>
        <v/>
      </c>
      <c r="K434" s="433" t="str">
        <f>IFERROR(-LBP/2+HLOOKUP(Stn_WL,Tools!$AD$2:$AD$27,N434+2,FALSE)*STN_GAP,"")</f>
        <v/>
      </c>
      <c r="L434" s="433" t="str">
        <f>IFERROR(IF(AND(ISNUMBER(K434),O434=0),0,VLOOKUP(HLOOKUP(Stn_WL,Tools!$AD$2:$AD$27,N434+2,FALSE),Tools!$AD$3:$BC$27,O434+1,FALSE)),"")</f>
        <v/>
      </c>
      <c r="M434" s="433" t="str">
        <f>IFERROR(IF(ISNUMBER(L434),IF(O434=0,IFERROR(HLOOKUP(Tools!$BD$127,Tools!$BD$127:$BD$152,N434+2,FALSE)*1,0),HLOOKUP(Tools!$BE$2,Tools!$BE$2:$BE$27,O434+1,FALSE)*WLS),""),"")</f>
        <v/>
      </c>
      <c r="N434">
        <f t="shared" si="38"/>
        <v>33</v>
      </c>
      <c r="O434">
        <f t="shared" si="39"/>
        <v>3</v>
      </c>
    </row>
    <row r="435" spans="1:15" x14ac:dyDescent="0.25">
      <c r="A435" s="427" t="str">
        <f t="shared" si="40"/>
        <v/>
      </c>
      <c r="B435" s="430" t="str">
        <f t="shared" si="36"/>
        <v/>
      </c>
      <c r="C435" s="433" t="str">
        <f>IFERROR(-LBP/2+HLOOKUP(Stn_WL,Tools!$AD$2:$AD$27,QUOTIENT(ROW()-2,Max_WL_count)+2,FALSE)*STN_GAP,"")</f>
        <v/>
      </c>
      <c r="D435" s="433" t="str">
        <f>IFERROR(VLOOKUP(HLOOKUP(Stn_WL,Tools!$AD$2:$AD$27,QUOTIENT(ROW()-2,Max_WL_count)+2,FALSE),Tools!$AD$3:$BC$27,MOD(ROW()-2,Max_WL_count)+2,FALSE),"")</f>
        <v/>
      </c>
      <c r="E435" s="431" t="str">
        <f>IFERROR(IF(ISNUMBER(D435),HLOOKUP(Tools!$BE$2,Tools!$BE$2:$BE$27,MOD(ROW()-2,Max_WL_count)+2,FALSE)*WLS,""),"")</f>
        <v/>
      </c>
      <c r="I435" s="427" t="str">
        <f t="shared" si="41"/>
        <v/>
      </c>
      <c r="J435" s="430" t="str">
        <f t="shared" si="37"/>
        <v/>
      </c>
      <c r="K435" s="433" t="str">
        <f>IFERROR(-LBP/2+HLOOKUP(Stn_WL,Tools!$AD$2:$AD$27,N435+2,FALSE)*STN_GAP,"")</f>
        <v/>
      </c>
      <c r="L435" s="433" t="str">
        <f>IFERROR(IF(AND(ISNUMBER(K435),O435=0),0,VLOOKUP(HLOOKUP(Stn_WL,Tools!$AD$2:$AD$27,N435+2,FALSE),Tools!$AD$3:$BC$27,O435+1,FALSE)),"")</f>
        <v/>
      </c>
      <c r="M435" s="433" t="str">
        <f>IFERROR(IF(ISNUMBER(L435),IF(O435=0,IFERROR(HLOOKUP(Tools!$BD$127,Tools!$BD$127:$BD$152,N435+2,FALSE)*1,0),HLOOKUP(Tools!$BE$2,Tools!$BE$2:$BE$27,O435+1,FALSE)*WLS),""),"")</f>
        <v/>
      </c>
      <c r="N435">
        <f t="shared" si="38"/>
        <v>33</v>
      </c>
      <c r="O435">
        <f t="shared" si="39"/>
        <v>4</v>
      </c>
    </row>
    <row r="436" spans="1:15" x14ac:dyDescent="0.25">
      <c r="A436" s="427" t="str">
        <f t="shared" si="40"/>
        <v/>
      </c>
      <c r="B436" s="430" t="str">
        <f t="shared" si="36"/>
        <v/>
      </c>
      <c r="C436" s="433" t="str">
        <f>IFERROR(-LBP/2+HLOOKUP(Stn_WL,Tools!$AD$2:$AD$27,QUOTIENT(ROW()-2,Max_WL_count)+2,FALSE)*STN_GAP,"")</f>
        <v/>
      </c>
      <c r="D436" s="433" t="str">
        <f>IFERROR(VLOOKUP(HLOOKUP(Stn_WL,Tools!$AD$2:$AD$27,QUOTIENT(ROW()-2,Max_WL_count)+2,FALSE),Tools!$AD$3:$BC$27,MOD(ROW()-2,Max_WL_count)+2,FALSE),"")</f>
        <v/>
      </c>
      <c r="E436" s="431" t="str">
        <f>IFERROR(IF(ISNUMBER(D436),HLOOKUP(Tools!$BE$2,Tools!$BE$2:$BE$27,MOD(ROW()-2,Max_WL_count)+2,FALSE)*WLS,""),"")</f>
        <v/>
      </c>
      <c r="I436" s="427" t="str">
        <f t="shared" si="41"/>
        <v/>
      </c>
      <c r="J436" s="430" t="str">
        <f t="shared" si="37"/>
        <v/>
      </c>
      <c r="K436" s="433" t="str">
        <f>IFERROR(-LBP/2+HLOOKUP(Stn_WL,Tools!$AD$2:$AD$27,N436+2,FALSE)*STN_GAP,"")</f>
        <v/>
      </c>
      <c r="L436" s="433" t="str">
        <f>IFERROR(IF(AND(ISNUMBER(K436),O436=0),0,VLOOKUP(HLOOKUP(Stn_WL,Tools!$AD$2:$AD$27,N436+2,FALSE),Tools!$AD$3:$BC$27,O436+1,FALSE)),"")</f>
        <v/>
      </c>
      <c r="M436" s="433" t="str">
        <f>IFERROR(IF(ISNUMBER(L436),IF(O436=0,IFERROR(HLOOKUP(Tools!$BD$127,Tools!$BD$127:$BD$152,N436+2,FALSE)*1,0),HLOOKUP(Tools!$BE$2,Tools!$BE$2:$BE$27,O436+1,FALSE)*WLS),""),"")</f>
        <v/>
      </c>
      <c r="N436">
        <f t="shared" si="38"/>
        <v>33</v>
      </c>
      <c r="O436">
        <f t="shared" si="39"/>
        <v>5</v>
      </c>
    </row>
    <row r="437" spans="1:15" x14ac:dyDescent="0.25">
      <c r="A437" s="427" t="str">
        <f t="shared" si="40"/>
        <v/>
      </c>
      <c r="B437" s="430" t="str">
        <f t="shared" si="36"/>
        <v/>
      </c>
      <c r="C437" s="433" t="str">
        <f>IFERROR(-LBP/2+HLOOKUP(Stn_WL,Tools!$AD$2:$AD$27,QUOTIENT(ROW()-2,Max_WL_count)+2,FALSE)*STN_GAP,"")</f>
        <v/>
      </c>
      <c r="D437" s="433" t="str">
        <f>IFERROR(VLOOKUP(HLOOKUP(Stn_WL,Tools!$AD$2:$AD$27,QUOTIENT(ROW()-2,Max_WL_count)+2,FALSE),Tools!$AD$3:$BC$27,MOD(ROW()-2,Max_WL_count)+2,FALSE),"")</f>
        <v/>
      </c>
      <c r="E437" s="431" t="str">
        <f>IFERROR(IF(ISNUMBER(D437),HLOOKUP(Tools!$BE$2,Tools!$BE$2:$BE$27,MOD(ROW()-2,Max_WL_count)+2,FALSE)*WLS,""),"")</f>
        <v/>
      </c>
      <c r="I437" s="427" t="str">
        <f t="shared" si="41"/>
        <v/>
      </c>
      <c r="J437" s="430" t="str">
        <f t="shared" si="37"/>
        <v/>
      </c>
      <c r="K437" s="433" t="str">
        <f>IFERROR(-LBP/2+HLOOKUP(Stn_WL,Tools!$AD$2:$AD$27,N437+2,FALSE)*STN_GAP,"")</f>
        <v/>
      </c>
      <c r="L437" s="433" t="str">
        <f>IFERROR(IF(AND(ISNUMBER(K437),O437=0),0,VLOOKUP(HLOOKUP(Stn_WL,Tools!$AD$2:$AD$27,N437+2,FALSE),Tools!$AD$3:$BC$27,O437+1,FALSE)),"")</f>
        <v/>
      </c>
      <c r="M437" s="433" t="str">
        <f>IFERROR(IF(ISNUMBER(L437),IF(O437=0,IFERROR(HLOOKUP(Tools!$BD$127,Tools!$BD$127:$BD$152,N437+2,FALSE)*1,0),HLOOKUP(Tools!$BE$2,Tools!$BE$2:$BE$27,O437+1,FALSE)*WLS),""),"")</f>
        <v/>
      </c>
      <c r="N437">
        <f t="shared" si="38"/>
        <v>33</v>
      </c>
      <c r="O437">
        <f t="shared" si="39"/>
        <v>6</v>
      </c>
    </row>
    <row r="438" spans="1:15" x14ac:dyDescent="0.25">
      <c r="A438" s="427" t="str">
        <f t="shared" si="40"/>
        <v/>
      </c>
      <c r="B438" s="430" t="str">
        <f t="shared" si="36"/>
        <v/>
      </c>
      <c r="C438" s="433" t="str">
        <f>IFERROR(-LBP/2+HLOOKUP(Stn_WL,Tools!$AD$2:$AD$27,QUOTIENT(ROW()-2,Max_WL_count)+2,FALSE)*STN_GAP,"")</f>
        <v/>
      </c>
      <c r="D438" s="433" t="str">
        <f>IFERROR(VLOOKUP(HLOOKUP(Stn_WL,Tools!$AD$2:$AD$27,QUOTIENT(ROW()-2,Max_WL_count)+2,FALSE),Tools!$AD$3:$BC$27,MOD(ROW()-2,Max_WL_count)+2,FALSE),"")</f>
        <v/>
      </c>
      <c r="E438" s="431" t="str">
        <f>IFERROR(IF(ISNUMBER(D438),HLOOKUP(Tools!$BE$2,Tools!$BE$2:$BE$27,MOD(ROW()-2,Max_WL_count)+2,FALSE)*WLS,""),"")</f>
        <v/>
      </c>
      <c r="I438" s="427" t="str">
        <f t="shared" si="41"/>
        <v/>
      </c>
      <c r="J438" s="430" t="str">
        <f t="shared" si="37"/>
        <v/>
      </c>
      <c r="K438" s="433" t="str">
        <f>IFERROR(-LBP/2+HLOOKUP(Stn_WL,Tools!$AD$2:$AD$27,N438+2,FALSE)*STN_GAP,"")</f>
        <v/>
      </c>
      <c r="L438" s="433" t="str">
        <f>IFERROR(IF(AND(ISNUMBER(K438),O438=0),0,VLOOKUP(HLOOKUP(Stn_WL,Tools!$AD$2:$AD$27,N438+2,FALSE),Tools!$AD$3:$BC$27,O438+1,FALSE)),"")</f>
        <v/>
      </c>
      <c r="M438" s="433" t="str">
        <f>IFERROR(IF(ISNUMBER(L438),IF(O438=0,IFERROR(HLOOKUP(Tools!$BD$127,Tools!$BD$127:$BD$152,N438+2,FALSE)*1,0),HLOOKUP(Tools!$BE$2,Tools!$BE$2:$BE$27,O438+1,FALSE)*WLS),""),"")</f>
        <v/>
      </c>
      <c r="N438">
        <f t="shared" si="38"/>
        <v>33</v>
      </c>
      <c r="O438">
        <f t="shared" si="39"/>
        <v>7</v>
      </c>
    </row>
    <row r="439" spans="1:15" x14ac:dyDescent="0.25">
      <c r="A439" s="427" t="str">
        <f t="shared" si="40"/>
        <v/>
      </c>
      <c r="B439" s="430" t="str">
        <f t="shared" si="36"/>
        <v/>
      </c>
      <c r="C439" s="433" t="str">
        <f>IFERROR(-LBP/2+HLOOKUP(Stn_WL,Tools!$AD$2:$AD$27,QUOTIENT(ROW()-2,Max_WL_count)+2,FALSE)*STN_GAP,"")</f>
        <v/>
      </c>
      <c r="D439" s="433" t="str">
        <f>IFERROR(VLOOKUP(HLOOKUP(Stn_WL,Tools!$AD$2:$AD$27,QUOTIENT(ROW()-2,Max_WL_count)+2,FALSE),Tools!$AD$3:$BC$27,MOD(ROW()-2,Max_WL_count)+2,FALSE),"")</f>
        <v/>
      </c>
      <c r="E439" s="431" t="str">
        <f>IFERROR(IF(ISNUMBER(D439),HLOOKUP(Tools!$BE$2,Tools!$BE$2:$BE$27,MOD(ROW()-2,Max_WL_count)+2,FALSE)*WLS,""),"")</f>
        <v/>
      </c>
      <c r="I439" s="427" t="str">
        <f t="shared" si="41"/>
        <v/>
      </c>
      <c r="J439" s="430" t="str">
        <f t="shared" si="37"/>
        <v/>
      </c>
      <c r="K439" s="433" t="str">
        <f>IFERROR(-LBP/2+HLOOKUP(Stn_WL,Tools!$AD$2:$AD$27,N439+2,FALSE)*STN_GAP,"")</f>
        <v/>
      </c>
      <c r="L439" s="433" t="str">
        <f>IFERROR(IF(AND(ISNUMBER(K439),O439=0),0,VLOOKUP(HLOOKUP(Stn_WL,Tools!$AD$2:$AD$27,N439+2,FALSE),Tools!$AD$3:$BC$27,O439+1,FALSE)),"")</f>
        <v/>
      </c>
      <c r="M439" s="433" t="str">
        <f>IFERROR(IF(ISNUMBER(L439),IF(O439=0,IFERROR(HLOOKUP(Tools!$BD$127,Tools!$BD$127:$BD$152,N439+2,FALSE)*1,0),HLOOKUP(Tools!$BE$2,Tools!$BE$2:$BE$27,O439+1,FALSE)*WLS),""),"")</f>
        <v/>
      </c>
      <c r="N439">
        <f t="shared" si="38"/>
        <v>33</v>
      </c>
      <c r="O439">
        <f t="shared" si="39"/>
        <v>8</v>
      </c>
    </row>
    <row r="440" spans="1:15" x14ac:dyDescent="0.25">
      <c r="A440" s="427" t="str">
        <f t="shared" si="40"/>
        <v/>
      </c>
      <c r="B440" s="430" t="str">
        <f t="shared" si="36"/>
        <v/>
      </c>
      <c r="C440" s="433" t="str">
        <f>IFERROR(-LBP/2+HLOOKUP(Stn_WL,Tools!$AD$2:$AD$27,QUOTIENT(ROW()-2,Max_WL_count)+2,FALSE)*STN_GAP,"")</f>
        <v/>
      </c>
      <c r="D440" s="433" t="str">
        <f>IFERROR(VLOOKUP(HLOOKUP(Stn_WL,Tools!$AD$2:$AD$27,QUOTIENT(ROW()-2,Max_WL_count)+2,FALSE),Tools!$AD$3:$BC$27,MOD(ROW()-2,Max_WL_count)+2,FALSE),"")</f>
        <v/>
      </c>
      <c r="E440" s="431" t="str">
        <f>IFERROR(IF(ISNUMBER(D440),HLOOKUP(Tools!$BE$2,Tools!$BE$2:$BE$27,MOD(ROW()-2,Max_WL_count)+2,FALSE)*WLS,""),"")</f>
        <v/>
      </c>
      <c r="I440" s="427" t="str">
        <f t="shared" si="41"/>
        <v/>
      </c>
      <c r="J440" s="430" t="str">
        <f t="shared" si="37"/>
        <v/>
      </c>
      <c r="K440" s="433" t="str">
        <f>IFERROR(-LBP/2+HLOOKUP(Stn_WL,Tools!$AD$2:$AD$27,N440+2,FALSE)*STN_GAP,"")</f>
        <v/>
      </c>
      <c r="L440" s="433" t="str">
        <f>IFERROR(IF(AND(ISNUMBER(K440),O440=0),0,VLOOKUP(HLOOKUP(Stn_WL,Tools!$AD$2:$AD$27,N440+2,FALSE),Tools!$AD$3:$BC$27,O440+1,FALSE)),"")</f>
        <v/>
      </c>
      <c r="M440" s="433" t="str">
        <f>IFERROR(IF(ISNUMBER(L440),IF(O440=0,IFERROR(HLOOKUP(Tools!$BD$127,Tools!$BD$127:$BD$152,N440+2,FALSE)*1,0),HLOOKUP(Tools!$BE$2,Tools!$BE$2:$BE$27,O440+1,FALSE)*WLS),""),"")</f>
        <v/>
      </c>
      <c r="N440">
        <f t="shared" si="38"/>
        <v>33</v>
      </c>
      <c r="O440">
        <f t="shared" si="39"/>
        <v>9</v>
      </c>
    </row>
    <row r="441" spans="1:15" x14ac:dyDescent="0.25">
      <c r="A441" s="427" t="str">
        <f t="shared" si="40"/>
        <v/>
      </c>
      <c r="B441" s="430" t="str">
        <f t="shared" si="36"/>
        <v/>
      </c>
      <c r="C441" s="433" t="str">
        <f>IFERROR(-LBP/2+HLOOKUP(Stn_WL,Tools!$AD$2:$AD$27,QUOTIENT(ROW()-2,Max_WL_count)+2,FALSE)*STN_GAP,"")</f>
        <v/>
      </c>
      <c r="D441" s="433" t="str">
        <f>IFERROR(VLOOKUP(HLOOKUP(Stn_WL,Tools!$AD$2:$AD$27,QUOTIENT(ROW()-2,Max_WL_count)+2,FALSE),Tools!$AD$3:$BC$27,MOD(ROW()-2,Max_WL_count)+2,FALSE),"")</f>
        <v/>
      </c>
      <c r="E441" s="431" t="str">
        <f>IFERROR(IF(ISNUMBER(D441),HLOOKUP(Tools!$BE$2,Tools!$BE$2:$BE$27,MOD(ROW()-2,Max_WL_count)+2,FALSE)*WLS,""),"")</f>
        <v/>
      </c>
      <c r="I441" s="427" t="str">
        <f t="shared" si="41"/>
        <v/>
      </c>
      <c r="J441" s="430" t="str">
        <f t="shared" si="37"/>
        <v/>
      </c>
      <c r="K441" s="433" t="str">
        <f>IFERROR(-LBP/2+HLOOKUP(Stn_WL,Tools!$AD$2:$AD$27,N441+2,FALSE)*STN_GAP,"")</f>
        <v/>
      </c>
      <c r="L441" s="433" t="str">
        <f>IFERROR(IF(AND(ISNUMBER(K441),O441=0),0,VLOOKUP(HLOOKUP(Stn_WL,Tools!$AD$2:$AD$27,N441+2,FALSE),Tools!$AD$3:$BC$27,O441+1,FALSE)),"")</f>
        <v/>
      </c>
      <c r="M441" s="433" t="str">
        <f>IFERROR(IF(ISNUMBER(L441),IF(O441=0,IFERROR(HLOOKUP(Tools!$BD$127,Tools!$BD$127:$BD$152,N441+2,FALSE)*1,0),HLOOKUP(Tools!$BE$2,Tools!$BE$2:$BE$27,O441+1,FALSE)*WLS),""),"")</f>
        <v/>
      </c>
      <c r="N441">
        <f t="shared" si="38"/>
        <v>33</v>
      </c>
      <c r="O441">
        <f t="shared" si="39"/>
        <v>10</v>
      </c>
    </row>
    <row r="442" spans="1:15" x14ac:dyDescent="0.25">
      <c r="A442" s="427" t="str">
        <f t="shared" si="40"/>
        <v/>
      </c>
      <c r="B442" s="430" t="str">
        <f t="shared" si="36"/>
        <v/>
      </c>
      <c r="C442" s="433" t="str">
        <f>IFERROR(-LBP/2+HLOOKUP(Stn_WL,Tools!$AD$2:$AD$27,QUOTIENT(ROW()-2,Max_WL_count)+2,FALSE)*STN_GAP,"")</f>
        <v/>
      </c>
      <c r="D442" s="433" t="str">
        <f>IFERROR(VLOOKUP(HLOOKUP(Stn_WL,Tools!$AD$2:$AD$27,QUOTIENT(ROW()-2,Max_WL_count)+2,FALSE),Tools!$AD$3:$BC$27,MOD(ROW()-2,Max_WL_count)+2,FALSE),"")</f>
        <v/>
      </c>
      <c r="E442" s="431" t="str">
        <f>IFERROR(IF(ISNUMBER(D442),HLOOKUP(Tools!$BE$2,Tools!$BE$2:$BE$27,MOD(ROW()-2,Max_WL_count)+2,FALSE)*WLS,""),"")</f>
        <v/>
      </c>
      <c r="I442" s="427" t="str">
        <f t="shared" si="41"/>
        <v/>
      </c>
      <c r="J442" s="430" t="str">
        <f t="shared" si="37"/>
        <v/>
      </c>
      <c r="K442" s="433" t="str">
        <f>IFERROR(-LBP/2+HLOOKUP(Stn_WL,Tools!$AD$2:$AD$27,N442+2,FALSE)*STN_GAP,"")</f>
        <v/>
      </c>
      <c r="L442" s="433" t="str">
        <f>IFERROR(IF(AND(ISNUMBER(K442),O442=0),0,VLOOKUP(HLOOKUP(Stn_WL,Tools!$AD$2:$AD$27,N442+2,FALSE),Tools!$AD$3:$BC$27,O442+1,FALSE)),"")</f>
        <v/>
      </c>
      <c r="M442" s="433" t="str">
        <f>IFERROR(IF(ISNUMBER(L442),IF(O442=0,IFERROR(HLOOKUP(Tools!$BD$127,Tools!$BD$127:$BD$152,N442+2,FALSE)*1,0),HLOOKUP(Tools!$BE$2,Tools!$BE$2:$BE$27,O442+1,FALSE)*WLS),""),"")</f>
        <v/>
      </c>
      <c r="N442">
        <f t="shared" si="38"/>
        <v>33</v>
      </c>
      <c r="O442">
        <f t="shared" si="39"/>
        <v>11</v>
      </c>
    </row>
    <row r="443" spans="1:15" x14ac:dyDescent="0.25">
      <c r="A443" s="427" t="str">
        <f t="shared" si="40"/>
        <v/>
      </c>
      <c r="B443" s="430" t="str">
        <f t="shared" si="36"/>
        <v/>
      </c>
      <c r="C443" s="433" t="str">
        <f>IFERROR(-LBP/2+HLOOKUP(Stn_WL,Tools!$AD$2:$AD$27,QUOTIENT(ROW()-2,Max_WL_count)+2,FALSE)*STN_GAP,"")</f>
        <v/>
      </c>
      <c r="D443" s="433" t="str">
        <f>IFERROR(VLOOKUP(HLOOKUP(Stn_WL,Tools!$AD$2:$AD$27,QUOTIENT(ROW()-2,Max_WL_count)+2,FALSE),Tools!$AD$3:$BC$27,MOD(ROW()-2,Max_WL_count)+2,FALSE),"")</f>
        <v/>
      </c>
      <c r="E443" s="431" t="str">
        <f>IFERROR(IF(ISNUMBER(D443),HLOOKUP(Tools!$BE$2,Tools!$BE$2:$BE$27,MOD(ROW()-2,Max_WL_count)+2,FALSE)*WLS,""),"")</f>
        <v/>
      </c>
      <c r="I443" s="427" t="str">
        <f t="shared" si="41"/>
        <v/>
      </c>
      <c r="J443" s="430" t="str">
        <f t="shared" si="37"/>
        <v/>
      </c>
      <c r="K443" s="433" t="str">
        <f>IFERROR(-LBP/2+HLOOKUP(Stn_WL,Tools!$AD$2:$AD$27,N443+2,FALSE)*STN_GAP,"")</f>
        <v/>
      </c>
      <c r="L443" s="433" t="str">
        <f>IFERROR(IF(AND(ISNUMBER(K443),O443=0),0,VLOOKUP(HLOOKUP(Stn_WL,Tools!$AD$2:$AD$27,N443+2,FALSE),Tools!$AD$3:$BC$27,O443+1,FALSE)),"")</f>
        <v/>
      </c>
      <c r="M443" s="433" t="str">
        <f>IFERROR(IF(ISNUMBER(L443),IF(O443=0,IFERROR(HLOOKUP(Tools!$BD$127,Tools!$BD$127:$BD$152,N443+2,FALSE)*1,0),HLOOKUP(Tools!$BE$2,Tools!$BE$2:$BE$27,O443+1,FALSE)*WLS),""),"")</f>
        <v/>
      </c>
      <c r="N443">
        <f t="shared" si="38"/>
        <v>33</v>
      </c>
      <c r="O443">
        <f t="shared" si="39"/>
        <v>12</v>
      </c>
    </row>
    <row r="444" spans="1:15" x14ac:dyDescent="0.25">
      <c r="A444" s="427" t="str">
        <f t="shared" si="40"/>
        <v/>
      </c>
      <c r="B444" s="430" t="str">
        <f t="shared" si="36"/>
        <v/>
      </c>
      <c r="C444" s="433" t="str">
        <f>IFERROR(-LBP/2+HLOOKUP(Stn_WL,Tools!$AD$2:$AD$27,QUOTIENT(ROW()-2,Max_WL_count)+2,FALSE)*STN_GAP,"")</f>
        <v/>
      </c>
      <c r="D444" s="433" t="str">
        <f>IFERROR(VLOOKUP(HLOOKUP(Stn_WL,Tools!$AD$2:$AD$27,QUOTIENT(ROW()-2,Max_WL_count)+2,FALSE),Tools!$AD$3:$BC$27,MOD(ROW()-2,Max_WL_count)+2,FALSE),"")</f>
        <v/>
      </c>
      <c r="E444" s="431" t="str">
        <f>IFERROR(IF(ISNUMBER(D444),HLOOKUP(Tools!$BE$2,Tools!$BE$2:$BE$27,MOD(ROW()-2,Max_WL_count)+2,FALSE)*WLS,""),"")</f>
        <v/>
      </c>
      <c r="I444" s="427" t="str">
        <f t="shared" si="41"/>
        <v/>
      </c>
      <c r="J444" s="430" t="str">
        <f t="shared" si="37"/>
        <v/>
      </c>
      <c r="K444" s="433" t="str">
        <f>IFERROR(-LBP/2+HLOOKUP(Stn_WL,Tools!$AD$2:$AD$27,N444+2,FALSE)*STN_GAP,"")</f>
        <v/>
      </c>
      <c r="L444" s="433" t="str">
        <f>IFERROR(IF(AND(ISNUMBER(K444),O444=0),0,VLOOKUP(HLOOKUP(Stn_WL,Tools!$AD$2:$AD$27,N444+2,FALSE),Tools!$AD$3:$BC$27,O444+1,FALSE)),"")</f>
        <v/>
      </c>
      <c r="M444" s="433" t="str">
        <f>IFERROR(IF(ISNUMBER(L444),IF(O444=0,IFERROR(HLOOKUP(Tools!$BD$127,Tools!$BD$127:$BD$152,N444+2,FALSE)*1,0),HLOOKUP(Tools!$BE$2,Tools!$BE$2:$BE$27,O444+1,FALSE)*WLS),""),"")</f>
        <v/>
      </c>
      <c r="N444">
        <f t="shared" si="38"/>
        <v>34</v>
      </c>
      <c r="O444">
        <f t="shared" si="39"/>
        <v>0</v>
      </c>
    </row>
    <row r="445" spans="1:15" x14ac:dyDescent="0.25">
      <c r="A445" s="427" t="str">
        <f t="shared" si="40"/>
        <v/>
      </c>
      <c r="B445" s="430" t="str">
        <f t="shared" si="36"/>
        <v/>
      </c>
      <c r="C445" s="433" t="str">
        <f>IFERROR(-LBP/2+HLOOKUP(Stn_WL,Tools!$AD$2:$AD$27,QUOTIENT(ROW()-2,Max_WL_count)+2,FALSE)*STN_GAP,"")</f>
        <v/>
      </c>
      <c r="D445" s="433" t="str">
        <f>IFERROR(VLOOKUP(HLOOKUP(Stn_WL,Tools!$AD$2:$AD$27,QUOTIENT(ROW()-2,Max_WL_count)+2,FALSE),Tools!$AD$3:$BC$27,MOD(ROW()-2,Max_WL_count)+2,FALSE),"")</f>
        <v/>
      </c>
      <c r="E445" s="431" t="str">
        <f>IFERROR(IF(ISNUMBER(D445),HLOOKUP(Tools!$BE$2,Tools!$BE$2:$BE$27,MOD(ROW()-2,Max_WL_count)+2,FALSE)*WLS,""),"")</f>
        <v/>
      </c>
      <c r="I445" s="427" t="str">
        <f t="shared" si="41"/>
        <v/>
      </c>
      <c r="J445" s="430" t="str">
        <f t="shared" si="37"/>
        <v/>
      </c>
      <c r="K445" s="433" t="str">
        <f>IFERROR(-LBP/2+HLOOKUP(Stn_WL,Tools!$AD$2:$AD$27,N445+2,FALSE)*STN_GAP,"")</f>
        <v/>
      </c>
      <c r="L445" s="433" t="str">
        <f>IFERROR(IF(AND(ISNUMBER(K445),O445=0),0,VLOOKUP(HLOOKUP(Stn_WL,Tools!$AD$2:$AD$27,N445+2,FALSE),Tools!$AD$3:$BC$27,O445+1,FALSE)),"")</f>
        <v/>
      </c>
      <c r="M445" s="433" t="str">
        <f>IFERROR(IF(ISNUMBER(L445),IF(O445=0,IFERROR(HLOOKUP(Tools!$BD$127,Tools!$BD$127:$BD$152,N445+2,FALSE)*1,0),HLOOKUP(Tools!$BE$2,Tools!$BE$2:$BE$27,O445+1,FALSE)*WLS),""),"")</f>
        <v/>
      </c>
      <c r="N445">
        <f t="shared" si="38"/>
        <v>34</v>
      </c>
      <c r="O445">
        <f t="shared" si="39"/>
        <v>1</v>
      </c>
    </row>
    <row r="446" spans="1:15" x14ac:dyDescent="0.25">
      <c r="A446" s="427" t="str">
        <f t="shared" si="40"/>
        <v/>
      </c>
      <c r="B446" s="430" t="str">
        <f t="shared" si="36"/>
        <v/>
      </c>
      <c r="C446" s="433" t="str">
        <f>IFERROR(-LBP/2+HLOOKUP(Stn_WL,Tools!$AD$2:$AD$27,QUOTIENT(ROW()-2,Max_WL_count)+2,FALSE)*STN_GAP,"")</f>
        <v/>
      </c>
      <c r="D446" s="433" t="str">
        <f>IFERROR(VLOOKUP(HLOOKUP(Stn_WL,Tools!$AD$2:$AD$27,QUOTIENT(ROW()-2,Max_WL_count)+2,FALSE),Tools!$AD$3:$BC$27,MOD(ROW()-2,Max_WL_count)+2,FALSE),"")</f>
        <v/>
      </c>
      <c r="E446" s="431" t="str">
        <f>IFERROR(IF(ISNUMBER(D446),HLOOKUP(Tools!$BE$2,Tools!$BE$2:$BE$27,MOD(ROW()-2,Max_WL_count)+2,FALSE)*WLS,""),"")</f>
        <v/>
      </c>
      <c r="I446" s="427" t="str">
        <f t="shared" si="41"/>
        <v/>
      </c>
      <c r="J446" s="430" t="str">
        <f t="shared" si="37"/>
        <v/>
      </c>
      <c r="K446" s="433" t="str">
        <f>IFERROR(-LBP/2+HLOOKUP(Stn_WL,Tools!$AD$2:$AD$27,N446+2,FALSE)*STN_GAP,"")</f>
        <v/>
      </c>
      <c r="L446" s="433" t="str">
        <f>IFERROR(IF(AND(ISNUMBER(K446),O446=0),0,VLOOKUP(HLOOKUP(Stn_WL,Tools!$AD$2:$AD$27,N446+2,FALSE),Tools!$AD$3:$BC$27,O446+1,FALSE)),"")</f>
        <v/>
      </c>
      <c r="M446" s="433" t="str">
        <f>IFERROR(IF(ISNUMBER(L446),IF(O446=0,IFERROR(HLOOKUP(Tools!$BD$127,Tools!$BD$127:$BD$152,N446+2,FALSE)*1,0),HLOOKUP(Tools!$BE$2,Tools!$BE$2:$BE$27,O446+1,FALSE)*WLS),""),"")</f>
        <v/>
      </c>
      <c r="N446">
        <f t="shared" si="38"/>
        <v>34</v>
      </c>
      <c r="O446">
        <f t="shared" si="39"/>
        <v>2</v>
      </c>
    </row>
    <row r="447" spans="1:15" x14ac:dyDescent="0.25">
      <c r="A447" s="427" t="str">
        <f t="shared" si="40"/>
        <v/>
      </c>
      <c r="B447" s="430" t="str">
        <f t="shared" si="36"/>
        <v/>
      </c>
      <c r="C447" s="433" t="str">
        <f>IFERROR(-LBP/2+HLOOKUP(Stn_WL,Tools!$AD$2:$AD$27,QUOTIENT(ROW()-2,Max_WL_count)+2,FALSE)*STN_GAP,"")</f>
        <v/>
      </c>
      <c r="D447" s="433" t="str">
        <f>IFERROR(VLOOKUP(HLOOKUP(Stn_WL,Tools!$AD$2:$AD$27,QUOTIENT(ROW()-2,Max_WL_count)+2,FALSE),Tools!$AD$3:$BC$27,MOD(ROW()-2,Max_WL_count)+2,FALSE),"")</f>
        <v/>
      </c>
      <c r="E447" s="431" t="str">
        <f>IFERROR(IF(ISNUMBER(D447),HLOOKUP(Tools!$BE$2,Tools!$BE$2:$BE$27,MOD(ROW()-2,Max_WL_count)+2,FALSE)*WLS,""),"")</f>
        <v/>
      </c>
      <c r="I447" s="427" t="str">
        <f t="shared" si="41"/>
        <v/>
      </c>
      <c r="J447" s="430" t="str">
        <f t="shared" si="37"/>
        <v/>
      </c>
      <c r="K447" s="433" t="str">
        <f>IFERROR(-LBP/2+HLOOKUP(Stn_WL,Tools!$AD$2:$AD$27,N447+2,FALSE)*STN_GAP,"")</f>
        <v/>
      </c>
      <c r="L447" s="433" t="str">
        <f>IFERROR(IF(AND(ISNUMBER(K447),O447=0),0,VLOOKUP(HLOOKUP(Stn_WL,Tools!$AD$2:$AD$27,N447+2,FALSE),Tools!$AD$3:$BC$27,O447+1,FALSE)),"")</f>
        <v/>
      </c>
      <c r="M447" s="433" t="str">
        <f>IFERROR(IF(ISNUMBER(L447),IF(O447=0,IFERROR(HLOOKUP(Tools!$BD$127,Tools!$BD$127:$BD$152,N447+2,FALSE)*1,0),HLOOKUP(Tools!$BE$2,Tools!$BE$2:$BE$27,O447+1,FALSE)*WLS),""),"")</f>
        <v/>
      </c>
      <c r="N447">
        <f t="shared" si="38"/>
        <v>34</v>
      </c>
      <c r="O447">
        <f t="shared" si="39"/>
        <v>3</v>
      </c>
    </row>
    <row r="448" spans="1:15" x14ac:dyDescent="0.25">
      <c r="A448" s="427" t="str">
        <f t="shared" si="40"/>
        <v/>
      </c>
      <c r="B448" s="430" t="str">
        <f t="shared" si="36"/>
        <v/>
      </c>
      <c r="C448" s="433" t="str">
        <f>IFERROR(-LBP/2+HLOOKUP(Stn_WL,Tools!$AD$2:$AD$27,QUOTIENT(ROW()-2,Max_WL_count)+2,FALSE)*STN_GAP,"")</f>
        <v/>
      </c>
      <c r="D448" s="433" t="str">
        <f>IFERROR(VLOOKUP(HLOOKUP(Stn_WL,Tools!$AD$2:$AD$27,QUOTIENT(ROW()-2,Max_WL_count)+2,FALSE),Tools!$AD$3:$BC$27,MOD(ROW()-2,Max_WL_count)+2,FALSE),"")</f>
        <v/>
      </c>
      <c r="E448" s="431" t="str">
        <f>IFERROR(IF(ISNUMBER(D448),HLOOKUP(Tools!$BE$2,Tools!$BE$2:$BE$27,MOD(ROW()-2,Max_WL_count)+2,FALSE)*WLS,""),"")</f>
        <v/>
      </c>
      <c r="I448" s="427" t="str">
        <f t="shared" si="41"/>
        <v/>
      </c>
      <c r="J448" s="430" t="str">
        <f t="shared" si="37"/>
        <v/>
      </c>
      <c r="K448" s="433" t="str">
        <f>IFERROR(-LBP/2+HLOOKUP(Stn_WL,Tools!$AD$2:$AD$27,N448+2,FALSE)*STN_GAP,"")</f>
        <v/>
      </c>
      <c r="L448" s="433" t="str">
        <f>IFERROR(IF(AND(ISNUMBER(K448),O448=0),0,VLOOKUP(HLOOKUP(Stn_WL,Tools!$AD$2:$AD$27,N448+2,FALSE),Tools!$AD$3:$BC$27,O448+1,FALSE)),"")</f>
        <v/>
      </c>
      <c r="M448" s="433" t="str">
        <f>IFERROR(IF(ISNUMBER(L448),IF(O448=0,IFERROR(HLOOKUP(Tools!$BD$127,Tools!$BD$127:$BD$152,N448+2,FALSE)*1,0),HLOOKUP(Tools!$BE$2,Tools!$BE$2:$BE$27,O448+1,FALSE)*WLS),""),"")</f>
        <v/>
      </c>
      <c r="N448">
        <f t="shared" si="38"/>
        <v>34</v>
      </c>
      <c r="O448">
        <f t="shared" si="39"/>
        <v>4</v>
      </c>
    </row>
    <row r="449" spans="1:15" x14ac:dyDescent="0.25">
      <c r="A449" s="427" t="str">
        <f t="shared" si="40"/>
        <v/>
      </c>
      <c r="B449" s="430" t="str">
        <f t="shared" si="36"/>
        <v/>
      </c>
      <c r="C449" s="433" t="str">
        <f>IFERROR(-LBP/2+HLOOKUP(Stn_WL,Tools!$AD$2:$AD$27,QUOTIENT(ROW()-2,Max_WL_count)+2,FALSE)*STN_GAP,"")</f>
        <v/>
      </c>
      <c r="D449" s="433" t="str">
        <f>IFERROR(VLOOKUP(HLOOKUP(Stn_WL,Tools!$AD$2:$AD$27,QUOTIENT(ROW()-2,Max_WL_count)+2,FALSE),Tools!$AD$3:$BC$27,MOD(ROW()-2,Max_WL_count)+2,FALSE),"")</f>
        <v/>
      </c>
      <c r="E449" s="431" t="str">
        <f>IFERROR(IF(ISNUMBER(D449),HLOOKUP(Tools!$BE$2,Tools!$BE$2:$BE$27,MOD(ROW()-2,Max_WL_count)+2,FALSE)*WLS,""),"")</f>
        <v/>
      </c>
      <c r="I449" s="427" t="str">
        <f t="shared" si="41"/>
        <v/>
      </c>
      <c r="J449" s="430" t="str">
        <f t="shared" si="37"/>
        <v/>
      </c>
      <c r="K449" s="433" t="str">
        <f>IFERROR(-LBP/2+HLOOKUP(Stn_WL,Tools!$AD$2:$AD$27,N449+2,FALSE)*STN_GAP,"")</f>
        <v/>
      </c>
      <c r="L449" s="433" t="str">
        <f>IFERROR(IF(AND(ISNUMBER(K449),O449=0),0,VLOOKUP(HLOOKUP(Stn_WL,Tools!$AD$2:$AD$27,N449+2,FALSE),Tools!$AD$3:$BC$27,O449+1,FALSE)),"")</f>
        <v/>
      </c>
      <c r="M449" s="433" t="str">
        <f>IFERROR(IF(ISNUMBER(L449),IF(O449=0,IFERROR(HLOOKUP(Tools!$BD$127,Tools!$BD$127:$BD$152,N449+2,FALSE)*1,0),HLOOKUP(Tools!$BE$2,Tools!$BE$2:$BE$27,O449+1,FALSE)*WLS),""),"")</f>
        <v/>
      </c>
      <c r="N449">
        <f t="shared" si="38"/>
        <v>34</v>
      </c>
      <c r="O449">
        <f t="shared" si="39"/>
        <v>5</v>
      </c>
    </row>
    <row r="450" spans="1:15" x14ac:dyDescent="0.25">
      <c r="A450" s="427" t="str">
        <f t="shared" si="40"/>
        <v/>
      </c>
      <c r="B450" s="430" t="str">
        <f t="shared" ref="B450:B513" si="42">IFERROR(IF(ISNUMBER(D450),QUOTIENT(ROW()-2,Max_WL_count)+1,""),"")</f>
        <v/>
      </c>
      <c r="C450" s="433" t="str">
        <f>IFERROR(-LBP/2+HLOOKUP(Stn_WL,Tools!$AD$2:$AD$27,QUOTIENT(ROW()-2,Max_WL_count)+2,FALSE)*STN_GAP,"")</f>
        <v/>
      </c>
      <c r="D450" s="433" t="str">
        <f>IFERROR(VLOOKUP(HLOOKUP(Stn_WL,Tools!$AD$2:$AD$27,QUOTIENT(ROW()-2,Max_WL_count)+2,FALSE),Tools!$AD$3:$BC$27,MOD(ROW()-2,Max_WL_count)+2,FALSE),"")</f>
        <v/>
      </c>
      <c r="E450" s="431" t="str">
        <f>IFERROR(IF(ISNUMBER(D450),HLOOKUP(Tools!$BE$2,Tools!$BE$2:$BE$27,MOD(ROW()-2,Max_WL_count)+2,FALSE)*WLS,""),"")</f>
        <v/>
      </c>
      <c r="I450" s="427" t="str">
        <f t="shared" si="41"/>
        <v/>
      </c>
      <c r="J450" s="430" t="str">
        <f t="shared" ref="J450:J513" si="43">IFERROR(IF(ISNUMBER(L450),QUOTIENT(ROW()-2,Max_WL_count+1)+1,""),"")</f>
        <v/>
      </c>
      <c r="K450" s="433" t="str">
        <f>IFERROR(-LBP/2+HLOOKUP(Stn_WL,Tools!$AD$2:$AD$27,N450+2,FALSE)*STN_GAP,"")</f>
        <v/>
      </c>
      <c r="L450" s="433" t="str">
        <f>IFERROR(IF(AND(ISNUMBER(K450),O450=0),0,VLOOKUP(HLOOKUP(Stn_WL,Tools!$AD$2:$AD$27,N450+2,FALSE),Tools!$AD$3:$BC$27,O450+1,FALSE)),"")</f>
        <v/>
      </c>
      <c r="M450" s="433" t="str">
        <f>IFERROR(IF(ISNUMBER(L450),IF(O450=0,IFERROR(HLOOKUP(Tools!$BD$127,Tools!$BD$127:$BD$152,N450+2,FALSE)*1,0),HLOOKUP(Tools!$BE$2,Tools!$BE$2:$BE$27,O450+1,FALSE)*WLS),""),"")</f>
        <v/>
      </c>
      <c r="N450">
        <f t="shared" ref="N450:N513" si="44">QUOTIENT(ROW()-2,Max_WL_count+1)</f>
        <v>34</v>
      </c>
      <c r="O450">
        <f t="shared" ref="O450:O513" si="45">MOD(ROW()-2,Max_WL_count+1)</f>
        <v>6</v>
      </c>
    </row>
    <row r="451" spans="1:15" x14ac:dyDescent="0.25">
      <c r="A451" s="427" t="str">
        <f t="shared" ref="A451:A514" si="46">IF(ISNUMBER(D451),ROW()-1,"")</f>
        <v/>
      </c>
      <c r="B451" s="430" t="str">
        <f t="shared" si="42"/>
        <v/>
      </c>
      <c r="C451" s="433" t="str">
        <f>IFERROR(-LBP/2+HLOOKUP(Stn_WL,Tools!$AD$2:$AD$27,QUOTIENT(ROW()-2,Max_WL_count)+2,FALSE)*STN_GAP,"")</f>
        <v/>
      </c>
      <c r="D451" s="433" t="str">
        <f>IFERROR(VLOOKUP(HLOOKUP(Stn_WL,Tools!$AD$2:$AD$27,QUOTIENT(ROW()-2,Max_WL_count)+2,FALSE),Tools!$AD$3:$BC$27,MOD(ROW()-2,Max_WL_count)+2,FALSE),"")</f>
        <v/>
      </c>
      <c r="E451" s="431" t="str">
        <f>IFERROR(IF(ISNUMBER(D451),HLOOKUP(Tools!$BE$2,Tools!$BE$2:$BE$27,MOD(ROW()-2,Max_WL_count)+2,FALSE)*WLS,""),"")</f>
        <v/>
      </c>
      <c r="I451" s="427" t="str">
        <f t="shared" ref="I451:I514" si="47">IF(ISNUMBER(L451),ROW()-1,"")</f>
        <v/>
      </c>
      <c r="J451" s="430" t="str">
        <f t="shared" si="43"/>
        <v/>
      </c>
      <c r="K451" s="433" t="str">
        <f>IFERROR(-LBP/2+HLOOKUP(Stn_WL,Tools!$AD$2:$AD$27,N451+2,FALSE)*STN_GAP,"")</f>
        <v/>
      </c>
      <c r="L451" s="433" t="str">
        <f>IFERROR(IF(AND(ISNUMBER(K451),O451=0),0,VLOOKUP(HLOOKUP(Stn_WL,Tools!$AD$2:$AD$27,N451+2,FALSE),Tools!$AD$3:$BC$27,O451+1,FALSE)),"")</f>
        <v/>
      </c>
      <c r="M451" s="433" t="str">
        <f>IFERROR(IF(ISNUMBER(L451),IF(O451=0,IFERROR(HLOOKUP(Tools!$BD$127,Tools!$BD$127:$BD$152,N451+2,FALSE)*1,0),HLOOKUP(Tools!$BE$2,Tools!$BE$2:$BE$27,O451+1,FALSE)*WLS),""),"")</f>
        <v/>
      </c>
      <c r="N451">
        <f t="shared" si="44"/>
        <v>34</v>
      </c>
      <c r="O451">
        <f t="shared" si="45"/>
        <v>7</v>
      </c>
    </row>
    <row r="452" spans="1:15" x14ac:dyDescent="0.25">
      <c r="A452" s="427" t="str">
        <f t="shared" si="46"/>
        <v/>
      </c>
      <c r="B452" s="430" t="str">
        <f t="shared" si="42"/>
        <v/>
      </c>
      <c r="C452" s="433" t="str">
        <f>IFERROR(-LBP/2+HLOOKUP(Stn_WL,Tools!$AD$2:$AD$27,QUOTIENT(ROW()-2,Max_WL_count)+2,FALSE)*STN_GAP,"")</f>
        <v/>
      </c>
      <c r="D452" s="433" t="str">
        <f>IFERROR(VLOOKUP(HLOOKUP(Stn_WL,Tools!$AD$2:$AD$27,QUOTIENT(ROW()-2,Max_WL_count)+2,FALSE),Tools!$AD$3:$BC$27,MOD(ROW()-2,Max_WL_count)+2,FALSE),"")</f>
        <v/>
      </c>
      <c r="E452" s="431" t="str">
        <f>IFERROR(IF(ISNUMBER(D452),HLOOKUP(Tools!$BE$2,Tools!$BE$2:$BE$27,MOD(ROW()-2,Max_WL_count)+2,FALSE)*WLS,""),"")</f>
        <v/>
      </c>
      <c r="I452" s="427" t="str">
        <f t="shared" si="47"/>
        <v/>
      </c>
      <c r="J452" s="430" t="str">
        <f t="shared" si="43"/>
        <v/>
      </c>
      <c r="K452" s="433" t="str">
        <f>IFERROR(-LBP/2+HLOOKUP(Stn_WL,Tools!$AD$2:$AD$27,N452+2,FALSE)*STN_GAP,"")</f>
        <v/>
      </c>
      <c r="L452" s="433" t="str">
        <f>IFERROR(IF(AND(ISNUMBER(K452),O452=0),0,VLOOKUP(HLOOKUP(Stn_WL,Tools!$AD$2:$AD$27,N452+2,FALSE),Tools!$AD$3:$BC$27,O452+1,FALSE)),"")</f>
        <v/>
      </c>
      <c r="M452" s="433" t="str">
        <f>IFERROR(IF(ISNUMBER(L452),IF(O452=0,IFERROR(HLOOKUP(Tools!$BD$127,Tools!$BD$127:$BD$152,N452+2,FALSE)*1,0),HLOOKUP(Tools!$BE$2,Tools!$BE$2:$BE$27,O452+1,FALSE)*WLS),""),"")</f>
        <v/>
      </c>
      <c r="N452">
        <f t="shared" si="44"/>
        <v>34</v>
      </c>
      <c r="O452">
        <f t="shared" si="45"/>
        <v>8</v>
      </c>
    </row>
    <row r="453" spans="1:15" x14ac:dyDescent="0.25">
      <c r="A453" s="427" t="str">
        <f t="shared" si="46"/>
        <v/>
      </c>
      <c r="B453" s="430" t="str">
        <f t="shared" si="42"/>
        <v/>
      </c>
      <c r="C453" s="433" t="str">
        <f>IFERROR(-LBP/2+HLOOKUP(Stn_WL,Tools!$AD$2:$AD$27,QUOTIENT(ROW()-2,Max_WL_count)+2,FALSE)*STN_GAP,"")</f>
        <v/>
      </c>
      <c r="D453" s="433" t="str">
        <f>IFERROR(VLOOKUP(HLOOKUP(Stn_WL,Tools!$AD$2:$AD$27,QUOTIENT(ROW()-2,Max_WL_count)+2,FALSE),Tools!$AD$3:$BC$27,MOD(ROW()-2,Max_WL_count)+2,FALSE),"")</f>
        <v/>
      </c>
      <c r="E453" s="431" t="str">
        <f>IFERROR(IF(ISNUMBER(D453),HLOOKUP(Tools!$BE$2,Tools!$BE$2:$BE$27,MOD(ROW()-2,Max_WL_count)+2,FALSE)*WLS,""),"")</f>
        <v/>
      </c>
      <c r="I453" s="427" t="str">
        <f t="shared" si="47"/>
        <v/>
      </c>
      <c r="J453" s="430" t="str">
        <f t="shared" si="43"/>
        <v/>
      </c>
      <c r="K453" s="433" t="str">
        <f>IFERROR(-LBP/2+HLOOKUP(Stn_WL,Tools!$AD$2:$AD$27,N453+2,FALSE)*STN_GAP,"")</f>
        <v/>
      </c>
      <c r="L453" s="433" t="str">
        <f>IFERROR(IF(AND(ISNUMBER(K453),O453=0),0,VLOOKUP(HLOOKUP(Stn_WL,Tools!$AD$2:$AD$27,N453+2,FALSE),Tools!$AD$3:$BC$27,O453+1,FALSE)),"")</f>
        <v/>
      </c>
      <c r="M453" s="433" t="str">
        <f>IFERROR(IF(ISNUMBER(L453),IF(O453=0,IFERROR(HLOOKUP(Tools!$BD$127,Tools!$BD$127:$BD$152,N453+2,FALSE)*1,0),HLOOKUP(Tools!$BE$2,Tools!$BE$2:$BE$27,O453+1,FALSE)*WLS),""),"")</f>
        <v/>
      </c>
      <c r="N453">
        <f t="shared" si="44"/>
        <v>34</v>
      </c>
      <c r="O453">
        <f t="shared" si="45"/>
        <v>9</v>
      </c>
    </row>
    <row r="454" spans="1:15" x14ac:dyDescent="0.25">
      <c r="A454" s="427" t="str">
        <f t="shared" si="46"/>
        <v/>
      </c>
      <c r="B454" s="430" t="str">
        <f t="shared" si="42"/>
        <v/>
      </c>
      <c r="C454" s="433" t="str">
        <f>IFERROR(-LBP/2+HLOOKUP(Stn_WL,Tools!$AD$2:$AD$27,QUOTIENT(ROW()-2,Max_WL_count)+2,FALSE)*STN_GAP,"")</f>
        <v/>
      </c>
      <c r="D454" s="433" t="str">
        <f>IFERROR(VLOOKUP(HLOOKUP(Stn_WL,Tools!$AD$2:$AD$27,QUOTIENT(ROW()-2,Max_WL_count)+2,FALSE),Tools!$AD$3:$BC$27,MOD(ROW()-2,Max_WL_count)+2,FALSE),"")</f>
        <v/>
      </c>
      <c r="E454" s="431" t="str">
        <f>IFERROR(IF(ISNUMBER(D454),HLOOKUP(Tools!$BE$2,Tools!$BE$2:$BE$27,MOD(ROW()-2,Max_WL_count)+2,FALSE)*WLS,""),"")</f>
        <v/>
      </c>
      <c r="I454" s="427" t="str">
        <f t="shared" si="47"/>
        <v/>
      </c>
      <c r="J454" s="430" t="str">
        <f t="shared" si="43"/>
        <v/>
      </c>
      <c r="K454" s="433" t="str">
        <f>IFERROR(-LBP/2+HLOOKUP(Stn_WL,Tools!$AD$2:$AD$27,N454+2,FALSE)*STN_GAP,"")</f>
        <v/>
      </c>
      <c r="L454" s="433" t="str">
        <f>IFERROR(IF(AND(ISNUMBER(K454),O454=0),0,VLOOKUP(HLOOKUP(Stn_WL,Tools!$AD$2:$AD$27,N454+2,FALSE),Tools!$AD$3:$BC$27,O454+1,FALSE)),"")</f>
        <v/>
      </c>
      <c r="M454" s="433" t="str">
        <f>IFERROR(IF(ISNUMBER(L454),IF(O454=0,IFERROR(HLOOKUP(Tools!$BD$127,Tools!$BD$127:$BD$152,N454+2,FALSE)*1,0),HLOOKUP(Tools!$BE$2,Tools!$BE$2:$BE$27,O454+1,FALSE)*WLS),""),"")</f>
        <v/>
      </c>
      <c r="N454">
        <f t="shared" si="44"/>
        <v>34</v>
      </c>
      <c r="O454">
        <f t="shared" si="45"/>
        <v>10</v>
      </c>
    </row>
    <row r="455" spans="1:15" x14ac:dyDescent="0.25">
      <c r="A455" s="427" t="str">
        <f t="shared" si="46"/>
        <v/>
      </c>
      <c r="B455" s="430" t="str">
        <f t="shared" si="42"/>
        <v/>
      </c>
      <c r="C455" s="433" t="str">
        <f>IFERROR(-LBP/2+HLOOKUP(Stn_WL,Tools!$AD$2:$AD$27,QUOTIENT(ROW()-2,Max_WL_count)+2,FALSE)*STN_GAP,"")</f>
        <v/>
      </c>
      <c r="D455" s="433" t="str">
        <f>IFERROR(VLOOKUP(HLOOKUP(Stn_WL,Tools!$AD$2:$AD$27,QUOTIENT(ROW()-2,Max_WL_count)+2,FALSE),Tools!$AD$3:$BC$27,MOD(ROW()-2,Max_WL_count)+2,FALSE),"")</f>
        <v/>
      </c>
      <c r="E455" s="431" t="str">
        <f>IFERROR(IF(ISNUMBER(D455),HLOOKUP(Tools!$BE$2,Tools!$BE$2:$BE$27,MOD(ROW()-2,Max_WL_count)+2,FALSE)*WLS,""),"")</f>
        <v/>
      </c>
      <c r="I455" s="427" t="str">
        <f t="shared" si="47"/>
        <v/>
      </c>
      <c r="J455" s="430" t="str">
        <f t="shared" si="43"/>
        <v/>
      </c>
      <c r="K455" s="433" t="str">
        <f>IFERROR(-LBP/2+HLOOKUP(Stn_WL,Tools!$AD$2:$AD$27,N455+2,FALSE)*STN_GAP,"")</f>
        <v/>
      </c>
      <c r="L455" s="433" t="str">
        <f>IFERROR(IF(AND(ISNUMBER(K455),O455=0),0,VLOOKUP(HLOOKUP(Stn_WL,Tools!$AD$2:$AD$27,N455+2,FALSE),Tools!$AD$3:$BC$27,O455+1,FALSE)),"")</f>
        <v/>
      </c>
      <c r="M455" s="433" t="str">
        <f>IFERROR(IF(ISNUMBER(L455),IF(O455=0,IFERROR(HLOOKUP(Tools!$BD$127,Tools!$BD$127:$BD$152,N455+2,FALSE)*1,0),HLOOKUP(Tools!$BE$2,Tools!$BE$2:$BE$27,O455+1,FALSE)*WLS),""),"")</f>
        <v/>
      </c>
      <c r="N455">
        <f t="shared" si="44"/>
        <v>34</v>
      </c>
      <c r="O455">
        <f t="shared" si="45"/>
        <v>11</v>
      </c>
    </row>
    <row r="456" spans="1:15" x14ac:dyDescent="0.25">
      <c r="A456" s="427" t="str">
        <f t="shared" si="46"/>
        <v/>
      </c>
      <c r="B456" s="430" t="str">
        <f t="shared" si="42"/>
        <v/>
      </c>
      <c r="C456" s="433" t="str">
        <f>IFERROR(-LBP/2+HLOOKUP(Stn_WL,Tools!$AD$2:$AD$27,QUOTIENT(ROW()-2,Max_WL_count)+2,FALSE)*STN_GAP,"")</f>
        <v/>
      </c>
      <c r="D456" s="433" t="str">
        <f>IFERROR(VLOOKUP(HLOOKUP(Stn_WL,Tools!$AD$2:$AD$27,QUOTIENT(ROW()-2,Max_WL_count)+2,FALSE),Tools!$AD$3:$BC$27,MOD(ROW()-2,Max_WL_count)+2,FALSE),"")</f>
        <v/>
      </c>
      <c r="E456" s="431" t="str">
        <f>IFERROR(IF(ISNUMBER(D456),HLOOKUP(Tools!$BE$2,Tools!$BE$2:$BE$27,MOD(ROW()-2,Max_WL_count)+2,FALSE)*WLS,""),"")</f>
        <v/>
      </c>
      <c r="I456" s="427" t="str">
        <f t="shared" si="47"/>
        <v/>
      </c>
      <c r="J456" s="430" t="str">
        <f t="shared" si="43"/>
        <v/>
      </c>
      <c r="K456" s="433" t="str">
        <f>IFERROR(-LBP/2+HLOOKUP(Stn_WL,Tools!$AD$2:$AD$27,N456+2,FALSE)*STN_GAP,"")</f>
        <v/>
      </c>
      <c r="L456" s="433" t="str">
        <f>IFERROR(IF(AND(ISNUMBER(K456),O456=0),0,VLOOKUP(HLOOKUP(Stn_WL,Tools!$AD$2:$AD$27,N456+2,FALSE),Tools!$AD$3:$BC$27,O456+1,FALSE)),"")</f>
        <v/>
      </c>
      <c r="M456" s="433" t="str">
        <f>IFERROR(IF(ISNUMBER(L456),IF(O456=0,IFERROR(HLOOKUP(Tools!$BD$127,Tools!$BD$127:$BD$152,N456+2,FALSE)*1,0),HLOOKUP(Tools!$BE$2,Tools!$BE$2:$BE$27,O456+1,FALSE)*WLS),""),"")</f>
        <v/>
      </c>
      <c r="N456">
        <f t="shared" si="44"/>
        <v>34</v>
      </c>
      <c r="O456">
        <f t="shared" si="45"/>
        <v>12</v>
      </c>
    </row>
    <row r="457" spans="1:15" x14ac:dyDescent="0.25">
      <c r="A457" s="427" t="str">
        <f t="shared" si="46"/>
        <v/>
      </c>
      <c r="B457" s="430" t="str">
        <f t="shared" si="42"/>
        <v/>
      </c>
      <c r="C457" s="433" t="str">
        <f>IFERROR(-LBP/2+HLOOKUP(Stn_WL,Tools!$AD$2:$AD$27,QUOTIENT(ROW()-2,Max_WL_count)+2,FALSE)*STN_GAP,"")</f>
        <v/>
      </c>
      <c r="D457" s="433" t="str">
        <f>IFERROR(VLOOKUP(HLOOKUP(Stn_WL,Tools!$AD$2:$AD$27,QUOTIENT(ROW()-2,Max_WL_count)+2,FALSE),Tools!$AD$3:$BC$27,MOD(ROW()-2,Max_WL_count)+2,FALSE),"")</f>
        <v/>
      </c>
      <c r="E457" s="431" t="str">
        <f>IFERROR(IF(ISNUMBER(D457),HLOOKUP(Tools!$BE$2,Tools!$BE$2:$BE$27,MOD(ROW()-2,Max_WL_count)+2,FALSE)*WLS,""),"")</f>
        <v/>
      </c>
      <c r="I457" s="427" t="str">
        <f t="shared" si="47"/>
        <v/>
      </c>
      <c r="J457" s="430" t="str">
        <f t="shared" si="43"/>
        <v/>
      </c>
      <c r="K457" s="433" t="str">
        <f>IFERROR(-LBP/2+HLOOKUP(Stn_WL,Tools!$AD$2:$AD$27,N457+2,FALSE)*STN_GAP,"")</f>
        <v/>
      </c>
      <c r="L457" s="433" t="str">
        <f>IFERROR(IF(AND(ISNUMBER(K457),O457=0),0,VLOOKUP(HLOOKUP(Stn_WL,Tools!$AD$2:$AD$27,N457+2,FALSE),Tools!$AD$3:$BC$27,O457+1,FALSE)),"")</f>
        <v/>
      </c>
      <c r="M457" s="433" t="str">
        <f>IFERROR(IF(ISNUMBER(L457),IF(O457=0,IFERROR(HLOOKUP(Tools!$BD$127,Tools!$BD$127:$BD$152,N457+2,FALSE)*1,0),HLOOKUP(Tools!$BE$2,Tools!$BE$2:$BE$27,O457+1,FALSE)*WLS),""),"")</f>
        <v/>
      </c>
      <c r="N457">
        <f t="shared" si="44"/>
        <v>35</v>
      </c>
      <c r="O457">
        <f t="shared" si="45"/>
        <v>0</v>
      </c>
    </row>
    <row r="458" spans="1:15" x14ac:dyDescent="0.25">
      <c r="A458" s="427" t="str">
        <f t="shared" si="46"/>
        <v/>
      </c>
      <c r="B458" s="430" t="str">
        <f t="shared" si="42"/>
        <v/>
      </c>
      <c r="C458" s="433" t="str">
        <f>IFERROR(-LBP/2+HLOOKUP(Stn_WL,Tools!$AD$2:$AD$27,QUOTIENT(ROW()-2,Max_WL_count)+2,FALSE)*STN_GAP,"")</f>
        <v/>
      </c>
      <c r="D458" s="433" t="str">
        <f>IFERROR(VLOOKUP(HLOOKUP(Stn_WL,Tools!$AD$2:$AD$27,QUOTIENT(ROW()-2,Max_WL_count)+2,FALSE),Tools!$AD$3:$BC$27,MOD(ROW()-2,Max_WL_count)+2,FALSE),"")</f>
        <v/>
      </c>
      <c r="E458" s="431" t="str">
        <f>IFERROR(IF(ISNUMBER(D458),HLOOKUP(Tools!$BE$2,Tools!$BE$2:$BE$27,MOD(ROW()-2,Max_WL_count)+2,FALSE)*WLS,""),"")</f>
        <v/>
      </c>
      <c r="I458" s="427" t="str">
        <f t="shared" si="47"/>
        <v/>
      </c>
      <c r="J458" s="430" t="str">
        <f t="shared" si="43"/>
        <v/>
      </c>
      <c r="K458" s="433" t="str">
        <f>IFERROR(-LBP/2+HLOOKUP(Stn_WL,Tools!$AD$2:$AD$27,N458+2,FALSE)*STN_GAP,"")</f>
        <v/>
      </c>
      <c r="L458" s="433" t="str">
        <f>IFERROR(IF(AND(ISNUMBER(K458),O458=0),0,VLOOKUP(HLOOKUP(Stn_WL,Tools!$AD$2:$AD$27,N458+2,FALSE),Tools!$AD$3:$BC$27,O458+1,FALSE)),"")</f>
        <v/>
      </c>
      <c r="M458" s="433" t="str">
        <f>IFERROR(IF(ISNUMBER(L458),IF(O458=0,IFERROR(HLOOKUP(Tools!$BD$127,Tools!$BD$127:$BD$152,N458+2,FALSE)*1,0),HLOOKUP(Tools!$BE$2,Tools!$BE$2:$BE$27,O458+1,FALSE)*WLS),""),"")</f>
        <v/>
      </c>
      <c r="N458">
        <f t="shared" si="44"/>
        <v>35</v>
      </c>
      <c r="O458">
        <f t="shared" si="45"/>
        <v>1</v>
      </c>
    </row>
    <row r="459" spans="1:15" x14ac:dyDescent="0.25">
      <c r="A459" s="427" t="str">
        <f t="shared" si="46"/>
        <v/>
      </c>
      <c r="B459" s="430" t="str">
        <f t="shared" si="42"/>
        <v/>
      </c>
      <c r="C459" s="433" t="str">
        <f>IFERROR(-LBP/2+HLOOKUP(Stn_WL,Tools!$AD$2:$AD$27,QUOTIENT(ROW()-2,Max_WL_count)+2,FALSE)*STN_GAP,"")</f>
        <v/>
      </c>
      <c r="D459" s="433" t="str">
        <f>IFERROR(VLOOKUP(HLOOKUP(Stn_WL,Tools!$AD$2:$AD$27,QUOTIENT(ROW()-2,Max_WL_count)+2,FALSE),Tools!$AD$3:$BC$27,MOD(ROW()-2,Max_WL_count)+2,FALSE),"")</f>
        <v/>
      </c>
      <c r="E459" s="431" t="str">
        <f>IFERROR(IF(ISNUMBER(D459),HLOOKUP(Tools!$BE$2,Tools!$BE$2:$BE$27,MOD(ROW()-2,Max_WL_count)+2,FALSE)*WLS,""),"")</f>
        <v/>
      </c>
      <c r="I459" s="427" t="str">
        <f t="shared" si="47"/>
        <v/>
      </c>
      <c r="J459" s="430" t="str">
        <f t="shared" si="43"/>
        <v/>
      </c>
      <c r="K459" s="433" t="str">
        <f>IFERROR(-LBP/2+HLOOKUP(Stn_WL,Tools!$AD$2:$AD$27,N459+2,FALSE)*STN_GAP,"")</f>
        <v/>
      </c>
      <c r="L459" s="433" t="str">
        <f>IFERROR(IF(AND(ISNUMBER(K459),O459=0),0,VLOOKUP(HLOOKUP(Stn_WL,Tools!$AD$2:$AD$27,N459+2,FALSE),Tools!$AD$3:$BC$27,O459+1,FALSE)),"")</f>
        <v/>
      </c>
      <c r="M459" s="433" t="str">
        <f>IFERROR(IF(ISNUMBER(L459),IF(O459=0,IFERROR(HLOOKUP(Tools!$BD$127,Tools!$BD$127:$BD$152,N459+2,FALSE)*1,0),HLOOKUP(Tools!$BE$2,Tools!$BE$2:$BE$27,O459+1,FALSE)*WLS),""),"")</f>
        <v/>
      </c>
      <c r="N459">
        <f t="shared" si="44"/>
        <v>35</v>
      </c>
      <c r="O459">
        <f t="shared" si="45"/>
        <v>2</v>
      </c>
    </row>
    <row r="460" spans="1:15" x14ac:dyDescent="0.25">
      <c r="A460" s="427" t="str">
        <f t="shared" si="46"/>
        <v/>
      </c>
      <c r="B460" s="430" t="str">
        <f t="shared" si="42"/>
        <v/>
      </c>
      <c r="C460" s="433" t="str">
        <f>IFERROR(-LBP/2+HLOOKUP(Stn_WL,Tools!$AD$2:$AD$27,QUOTIENT(ROW()-2,Max_WL_count)+2,FALSE)*STN_GAP,"")</f>
        <v/>
      </c>
      <c r="D460" s="433" t="str">
        <f>IFERROR(VLOOKUP(HLOOKUP(Stn_WL,Tools!$AD$2:$AD$27,QUOTIENT(ROW()-2,Max_WL_count)+2,FALSE),Tools!$AD$3:$BC$27,MOD(ROW()-2,Max_WL_count)+2,FALSE),"")</f>
        <v/>
      </c>
      <c r="E460" s="431" t="str">
        <f>IFERROR(IF(ISNUMBER(D460),HLOOKUP(Tools!$BE$2,Tools!$BE$2:$BE$27,MOD(ROW()-2,Max_WL_count)+2,FALSE)*WLS,""),"")</f>
        <v/>
      </c>
      <c r="I460" s="427" t="str">
        <f t="shared" si="47"/>
        <v/>
      </c>
      <c r="J460" s="430" t="str">
        <f t="shared" si="43"/>
        <v/>
      </c>
      <c r="K460" s="433" t="str">
        <f>IFERROR(-LBP/2+HLOOKUP(Stn_WL,Tools!$AD$2:$AD$27,N460+2,FALSE)*STN_GAP,"")</f>
        <v/>
      </c>
      <c r="L460" s="433" t="str">
        <f>IFERROR(IF(AND(ISNUMBER(K460),O460=0),0,VLOOKUP(HLOOKUP(Stn_WL,Tools!$AD$2:$AD$27,N460+2,FALSE),Tools!$AD$3:$BC$27,O460+1,FALSE)),"")</f>
        <v/>
      </c>
      <c r="M460" s="433" t="str">
        <f>IFERROR(IF(ISNUMBER(L460),IF(O460=0,IFERROR(HLOOKUP(Tools!$BD$127,Tools!$BD$127:$BD$152,N460+2,FALSE)*1,0),HLOOKUP(Tools!$BE$2,Tools!$BE$2:$BE$27,O460+1,FALSE)*WLS),""),"")</f>
        <v/>
      </c>
      <c r="N460">
        <f t="shared" si="44"/>
        <v>35</v>
      </c>
      <c r="O460">
        <f t="shared" si="45"/>
        <v>3</v>
      </c>
    </row>
    <row r="461" spans="1:15" x14ac:dyDescent="0.25">
      <c r="A461" s="427" t="str">
        <f t="shared" si="46"/>
        <v/>
      </c>
      <c r="B461" s="430" t="str">
        <f t="shared" si="42"/>
        <v/>
      </c>
      <c r="C461" s="433" t="str">
        <f>IFERROR(-LBP/2+HLOOKUP(Stn_WL,Tools!$AD$2:$AD$27,QUOTIENT(ROW()-2,Max_WL_count)+2,FALSE)*STN_GAP,"")</f>
        <v/>
      </c>
      <c r="D461" s="433" t="str">
        <f>IFERROR(VLOOKUP(HLOOKUP(Stn_WL,Tools!$AD$2:$AD$27,QUOTIENT(ROW()-2,Max_WL_count)+2,FALSE),Tools!$AD$3:$BC$27,MOD(ROW()-2,Max_WL_count)+2,FALSE),"")</f>
        <v/>
      </c>
      <c r="E461" s="431" t="str">
        <f>IFERROR(IF(ISNUMBER(D461),HLOOKUP(Tools!$BE$2,Tools!$BE$2:$BE$27,MOD(ROW()-2,Max_WL_count)+2,FALSE)*WLS,""),"")</f>
        <v/>
      </c>
      <c r="I461" s="427" t="str">
        <f t="shared" si="47"/>
        <v/>
      </c>
      <c r="J461" s="430" t="str">
        <f t="shared" si="43"/>
        <v/>
      </c>
      <c r="K461" s="433" t="str">
        <f>IFERROR(-LBP/2+HLOOKUP(Stn_WL,Tools!$AD$2:$AD$27,N461+2,FALSE)*STN_GAP,"")</f>
        <v/>
      </c>
      <c r="L461" s="433" t="str">
        <f>IFERROR(IF(AND(ISNUMBER(K461),O461=0),0,VLOOKUP(HLOOKUP(Stn_WL,Tools!$AD$2:$AD$27,N461+2,FALSE),Tools!$AD$3:$BC$27,O461+1,FALSE)),"")</f>
        <v/>
      </c>
      <c r="M461" s="433" t="str">
        <f>IFERROR(IF(ISNUMBER(L461),IF(O461=0,IFERROR(HLOOKUP(Tools!$BD$127,Tools!$BD$127:$BD$152,N461+2,FALSE)*1,0),HLOOKUP(Tools!$BE$2,Tools!$BE$2:$BE$27,O461+1,FALSE)*WLS),""),"")</f>
        <v/>
      </c>
      <c r="N461">
        <f t="shared" si="44"/>
        <v>35</v>
      </c>
      <c r="O461">
        <f t="shared" si="45"/>
        <v>4</v>
      </c>
    </row>
    <row r="462" spans="1:15" x14ac:dyDescent="0.25">
      <c r="A462" s="427" t="str">
        <f t="shared" si="46"/>
        <v/>
      </c>
      <c r="B462" s="430" t="str">
        <f t="shared" si="42"/>
        <v/>
      </c>
      <c r="C462" s="433" t="str">
        <f>IFERROR(-LBP/2+HLOOKUP(Stn_WL,Tools!$AD$2:$AD$27,QUOTIENT(ROW()-2,Max_WL_count)+2,FALSE)*STN_GAP,"")</f>
        <v/>
      </c>
      <c r="D462" s="433" t="str">
        <f>IFERROR(VLOOKUP(HLOOKUP(Stn_WL,Tools!$AD$2:$AD$27,QUOTIENT(ROW()-2,Max_WL_count)+2,FALSE),Tools!$AD$3:$BC$27,MOD(ROW()-2,Max_WL_count)+2,FALSE),"")</f>
        <v/>
      </c>
      <c r="E462" s="431" t="str">
        <f>IFERROR(IF(ISNUMBER(D462),HLOOKUP(Tools!$BE$2,Tools!$BE$2:$BE$27,MOD(ROW()-2,Max_WL_count)+2,FALSE)*WLS,""),"")</f>
        <v/>
      </c>
      <c r="I462" s="427" t="str">
        <f t="shared" si="47"/>
        <v/>
      </c>
      <c r="J462" s="430" t="str">
        <f t="shared" si="43"/>
        <v/>
      </c>
      <c r="K462" s="433" t="str">
        <f>IFERROR(-LBP/2+HLOOKUP(Stn_WL,Tools!$AD$2:$AD$27,N462+2,FALSE)*STN_GAP,"")</f>
        <v/>
      </c>
      <c r="L462" s="433" t="str">
        <f>IFERROR(IF(AND(ISNUMBER(K462),O462=0),0,VLOOKUP(HLOOKUP(Stn_WL,Tools!$AD$2:$AD$27,N462+2,FALSE),Tools!$AD$3:$BC$27,O462+1,FALSE)),"")</f>
        <v/>
      </c>
      <c r="M462" s="433" t="str">
        <f>IFERROR(IF(ISNUMBER(L462),IF(O462=0,IFERROR(HLOOKUP(Tools!$BD$127,Tools!$BD$127:$BD$152,N462+2,FALSE)*1,0),HLOOKUP(Tools!$BE$2,Tools!$BE$2:$BE$27,O462+1,FALSE)*WLS),""),"")</f>
        <v/>
      </c>
      <c r="N462">
        <f t="shared" si="44"/>
        <v>35</v>
      </c>
      <c r="O462">
        <f t="shared" si="45"/>
        <v>5</v>
      </c>
    </row>
    <row r="463" spans="1:15" x14ac:dyDescent="0.25">
      <c r="A463" s="427" t="str">
        <f t="shared" si="46"/>
        <v/>
      </c>
      <c r="B463" s="430" t="str">
        <f t="shared" si="42"/>
        <v/>
      </c>
      <c r="C463" s="433" t="str">
        <f>IFERROR(-LBP/2+HLOOKUP(Stn_WL,Tools!$AD$2:$AD$27,QUOTIENT(ROW()-2,Max_WL_count)+2,FALSE)*STN_GAP,"")</f>
        <v/>
      </c>
      <c r="D463" s="433" t="str">
        <f>IFERROR(VLOOKUP(HLOOKUP(Stn_WL,Tools!$AD$2:$AD$27,QUOTIENT(ROW()-2,Max_WL_count)+2,FALSE),Tools!$AD$3:$BC$27,MOD(ROW()-2,Max_WL_count)+2,FALSE),"")</f>
        <v/>
      </c>
      <c r="E463" s="431" t="str">
        <f>IFERROR(IF(ISNUMBER(D463),HLOOKUP(Tools!$BE$2,Tools!$BE$2:$BE$27,MOD(ROW()-2,Max_WL_count)+2,FALSE)*WLS,""),"")</f>
        <v/>
      </c>
      <c r="I463" s="427" t="str">
        <f t="shared" si="47"/>
        <v/>
      </c>
      <c r="J463" s="430" t="str">
        <f t="shared" si="43"/>
        <v/>
      </c>
      <c r="K463" s="433" t="str">
        <f>IFERROR(-LBP/2+HLOOKUP(Stn_WL,Tools!$AD$2:$AD$27,N463+2,FALSE)*STN_GAP,"")</f>
        <v/>
      </c>
      <c r="L463" s="433" t="str">
        <f>IFERROR(IF(AND(ISNUMBER(K463),O463=0),0,VLOOKUP(HLOOKUP(Stn_WL,Tools!$AD$2:$AD$27,N463+2,FALSE),Tools!$AD$3:$BC$27,O463+1,FALSE)),"")</f>
        <v/>
      </c>
      <c r="M463" s="433" t="str">
        <f>IFERROR(IF(ISNUMBER(L463),IF(O463=0,IFERROR(HLOOKUP(Tools!$BD$127,Tools!$BD$127:$BD$152,N463+2,FALSE)*1,0),HLOOKUP(Tools!$BE$2,Tools!$BE$2:$BE$27,O463+1,FALSE)*WLS),""),"")</f>
        <v/>
      </c>
      <c r="N463">
        <f t="shared" si="44"/>
        <v>35</v>
      </c>
      <c r="O463">
        <f t="shared" si="45"/>
        <v>6</v>
      </c>
    </row>
    <row r="464" spans="1:15" x14ac:dyDescent="0.25">
      <c r="A464" s="427" t="str">
        <f t="shared" si="46"/>
        <v/>
      </c>
      <c r="B464" s="430" t="str">
        <f t="shared" si="42"/>
        <v/>
      </c>
      <c r="C464" s="433" t="str">
        <f>IFERROR(-LBP/2+HLOOKUP(Stn_WL,Tools!$AD$2:$AD$27,QUOTIENT(ROW()-2,Max_WL_count)+2,FALSE)*STN_GAP,"")</f>
        <v/>
      </c>
      <c r="D464" s="433" t="str">
        <f>IFERROR(VLOOKUP(HLOOKUP(Stn_WL,Tools!$AD$2:$AD$27,QUOTIENT(ROW()-2,Max_WL_count)+2,FALSE),Tools!$AD$3:$BC$27,MOD(ROW()-2,Max_WL_count)+2,FALSE),"")</f>
        <v/>
      </c>
      <c r="E464" s="431" t="str">
        <f>IFERROR(IF(ISNUMBER(D464),HLOOKUP(Tools!$BE$2,Tools!$BE$2:$BE$27,MOD(ROW()-2,Max_WL_count)+2,FALSE)*WLS,""),"")</f>
        <v/>
      </c>
      <c r="I464" s="427" t="str">
        <f t="shared" si="47"/>
        <v/>
      </c>
      <c r="J464" s="430" t="str">
        <f t="shared" si="43"/>
        <v/>
      </c>
      <c r="K464" s="433" t="str">
        <f>IFERROR(-LBP/2+HLOOKUP(Stn_WL,Tools!$AD$2:$AD$27,N464+2,FALSE)*STN_GAP,"")</f>
        <v/>
      </c>
      <c r="L464" s="433" t="str">
        <f>IFERROR(IF(AND(ISNUMBER(K464),O464=0),0,VLOOKUP(HLOOKUP(Stn_WL,Tools!$AD$2:$AD$27,N464+2,FALSE),Tools!$AD$3:$BC$27,O464+1,FALSE)),"")</f>
        <v/>
      </c>
      <c r="M464" s="433" t="str">
        <f>IFERROR(IF(ISNUMBER(L464),IF(O464=0,IFERROR(HLOOKUP(Tools!$BD$127,Tools!$BD$127:$BD$152,N464+2,FALSE)*1,0),HLOOKUP(Tools!$BE$2,Tools!$BE$2:$BE$27,O464+1,FALSE)*WLS),""),"")</f>
        <v/>
      </c>
      <c r="N464">
        <f t="shared" si="44"/>
        <v>35</v>
      </c>
      <c r="O464">
        <f t="shared" si="45"/>
        <v>7</v>
      </c>
    </row>
    <row r="465" spans="1:15" x14ac:dyDescent="0.25">
      <c r="A465" s="427" t="str">
        <f t="shared" si="46"/>
        <v/>
      </c>
      <c r="B465" s="430" t="str">
        <f t="shared" si="42"/>
        <v/>
      </c>
      <c r="C465" s="433" t="str">
        <f>IFERROR(-LBP/2+HLOOKUP(Stn_WL,Tools!$AD$2:$AD$27,QUOTIENT(ROW()-2,Max_WL_count)+2,FALSE)*STN_GAP,"")</f>
        <v/>
      </c>
      <c r="D465" s="433" t="str">
        <f>IFERROR(VLOOKUP(HLOOKUP(Stn_WL,Tools!$AD$2:$AD$27,QUOTIENT(ROW()-2,Max_WL_count)+2,FALSE),Tools!$AD$3:$BC$27,MOD(ROW()-2,Max_WL_count)+2,FALSE),"")</f>
        <v/>
      </c>
      <c r="E465" s="431" t="str">
        <f>IFERROR(IF(ISNUMBER(D465),HLOOKUP(Tools!$BE$2,Tools!$BE$2:$BE$27,MOD(ROW()-2,Max_WL_count)+2,FALSE)*WLS,""),"")</f>
        <v/>
      </c>
      <c r="I465" s="427" t="str">
        <f t="shared" si="47"/>
        <v/>
      </c>
      <c r="J465" s="430" t="str">
        <f t="shared" si="43"/>
        <v/>
      </c>
      <c r="K465" s="433" t="str">
        <f>IFERROR(-LBP/2+HLOOKUP(Stn_WL,Tools!$AD$2:$AD$27,N465+2,FALSE)*STN_GAP,"")</f>
        <v/>
      </c>
      <c r="L465" s="433" t="str">
        <f>IFERROR(IF(AND(ISNUMBER(K465),O465=0),0,VLOOKUP(HLOOKUP(Stn_WL,Tools!$AD$2:$AD$27,N465+2,FALSE),Tools!$AD$3:$BC$27,O465+1,FALSE)),"")</f>
        <v/>
      </c>
      <c r="M465" s="433" t="str">
        <f>IFERROR(IF(ISNUMBER(L465),IF(O465=0,IFERROR(HLOOKUP(Tools!$BD$127,Tools!$BD$127:$BD$152,N465+2,FALSE)*1,0),HLOOKUP(Tools!$BE$2,Tools!$BE$2:$BE$27,O465+1,FALSE)*WLS),""),"")</f>
        <v/>
      </c>
      <c r="N465">
        <f t="shared" si="44"/>
        <v>35</v>
      </c>
      <c r="O465">
        <f t="shared" si="45"/>
        <v>8</v>
      </c>
    </row>
    <row r="466" spans="1:15" x14ac:dyDescent="0.25">
      <c r="A466" s="427" t="str">
        <f t="shared" si="46"/>
        <v/>
      </c>
      <c r="B466" s="430" t="str">
        <f t="shared" si="42"/>
        <v/>
      </c>
      <c r="C466" s="433" t="str">
        <f>IFERROR(-LBP/2+HLOOKUP(Stn_WL,Tools!$AD$2:$AD$27,QUOTIENT(ROW()-2,Max_WL_count)+2,FALSE)*STN_GAP,"")</f>
        <v/>
      </c>
      <c r="D466" s="433" t="str">
        <f>IFERROR(VLOOKUP(HLOOKUP(Stn_WL,Tools!$AD$2:$AD$27,QUOTIENT(ROW()-2,Max_WL_count)+2,FALSE),Tools!$AD$3:$BC$27,MOD(ROW()-2,Max_WL_count)+2,FALSE),"")</f>
        <v/>
      </c>
      <c r="E466" s="431" t="str">
        <f>IFERROR(IF(ISNUMBER(D466),HLOOKUP(Tools!$BE$2,Tools!$BE$2:$BE$27,MOD(ROW()-2,Max_WL_count)+2,FALSE)*WLS,""),"")</f>
        <v/>
      </c>
      <c r="I466" s="427" t="str">
        <f t="shared" si="47"/>
        <v/>
      </c>
      <c r="J466" s="430" t="str">
        <f t="shared" si="43"/>
        <v/>
      </c>
      <c r="K466" s="433" t="str">
        <f>IFERROR(-LBP/2+HLOOKUP(Stn_WL,Tools!$AD$2:$AD$27,N466+2,FALSE)*STN_GAP,"")</f>
        <v/>
      </c>
      <c r="L466" s="433" t="str">
        <f>IFERROR(IF(AND(ISNUMBER(K466),O466=0),0,VLOOKUP(HLOOKUP(Stn_WL,Tools!$AD$2:$AD$27,N466+2,FALSE),Tools!$AD$3:$BC$27,O466+1,FALSE)),"")</f>
        <v/>
      </c>
      <c r="M466" s="433" t="str">
        <f>IFERROR(IF(ISNUMBER(L466),IF(O466=0,IFERROR(HLOOKUP(Tools!$BD$127,Tools!$BD$127:$BD$152,N466+2,FALSE)*1,0),HLOOKUP(Tools!$BE$2,Tools!$BE$2:$BE$27,O466+1,FALSE)*WLS),""),"")</f>
        <v/>
      </c>
      <c r="N466">
        <f t="shared" si="44"/>
        <v>35</v>
      </c>
      <c r="O466">
        <f t="shared" si="45"/>
        <v>9</v>
      </c>
    </row>
    <row r="467" spans="1:15" x14ac:dyDescent="0.25">
      <c r="A467" s="427" t="str">
        <f t="shared" si="46"/>
        <v/>
      </c>
      <c r="B467" s="430" t="str">
        <f t="shared" si="42"/>
        <v/>
      </c>
      <c r="C467" s="433" t="str">
        <f>IFERROR(-LBP/2+HLOOKUP(Stn_WL,Tools!$AD$2:$AD$27,QUOTIENT(ROW()-2,Max_WL_count)+2,FALSE)*STN_GAP,"")</f>
        <v/>
      </c>
      <c r="D467" s="433" t="str">
        <f>IFERROR(VLOOKUP(HLOOKUP(Stn_WL,Tools!$AD$2:$AD$27,QUOTIENT(ROW()-2,Max_WL_count)+2,FALSE),Tools!$AD$3:$BC$27,MOD(ROW()-2,Max_WL_count)+2,FALSE),"")</f>
        <v/>
      </c>
      <c r="E467" s="431" t="str">
        <f>IFERROR(IF(ISNUMBER(D467),HLOOKUP(Tools!$BE$2,Tools!$BE$2:$BE$27,MOD(ROW()-2,Max_WL_count)+2,FALSE)*WLS,""),"")</f>
        <v/>
      </c>
      <c r="I467" s="427" t="str">
        <f t="shared" si="47"/>
        <v/>
      </c>
      <c r="J467" s="430" t="str">
        <f t="shared" si="43"/>
        <v/>
      </c>
      <c r="K467" s="433" t="str">
        <f>IFERROR(-LBP/2+HLOOKUP(Stn_WL,Tools!$AD$2:$AD$27,N467+2,FALSE)*STN_GAP,"")</f>
        <v/>
      </c>
      <c r="L467" s="433" t="str">
        <f>IFERROR(IF(AND(ISNUMBER(K467),O467=0),0,VLOOKUP(HLOOKUP(Stn_WL,Tools!$AD$2:$AD$27,N467+2,FALSE),Tools!$AD$3:$BC$27,O467+1,FALSE)),"")</f>
        <v/>
      </c>
      <c r="M467" s="433" t="str">
        <f>IFERROR(IF(ISNUMBER(L467),IF(O467=0,IFERROR(HLOOKUP(Tools!$BD$127,Tools!$BD$127:$BD$152,N467+2,FALSE)*1,0),HLOOKUP(Tools!$BE$2,Tools!$BE$2:$BE$27,O467+1,FALSE)*WLS),""),"")</f>
        <v/>
      </c>
      <c r="N467">
        <f t="shared" si="44"/>
        <v>35</v>
      </c>
      <c r="O467">
        <f t="shared" si="45"/>
        <v>10</v>
      </c>
    </row>
    <row r="468" spans="1:15" x14ac:dyDescent="0.25">
      <c r="A468" s="427" t="str">
        <f t="shared" si="46"/>
        <v/>
      </c>
      <c r="B468" s="430" t="str">
        <f t="shared" si="42"/>
        <v/>
      </c>
      <c r="C468" s="433" t="str">
        <f>IFERROR(-LBP/2+HLOOKUP(Stn_WL,Tools!$AD$2:$AD$27,QUOTIENT(ROW()-2,Max_WL_count)+2,FALSE)*STN_GAP,"")</f>
        <v/>
      </c>
      <c r="D468" s="433" t="str">
        <f>IFERROR(VLOOKUP(HLOOKUP(Stn_WL,Tools!$AD$2:$AD$27,QUOTIENT(ROW()-2,Max_WL_count)+2,FALSE),Tools!$AD$3:$BC$27,MOD(ROW()-2,Max_WL_count)+2,FALSE),"")</f>
        <v/>
      </c>
      <c r="E468" s="431" t="str">
        <f>IFERROR(IF(ISNUMBER(D468),HLOOKUP(Tools!$BE$2,Tools!$BE$2:$BE$27,MOD(ROW()-2,Max_WL_count)+2,FALSE)*WLS,""),"")</f>
        <v/>
      </c>
      <c r="I468" s="427" t="str">
        <f t="shared" si="47"/>
        <v/>
      </c>
      <c r="J468" s="430" t="str">
        <f t="shared" si="43"/>
        <v/>
      </c>
      <c r="K468" s="433" t="str">
        <f>IFERROR(-LBP/2+HLOOKUP(Stn_WL,Tools!$AD$2:$AD$27,N468+2,FALSE)*STN_GAP,"")</f>
        <v/>
      </c>
      <c r="L468" s="433" t="str">
        <f>IFERROR(IF(AND(ISNUMBER(K468),O468=0),0,VLOOKUP(HLOOKUP(Stn_WL,Tools!$AD$2:$AD$27,N468+2,FALSE),Tools!$AD$3:$BC$27,O468+1,FALSE)),"")</f>
        <v/>
      </c>
      <c r="M468" s="433" t="str">
        <f>IFERROR(IF(ISNUMBER(L468),IF(O468=0,IFERROR(HLOOKUP(Tools!$BD$127,Tools!$BD$127:$BD$152,N468+2,FALSE)*1,0),HLOOKUP(Tools!$BE$2,Tools!$BE$2:$BE$27,O468+1,FALSE)*WLS),""),"")</f>
        <v/>
      </c>
      <c r="N468">
        <f t="shared" si="44"/>
        <v>35</v>
      </c>
      <c r="O468">
        <f t="shared" si="45"/>
        <v>11</v>
      </c>
    </row>
    <row r="469" spans="1:15" x14ac:dyDescent="0.25">
      <c r="A469" s="427" t="str">
        <f t="shared" si="46"/>
        <v/>
      </c>
      <c r="B469" s="430" t="str">
        <f t="shared" si="42"/>
        <v/>
      </c>
      <c r="C469" s="433" t="str">
        <f>IFERROR(-LBP/2+HLOOKUP(Stn_WL,Tools!$AD$2:$AD$27,QUOTIENT(ROW()-2,Max_WL_count)+2,FALSE)*STN_GAP,"")</f>
        <v/>
      </c>
      <c r="D469" s="433" t="str">
        <f>IFERROR(VLOOKUP(HLOOKUP(Stn_WL,Tools!$AD$2:$AD$27,QUOTIENT(ROW()-2,Max_WL_count)+2,FALSE),Tools!$AD$3:$BC$27,MOD(ROW()-2,Max_WL_count)+2,FALSE),"")</f>
        <v/>
      </c>
      <c r="E469" s="431" t="str">
        <f>IFERROR(IF(ISNUMBER(D469),HLOOKUP(Tools!$BE$2,Tools!$BE$2:$BE$27,MOD(ROW()-2,Max_WL_count)+2,FALSE)*WLS,""),"")</f>
        <v/>
      </c>
      <c r="I469" s="427" t="str">
        <f t="shared" si="47"/>
        <v/>
      </c>
      <c r="J469" s="430" t="str">
        <f t="shared" si="43"/>
        <v/>
      </c>
      <c r="K469" s="433" t="str">
        <f>IFERROR(-LBP/2+HLOOKUP(Stn_WL,Tools!$AD$2:$AD$27,N469+2,FALSE)*STN_GAP,"")</f>
        <v/>
      </c>
      <c r="L469" s="433" t="str">
        <f>IFERROR(IF(AND(ISNUMBER(K469),O469=0),0,VLOOKUP(HLOOKUP(Stn_WL,Tools!$AD$2:$AD$27,N469+2,FALSE),Tools!$AD$3:$BC$27,O469+1,FALSE)),"")</f>
        <v/>
      </c>
      <c r="M469" s="433" t="str">
        <f>IFERROR(IF(ISNUMBER(L469),IF(O469=0,IFERROR(HLOOKUP(Tools!$BD$127,Tools!$BD$127:$BD$152,N469+2,FALSE)*1,0),HLOOKUP(Tools!$BE$2,Tools!$BE$2:$BE$27,O469+1,FALSE)*WLS),""),"")</f>
        <v/>
      </c>
      <c r="N469">
        <f t="shared" si="44"/>
        <v>35</v>
      </c>
      <c r="O469">
        <f t="shared" si="45"/>
        <v>12</v>
      </c>
    </row>
    <row r="470" spans="1:15" x14ac:dyDescent="0.25">
      <c r="A470" s="427" t="str">
        <f t="shared" si="46"/>
        <v/>
      </c>
      <c r="B470" s="430" t="str">
        <f t="shared" si="42"/>
        <v/>
      </c>
      <c r="C470" s="433" t="str">
        <f>IFERROR(-LBP/2+HLOOKUP(Stn_WL,Tools!$AD$2:$AD$27,QUOTIENT(ROW()-2,Max_WL_count)+2,FALSE)*STN_GAP,"")</f>
        <v/>
      </c>
      <c r="D470" s="433" t="str">
        <f>IFERROR(VLOOKUP(HLOOKUP(Stn_WL,Tools!$AD$2:$AD$27,QUOTIENT(ROW()-2,Max_WL_count)+2,FALSE),Tools!$AD$3:$BC$27,MOD(ROW()-2,Max_WL_count)+2,FALSE),"")</f>
        <v/>
      </c>
      <c r="E470" s="431" t="str">
        <f>IFERROR(IF(ISNUMBER(D470),HLOOKUP(Tools!$BE$2,Tools!$BE$2:$BE$27,MOD(ROW()-2,Max_WL_count)+2,FALSE)*WLS,""),"")</f>
        <v/>
      </c>
      <c r="I470" s="427" t="str">
        <f t="shared" si="47"/>
        <v/>
      </c>
      <c r="J470" s="430" t="str">
        <f t="shared" si="43"/>
        <v/>
      </c>
      <c r="K470" s="433" t="str">
        <f>IFERROR(-LBP/2+HLOOKUP(Stn_WL,Tools!$AD$2:$AD$27,N470+2,FALSE)*STN_GAP,"")</f>
        <v/>
      </c>
      <c r="L470" s="433" t="str">
        <f>IFERROR(IF(AND(ISNUMBER(K470),O470=0),0,VLOOKUP(HLOOKUP(Stn_WL,Tools!$AD$2:$AD$27,N470+2,FALSE),Tools!$AD$3:$BC$27,O470+1,FALSE)),"")</f>
        <v/>
      </c>
      <c r="M470" s="433" t="str">
        <f>IFERROR(IF(ISNUMBER(L470),IF(O470=0,IFERROR(HLOOKUP(Tools!$BD$127,Tools!$BD$127:$BD$152,N470+2,FALSE)*1,0),HLOOKUP(Tools!$BE$2,Tools!$BE$2:$BE$27,O470+1,FALSE)*WLS),""),"")</f>
        <v/>
      </c>
      <c r="N470">
        <f t="shared" si="44"/>
        <v>36</v>
      </c>
      <c r="O470">
        <f t="shared" si="45"/>
        <v>0</v>
      </c>
    </row>
    <row r="471" spans="1:15" x14ac:dyDescent="0.25">
      <c r="A471" s="427" t="str">
        <f t="shared" si="46"/>
        <v/>
      </c>
      <c r="B471" s="430" t="str">
        <f t="shared" si="42"/>
        <v/>
      </c>
      <c r="C471" s="433" t="str">
        <f>IFERROR(-LBP/2+HLOOKUP(Stn_WL,Tools!$AD$2:$AD$27,QUOTIENT(ROW()-2,Max_WL_count)+2,FALSE)*STN_GAP,"")</f>
        <v/>
      </c>
      <c r="D471" s="433" t="str">
        <f>IFERROR(VLOOKUP(HLOOKUP(Stn_WL,Tools!$AD$2:$AD$27,QUOTIENT(ROW()-2,Max_WL_count)+2,FALSE),Tools!$AD$3:$BC$27,MOD(ROW()-2,Max_WL_count)+2,FALSE),"")</f>
        <v/>
      </c>
      <c r="E471" s="431" t="str">
        <f>IFERROR(IF(ISNUMBER(D471),HLOOKUP(Tools!$BE$2,Tools!$BE$2:$BE$27,MOD(ROW()-2,Max_WL_count)+2,FALSE)*WLS,""),"")</f>
        <v/>
      </c>
      <c r="I471" s="427" t="str">
        <f t="shared" si="47"/>
        <v/>
      </c>
      <c r="J471" s="430" t="str">
        <f t="shared" si="43"/>
        <v/>
      </c>
      <c r="K471" s="433" t="str">
        <f>IFERROR(-LBP/2+HLOOKUP(Stn_WL,Tools!$AD$2:$AD$27,N471+2,FALSE)*STN_GAP,"")</f>
        <v/>
      </c>
      <c r="L471" s="433" t="str">
        <f>IFERROR(IF(AND(ISNUMBER(K471),O471=0),0,VLOOKUP(HLOOKUP(Stn_WL,Tools!$AD$2:$AD$27,N471+2,FALSE),Tools!$AD$3:$BC$27,O471+1,FALSE)),"")</f>
        <v/>
      </c>
      <c r="M471" s="433" t="str">
        <f>IFERROR(IF(ISNUMBER(L471),IF(O471=0,IFERROR(HLOOKUP(Tools!$BD$127,Tools!$BD$127:$BD$152,N471+2,FALSE)*1,0),HLOOKUP(Tools!$BE$2,Tools!$BE$2:$BE$27,O471+1,FALSE)*WLS),""),"")</f>
        <v/>
      </c>
      <c r="N471">
        <f t="shared" si="44"/>
        <v>36</v>
      </c>
      <c r="O471">
        <f t="shared" si="45"/>
        <v>1</v>
      </c>
    </row>
    <row r="472" spans="1:15" x14ac:dyDescent="0.25">
      <c r="A472" s="427" t="str">
        <f t="shared" si="46"/>
        <v/>
      </c>
      <c r="B472" s="430" t="str">
        <f t="shared" si="42"/>
        <v/>
      </c>
      <c r="C472" s="433" t="str">
        <f>IFERROR(-LBP/2+HLOOKUP(Stn_WL,Tools!$AD$2:$AD$27,QUOTIENT(ROW()-2,Max_WL_count)+2,FALSE)*STN_GAP,"")</f>
        <v/>
      </c>
      <c r="D472" s="433" t="str">
        <f>IFERROR(VLOOKUP(HLOOKUP(Stn_WL,Tools!$AD$2:$AD$27,QUOTIENT(ROW()-2,Max_WL_count)+2,FALSE),Tools!$AD$3:$BC$27,MOD(ROW()-2,Max_WL_count)+2,FALSE),"")</f>
        <v/>
      </c>
      <c r="E472" s="431" t="str">
        <f>IFERROR(IF(ISNUMBER(D472),HLOOKUP(Tools!$BE$2,Tools!$BE$2:$BE$27,MOD(ROW()-2,Max_WL_count)+2,FALSE)*WLS,""),"")</f>
        <v/>
      </c>
      <c r="I472" s="427" t="str">
        <f t="shared" si="47"/>
        <v/>
      </c>
      <c r="J472" s="430" t="str">
        <f t="shared" si="43"/>
        <v/>
      </c>
      <c r="K472" s="433" t="str">
        <f>IFERROR(-LBP/2+HLOOKUP(Stn_WL,Tools!$AD$2:$AD$27,N472+2,FALSE)*STN_GAP,"")</f>
        <v/>
      </c>
      <c r="L472" s="433" t="str">
        <f>IFERROR(IF(AND(ISNUMBER(K472),O472=0),0,VLOOKUP(HLOOKUP(Stn_WL,Tools!$AD$2:$AD$27,N472+2,FALSE),Tools!$AD$3:$BC$27,O472+1,FALSE)),"")</f>
        <v/>
      </c>
      <c r="M472" s="433" t="str">
        <f>IFERROR(IF(ISNUMBER(L472),IF(O472=0,IFERROR(HLOOKUP(Tools!$BD$127,Tools!$BD$127:$BD$152,N472+2,FALSE)*1,0),HLOOKUP(Tools!$BE$2,Tools!$BE$2:$BE$27,O472+1,FALSE)*WLS),""),"")</f>
        <v/>
      </c>
      <c r="N472">
        <f t="shared" si="44"/>
        <v>36</v>
      </c>
      <c r="O472">
        <f t="shared" si="45"/>
        <v>2</v>
      </c>
    </row>
    <row r="473" spans="1:15" x14ac:dyDescent="0.25">
      <c r="A473" s="427" t="str">
        <f t="shared" si="46"/>
        <v/>
      </c>
      <c r="B473" s="430" t="str">
        <f t="shared" si="42"/>
        <v/>
      </c>
      <c r="C473" s="433" t="str">
        <f>IFERROR(-LBP/2+HLOOKUP(Stn_WL,Tools!$AD$2:$AD$27,QUOTIENT(ROW()-2,Max_WL_count)+2,FALSE)*STN_GAP,"")</f>
        <v/>
      </c>
      <c r="D473" s="433" t="str">
        <f>IFERROR(VLOOKUP(HLOOKUP(Stn_WL,Tools!$AD$2:$AD$27,QUOTIENT(ROW()-2,Max_WL_count)+2,FALSE),Tools!$AD$3:$BC$27,MOD(ROW()-2,Max_WL_count)+2,FALSE),"")</f>
        <v/>
      </c>
      <c r="E473" s="431" t="str">
        <f>IFERROR(IF(ISNUMBER(D473),HLOOKUP(Tools!$BE$2,Tools!$BE$2:$BE$27,MOD(ROW()-2,Max_WL_count)+2,FALSE)*WLS,""),"")</f>
        <v/>
      </c>
      <c r="I473" s="427" t="str">
        <f t="shared" si="47"/>
        <v/>
      </c>
      <c r="J473" s="430" t="str">
        <f t="shared" si="43"/>
        <v/>
      </c>
      <c r="K473" s="433" t="str">
        <f>IFERROR(-LBP/2+HLOOKUP(Stn_WL,Tools!$AD$2:$AD$27,N473+2,FALSE)*STN_GAP,"")</f>
        <v/>
      </c>
      <c r="L473" s="433" t="str">
        <f>IFERROR(IF(AND(ISNUMBER(K473),O473=0),0,VLOOKUP(HLOOKUP(Stn_WL,Tools!$AD$2:$AD$27,N473+2,FALSE),Tools!$AD$3:$BC$27,O473+1,FALSE)),"")</f>
        <v/>
      </c>
      <c r="M473" s="433" t="str">
        <f>IFERROR(IF(ISNUMBER(L473),IF(O473=0,IFERROR(HLOOKUP(Tools!$BD$127,Tools!$BD$127:$BD$152,N473+2,FALSE)*1,0),HLOOKUP(Tools!$BE$2,Tools!$BE$2:$BE$27,O473+1,FALSE)*WLS),""),"")</f>
        <v/>
      </c>
      <c r="N473">
        <f t="shared" si="44"/>
        <v>36</v>
      </c>
      <c r="O473">
        <f t="shared" si="45"/>
        <v>3</v>
      </c>
    </row>
    <row r="474" spans="1:15" x14ac:dyDescent="0.25">
      <c r="A474" s="427" t="str">
        <f t="shared" si="46"/>
        <v/>
      </c>
      <c r="B474" s="430" t="str">
        <f t="shared" si="42"/>
        <v/>
      </c>
      <c r="C474" s="433" t="str">
        <f>IFERROR(-LBP/2+HLOOKUP(Stn_WL,Tools!$AD$2:$AD$27,QUOTIENT(ROW()-2,Max_WL_count)+2,FALSE)*STN_GAP,"")</f>
        <v/>
      </c>
      <c r="D474" s="433" t="str">
        <f>IFERROR(VLOOKUP(HLOOKUP(Stn_WL,Tools!$AD$2:$AD$27,QUOTIENT(ROW()-2,Max_WL_count)+2,FALSE),Tools!$AD$3:$BC$27,MOD(ROW()-2,Max_WL_count)+2,FALSE),"")</f>
        <v/>
      </c>
      <c r="E474" s="431" t="str">
        <f>IFERROR(IF(ISNUMBER(D474),HLOOKUP(Tools!$BE$2,Tools!$BE$2:$BE$27,MOD(ROW()-2,Max_WL_count)+2,FALSE)*WLS,""),"")</f>
        <v/>
      </c>
      <c r="I474" s="427" t="str">
        <f t="shared" si="47"/>
        <v/>
      </c>
      <c r="J474" s="430" t="str">
        <f t="shared" si="43"/>
        <v/>
      </c>
      <c r="K474" s="433" t="str">
        <f>IFERROR(-LBP/2+HLOOKUP(Stn_WL,Tools!$AD$2:$AD$27,N474+2,FALSE)*STN_GAP,"")</f>
        <v/>
      </c>
      <c r="L474" s="433" t="str">
        <f>IFERROR(IF(AND(ISNUMBER(K474),O474=0),0,VLOOKUP(HLOOKUP(Stn_WL,Tools!$AD$2:$AD$27,N474+2,FALSE),Tools!$AD$3:$BC$27,O474+1,FALSE)),"")</f>
        <v/>
      </c>
      <c r="M474" s="433" t="str">
        <f>IFERROR(IF(ISNUMBER(L474),IF(O474=0,IFERROR(HLOOKUP(Tools!$BD$127,Tools!$BD$127:$BD$152,N474+2,FALSE)*1,0),HLOOKUP(Tools!$BE$2,Tools!$BE$2:$BE$27,O474+1,FALSE)*WLS),""),"")</f>
        <v/>
      </c>
      <c r="N474">
        <f t="shared" si="44"/>
        <v>36</v>
      </c>
      <c r="O474">
        <f t="shared" si="45"/>
        <v>4</v>
      </c>
    </row>
    <row r="475" spans="1:15" x14ac:dyDescent="0.25">
      <c r="A475" s="427" t="str">
        <f t="shared" si="46"/>
        <v/>
      </c>
      <c r="B475" s="430" t="str">
        <f t="shared" si="42"/>
        <v/>
      </c>
      <c r="C475" s="433" t="str">
        <f>IFERROR(-LBP/2+HLOOKUP(Stn_WL,Tools!$AD$2:$AD$27,QUOTIENT(ROW()-2,Max_WL_count)+2,FALSE)*STN_GAP,"")</f>
        <v/>
      </c>
      <c r="D475" s="433" t="str">
        <f>IFERROR(VLOOKUP(HLOOKUP(Stn_WL,Tools!$AD$2:$AD$27,QUOTIENT(ROW()-2,Max_WL_count)+2,FALSE),Tools!$AD$3:$BC$27,MOD(ROW()-2,Max_WL_count)+2,FALSE),"")</f>
        <v/>
      </c>
      <c r="E475" s="431" t="str">
        <f>IFERROR(IF(ISNUMBER(D475),HLOOKUP(Tools!$BE$2,Tools!$BE$2:$BE$27,MOD(ROW()-2,Max_WL_count)+2,FALSE)*WLS,""),"")</f>
        <v/>
      </c>
      <c r="I475" s="427" t="str">
        <f t="shared" si="47"/>
        <v/>
      </c>
      <c r="J475" s="430" t="str">
        <f t="shared" si="43"/>
        <v/>
      </c>
      <c r="K475" s="433" t="str">
        <f>IFERROR(-LBP/2+HLOOKUP(Stn_WL,Tools!$AD$2:$AD$27,N475+2,FALSE)*STN_GAP,"")</f>
        <v/>
      </c>
      <c r="L475" s="433" t="str">
        <f>IFERROR(IF(AND(ISNUMBER(K475),O475=0),0,VLOOKUP(HLOOKUP(Stn_WL,Tools!$AD$2:$AD$27,N475+2,FALSE),Tools!$AD$3:$BC$27,O475+1,FALSE)),"")</f>
        <v/>
      </c>
      <c r="M475" s="433" t="str">
        <f>IFERROR(IF(ISNUMBER(L475),IF(O475=0,IFERROR(HLOOKUP(Tools!$BD$127,Tools!$BD$127:$BD$152,N475+2,FALSE)*1,0),HLOOKUP(Tools!$BE$2,Tools!$BE$2:$BE$27,O475+1,FALSE)*WLS),""),"")</f>
        <v/>
      </c>
      <c r="N475">
        <f t="shared" si="44"/>
        <v>36</v>
      </c>
      <c r="O475">
        <f t="shared" si="45"/>
        <v>5</v>
      </c>
    </row>
    <row r="476" spans="1:15" x14ac:dyDescent="0.25">
      <c r="A476" s="427" t="str">
        <f t="shared" si="46"/>
        <v/>
      </c>
      <c r="B476" s="430" t="str">
        <f t="shared" si="42"/>
        <v/>
      </c>
      <c r="C476" s="433" t="str">
        <f>IFERROR(-LBP/2+HLOOKUP(Stn_WL,Tools!$AD$2:$AD$27,QUOTIENT(ROW()-2,Max_WL_count)+2,FALSE)*STN_GAP,"")</f>
        <v/>
      </c>
      <c r="D476" s="433" t="str">
        <f>IFERROR(VLOOKUP(HLOOKUP(Stn_WL,Tools!$AD$2:$AD$27,QUOTIENT(ROW()-2,Max_WL_count)+2,FALSE),Tools!$AD$3:$BC$27,MOD(ROW()-2,Max_WL_count)+2,FALSE),"")</f>
        <v/>
      </c>
      <c r="E476" s="431" t="str">
        <f>IFERROR(IF(ISNUMBER(D476),HLOOKUP(Tools!$BE$2,Tools!$BE$2:$BE$27,MOD(ROW()-2,Max_WL_count)+2,FALSE)*WLS,""),"")</f>
        <v/>
      </c>
      <c r="I476" s="427" t="str">
        <f t="shared" si="47"/>
        <v/>
      </c>
      <c r="J476" s="430" t="str">
        <f t="shared" si="43"/>
        <v/>
      </c>
      <c r="K476" s="433" t="str">
        <f>IFERROR(-LBP/2+HLOOKUP(Stn_WL,Tools!$AD$2:$AD$27,N476+2,FALSE)*STN_GAP,"")</f>
        <v/>
      </c>
      <c r="L476" s="433" t="str">
        <f>IFERROR(IF(AND(ISNUMBER(K476),O476=0),0,VLOOKUP(HLOOKUP(Stn_WL,Tools!$AD$2:$AD$27,N476+2,FALSE),Tools!$AD$3:$BC$27,O476+1,FALSE)),"")</f>
        <v/>
      </c>
      <c r="M476" s="433" t="str">
        <f>IFERROR(IF(ISNUMBER(L476),IF(O476=0,IFERROR(HLOOKUP(Tools!$BD$127,Tools!$BD$127:$BD$152,N476+2,FALSE)*1,0),HLOOKUP(Tools!$BE$2,Tools!$BE$2:$BE$27,O476+1,FALSE)*WLS),""),"")</f>
        <v/>
      </c>
      <c r="N476">
        <f t="shared" si="44"/>
        <v>36</v>
      </c>
      <c r="O476">
        <f t="shared" si="45"/>
        <v>6</v>
      </c>
    </row>
    <row r="477" spans="1:15" x14ac:dyDescent="0.25">
      <c r="A477" s="427" t="str">
        <f t="shared" si="46"/>
        <v/>
      </c>
      <c r="B477" s="430" t="str">
        <f t="shared" si="42"/>
        <v/>
      </c>
      <c r="C477" s="433" t="str">
        <f>IFERROR(-LBP/2+HLOOKUP(Stn_WL,Tools!$AD$2:$AD$27,QUOTIENT(ROW()-2,Max_WL_count)+2,FALSE)*STN_GAP,"")</f>
        <v/>
      </c>
      <c r="D477" s="433" t="str">
        <f>IFERROR(VLOOKUP(HLOOKUP(Stn_WL,Tools!$AD$2:$AD$27,QUOTIENT(ROW()-2,Max_WL_count)+2,FALSE),Tools!$AD$3:$BC$27,MOD(ROW()-2,Max_WL_count)+2,FALSE),"")</f>
        <v/>
      </c>
      <c r="E477" s="431" t="str">
        <f>IFERROR(IF(ISNUMBER(D477),HLOOKUP(Tools!$BE$2,Tools!$BE$2:$BE$27,MOD(ROW()-2,Max_WL_count)+2,FALSE)*WLS,""),"")</f>
        <v/>
      </c>
      <c r="I477" s="427" t="str">
        <f t="shared" si="47"/>
        <v/>
      </c>
      <c r="J477" s="430" t="str">
        <f t="shared" si="43"/>
        <v/>
      </c>
      <c r="K477" s="433" t="str">
        <f>IFERROR(-LBP/2+HLOOKUP(Stn_WL,Tools!$AD$2:$AD$27,N477+2,FALSE)*STN_GAP,"")</f>
        <v/>
      </c>
      <c r="L477" s="433" t="str">
        <f>IFERROR(IF(AND(ISNUMBER(K477),O477=0),0,VLOOKUP(HLOOKUP(Stn_WL,Tools!$AD$2:$AD$27,N477+2,FALSE),Tools!$AD$3:$BC$27,O477+1,FALSE)),"")</f>
        <v/>
      </c>
      <c r="M477" s="433" t="str">
        <f>IFERROR(IF(ISNUMBER(L477),IF(O477=0,IFERROR(HLOOKUP(Tools!$BD$127,Tools!$BD$127:$BD$152,N477+2,FALSE)*1,0),HLOOKUP(Tools!$BE$2,Tools!$BE$2:$BE$27,O477+1,FALSE)*WLS),""),"")</f>
        <v/>
      </c>
      <c r="N477">
        <f t="shared" si="44"/>
        <v>36</v>
      </c>
      <c r="O477">
        <f t="shared" si="45"/>
        <v>7</v>
      </c>
    </row>
    <row r="478" spans="1:15" x14ac:dyDescent="0.25">
      <c r="A478" s="427" t="str">
        <f t="shared" si="46"/>
        <v/>
      </c>
      <c r="B478" s="430" t="str">
        <f t="shared" si="42"/>
        <v/>
      </c>
      <c r="C478" s="433" t="str">
        <f>IFERROR(-LBP/2+HLOOKUP(Stn_WL,Tools!$AD$2:$AD$27,QUOTIENT(ROW()-2,Max_WL_count)+2,FALSE)*STN_GAP,"")</f>
        <v/>
      </c>
      <c r="D478" s="433" t="str">
        <f>IFERROR(VLOOKUP(HLOOKUP(Stn_WL,Tools!$AD$2:$AD$27,QUOTIENT(ROW()-2,Max_WL_count)+2,FALSE),Tools!$AD$3:$BC$27,MOD(ROW()-2,Max_WL_count)+2,FALSE),"")</f>
        <v/>
      </c>
      <c r="E478" s="431" t="str">
        <f>IFERROR(IF(ISNUMBER(D478),HLOOKUP(Tools!$BE$2,Tools!$BE$2:$BE$27,MOD(ROW()-2,Max_WL_count)+2,FALSE)*WLS,""),"")</f>
        <v/>
      </c>
      <c r="I478" s="427" t="str">
        <f t="shared" si="47"/>
        <v/>
      </c>
      <c r="J478" s="430" t="str">
        <f t="shared" si="43"/>
        <v/>
      </c>
      <c r="K478" s="433" t="str">
        <f>IFERROR(-LBP/2+HLOOKUP(Stn_WL,Tools!$AD$2:$AD$27,N478+2,FALSE)*STN_GAP,"")</f>
        <v/>
      </c>
      <c r="L478" s="433" t="str">
        <f>IFERROR(IF(AND(ISNUMBER(K478),O478=0),0,VLOOKUP(HLOOKUP(Stn_WL,Tools!$AD$2:$AD$27,N478+2,FALSE),Tools!$AD$3:$BC$27,O478+1,FALSE)),"")</f>
        <v/>
      </c>
      <c r="M478" s="433" t="str">
        <f>IFERROR(IF(ISNUMBER(L478),IF(O478=0,IFERROR(HLOOKUP(Tools!$BD$127,Tools!$BD$127:$BD$152,N478+2,FALSE)*1,0),HLOOKUP(Tools!$BE$2,Tools!$BE$2:$BE$27,O478+1,FALSE)*WLS),""),"")</f>
        <v/>
      </c>
      <c r="N478">
        <f t="shared" si="44"/>
        <v>36</v>
      </c>
      <c r="O478">
        <f t="shared" si="45"/>
        <v>8</v>
      </c>
    </row>
    <row r="479" spans="1:15" x14ac:dyDescent="0.25">
      <c r="A479" s="427" t="str">
        <f t="shared" si="46"/>
        <v/>
      </c>
      <c r="B479" s="430" t="str">
        <f t="shared" si="42"/>
        <v/>
      </c>
      <c r="C479" s="433" t="str">
        <f>IFERROR(-LBP/2+HLOOKUP(Stn_WL,Tools!$AD$2:$AD$27,QUOTIENT(ROW()-2,Max_WL_count)+2,FALSE)*STN_GAP,"")</f>
        <v/>
      </c>
      <c r="D479" s="433" t="str">
        <f>IFERROR(VLOOKUP(HLOOKUP(Stn_WL,Tools!$AD$2:$AD$27,QUOTIENT(ROW()-2,Max_WL_count)+2,FALSE),Tools!$AD$3:$BC$27,MOD(ROW()-2,Max_WL_count)+2,FALSE),"")</f>
        <v/>
      </c>
      <c r="E479" s="431" t="str">
        <f>IFERROR(IF(ISNUMBER(D479),HLOOKUP(Tools!$BE$2,Tools!$BE$2:$BE$27,MOD(ROW()-2,Max_WL_count)+2,FALSE)*WLS,""),"")</f>
        <v/>
      </c>
      <c r="I479" s="427" t="str">
        <f t="shared" si="47"/>
        <v/>
      </c>
      <c r="J479" s="430" t="str">
        <f t="shared" si="43"/>
        <v/>
      </c>
      <c r="K479" s="433" t="str">
        <f>IFERROR(-LBP/2+HLOOKUP(Stn_WL,Tools!$AD$2:$AD$27,N479+2,FALSE)*STN_GAP,"")</f>
        <v/>
      </c>
      <c r="L479" s="433" t="str">
        <f>IFERROR(IF(AND(ISNUMBER(K479),O479=0),0,VLOOKUP(HLOOKUP(Stn_WL,Tools!$AD$2:$AD$27,N479+2,FALSE),Tools!$AD$3:$BC$27,O479+1,FALSE)),"")</f>
        <v/>
      </c>
      <c r="M479" s="433" t="str">
        <f>IFERROR(IF(ISNUMBER(L479),IF(O479=0,IFERROR(HLOOKUP(Tools!$BD$127,Tools!$BD$127:$BD$152,N479+2,FALSE)*1,0),HLOOKUP(Tools!$BE$2,Tools!$BE$2:$BE$27,O479+1,FALSE)*WLS),""),"")</f>
        <v/>
      </c>
      <c r="N479">
        <f t="shared" si="44"/>
        <v>36</v>
      </c>
      <c r="O479">
        <f t="shared" si="45"/>
        <v>9</v>
      </c>
    </row>
    <row r="480" spans="1:15" x14ac:dyDescent="0.25">
      <c r="A480" s="427" t="str">
        <f t="shared" si="46"/>
        <v/>
      </c>
      <c r="B480" s="430" t="str">
        <f t="shared" si="42"/>
        <v/>
      </c>
      <c r="C480" s="433" t="str">
        <f>IFERROR(-LBP/2+HLOOKUP(Stn_WL,Tools!$AD$2:$AD$27,QUOTIENT(ROW()-2,Max_WL_count)+2,FALSE)*STN_GAP,"")</f>
        <v/>
      </c>
      <c r="D480" s="433" t="str">
        <f>IFERROR(VLOOKUP(HLOOKUP(Stn_WL,Tools!$AD$2:$AD$27,QUOTIENT(ROW()-2,Max_WL_count)+2,FALSE),Tools!$AD$3:$BC$27,MOD(ROW()-2,Max_WL_count)+2,FALSE),"")</f>
        <v/>
      </c>
      <c r="E480" s="431" t="str">
        <f>IFERROR(IF(ISNUMBER(D480),HLOOKUP(Tools!$BE$2,Tools!$BE$2:$BE$27,MOD(ROW()-2,Max_WL_count)+2,FALSE)*WLS,""),"")</f>
        <v/>
      </c>
      <c r="I480" s="427" t="str">
        <f t="shared" si="47"/>
        <v/>
      </c>
      <c r="J480" s="430" t="str">
        <f t="shared" si="43"/>
        <v/>
      </c>
      <c r="K480" s="433" t="str">
        <f>IFERROR(-LBP/2+HLOOKUP(Stn_WL,Tools!$AD$2:$AD$27,N480+2,FALSE)*STN_GAP,"")</f>
        <v/>
      </c>
      <c r="L480" s="433" t="str">
        <f>IFERROR(IF(AND(ISNUMBER(K480),O480=0),0,VLOOKUP(HLOOKUP(Stn_WL,Tools!$AD$2:$AD$27,N480+2,FALSE),Tools!$AD$3:$BC$27,O480+1,FALSE)),"")</f>
        <v/>
      </c>
      <c r="M480" s="433" t="str">
        <f>IFERROR(IF(ISNUMBER(L480),IF(O480=0,IFERROR(HLOOKUP(Tools!$BD$127,Tools!$BD$127:$BD$152,N480+2,FALSE)*1,0),HLOOKUP(Tools!$BE$2,Tools!$BE$2:$BE$27,O480+1,FALSE)*WLS),""),"")</f>
        <v/>
      </c>
      <c r="N480">
        <f t="shared" si="44"/>
        <v>36</v>
      </c>
      <c r="O480">
        <f t="shared" si="45"/>
        <v>10</v>
      </c>
    </row>
    <row r="481" spans="1:15" x14ac:dyDescent="0.25">
      <c r="A481" s="427" t="str">
        <f t="shared" si="46"/>
        <v/>
      </c>
      <c r="B481" s="430" t="str">
        <f t="shared" si="42"/>
        <v/>
      </c>
      <c r="C481" s="433" t="str">
        <f>IFERROR(-LBP/2+HLOOKUP(Stn_WL,Tools!$AD$2:$AD$27,QUOTIENT(ROW()-2,Max_WL_count)+2,FALSE)*STN_GAP,"")</f>
        <v/>
      </c>
      <c r="D481" s="433" t="str">
        <f>IFERROR(VLOOKUP(HLOOKUP(Stn_WL,Tools!$AD$2:$AD$27,QUOTIENT(ROW()-2,Max_WL_count)+2,FALSE),Tools!$AD$3:$BC$27,MOD(ROW()-2,Max_WL_count)+2,FALSE),"")</f>
        <v/>
      </c>
      <c r="E481" s="431" t="str">
        <f>IFERROR(IF(ISNUMBER(D481),HLOOKUP(Tools!$BE$2,Tools!$BE$2:$BE$27,MOD(ROW()-2,Max_WL_count)+2,FALSE)*WLS,""),"")</f>
        <v/>
      </c>
      <c r="I481" s="427" t="str">
        <f t="shared" si="47"/>
        <v/>
      </c>
      <c r="J481" s="430" t="str">
        <f t="shared" si="43"/>
        <v/>
      </c>
      <c r="K481" s="433" t="str">
        <f>IFERROR(-LBP/2+HLOOKUP(Stn_WL,Tools!$AD$2:$AD$27,N481+2,FALSE)*STN_GAP,"")</f>
        <v/>
      </c>
      <c r="L481" s="433" t="str">
        <f>IFERROR(IF(AND(ISNUMBER(K481),O481=0),0,VLOOKUP(HLOOKUP(Stn_WL,Tools!$AD$2:$AD$27,N481+2,FALSE),Tools!$AD$3:$BC$27,O481+1,FALSE)),"")</f>
        <v/>
      </c>
      <c r="M481" s="433" t="str">
        <f>IFERROR(IF(ISNUMBER(L481),IF(O481=0,IFERROR(HLOOKUP(Tools!$BD$127,Tools!$BD$127:$BD$152,N481+2,FALSE)*1,0),HLOOKUP(Tools!$BE$2,Tools!$BE$2:$BE$27,O481+1,FALSE)*WLS),""),"")</f>
        <v/>
      </c>
      <c r="N481">
        <f t="shared" si="44"/>
        <v>36</v>
      </c>
      <c r="O481">
        <f t="shared" si="45"/>
        <v>11</v>
      </c>
    </row>
    <row r="482" spans="1:15" x14ac:dyDescent="0.25">
      <c r="A482" s="427" t="str">
        <f t="shared" si="46"/>
        <v/>
      </c>
      <c r="B482" s="430" t="str">
        <f t="shared" si="42"/>
        <v/>
      </c>
      <c r="C482" s="433" t="str">
        <f>IFERROR(-LBP/2+HLOOKUP(Stn_WL,Tools!$AD$2:$AD$27,QUOTIENT(ROW()-2,Max_WL_count)+2,FALSE)*STN_GAP,"")</f>
        <v/>
      </c>
      <c r="D482" s="433" t="str">
        <f>IFERROR(VLOOKUP(HLOOKUP(Stn_WL,Tools!$AD$2:$AD$27,QUOTIENT(ROW()-2,Max_WL_count)+2,FALSE),Tools!$AD$3:$BC$27,MOD(ROW()-2,Max_WL_count)+2,FALSE),"")</f>
        <v/>
      </c>
      <c r="E482" s="431" t="str">
        <f>IFERROR(IF(ISNUMBER(D482),HLOOKUP(Tools!$BE$2,Tools!$BE$2:$BE$27,MOD(ROW()-2,Max_WL_count)+2,FALSE)*WLS,""),"")</f>
        <v/>
      </c>
      <c r="I482" s="427" t="str">
        <f t="shared" si="47"/>
        <v/>
      </c>
      <c r="J482" s="430" t="str">
        <f t="shared" si="43"/>
        <v/>
      </c>
      <c r="K482" s="433" t="str">
        <f>IFERROR(-LBP/2+HLOOKUP(Stn_WL,Tools!$AD$2:$AD$27,N482+2,FALSE)*STN_GAP,"")</f>
        <v/>
      </c>
      <c r="L482" s="433" t="str">
        <f>IFERROR(IF(AND(ISNUMBER(K482),O482=0),0,VLOOKUP(HLOOKUP(Stn_WL,Tools!$AD$2:$AD$27,N482+2,FALSE),Tools!$AD$3:$BC$27,O482+1,FALSE)),"")</f>
        <v/>
      </c>
      <c r="M482" s="433" t="str">
        <f>IFERROR(IF(ISNUMBER(L482),IF(O482=0,IFERROR(HLOOKUP(Tools!$BD$127,Tools!$BD$127:$BD$152,N482+2,FALSE)*1,0),HLOOKUP(Tools!$BE$2,Tools!$BE$2:$BE$27,O482+1,FALSE)*WLS),""),"")</f>
        <v/>
      </c>
      <c r="N482">
        <f t="shared" si="44"/>
        <v>36</v>
      </c>
      <c r="O482">
        <f t="shared" si="45"/>
        <v>12</v>
      </c>
    </row>
    <row r="483" spans="1:15" x14ac:dyDescent="0.25">
      <c r="A483" s="427" t="str">
        <f t="shared" si="46"/>
        <v/>
      </c>
      <c r="B483" s="430" t="str">
        <f t="shared" si="42"/>
        <v/>
      </c>
      <c r="C483" s="433" t="str">
        <f>IFERROR(-LBP/2+HLOOKUP(Stn_WL,Tools!$AD$2:$AD$27,QUOTIENT(ROW()-2,Max_WL_count)+2,FALSE)*STN_GAP,"")</f>
        <v/>
      </c>
      <c r="D483" s="433" t="str">
        <f>IFERROR(VLOOKUP(HLOOKUP(Stn_WL,Tools!$AD$2:$AD$27,QUOTIENT(ROW()-2,Max_WL_count)+2,FALSE),Tools!$AD$3:$BC$27,MOD(ROW()-2,Max_WL_count)+2,FALSE),"")</f>
        <v/>
      </c>
      <c r="E483" s="431" t="str">
        <f>IFERROR(IF(ISNUMBER(D483),HLOOKUP(Tools!$BE$2,Tools!$BE$2:$BE$27,MOD(ROW()-2,Max_WL_count)+2,FALSE)*WLS,""),"")</f>
        <v/>
      </c>
      <c r="I483" s="427" t="str">
        <f t="shared" si="47"/>
        <v/>
      </c>
      <c r="J483" s="430" t="str">
        <f t="shared" si="43"/>
        <v/>
      </c>
      <c r="K483" s="433" t="str">
        <f>IFERROR(-LBP/2+HLOOKUP(Stn_WL,Tools!$AD$2:$AD$27,N483+2,FALSE)*STN_GAP,"")</f>
        <v/>
      </c>
      <c r="L483" s="433" t="str">
        <f>IFERROR(IF(AND(ISNUMBER(K483),O483=0),0,VLOOKUP(HLOOKUP(Stn_WL,Tools!$AD$2:$AD$27,N483+2,FALSE),Tools!$AD$3:$BC$27,O483+1,FALSE)),"")</f>
        <v/>
      </c>
      <c r="M483" s="433" t="str">
        <f>IFERROR(IF(ISNUMBER(L483),IF(O483=0,IFERROR(HLOOKUP(Tools!$BD$127,Tools!$BD$127:$BD$152,N483+2,FALSE)*1,0),HLOOKUP(Tools!$BE$2,Tools!$BE$2:$BE$27,O483+1,FALSE)*WLS),""),"")</f>
        <v/>
      </c>
      <c r="N483">
        <f t="shared" si="44"/>
        <v>37</v>
      </c>
      <c r="O483">
        <f t="shared" si="45"/>
        <v>0</v>
      </c>
    </row>
    <row r="484" spans="1:15" x14ac:dyDescent="0.25">
      <c r="A484" s="427" t="str">
        <f t="shared" si="46"/>
        <v/>
      </c>
      <c r="B484" s="430" t="str">
        <f t="shared" si="42"/>
        <v/>
      </c>
      <c r="C484" s="433" t="str">
        <f>IFERROR(-LBP/2+HLOOKUP(Stn_WL,Tools!$AD$2:$AD$27,QUOTIENT(ROW()-2,Max_WL_count)+2,FALSE)*STN_GAP,"")</f>
        <v/>
      </c>
      <c r="D484" s="433" t="str">
        <f>IFERROR(VLOOKUP(HLOOKUP(Stn_WL,Tools!$AD$2:$AD$27,QUOTIENT(ROW()-2,Max_WL_count)+2,FALSE),Tools!$AD$3:$BC$27,MOD(ROW()-2,Max_WL_count)+2,FALSE),"")</f>
        <v/>
      </c>
      <c r="E484" s="431" t="str">
        <f>IFERROR(IF(ISNUMBER(D484),HLOOKUP(Tools!$BE$2,Tools!$BE$2:$BE$27,MOD(ROW()-2,Max_WL_count)+2,FALSE)*WLS,""),"")</f>
        <v/>
      </c>
      <c r="I484" s="427" t="str">
        <f t="shared" si="47"/>
        <v/>
      </c>
      <c r="J484" s="430" t="str">
        <f t="shared" si="43"/>
        <v/>
      </c>
      <c r="K484" s="433" t="str">
        <f>IFERROR(-LBP/2+HLOOKUP(Stn_WL,Tools!$AD$2:$AD$27,N484+2,FALSE)*STN_GAP,"")</f>
        <v/>
      </c>
      <c r="L484" s="433" t="str">
        <f>IFERROR(IF(AND(ISNUMBER(K484),O484=0),0,VLOOKUP(HLOOKUP(Stn_WL,Tools!$AD$2:$AD$27,N484+2,FALSE),Tools!$AD$3:$BC$27,O484+1,FALSE)),"")</f>
        <v/>
      </c>
      <c r="M484" s="433" t="str">
        <f>IFERROR(IF(ISNUMBER(L484),IF(O484=0,IFERROR(HLOOKUP(Tools!$BD$127,Tools!$BD$127:$BD$152,N484+2,FALSE)*1,0),HLOOKUP(Tools!$BE$2,Tools!$BE$2:$BE$27,O484+1,FALSE)*WLS),""),"")</f>
        <v/>
      </c>
      <c r="N484">
        <f t="shared" si="44"/>
        <v>37</v>
      </c>
      <c r="O484">
        <f t="shared" si="45"/>
        <v>1</v>
      </c>
    </row>
    <row r="485" spans="1:15" x14ac:dyDescent="0.25">
      <c r="A485" s="427" t="str">
        <f t="shared" si="46"/>
        <v/>
      </c>
      <c r="B485" s="430" t="str">
        <f t="shared" si="42"/>
        <v/>
      </c>
      <c r="C485" s="433" t="str">
        <f>IFERROR(-LBP/2+HLOOKUP(Stn_WL,Tools!$AD$2:$AD$27,QUOTIENT(ROW()-2,Max_WL_count)+2,FALSE)*STN_GAP,"")</f>
        <v/>
      </c>
      <c r="D485" s="433" t="str">
        <f>IFERROR(VLOOKUP(HLOOKUP(Stn_WL,Tools!$AD$2:$AD$27,QUOTIENT(ROW()-2,Max_WL_count)+2,FALSE),Tools!$AD$3:$BC$27,MOD(ROW()-2,Max_WL_count)+2,FALSE),"")</f>
        <v/>
      </c>
      <c r="E485" s="431" t="str">
        <f>IFERROR(IF(ISNUMBER(D485),HLOOKUP(Tools!$BE$2,Tools!$BE$2:$BE$27,MOD(ROW()-2,Max_WL_count)+2,FALSE)*WLS,""),"")</f>
        <v/>
      </c>
      <c r="I485" s="427" t="str">
        <f t="shared" si="47"/>
        <v/>
      </c>
      <c r="J485" s="430" t="str">
        <f t="shared" si="43"/>
        <v/>
      </c>
      <c r="K485" s="433" t="str">
        <f>IFERROR(-LBP/2+HLOOKUP(Stn_WL,Tools!$AD$2:$AD$27,N485+2,FALSE)*STN_GAP,"")</f>
        <v/>
      </c>
      <c r="L485" s="433" t="str">
        <f>IFERROR(IF(AND(ISNUMBER(K485),O485=0),0,VLOOKUP(HLOOKUP(Stn_WL,Tools!$AD$2:$AD$27,N485+2,FALSE),Tools!$AD$3:$BC$27,O485+1,FALSE)),"")</f>
        <v/>
      </c>
      <c r="M485" s="433" t="str">
        <f>IFERROR(IF(ISNUMBER(L485),IF(O485=0,IFERROR(HLOOKUP(Tools!$BD$127,Tools!$BD$127:$BD$152,N485+2,FALSE)*1,0),HLOOKUP(Tools!$BE$2,Tools!$BE$2:$BE$27,O485+1,FALSE)*WLS),""),"")</f>
        <v/>
      </c>
      <c r="N485">
        <f t="shared" si="44"/>
        <v>37</v>
      </c>
      <c r="O485">
        <f t="shared" si="45"/>
        <v>2</v>
      </c>
    </row>
    <row r="486" spans="1:15" x14ac:dyDescent="0.25">
      <c r="A486" s="427" t="str">
        <f t="shared" si="46"/>
        <v/>
      </c>
      <c r="B486" s="430" t="str">
        <f t="shared" si="42"/>
        <v/>
      </c>
      <c r="C486" s="433" t="str">
        <f>IFERROR(-LBP/2+HLOOKUP(Stn_WL,Tools!$AD$2:$AD$27,QUOTIENT(ROW()-2,Max_WL_count)+2,FALSE)*STN_GAP,"")</f>
        <v/>
      </c>
      <c r="D486" s="433" t="str">
        <f>IFERROR(VLOOKUP(HLOOKUP(Stn_WL,Tools!$AD$2:$AD$27,QUOTIENT(ROW()-2,Max_WL_count)+2,FALSE),Tools!$AD$3:$BC$27,MOD(ROW()-2,Max_WL_count)+2,FALSE),"")</f>
        <v/>
      </c>
      <c r="E486" s="431" t="str">
        <f>IFERROR(IF(ISNUMBER(D486),HLOOKUP(Tools!$BE$2,Tools!$BE$2:$BE$27,MOD(ROW()-2,Max_WL_count)+2,FALSE)*WLS,""),"")</f>
        <v/>
      </c>
      <c r="I486" s="427" t="str">
        <f t="shared" si="47"/>
        <v/>
      </c>
      <c r="J486" s="430" t="str">
        <f t="shared" si="43"/>
        <v/>
      </c>
      <c r="K486" s="433" t="str">
        <f>IFERROR(-LBP/2+HLOOKUP(Stn_WL,Tools!$AD$2:$AD$27,N486+2,FALSE)*STN_GAP,"")</f>
        <v/>
      </c>
      <c r="L486" s="433" t="str">
        <f>IFERROR(IF(AND(ISNUMBER(K486),O486=0),0,VLOOKUP(HLOOKUP(Stn_WL,Tools!$AD$2:$AD$27,N486+2,FALSE),Tools!$AD$3:$BC$27,O486+1,FALSE)),"")</f>
        <v/>
      </c>
      <c r="M486" s="433" t="str">
        <f>IFERROR(IF(ISNUMBER(L486),IF(O486=0,IFERROR(HLOOKUP(Tools!$BD$127,Tools!$BD$127:$BD$152,N486+2,FALSE)*1,0),HLOOKUP(Tools!$BE$2,Tools!$BE$2:$BE$27,O486+1,FALSE)*WLS),""),"")</f>
        <v/>
      </c>
      <c r="N486">
        <f t="shared" si="44"/>
        <v>37</v>
      </c>
      <c r="O486">
        <f t="shared" si="45"/>
        <v>3</v>
      </c>
    </row>
    <row r="487" spans="1:15" x14ac:dyDescent="0.25">
      <c r="A487" s="427" t="str">
        <f t="shared" si="46"/>
        <v/>
      </c>
      <c r="B487" s="430" t="str">
        <f t="shared" si="42"/>
        <v/>
      </c>
      <c r="C487" s="433" t="str">
        <f>IFERROR(-LBP/2+HLOOKUP(Stn_WL,Tools!$AD$2:$AD$27,QUOTIENT(ROW()-2,Max_WL_count)+2,FALSE)*STN_GAP,"")</f>
        <v/>
      </c>
      <c r="D487" s="433" t="str">
        <f>IFERROR(VLOOKUP(HLOOKUP(Stn_WL,Tools!$AD$2:$AD$27,QUOTIENT(ROW()-2,Max_WL_count)+2,FALSE),Tools!$AD$3:$BC$27,MOD(ROW()-2,Max_WL_count)+2,FALSE),"")</f>
        <v/>
      </c>
      <c r="E487" s="431" t="str">
        <f>IFERROR(IF(ISNUMBER(D487),HLOOKUP(Tools!$BE$2,Tools!$BE$2:$BE$27,MOD(ROW()-2,Max_WL_count)+2,FALSE)*WLS,""),"")</f>
        <v/>
      </c>
      <c r="I487" s="427" t="str">
        <f t="shared" si="47"/>
        <v/>
      </c>
      <c r="J487" s="430" t="str">
        <f t="shared" si="43"/>
        <v/>
      </c>
      <c r="K487" s="433" t="str">
        <f>IFERROR(-LBP/2+HLOOKUP(Stn_WL,Tools!$AD$2:$AD$27,N487+2,FALSE)*STN_GAP,"")</f>
        <v/>
      </c>
      <c r="L487" s="433" t="str">
        <f>IFERROR(IF(AND(ISNUMBER(K487),O487=0),0,VLOOKUP(HLOOKUP(Stn_WL,Tools!$AD$2:$AD$27,N487+2,FALSE),Tools!$AD$3:$BC$27,O487+1,FALSE)),"")</f>
        <v/>
      </c>
      <c r="M487" s="433" t="str">
        <f>IFERROR(IF(ISNUMBER(L487),IF(O487=0,IFERROR(HLOOKUP(Tools!$BD$127,Tools!$BD$127:$BD$152,N487+2,FALSE)*1,0),HLOOKUP(Tools!$BE$2,Tools!$BE$2:$BE$27,O487+1,FALSE)*WLS),""),"")</f>
        <v/>
      </c>
      <c r="N487">
        <f t="shared" si="44"/>
        <v>37</v>
      </c>
      <c r="O487">
        <f t="shared" si="45"/>
        <v>4</v>
      </c>
    </row>
    <row r="488" spans="1:15" x14ac:dyDescent="0.25">
      <c r="A488" s="427" t="str">
        <f t="shared" si="46"/>
        <v/>
      </c>
      <c r="B488" s="430" t="str">
        <f t="shared" si="42"/>
        <v/>
      </c>
      <c r="C488" s="433" t="str">
        <f>IFERROR(-LBP/2+HLOOKUP(Stn_WL,Tools!$AD$2:$AD$27,QUOTIENT(ROW()-2,Max_WL_count)+2,FALSE)*STN_GAP,"")</f>
        <v/>
      </c>
      <c r="D488" s="433" t="str">
        <f>IFERROR(VLOOKUP(HLOOKUP(Stn_WL,Tools!$AD$2:$AD$27,QUOTIENT(ROW()-2,Max_WL_count)+2,FALSE),Tools!$AD$3:$BC$27,MOD(ROW()-2,Max_WL_count)+2,FALSE),"")</f>
        <v/>
      </c>
      <c r="E488" s="431" t="str">
        <f>IFERROR(IF(ISNUMBER(D488),HLOOKUP(Tools!$BE$2,Tools!$BE$2:$BE$27,MOD(ROW()-2,Max_WL_count)+2,FALSE)*WLS,""),"")</f>
        <v/>
      </c>
      <c r="I488" s="427" t="str">
        <f t="shared" si="47"/>
        <v/>
      </c>
      <c r="J488" s="430" t="str">
        <f t="shared" si="43"/>
        <v/>
      </c>
      <c r="K488" s="433" t="str">
        <f>IFERROR(-LBP/2+HLOOKUP(Stn_WL,Tools!$AD$2:$AD$27,N488+2,FALSE)*STN_GAP,"")</f>
        <v/>
      </c>
      <c r="L488" s="433" t="str">
        <f>IFERROR(IF(AND(ISNUMBER(K488),O488=0),0,VLOOKUP(HLOOKUP(Stn_WL,Tools!$AD$2:$AD$27,N488+2,FALSE),Tools!$AD$3:$BC$27,O488+1,FALSE)),"")</f>
        <v/>
      </c>
      <c r="M488" s="433" t="str">
        <f>IFERROR(IF(ISNUMBER(L488),IF(O488=0,IFERROR(HLOOKUP(Tools!$BD$127,Tools!$BD$127:$BD$152,N488+2,FALSE)*1,0),HLOOKUP(Tools!$BE$2,Tools!$BE$2:$BE$27,O488+1,FALSE)*WLS),""),"")</f>
        <v/>
      </c>
      <c r="N488">
        <f t="shared" si="44"/>
        <v>37</v>
      </c>
      <c r="O488">
        <f t="shared" si="45"/>
        <v>5</v>
      </c>
    </row>
    <row r="489" spans="1:15" x14ac:dyDescent="0.25">
      <c r="A489" s="427" t="str">
        <f t="shared" si="46"/>
        <v/>
      </c>
      <c r="B489" s="430" t="str">
        <f t="shared" si="42"/>
        <v/>
      </c>
      <c r="C489" s="433" t="str">
        <f>IFERROR(-LBP/2+HLOOKUP(Stn_WL,Tools!$AD$2:$AD$27,QUOTIENT(ROW()-2,Max_WL_count)+2,FALSE)*STN_GAP,"")</f>
        <v/>
      </c>
      <c r="D489" s="433" t="str">
        <f>IFERROR(VLOOKUP(HLOOKUP(Stn_WL,Tools!$AD$2:$AD$27,QUOTIENT(ROW()-2,Max_WL_count)+2,FALSE),Tools!$AD$3:$BC$27,MOD(ROW()-2,Max_WL_count)+2,FALSE),"")</f>
        <v/>
      </c>
      <c r="E489" s="431" t="str">
        <f>IFERROR(IF(ISNUMBER(D489),HLOOKUP(Tools!$BE$2,Tools!$BE$2:$BE$27,MOD(ROW()-2,Max_WL_count)+2,FALSE)*WLS,""),"")</f>
        <v/>
      </c>
      <c r="I489" s="427" t="str">
        <f t="shared" si="47"/>
        <v/>
      </c>
      <c r="J489" s="430" t="str">
        <f t="shared" si="43"/>
        <v/>
      </c>
      <c r="K489" s="433" t="str">
        <f>IFERROR(-LBP/2+HLOOKUP(Stn_WL,Tools!$AD$2:$AD$27,N489+2,FALSE)*STN_GAP,"")</f>
        <v/>
      </c>
      <c r="L489" s="433" t="str">
        <f>IFERROR(IF(AND(ISNUMBER(K489),O489=0),0,VLOOKUP(HLOOKUP(Stn_WL,Tools!$AD$2:$AD$27,N489+2,FALSE),Tools!$AD$3:$BC$27,O489+1,FALSE)),"")</f>
        <v/>
      </c>
      <c r="M489" s="433" t="str">
        <f>IFERROR(IF(ISNUMBER(L489),IF(O489=0,IFERROR(HLOOKUP(Tools!$BD$127,Tools!$BD$127:$BD$152,N489+2,FALSE)*1,0),HLOOKUP(Tools!$BE$2,Tools!$BE$2:$BE$27,O489+1,FALSE)*WLS),""),"")</f>
        <v/>
      </c>
      <c r="N489">
        <f t="shared" si="44"/>
        <v>37</v>
      </c>
      <c r="O489">
        <f t="shared" si="45"/>
        <v>6</v>
      </c>
    </row>
    <row r="490" spans="1:15" x14ac:dyDescent="0.25">
      <c r="A490" s="427" t="str">
        <f t="shared" si="46"/>
        <v/>
      </c>
      <c r="B490" s="430" t="str">
        <f t="shared" si="42"/>
        <v/>
      </c>
      <c r="C490" s="433" t="str">
        <f>IFERROR(-LBP/2+HLOOKUP(Stn_WL,Tools!$AD$2:$AD$27,QUOTIENT(ROW()-2,Max_WL_count)+2,FALSE)*STN_GAP,"")</f>
        <v/>
      </c>
      <c r="D490" s="433" t="str">
        <f>IFERROR(VLOOKUP(HLOOKUP(Stn_WL,Tools!$AD$2:$AD$27,QUOTIENT(ROW()-2,Max_WL_count)+2,FALSE),Tools!$AD$3:$BC$27,MOD(ROW()-2,Max_WL_count)+2,FALSE),"")</f>
        <v/>
      </c>
      <c r="E490" s="431" t="str">
        <f>IFERROR(IF(ISNUMBER(D490),HLOOKUP(Tools!$BE$2,Tools!$BE$2:$BE$27,MOD(ROW()-2,Max_WL_count)+2,FALSE)*WLS,""),"")</f>
        <v/>
      </c>
      <c r="I490" s="427" t="str">
        <f t="shared" si="47"/>
        <v/>
      </c>
      <c r="J490" s="430" t="str">
        <f t="shared" si="43"/>
        <v/>
      </c>
      <c r="K490" s="433" t="str">
        <f>IFERROR(-LBP/2+HLOOKUP(Stn_WL,Tools!$AD$2:$AD$27,N490+2,FALSE)*STN_GAP,"")</f>
        <v/>
      </c>
      <c r="L490" s="433" t="str">
        <f>IFERROR(IF(AND(ISNUMBER(K490),O490=0),0,VLOOKUP(HLOOKUP(Stn_WL,Tools!$AD$2:$AD$27,N490+2,FALSE),Tools!$AD$3:$BC$27,O490+1,FALSE)),"")</f>
        <v/>
      </c>
      <c r="M490" s="433" t="str">
        <f>IFERROR(IF(ISNUMBER(L490),IF(O490=0,IFERROR(HLOOKUP(Tools!$BD$127,Tools!$BD$127:$BD$152,N490+2,FALSE)*1,0),HLOOKUP(Tools!$BE$2,Tools!$BE$2:$BE$27,O490+1,FALSE)*WLS),""),"")</f>
        <v/>
      </c>
      <c r="N490">
        <f t="shared" si="44"/>
        <v>37</v>
      </c>
      <c r="O490">
        <f t="shared" si="45"/>
        <v>7</v>
      </c>
    </row>
    <row r="491" spans="1:15" x14ac:dyDescent="0.25">
      <c r="A491" s="427" t="str">
        <f t="shared" si="46"/>
        <v/>
      </c>
      <c r="B491" s="430" t="str">
        <f t="shared" si="42"/>
        <v/>
      </c>
      <c r="C491" s="433" t="str">
        <f>IFERROR(-LBP/2+HLOOKUP(Stn_WL,Tools!$AD$2:$AD$27,QUOTIENT(ROW()-2,Max_WL_count)+2,FALSE)*STN_GAP,"")</f>
        <v/>
      </c>
      <c r="D491" s="433" t="str">
        <f>IFERROR(VLOOKUP(HLOOKUP(Stn_WL,Tools!$AD$2:$AD$27,QUOTIENT(ROW()-2,Max_WL_count)+2,FALSE),Tools!$AD$3:$BC$27,MOD(ROW()-2,Max_WL_count)+2,FALSE),"")</f>
        <v/>
      </c>
      <c r="E491" s="431" t="str">
        <f>IFERROR(IF(ISNUMBER(D491),HLOOKUP(Tools!$BE$2,Tools!$BE$2:$BE$27,MOD(ROW()-2,Max_WL_count)+2,FALSE)*WLS,""),"")</f>
        <v/>
      </c>
      <c r="I491" s="427" t="str">
        <f t="shared" si="47"/>
        <v/>
      </c>
      <c r="J491" s="430" t="str">
        <f t="shared" si="43"/>
        <v/>
      </c>
      <c r="K491" s="433" t="str">
        <f>IFERROR(-LBP/2+HLOOKUP(Stn_WL,Tools!$AD$2:$AD$27,N491+2,FALSE)*STN_GAP,"")</f>
        <v/>
      </c>
      <c r="L491" s="433" t="str">
        <f>IFERROR(IF(AND(ISNUMBER(K491),O491=0),0,VLOOKUP(HLOOKUP(Stn_WL,Tools!$AD$2:$AD$27,N491+2,FALSE),Tools!$AD$3:$BC$27,O491+1,FALSE)),"")</f>
        <v/>
      </c>
      <c r="M491" s="433" t="str">
        <f>IFERROR(IF(ISNUMBER(L491),IF(O491=0,IFERROR(HLOOKUP(Tools!$BD$127,Tools!$BD$127:$BD$152,N491+2,FALSE)*1,0),HLOOKUP(Tools!$BE$2,Tools!$BE$2:$BE$27,O491+1,FALSE)*WLS),""),"")</f>
        <v/>
      </c>
      <c r="N491">
        <f t="shared" si="44"/>
        <v>37</v>
      </c>
      <c r="O491">
        <f t="shared" si="45"/>
        <v>8</v>
      </c>
    </row>
    <row r="492" spans="1:15" x14ac:dyDescent="0.25">
      <c r="A492" s="427" t="str">
        <f t="shared" si="46"/>
        <v/>
      </c>
      <c r="B492" s="430" t="str">
        <f t="shared" si="42"/>
        <v/>
      </c>
      <c r="C492" s="433" t="str">
        <f>IFERROR(-LBP/2+HLOOKUP(Stn_WL,Tools!$AD$2:$AD$27,QUOTIENT(ROW()-2,Max_WL_count)+2,FALSE)*STN_GAP,"")</f>
        <v/>
      </c>
      <c r="D492" s="433" t="str">
        <f>IFERROR(VLOOKUP(HLOOKUP(Stn_WL,Tools!$AD$2:$AD$27,QUOTIENT(ROW()-2,Max_WL_count)+2,FALSE),Tools!$AD$3:$BC$27,MOD(ROW()-2,Max_WL_count)+2,FALSE),"")</f>
        <v/>
      </c>
      <c r="E492" s="431" t="str">
        <f>IFERROR(IF(ISNUMBER(D492),HLOOKUP(Tools!$BE$2,Tools!$BE$2:$BE$27,MOD(ROW()-2,Max_WL_count)+2,FALSE)*WLS,""),"")</f>
        <v/>
      </c>
      <c r="I492" s="427" t="str">
        <f t="shared" si="47"/>
        <v/>
      </c>
      <c r="J492" s="430" t="str">
        <f t="shared" si="43"/>
        <v/>
      </c>
      <c r="K492" s="433" t="str">
        <f>IFERROR(-LBP/2+HLOOKUP(Stn_WL,Tools!$AD$2:$AD$27,N492+2,FALSE)*STN_GAP,"")</f>
        <v/>
      </c>
      <c r="L492" s="433" t="str">
        <f>IFERROR(IF(AND(ISNUMBER(K492),O492=0),0,VLOOKUP(HLOOKUP(Stn_WL,Tools!$AD$2:$AD$27,N492+2,FALSE),Tools!$AD$3:$BC$27,O492+1,FALSE)),"")</f>
        <v/>
      </c>
      <c r="M492" s="433" t="str">
        <f>IFERROR(IF(ISNUMBER(L492),IF(O492=0,IFERROR(HLOOKUP(Tools!$BD$127,Tools!$BD$127:$BD$152,N492+2,FALSE)*1,0),HLOOKUP(Tools!$BE$2,Tools!$BE$2:$BE$27,O492+1,FALSE)*WLS),""),"")</f>
        <v/>
      </c>
      <c r="N492">
        <f t="shared" si="44"/>
        <v>37</v>
      </c>
      <c r="O492">
        <f t="shared" si="45"/>
        <v>9</v>
      </c>
    </row>
    <row r="493" spans="1:15" x14ac:dyDescent="0.25">
      <c r="A493" s="427" t="str">
        <f t="shared" si="46"/>
        <v/>
      </c>
      <c r="B493" s="430" t="str">
        <f t="shared" si="42"/>
        <v/>
      </c>
      <c r="C493" s="433" t="str">
        <f>IFERROR(-LBP/2+HLOOKUP(Stn_WL,Tools!$AD$2:$AD$27,QUOTIENT(ROW()-2,Max_WL_count)+2,FALSE)*STN_GAP,"")</f>
        <v/>
      </c>
      <c r="D493" s="433" t="str">
        <f>IFERROR(VLOOKUP(HLOOKUP(Stn_WL,Tools!$AD$2:$AD$27,QUOTIENT(ROW()-2,Max_WL_count)+2,FALSE),Tools!$AD$3:$BC$27,MOD(ROW()-2,Max_WL_count)+2,FALSE),"")</f>
        <v/>
      </c>
      <c r="E493" s="431" t="str">
        <f>IFERROR(IF(ISNUMBER(D493),HLOOKUP(Tools!$BE$2,Tools!$BE$2:$BE$27,MOD(ROW()-2,Max_WL_count)+2,FALSE)*WLS,""),"")</f>
        <v/>
      </c>
      <c r="I493" s="427" t="str">
        <f t="shared" si="47"/>
        <v/>
      </c>
      <c r="J493" s="430" t="str">
        <f t="shared" si="43"/>
        <v/>
      </c>
      <c r="K493" s="433" t="str">
        <f>IFERROR(-LBP/2+HLOOKUP(Stn_WL,Tools!$AD$2:$AD$27,N493+2,FALSE)*STN_GAP,"")</f>
        <v/>
      </c>
      <c r="L493" s="433" t="str">
        <f>IFERROR(IF(AND(ISNUMBER(K493),O493=0),0,VLOOKUP(HLOOKUP(Stn_WL,Tools!$AD$2:$AD$27,N493+2,FALSE),Tools!$AD$3:$BC$27,O493+1,FALSE)),"")</f>
        <v/>
      </c>
      <c r="M493" s="433" t="str">
        <f>IFERROR(IF(ISNUMBER(L493),IF(O493=0,IFERROR(HLOOKUP(Tools!$BD$127,Tools!$BD$127:$BD$152,N493+2,FALSE)*1,0),HLOOKUP(Tools!$BE$2,Tools!$BE$2:$BE$27,O493+1,FALSE)*WLS),""),"")</f>
        <v/>
      </c>
      <c r="N493">
        <f t="shared" si="44"/>
        <v>37</v>
      </c>
      <c r="O493">
        <f t="shared" si="45"/>
        <v>10</v>
      </c>
    </row>
    <row r="494" spans="1:15" x14ac:dyDescent="0.25">
      <c r="A494" s="427" t="str">
        <f t="shared" si="46"/>
        <v/>
      </c>
      <c r="B494" s="430" t="str">
        <f t="shared" si="42"/>
        <v/>
      </c>
      <c r="C494" s="433" t="str">
        <f>IFERROR(-LBP/2+HLOOKUP(Stn_WL,Tools!$AD$2:$AD$27,QUOTIENT(ROW()-2,Max_WL_count)+2,FALSE)*STN_GAP,"")</f>
        <v/>
      </c>
      <c r="D494" s="433" t="str">
        <f>IFERROR(VLOOKUP(HLOOKUP(Stn_WL,Tools!$AD$2:$AD$27,QUOTIENT(ROW()-2,Max_WL_count)+2,FALSE),Tools!$AD$3:$BC$27,MOD(ROW()-2,Max_WL_count)+2,FALSE),"")</f>
        <v/>
      </c>
      <c r="E494" s="431" t="str">
        <f>IFERROR(IF(ISNUMBER(D494),HLOOKUP(Tools!$BE$2,Tools!$BE$2:$BE$27,MOD(ROW()-2,Max_WL_count)+2,FALSE)*WLS,""),"")</f>
        <v/>
      </c>
      <c r="I494" s="427" t="str">
        <f t="shared" si="47"/>
        <v/>
      </c>
      <c r="J494" s="430" t="str">
        <f t="shared" si="43"/>
        <v/>
      </c>
      <c r="K494" s="433" t="str">
        <f>IFERROR(-LBP/2+HLOOKUP(Stn_WL,Tools!$AD$2:$AD$27,N494+2,FALSE)*STN_GAP,"")</f>
        <v/>
      </c>
      <c r="L494" s="433" t="str">
        <f>IFERROR(IF(AND(ISNUMBER(K494),O494=0),0,VLOOKUP(HLOOKUP(Stn_WL,Tools!$AD$2:$AD$27,N494+2,FALSE),Tools!$AD$3:$BC$27,O494+1,FALSE)),"")</f>
        <v/>
      </c>
      <c r="M494" s="433" t="str">
        <f>IFERROR(IF(ISNUMBER(L494),IF(O494=0,IFERROR(HLOOKUP(Tools!$BD$127,Tools!$BD$127:$BD$152,N494+2,FALSE)*1,0),HLOOKUP(Tools!$BE$2,Tools!$BE$2:$BE$27,O494+1,FALSE)*WLS),""),"")</f>
        <v/>
      </c>
      <c r="N494">
        <f t="shared" si="44"/>
        <v>37</v>
      </c>
      <c r="O494">
        <f t="shared" si="45"/>
        <v>11</v>
      </c>
    </row>
    <row r="495" spans="1:15" x14ac:dyDescent="0.25">
      <c r="A495" s="427" t="str">
        <f t="shared" si="46"/>
        <v/>
      </c>
      <c r="B495" s="430" t="str">
        <f t="shared" si="42"/>
        <v/>
      </c>
      <c r="C495" s="433" t="str">
        <f>IFERROR(-LBP/2+HLOOKUP(Stn_WL,Tools!$AD$2:$AD$27,QUOTIENT(ROW()-2,Max_WL_count)+2,FALSE)*STN_GAP,"")</f>
        <v/>
      </c>
      <c r="D495" s="433" t="str">
        <f>IFERROR(VLOOKUP(HLOOKUP(Stn_WL,Tools!$AD$2:$AD$27,QUOTIENT(ROW()-2,Max_WL_count)+2,FALSE),Tools!$AD$3:$BC$27,MOD(ROW()-2,Max_WL_count)+2,FALSE),"")</f>
        <v/>
      </c>
      <c r="E495" s="431" t="str">
        <f>IFERROR(IF(ISNUMBER(D495),HLOOKUP(Tools!$BE$2,Tools!$BE$2:$BE$27,MOD(ROW()-2,Max_WL_count)+2,FALSE)*WLS,""),"")</f>
        <v/>
      </c>
      <c r="I495" s="427" t="str">
        <f t="shared" si="47"/>
        <v/>
      </c>
      <c r="J495" s="430" t="str">
        <f t="shared" si="43"/>
        <v/>
      </c>
      <c r="K495" s="433" t="str">
        <f>IFERROR(-LBP/2+HLOOKUP(Stn_WL,Tools!$AD$2:$AD$27,N495+2,FALSE)*STN_GAP,"")</f>
        <v/>
      </c>
      <c r="L495" s="433" t="str">
        <f>IFERROR(IF(AND(ISNUMBER(K495),O495=0),0,VLOOKUP(HLOOKUP(Stn_WL,Tools!$AD$2:$AD$27,N495+2,FALSE),Tools!$AD$3:$BC$27,O495+1,FALSE)),"")</f>
        <v/>
      </c>
      <c r="M495" s="433" t="str">
        <f>IFERROR(IF(ISNUMBER(L495),IF(O495=0,IFERROR(HLOOKUP(Tools!$BD$127,Tools!$BD$127:$BD$152,N495+2,FALSE)*1,0),HLOOKUP(Tools!$BE$2,Tools!$BE$2:$BE$27,O495+1,FALSE)*WLS),""),"")</f>
        <v/>
      </c>
      <c r="N495">
        <f t="shared" si="44"/>
        <v>37</v>
      </c>
      <c r="O495">
        <f t="shared" si="45"/>
        <v>12</v>
      </c>
    </row>
    <row r="496" spans="1:15" x14ac:dyDescent="0.25">
      <c r="A496" s="427" t="str">
        <f t="shared" si="46"/>
        <v/>
      </c>
      <c r="B496" s="430" t="str">
        <f t="shared" si="42"/>
        <v/>
      </c>
      <c r="C496" s="433" t="str">
        <f>IFERROR(-LBP/2+HLOOKUP(Stn_WL,Tools!$AD$2:$AD$27,QUOTIENT(ROW()-2,Max_WL_count)+2,FALSE)*STN_GAP,"")</f>
        <v/>
      </c>
      <c r="D496" s="433" t="str">
        <f>IFERROR(VLOOKUP(HLOOKUP(Stn_WL,Tools!$AD$2:$AD$27,QUOTIENT(ROW()-2,Max_WL_count)+2,FALSE),Tools!$AD$3:$BC$27,MOD(ROW()-2,Max_WL_count)+2,FALSE),"")</f>
        <v/>
      </c>
      <c r="E496" s="431" t="str">
        <f>IFERROR(IF(ISNUMBER(D496),HLOOKUP(Tools!$BE$2,Tools!$BE$2:$BE$27,MOD(ROW()-2,Max_WL_count)+2,FALSE)*WLS,""),"")</f>
        <v/>
      </c>
      <c r="I496" s="427" t="str">
        <f t="shared" si="47"/>
        <v/>
      </c>
      <c r="J496" s="430" t="str">
        <f t="shared" si="43"/>
        <v/>
      </c>
      <c r="K496" s="433" t="str">
        <f>IFERROR(-LBP/2+HLOOKUP(Stn_WL,Tools!$AD$2:$AD$27,N496+2,FALSE)*STN_GAP,"")</f>
        <v/>
      </c>
      <c r="L496" s="433" t="str">
        <f>IFERROR(IF(AND(ISNUMBER(K496),O496=0),0,VLOOKUP(HLOOKUP(Stn_WL,Tools!$AD$2:$AD$27,N496+2,FALSE),Tools!$AD$3:$BC$27,O496+1,FALSE)),"")</f>
        <v/>
      </c>
      <c r="M496" s="433" t="str">
        <f>IFERROR(IF(ISNUMBER(L496),IF(O496=0,IFERROR(HLOOKUP(Tools!$BD$127,Tools!$BD$127:$BD$152,N496+2,FALSE)*1,0),HLOOKUP(Tools!$BE$2,Tools!$BE$2:$BE$27,O496+1,FALSE)*WLS),""),"")</f>
        <v/>
      </c>
      <c r="N496">
        <f t="shared" si="44"/>
        <v>38</v>
      </c>
      <c r="O496">
        <f t="shared" si="45"/>
        <v>0</v>
      </c>
    </row>
    <row r="497" spans="1:15" x14ac:dyDescent="0.25">
      <c r="A497" s="427" t="str">
        <f t="shared" si="46"/>
        <v/>
      </c>
      <c r="B497" s="430" t="str">
        <f t="shared" si="42"/>
        <v/>
      </c>
      <c r="C497" s="433" t="str">
        <f>IFERROR(-LBP/2+HLOOKUP(Stn_WL,Tools!$AD$2:$AD$27,QUOTIENT(ROW()-2,Max_WL_count)+2,FALSE)*STN_GAP,"")</f>
        <v/>
      </c>
      <c r="D497" s="433" t="str">
        <f>IFERROR(VLOOKUP(HLOOKUP(Stn_WL,Tools!$AD$2:$AD$27,QUOTIENT(ROW()-2,Max_WL_count)+2,FALSE),Tools!$AD$3:$BC$27,MOD(ROW()-2,Max_WL_count)+2,FALSE),"")</f>
        <v/>
      </c>
      <c r="E497" s="431" t="str">
        <f>IFERROR(IF(ISNUMBER(D497),HLOOKUP(Tools!$BE$2,Tools!$BE$2:$BE$27,MOD(ROW()-2,Max_WL_count)+2,FALSE)*WLS,""),"")</f>
        <v/>
      </c>
      <c r="I497" s="427" t="str">
        <f t="shared" si="47"/>
        <v/>
      </c>
      <c r="J497" s="430" t="str">
        <f t="shared" si="43"/>
        <v/>
      </c>
      <c r="K497" s="433" t="str">
        <f>IFERROR(-LBP/2+HLOOKUP(Stn_WL,Tools!$AD$2:$AD$27,N497+2,FALSE)*STN_GAP,"")</f>
        <v/>
      </c>
      <c r="L497" s="433" t="str">
        <f>IFERROR(IF(AND(ISNUMBER(K497),O497=0),0,VLOOKUP(HLOOKUP(Stn_WL,Tools!$AD$2:$AD$27,N497+2,FALSE),Tools!$AD$3:$BC$27,O497+1,FALSE)),"")</f>
        <v/>
      </c>
      <c r="M497" s="433" t="str">
        <f>IFERROR(IF(ISNUMBER(L497),IF(O497=0,IFERROR(HLOOKUP(Tools!$BD$127,Tools!$BD$127:$BD$152,N497+2,FALSE)*1,0),HLOOKUP(Tools!$BE$2,Tools!$BE$2:$BE$27,O497+1,FALSE)*WLS),""),"")</f>
        <v/>
      </c>
      <c r="N497">
        <f t="shared" si="44"/>
        <v>38</v>
      </c>
      <c r="O497">
        <f t="shared" si="45"/>
        <v>1</v>
      </c>
    </row>
    <row r="498" spans="1:15" x14ac:dyDescent="0.25">
      <c r="A498" s="427" t="str">
        <f t="shared" si="46"/>
        <v/>
      </c>
      <c r="B498" s="430" t="str">
        <f t="shared" si="42"/>
        <v/>
      </c>
      <c r="C498" s="433" t="str">
        <f>IFERROR(-LBP/2+HLOOKUP(Stn_WL,Tools!$AD$2:$AD$27,QUOTIENT(ROW()-2,Max_WL_count)+2,FALSE)*STN_GAP,"")</f>
        <v/>
      </c>
      <c r="D498" s="433" t="str">
        <f>IFERROR(VLOOKUP(HLOOKUP(Stn_WL,Tools!$AD$2:$AD$27,QUOTIENT(ROW()-2,Max_WL_count)+2,FALSE),Tools!$AD$3:$BC$27,MOD(ROW()-2,Max_WL_count)+2,FALSE),"")</f>
        <v/>
      </c>
      <c r="E498" s="431" t="str">
        <f>IFERROR(IF(ISNUMBER(D498),HLOOKUP(Tools!$BE$2,Tools!$BE$2:$BE$27,MOD(ROW()-2,Max_WL_count)+2,FALSE)*WLS,""),"")</f>
        <v/>
      </c>
      <c r="I498" s="427" t="str">
        <f t="shared" si="47"/>
        <v/>
      </c>
      <c r="J498" s="430" t="str">
        <f t="shared" si="43"/>
        <v/>
      </c>
      <c r="K498" s="433" t="str">
        <f>IFERROR(-LBP/2+HLOOKUP(Stn_WL,Tools!$AD$2:$AD$27,N498+2,FALSE)*STN_GAP,"")</f>
        <v/>
      </c>
      <c r="L498" s="433" t="str">
        <f>IFERROR(IF(AND(ISNUMBER(K498),O498=0),0,VLOOKUP(HLOOKUP(Stn_WL,Tools!$AD$2:$AD$27,N498+2,FALSE),Tools!$AD$3:$BC$27,O498+1,FALSE)),"")</f>
        <v/>
      </c>
      <c r="M498" s="433" t="str">
        <f>IFERROR(IF(ISNUMBER(L498),IF(O498=0,IFERROR(HLOOKUP(Tools!$BD$127,Tools!$BD$127:$BD$152,N498+2,FALSE)*1,0),HLOOKUP(Tools!$BE$2,Tools!$BE$2:$BE$27,O498+1,FALSE)*WLS),""),"")</f>
        <v/>
      </c>
      <c r="N498">
        <f t="shared" si="44"/>
        <v>38</v>
      </c>
      <c r="O498">
        <f t="shared" si="45"/>
        <v>2</v>
      </c>
    </row>
    <row r="499" spans="1:15" x14ac:dyDescent="0.25">
      <c r="A499" s="427" t="str">
        <f t="shared" si="46"/>
        <v/>
      </c>
      <c r="B499" s="430" t="str">
        <f t="shared" si="42"/>
        <v/>
      </c>
      <c r="C499" s="433" t="str">
        <f>IFERROR(-LBP/2+HLOOKUP(Stn_WL,Tools!$AD$2:$AD$27,QUOTIENT(ROW()-2,Max_WL_count)+2,FALSE)*STN_GAP,"")</f>
        <v/>
      </c>
      <c r="D499" s="433" t="str">
        <f>IFERROR(VLOOKUP(HLOOKUP(Stn_WL,Tools!$AD$2:$AD$27,QUOTIENT(ROW()-2,Max_WL_count)+2,FALSE),Tools!$AD$3:$BC$27,MOD(ROW()-2,Max_WL_count)+2,FALSE),"")</f>
        <v/>
      </c>
      <c r="E499" s="431" t="str">
        <f>IFERROR(IF(ISNUMBER(D499),HLOOKUP(Tools!$BE$2,Tools!$BE$2:$BE$27,MOD(ROW()-2,Max_WL_count)+2,FALSE)*WLS,""),"")</f>
        <v/>
      </c>
      <c r="I499" s="427" t="str">
        <f t="shared" si="47"/>
        <v/>
      </c>
      <c r="J499" s="430" t="str">
        <f t="shared" si="43"/>
        <v/>
      </c>
      <c r="K499" s="433" t="str">
        <f>IFERROR(-LBP/2+HLOOKUP(Stn_WL,Tools!$AD$2:$AD$27,N499+2,FALSE)*STN_GAP,"")</f>
        <v/>
      </c>
      <c r="L499" s="433" t="str">
        <f>IFERROR(IF(AND(ISNUMBER(K499),O499=0),0,VLOOKUP(HLOOKUP(Stn_WL,Tools!$AD$2:$AD$27,N499+2,FALSE),Tools!$AD$3:$BC$27,O499+1,FALSE)),"")</f>
        <v/>
      </c>
      <c r="M499" s="433" t="str">
        <f>IFERROR(IF(ISNUMBER(L499),IF(O499=0,IFERROR(HLOOKUP(Tools!$BD$127,Tools!$BD$127:$BD$152,N499+2,FALSE)*1,0),HLOOKUP(Tools!$BE$2,Tools!$BE$2:$BE$27,O499+1,FALSE)*WLS),""),"")</f>
        <v/>
      </c>
      <c r="N499">
        <f t="shared" si="44"/>
        <v>38</v>
      </c>
      <c r="O499">
        <f t="shared" si="45"/>
        <v>3</v>
      </c>
    </row>
    <row r="500" spans="1:15" x14ac:dyDescent="0.25">
      <c r="A500" s="427" t="str">
        <f t="shared" si="46"/>
        <v/>
      </c>
      <c r="B500" s="430" t="str">
        <f t="shared" si="42"/>
        <v/>
      </c>
      <c r="C500" s="433" t="str">
        <f>IFERROR(-LBP/2+HLOOKUP(Stn_WL,Tools!$AD$2:$AD$27,QUOTIENT(ROW()-2,Max_WL_count)+2,FALSE)*STN_GAP,"")</f>
        <v/>
      </c>
      <c r="D500" s="433" t="str">
        <f>IFERROR(VLOOKUP(HLOOKUP(Stn_WL,Tools!$AD$2:$AD$27,QUOTIENT(ROW()-2,Max_WL_count)+2,FALSE),Tools!$AD$3:$BC$27,MOD(ROW()-2,Max_WL_count)+2,FALSE),"")</f>
        <v/>
      </c>
      <c r="E500" s="431" t="str">
        <f>IFERROR(IF(ISNUMBER(D500),HLOOKUP(Tools!$BE$2,Tools!$BE$2:$BE$27,MOD(ROW()-2,Max_WL_count)+2,FALSE)*WLS,""),"")</f>
        <v/>
      </c>
      <c r="I500" s="427" t="str">
        <f t="shared" si="47"/>
        <v/>
      </c>
      <c r="J500" s="430" t="str">
        <f t="shared" si="43"/>
        <v/>
      </c>
      <c r="K500" s="433" t="str">
        <f>IFERROR(-LBP/2+HLOOKUP(Stn_WL,Tools!$AD$2:$AD$27,N500+2,FALSE)*STN_GAP,"")</f>
        <v/>
      </c>
      <c r="L500" s="433" t="str">
        <f>IFERROR(IF(AND(ISNUMBER(K500),O500=0),0,VLOOKUP(HLOOKUP(Stn_WL,Tools!$AD$2:$AD$27,N500+2,FALSE),Tools!$AD$3:$BC$27,O500+1,FALSE)),"")</f>
        <v/>
      </c>
      <c r="M500" s="433" t="str">
        <f>IFERROR(IF(ISNUMBER(L500),IF(O500=0,IFERROR(HLOOKUP(Tools!$BD$127,Tools!$BD$127:$BD$152,N500+2,FALSE)*1,0),HLOOKUP(Tools!$BE$2,Tools!$BE$2:$BE$27,O500+1,FALSE)*WLS),""),"")</f>
        <v/>
      </c>
      <c r="N500">
        <f t="shared" si="44"/>
        <v>38</v>
      </c>
      <c r="O500">
        <f t="shared" si="45"/>
        <v>4</v>
      </c>
    </row>
    <row r="501" spans="1:15" x14ac:dyDescent="0.25">
      <c r="A501" s="427" t="str">
        <f t="shared" si="46"/>
        <v/>
      </c>
      <c r="B501" s="430" t="str">
        <f t="shared" si="42"/>
        <v/>
      </c>
      <c r="C501" s="433" t="str">
        <f>IFERROR(-LBP/2+HLOOKUP(Stn_WL,Tools!$AD$2:$AD$27,QUOTIENT(ROW()-2,Max_WL_count)+2,FALSE)*STN_GAP,"")</f>
        <v/>
      </c>
      <c r="D501" s="433" t="str">
        <f>IFERROR(VLOOKUP(HLOOKUP(Stn_WL,Tools!$AD$2:$AD$27,QUOTIENT(ROW()-2,Max_WL_count)+2,FALSE),Tools!$AD$3:$BC$27,MOD(ROW()-2,Max_WL_count)+2,FALSE),"")</f>
        <v/>
      </c>
      <c r="E501" s="431" t="str">
        <f>IFERROR(IF(ISNUMBER(D501),HLOOKUP(Tools!$BE$2,Tools!$BE$2:$BE$27,MOD(ROW()-2,Max_WL_count)+2,FALSE)*WLS,""),"")</f>
        <v/>
      </c>
      <c r="I501" s="427" t="str">
        <f t="shared" si="47"/>
        <v/>
      </c>
      <c r="J501" s="430" t="str">
        <f t="shared" si="43"/>
        <v/>
      </c>
      <c r="K501" s="433" t="str">
        <f>IFERROR(-LBP/2+HLOOKUP(Stn_WL,Tools!$AD$2:$AD$27,N501+2,FALSE)*STN_GAP,"")</f>
        <v/>
      </c>
      <c r="L501" s="433" t="str">
        <f>IFERROR(IF(AND(ISNUMBER(K501),O501=0),0,VLOOKUP(HLOOKUP(Stn_WL,Tools!$AD$2:$AD$27,N501+2,FALSE),Tools!$AD$3:$BC$27,O501+1,FALSE)),"")</f>
        <v/>
      </c>
      <c r="M501" s="433" t="str">
        <f>IFERROR(IF(ISNUMBER(L501),IF(O501=0,IFERROR(HLOOKUP(Tools!$BD$127,Tools!$BD$127:$BD$152,N501+2,FALSE)*1,0),HLOOKUP(Tools!$BE$2,Tools!$BE$2:$BE$27,O501+1,FALSE)*WLS),""),"")</f>
        <v/>
      </c>
      <c r="N501">
        <f t="shared" si="44"/>
        <v>38</v>
      </c>
      <c r="O501">
        <f t="shared" si="45"/>
        <v>5</v>
      </c>
    </row>
    <row r="502" spans="1:15" x14ac:dyDescent="0.25">
      <c r="A502" s="427" t="str">
        <f t="shared" si="46"/>
        <v/>
      </c>
      <c r="B502" s="430" t="str">
        <f t="shared" si="42"/>
        <v/>
      </c>
      <c r="C502" s="433" t="str">
        <f>IFERROR(-LBP/2+HLOOKUP(Stn_WL,Tools!$AD$2:$AD$27,QUOTIENT(ROW()-2,Max_WL_count)+2,FALSE)*STN_GAP,"")</f>
        <v/>
      </c>
      <c r="D502" s="433" t="str">
        <f>IFERROR(VLOOKUP(HLOOKUP(Stn_WL,Tools!$AD$2:$AD$27,QUOTIENT(ROW()-2,Max_WL_count)+2,FALSE),Tools!$AD$3:$BC$27,MOD(ROW()-2,Max_WL_count)+2,FALSE),"")</f>
        <v/>
      </c>
      <c r="E502" s="431" t="str">
        <f>IFERROR(IF(ISNUMBER(D502),HLOOKUP(Tools!$BE$2,Tools!$BE$2:$BE$27,MOD(ROW()-2,Max_WL_count)+2,FALSE)*WLS,""),"")</f>
        <v/>
      </c>
      <c r="I502" s="427" t="str">
        <f t="shared" si="47"/>
        <v/>
      </c>
      <c r="J502" s="430" t="str">
        <f t="shared" si="43"/>
        <v/>
      </c>
      <c r="K502" s="433" t="str">
        <f>IFERROR(-LBP/2+HLOOKUP(Stn_WL,Tools!$AD$2:$AD$27,N502+2,FALSE)*STN_GAP,"")</f>
        <v/>
      </c>
      <c r="L502" s="433" t="str">
        <f>IFERROR(IF(AND(ISNUMBER(K502),O502=0),0,VLOOKUP(HLOOKUP(Stn_WL,Tools!$AD$2:$AD$27,N502+2,FALSE),Tools!$AD$3:$BC$27,O502+1,FALSE)),"")</f>
        <v/>
      </c>
      <c r="M502" s="433" t="str">
        <f>IFERROR(IF(ISNUMBER(L502),IF(O502=0,IFERROR(HLOOKUP(Tools!$BD$127,Tools!$BD$127:$BD$152,N502+2,FALSE)*1,0),HLOOKUP(Tools!$BE$2,Tools!$BE$2:$BE$27,O502+1,FALSE)*WLS),""),"")</f>
        <v/>
      </c>
      <c r="N502">
        <f t="shared" si="44"/>
        <v>38</v>
      </c>
      <c r="O502">
        <f t="shared" si="45"/>
        <v>6</v>
      </c>
    </row>
    <row r="503" spans="1:15" x14ac:dyDescent="0.25">
      <c r="A503" s="427" t="str">
        <f t="shared" si="46"/>
        <v/>
      </c>
      <c r="B503" s="430" t="str">
        <f t="shared" si="42"/>
        <v/>
      </c>
      <c r="C503" s="433" t="str">
        <f>IFERROR(-LBP/2+HLOOKUP(Stn_WL,Tools!$AD$2:$AD$27,QUOTIENT(ROW()-2,Max_WL_count)+2,FALSE)*STN_GAP,"")</f>
        <v/>
      </c>
      <c r="D503" s="433" t="str">
        <f>IFERROR(VLOOKUP(HLOOKUP(Stn_WL,Tools!$AD$2:$AD$27,QUOTIENT(ROW()-2,Max_WL_count)+2,FALSE),Tools!$AD$3:$BC$27,MOD(ROW()-2,Max_WL_count)+2,FALSE),"")</f>
        <v/>
      </c>
      <c r="E503" s="431" t="str">
        <f>IFERROR(IF(ISNUMBER(D503),HLOOKUP(Tools!$BE$2,Tools!$BE$2:$BE$27,MOD(ROW()-2,Max_WL_count)+2,FALSE)*WLS,""),"")</f>
        <v/>
      </c>
      <c r="I503" s="427" t="str">
        <f t="shared" si="47"/>
        <v/>
      </c>
      <c r="J503" s="430" t="str">
        <f t="shared" si="43"/>
        <v/>
      </c>
      <c r="K503" s="433" t="str">
        <f>IFERROR(-LBP/2+HLOOKUP(Stn_WL,Tools!$AD$2:$AD$27,N503+2,FALSE)*STN_GAP,"")</f>
        <v/>
      </c>
      <c r="L503" s="433" t="str">
        <f>IFERROR(IF(AND(ISNUMBER(K503),O503=0),0,VLOOKUP(HLOOKUP(Stn_WL,Tools!$AD$2:$AD$27,N503+2,FALSE),Tools!$AD$3:$BC$27,O503+1,FALSE)),"")</f>
        <v/>
      </c>
      <c r="M503" s="433" t="str">
        <f>IFERROR(IF(ISNUMBER(L503),IF(O503=0,IFERROR(HLOOKUP(Tools!$BD$127,Tools!$BD$127:$BD$152,N503+2,FALSE)*1,0),HLOOKUP(Tools!$BE$2,Tools!$BE$2:$BE$27,O503+1,FALSE)*WLS),""),"")</f>
        <v/>
      </c>
      <c r="N503">
        <f t="shared" si="44"/>
        <v>38</v>
      </c>
      <c r="O503">
        <f t="shared" si="45"/>
        <v>7</v>
      </c>
    </row>
    <row r="504" spans="1:15" x14ac:dyDescent="0.25">
      <c r="A504" s="427" t="str">
        <f t="shared" si="46"/>
        <v/>
      </c>
      <c r="B504" s="430" t="str">
        <f t="shared" si="42"/>
        <v/>
      </c>
      <c r="C504" s="433" t="str">
        <f>IFERROR(-LBP/2+HLOOKUP(Stn_WL,Tools!$AD$2:$AD$27,QUOTIENT(ROW()-2,Max_WL_count)+2,FALSE)*STN_GAP,"")</f>
        <v/>
      </c>
      <c r="D504" s="433" t="str">
        <f>IFERROR(VLOOKUP(HLOOKUP(Stn_WL,Tools!$AD$2:$AD$27,QUOTIENT(ROW()-2,Max_WL_count)+2,FALSE),Tools!$AD$3:$BC$27,MOD(ROW()-2,Max_WL_count)+2,FALSE),"")</f>
        <v/>
      </c>
      <c r="E504" s="431" t="str">
        <f>IFERROR(IF(ISNUMBER(D504),HLOOKUP(Tools!$BE$2,Tools!$BE$2:$BE$27,MOD(ROW()-2,Max_WL_count)+2,FALSE)*WLS,""),"")</f>
        <v/>
      </c>
      <c r="I504" s="427" t="str">
        <f t="shared" si="47"/>
        <v/>
      </c>
      <c r="J504" s="430" t="str">
        <f t="shared" si="43"/>
        <v/>
      </c>
      <c r="K504" s="433" t="str">
        <f>IFERROR(-LBP/2+HLOOKUP(Stn_WL,Tools!$AD$2:$AD$27,N504+2,FALSE)*STN_GAP,"")</f>
        <v/>
      </c>
      <c r="L504" s="433" t="str">
        <f>IFERROR(IF(AND(ISNUMBER(K504),O504=0),0,VLOOKUP(HLOOKUP(Stn_WL,Tools!$AD$2:$AD$27,N504+2,FALSE),Tools!$AD$3:$BC$27,O504+1,FALSE)),"")</f>
        <v/>
      </c>
      <c r="M504" s="433" t="str">
        <f>IFERROR(IF(ISNUMBER(L504),IF(O504=0,IFERROR(HLOOKUP(Tools!$BD$127,Tools!$BD$127:$BD$152,N504+2,FALSE)*1,0),HLOOKUP(Tools!$BE$2,Tools!$BE$2:$BE$27,O504+1,FALSE)*WLS),""),"")</f>
        <v/>
      </c>
      <c r="N504">
        <f t="shared" si="44"/>
        <v>38</v>
      </c>
      <c r="O504">
        <f t="shared" si="45"/>
        <v>8</v>
      </c>
    </row>
    <row r="505" spans="1:15" x14ac:dyDescent="0.25">
      <c r="A505" s="427" t="str">
        <f t="shared" si="46"/>
        <v/>
      </c>
      <c r="B505" s="430" t="str">
        <f t="shared" si="42"/>
        <v/>
      </c>
      <c r="C505" s="433" t="str">
        <f>IFERROR(-LBP/2+HLOOKUP(Stn_WL,Tools!$AD$2:$AD$27,QUOTIENT(ROW()-2,Max_WL_count)+2,FALSE)*STN_GAP,"")</f>
        <v/>
      </c>
      <c r="D505" s="433" t="str">
        <f>IFERROR(VLOOKUP(HLOOKUP(Stn_WL,Tools!$AD$2:$AD$27,QUOTIENT(ROW()-2,Max_WL_count)+2,FALSE),Tools!$AD$3:$BC$27,MOD(ROW()-2,Max_WL_count)+2,FALSE),"")</f>
        <v/>
      </c>
      <c r="E505" s="431" t="str">
        <f>IFERROR(IF(ISNUMBER(D505),HLOOKUP(Tools!$BE$2,Tools!$BE$2:$BE$27,MOD(ROW()-2,Max_WL_count)+2,FALSE)*WLS,""),"")</f>
        <v/>
      </c>
      <c r="I505" s="427" t="str">
        <f t="shared" si="47"/>
        <v/>
      </c>
      <c r="J505" s="430" t="str">
        <f t="shared" si="43"/>
        <v/>
      </c>
      <c r="K505" s="433" t="str">
        <f>IFERROR(-LBP/2+HLOOKUP(Stn_WL,Tools!$AD$2:$AD$27,N505+2,FALSE)*STN_GAP,"")</f>
        <v/>
      </c>
      <c r="L505" s="433" t="str">
        <f>IFERROR(IF(AND(ISNUMBER(K505),O505=0),0,VLOOKUP(HLOOKUP(Stn_WL,Tools!$AD$2:$AD$27,N505+2,FALSE),Tools!$AD$3:$BC$27,O505+1,FALSE)),"")</f>
        <v/>
      </c>
      <c r="M505" s="433" t="str">
        <f>IFERROR(IF(ISNUMBER(L505),IF(O505=0,IFERROR(HLOOKUP(Tools!$BD$127,Tools!$BD$127:$BD$152,N505+2,FALSE)*1,0),HLOOKUP(Tools!$BE$2,Tools!$BE$2:$BE$27,O505+1,FALSE)*WLS),""),"")</f>
        <v/>
      </c>
      <c r="N505">
        <f t="shared" si="44"/>
        <v>38</v>
      </c>
      <c r="O505">
        <f t="shared" si="45"/>
        <v>9</v>
      </c>
    </row>
    <row r="506" spans="1:15" x14ac:dyDescent="0.25">
      <c r="A506" s="427" t="str">
        <f t="shared" si="46"/>
        <v/>
      </c>
      <c r="B506" s="430" t="str">
        <f t="shared" si="42"/>
        <v/>
      </c>
      <c r="C506" s="433" t="str">
        <f>IFERROR(-LBP/2+HLOOKUP(Stn_WL,Tools!$AD$2:$AD$27,QUOTIENT(ROW()-2,Max_WL_count)+2,FALSE)*STN_GAP,"")</f>
        <v/>
      </c>
      <c r="D506" s="433" t="str">
        <f>IFERROR(VLOOKUP(HLOOKUP(Stn_WL,Tools!$AD$2:$AD$27,QUOTIENT(ROW()-2,Max_WL_count)+2,FALSE),Tools!$AD$3:$BC$27,MOD(ROW()-2,Max_WL_count)+2,FALSE),"")</f>
        <v/>
      </c>
      <c r="E506" s="431" t="str">
        <f>IFERROR(IF(ISNUMBER(D506),HLOOKUP(Tools!$BE$2,Tools!$BE$2:$BE$27,MOD(ROW()-2,Max_WL_count)+2,FALSE)*WLS,""),"")</f>
        <v/>
      </c>
      <c r="I506" s="427" t="str">
        <f t="shared" si="47"/>
        <v/>
      </c>
      <c r="J506" s="430" t="str">
        <f t="shared" si="43"/>
        <v/>
      </c>
      <c r="K506" s="433" t="str">
        <f>IFERROR(-LBP/2+HLOOKUP(Stn_WL,Tools!$AD$2:$AD$27,N506+2,FALSE)*STN_GAP,"")</f>
        <v/>
      </c>
      <c r="L506" s="433" t="str">
        <f>IFERROR(IF(AND(ISNUMBER(K506),O506=0),0,VLOOKUP(HLOOKUP(Stn_WL,Tools!$AD$2:$AD$27,N506+2,FALSE),Tools!$AD$3:$BC$27,O506+1,FALSE)),"")</f>
        <v/>
      </c>
      <c r="M506" s="433" t="str">
        <f>IFERROR(IF(ISNUMBER(L506),IF(O506=0,IFERROR(HLOOKUP(Tools!$BD$127,Tools!$BD$127:$BD$152,N506+2,FALSE)*1,0),HLOOKUP(Tools!$BE$2,Tools!$BE$2:$BE$27,O506+1,FALSE)*WLS),""),"")</f>
        <v/>
      </c>
      <c r="N506">
        <f t="shared" si="44"/>
        <v>38</v>
      </c>
      <c r="O506">
        <f t="shared" si="45"/>
        <v>10</v>
      </c>
    </row>
    <row r="507" spans="1:15" x14ac:dyDescent="0.25">
      <c r="A507" s="427" t="str">
        <f t="shared" si="46"/>
        <v/>
      </c>
      <c r="B507" s="430" t="str">
        <f t="shared" si="42"/>
        <v/>
      </c>
      <c r="C507" s="433" t="str">
        <f>IFERROR(-LBP/2+HLOOKUP(Stn_WL,Tools!$AD$2:$AD$27,QUOTIENT(ROW()-2,Max_WL_count)+2,FALSE)*STN_GAP,"")</f>
        <v/>
      </c>
      <c r="D507" s="433" t="str">
        <f>IFERROR(VLOOKUP(HLOOKUP(Stn_WL,Tools!$AD$2:$AD$27,QUOTIENT(ROW()-2,Max_WL_count)+2,FALSE),Tools!$AD$3:$BC$27,MOD(ROW()-2,Max_WL_count)+2,FALSE),"")</f>
        <v/>
      </c>
      <c r="E507" s="431" t="str">
        <f>IFERROR(IF(ISNUMBER(D507),HLOOKUP(Tools!$BE$2,Tools!$BE$2:$BE$27,MOD(ROW()-2,Max_WL_count)+2,FALSE)*WLS,""),"")</f>
        <v/>
      </c>
      <c r="I507" s="427" t="str">
        <f t="shared" si="47"/>
        <v/>
      </c>
      <c r="J507" s="430" t="str">
        <f t="shared" si="43"/>
        <v/>
      </c>
      <c r="K507" s="433" t="str">
        <f>IFERROR(-LBP/2+HLOOKUP(Stn_WL,Tools!$AD$2:$AD$27,N507+2,FALSE)*STN_GAP,"")</f>
        <v/>
      </c>
      <c r="L507" s="433" t="str">
        <f>IFERROR(IF(AND(ISNUMBER(K507),O507=0),0,VLOOKUP(HLOOKUP(Stn_WL,Tools!$AD$2:$AD$27,N507+2,FALSE),Tools!$AD$3:$BC$27,O507+1,FALSE)),"")</f>
        <v/>
      </c>
      <c r="M507" s="433" t="str">
        <f>IFERROR(IF(ISNUMBER(L507),IF(O507=0,IFERROR(HLOOKUP(Tools!$BD$127,Tools!$BD$127:$BD$152,N507+2,FALSE)*1,0),HLOOKUP(Tools!$BE$2,Tools!$BE$2:$BE$27,O507+1,FALSE)*WLS),""),"")</f>
        <v/>
      </c>
      <c r="N507">
        <f t="shared" si="44"/>
        <v>38</v>
      </c>
      <c r="O507">
        <f t="shared" si="45"/>
        <v>11</v>
      </c>
    </row>
    <row r="508" spans="1:15" x14ac:dyDescent="0.25">
      <c r="A508" s="427" t="str">
        <f t="shared" si="46"/>
        <v/>
      </c>
      <c r="B508" s="430" t="str">
        <f t="shared" si="42"/>
        <v/>
      </c>
      <c r="C508" s="433" t="str">
        <f>IFERROR(-LBP/2+HLOOKUP(Stn_WL,Tools!$AD$2:$AD$27,QUOTIENT(ROW()-2,Max_WL_count)+2,FALSE)*STN_GAP,"")</f>
        <v/>
      </c>
      <c r="D508" s="433" t="str">
        <f>IFERROR(VLOOKUP(HLOOKUP(Stn_WL,Tools!$AD$2:$AD$27,QUOTIENT(ROW()-2,Max_WL_count)+2,FALSE),Tools!$AD$3:$BC$27,MOD(ROW()-2,Max_WL_count)+2,FALSE),"")</f>
        <v/>
      </c>
      <c r="E508" s="431" t="str">
        <f>IFERROR(IF(ISNUMBER(D508),HLOOKUP(Tools!$BE$2,Tools!$BE$2:$BE$27,MOD(ROW()-2,Max_WL_count)+2,FALSE)*WLS,""),"")</f>
        <v/>
      </c>
      <c r="I508" s="427" t="str">
        <f t="shared" si="47"/>
        <v/>
      </c>
      <c r="J508" s="430" t="str">
        <f t="shared" si="43"/>
        <v/>
      </c>
      <c r="K508" s="433" t="str">
        <f>IFERROR(-LBP/2+HLOOKUP(Stn_WL,Tools!$AD$2:$AD$27,N508+2,FALSE)*STN_GAP,"")</f>
        <v/>
      </c>
      <c r="L508" s="433" t="str">
        <f>IFERROR(IF(AND(ISNUMBER(K508),O508=0),0,VLOOKUP(HLOOKUP(Stn_WL,Tools!$AD$2:$AD$27,N508+2,FALSE),Tools!$AD$3:$BC$27,O508+1,FALSE)),"")</f>
        <v/>
      </c>
      <c r="M508" s="433" t="str">
        <f>IFERROR(IF(ISNUMBER(L508),IF(O508=0,IFERROR(HLOOKUP(Tools!$BD$127,Tools!$BD$127:$BD$152,N508+2,FALSE)*1,0),HLOOKUP(Tools!$BE$2,Tools!$BE$2:$BE$27,O508+1,FALSE)*WLS),""),"")</f>
        <v/>
      </c>
      <c r="N508">
        <f t="shared" si="44"/>
        <v>38</v>
      </c>
      <c r="O508">
        <f t="shared" si="45"/>
        <v>12</v>
      </c>
    </row>
    <row r="509" spans="1:15" x14ac:dyDescent="0.25">
      <c r="A509" s="427" t="str">
        <f t="shared" si="46"/>
        <v/>
      </c>
      <c r="B509" s="430" t="str">
        <f t="shared" si="42"/>
        <v/>
      </c>
      <c r="C509" s="433" t="str">
        <f>IFERROR(-LBP/2+HLOOKUP(Stn_WL,Tools!$AD$2:$AD$27,QUOTIENT(ROW()-2,Max_WL_count)+2,FALSE)*STN_GAP,"")</f>
        <v/>
      </c>
      <c r="D509" s="433" t="str">
        <f>IFERROR(VLOOKUP(HLOOKUP(Stn_WL,Tools!$AD$2:$AD$27,QUOTIENT(ROW()-2,Max_WL_count)+2,FALSE),Tools!$AD$3:$BC$27,MOD(ROW()-2,Max_WL_count)+2,FALSE),"")</f>
        <v/>
      </c>
      <c r="E509" s="431" t="str">
        <f>IFERROR(IF(ISNUMBER(D509),HLOOKUP(Tools!$BE$2,Tools!$BE$2:$BE$27,MOD(ROW()-2,Max_WL_count)+2,FALSE)*WLS,""),"")</f>
        <v/>
      </c>
      <c r="I509" s="427" t="str">
        <f t="shared" si="47"/>
        <v/>
      </c>
      <c r="J509" s="430" t="str">
        <f t="shared" si="43"/>
        <v/>
      </c>
      <c r="K509" s="433" t="str">
        <f>IFERROR(-LBP/2+HLOOKUP(Stn_WL,Tools!$AD$2:$AD$27,N509+2,FALSE)*STN_GAP,"")</f>
        <v/>
      </c>
      <c r="L509" s="433" t="str">
        <f>IFERROR(IF(AND(ISNUMBER(K509),O509=0),0,VLOOKUP(HLOOKUP(Stn_WL,Tools!$AD$2:$AD$27,N509+2,FALSE),Tools!$AD$3:$BC$27,O509+1,FALSE)),"")</f>
        <v/>
      </c>
      <c r="M509" s="433" t="str">
        <f>IFERROR(IF(ISNUMBER(L509),IF(O509=0,IFERROR(HLOOKUP(Tools!$BD$127,Tools!$BD$127:$BD$152,N509+2,FALSE)*1,0),HLOOKUP(Tools!$BE$2,Tools!$BE$2:$BE$27,O509+1,FALSE)*WLS),""),"")</f>
        <v/>
      </c>
      <c r="N509">
        <f t="shared" si="44"/>
        <v>39</v>
      </c>
      <c r="O509">
        <f t="shared" si="45"/>
        <v>0</v>
      </c>
    </row>
    <row r="510" spans="1:15" x14ac:dyDescent="0.25">
      <c r="A510" s="427" t="str">
        <f t="shared" si="46"/>
        <v/>
      </c>
      <c r="B510" s="430" t="str">
        <f t="shared" si="42"/>
        <v/>
      </c>
      <c r="C510" s="433" t="str">
        <f>IFERROR(-LBP/2+HLOOKUP(Stn_WL,Tools!$AD$2:$AD$27,QUOTIENT(ROW()-2,Max_WL_count)+2,FALSE)*STN_GAP,"")</f>
        <v/>
      </c>
      <c r="D510" s="433" t="str">
        <f>IFERROR(VLOOKUP(HLOOKUP(Stn_WL,Tools!$AD$2:$AD$27,QUOTIENT(ROW()-2,Max_WL_count)+2,FALSE),Tools!$AD$3:$BC$27,MOD(ROW()-2,Max_WL_count)+2,FALSE),"")</f>
        <v/>
      </c>
      <c r="E510" s="431" t="str">
        <f>IFERROR(IF(ISNUMBER(D510),HLOOKUP(Tools!$BE$2,Tools!$BE$2:$BE$27,MOD(ROW()-2,Max_WL_count)+2,FALSE)*WLS,""),"")</f>
        <v/>
      </c>
      <c r="I510" s="427" t="str">
        <f t="shared" si="47"/>
        <v/>
      </c>
      <c r="J510" s="430" t="str">
        <f t="shared" si="43"/>
        <v/>
      </c>
      <c r="K510" s="433" t="str">
        <f>IFERROR(-LBP/2+HLOOKUP(Stn_WL,Tools!$AD$2:$AD$27,N510+2,FALSE)*STN_GAP,"")</f>
        <v/>
      </c>
      <c r="L510" s="433" t="str">
        <f>IFERROR(IF(AND(ISNUMBER(K510),O510=0),0,VLOOKUP(HLOOKUP(Stn_WL,Tools!$AD$2:$AD$27,N510+2,FALSE),Tools!$AD$3:$BC$27,O510+1,FALSE)),"")</f>
        <v/>
      </c>
      <c r="M510" s="433" t="str">
        <f>IFERROR(IF(ISNUMBER(L510),IF(O510=0,IFERROR(HLOOKUP(Tools!$BD$127,Tools!$BD$127:$BD$152,N510+2,FALSE)*1,0),HLOOKUP(Tools!$BE$2,Tools!$BE$2:$BE$27,O510+1,FALSE)*WLS),""),"")</f>
        <v/>
      </c>
      <c r="N510">
        <f t="shared" si="44"/>
        <v>39</v>
      </c>
      <c r="O510">
        <f t="shared" si="45"/>
        <v>1</v>
      </c>
    </row>
    <row r="511" spans="1:15" x14ac:dyDescent="0.25">
      <c r="A511" s="427" t="str">
        <f t="shared" si="46"/>
        <v/>
      </c>
      <c r="B511" s="430" t="str">
        <f t="shared" si="42"/>
        <v/>
      </c>
      <c r="C511" s="433" t="str">
        <f>IFERROR(-LBP/2+HLOOKUP(Stn_WL,Tools!$AD$2:$AD$27,QUOTIENT(ROW()-2,Max_WL_count)+2,FALSE)*STN_GAP,"")</f>
        <v/>
      </c>
      <c r="D511" s="433" t="str">
        <f>IFERROR(VLOOKUP(HLOOKUP(Stn_WL,Tools!$AD$2:$AD$27,QUOTIENT(ROW()-2,Max_WL_count)+2,FALSE),Tools!$AD$3:$BC$27,MOD(ROW()-2,Max_WL_count)+2,FALSE),"")</f>
        <v/>
      </c>
      <c r="E511" s="431" t="str">
        <f>IFERROR(IF(ISNUMBER(D511),HLOOKUP(Tools!$BE$2,Tools!$BE$2:$BE$27,MOD(ROW()-2,Max_WL_count)+2,FALSE)*WLS,""),"")</f>
        <v/>
      </c>
      <c r="I511" s="427" t="str">
        <f t="shared" si="47"/>
        <v/>
      </c>
      <c r="J511" s="430" t="str">
        <f t="shared" si="43"/>
        <v/>
      </c>
      <c r="K511" s="433" t="str">
        <f>IFERROR(-LBP/2+HLOOKUP(Stn_WL,Tools!$AD$2:$AD$27,N511+2,FALSE)*STN_GAP,"")</f>
        <v/>
      </c>
      <c r="L511" s="433" t="str">
        <f>IFERROR(IF(AND(ISNUMBER(K511),O511=0),0,VLOOKUP(HLOOKUP(Stn_WL,Tools!$AD$2:$AD$27,N511+2,FALSE),Tools!$AD$3:$BC$27,O511+1,FALSE)),"")</f>
        <v/>
      </c>
      <c r="M511" s="433" t="str">
        <f>IFERROR(IF(ISNUMBER(L511),IF(O511=0,IFERROR(HLOOKUP(Tools!$BD$127,Tools!$BD$127:$BD$152,N511+2,FALSE)*1,0),HLOOKUP(Tools!$BE$2,Tools!$BE$2:$BE$27,O511+1,FALSE)*WLS),""),"")</f>
        <v/>
      </c>
      <c r="N511">
        <f t="shared" si="44"/>
        <v>39</v>
      </c>
      <c r="O511">
        <f t="shared" si="45"/>
        <v>2</v>
      </c>
    </row>
    <row r="512" spans="1:15" x14ac:dyDescent="0.25">
      <c r="A512" s="427" t="str">
        <f t="shared" si="46"/>
        <v/>
      </c>
      <c r="B512" s="430" t="str">
        <f t="shared" si="42"/>
        <v/>
      </c>
      <c r="C512" s="433" t="str">
        <f>IFERROR(-LBP/2+HLOOKUP(Stn_WL,Tools!$AD$2:$AD$27,QUOTIENT(ROW()-2,Max_WL_count)+2,FALSE)*STN_GAP,"")</f>
        <v/>
      </c>
      <c r="D512" s="433" t="str">
        <f>IFERROR(VLOOKUP(HLOOKUP(Stn_WL,Tools!$AD$2:$AD$27,QUOTIENT(ROW()-2,Max_WL_count)+2,FALSE),Tools!$AD$3:$BC$27,MOD(ROW()-2,Max_WL_count)+2,FALSE),"")</f>
        <v/>
      </c>
      <c r="E512" s="431" t="str">
        <f>IFERROR(IF(ISNUMBER(D512),HLOOKUP(Tools!$BE$2,Tools!$BE$2:$BE$27,MOD(ROW()-2,Max_WL_count)+2,FALSE)*WLS,""),"")</f>
        <v/>
      </c>
      <c r="I512" s="427" t="str">
        <f t="shared" si="47"/>
        <v/>
      </c>
      <c r="J512" s="430" t="str">
        <f t="shared" si="43"/>
        <v/>
      </c>
      <c r="K512" s="433" t="str">
        <f>IFERROR(-LBP/2+HLOOKUP(Stn_WL,Tools!$AD$2:$AD$27,N512+2,FALSE)*STN_GAP,"")</f>
        <v/>
      </c>
      <c r="L512" s="433" t="str">
        <f>IFERROR(IF(AND(ISNUMBER(K512),O512=0),0,VLOOKUP(HLOOKUP(Stn_WL,Tools!$AD$2:$AD$27,N512+2,FALSE),Tools!$AD$3:$BC$27,O512+1,FALSE)),"")</f>
        <v/>
      </c>
      <c r="M512" s="433" t="str">
        <f>IFERROR(IF(ISNUMBER(L512),IF(O512=0,IFERROR(HLOOKUP(Tools!$BD$127,Tools!$BD$127:$BD$152,N512+2,FALSE)*1,0),HLOOKUP(Tools!$BE$2,Tools!$BE$2:$BE$27,O512+1,FALSE)*WLS),""),"")</f>
        <v/>
      </c>
      <c r="N512">
        <f t="shared" si="44"/>
        <v>39</v>
      </c>
      <c r="O512">
        <f t="shared" si="45"/>
        <v>3</v>
      </c>
    </row>
    <row r="513" spans="1:15" x14ac:dyDescent="0.25">
      <c r="A513" s="427" t="str">
        <f t="shared" si="46"/>
        <v/>
      </c>
      <c r="B513" s="430" t="str">
        <f t="shared" si="42"/>
        <v/>
      </c>
      <c r="C513" s="433" t="str">
        <f>IFERROR(-LBP/2+HLOOKUP(Stn_WL,Tools!$AD$2:$AD$27,QUOTIENT(ROW()-2,Max_WL_count)+2,FALSE)*STN_GAP,"")</f>
        <v/>
      </c>
      <c r="D513" s="433" t="str">
        <f>IFERROR(VLOOKUP(HLOOKUP(Stn_WL,Tools!$AD$2:$AD$27,QUOTIENT(ROW()-2,Max_WL_count)+2,FALSE),Tools!$AD$3:$BC$27,MOD(ROW()-2,Max_WL_count)+2,FALSE),"")</f>
        <v/>
      </c>
      <c r="E513" s="431" t="str">
        <f>IFERROR(IF(ISNUMBER(D513),HLOOKUP(Tools!$BE$2,Tools!$BE$2:$BE$27,MOD(ROW()-2,Max_WL_count)+2,FALSE)*WLS,""),"")</f>
        <v/>
      </c>
      <c r="I513" s="427" t="str">
        <f t="shared" si="47"/>
        <v/>
      </c>
      <c r="J513" s="430" t="str">
        <f t="shared" si="43"/>
        <v/>
      </c>
      <c r="K513" s="433" t="str">
        <f>IFERROR(-LBP/2+HLOOKUP(Stn_WL,Tools!$AD$2:$AD$27,N513+2,FALSE)*STN_GAP,"")</f>
        <v/>
      </c>
      <c r="L513" s="433" t="str">
        <f>IFERROR(IF(AND(ISNUMBER(K513),O513=0),0,VLOOKUP(HLOOKUP(Stn_WL,Tools!$AD$2:$AD$27,N513+2,FALSE),Tools!$AD$3:$BC$27,O513+1,FALSE)),"")</f>
        <v/>
      </c>
      <c r="M513" s="433" t="str">
        <f>IFERROR(IF(ISNUMBER(L513),IF(O513=0,IFERROR(HLOOKUP(Tools!$BD$127,Tools!$BD$127:$BD$152,N513+2,FALSE)*1,0),HLOOKUP(Tools!$BE$2,Tools!$BE$2:$BE$27,O513+1,FALSE)*WLS),""),"")</f>
        <v/>
      </c>
      <c r="N513">
        <f t="shared" si="44"/>
        <v>39</v>
      </c>
      <c r="O513">
        <f t="shared" si="45"/>
        <v>4</v>
      </c>
    </row>
    <row r="514" spans="1:15" x14ac:dyDescent="0.25">
      <c r="A514" s="427" t="str">
        <f t="shared" si="46"/>
        <v/>
      </c>
      <c r="B514" s="430" t="str">
        <f t="shared" ref="B514:B577" si="48">IFERROR(IF(ISNUMBER(D514),QUOTIENT(ROW()-2,Max_WL_count)+1,""),"")</f>
        <v/>
      </c>
      <c r="C514" s="433" t="str">
        <f>IFERROR(-LBP/2+HLOOKUP(Stn_WL,Tools!$AD$2:$AD$27,QUOTIENT(ROW()-2,Max_WL_count)+2,FALSE)*STN_GAP,"")</f>
        <v/>
      </c>
      <c r="D514" s="433" t="str">
        <f>IFERROR(VLOOKUP(HLOOKUP(Stn_WL,Tools!$AD$2:$AD$27,QUOTIENT(ROW()-2,Max_WL_count)+2,FALSE),Tools!$AD$3:$BC$27,MOD(ROW()-2,Max_WL_count)+2,FALSE),"")</f>
        <v/>
      </c>
      <c r="E514" s="431" t="str">
        <f>IFERROR(IF(ISNUMBER(D514),HLOOKUP(Tools!$BE$2,Tools!$BE$2:$BE$27,MOD(ROW()-2,Max_WL_count)+2,FALSE)*WLS,""),"")</f>
        <v/>
      </c>
      <c r="I514" s="427" t="str">
        <f t="shared" si="47"/>
        <v/>
      </c>
      <c r="J514" s="430" t="str">
        <f t="shared" ref="J514:J577" si="49">IFERROR(IF(ISNUMBER(L514),QUOTIENT(ROW()-2,Max_WL_count+1)+1,""),"")</f>
        <v/>
      </c>
      <c r="K514" s="433" t="str">
        <f>IFERROR(-LBP/2+HLOOKUP(Stn_WL,Tools!$AD$2:$AD$27,N514+2,FALSE)*STN_GAP,"")</f>
        <v/>
      </c>
      <c r="L514" s="433" t="str">
        <f>IFERROR(IF(AND(ISNUMBER(K514),O514=0),0,VLOOKUP(HLOOKUP(Stn_WL,Tools!$AD$2:$AD$27,N514+2,FALSE),Tools!$AD$3:$BC$27,O514+1,FALSE)),"")</f>
        <v/>
      </c>
      <c r="M514" s="433" t="str">
        <f>IFERROR(IF(ISNUMBER(L514),IF(O514=0,IFERROR(HLOOKUP(Tools!$BD$127,Tools!$BD$127:$BD$152,N514+2,FALSE)*1,0),HLOOKUP(Tools!$BE$2,Tools!$BE$2:$BE$27,O514+1,FALSE)*WLS),""),"")</f>
        <v/>
      </c>
      <c r="N514">
        <f t="shared" ref="N514:N577" si="50">QUOTIENT(ROW()-2,Max_WL_count+1)</f>
        <v>39</v>
      </c>
      <c r="O514">
        <f t="shared" ref="O514:O577" si="51">MOD(ROW()-2,Max_WL_count+1)</f>
        <v>5</v>
      </c>
    </row>
    <row r="515" spans="1:15" x14ac:dyDescent="0.25">
      <c r="A515" s="427" t="str">
        <f t="shared" ref="A515:A578" si="52">IF(ISNUMBER(D515),ROW()-1,"")</f>
        <v/>
      </c>
      <c r="B515" s="430" t="str">
        <f t="shared" si="48"/>
        <v/>
      </c>
      <c r="C515" s="433" t="str">
        <f>IFERROR(-LBP/2+HLOOKUP(Stn_WL,Tools!$AD$2:$AD$27,QUOTIENT(ROW()-2,Max_WL_count)+2,FALSE)*STN_GAP,"")</f>
        <v/>
      </c>
      <c r="D515" s="433" t="str">
        <f>IFERROR(VLOOKUP(HLOOKUP(Stn_WL,Tools!$AD$2:$AD$27,QUOTIENT(ROW()-2,Max_WL_count)+2,FALSE),Tools!$AD$3:$BC$27,MOD(ROW()-2,Max_WL_count)+2,FALSE),"")</f>
        <v/>
      </c>
      <c r="E515" s="431" t="str">
        <f>IFERROR(IF(ISNUMBER(D515),HLOOKUP(Tools!$BE$2,Tools!$BE$2:$BE$27,MOD(ROW()-2,Max_WL_count)+2,FALSE)*WLS,""),"")</f>
        <v/>
      </c>
      <c r="I515" s="427" t="str">
        <f t="shared" ref="I515:I578" si="53">IF(ISNUMBER(L515),ROW()-1,"")</f>
        <v/>
      </c>
      <c r="J515" s="430" t="str">
        <f t="shared" si="49"/>
        <v/>
      </c>
      <c r="K515" s="433" t="str">
        <f>IFERROR(-LBP/2+HLOOKUP(Stn_WL,Tools!$AD$2:$AD$27,N515+2,FALSE)*STN_GAP,"")</f>
        <v/>
      </c>
      <c r="L515" s="433" t="str">
        <f>IFERROR(IF(AND(ISNUMBER(K515),O515=0),0,VLOOKUP(HLOOKUP(Stn_WL,Tools!$AD$2:$AD$27,N515+2,FALSE),Tools!$AD$3:$BC$27,O515+1,FALSE)),"")</f>
        <v/>
      </c>
      <c r="M515" s="433" t="str">
        <f>IFERROR(IF(ISNUMBER(L515),IF(O515=0,IFERROR(HLOOKUP(Tools!$BD$127,Tools!$BD$127:$BD$152,N515+2,FALSE)*1,0),HLOOKUP(Tools!$BE$2,Tools!$BE$2:$BE$27,O515+1,FALSE)*WLS),""),"")</f>
        <v/>
      </c>
      <c r="N515">
        <f t="shared" si="50"/>
        <v>39</v>
      </c>
      <c r="O515">
        <f t="shared" si="51"/>
        <v>6</v>
      </c>
    </row>
    <row r="516" spans="1:15" x14ac:dyDescent="0.25">
      <c r="A516" s="427" t="str">
        <f t="shared" si="52"/>
        <v/>
      </c>
      <c r="B516" s="430" t="str">
        <f t="shared" si="48"/>
        <v/>
      </c>
      <c r="C516" s="433" t="str">
        <f>IFERROR(-LBP/2+HLOOKUP(Stn_WL,Tools!$AD$2:$AD$27,QUOTIENT(ROW()-2,Max_WL_count)+2,FALSE)*STN_GAP,"")</f>
        <v/>
      </c>
      <c r="D516" s="433" t="str">
        <f>IFERROR(VLOOKUP(HLOOKUP(Stn_WL,Tools!$AD$2:$AD$27,QUOTIENT(ROW()-2,Max_WL_count)+2,FALSE),Tools!$AD$3:$BC$27,MOD(ROW()-2,Max_WL_count)+2,FALSE),"")</f>
        <v/>
      </c>
      <c r="E516" s="431" t="str">
        <f>IFERROR(IF(ISNUMBER(D516),HLOOKUP(Tools!$BE$2,Tools!$BE$2:$BE$27,MOD(ROW()-2,Max_WL_count)+2,FALSE)*WLS,""),"")</f>
        <v/>
      </c>
      <c r="I516" s="427" t="str">
        <f t="shared" si="53"/>
        <v/>
      </c>
      <c r="J516" s="430" t="str">
        <f t="shared" si="49"/>
        <v/>
      </c>
      <c r="K516" s="433" t="str">
        <f>IFERROR(-LBP/2+HLOOKUP(Stn_WL,Tools!$AD$2:$AD$27,N516+2,FALSE)*STN_GAP,"")</f>
        <v/>
      </c>
      <c r="L516" s="433" t="str">
        <f>IFERROR(IF(AND(ISNUMBER(K516),O516=0),0,VLOOKUP(HLOOKUP(Stn_WL,Tools!$AD$2:$AD$27,N516+2,FALSE),Tools!$AD$3:$BC$27,O516+1,FALSE)),"")</f>
        <v/>
      </c>
      <c r="M516" s="433" t="str">
        <f>IFERROR(IF(ISNUMBER(L516),IF(O516=0,IFERROR(HLOOKUP(Tools!$BD$127,Tools!$BD$127:$BD$152,N516+2,FALSE)*1,0),HLOOKUP(Tools!$BE$2,Tools!$BE$2:$BE$27,O516+1,FALSE)*WLS),""),"")</f>
        <v/>
      </c>
      <c r="N516">
        <f t="shared" si="50"/>
        <v>39</v>
      </c>
      <c r="O516">
        <f t="shared" si="51"/>
        <v>7</v>
      </c>
    </row>
    <row r="517" spans="1:15" x14ac:dyDescent="0.25">
      <c r="A517" s="427" t="str">
        <f t="shared" si="52"/>
        <v/>
      </c>
      <c r="B517" s="430" t="str">
        <f t="shared" si="48"/>
        <v/>
      </c>
      <c r="C517" s="433" t="str">
        <f>IFERROR(-LBP/2+HLOOKUP(Stn_WL,Tools!$AD$2:$AD$27,QUOTIENT(ROW()-2,Max_WL_count)+2,FALSE)*STN_GAP,"")</f>
        <v/>
      </c>
      <c r="D517" s="433" t="str">
        <f>IFERROR(VLOOKUP(HLOOKUP(Stn_WL,Tools!$AD$2:$AD$27,QUOTIENT(ROW()-2,Max_WL_count)+2,FALSE),Tools!$AD$3:$BC$27,MOD(ROW()-2,Max_WL_count)+2,FALSE),"")</f>
        <v/>
      </c>
      <c r="E517" s="431" t="str">
        <f>IFERROR(IF(ISNUMBER(D517),HLOOKUP(Tools!$BE$2,Tools!$BE$2:$BE$27,MOD(ROW()-2,Max_WL_count)+2,FALSE)*WLS,""),"")</f>
        <v/>
      </c>
      <c r="I517" s="427" t="str">
        <f t="shared" si="53"/>
        <v/>
      </c>
      <c r="J517" s="430" t="str">
        <f t="shared" si="49"/>
        <v/>
      </c>
      <c r="K517" s="433" t="str">
        <f>IFERROR(-LBP/2+HLOOKUP(Stn_WL,Tools!$AD$2:$AD$27,N517+2,FALSE)*STN_GAP,"")</f>
        <v/>
      </c>
      <c r="L517" s="433" t="str">
        <f>IFERROR(IF(AND(ISNUMBER(K517),O517=0),0,VLOOKUP(HLOOKUP(Stn_WL,Tools!$AD$2:$AD$27,N517+2,FALSE),Tools!$AD$3:$BC$27,O517+1,FALSE)),"")</f>
        <v/>
      </c>
      <c r="M517" s="433" t="str">
        <f>IFERROR(IF(ISNUMBER(L517),IF(O517=0,IFERROR(HLOOKUP(Tools!$BD$127,Tools!$BD$127:$BD$152,N517+2,FALSE)*1,0),HLOOKUP(Tools!$BE$2,Tools!$BE$2:$BE$27,O517+1,FALSE)*WLS),""),"")</f>
        <v/>
      </c>
      <c r="N517">
        <f t="shared" si="50"/>
        <v>39</v>
      </c>
      <c r="O517">
        <f t="shared" si="51"/>
        <v>8</v>
      </c>
    </row>
    <row r="518" spans="1:15" x14ac:dyDescent="0.25">
      <c r="A518" s="427" t="str">
        <f t="shared" si="52"/>
        <v/>
      </c>
      <c r="B518" s="430" t="str">
        <f t="shared" si="48"/>
        <v/>
      </c>
      <c r="C518" s="433" t="str">
        <f>IFERROR(-LBP/2+HLOOKUP(Stn_WL,Tools!$AD$2:$AD$27,QUOTIENT(ROW()-2,Max_WL_count)+2,FALSE)*STN_GAP,"")</f>
        <v/>
      </c>
      <c r="D518" s="433" t="str">
        <f>IFERROR(VLOOKUP(HLOOKUP(Stn_WL,Tools!$AD$2:$AD$27,QUOTIENT(ROW()-2,Max_WL_count)+2,FALSE),Tools!$AD$3:$BC$27,MOD(ROW()-2,Max_WL_count)+2,FALSE),"")</f>
        <v/>
      </c>
      <c r="E518" s="431" t="str">
        <f>IFERROR(IF(ISNUMBER(D518),HLOOKUP(Tools!$BE$2,Tools!$BE$2:$BE$27,MOD(ROW()-2,Max_WL_count)+2,FALSE)*WLS,""),"")</f>
        <v/>
      </c>
      <c r="I518" s="427" t="str">
        <f t="shared" si="53"/>
        <v/>
      </c>
      <c r="J518" s="430" t="str">
        <f t="shared" si="49"/>
        <v/>
      </c>
      <c r="K518" s="433" t="str">
        <f>IFERROR(-LBP/2+HLOOKUP(Stn_WL,Tools!$AD$2:$AD$27,N518+2,FALSE)*STN_GAP,"")</f>
        <v/>
      </c>
      <c r="L518" s="433" t="str">
        <f>IFERROR(IF(AND(ISNUMBER(K518),O518=0),0,VLOOKUP(HLOOKUP(Stn_WL,Tools!$AD$2:$AD$27,N518+2,FALSE),Tools!$AD$3:$BC$27,O518+1,FALSE)),"")</f>
        <v/>
      </c>
      <c r="M518" s="433" t="str">
        <f>IFERROR(IF(ISNUMBER(L518),IF(O518=0,IFERROR(HLOOKUP(Tools!$BD$127,Tools!$BD$127:$BD$152,N518+2,FALSE)*1,0),HLOOKUP(Tools!$BE$2,Tools!$BE$2:$BE$27,O518+1,FALSE)*WLS),""),"")</f>
        <v/>
      </c>
      <c r="N518">
        <f t="shared" si="50"/>
        <v>39</v>
      </c>
      <c r="O518">
        <f t="shared" si="51"/>
        <v>9</v>
      </c>
    </row>
    <row r="519" spans="1:15" x14ac:dyDescent="0.25">
      <c r="A519" s="427" t="str">
        <f t="shared" si="52"/>
        <v/>
      </c>
      <c r="B519" s="430" t="str">
        <f t="shared" si="48"/>
        <v/>
      </c>
      <c r="C519" s="433" t="str">
        <f>IFERROR(-LBP/2+HLOOKUP(Stn_WL,Tools!$AD$2:$AD$27,QUOTIENT(ROW()-2,Max_WL_count)+2,FALSE)*STN_GAP,"")</f>
        <v/>
      </c>
      <c r="D519" s="433" t="str">
        <f>IFERROR(VLOOKUP(HLOOKUP(Stn_WL,Tools!$AD$2:$AD$27,QUOTIENT(ROW()-2,Max_WL_count)+2,FALSE),Tools!$AD$3:$BC$27,MOD(ROW()-2,Max_WL_count)+2,FALSE),"")</f>
        <v/>
      </c>
      <c r="E519" s="431" t="str">
        <f>IFERROR(IF(ISNUMBER(D519),HLOOKUP(Tools!$BE$2,Tools!$BE$2:$BE$27,MOD(ROW()-2,Max_WL_count)+2,FALSE)*WLS,""),"")</f>
        <v/>
      </c>
      <c r="I519" s="427" t="str">
        <f t="shared" si="53"/>
        <v/>
      </c>
      <c r="J519" s="430" t="str">
        <f t="shared" si="49"/>
        <v/>
      </c>
      <c r="K519" s="433" t="str">
        <f>IFERROR(-LBP/2+HLOOKUP(Stn_WL,Tools!$AD$2:$AD$27,N519+2,FALSE)*STN_GAP,"")</f>
        <v/>
      </c>
      <c r="L519" s="433" t="str">
        <f>IFERROR(IF(AND(ISNUMBER(K519),O519=0),0,VLOOKUP(HLOOKUP(Stn_WL,Tools!$AD$2:$AD$27,N519+2,FALSE),Tools!$AD$3:$BC$27,O519+1,FALSE)),"")</f>
        <v/>
      </c>
      <c r="M519" s="433" t="str">
        <f>IFERROR(IF(ISNUMBER(L519),IF(O519=0,IFERROR(HLOOKUP(Tools!$BD$127,Tools!$BD$127:$BD$152,N519+2,FALSE)*1,0),HLOOKUP(Tools!$BE$2,Tools!$BE$2:$BE$27,O519+1,FALSE)*WLS),""),"")</f>
        <v/>
      </c>
      <c r="N519">
        <f t="shared" si="50"/>
        <v>39</v>
      </c>
      <c r="O519">
        <f t="shared" si="51"/>
        <v>10</v>
      </c>
    </row>
    <row r="520" spans="1:15" x14ac:dyDescent="0.25">
      <c r="A520" s="427" t="str">
        <f t="shared" si="52"/>
        <v/>
      </c>
      <c r="B520" s="430" t="str">
        <f t="shared" si="48"/>
        <v/>
      </c>
      <c r="C520" s="433" t="str">
        <f>IFERROR(-LBP/2+HLOOKUP(Stn_WL,Tools!$AD$2:$AD$27,QUOTIENT(ROW()-2,Max_WL_count)+2,FALSE)*STN_GAP,"")</f>
        <v/>
      </c>
      <c r="D520" s="433" t="str">
        <f>IFERROR(VLOOKUP(HLOOKUP(Stn_WL,Tools!$AD$2:$AD$27,QUOTIENT(ROW()-2,Max_WL_count)+2,FALSE),Tools!$AD$3:$BC$27,MOD(ROW()-2,Max_WL_count)+2,FALSE),"")</f>
        <v/>
      </c>
      <c r="E520" s="431" t="str">
        <f>IFERROR(IF(ISNUMBER(D520),HLOOKUP(Tools!$BE$2,Tools!$BE$2:$BE$27,MOD(ROW()-2,Max_WL_count)+2,FALSE)*WLS,""),"")</f>
        <v/>
      </c>
      <c r="I520" s="427" t="str">
        <f t="shared" si="53"/>
        <v/>
      </c>
      <c r="J520" s="430" t="str">
        <f t="shared" si="49"/>
        <v/>
      </c>
      <c r="K520" s="433" t="str">
        <f>IFERROR(-LBP/2+HLOOKUP(Stn_WL,Tools!$AD$2:$AD$27,N520+2,FALSE)*STN_GAP,"")</f>
        <v/>
      </c>
      <c r="L520" s="433" t="str">
        <f>IFERROR(IF(AND(ISNUMBER(K520),O520=0),0,VLOOKUP(HLOOKUP(Stn_WL,Tools!$AD$2:$AD$27,N520+2,FALSE),Tools!$AD$3:$BC$27,O520+1,FALSE)),"")</f>
        <v/>
      </c>
      <c r="M520" s="433" t="str">
        <f>IFERROR(IF(ISNUMBER(L520),IF(O520=0,IFERROR(HLOOKUP(Tools!$BD$127,Tools!$BD$127:$BD$152,N520+2,FALSE)*1,0),HLOOKUP(Tools!$BE$2,Tools!$BE$2:$BE$27,O520+1,FALSE)*WLS),""),"")</f>
        <v/>
      </c>
      <c r="N520">
        <f t="shared" si="50"/>
        <v>39</v>
      </c>
      <c r="O520">
        <f t="shared" si="51"/>
        <v>11</v>
      </c>
    </row>
    <row r="521" spans="1:15" x14ac:dyDescent="0.25">
      <c r="A521" s="427" t="str">
        <f t="shared" si="52"/>
        <v/>
      </c>
      <c r="B521" s="430" t="str">
        <f t="shared" si="48"/>
        <v/>
      </c>
      <c r="C521" s="433" t="str">
        <f>IFERROR(-LBP/2+HLOOKUP(Stn_WL,Tools!$AD$2:$AD$27,QUOTIENT(ROW()-2,Max_WL_count)+2,FALSE)*STN_GAP,"")</f>
        <v/>
      </c>
      <c r="D521" s="433" t="str">
        <f>IFERROR(VLOOKUP(HLOOKUP(Stn_WL,Tools!$AD$2:$AD$27,QUOTIENT(ROW()-2,Max_WL_count)+2,FALSE),Tools!$AD$3:$BC$27,MOD(ROW()-2,Max_WL_count)+2,FALSE),"")</f>
        <v/>
      </c>
      <c r="E521" s="431" t="str">
        <f>IFERROR(IF(ISNUMBER(D521),HLOOKUP(Tools!$BE$2,Tools!$BE$2:$BE$27,MOD(ROW()-2,Max_WL_count)+2,FALSE)*WLS,""),"")</f>
        <v/>
      </c>
      <c r="I521" s="427" t="str">
        <f t="shared" si="53"/>
        <v/>
      </c>
      <c r="J521" s="430" t="str">
        <f t="shared" si="49"/>
        <v/>
      </c>
      <c r="K521" s="433" t="str">
        <f>IFERROR(-LBP/2+HLOOKUP(Stn_WL,Tools!$AD$2:$AD$27,N521+2,FALSE)*STN_GAP,"")</f>
        <v/>
      </c>
      <c r="L521" s="433" t="str">
        <f>IFERROR(IF(AND(ISNUMBER(K521),O521=0),0,VLOOKUP(HLOOKUP(Stn_WL,Tools!$AD$2:$AD$27,N521+2,FALSE),Tools!$AD$3:$BC$27,O521+1,FALSE)),"")</f>
        <v/>
      </c>
      <c r="M521" s="433" t="str">
        <f>IFERROR(IF(ISNUMBER(L521),IF(O521=0,IFERROR(HLOOKUP(Tools!$BD$127,Tools!$BD$127:$BD$152,N521+2,FALSE)*1,0),HLOOKUP(Tools!$BE$2,Tools!$BE$2:$BE$27,O521+1,FALSE)*WLS),""),"")</f>
        <v/>
      </c>
      <c r="N521">
        <f t="shared" si="50"/>
        <v>39</v>
      </c>
      <c r="O521">
        <f t="shared" si="51"/>
        <v>12</v>
      </c>
    </row>
    <row r="522" spans="1:15" x14ac:dyDescent="0.25">
      <c r="A522" s="427" t="str">
        <f t="shared" si="52"/>
        <v/>
      </c>
      <c r="B522" s="430" t="str">
        <f t="shared" si="48"/>
        <v/>
      </c>
      <c r="C522" s="433" t="str">
        <f>IFERROR(-LBP/2+HLOOKUP(Stn_WL,Tools!$AD$2:$AD$27,QUOTIENT(ROW()-2,Max_WL_count)+2,FALSE)*STN_GAP,"")</f>
        <v/>
      </c>
      <c r="D522" s="433" t="str">
        <f>IFERROR(VLOOKUP(HLOOKUP(Stn_WL,Tools!$AD$2:$AD$27,QUOTIENT(ROW()-2,Max_WL_count)+2,FALSE),Tools!$AD$3:$BC$27,MOD(ROW()-2,Max_WL_count)+2,FALSE),"")</f>
        <v/>
      </c>
      <c r="E522" s="431" t="str">
        <f>IFERROR(IF(ISNUMBER(D522),HLOOKUP(Tools!$BE$2,Tools!$BE$2:$BE$27,MOD(ROW()-2,Max_WL_count)+2,FALSE)*WLS,""),"")</f>
        <v/>
      </c>
      <c r="I522" s="427" t="str">
        <f t="shared" si="53"/>
        <v/>
      </c>
      <c r="J522" s="430" t="str">
        <f t="shared" si="49"/>
        <v/>
      </c>
      <c r="K522" s="433" t="str">
        <f>IFERROR(-LBP/2+HLOOKUP(Stn_WL,Tools!$AD$2:$AD$27,N522+2,FALSE)*STN_GAP,"")</f>
        <v/>
      </c>
      <c r="L522" s="433" t="str">
        <f>IFERROR(IF(AND(ISNUMBER(K522),O522=0),0,VLOOKUP(HLOOKUP(Stn_WL,Tools!$AD$2:$AD$27,N522+2,FALSE),Tools!$AD$3:$BC$27,O522+1,FALSE)),"")</f>
        <v/>
      </c>
      <c r="M522" s="433" t="str">
        <f>IFERROR(IF(ISNUMBER(L522),IF(O522=0,IFERROR(HLOOKUP(Tools!$BD$127,Tools!$BD$127:$BD$152,N522+2,FALSE)*1,0),HLOOKUP(Tools!$BE$2,Tools!$BE$2:$BE$27,O522+1,FALSE)*WLS),""),"")</f>
        <v/>
      </c>
      <c r="N522">
        <f t="shared" si="50"/>
        <v>40</v>
      </c>
      <c r="O522">
        <f t="shared" si="51"/>
        <v>0</v>
      </c>
    </row>
    <row r="523" spans="1:15" x14ac:dyDescent="0.25">
      <c r="A523" s="427" t="str">
        <f t="shared" si="52"/>
        <v/>
      </c>
      <c r="B523" s="430" t="str">
        <f t="shared" si="48"/>
        <v/>
      </c>
      <c r="C523" s="433" t="str">
        <f>IFERROR(-LBP/2+HLOOKUP(Stn_WL,Tools!$AD$2:$AD$27,QUOTIENT(ROW()-2,Max_WL_count)+2,FALSE)*STN_GAP,"")</f>
        <v/>
      </c>
      <c r="D523" s="433" t="str">
        <f>IFERROR(VLOOKUP(HLOOKUP(Stn_WL,Tools!$AD$2:$AD$27,QUOTIENT(ROW()-2,Max_WL_count)+2,FALSE),Tools!$AD$3:$BC$27,MOD(ROW()-2,Max_WL_count)+2,FALSE),"")</f>
        <v/>
      </c>
      <c r="E523" s="431" t="str">
        <f>IFERROR(IF(ISNUMBER(D523),HLOOKUP(Tools!$BE$2,Tools!$BE$2:$BE$27,MOD(ROW()-2,Max_WL_count)+2,FALSE)*WLS,""),"")</f>
        <v/>
      </c>
      <c r="I523" s="427" t="str">
        <f t="shared" si="53"/>
        <v/>
      </c>
      <c r="J523" s="430" t="str">
        <f t="shared" si="49"/>
        <v/>
      </c>
      <c r="K523" s="433" t="str">
        <f>IFERROR(-LBP/2+HLOOKUP(Stn_WL,Tools!$AD$2:$AD$27,N523+2,FALSE)*STN_GAP,"")</f>
        <v/>
      </c>
      <c r="L523" s="433" t="str">
        <f>IFERROR(IF(AND(ISNUMBER(K523),O523=0),0,VLOOKUP(HLOOKUP(Stn_WL,Tools!$AD$2:$AD$27,N523+2,FALSE),Tools!$AD$3:$BC$27,O523+1,FALSE)),"")</f>
        <v/>
      </c>
      <c r="M523" s="433" t="str">
        <f>IFERROR(IF(ISNUMBER(L523),IF(O523=0,IFERROR(HLOOKUP(Tools!$BD$127,Tools!$BD$127:$BD$152,N523+2,FALSE)*1,0),HLOOKUP(Tools!$BE$2,Tools!$BE$2:$BE$27,O523+1,FALSE)*WLS),""),"")</f>
        <v/>
      </c>
      <c r="N523">
        <f t="shared" si="50"/>
        <v>40</v>
      </c>
      <c r="O523">
        <f t="shared" si="51"/>
        <v>1</v>
      </c>
    </row>
    <row r="524" spans="1:15" x14ac:dyDescent="0.25">
      <c r="A524" s="427" t="str">
        <f t="shared" si="52"/>
        <v/>
      </c>
      <c r="B524" s="430" t="str">
        <f t="shared" si="48"/>
        <v/>
      </c>
      <c r="C524" s="433" t="str">
        <f>IFERROR(-LBP/2+HLOOKUP(Stn_WL,Tools!$AD$2:$AD$27,QUOTIENT(ROW()-2,Max_WL_count)+2,FALSE)*STN_GAP,"")</f>
        <v/>
      </c>
      <c r="D524" s="433" t="str">
        <f>IFERROR(VLOOKUP(HLOOKUP(Stn_WL,Tools!$AD$2:$AD$27,QUOTIENT(ROW()-2,Max_WL_count)+2,FALSE),Tools!$AD$3:$BC$27,MOD(ROW()-2,Max_WL_count)+2,FALSE),"")</f>
        <v/>
      </c>
      <c r="E524" s="431" t="str">
        <f>IFERROR(IF(ISNUMBER(D524),HLOOKUP(Tools!$BE$2,Tools!$BE$2:$BE$27,MOD(ROW()-2,Max_WL_count)+2,FALSE)*WLS,""),"")</f>
        <v/>
      </c>
      <c r="I524" s="427" t="str">
        <f t="shared" si="53"/>
        <v/>
      </c>
      <c r="J524" s="430" t="str">
        <f t="shared" si="49"/>
        <v/>
      </c>
      <c r="K524" s="433" t="str">
        <f>IFERROR(-LBP/2+HLOOKUP(Stn_WL,Tools!$AD$2:$AD$27,N524+2,FALSE)*STN_GAP,"")</f>
        <v/>
      </c>
      <c r="L524" s="433" t="str">
        <f>IFERROR(IF(AND(ISNUMBER(K524),O524=0),0,VLOOKUP(HLOOKUP(Stn_WL,Tools!$AD$2:$AD$27,N524+2,FALSE),Tools!$AD$3:$BC$27,O524+1,FALSE)),"")</f>
        <v/>
      </c>
      <c r="M524" s="433" t="str">
        <f>IFERROR(IF(ISNUMBER(L524),IF(O524=0,IFERROR(HLOOKUP(Tools!$BD$127,Tools!$BD$127:$BD$152,N524+2,FALSE)*1,0),HLOOKUP(Tools!$BE$2,Tools!$BE$2:$BE$27,O524+1,FALSE)*WLS),""),"")</f>
        <v/>
      </c>
      <c r="N524">
        <f t="shared" si="50"/>
        <v>40</v>
      </c>
      <c r="O524">
        <f t="shared" si="51"/>
        <v>2</v>
      </c>
    </row>
    <row r="525" spans="1:15" x14ac:dyDescent="0.25">
      <c r="A525" s="427" t="str">
        <f t="shared" si="52"/>
        <v/>
      </c>
      <c r="B525" s="430" t="str">
        <f t="shared" si="48"/>
        <v/>
      </c>
      <c r="C525" s="433" t="str">
        <f>IFERROR(-LBP/2+HLOOKUP(Stn_WL,Tools!$AD$2:$AD$27,QUOTIENT(ROW()-2,Max_WL_count)+2,FALSE)*STN_GAP,"")</f>
        <v/>
      </c>
      <c r="D525" s="433" t="str">
        <f>IFERROR(VLOOKUP(HLOOKUP(Stn_WL,Tools!$AD$2:$AD$27,QUOTIENT(ROW()-2,Max_WL_count)+2,FALSE),Tools!$AD$3:$BC$27,MOD(ROW()-2,Max_WL_count)+2,FALSE),"")</f>
        <v/>
      </c>
      <c r="E525" s="431" t="str">
        <f>IFERROR(IF(ISNUMBER(D525),HLOOKUP(Tools!$BE$2,Tools!$BE$2:$BE$27,MOD(ROW()-2,Max_WL_count)+2,FALSE)*WLS,""),"")</f>
        <v/>
      </c>
      <c r="I525" s="427" t="str">
        <f t="shared" si="53"/>
        <v/>
      </c>
      <c r="J525" s="430" t="str">
        <f t="shared" si="49"/>
        <v/>
      </c>
      <c r="K525" s="433" t="str">
        <f>IFERROR(-LBP/2+HLOOKUP(Stn_WL,Tools!$AD$2:$AD$27,N525+2,FALSE)*STN_GAP,"")</f>
        <v/>
      </c>
      <c r="L525" s="433" t="str">
        <f>IFERROR(IF(AND(ISNUMBER(K525),O525=0),0,VLOOKUP(HLOOKUP(Stn_WL,Tools!$AD$2:$AD$27,N525+2,FALSE),Tools!$AD$3:$BC$27,O525+1,FALSE)),"")</f>
        <v/>
      </c>
      <c r="M525" s="433" t="str">
        <f>IFERROR(IF(ISNUMBER(L525),IF(O525=0,IFERROR(HLOOKUP(Tools!$BD$127,Tools!$BD$127:$BD$152,N525+2,FALSE)*1,0),HLOOKUP(Tools!$BE$2,Tools!$BE$2:$BE$27,O525+1,FALSE)*WLS),""),"")</f>
        <v/>
      </c>
      <c r="N525">
        <f t="shared" si="50"/>
        <v>40</v>
      </c>
      <c r="O525">
        <f t="shared" si="51"/>
        <v>3</v>
      </c>
    </row>
    <row r="526" spans="1:15" x14ac:dyDescent="0.25">
      <c r="A526" s="427" t="str">
        <f t="shared" si="52"/>
        <v/>
      </c>
      <c r="B526" s="430" t="str">
        <f t="shared" si="48"/>
        <v/>
      </c>
      <c r="C526" s="433" t="str">
        <f>IFERROR(-LBP/2+HLOOKUP(Stn_WL,Tools!$AD$2:$AD$27,QUOTIENT(ROW()-2,Max_WL_count)+2,FALSE)*STN_GAP,"")</f>
        <v/>
      </c>
      <c r="D526" s="433" t="str">
        <f>IFERROR(VLOOKUP(HLOOKUP(Stn_WL,Tools!$AD$2:$AD$27,QUOTIENT(ROW()-2,Max_WL_count)+2,FALSE),Tools!$AD$3:$BC$27,MOD(ROW()-2,Max_WL_count)+2,FALSE),"")</f>
        <v/>
      </c>
      <c r="E526" s="431" t="str">
        <f>IFERROR(IF(ISNUMBER(D526),HLOOKUP(Tools!$BE$2,Tools!$BE$2:$BE$27,MOD(ROW()-2,Max_WL_count)+2,FALSE)*WLS,""),"")</f>
        <v/>
      </c>
      <c r="I526" s="427" t="str">
        <f t="shared" si="53"/>
        <v/>
      </c>
      <c r="J526" s="430" t="str">
        <f t="shared" si="49"/>
        <v/>
      </c>
      <c r="K526" s="433" t="str">
        <f>IFERROR(-LBP/2+HLOOKUP(Stn_WL,Tools!$AD$2:$AD$27,N526+2,FALSE)*STN_GAP,"")</f>
        <v/>
      </c>
      <c r="L526" s="433" t="str">
        <f>IFERROR(IF(AND(ISNUMBER(K526),O526=0),0,VLOOKUP(HLOOKUP(Stn_WL,Tools!$AD$2:$AD$27,N526+2,FALSE),Tools!$AD$3:$BC$27,O526+1,FALSE)),"")</f>
        <v/>
      </c>
      <c r="M526" s="433" t="str">
        <f>IFERROR(IF(ISNUMBER(L526),IF(O526=0,IFERROR(HLOOKUP(Tools!$BD$127,Tools!$BD$127:$BD$152,N526+2,FALSE)*1,0),HLOOKUP(Tools!$BE$2,Tools!$BE$2:$BE$27,O526+1,FALSE)*WLS),""),"")</f>
        <v/>
      </c>
      <c r="N526">
        <f t="shared" si="50"/>
        <v>40</v>
      </c>
      <c r="O526">
        <f t="shared" si="51"/>
        <v>4</v>
      </c>
    </row>
    <row r="527" spans="1:15" x14ac:dyDescent="0.25">
      <c r="A527" s="427" t="str">
        <f t="shared" si="52"/>
        <v/>
      </c>
      <c r="B527" s="430" t="str">
        <f t="shared" si="48"/>
        <v/>
      </c>
      <c r="C527" s="433" t="str">
        <f>IFERROR(-LBP/2+HLOOKUP(Stn_WL,Tools!$AD$2:$AD$27,QUOTIENT(ROW()-2,Max_WL_count)+2,FALSE)*STN_GAP,"")</f>
        <v/>
      </c>
      <c r="D527" s="433" t="str">
        <f>IFERROR(VLOOKUP(HLOOKUP(Stn_WL,Tools!$AD$2:$AD$27,QUOTIENT(ROW()-2,Max_WL_count)+2,FALSE),Tools!$AD$3:$BC$27,MOD(ROW()-2,Max_WL_count)+2,FALSE),"")</f>
        <v/>
      </c>
      <c r="E527" s="431" t="str">
        <f>IFERROR(IF(ISNUMBER(D527),HLOOKUP(Tools!$BE$2,Tools!$BE$2:$BE$27,MOD(ROW()-2,Max_WL_count)+2,FALSE)*WLS,""),"")</f>
        <v/>
      </c>
      <c r="I527" s="427" t="str">
        <f t="shared" si="53"/>
        <v/>
      </c>
      <c r="J527" s="430" t="str">
        <f t="shared" si="49"/>
        <v/>
      </c>
      <c r="K527" s="433" t="str">
        <f>IFERROR(-LBP/2+HLOOKUP(Stn_WL,Tools!$AD$2:$AD$27,N527+2,FALSE)*STN_GAP,"")</f>
        <v/>
      </c>
      <c r="L527" s="433" t="str">
        <f>IFERROR(IF(AND(ISNUMBER(K527),O527=0),0,VLOOKUP(HLOOKUP(Stn_WL,Tools!$AD$2:$AD$27,N527+2,FALSE),Tools!$AD$3:$BC$27,O527+1,FALSE)),"")</f>
        <v/>
      </c>
      <c r="M527" s="433" t="str">
        <f>IFERROR(IF(ISNUMBER(L527),IF(O527=0,IFERROR(HLOOKUP(Tools!$BD$127,Tools!$BD$127:$BD$152,N527+2,FALSE)*1,0),HLOOKUP(Tools!$BE$2,Tools!$BE$2:$BE$27,O527+1,FALSE)*WLS),""),"")</f>
        <v/>
      </c>
      <c r="N527">
        <f t="shared" si="50"/>
        <v>40</v>
      </c>
      <c r="O527">
        <f t="shared" si="51"/>
        <v>5</v>
      </c>
    </row>
    <row r="528" spans="1:15" x14ac:dyDescent="0.25">
      <c r="A528" s="427" t="str">
        <f t="shared" si="52"/>
        <v/>
      </c>
      <c r="B528" s="430" t="str">
        <f t="shared" si="48"/>
        <v/>
      </c>
      <c r="C528" s="433" t="str">
        <f>IFERROR(-LBP/2+HLOOKUP(Stn_WL,Tools!$AD$2:$AD$27,QUOTIENT(ROW()-2,Max_WL_count)+2,FALSE)*STN_GAP,"")</f>
        <v/>
      </c>
      <c r="D528" s="433" t="str">
        <f>IFERROR(VLOOKUP(HLOOKUP(Stn_WL,Tools!$AD$2:$AD$27,QUOTIENT(ROW()-2,Max_WL_count)+2,FALSE),Tools!$AD$3:$BC$27,MOD(ROW()-2,Max_WL_count)+2,FALSE),"")</f>
        <v/>
      </c>
      <c r="E528" s="431" t="str">
        <f>IFERROR(IF(ISNUMBER(D528),HLOOKUP(Tools!$BE$2,Tools!$BE$2:$BE$27,MOD(ROW()-2,Max_WL_count)+2,FALSE)*WLS,""),"")</f>
        <v/>
      </c>
      <c r="I528" s="427" t="str">
        <f t="shared" si="53"/>
        <v/>
      </c>
      <c r="J528" s="430" t="str">
        <f t="shared" si="49"/>
        <v/>
      </c>
      <c r="K528" s="433" t="str">
        <f>IFERROR(-LBP/2+HLOOKUP(Stn_WL,Tools!$AD$2:$AD$27,N528+2,FALSE)*STN_GAP,"")</f>
        <v/>
      </c>
      <c r="L528" s="433" t="str">
        <f>IFERROR(IF(AND(ISNUMBER(K528),O528=0),0,VLOOKUP(HLOOKUP(Stn_WL,Tools!$AD$2:$AD$27,N528+2,FALSE),Tools!$AD$3:$BC$27,O528+1,FALSE)),"")</f>
        <v/>
      </c>
      <c r="M528" s="433" t="str">
        <f>IFERROR(IF(ISNUMBER(L528),IF(O528=0,IFERROR(HLOOKUP(Tools!$BD$127,Tools!$BD$127:$BD$152,N528+2,FALSE)*1,0),HLOOKUP(Tools!$BE$2,Tools!$BE$2:$BE$27,O528+1,FALSE)*WLS),""),"")</f>
        <v/>
      </c>
      <c r="N528">
        <f t="shared" si="50"/>
        <v>40</v>
      </c>
      <c r="O528">
        <f t="shared" si="51"/>
        <v>6</v>
      </c>
    </row>
    <row r="529" spans="1:15" x14ac:dyDescent="0.25">
      <c r="A529" s="427" t="str">
        <f t="shared" si="52"/>
        <v/>
      </c>
      <c r="B529" s="430" t="str">
        <f t="shared" si="48"/>
        <v/>
      </c>
      <c r="C529" s="433" t="str">
        <f>IFERROR(-LBP/2+HLOOKUP(Stn_WL,Tools!$AD$2:$AD$27,QUOTIENT(ROW()-2,Max_WL_count)+2,FALSE)*STN_GAP,"")</f>
        <v/>
      </c>
      <c r="D529" s="433" t="str">
        <f>IFERROR(VLOOKUP(HLOOKUP(Stn_WL,Tools!$AD$2:$AD$27,QUOTIENT(ROW()-2,Max_WL_count)+2,FALSE),Tools!$AD$3:$BC$27,MOD(ROW()-2,Max_WL_count)+2,FALSE),"")</f>
        <v/>
      </c>
      <c r="E529" s="431" t="str">
        <f>IFERROR(IF(ISNUMBER(D529),HLOOKUP(Tools!$BE$2,Tools!$BE$2:$BE$27,MOD(ROW()-2,Max_WL_count)+2,FALSE)*WLS,""),"")</f>
        <v/>
      </c>
      <c r="I529" s="427" t="str">
        <f t="shared" si="53"/>
        <v/>
      </c>
      <c r="J529" s="430" t="str">
        <f t="shared" si="49"/>
        <v/>
      </c>
      <c r="K529" s="433" t="str">
        <f>IFERROR(-LBP/2+HLOOKUP(Stn_WL,Tools!$AD$2:$AD$27,N529+2,FALSE)*STN_GAP,"")</f>
        <v/>
      </c>
      <c r="L529" s="433" t="str">
        <f>IFERROR(IF(AND(ISNUMBER(K529),O529=0),0,VLOOKUP(HLOOKUP(Stn_WL,Tools!$AD$2:$AD$27,N529+2,FALSE),Tools!$AD$3:$BC$27,O529+1,FALSE)),"")</f>
        <v/>
      </c>
      <c r="M529" s="433" t="str">
        <f>IFERROR(IF(ISNUMBER(L529),IF(O529=0,IFERROR(HLOOKUP(Tools!$BD$127,Tools!$BD$127:$BD$152,N529+2,FALSE)*1,0),HLOOKUP(Tools!$BE$2,Tools!$BE$2:$BE$27,O529+1,FALSE)*WLS),""),"")</f>
        <v/>
      </c>
      <c r="N529">
        <f t="shared" si="50"/>
        <v>40</v>
      </c>
      <c r="O529">
        <f t="shared" si="51"/>
        <v>7</v>
      </c>
    </row>
    <row r="530" spans="1:15" x14ac:dyDescent="0.25">
      <c r="A530" s="427" t="str">
        <f t="shared" si="52"/>
        <v/>
      </c>
      <c r="B530" s="430" t="str">
        <f t="shared" si="48"/>
        <v/>
      </c>
      <c r="C530" s="433" t="str">
        <f>IFERROR(-LBP/2+HLOOKUP(Stn_WL,Tools!$AD$2:$AD$27,QUOTIENT(ROW()-2,Max_WL_count)+2,FALSE)*STN_GAP,"")</f>
        <v/>
      </c>
      <c r="D530" s="433" t="str">
        <f>IFERROR(VLOOKUP(HLOOKUP(Stn_WL,Tools!$AD$2:$AD$27,QUOTIENT(ROW()-2,Max_WL_count)+2,FALSE),Tools!$AD$3:$BC$27,MOD(ROW()-2,Max_WL_count)+2,FALSE),"")</f>
        <v/>
      </c>
      <c r="E530" s="431" t="str">
        <f>IFERROR(IF(ISNUMBER(D530),HLOOKUP(Tools!$BE$2,Tools!$BE$2:$BE$27,MOD(ROW()-2,Max_WL_count)+2,FALSE)*WLS,""),"")</f>
        <v/>
      </c>
      <c r="I530" s="427" t="str">
        <f t="shared" si="53"/>
        <v/>
      </c>
      <c r="J530" s="430" t="str">
        <f t="shared" si="49"/>
        <v/>
      </c>
      <c r="K530" s="433" t="str">
        <f>IFERROR(-LBP/2+HLOOKUP(Stn_WL,Tools!$AD$2:$AD$27,N530+2,FALSE)*STN_GAP,"")</f>
        <v/>
      </c>
      <c r="L530" s="433" t="str">
        <f>IFERROR(IF(AND(ISNUMBER(K530),O530=0),0,VLOOKUP(HLOOKUP(Stn_WL,Tools!$AD$2:$AD$27,N530+2,FALSE),Tools!$AD$3:$BC$27,O530+1,FALSE)),"")</f>
        <v/>
      </c>
      <c r="M530" s="433" t="str">
        <f>IFERROR(IF(ISNUMBER(L530),IF(O530=0,IFERROR(HLOOKUP(Tools!$BD$127,Tools!$BD$127:$BD$152,N530+2,FALSE)*1,0),HLOOKUP(Tools!$BE$2,Tools!$BE$2:$BE$27,O530+1,FALSE)*WLS),""),"")</f>
        <v/>
      </c>
      <c r="N530">
        <f t="shared" si="50"/>
        <v>40</v>
      </c>
      <c r="O530">
        <f t="shared" si="51"/>
        <v>8</v>
      </c>
    </row>
    <row r="531" spans="1:15" x14ac:dyDescent="0.25">
      <c r="A531" s="427" t="str">
        <f t="shared" si="52"/>
        <v/>
      </c>
      <c r="B531" s="430" t="str">
        <f t="shared" si="48"/>
        <v/>
      </c>
      <c r="C531" s="433" t="str">
        <f>IFERROR(-LBP/2+HLOOKUP(Stn_WL,Tools!$AD$2:$AD$27,QUOTIENT(ROW()-2,Max_WL_count)+2,FALSE)*STN_GAP,"")</f>
        <v/>
      </c>
      <c r="D531" s="433" t="str">
        <f>IFERROR(VLOOKUP(HLOOKUP(Stn_WL,Tools!$AD$2:$AD$27,QUOTIENT(ROW()-2,Max_WL_count)+2,FALSE),Tools!$AD$3:$BC$27,MOD(ROW()-2,Max_WL_count)+2,FALSE),"")</f>
        <v/>
      </c>
      <c r="E531" s="431" t="str">
        <f>IFERROR(IF(ISNUMBER(D531),HLOOKUP(Tools!$BE$2,Tools!$BE$2:$BE$27,MOD(ROW()-2,Max_WL_count)+2,FALSE)*WLS,""),"")</f>
        <v/>
      </c>
      <c r="I531" s="427" t="str">
        <f t="shared" si="53"/>
        <v/>
      </c>
      <c r="J531" s="430" t="str">
        <f t="shared" si="49"/>
        <v/>
      </c>
      <c r="K531" s="433" t="str">
        <f>IFERROR(-LBP/2+HLOOKUP(Stn_WL,Tools!$AD$2:$AD$27,N531+2,FALSE)*STN_GAP,"")</f>
        <v/>
      </c>
      <c r="L531" s="433" t="str">
        <f>IFERROR(IF(AND(ISNUMBER(K531),O531=0),0,VLOOKUP(HLOOKUP(Stn_WL,Tools!$AD$2:$AD$27,N531+2,FALSE),Tools!$AD$3:$BC$27,O531+1,FALSE)),"")</f>
        <v/>
      </c>
      <c r="M531" s="433" t="str">
        <f>IFERROR(IF(ISNUMBER(L531),IF(O531=0,IFERROR(HLOOKUP(Tools!$BD$127,Tools!$BD$127:$BD$152,N531+2,FALSE)*1,0),HLOOKUP(Tools!$BE$2,Tools!$BE$2:$BE$27,O531+1,FALSE)*WLS),""),"")</f>
        <v/>
      </c>
      <c r="N531">
        <f t="shared" si="50"/>
        <v>40</v>
      </c>
      <c r="O531">
        <f t="shared" si="51"/>
        <v>9</v>
      </c>
    </row>
    <row r="532" spans="1:15" x14ac:dyDescent="0.25">
      <c r="A532" s="427" t="str">
        <f t="shared" si="52"/>
        <v/>
      </c>
      <c r="B532" s="430" t="str">
        <f t="shared" si="48"/>
        <v/>
      </c>
      <c r="C532" s="433" t="str">
        <f>IFERROR(-LBP/2+HLOOKUP(Stn_WL,Tools!$AD$2:$AD$27,QUOTIENT(ROW()-2,Max_WL_count)+2,FALSE)*STN_GAP,"")</f>
        <v/>
      </c>
      <c r="D532" s="433" t="str">
        <f>IFERROR(VLOOKUP(HLOOKUP(Stn_WL,Tools!$AD$2:$AD$27,QUOTIENT(ROW()-2,Max_WL_count)+2,FALSE),Tools!$AD$3:$BC$27,MOD(ROW()-2,Max_WL_count)+2,FALSE),"")</f>
        <v/>
      </c>
      <c r="E532" s="431" t="str">
        <f>IFERROR(IF(ISNUMBER(D532),HLOOKUP(Tools!$BE$2,Tools!$BE$2:$BE$27,MOD(ROW()-2,Max_WL_count)+2,FALSE)*WLS,""),"")</f>
        <v/>
      </c>
      <c r="I532" s="427" t="str">
        <f t="shared" si="53"/>
        <v/>
      </c>
      <c r="J532" s="430" t="str">
        <f t="shared" si="49"/>
        <v/>
      </c>
      <c r="K532" s="433" t="str">
        <f>IFERROR(-LBP/2+HLOOKUP(Stn_WL,Tools!$AD$2:$AD$27,N532+2,FALSE)*STN_GAP,"")</f>
        <v/>
      </c>
      <c r="L532" s="433" t="str">
        <f>IFERROR(IF(AND(ISNUMBER(K532),O532=0),0,VLOOKUP(HLOOKUP(Stn_WL,Tools!$AD$2:$AD$27,N532+2,FALSE),Tools!$AD$3:$BC$27,O532+1,FALSE)),"")</f>
        <v/>
      </c>
      <c r="M532" s="433" t="str">
        <f>IFERROR(IF(ISNUMBER(L532),IF(O532=0,IFERROR(HLOOKUP(Tools!$BD$127,Tools!$BD$127:$BD$152,N532+2,FALSE)*1,0),HLOOKUP(Tools!$BE$2,Tools!$BE$2:$BE$27,O532+1,FALSE)*WLS),""),"")</f>
        <v/>
      </c>
      <c r="N532">
        <f t="shared" si="50"/>
        <v>40</v>
      </c>
      <c r="O532">
        <f t="shared" si="51"/>
        <v>10</v>
      </c>
    </row>
    <row r="533" spans="1:15" x14ac:dyDescent="0.25">
      <c r="A533" s="427" t="str">
        <f t="shared" si="52"/>
        <v/>
      </c>
      <c r="B533" s="430" t="str">
        <f t="shared" si="48"/>
        <v/>
      </c>
      <c r="C533" s="433" t="str">
        <f>IFERROR(-LBP/2+HLOOKUP(Stn_WL,Tools!$AD$2:$AD$27,QUOTIENT(ROW()-2,Max_WL_count)+2,FALSE)*STN_GAP,"")</f>
        <v/>
      </c>
      <c r="D533" s="433" t="str">
        <f>IFERROR(VLOOKUP(HLOOKUP(Stn_WL,Tools!$AD$2:$AD$27,QUOTIENT(ROW()-2,Max_WL_count)+2,FALSE),Tools!$AD$3:$BC$27,MOD(ROW()-2,Max_WL_count)+2,FALSE),"")</f>
        <v/>
      </c>
      <c r="E533" s="431" t="str">
        <f>IFERROR(IF(ISNUMBER(D533),HLOOKUP(Tools!$BE$2,Tools!$BE$2:$BE$27,MOD(ROW()-2,Max_WL_count)+2,FALSE)*WLS,""),"")</f>
        <v/>
      </c>
      <c r="I533" s="427" t="str">
        <f t="shared" si="53"/>
        <v/>
      </c>
      <c r="J533" s="430" t="str">
        <f t="shared" si="49"/>
        <v/>
      </c>
      <c r="K533" s="433" t="str">
        <f>IFERROR(-LBP/2+HLOOKUP(Stn_WL,Tools!$AD$2:$AD$27,N533+2,FALSE)*STN_GAP,"")</f>
        <v/>
      </c>
      <c r="L533" s="433" t="str">
        <f>IFERROR(IF(AND(ISNUMBER(K533),O533=0),0,VLOOKUP(HLOOKUP(Stn_WL,Tools!$AD$2:$AD$27,N533+2,FALSE),Tools!$AD$3:$BC$27,O533+1,FALSE)),"")</f>
        <v/>
      </c>
      <c r="M533" s="433" t="str">
        <f>IFERROR(IF(ISNUMBER(L533),IF(O533=0,IFERROR(HLOOKUP(Tools!$BD$127,Tools!$BD$127:$BD$152,N533+2,FALSE)*1,0),HLOOKUP(Tools!$BE$2,Tools!$BE$2:$BE$27,O533+1,FALSE)*WLS),""),"")</f>
        <v/>
      </c>
      <c r="N533">
        <f t="shared" si="50"/>
        <v>40</v>
      </c>
      <c r="O533">
        <f t="shared" si="51"/>
        <v>11</v>
      </c>
    </row>
    <row r="534" spans="1:15" x14ac:dyDescent="0.25">
      <c r="A534" s="427" t="str">
        <f t="shared" si="52"/>
        <v/>
      </c>
      <c r="B534" s="430" t="str">
        <f t="shared" si="48"/>
        <v/>
      </c>
      <c r="C534" s="433" t="str">
        <f>IFERROR(-LBP/2+HLOOKUP(Stn_WL,Tools!$AD$2:$AD$27,QUOTIENT(ROW()-2,Max_WL_count)+2,FALSE)*STN_GAP,"")</f>
        <v/>
      </c>
      <c r="D534" s="433" t="str">
        <f>IFERROR(VLOOKUP(HLOOKUP(Stn_WL,Tools!$AD$2:$AD$27,QUOTIENT(ROW()-2,Max_WL_count)+2,FALSE),Tools!$AD$3:$BC$27,MOD(ROW()-2,Max_WL_count)+2,FALSE),"")</f>
        <v/>
      </c>
      <c r="E534" s="431" t="str">
        <f>IFERROR(IF(ISNUMBER(D534),HLOOKUP(Tools!$BE$2,Tools!$BE$2:$BE$27,MOD(ROW()-2,Max_WL_count)+2,FALSE)*WLS,""),"")</f>
        <v/>
      </c>
      <c r="I534" s="427" t="str">
        <f t="shared" si="53"/>
        <v/>
      </c>
      <c r="J534" s="430" t="str">
        <f t="shared" si="49"/>
        <v/>
      </c>
      <c r="K534" s="433" t="str">
        <f>IFERROR(-LBP/2+HLOOKUP(Stn_WL,Tools!$AD$2:$AD$27,N534+2,FALSE)*STN_GAP,"")</f>
        <v/>
      </c>
      <c r="L534" s="433" t="str">
        <f>IFERROR(IF(AND(ISNUMBER(K534),O534=0),0,VLOOKUP(HLOOKUP(Stn_WL,Tools!$AD$2:$AD$27,N534+2,FALSE),Tools!$AD$3:$BC$27,O534+1,FALSE)),"")</f>
        <v/>
      </c>
      <c r="M534" s="433" t="str">
        <f>IFERROR(IF(ISNUMBER(L534),IF(O534=0,IFERROR(HLOOKUP(Tools!$BD$127,Tools!$BD$127:$BD$152,N534+2,FALSE)*1,0),HLOOKUP(Tools!$BE$2,Tools!$BE$2:$BE$27,O534+1,FALSE)*WLS),""),"")</f>
        <v/>
      </c>
      <c r="N534">
        <f t="shared" si="50"/>
        <v>40</v>
      </c>
      <c r="O534">
        <f t="shared" si="51"/>
        <v>12</v>
      </c>
    </row>
    <row r="535" spans="1:15" x14ac:dyDescent="0.25">
      <c r="A535" s="427" t="str">
        <f t="shared" si="52"/>
        <v/>
      </c>
      <c r="B535" s="430" t="str">
        <f t="shared" si="48"/>
        <v/>
      </c>
      <c r="C535" s="433" t="str">
        <f>IFERROR(-LBP/2+HLOOKUP(Stn_WL,Tools!$AD$2:$AD$27,QUOTIENT(ROW()-2,Max_WL_count)+2,FALSE)*STN_GAP,"")</f>
        <v/>
      </c>
      <c r="D535" s="433" t="str">
        <f>IFERROR(VLOOKUP(HLOOKUP(Stn_WL,Tools!$AD$2:$AD$27,QUOTIENT(ROW()-2,Max_WL_count)+2,FALSE),Tools!$AD$3:$BC$27,MOD(ROW()-2,Max_WL_count)+2,FALSE),"")</f>
        <v/>
      </c>
      <c r="E535" s="431" t="str">
        <f>IFERROR(IF(ISNUMBER(D535),HLOOKUP(Tools!$BE$2,Tools!$BE$2:$BE$27,MOD(ROW()-2,Max_WL_count)+2,FALSE)*WLS,""),"")</f>
        <v/>
      </c>
      <c r="I535" s="427" t="str">
        <f t="shared" si="53"/>
        <v/>
      </c>
      <c r="J535" s="430" t="str">
        <f t="shared" si="49"/>
        <v/>
      </c>
      <c r="K535" s="433" t="str">
        <f>IFERROR(-LBP/2+HLOOKUP(Stn_WL,Tools!$AD$2:$AD$27,N535+2,FALSE)*STN_GAP,"")</f>
        <v/>
      </c>
      <c r="L535" s="433" t="str">
        <f>IFERROR(IF(AND(ISNUMBER(K535),O535=0),0,VLOOKUP(HLOOKUP(Stn_WL,Tools!$AD$2:$AD$27,N535+2,FALSE),Tools!$AD$3:$BC$27,O535+1,FALSE)),"")</f>
        <v/>
      </c>
      <c r="M535" s="433" t="str">
        <f>IFERROR(IF(ISNUMBER(L535),IF(O535=0,IFERROR(HLOOKUP(Tools!$BD$127,Tools!$BD$127:$BD$152,N535+2,FALSE)*1,0),HLOOKUP(Tools!$BE$2,Tools!$BE$2:$BE$27,O535+1,FALSE)*WLS),""),"")</f>
        <v/>
      </c>
      <c r="N535">
        <f t="shared" si="50"/>
        <v>41</v>
      </c>
      <c r="O535">
        <f t="shared" si="51"/>
        <v>0</v>
      </c>
    </row>
    <row r="536" spans="1:15" x14ac:dyDescent="0.25">
      <c r="A536" s="427" t="str">
        <f t="shared" si="52"/>
        <v/>
      </c>
      <c r="B536" s="430" t="str">
        <f t="shared" si="48"/>
        <v/>
      </c>
      <c r="C536" s="433" t="str">
        <f>IFERROR(-LBP/2+HLOOKUP(Stn_WL,Tools!$AD$2:$AD$27,QUOTIENT(ROW()-2,Max_WL_count)+2,FALSE)*STN_GAP,"")</f>
        <v/>
      </c>
      <c r="D536" s="433" t="str">
        <f>IFERROR(VLOOKUP(HLOOKUP(Stn_WL,Tools!$AD$2:$AD$27,QUOTIENT(ROW()-2,Max_WL_count)+2,FALSE),Tools!$AD$3:$BC$27,MOD(ROW()-2,Max_WL_count)+2,FALSE),"")</f>
        <v/>
      </c>
      <c r="E536" s="431" t="str">
        <f>IFERROR(IF(ISNUMBER(D536),HLOOKUP(Tools!$BE$2,Tools!$BE$2:$BE$27,MOD(ROW()-2,Max_WL_count)+2,FALSE)*WLS,""),"")</f>
        <v/>
      </c>
      <c r="I536" s="427" t="str">
        <f t="shared" si="53"/>
        <v/>
      </c>
      <c r="J536" s="430" t="str">
        <f t="shared" si="49"/>
        <v/>
      </c>
      <c r="K536" s="433" t="str">
        <f>IFERROR(-LBP/2+HLOOKUP(Stn_WL,Tools!$AD$2:$AD$27,N536+2,FALSE)*STN_GAP,"")</f>
        <v/>
      </c>
      <c r="L536" s="433" t="str">
        <f>IFERROR(IF(AND(ISNUMBER(K536),O536=0),0,VLOOKUP(HLOOKUP(Stn_WL,Tools!$AD$2:$AD$27,N536+2,FALSE),Tools!$AD$3:$BC$27,O536+1,FALSE)),"")</f>
        <v/>
      </c>
      <c r="M536" s="433" t="str">
        <f>IFERROR(IF(ISNUMBER(L536),IF(O536=0,IFERROR(HLOOKUP(Tools!$BD$127,Tools!$BD$127:$BD$152,N536+2,FALSE)*1,0),HLOOKUP(Tools!$BE$2,Tools!$BE$2:$BE$27,O536+1,FALSE)*WLS),""),"")</f>
        <v/>
      </c>
      <c r="N536">
        <f t="shared" si="50"/>
        <v>41</v>
      </c>
      <c r="O536">
        <f t="shared" si="51"/>
        <v>1</v>
      </c>
    </row>
    <row r="537" spans="1:15" x14ac:dyDescent="0.25">
      <c r="A537" s="427" t="str">
        <f t="shared" si="52"/>
        <v/>
      </c>
      <c r="B537" s="430" t="str">
        <f t="shared" si="48"/>
        <v/>
      </c>
      <c r="C537" s="433" t="str">
        <f>IFERROR(-LBP/2+HLOOKUP(Stn_WL,Tools!$AD$2:$AD$27,QUOTIENT(ROW()-2,Max_WL_count)+2,FALSE)*STN_GAP,"")</f>
        <v/>
      </c>
      <c r="D537" s="433" t="str">
        <f>IFERROR(VLOOKUP(HLOOKUP(Stn_WL,Tools!$AD$2:$AD$27,QUOTIENT(ROW()-2,Max_WL_count)+2,FALSE),Tools!$AD$3:$BC$27,MOD(ROW()-2,Max_WL_count)+2,FALSE),"")</f>
        <v/>
      </c>
      <c r="E537" s="431" t="str">
        <f>IFERROR(IF(ISNUMBER(D537),HLOOKUP(Tools!$BE$2,Tools!$BE$2:$BE$27,MOD(ROW()-2,Max_WL_count)+2,FALSE)*WLS,""),"")</f>
        <v/>
      </c>
      <c r="I537" s="427" t="str">
        <f t="shared" si="53"/>
        <v/>
      </c>
      <c r="J537" s="430" t="str">
        <f t="shared" si="49"/>
        <v/>
      </c>
      <c r="K537" s="433" t="str">
        <f>IFERROR(-LBP/2+HLOOKUP(Stn_WL,Tools!$AD$2:$AD$27,N537+2,FALSE)*STN_GAP,"")</f>
        <v/>
      </c>
      <c r="L537" s="433" t="str">
        <f>IFERROR(IF(AND(ISNUMBER(K537),O537=0),0,VLOOKUP(HLOOKUP(Stn_WL,Tools!$AD$2:$AD$27,N537+2,FALSE),Tools!$AD$3:$BC$27,O537+1,FALSE)),"")</f>
        <v/>
      </c>
      <c r="M537" s="433" t="str">
        <f>IFERROR(IF(ISNUMBER(L537),IF(O537=0,IFERROR(HLOOKUP(Tools!$BD$127,Tools!$BD$127:$BD$152,N537+2,FALSE)*1,0),HLOOKUP(Tools!$BE$2,Tools!$BE$2:$BE$27,O537+1,FALSE)*WLS),""),"")</f>
        <v/>
      </c>
      <c r="N537">
        <f t="shared" si="50"/>
        <v>41</v>
      </c>
      <c r="O537">
        <f t="shared" si="51"/>
        <v>2</v>
      </c>
    </row>
    <row r="538" spans="1:15" x14ac:dyDescent="0.25">
      <c r="A538" s="427" t="str">
        <f t="shared" si="52"/>
        <v/>
      </c>
      <c r="B538" s="430" t="str">
        <f t="shared" si="48"/>
        <v/>
      </c>
      <c r="C538" s="433" t="str">
        <f>IFERROR(-LBP/2+HLOOKUP(Stn_WL,Tools!$AD$2:$AD$27,QUOTIENT(ROW()-2,Max_WL_count)+2,FALSE)*STN_GAP,"")</f>
        <v/>
      </c>
      <c r="D538" s="433" t="str">
        <f>IFERROR(VLOOKUP(HLOOKUP(Stn_WL,Tools!$AD$2:$AD$27,QUOTIENT(ROW()-2,Max_WL_count)+2,FALSE),Tools!$AD$3:$BC$27,MOD(ROW()-2,Max_WL_count)+2,FALSE),"")</f>
        <v/>
      </c>
      <c r="E538" s="431" t="str">
        <f>IFERROR(IF(ISNUMBER(D538),HLOOKUP(Tools!$BE$2,Tools!$BE$2:$BE$27,MOD(ROW()-2,Max_WL_count)+2,FALSE)*WLS,""),"")</f>
        <v/>
      </c>
      <c r="I538" s="427" t="str">
        <f t="shared" si="53"/>
        <v/>
      </c>
      <c r="J538" s="430" t="str">
        <f t="shared" si="49"/>
        <v/>
      </c>
      <c r="K538" s="433" t="str">
        <f>IFERROR(-LBP/2+HLOOKUP(Stn_WL,Tools!$AD$2:$AD$27,N538+2,FALSE)*STN_GAP,"")</f>
        <v/>
      </c>
      <c r="L538" s="433" t="str">
        <f>IFERROR(IF(AND(ISNUMBER(K538),O538=0),0,VLOOKUP(HLOOKUP(Stn_WL,Tools!$AD$2:$AD$27,N538+2,FALSE),Tools!$AD$3:$BC$27,O538+1,FALSE)),"")</f>
        <v/>
      </c>
      <c r="M538" s="433" t="str">
        <f>IFERROR(IF(ISNUMBER(L538),IF(O538=0,IFERROR(HLOOKUP(Tools!$BD$127,Tools!$BD$127:$BD$152,N538+2,FALSE)*1,0),HLOOKUP(Tools!$BE$2,Tools!$BE$2:$BE$27,O538+1,FALSE)*WLS),""),"")</f>
        <v/>
      </c>
      <c r="N538">
        <f t="shared" si="50"/>
        <v>41</v>
      </c>
      <c r="O538">
        <f t="shared" si="51"/>
        <v>3</v>
      </c>
    </row>
    <row r="539" spans="1:15" x14ac:dyDescent="0.25">
      <c r="A539" s="427" t="str">
        <f t="shared" si="52"/>
        <v/>
      </c>
      <c r="B539" s="430" t="str">
        <f t="shared" si="48"/>
        <v/>
      </c>
      <c r="C539" s="433" t="str">
        <f>IFERROR(-LBP/2+HLOOKUP(Stn_WL,Tools!$AD$2:$AD$27,QUOTIENT(ROW()-2,Max_WL_count)+2,FALSE)*STN_GAP,"")</f>
        <v/>
      </c>
      <c r="D539" s="433" t="str">
        <f>IFERROR(VLOOKUP(HLOOKUP(Stn_WL,Tools!$AD$2:$AD$27,QUOTIENT(ROW()-2,Max_WL_count)+2,FALSE),Tools!$AD$3:$BC$27,MOD(ROW()-2,Max_WL_count)+2,FALSE),"")</f>
        <v/>
      </c>
      <c r="E539" s="431" t="str">
        <f>IFERROR(IF(ISNUMBER(D539),HLOOKUP(Tools!$BE$2,Tools!$BE$2:$BE$27,MOD(ROW()-2,Max_WL_count)+2,FALSE)*WLS,""),"")</f>
        <v/>
      </c>
      <c r="I539" s="427" t="str">
        <f t="shared" si="53"/>
        <v/>
      </c>
      <c r="J539" s="430" t="str">
        <f t="shared" si="49"/>
        <v/>
      </c>
      <c r="K539" s="433" t="str">
        <f>IFERROR(-LBP/2+HLOOKUP(Stn_WL,Tools!$AD$2:$AD$27,N539+2,FALSE)*STN_GAP,"")</f>
        <v/>
      </c>
      <c r="L539" s="433" t="str">
        <f>IFERROR(IF(AND(ISNUMBER(K539),O539=0),0,VLOOKUP(HLOOKUP(Stn_WL,Tools!$AD$2:$AD$27,N539+2,FALSE),Tools!$AD$3:$BC$27,O539+1,FALSE)),"")</f>
        <v/>
      </c>
      <c r="M539" s="433" t="str">
        <f>IFERROR(IF(ISNUMBER(L539),IF(O539=0,IFERROR(HLOOKUP(Tools!$BD$127,Tools!$BD$127:$BD$152,N539+2,FALSE)*1,0),HLOOKUP(Tools!$BE$2,Tools!$BE$2:$BE$27,O539+1,FALSE)*WLS),""),"")</f>
        <v/>
      </c>
      <c r="N539">
        <f t="shared" si="50"/>
        <v>41</v>
      </c>
      <c r="O539">
        <f t="shared" si="51"/>
        <v>4</v>
      </c>
    </row>
    <row r="540" spans="1:15" x14ac:dyDescent="0.25">
      <c r="A540" s="427" t="str">
        <f t="shared" si="52"/>
        <v/>
      </c>
      <c r="B540" s="430" t="str">
        <f t="shared" si="48"/>
        <v/>
      </c>
      <c r="C540" s="433" t="str">
        <f>IFERROR(-LBP/2+HLOOKUP(Stn_WL,Tools!$AD$2:$AD$27,QUOTIENT(ROW()-2,Max_WL_count)+2,FALSE)*STN_GAP,"")</f>
        <v/>
      </c>
      <c r="D540" s="433" t="str">
        <f>IFERROR(VLOOKUP(HLOOKUP(Stn_WL,Tools!$AD$2:$AD$27,QUOTIENT(ROW()-2,Max_WL_count)+2,FALSE),Tools!$AD$3:$BC$27,MOD(ROW()-2,Max_WL_count)+2,FALSE),"")</f>
        <v/>
      </c>
      <c r="E540" s="431" t="str">
        <f>IFERROR(IF(ISNUMBER(D540),HLOOKUP(Tools!$BE$2,Tools!$BE$2:$BE$27,MOD(ROW()-2,Max_WL_count)+2,FALSE)*WLS,""),"")</f>
        <v/>
      </c>
      <c r="I540" s="427" t="str">
        <f t="shared" si="53"/>
        <v/>
      </c>
      <c r="J540" s="430" t="str">
        <f t="shared" si="49"/>
        <v/>
      </c>
      <c r="K540" s="433" t="str">
        <f>IFERROR(-LBP/2+HLOOKUP(Stn_WL,Tools!$AD$2:$AD$27,N540+2,FALSE)*STN_GAP,"")</f>
        <v/>
      </c>
      <c r="L540" s="433" t="str">
        <f>IFERROR(IF(AND(ISNUMBER(K540),O540=0),0,VLOOKUP(HLOOKUP(Stn_WL,Tools!$AD$2:$AD$27,N540+2,FALSE),Tools!$AD$3:$BC$27,O540+1,FALSE)),"")</f>
        <v/>
      </c>
      <c r="M540" s="433" t="str">
        <f>IFERROR(IF(ISNUMBER(L540),IF(O540=0,IFERROR(HLOOKUP(Tools!$BD$127,Tools!$BD$127:$BD$152,N540+2,FALSE)*1,0),HLOOKUP(Tools!$BE$2,Tools!$BE$2:$BE$27,O540+1,FALSE)*WLS),""),"")</f>
        <v/>
      </c>
      <c r="N540">
        <f t="shared" si="50"/>
        <v>41</v>
      </c>
      <c r="O540">
        <f t="shared" si="51"/>
        <v>5</v>
      </c>
    </row>
    <row r="541" spans="1:15" x14ac:dyDescent="0.25">
      <c r="A541" s="427" t="str">
        <f t="shared" si="52"/>
        <v/>
      </c>
      <c r="B541" s="430" t="str">
        <f t="shared" si="48"/>
        <v/>
      </c>
      <c r="C541" s="433" t="str">
        <f>IFERROR(-LBP/2+HLOOKUP(Stn_WL,Tools!$AD$2:$AD$27,QUOTIENT(ROW()-2,Max_WL_count)+2,FALSE)*STN_GAP,"")</f>
        <v/>
      </c>
      <c r="D541" s="433" t="str">
        <f>IFERROR(VLOOKUP(HLOOKUP(Stn_WL,Tools!$AD$2:$AD$27,QUOTIENT(ROW()-2,Max_WL_count)+2,FALSE),Tools!$AD$3:$BC$27,MOD(ROW()-2,Max_WL_count)+2,FALSE),"")</f>
        <v/>
      </c>
      <c r="E541" s="431" t="str">
        <f>IFERROR(IF(ISNUMBER(D541),HLOOKUP(Tools!$BE$2,Tools!$BE$2:$BE$27,MOD(ROW()-2,Max_WL_count)+2,FALSE)*WLS,""),"")</f>
        <v/>
      </c>
      <c r="I541" s="427" t="str">
        <f t="shared" si="53"/>
        <v/>
      </c>
      <c r="J541" s="430" t="str">
        <f t="shared" si="49"/>
        <v/>
      </c>
      <c r="K541" s="433" t="str">
        <f>IFERROR(-LBP/2+HLOOKUP(Stn_WL,Tools!$AD$2:$AD$27,N541+2,FALSE)*STN_GAP,"")</f>
        <v/>
      </c>
      <c r="L541" s="433" t="str">
        <f>IFERROR(IF(AND(ISNUMBER(K541),O541=0),0,VLOOKUP(HLOOKUP(Stn_WL,Tools!$AD$2:$AD$27,N541+2,FALSE),Tools!$AD$3:$BC$27,O541+1,FALSE)),"")</f>
        <v/>
      </c>
      <c r="M541" s="433" t="str">
        <f>IFERROR(IF(ISNUMBER(L541),IF(O541=0,IFERROR(HLOOKUP(Tools!$BD$127,Tools!$BD$127:$BD$152,N541+2,FALSE)*1,0),HLOOKUP(Tools!$BE$2,Tools!$BE$2:$BE$27,O541+1,FALSE)*WLS),""),"")</f>
        <v/>
      </c>
      <c r="N541">
        <f t="shared" si="50"/>
        <v>41</v>
      </c>
      <c r="O541">
        <f t="shared" si="51"/>
        <v>6</v>
      </c>
    </row>
    <row r="542" spans="1:15" x14ac:dyDescent="0.25">
      <c r="A542" s="427" t="str">
        <f t="shared" si="52"/>
        <v/>
      </c>
      <c r="B542" s="430" t="str">
        <f t="shared" si="48"/>
        <v/>
      </c>
      <c r="C542" s="433" t="str">
        <f>IFERROR(-LBP/2+HLOOKUP(Stn_WL,Tools!$AD$2:$AD$27,QUOTIENT(ROW()-2,Max_WL_count)+2,FALSE)*STN_GAP,"")</f>
        <v/>
      </c>
      <c r="D542" s="433" t="str">
        <f>IFERROR(VLOOKUP(HLOOKUP(Stn_WL,Tools!$AD$2:$AD$27,QUOTIENT(ROW()-2,Max_WL_count)+2,FALSE),Tools!$AD$3:$BC$27,MOD(ROW()-2,Max_WL_count)+2,FALSE),"")</f>
        <v/>
      </c>
      <c r="E542" s="431" t="str">
        <f>IFERROR(IF(ISNUMBER(D542),HLOOKUP(Tools!$BE$2,Tools!$BE$2:$BE$27,MOD(ROW()-2,Max_WL_count)+2,FALSE)*WLS,""),"")</f>
        <v/>
      </c>
      <c r="I542" s="427" t="str">
        <f t="shared" si="53"/>
        <v/>
      </c>
      <c r="J542" s="430" t="str">
        <f t="shared" si="49"/>
        <v/>
      </c>
      <c r="K542" s="433" t="str">
        <f>IFERROR(-LBP/2+HLOOKUP(Stn_WL,Tools!$AD$2:$AD$27,N542+2,FALSE)*STN_GAP,"")</f>
        <v/>
      </c>
      <c r="L542" s="433" t="str">
        <f>IFERROR(IF(AND(ISNUMBER(K542),O542=0),0,VLOOKUP(HLOOKUP(Stn_WL,Tools!$AD$2:$AD$27,N542+2,FALSE),Tools!$AD$3:$BC$27,O542+1,FALSE)),"")</f>
        <v/>
      </c>
      <c r="M542" s="433" t="str">
        <f>IFERROR(IF(ISNUMBER(L542),IF(O542=0,IFERROR(HLOOKUP(Tools!$BD$127,Tools!$BD$127:$BD$152,N542+2,FALSE)*1,0),HLOOKUP(Tools!$BE$2,Tools!$BE$2:$BE$27,O542+1,FALSE)*WLS),""),"")</f>
        <v/>
      </c>
      <c r="N542">
        <f t="shared" si="50"/>
        <v>41</v>
      </c>
      <c r="O542">
        <f t="shared" si="51"/>
        <v>7</v>
      </c>
    </row>
    <row r="543" spans="1:15" x14ac:dyDescent="0.25">
      <c r="A543" s="427" t="str">
        <f t="shared" si="52"/>
        <v/>
      </c>
      <c r="B543" s="430" t="str">
        <f t="shared" si="48"/>
        <v/>
      </c>
      <c r="C543" s="433" t="str">
        <f>IFERROR(-LBP/2+HLOOKUP(Stn_WL,Tools!$AD$2:$AD$27,QUOTIENT(ROW()-2,Max_WL_count)+2,FALSE)*STN_GAP,"")</f>
        <v/>
      </c>
      <c r="D543" s="433" t="str">
        <f>IFERROR(VLOOKUP(HLOOKUP(Stn_WL,Tools!$AD$2:$AD$27,QUOTIENT(ROW()-2,Max_WL_count)+2,FALSE),Tools!$AD$3:$BC$27,MOD(ROW()-2,Max_WL_count)+2,FALSE),"")</f>
        <v/>
      </c>
      <c r="E543" s="431" t="str">
        <f>IFERROR(IF(ISNUMBER(D543),HLOOKUP(Tools!$BE$2,Tools!$BE$2:$BE$27,MOD(ROW()-2,Max_WL_count)+2,FALSE)*WLS,""),"")</f>
        <v/>
      </c>
      <c r="I543" s="427" t="str">
        <f t="shared" si="53"/>
        <v/>
      </c>
      <c r="J543" s="430" t="str">
        <f t="shared" si="49"/>
        <v/>
      </c>
      <c r="K543" s="433" t="str">
        <f>IFERROR(-LBP/2+HLOOKUP(Stn_WL,Tools!$AD$2:$AD$27,N543+2,FALSE)*STN_GAP,"")</f>
        <v/>
      </c>
      <c r="L543" s="433" t="str">
        <f>IFERROR(IF(AND(ISNUMBER(K543),O543=0),0,VLOOKUP(HLOOKUP(Stn_WL,Tools!$AD$2:$AD$27,N543+2,FALSE),Tools!$AD$3:$BC$27,O543+1,FALSE)),"")</f>
        <v/>
      </c>
      <c r="M543" s="433" t="str">
        <f>IFERROR(IF(ISNUMBER(L543),IF(O543=0,IFERROR(HLOOKUP(Tools!$BD$127,Tools!$BD$127:$BD$152,N543+2,FALSE)*1,0),HLOOKUP(Tools!$BE$2,Tools!$BE$2:$BE$27,O543+1,FALSE)*WLS),""),"")</f>
        <v/>
      </c>
      <c r="N543">
        <f t="shared" si="50"/>
        <v>41</v>
      </c>
      <c r="O543">
        <f t="shared" si="51"/>
        <v>8</v>
      </c>
    </row>
    <row r="544" spans="1:15" x14ac:dyDescent="0.25">
      <c r="A544" s="427" t="str">
        <f t="shared" si="52"/>
        <v/>
      </c>
      <c r="B544" s="430" t="str">
        <f t="shared" si="48"/>
        <v/>
      </c>
      <c r="C544" s="433" t="str">
        <f>IFERROR(-LBP/2+HLOOKUP(Stn_WL,Tools!$AD$2:$AD$27,QUOTIENT(ROW()-2,Max_WL_count)+2,FALSE)*STN_GAP,"")</f>
        <v/>
      </c>
      <c r="D544" s="433" t="str">
        <f>IFERROR(VLOOKUP(HLOOKUP(Stn_WL,Tools!$AD$2:$AD$27,QUOTIENT(ROW()-2,Max_WL_count)+2,FALSE),Tools!$AD$3:$BC$27,MOD(ROW()-2,Max_WL_count)+2,FALSE),"")</f>
        <v/>
      </c>
      <c r="E544" s="431" t="str">
        <f>IFERROR(IF(ISNUMBER(D544),HLOOKUP(Tools!$BE$2,Tools!$BE$2:$BE$27,MOD(ROW()-2,Max_WL_count)+2,FALSE)*WLS,""),"")</f>
        <v/>
      </c>
      <c r="I544" s="427" t="str">
        <f t="shared" si="53"/>
        <v/>
      </c>
      <c r="J544" s="430" t="str">
        <f t="shared" si="49"/>
        <v/>
      </c>
      <c r="K544" s="433" t="str">
        <f>IFERROR(-LBP/2+HLOOKUP(Stn_WL,Tools!$AD$2:$AD$27,N544+2,FALSE)*STN_GAP,"")</f>
        <v/>
      </c>
      <c r="L544" s="433" t="str">
        <f>IFERROR(IF(AND(ISNUMBER(K544),O544=0),0,VLOOKUP(HLOOKUP(Stn_WL,Tools!$AD$2:$AD$27,N544+2,FALSE),Tools!$AD$3:$BC$27,O544+1,FALSE)),"")</f>
        <v/>
      </c>
      <c r="M544" s="433" t="str">
        <f>IFERROR(IF(ISNUMBER(L544),IF(O544=0,IFERROR(HLOOKUP(Tools!$BD$127,Tools!$BD$127:$BD$152,N544+2,FALSE)*1,0),HLOOKUP(Tools!$BE$2,Tools!$BE$2:$BE$27,O544+1,FALSE)*WLS),""),"")</f>
        <v/>
      </c>
      <c r="N544">
        <f t="shared" si="50"/>
        <v>41</v>
      </c>
      <c r="O544">
        <f t="shared" si="51"/>
        <v>9</v>
      </c>
    </row>
    <row r="545" spans="1:15" x14ac:dyDescent="0.25">
      <c r="A545" s="427" t="str">
        <f t="shared" si="52"/>
        <v/>
      </c>
      <c r="B545" s="430" t="str">
        <f t="shared" si="48"/>
        <v/>
      </c>
      <c r="C545" s="433" t="str">
        <f>IFERROR(-LBP/2+HLOOKUP(Stn_WL,Tools!$AD$2:$AD$27,QUOTIENT(ROW()-2,Max_WL_count)+2,FALSE)*STN_GAP,"")</f>
        <v/>
      </c>
      <c r="D545" s="433" t="str">
        <f>IFERROR(VLOOKUP(HLOOKUP(Stn_WL,Tools!$AD$2:$AD$27,QUOTIENT(ROW()-2,Max_WL_count)+2,FALSE),Tools!$AD$3:$BC$27,MOD(ROW()-2,Max_WL_count)+2,FALSE),"")</f>
        <v/>
      </c>
      <c r="E545" s="431" t="str">
        <f>IFERROR(IF(ISNUMBER(D545),HLOOKUP(Tools!$BE$2,Tools!$BE$2:$BE$27,MOD(ROW()-2,Max_WL_count)+2,FALSE)*WLS,""),"")</f>
        <v/>
      </c>
      <c r="I545" s="427" t="str">
        <f t="shared" si="53"/>
        <v/>
      </c>
      <c r="J545" s="430" t="str">
        <f t="shared" si="49"/>
        <v/>
      </c>
      <c r="K545" s="433" t="str">
        <f>IFERROR(-LBP/2+HLOOKUP(Stn_WL,Tools!$AD$2:$AD$27,N545+2,FALSE)*STN_GAP,"")</f>
        <v/>
      </c>
      <c r="L545" s="433" t="str">
        <f>IFERROR(IF(AND(ISNUMBER(K545),O545=0),0,VLOOKUP(HLOOKUP(Stn_WL,Tools!$AD$2:$AD$27,N545+2,FALSE),Tools!$AD$3:$BC$27,O545+1,FALSE)),"")</f>
        <v/>
      </c>
      <c r="M545" s="433" t="str">
        <f>IFERROR(IF(ISNUMBER(L545),IF(O545=0,IFERROR(HLOOKUP(Tools!$BD$127,Tools!$BD$127:$BD$152,N545+2,FALSE)*1,0),HLOOKUP(Tools!$BE$2,Tools!$BE$2:$BE$27,O545+1,FALSE)*WLS),""),"")</f>
        <v/>
      </c>
      <c r="N545">
        <f t="shared" si="50"/>
        <v>41</v>
      </c>
      <c r="O545">
        <f t="shared" si="51"/>
        <v>10</v>
      </c>
    </row>
    <row r="546" spans="1:15" x14ac:dyDescent="0.25">
      <c r="A546" s="427" t="str">
        <f t="shared" si="52"/>
        <v/>
      </c>
      <c r="B546" s="430" t="str">
        <f t="shared" si="48"/>
        <v/>
      </c>
      <c r="C546" s="433" t="str">
        <f>IFERROR(-LBP/2+HLOOKUP(Stn_WL,Tools!$AD$2:$AD$27,QUOTIENT(ROW()-2,Max_WL_count)+2,FALSE)*STN_GAP,"")</f>
        <v/>
      </c>
      <c r="D546" s="433" t="str">
        <f>IFERROR(VLOOKUP(HLOOKUP(Stn_WL,Tools!$AD$2:$AD$27,QUOTIENT(ROW()-2,Max_WL_count)+2,FALSE),Tools!$AD$3:$BC$27,MOD(ROW()-2,Max_WL_count)+2,FALSE),"")</f>
        <v/>
      </c>
      <c r="E546" s="431" t="str">
        <f>IFERROR(IF(ISNUMBER(D546),HLOOKUP(Tools!$BE$2,Tools!$BE$2:$BE$27,MOD(ROW()-2,Max_WL_count)+2,FALSE)*WLS,""),"")</f>
        <v/>
      </c>
      <c r="I546" s="427" t="str">
        <f t="shared" si="53"/>
        <v/>
      </c>
      <c r="J546" s="430" t="str">
        <f t="shared" si="49"/>
        <v/>
      </c>
      <c r="K546" s="433" t="str">
        <f>IFERROR(-LBP/2+HLOOKUP(Stn_WL,Tools!$AD$2:$AD$27,N546+2,FALSE)*STN_GAP,"")</f>
        <v/>
      </c>
      <c r="L546" s="433" t="str">
        <f>IFERROR(IF(AND(ISNUMBER(K546),O546=0),0,VLOOKUP(HLOOKUP(Stn_WL,Tools!$AD$2:$AD$27,N546+2,FALSE),Tools!$AD$3:$BC$27,O546+1,FALSE)),"")</f>
        <v/>
      </c>
      <c r="M546" s="433" t="str">
        <f>IFERROR(IF(ISNUMBER(L546),IF(O546=0,IFERROR(HLOOKUP(Tools!$BD$127,Tools!$BD$127:$BD$152,N546+2,FALSE)*1,0),HLOOKUP(Tools!$BE$2,Tools!$BE$2:$BE$27,O546+1,FALSE)*WLS),""),"")</f>
        <v/>
      </c>
      <c r="N546">
        <f t="shared" si="50"/>
        <v>41</v>
      </c>
      <c r="O546">
        <f t="shared" si="51"/>
        <v>11</v>
      </c>
    </row>
    <row r="547" spans="1:15" x14ac:dyDescent="0.25">
      <c r="A547" s="427" t="str">
        <f t="shared" si="52"/>
        <v/>
      </c>
      <c r="B547" s="430" t="str">
        <f t="shared" si="48"/>
        <v/>
      </c>
      <c r="C547" s="433" t="str">
        <f>IFERROR(-LBP/2+HLOOKUP(Stn_WL,Tools!$AD$2:$AD$27,QUOTIENT(ROW()-2,Max_WL_count)+2,FALSE)*STN_GAP,"")</f>
        <v/>
      </c>
      <c r="D547" s="433" t="str">
        <f>IFERROR(VLOOKUP(HLOOKUP(Stn_WL,Tools!$AD$2:$AD$27,QUOTIENT(ROW()-2,Max_WL_count)+2,FALSE),Tools!$AD$3:$BC$27,MOD(ROW()-2,Max_WL_count)+2,FALSE),"")</f>
        <v/>
      </c>
      <c r="E547" s="431" t="str">
        <f>IFERROR(IF(ISNUMBER(D547),HLOOKUP(Tools!$BE$2,Tools!$BE$2:$BE$27,MOD(ROW()-2,Max_WL_count)+2,FALSE)*WLS,""),"")</f>
        <v/>
      </c>
      <c r="I547" s="427" t="str">
        <f t="shared" si="53"/>
        <v/>
      </c>
      <c r="J547" s="430" t="str">
        <f t="shared" si="49"/>
        <v/>
      </c>
      <c r="K547" s="433" t="str">
        <f>IFERROR(-LBP/2+HLOOKUP(Stn_WL,Tools!$AD$2:$AD$27,N547+2,FALSE)*STN_GAP,"")</f>
        <v/>
      </c>
      <c r="L547" s="433" t="str">
        <f>IFERROR(IF(AND(ISNUMBER(K547),O547=0),0,VLOOKUP(HLOOKUP(Stn_WL,Tools!$AD$2:$AD$27,N547+2,FALSE),Tools!$AD$3:$BC$27,O547+1,FALSE)),"")</f>
        <v/>
      </c>
      <c r="M547" s="433" t="str">
        <f>IFERROR(IF(ISNUMBER(L547),IF(O547=0,IFERROR(HLOOKUP(Tools!$BD$127,Tools!$BD$127:$BD$152,N547+2,FALSE)*1,0),HLOOKUP(Tools!$BE$2,Tools!$BE$2:$BE$27,O547+1,FALSE)*WLS),""),"")</f>
        <v/>
      </c>
      <c r="N547">
        <f t="shared" si="50"/>
        <v>41</v>
      </c>
      <c r="O547">
        <f t="shared" si="51"/>
        <v>12</v>
      </c>
    </row>
    <row r="548" spans="1:15" x14ac:dyDescent="0.25">
      <c r="A548" s="427" t="str">
        <f t="shared" si="52"/>
        <v/>
      </c>
      <c r="B548" s="430" t="str">
        <f t="shared" si="48"/>
        <v/>
      </c>
      <c r="C548" s="433" t="str">
        <f>IFERROR(-LBP/2+HLOOKUP(Stn_WL,Tools!$AD$2:$AD$27,QUOTIENT(ROW()-2,Max_WL_count)+2,FALSE)*STN_GAP,"")</f>
        <v/>
      </c>
      <c r="D548" s="433" t="str">
        <f>IFERROR(VLOOKUP(HLOOKUP(Stn_WL,Tools!$AD$2:$AD$27,QUOTIENT(ROW()-2,Max_WL_count)+2,FALSE),Tools!$AD$3:$BC$27,MOD(ROW()-2,Max_WL_count)+2,FALSE),"")</f>
        <v/>
      </c>
      <c r="E548" s="431" t="str">
        <f>IFERROR(IF(ISNUMBER(D548),HLOOKUP(Tools!$BE$2,Tools!$BE$2:$BE$27,MOD(ROW()-2,Max_WL_count)+2,FALSE)*WLS,""),"")</f>
        <v/>
      </c>
      <c r="I548" s="427" t="str">
        <f t="shared" si="53"/>
        <v/>
      </c>
      <c r="J548" s="430" t="str">
        <f t="shared" si="49"/>
        <v/>
      </c>
      <c r="K548" s="433" t="str">
        <f>IFERROR(-LBP/2+HLOOKUP(Stn_WL,Tools!$AD$2:$AD$27,N548+2,FALSE)*STN_GAP,"")</f>
        <v/>
      </c>
      <c r="L548" s="433" t="str">
        <f>IFERROR(IF(AND(ISNUMBER(K548),O548=0),0,VLOOKUP(HLOOKUP(Stn_WL,Tools!$AD$2:$AD$27,N548+2,FALSE),Tools!$AD$3:$BC$27,O548+1,FALSE)),"")</f>
        <v/>
      </c>
      <c r="M548" s="433" t="str">
        <f>IFERROR(IF(ISNUMBER(L548),IF(O548=0,IFERROR(HLOOKUP(Tools!$BD$127,Tools!$BD$127:$BD$152,N548+2,FALSE)*1,0),HLOOKUP(Tools!$BE$2,Tools!$BE$2:$BE$27,O548+1,FALSE)*WLS),""),"")</f>
        <v/>
      </c>
      <c r="N548">
        <f t="shared" si="50"/>
        <v>42</v>
      </c>
      <c r="O548">
        <f t="shared" si="51"/>
        <v>0</v>
      </c>
    </row>
    <row r="549" spans="1:15" x14ac:dyDescent="0.25">
      <c r="A549" s="427" t="str">
        <f t="shared" si="52"/>
        <v/>
      </c>
      <c r="B549" s="430" t="str">
        <f t="shared" si="48"/>
        <v/>
      </c>
      <c r="C549" s="433" t="str">
        <f>IFERROR(-LBP/2+HLOOKUP(Stn_WL,Tools!$AD$2:$AD$27,QUOTIENT(ROW()-2,Max_WL_count)+2,FALSE)*STN_GAP,"")</f>
        <v/>
      </c>
      <c r="D549" s="433" t="str">
        <f>IFERROR(VLOOKUP(HLOOKUP(Stn_WL,Tools!$AD$2:$AD$27,QUOTIENT(ROW()-2,Max_WL_count)+2,FALSE),Tools!$AD$3:$BC$27,MOD(ROW()-2,Max_WL_count)+2,FALSE),"")</f>
        <v/>
      </c>
      <c r="E549" s="431" t="str">
        <f>IFERROR(IF(ISNUMBER(D549),HLOOKUP(Tools!$BE$2,Tools!$BE$2:$BE$27,MOD(ROW()-2,Max_WL_count)+2,FALSE)*WLS,""),"")</f>
        <v/>
      </c>
      <c r="I549" s="427" t="str">
        <f t="shared" si="53"/>
        <v/>
      </c>
      <c r="J549" s="430" t="str">
        <f t="shared" si="49"/>
        <v/>
      </c>
      <c r="K549" s="433" t="str">
        <f>IFERROR(-LBP/2+HLOOKUP(Stn_WL,Tools!$AD$2:$AD$27,N549+2,FALSE)*STN_GAP,"")</f>
        <v/>
      </c>
      <c r="L549" s="433" t="str">
        <f>IFERROR(IF(AND(ISNUMBER(K549),O549=0),0,VLOOKUP(HLOOKUP(Stn_WL,Tools!$AD$2:$AD$27,N549+2,FALSE),Tools!$AD$3:$BC$27,O549+1,FALSE)),"")</f>
        <v/>
      </c>
      <c r="M549" s="433" t="str">
        <f>IFERROR(IF(ISNUMBER(L549),IF(O549=0,IFERROR(HLOOKUP(Tools!$BD$127,Tools!$BD$127:$BD$152,N549+2,FALSE)*1,0),HLOOKUP(Tools!$BE$2,Tools!$BE$2:$BE$27,O549+1,FALSE)*WLS),""),"")</f>
        <v/>
      </c>
      <c r="N549">
        <f t="shared" si="50"/>
        <v>42</v>
      </c>
      <c r="O549">
        <f t="shared" si="51"/>
        <v>1</v>
      </c>
    </row>
    <row r="550" spans="1:15" x14ac:dyDescent="0.25">
      <c r="A550" s="427" t="str">
        <f t="shared" si="52"/>
        <v/>
      </c>
      <c r="B550" s="430" t="str">
        <f t="shared" si="48"/>
        <v/>
      </c>
      <c r="C550" s="433" t="str">
        <f>IFERROR(-LBP/2+HLOOKUP(Stn_WL,Tools!$AD$2:$AD$27,QUOTIENT(ROW()-2,Max_WL_count)+2,FALSE)*STN_GAP,"")</f>
        <v/>
      </c>
      <c r="D550" s="433" t="str">
        <f>IFERROR(VLOOKUP(HLOOKUP(Stn_WL,Tools!$AD$2:$AD$27,QUOTIENT(ROW()-2,Max_WL_count)+2,FALSE),Tools!$AD$3:$BC$27,MOD(ROW()-2,Max_WL_count)+2,FALSE),"")</f>
        <v/>
      </c>
      <c r="E550" s="431" t="str">
        <f>IFERROR(IF(ISNUMBER(D550),HLOOKUP(Tools!$BE$2,Tools!$BE$2:$BE$27,MOD(ROW()-2,Max_WL_count)+2,FALSE)*WLS,""),"")</f>
        <v/>
      </c>
      <c r="I550" s="427" t="str">
        <f t="shared" si="53"/>
        <v/>
      </c>
      <c r="J550" s="430" t="str">
        <f t="shared" si="49"/>
        <v/>
      </c>
      <c r="K550" s="433" t="str">
        <f>IFERROR(-LBP/2+HLOOKUP(Stn_WL,Tools!$AD$2:$AD$27,N550+2,FALSE)*STN_GAP,"")</f>
        <v/>
      </c>
      <c r="L550" s="433" t="str">
        <f>IFERROR(IF(AND(ISNUMBER(K550),O550=0),0,VLOOKUP(HLOOKUP(Stn_WL,Tools!$AD$2:$AD$27,N550+2,FALSE),Tools!$AD$3:$BC$27,O550+1,FALSE)),"")</f>
        <v/>
      </c>
      <c r="M550" s="433" t="str">
        <f>IFERROR(IF(ISNUMBER(L550),IF(O550=0,IFERROR(HLOOKUP(Tools!$BD$127,Tools!$BD$127:$BD$152,N550+2,FALSE)*1,0),HLOOKUP(Tools!$BE$2,Tools!$BE$2:$BE$27,O550+1,FALSE)*WLS),""),"")</f>
        <v/>
      </c>
      <c r="N550">
        <f t="shared" si="50"/>
        <v>42</v>
      </c>
      <c r="O550">
        <f t="shared" si="51"/>
        <v>2</v>
      </c>
    </row>
    <row r="551" spans="1:15" x14ac:dyDescent="0.25">
      <c r="A551" s="427" t="str">
        <f t="shared" si="52"/>
        <v/>
      </c>
      <c r="B551" s="430" t="str">
        <f t="shared" si="48"/>
        <v/>
      </c>
      <c r="C551" s="433" t="str">
        <f>IFERROR(-LBP/2+HLOOKUP(Stn_WL,Tools!$AD$2:$AD$27,QUOTIENT(ROW()-2,Max_WL_count)+2,FALSE)*STN_GAP,"")</f>
        <v/>
      </c>
      <c r="D551" s="433" t="str">
        <f>IFERROR(VLOOKUP(HLOOKUP(Stn_WL,Tools!$AD$2:$AD$27,QUOTIENT(ROW()-2,Max_WL_count)+2,FALSE),Tools!$AD$3:$BC$27,MOD(ROW()-2,Max_WL_count)+2,FALSE),"")</f>
        <v/>
      </c>
      <c r="E551" s="431" t="str">
        <f>IFERROR(IF(ISNUMBER(D551),HLOOKUP(Tools!$BE$2,Tools!$BE$2:$BE$27,MOD(ROW()-2,Max_WL_count)+2,FALSE)*WLS,""),"")</f>
        <v/>
      </c>
      <c r="I551" s="427" t="str">
        <f t="shared" si="53"/>
        <v/>
      </c>
      <c r="J551" s="430" t="str">
        <f t="shared" si="49"/>
        <v/>
      </c>
      <c r="K551" s="433" t="str">
        <f>IFERROR(-LBP/2+HLOOKUP(Stn_WL,Tools!$AD$2:$AD$27,N551+2,FALSE)*STN_GAP,"")</f>
        <v/>
      </c>
      <c r="L551" s="433" t="str">
        <f>IFERROR(IF(AND(ISNUMBER(K551),O551=0),0,VLOOKUP(HLOOKUP(Stn_WL,Tools!$AD$2:$AD$27,N551+2,FALSE),Tools!$AD$3:$BC$27,O551+1,FALSE)),"")</f>
        <v/>
      </c>
      <c r="M551" s="433" t="str">
        <f>IFERROR(IF(ISNUMBER(L551),IF(O551=0,IFERROR(HLOOKUP(Tools!$BD$127,Tools!$BD$127:$BD$152,N551+2,FALSE)*1,0),HLOOKUP(Tools!$BE$2,Tools!$BE$2:$BE$27,O551+1,FALSE)*WLS),""),"")</f>
        <v/>
      </c>
      <c r="N551">
        <f t="shared" si="50"/>
        <v>42</v>
      </c>
      <c r="O551">
        <f t="shared" si="51"/>
        <v>3</v>
      </c>
    </row>
    <row r="552" spans="1:15" x14ac:dyDescent="0.25">
      <c r="A552" s="427" t="str">
        <f t="shared" si="52"/>
        <v/>
      </c>
      <c r="B552" s="430" t="str">
        <f t="shared" si="48"/>
        <v/>
      </c>
      <c r="C552" s="433" t="str">
        <f>IFERROR(-LBP/2+HLOOKUP(Stn_WL,Tools!$AD$2:$AD$27,QUOTIENT(ROW()-2,Max_WL_count)+2,FALSE)*STN_GAP,"")</f>
        <v/>
      </c>
      <c r="D552" s="433" t="str">
        <f>IFERROR(VLOOKUP(HLOOKUP(Stn_WL,Tools!$AD$2:$AD$27,QUOTIENT(ROW()-2,Max_WL_count)+2,FALSE),Tools!$AD$3:$BC$27,MOD(ROW()-2,Max_WL_count)+2,FALSE),"")</f>
        <v/>
      </c>
      <c r="E552" s="431" t="str">
        <f>IFERROR(IF(ISNUMBER(D552),HLOOKUP(Tools!$BE$2,Tools!$BE$2:$BE$27,MOD(ROW()-2,Max_WL_count)+2,FALSE)*WLS,""),"")</f>
        <v/>
      </c>
      <c r="I552" s="427" t="str">
        <f t="shared" si="53"/>
        <v/>
      </c>
      <c r="J552" s="430" t="str">
        <f t="shared" si="49"/>
        <v/>
      </c>
      <c r="K552" s="433" t="str">
        <f>IFERROR(-LBP/2+HLOOKUP(Stn_WL,Tools!$AD$2:$AD$27,N552+2,FALSE)*STN_GAP,"")</f>
        <v/>
      </c>
      <c r="L552" s="433" t="str">
        <f>IFERROR(IF(AND(ISNUMBER(K552),O552=0),0,VLOOKUP(HLOOKUP(Stn_WL,Tools!$AD$2:$AD$27,N552+2,FALSE),Tools!$AD$3:$BC$27,O552+1,FALSE)),"")</f>
        <v/>
      </c>
      <c r="M552" s="433" t="str">
        <f>IFERROR(IF(ISNUMBER(L552),IF(O552=0,IFERROR(HLOOKUP(Tools!$BD$127,Tools!$BD$127:$BD$152,N552+2,FALSE)*1,0),HLOOKUP(Tools!$BE$2,Tools!$BE$2:$BE$27,O552+1,FALSE)*WLS),""),"")</f>
        <v/>
      </c>
      <c r="N552">
        <f t="shared" si="50"/>
        <v>42</v>
      </c>
      <c r="O552">
        <f t="shared" si="51"/>
        <v>4</v>
      </c>
    </row>
    <row r="553" spans="1:15" x14ac:dyDescent="0.25">
      <c r="A553" s="427" t="str">
        <f t="shared" si="52"/>
        <v/>
      </c>
      <c r="B553" s="430" t="str">
        <f t="shared" si="48"/>
        <v/>
      </c>
      <c r="C553" s="433" t="str">
        <f>IFERROR(-LBP/2+HLOOKUP(Stn_WL,Tools!$AD$2:$AD$27,QUOTIENT(ROW()-2,Max_WL_count)+2,FALSE)*STN_GAP,"")</f>
        <v/>
      </c>
      <c r="D553" s="433" t="str">
        <f>IFERROR(VLOOKUP(HLOOKUP(Stn_WL,Tools!$AD$2:$AD$27,QUOTIENT(ROW()-2,Max_WL_count)+2,FALSE),Tools!$AD$3:$BC$27,MOD(ROW()-2,Max_WL_count)+2,FALSE),"")</f>
        <v/>
      </c>
      <c r="E553" s="431" t="str">
        <f>IFERROR(IF(ISNUMBER(D553),HLOOKUP(Tools!$BE$2,Tools!$BE$2:$BE$27,MOD(ROW()-2,Max_WL_count)+2,FALSE)*WLS,""),"")</f>
        <v/>
      </c>
      <c r="I553" s="427" t="str">
        <f t="shared" si="53"/>
        <v/>
      </c>
      <c r="J553" s="430" t="str">
        <f t="shared" si="49"/>
        <v/>
      </c>
      <c r="K553" s="433" t="str">
        <f>IFERROR(-LBP/2+HLOOKUP(Stn_WL,Tools!$AD$2:$AD$27,N553+2,FALSE)*STN_GAP,"")</f>
        <v/>
      </c>
      <c r="L553" s="433" t="str">
        <f>IFERROR(IF(AND(ISNUMBER(K553),O553=0),0,VLOOKUP(HLOOKUP(Stn_WL,Tools!$AD$2:$AD$27,N553+2,FALSE),Tools!$AD$3:$BC$27,O553+1,FALSE)),"")</f>
        <v/>
      </c>
      <c r="M553" s="433" t="str">
        <f>IFERROR(IF(ISNUMBER(L553),IF(O553=0,IFERROR(HLOOKUP(Tools!$BD$127,Tools!$BD$127:$BD$152,N553+2,FALSE)*1,0),HLOOKUP(Tools!$BE$2,Tools!$BE$2:$BE$27,O553+1,FALSE)*WLS),""),"")</f>
        <v/>
      </c>
      <c r="N553">
        <f t="shared" si="50"/>
        <v>42</v>
      </c>
      <c r="O553">
        <f t="shared" si="51"/>
        <v>5</v>
      </c>
    </row>
    <row r="554" spans="1:15" x14ac:dyDescent="0.25">
      <c r="A554" s="427" t="str">
        <f t="shared" si="52"/>
        <v/>
      </c>
      <c r="B554" s="430" t="str">
        <f t="shared" si="48"/>
        <v/>
      </c>
      <c r="C554" s="433" t="str">
        <f>IFERROR(-LBP/2+HLOOKUP(Stn_WL,Tools!$AD$2:$AD$27,QUOTIENT(ROW()-2,Max_WL_count)+2,FALSE)*STN_GAP,"")</f>
        <v/>
      </c>
      <c r="D554" s="433" t="str">
        <f>IFERROR(VLOOKUP(HLOOKUP(Stn_WL,Tools!$AD$2:$AD$27,QUOTIENT(ROW()-2,Max_WL_count)+2,FALSE),Tools!$AD$3:$BC$27,MOD(ROW()-2,Max_WL_count)+2,FALSE),"")</f>
        <v/>
      </c>
      <c r="E554" s="431" t="str">
        <f>IFERROR(IF(ISNUMBER(D554),HLOOKUP(Tools!$BE$2,Tools!$BE$2:$BE$27,MOD(ROW()-2,Max_WL_count)+2,FALSE)*WLS,""),"")</f>
        <v/>
      </c>
      <c r="I554" s="427" t="str">
        <f t="shared" si="53"/>
        <v/>
      </c>
      <c r="J554" s="430" t="str">
        <f t="shared" si="49"/>
        <v/>
      </c>
      <c r="K554" s="433" t="str">
        <f>IFERROR(-LBP/2+HLOOKUP(Stn_WL,Tools!$AD$2:$AD$27,N554+2,FALSE)*STN_GAP,"")</f>
        <v/>
      </c>
      <c r="L554" s="433" t="str">
        <f>IFERROR(IF(AND(ISNUMBER(K554),O554=0),0,VLOOKUP(HLOOKUP(Stn_WL,Tools!$AD$2:$AD$27,N554+2,FALSE),Tools!$AD$3:$BC$27,O554+1,FALSE)),"")</f>
        <v/>
      </c>
      <c r="M554" s="433" t="str">
        <f>IFERROR(IF(ISNUMBER(L554),IF(O554=0,IFERROR(HLOOKUP(Tools!$BD$127,Tools!$BD$127:$BD$152,N554+2,FALSE)*1,0),HLOOKUP(Tools!$BE$2,Tools!$BE$2:$BE$27,O554+1,FALSE)*WLS),""),"")</f>
        <v/>
      </c>
      <c r="N554">
        <f t="shared" si="50"/>
        <v>42</v>
      </c>
      <c r="O554">
        <f t="shared" si="51"/>
        <v>6</v>
      </c>
    </row>
    <row r="555" spans="1:15" x14ac:dyDescent="0.25">
      <c r="A555" s="427" t="str">
        <f t="shared" si="52"/>
        <v/>
      </c>
      <c r="B555" s="430" t="str">
        <f t="shared" si="48"/>
        <v/>
      </c>
      <c r="C555" s="433" t="str">
        <f>IFERROR(-LBP/2+HLOOKUP(Stn_WL,Tools!$AD$2:$AD$27,QUOTIENT(ROW()-2,Max_WL_count)+2,FALSE)*STN_GAP,"")</f>
        <v/>
      </c>
      <c r="D555" s="433" t="str">
        <f>IFERROR(VLOOKUP(HLOOKUP(Stn_WL,Tools!$AD$2:$AD$27,QUOTIENT(ROW()-2,Max_WL_count)+2,FALSE),Tools!$AD$3:$BC$27,MOD(ROW()-2,Max_WL_count)+2,FALSE),"")</f>
        <v/>
      </c>
      <c r="E555" s="431" t="str">
        <f>IFERROR(IF(ISNUMBER(D555),HLOOKUP(Tools!$BE$2,Tools!$BE$2:$BE$27,MOD(ROW()-2,Max_WL_count)+2,FALSE)*WLS,""),"")</f>
        <v/>
      </c>
      <c r="I555" s="427" t="str">
        <f t="shared" si="53"/>
        <v/>
      </c>
      <c r="J555" s="430" t="str">
        <f t="shared" si="49"/>
        <v/>
      </c>
      <c r="K555" s="433" t="str">
        <f>IFERROR(-LBP/2+HLOOKUP(Stn_WL,Tools!$AD$2:$AD$27,N555+2,FALSE)*STN_GAP,"")</f>
        <v/>
      </c>
      <c r="L555" s="433" t="str">
        <f>IFERROR(IF(AND(ISNUMBER(K555),O555=0),0,VLOOKUP(HLOOKUP(Stn_WL,Tools!$AD$2:$AD$27,N555+2,FALSE),Tools!$AD$3:$BC$27,O555+1,FALSE)),"")</f>
        <v/>
      </c>
      <c r="M555" s="433" t="str">
        <f>IFERROR(IF(ISNUMBER(L555),IF(O555=0,IFERROR(HLOOKUP(Tools!$BD$127,Tools!$BD$127:$BD$152,N555+2,FALSE)*1,0),HLOOKUP(Tools!$BE$2,Tools!$BE$2:$BE$27,O555+1,FALSE)*WLS),""),"")</f>
        <v/>
      </c>
      <c r="N555">
        <f t="shared" si="50"/>
        <v>42</v>
      </c>
      <c r="O555">
        <f t="shared" si="51"/>
        <v>7</v>
      </c>
    </row>
    <row r="556" spans="1:15" x14ac:dyDescent="0.25">
      <c r="A556" s="427" t="str">
        <f t="shared" si="52"/>
        <v/>
      </c>
      <c r="B556" s="430" t="str">
        <f t="shared" si="48"/>
        <v/>
      </c>
      <c r="C556" s="433" t="str">
        <f>IFERROR(-LBP/2+HLOOKUP(Stn_WL,Tools!$AD$2:$AD$27,QUOTIENT(ROW()-2,Max_WL_count)+2,FALSE)*STN_GAP,"")</f>
        <v/>
      </c>
      <c r="D556" s="433" t="str">
        <f>IFERROR(VLOOKUP(HLOOKUP(Stn_WL,Tools!$AD$2:$AD$27,QUOTIENT(ROW()-2,Max_WL_count)+2,FALSE),Tools!$AD$3:$BC$27,MOD(ROW()-2,Max_WL_count)+2,FALSE),"")</f>
        <v/>
      </c>
      <c r="E556" s="431" t="str">
        <f>IFERROR(IF(ISNUMBER(D556),HLOOKUP(Tools!$BE$2,Tools!$BE$2:$BE$27,MOD(ROW()-2,Max_WL_count)+2,FALSE)*WLS,""),"")</f>
        <v/>
      </c>
      <c r="I556" s="427" t="str">
        <f t="shared" si="53"/>
        <v/>
      </c>
      <c r="J556" s="430" t="str">
        <f t="shared" si="49"/>
        <v/>
      </c>
      <c r="K556" s="433" t="str">
        <f>IFERROR(-LBP/2+HLOOKUP(Stn_WL,Tools!$AD$2:$AD$27,N556+2,FALSE)*STN_GAP,"")</f>
        <v/>
      </c>
      <c r="L556" s="433" t="str">
        <f>IFERROR(IF(AND(ISNUMBER(K556),O556=0),0,VLOOKUP(HLOOKUP(Stn_WL,Tools!$AD$2:$AD$27,N556+2,FALSE),Tools!$AD$3:$BC$27,O556+1,FALSE)),"")</f>
        <v/>
      </c>
      <c r="M556" s="433" t="str">
        <f>IFERROR(IF(ISNUMBER(L556),IF(O556=0,IFERROR(HLOOKUP(Tools!$BD$127,Tools!$BD$127:$BD$152,N556+2,FALSE)*1,0),HLOOKUP(Tools!$BE$2,Tools!$BE$2:$BE$27,O556+1,FALSE)*WLS),""),"")</f>
        <v/>
      </c>
      <c r="N556">
        <f t="shared" si="50"/>
        <v>42</v>
      </c>
      <c r="O556">
        <f t="shared" si="51"/>
        <v>8</v>
      </c>
    </row>
    <row r="557" spans="1:15" x14ac:dyDescent="0.25">
      <c r="A557" s="427" t="str">
        <f t="shared" si="52"/>
        <v/>
      </c>
      <c r="B557" s="430" t="str">
        <f t="shared" si="48"/>
        <v/>
      </c>
      <c r="C557" s="433" t="str">
        <f>IFERROR(-LBP/2+HLOOKUP(Stn_WL,Tools!$AD$2:$AD$27,QUOTIENT(ROW()-2,Max_WL_count)+2,FALSE)*STN_GAP,"")</f>
        <v/>
      </c>
      <c r="D557" s="433" t="str">
        <f>IFERROR(VLOOKUP(HLOOKUP(Stn_WL,Tools!$AD$2:$AD$27,QUOTIENT(ROW()-2,Max_WL_count)+2,FALSE),Tools!$AD$3:$BC$27,MOD(ROW()-2,Max_WL_count)+2,FALSE),"")</f>
        <v/>
      </c>
      <c r="E557" s="431" t="str">
        <f>IFERROR(IF(ISNUMBER(D557),HLOOKUP(Tools!$BE$2,Tools!$BE$2:$BE$27,MOD(ROW()-2,Max_WL_count)+2,FALSE)*WLS,""),"")</f>
        <v/>
      </c>
      <c r="I557" s="427" t="str">
        <f t="shared" si="53"/>
        <v/>
      </c>
      <c r="J557" s="430" t="str">
        <f t="shared" si="49"/>
        <v/>
      </c>
      <c r="K557" s="433" t="str">
        <f>IFERROR(-LBP/2+HLOOKUP(Stn_WL,Tools!$AD$2:$AD$27,N557+2,FALSE)*STN_GAP,"")</f>
        <v/>
      </c>
      <c r="L557" s="433" t="str">
        <f>IFERROR(IF(AND(ISNUMBER(K557),O557=0),0,VLOOKUP(HLOOKUP(Stn_WL,Tools!$AD$2:$AD$27,N557+2,FALSE),Tools!$AD$3:$BC$27,O557+1,FALSE)),"")</f>
        <v/>
      </c>
      <c r="M557" s="433" t="str">
        <f>IFERROR(IF(ISNUMBER(L557),IF(O557=0,IFERROR(HLOOKUP(Tools!$BD$127,Tools!$BD$127:$BD$152,N557+2,FALSE)*1,0),HLOOKUP(Tools!$BE$2,Tools!$BE$2:$BE$27,O557+1,FALSE)*WLS),""),"")</f>
        <v/>
      </c>
      <c r="N557">
        <f t="shared" si="50"/>
        <v>42</v>
      </c>
      <c r="O557">
        <f t="shared" si="51"/>
        <v>9</v>
      </c>
    </row>
    <row r="558" spans="1:15" x14ac:dyDescent="0.25">
      <c r="A558" s="427" t="str">
        <f t="shared" si="52"/>
        <v/>
      </c>
      <c r="B558" s="430" t="str">
        <f t="shared" si="48"/>
        <v/>
      </c>
      <c r="C558" s="433" t="str">
        <f>IFERROR(-LBP/2+HLOOKUP(Stn_WL,Tools!$AD$2:$AD$27,QUOTIENT(ROW()-2,Max_WL_count)+2,FALSE)*STN_GAP,"")</f>
        <v/>
      </c>
      <c r="D558" s="433" t="str">
        <f>IFERROR(VLOOKUP(HLOOKUP(Stn_WL,Tools!$AD$2:$AD$27,QUOTIENT(ROW()-2,Max_WL_count)+2,FALSE),Tools!$AD$3:$BC$27,MOD(ROW()-2,Max_WL_count)+2,FALSE),"")</f>
        <v/>
      </c>
      <c r="E558" s="431" t="str">
        <f>IFERROR(IF(ISNUMBER(D558),HLOOKUP(Tools!$BE$2,Tools!$BE$2:$BE$27,MOD(ROW()-2,Max_WL_count)+2,FALSE)*WLS,""),"")</f>
        <v/>
      </c>
      <c r="I558" s="427" t="str">
        <f t="shared" si="53"/>
        <v/>
      </c>
      <c r="J558" s="430" t="str">
        <f t="shared" si="49"/>
        <v/>
      </c>
      <c r="K558" s="433" t="str">
        <f>IFERROR(-LBP/2+HLOOKUP(Stn_WL,Tools!$AD$2:$AD$27,N558+2,FALSE)*STN_GAP,"")</f>
        <v/>
      </c>
      <c r="L558" s="433" t="str">
        <f>IFERROR(IF(AND(ISNUMBER(K558),O558=0),0,VLOOKUP(HLOOKUP(Stn_WL,Tools!$AD$2:$AD$27,N558+2,FALSE),Tools!$AD$3:$BC$27,O558+1,FALSE)),"")</f>
        <v/>
      </c>
      <c r="M558" s="433" t="str">
        <f>IFERROR(IF(ISNUMBER(L558),IF(O558=0,IFERROR(HLOOKUP(Tools!$BD$127,Tools!$BD$127:$BD$152,N558+2,FALSE)*1,0),HLOOKUP(Tools!$BE$2,Tools!$BE$2:$BE$27,O558+1,FALSE)*WLS),""),"")</f>
        <v/>
      </c>
      <c r="N558">
        <f t="shared" si="50"/>
        <v>42</v>
      </c>
      <c r="O558">
        <f t="shared" si="51"/>
        <v>10</v>
      </c>
    </row>
    <row r="559" spans="1:15" x14ac:dyDescent="0.25">
      <c r="A559" s="427" t="str">
        <f t="shared" si="52"/>
        <v/>
      </c>
      <c r="B559" s="430" t="str">
        <f t="shared" si="48"/>
        <v/>
      </c>
      <c r="C559" s="433" t="str">
        <f>IFERROR(-LBP/2+HLOOKUP(Stn_WL,Tools!$AD$2:$AD$27,QUOTIENT(ROW()-2,Max_WL_count)+2,FALSE)*STN_GAP,"")</f>
        <v/>
      </c>
      <c r="D559" s="433" t="str">
        <f>IFERROR(VLOOKUP(HLOOKUP(Stn_WL,Tools!$AD$2:$AD$27,QUOTIENT(ROW()-2,Max_WL_count)+2,FALSE),Tools!$AD$3:$BC$27,MOD(ROW()-2,Max_WL_count)+2,FALSE),"")</f>
        <v/>
      </c>
      <c r="E559" s="431" t="str">
        <f>IFERROR(IF(ISNUMBER(D559),HLOOKUP(Tools!$BE$2,Tools!$BE$2:$BE$27,MOD(ROW()-2,Max_WL_count)+2,FALSE)*WLS,""),"")</f>
        <v/>
      </c>
      <c r="I559" s="427" t="str">
        <f t="shared" si="53"/>
        <v/>
      </c>
      <c r="J559" s="430" t="str">
        <f t="shared" si="49"/>
        <v/>
      </c>
      <c r="K559" s="433" t="str">
        <f>IFERROR(-LBP/2+HLOOKUP(Stn_WL,Tools!$AD$2:$AD$27,N559+2,FALSE)*STN_GAP,"")</f>
        <v/>
      </c>
      <c r="L559" s="433" t="str">
        <f>IFERROR(IF(AND(ISNUMBER(K559),O559=0),0,VLOOKUP(HLOOKUP(Stn_WL,Tools!$AD$2:$AD$27,N559+2,FALSE),Tools!$AD$3:$BC$27,O559+1,FALSE)),"")</f>
        <v/>
      </c>
      <c r="M559" s="433" t="str">
        <f>IFERROR(IF(ISNUMBER(L559),IF(O559=0,IFERROR(HLOOKUP(Tools!$BD$127,Tools!$BD$127:$BD$152,N559+2,FALSE)*1,0),HLOOKUP(Tools!$BE$2,Tools!$BE$2:$BE$27,O559+1,FALSE)*WLS),""),"")</f>
        <v/>
      </c>
      <c r="N559">
        <f t="shared" si="50"/>
        <v>42</v>
      </c>
      <c r="O559">
        <f t="shared" si="51"/>
        <v>11</v>
      </c>
    </row>
    <row r="560" spans="1:15" x14ac:dyDescent="0.25">
      <c r="A560" s="427" t="str">
        <f t="shared" si="52"/>
        <v/>
      </c>
      <c r="B560" s="430" t="str">
        <f t="shared" si="48"/>
        <v/>
      </c>
      <c r="C560" s="433" t="str">
        <f>IFERROR(-LBP/2+HLOOKUP(Stn_WL,Tools!$AD$2:$AD$27,QUOTIENT(ROW()-2,Max_WL_count)+2,FALSE)*STN_GAP,"")</f>
        <v/>
      </c>
      <c r="D560" s="433" t="str">
        <f>IFERROR(VLOOKUP(HLOOKUP(Stn_WL,Tools!$AD$2:$AD$27,QUOTIENT(ROW()-2,Max_WL_count)+2,FALSE),Tools!$AD$3:$BC$27,MOD(ROW()-2,Max_WL_count)+2,FALSE),"")</f>
        <v/>
      </c>
      <c r="E560" s="431" t="str">
        <f>IFERROR(IF(ISNUMBER(D560),HLOOKUP(Tools!$BE$2,Tools!$BE$2:$BE$27,MOD(ROW()-2,Max_WL_count)+2,FALSE)*WLS,""),"")</f>
        <v/>
      </c>
      <c r="I560" s="427" t="str">
        <f t="shared" si="53"/>
        <v/>
      </c>
      <c r="J560" s="430" t="str">
        <f t="shared" si="49"/>
        <v/>
      </c>
      <c r="K560" s="433" t="str">
        <f>IFERROR(-LBP/2+HLOOKUP(Stn_WL,Tools!$AD$2:$AD$27,N560+2,FALSE)*STN_GAP,"")</f>
        <v/>
      </c>
      <c r="L560" s="433" t="str">
        <f>IFERROR(IF(AND(ISNUMBER(K560),O560=0),0,VLOOKUP(HLOOKUP(Stn_WL,Tools!$AD$2:$AD$27,N560+2,FALSE),Tools!$AD$3:$BC$27,O560+1,FALSE)),"")</f>
        <v/>
      </c>
      <c r="M560" s="433" t="str">
        <f>IFERROR(IF(ISNUMBER(L560),IF(O560=0,IFERROR(HLOOKUP(Tools!$BD$127,Tools!$BD$127:$BD$152,N560+2,FALSE)*1,0),HLOOKUP(Tools!$BE$2,Tools!$BE$2:$BE$27,O560+1,FALSE)*WLS),""),"")</f>
        <v/>
      </c>
      <c r="N560">
        <f t="shared" si="50"/>
        <v>42</v>
      </c>
      <c r="O560">
        <f t="shared" si="51"/>
        <v>12</v>
      </c>
    </row>
    <row r="561" spans="1:15" x14ac:dyDescent="0.25">
      <c r="A561" s="427" t="str">
        <f t="shared" si="52"/>
        <v/>
      </c>
      <c r="B561" s="430" t="str">
        <f t="shared" si="48"/>
        <v/>
      </c>
      <c r="C561" s="433" t="str">
        <f>IFERROR(-LBP/2+HLOOKUP(Stn_WL,Tools!$AD$2:$AD$27,QUOTIENT(ROW()-2,Max_WL_count)+2,FALSE)*STN_GAP,"")</f>
        <v/>
      </c>
      <c r="D561" s="433" t="str">
        <f>IFERROR(VLOOKUP(HLOOKUP(Stn_WL,Tools!$AD$2:$AD$27,QUOTIENT(ROW()-2,Max_WL_count)+2,FALSE),Tools!$AD$3:$BC$27,MOD(ROW()-2,Max_WL_count)+2,FALSE),"")</f>
        <v/>
      </c>
      <c r="E561" s="431" t="str">
        <f>IFERROR(IF(ISNUMBER(D561),HLOOKUP(Tools!$BE$2,Tools!$BE$2:$BE$27,MOD(ROW()-2,Max_WL_count)+2,FALSE)*WLS,""),"")</f>
        <v/>
      </c>
      <c r="I561" s="427" t="str">
        <f t="shared" si="53"/>
        <v/>
      </c>
      <c r="J561" s="430" t="str">
        <f t="shared" si="49"/>
        <v/>
      </c>
      <c r="K561" s="433" t="str">
        <f>IFERROR(-LBP/2+HLOOKUP(Stn_WL,Tools!$AD$2:$AD$27,N561+2,FALSE)*STN_GAP,"")</f>
        <v/>
      </c>
      <c r="L561" s="433" t="str">
        <f>IFERROR(IF(AND(ISNUMBER(K561),O561=0),0,VLOOKUP(HLOOKUP(Stn_WL,Tools!$AD$2:$AD$27,N561+2,FALSE),Tools!$AD$3:$BC$27,O561+1,FALSE)),"")</f>
        <v/>
      </c>
      <c r="M561" s="433" t="str">
        <f>IFERROR(IF(ISNUMBER(L561),IF(O561=0,IFERROR(HLOOKUP(Tools!$BD$127,Tools!$BD$127:$BD$152,N561+2,FALSE)*1,0),HLOOKUP(Tools!$BE$2,Tools!$BE$2:$BE$27,O561+1,FALSE)*WLS),""),"")</f>
        <v/>
      </c>
      <c r="N561">
        <f t="shared" si="50"/>
        <v>43</v>
      </c>
      <c r="O561">
        <f t="shared" si="51"/>
        <v>0</v>
      </c>
    </row>
    <row r="562" spans="1:15" x14ac:dyDescent="0.25">
      <c r="A562" s="427" t="str">
        <f t="shared" si="52"/>
        <v/>
      </c>
      <c r="B562" s="430" t="str">
        <f t="shared" si="48"/>
        <v/>
      </c>
      <c r="C562" s="433" t="str">
        <f>IFERROR(-LBP/2+HLOOKUP(Stn_WL,Tools!$AD$2:$AD$27,QUOTIENT(ROW()-2,Max_WL_count)+2,FALSE)*STN_GAP,"")</f>
        <v/>
      </c>
      <c r="D562" s="433" t="str">
        <f>IFERROR(VLOOKUP(HLOOKUP(Stn_WL,Tools!$AD$2:$AD$27,QUOTIENT(ROW()-2,Max_WL_count)+2,FALSE),Tools!$AD$3:$BC$27,MOD(ROW()-2,Max_WL_count)+2,FALSE),"")</f>
        <v/>
      </c>
      <c r="E562" s="431" t="str">
        <f>IFERROR(IF(ISNUMBER(D562),HLOOKUP(Tools!$BE$2,Tools!$BE$2:$BE$27,MOD(ROW()-2,Max_WL_count)+2,FALSE)*WLS,""),"")</f>
        <v/>
      </c>
      <c r="I562" s="427" t="str">
        <f t="shared" si="53"/>
        <v/>
      </c>
      <c r="J562" s="430" t="str">
        <f t="shared" si="49"/>
        <v/>
      </c>
      <c r="K562" s="433" t="str">
        <f>IFERROR(-LBP/2+HLOOKUP(Stn_WL,Tools!$AD$2:$AD$27,N562+2,FALSE)*STN_GAP,"")</f>
        <v/>
      </c>
      <c r="L562" s="433" t="str">
        <f>IFERROR(IF(AND(ISNUMBER(K562),O562=0),0,VLOOKUP(HLOOKUP(Stn_WL,Tools!$AD$2:$AD$27,N562+2,FALSE),Tools!$AD$3:$BC$27,O562+1,FALSE)),"")</f>
        <v/>
      </c>
      <c r="M562" s="433" t="str">
        <f>IFERROR(IF(ISNUMBER(L562),IF(O562=0,IFERROR(HLOOKUP(Tools!$BD$127,Tools!$BD$127:$BD$152,N562+2,FALSE)*1,0),HLOOKUP(Tools!$BE$2,Tools!$BE$2:$BE$27,O562+1,FALSE)*WLS),""),"")</f>
        <v/>
      </c>
      <c r="N562">
        <f t="shared" si="50"/>
        <v>43</v>
      </c>
      <c r="O562">
        <f t="shared" si="51"/>
        <v>1</v>
      </c>
    </row>
    <row r="563" spans="1:15" x14ac:dyDescent="0.25">
      <c r="A563" s="427" t="str">
        <f t="shared" si="52"/>
        <v/>
      </c>
      <c r="B563" s="430" t="str">
        <f t="shared" si="48"/>
        <v/>
      </c>
      <c r="C563" s="433" t="str">
        <f>IFERROR(-LBP/2+HLOOKUP(Stn_WL,Tools!$AD$2:$AD$27,QUOTIENT(ROW()-2,Max_WL_count)+2,FALSE)*STN_GAP,"")</f>
        <v/>
      </c>
      <c r="D563" s="433" t="str">
        <f>IFERROR(VLOOKUP(HLOOKUP(Stn_WL,Tools!$AD$2:$AD$27,QUOTIENT(ROW()-2,Max_WL_count)+2,FALSE),Tools!$AD$3:$BC$27,MOD(ROW()-2,Max_WL_count)+2,FALSE),"")</f>
        <v/>
      </c>
      <c r="E563" s="431" t="str">
        <f>IFERROR(IF(ISNUMBER(D563),HLOOKUP(Tools!$BE$2,Tools!$BE$2:$BE$27,MOD(ROW()-2,Max_WL_count)+2,FALSE)*WLS,""),"")</f>
        <v/>
      </c>
      <c r="I563" s="427" t="str">
        <f t="shared" si="53"/>
        <v/>
      </c>
      <c r="J563" s="430" t="str">
        <f t="shared" si="49"/>
        <v/>
      </c>
      <c r="K563" s="433" t="str">
        <f>IFERROR(-LBP/2+HLOOKUP(Stn_WL,Tools!$AD$2:$AD$27,N563+2,FALSE)*STN_GAP,"")</f>
        <v/>
      </c>
      <c r="L563" s="433" t="str">
        <f>IFERROR(IF(AND(ISNUMBER(K563),O563=0),0,VLOOKUP(HLOOKUP(Stn_WL,Tools!$AD$2:$AD$27,N563+2,FALSE),Tools!$AD$3:$BC$27,O563+1,FALSE)),"")</f>
        <v/>
      </c>
      <c r="M563" s="433" t="str">
        <f>IFERROR(IF(ISNUMBER(L563),IF(O563=0,IFERROR(HLOOKUP(Tools!$BD$127,Tools!$BD$127:$BD$152,N563+2,FALSE)*1,0),HLOOKUP(Tools!$BE$2,Tools!$BE$2:$BE$27,O563+1,FALSE)*WLS),""),"")</f>
        <v/>
      </c>
      <c r="N563">
        <f t="shared" si="50"/>
        <v>43</v>
      </c>
      <c r="O563">
        <f t="shared" si="51"/>
        <v>2</v>
      </c>
    </row>
    <row r="564" spans="1:15" x14ac:dyDescent="0.25">
      <c r="A564" s="427" t="str">
        <f t="shared" si="52"/>
        <v/>
      </c>
      <c r="B564" s="430" t="str">
        <f t="shared" si="48"/>
        <v/>
      </c>
      <c r="C564" s="433" t="str">
        <f>IFERROR(-LBP/2+HLOOKUP(Stn_WL,Tools!$AD$2:$AD$27,QUOTIENT(ROW()-2,Max_WL_count)+2,FALSE)*STN_GAP,"")</f>
        <v/>
      </c>
      <c r="D564" s="433" t="str">
        <f>IFERROR(VLOOKUP(HLOOKUP(Stn_WL,Tools!$AD$2:$AD$27,QUOTIENT(ROW()-2,Max_WL_count)+2,FALSE),Tools!$AD$3:$BC$27,MOD(ROW()-2,Max_WL_count)+2,FALSE),"")</f>
        <v/>
      </c>
      <c r="E564" s="431" t="str">
        <f>IFERROR(IF(ISNUMBER(D564),HLOOKUP(Tools!$BE$2,Tools!$BE$2:$BE$27,MOD(ROW()-2,Max_WL_count)+2,FALSE)*WLS,""),"")</f>
        <v/>
      </c>
      <c r="I564" s="427" t="str">
        <f t="shared" si="53"/>
        <v/>
      </c>
      <c r="J564" s="430" t="str">
        <f t="shared" si="49"/>
        <v/>
      </c>
      <c r="K564" s="433" t="str">
        <f>IFERROR(-LBP/2+HLOOKUP(Stn_WL,Tools!$AD$2:$AD$27,N564+2,FALSE)*STN_GAP,"")</f>
        <v/>
      </c>
      <c r="L564" s="433" t="str">
        <f>IFERROR(IF(AND(ISNUMBER(K564),O564=0),0,VLOOKUP(HLOOKUP(Stn_WL,Tools!$AD$2:$AD$27,N564+2,FALSE),Tools!$AD$3:$BC$27,O564+1,FALSE)),"")</f>
        <v/>
      </c>
      <c r="M564" s="433" t="str">
        <f>IFERROR(IF(ISNUMBER(L564),IF(O564=0,IFERROR(HLOOKUP(Tools!$BD$127,Tools!$BD$127:$BD$152,N564+2,FALSE)*1,0),HLOOKUP(Tools!$BE$2,Tools!$BE$2:$BE$27,O564+1,FALSE)*WLS),""),"")</f>
        <v/>
      </c>
      <c r="N564">
        <f t="shared" si="50"/>
        <v>43</v>
      </c>
      <c r="O564">
        <f t="shared" si="51"/>
        <v>3</v>
      </c>
    </row>
    <row r="565" spans="1:15" x14ac:dyDescent="0.25">
      <c r="A565" s="427" t="str">
        <f t="shared" si="52"/>
        <v/>
      </c>
      <c r="B565" s="430" t="str">
        <f t="shared" si="48"/>
        <v/>
      </c>
      <c r="C565" s="433" t="str">
        <f>IFERROR(-LBP/2+HLOOKUP(Stn_WL,Tools!$AD$2:$AD$27,QUOTIENT(ROW()-2,Max_WL_count)+2,FALSE)*STN_GAP,"")</f>
        <v/>
      </c>
      <c r="D565" s="433" t="str">
        <f>IFERROR(VLOOKUP(HLOOKUP(Stn_WL,Tools!$AD$2:$AD$27,QUOTIENT(ROW()-2,Max_WL_count)+2,FALSE),Tools!$AD$3:$BC$27,MOD(ROW()-2,Max_WL_count)+2,FALSE),"")</f>
        <v/>
      </c>
      <c r="E565" s="431" t="str">
        <f>IFERROR(IF(ISNUMBER(D565),HLOOKUP(Tools!$BE$2,Tools!$BE$2:$BE$27,MOD(ROW()-2,Max_WL_count)+2,FALSE)*WLS,""),"")</f>
        <v/>
      </c>
      <c r="I565" s="427" t="str">
        <f t="shared" si="53"/>
        <v/>
      </c>
      <c r="J565" s="430" t="str">
        <f t="shared" si="49"/>
        <v/>
      </c>
      <c r="K565" s="433" t="str">
        <f>IFERROR(-LBP/2+HLOOKUP(Stn_WL,Tools!$AD$2:$AD$27,N565+2,FALSE)*STN_GAP,"")</f>
        <v/>
      </c>
      <c r="L565" s="433" t="str">
        <f>IFERROR(IF(AND(ISNUMBER(K565),O565=0),0,VLOOKUP(HLOOKUP(Stn_WL,Tools!$AD$2:$AD$27,N565+2,FALSE),Tools!$AD$3:$BC$27,O565+1,FALSE)),"")</f>
        <v/>
      </c>
      <c r="M565" s="433" t="str">
        <f>IFERROR(IF(ISNUMBER(L565),IF(O565=0,IFERROR(HLOOKUP(Tools!$BD$127,Tools!$BD$127:$BD$152,N565+2,FALSE)*1,0),HLOOKUP(Tools!$BE$2,Tools!$BE$2:$BE$27,O565+1,FALSE)*WLS),""),"")</f>
        <v/>
      </c>
      <c r="N565">
        <f t="shared" si="50"/>
        <v>43</v>
      </c>
      <c r="O565">
        <f t="shared" si="51"/>
        <v>4</v>
      </c>
    </row>
    <row r="566" spans="1:15" x14ac:dyDescent="0.25">
      <c r="A566" s="427" t="str">
        <f t="shared" si="52"/>
        <v/>
      </c>
      <c r="B566" s="430" t="str">
        <f t="shared" si="48"/>
        <v/>
      </c>
      <c r="C566" s="433" t="str">
        <f>IFERROR(-LBP/2+HLOOKUP(Stn_WL,Tools!$AD$2:$AD$27,QUOTIENT(ROW()-2,Max_WL_count)+2,FALSE)*STN_GAP,"")</f>
        <v/>
      </c>
      <c r="D566" s="433" t="str">
        <f>IFERROR(VLOOKUP(HLOOKUP(Stn_WL,Tools!$AD$2:$AD$27,QUOTIENT(ROW()-2,Max_WL_count)+2,FALSE),Tools!$AD$3:$BC$27,MOD(ROW()-2,Max_WL_count)+2,FALSE),"")</f>
        <v/>
      </c>
      <c r="E566" s="431" t="str">
        <f>IFERROR(IF(ISNUMBER(D566),HLOOKUP(Tools!$BE$2,Tools!$BE$2:$BE$27,MOD(ROW()-2,Max_WL_count)+2,FALSE)*WLS,""),"")</f>
        <v/>
      </c>
      <c r="I566" s="427" t="str">
        <f t="shared" si="53"/>
        <v/>
      </c>
      <c r="J566" s="430" t="str">
        <f t="shared" si="49"/>
        <v/>
      </c>
      <c r="K566" s="433" t="str">
        <f>IFERROR(-LBP/2+HLOOKUP(Stn_WL,Tools!$AD$2:$AD$27,N566+2,FALSE)*STN_GAP,"")</f>
        <v/>
      </c>
      <c r="L566" s="433" t="str">
        <f>IFERROR(IF(AND(ISNUMBER(K566),O566=0),0,VLOOKUP(HLOOKUP(Stn_WL,Tools!$AD$2:$AD$27,N566+2,FALSE),Tools!$AD$3:$BC$27,O566+1,FALSE)),"")</f>
        <v/>
      </c>
      <c r="M566" s="433" t="str">
        <f>IFERROR(IF(ISNUMBER(L566),IF(O566=0,IFERROR(HLOOKUP(Tools!$BD$127,Tools!$BD$127:$BD$152,N566+2,FALSE)*1,0),HLOOKUP(Tools!$BE$2,Tools!$BE$2:$BE$27,O566+1,FALSE)*WLS),""),"")</f>
        <v/>
      </c>
      <c r="N566">
        <f t="shared" si="50"/>
        <v>43</v>
      </c>
      <c r="O566">
        <f t="shared" si="51"/>
        <v>5</v>
      </c>
    </row>
    <row r="567" spans="1:15" x14ac:dyDescent="0.25">
      <c r="A567" s="427" t="str">
        <f t="shared" si="52"/>
        <v/>
      </c>
      <c r="B567" s="430" t="str">
        <f t="shared" si="48"/>
        <v/>
      </c>
      <c r="C567" s="433" t="str">
        <f>IFERROR(-LBP/2+HLOOKUP(Stn_WL,Tools!$AD$2:$AD$27,QUOTIENT(ROW()-2,Max_WL_count)+2,FALSE)*STN_GAP,"")</f>
        <v/>
      </c>
      <c r="D567" s="433" t="str">
        <f>IFERROR(VLOOKUP(HLOOKUP(Stn_WL,Tools!$AD$2:$AD$27,QUOTIENT(ROW()-2,Max_WL_count)+2,FALSE),Tools!$AD$3:$BC$27,MOD(ROW()-2,Max_WL_count)+2,FALSE),"")</f>
        <v/>
      </c>
      <c r="E567" s="431" t="str">
        <f>IFERROR(IF(ISNUMBER(D567),HLOOKUP(Tools!$BE$2,Tools!$BE$2:$BE$27,MOD(ROW()-2,Max_WL_count)+2,FALSE)*WLS,""),"")</f>
        <v/>
      </c>
      <c r="I567" s="427" t="str">
        <f t="shared" si="53"/>
        <v/>
      </c>
      <c r="J567" s="430" t="str">
        <f t="shared" si="49"/>
        <v/>
      </c>
      <c r="K567" s="433" t="str">
        <f>IFERROR(-LBP/2+HLOOKUP(Stn_WL,Tools!$AD$2:$AD$27,N567+2,FALSE)*STN_GAP,"")</f>
        <v/>
      </c>
      <c r="L567" s="433" t="str">
        <f>IFERROR(IF(AND(ISNUMBER(K567),O567=0),0,VLOOKUP(HLOOKUP(Stn_WL,Tools!$AD$2:$AD$27,N567+2,FALSE),Tools!$AD$3:$BC$27,O567+1,FALSE)),"")</f>
        <v/>
      </c>
      <c r="M567" s="433" t="str">
        <f>IFERROR(IF(ISNUMBER(L567),IF(O567=0,IFERROR(HLOOKUP(Tools!$BD$127,Tools!$BD$127:$BD$152,N567+2,FALSE)*1,0),HLOOKUP(Tools!$BE$2,Tools!$BE$2:$BE$27,O567+1,FALSE)*WLS),""),"")</f>
        <v/>
      </c>
      <c r="N567">
        <f t="shared" si="50"/>
        <v>43</v>
      </c>
      <c r="O567">
        <f t="shared" si="51"/>
        <v>6</v>
      </c>
    </row>
    <row r="568" spans="1:15" x14ac:dyDescent="0.25">
      <c r="A568" s="427" t="str">
        <f t="shared" si="52"/>
        <v/>
      </c>
      <c r="B568" s="430" t="str">
        <f t="shared" si="48"/>
        <v/>
      </c>
      <c r="C568" s="433" t="str">
        <f>IFERROR(-LBP/2+HLOOKUP(Stn_WL,Tools!$AD$2:$AD$27,QUOTIENT(ROW()-2,Max_WL_count)+2,FALSE)*STN_GAP,"")</f>
        <v/>
      </c>
      <c r="D568" s="433" t="str">
        <f>IFERROR(VLOOKUP(HLOOKUP(Stn_WL,Tools!$AD$2:$AD$27,QUOTIENT(ROW()-2,Max_WL_count)+2,FALSE),Tools!$AD$3:$BC$27,MOD(ROW()-2,Max_WL_count)+2,FALSE),"")</f>
        <v/>
      </c>
      <c r="E568" s="431" t="str">
        <f>IFERROR(IF(ISNUMBER(D568),HLOOKUP(Tools!$BE$2,Tools!$BE$2:$BE$27,MOD(ROW()-2,Max_WL_count)+2,FALSE)*WLS,""),"")</f>
        <v/>
      </c>
      <c r="I568" s="427" t="str">
        <f t="shared" si="53"/>
        <v/>
      </c>
      <c r="J568" s="430" t="str">
        <f t="shared" si="49"/>
        <v/>
      </c>
      <c r="K568" s="433" t="str">
        <f>IFERROR(-LBP/2+HLOOKUP(Stn_WL,Tools!$AD$2:$AD$27,N568+2,FALSE)*STN_GAP,"")</f>
        <v/>
      </c>
      <c r="L568" s="433" t="str">
        <f>IFERROR(IF(AND(ISNUMBER(K568),O568=0),0,VLOOKUP(HLOOKUP(Stn_WL,Tools!$AD$2:$AD$27,N568+2,FALSE),Tools!$AD$3:$BC$27,O568+1,FALSE)),"")</f>
        <v/>
      </c>
      <c r="M568" s="433" t="str">
        <f>IFERROR(IF(ISNUMBER(L568),IF(O568=0,IFERROR(HLOOKUP(Tools!$BD$127,Tools!$BD$127:$BD$152,N568+2,FALSE)*1,0),HLOOKUP(Tools!$BE$2,Tools!$BE$2:$BE$27,O568+1,FALSE)*WLS),""),"")</f>
        <v/>
      </c>
      <c r="N568">
        <f t="shared" si="50"/>
        <v>43</v>
      </c>
      <c r="O568">
        <f t="shared" si="51"/>
        <v>7</v>
      </c>
    </row>
    <row r="569" spans="1:15" x14ac:dyDescent="0.25">
      <c r="A569" s="427" t="str">
        <f t="shared" si="52"/>
        <v/>
      </c>
      <c r="B569" s="430" t="str">
        <f t="shared" si="48"/>
        <v/>
      </c>
      <c r="C569" s="433" t="str">
        <f>IFERROR(-LBP/2+HLOOKUP(Stn_WL,Tools!$AD$2:$AD$27,QUOTIENT(ROW()-2,Max_WL_count)+2,FALSE)*STN_GAP,"")</f>
        <v/>
      </c>
      <c r="D569" s="433" t="str">
        <f>IFERROR(VLOOKUP(HLOOKUP(Stn_WL,Tools!$AD$2:$AD$27,QUOTIENT(ROW()-2,Max_WL_count)+2,FALSE),Tools!$AD$3:$BC$27,MOD(ROW()-2,Max_WL_count)+2,FALSE),"")</f>
        <v/>
      </c>
      <c r="E569" s="431" t="str">
        <f>IFERROR(IF(ISNUMBER(D569),HLOOKUP(Tools!$BE$2,Tools!$BE$2:$BE$27,MOD(ROW()-2,Max_WL_count)+2,FALSE)*WLS,""),"")</f>
        <v/>
      </c>
      <c r="I569" s="427" t="str">
        <f t="shared" si="53"/>
        <v/>
      </c>
      <c r="J569" s="430" t="str">
        <f t="shared" si="49"/>
        <v/>
      </c>
      <c r="K569" s="433" t="str">
        <f>IFERROR(-LBP/2+HLOOKUP(Stn_WL,Tools!$AD$2:$AD$27,N569+2,FALSE)*STN_GAP,"")</f>
        <v/>
      </c>
      <c r="L569" s="433" t="str">
        <f>IFERROR(IF(AND(ISNUMBER(K569),O569=0),0,VLOOKUP(HLOOKUP(Stn_WL,Tools!$AD$2:$AD$27,N569+2,FALSE),Tools!$AD$3:$BC$27,O569+1,FALSE)),"")</f>
        <v/>
      </c>
      <c r="M569" s="433" t="str">
        <f>IFERROR(IF(ISNUMBER(L569),IF(O569=0,IFERROR(HLOOKUP(Tools!$BD$127,Tools!$BD$127:$BD$152,N569+2,FALSE)*1,0),HLOOKUP(Tools!$BE$2,Tools!$BE$2:$BE$27,O569+1,FALSE)*WLS),""),"")</f>
        <v/>
      </c>
      <c r="N569">
        <f t="shared" si="50"/>
        <v>43</v>
      </c>
      <c r="O569">
        <f t="shared" si="51"/>
        <v>8</v>
      </c>
    </row>
    <row r="570" spans="1:15" x14ac:dyDescent="0.25">
      <c r="A570" s="427" t="str">
        <f t="shared" si="52"/>
        <v/>
      </c>
      <c r="B570" s="430" t="str">
        <f t="shared" si="48"/>
        <v/>
      </c>
      <c r="C570" s="433" t="str">
        <f>IFERROR(-LBP/2+HLOOKUP(Stn_WL,Tools!$AD$2:$AD$27,QUOTIENT(ROW()-2,Max_WL_count)+2,FALSE)*STN_GAP,"")</f>
        <v/>
      </c>
      <c r="D570" s="433" t="str">
        <f>IFERROR(VLOOKUP(HLOOKUP(Stn_WL,Tools!$AD$2:$AD$27,QUOTIENT(ROW()-2,Max_WL_count)+2,FALSE),Tools!$AD$3:$BC$27,MOD(ROW()-2,Max_WL_count)+2,FALSE),"")</f>
        <v/>
      </c>
      <c r="E570" s="431" t="str">
        <f>IFERROR(IF(ISNUMBER(D570),HLOOKUP(Tools!$BE$2,Tools!$BE$2:$BE$27,MOD(ROW()-2,Max_WL_count)+2,FALSE)*WLS,""),"")</f>
        <v/>
      </c>
      <c r="I570" s="427" t="str">
        <f t="shared" si="53"/>
        <v/>
      </c>
      <c r="J570" s="430" t="str">
        <f t="shared" si="49"/>
        <v/>
      </c>
      <c r="K570" s="433" t="str">
        <f>IFERROR(-LBP/2+HLOOKUP(Stn_WL,Tools!$AD$2:$AD$27,N570+2,FALSE)*STN_GAP,"")</f>
        <v/>
      </c>
      <c r="L570" s="433" t="str">
        <f>IFERROR(IF(AND(ISNUMBER(K570),O570=0),0,VLOOKUP(HLOOKUP(Stn_WL,Tools!$AD$2:$AD$27,N570+2,FALSE),Tools!$AD$3:$BC$27,O570+1,FALSE)),"")</f>
        <v/>
      </c>
      <c r="M570" s="433" t="str">
        <f>IFERROR(IF(ISNUMBER(L570),IF(O570=0,IFERROR(HLOOKUP(Tools!$BD$127,Tools!$BD$127:$BD$152,N570+2,FALSE)*1,0),HLOOKUP(Tools!$BE$2,Tools!$BE$2:$BE$27,O570+1,FALSE)*WLS),""),"")</f>
        <v/>
      </c>
      <c r="N570">
        <f t="shared" si="50"/>
        <v>43</v>
      </c>
      <c r="O570">
        <f t="shared" si="51"/>
        <v>9</v>
      </c>
    </row>
    <row r="571" spans="1:15" x14ac:dyDescent="0.25">
      <c r="A571" s="427" t="str">
        <f t="shared" si="52"/>
        <v/>
      </c>
      <c r="B571" s="430" t="str">
        <f t="shared" si="48"/>
        <v/>
      </c>
      <c r="C571" s="433" t="str">
        <f>IFERROR(-LBP/2+HLOOKUP(Stn_WL,Tools!$AD$2:$AD$27,QUOTIENT(ROW()-2,Max_WL_count)+2,FALSE)*STN_GAP,"")</f>
        <v/>
      </c>
      <c r="D571" s="433" t="str">
        <f>IFERROR(VLOOKUP(HLOOKUP(Stn_WL,Tools!$AD$2:$AD$27,QUOTIENT(ROW()-2,Max_WL_count)+2,FALSE),Tools!$AD$3:$BC$27,MOD(ROW()-2,Max_WL_count)+2,FALSE),"")</f>
        <v/>
      </c>
      <c r="E571" s="431" t="str">
        <f>IFERROR(IF(ISNUMBER(D571),HLOOKUP(Tools!$BE$2,Tools!$BE$2:$BE$27,MOD(ROW()-2,Max_WL_count)+2,FALSE)*WLS,""),"")</f>
        <v/>
      </c>
      <c r="I571" s="427" t="str">
        <f t="shared" si="53"/>
        <v/>
      </c>
      <c r="J571" s="430" t="str">
        <f t="shared" si="49"/>
        <v/>
      </c>
      <c r="K571" s="433" t="str">
        <f>IFERROR(-LBP/2+HLOOKUP(Stn_WL,Tools!$AD$2:$AD$27,N571+2,FALSE)*STN_GAP,"")</f>
        <v/>
      </c>
      <c r="L571" s="433" t="str">
        <f>IFERROR(IF(AND(ISNUMBER(K571),O571=0),0,VLOOKUP(HLOOKUP(Stn_WL,Tools!$AD$2:$AD$27,N571+2,FALSE),Tools!$AD$3:$BC$27,O571+1,FALSE)),"")</f>
        <v/>
      </c>
      <c r="M571" s="433" t="str">
        <f>IFERROR(IF(ISNUMBER(L571),IF(O571=0,IFERROR(HLOOKUP(Tools!$BD$127,Tools!$BD$127:$BD$152,N571+2,FALSE)*1,0),HLOOKUP(Tools!$BE$2,Tools!$BE$2:$BE$27,O571+1,FALSE)*WLS),""),"")</f>
        <v/>
      </c>
      <c r="N571">
        <f t="shared" si="50"/>
        <v>43</v>
      </c>
      <c r="O571">
        <f t="shared" si="51"/>
        <v>10</v>
      </c>
    </row>
    <row r="572" spans="1:15" x14ac:dyDescent="0.25">
      <c r="A572" s="427" t="str">
        <f t="shared" si="52"/>
        <v/>
      </c>
      <c r="B572" s="430" t="str">
        <f t="shared" si="48"/>
        <v/>
      </c>
      <c r="C572" s="433" t="str">
        <f>IFERROR(-LBP/2+HLOOKUP(Stn_WL,Tools!$AD$2:$AD$27,QUOTIENT(ROW()-2,Max_WL_count)+2,FALSE)*STN_GAP,"")</f>
        <v/>
      </c>
      <c r="D572" s="433" t="str">
        <f>IFERROR(VLOOKUP(HLOOKUP(Stn_WL,Tools!$AD$2:$AD$27,QUOTIENT(ROW()-2,Max_WL_count)+2,FALSE),Tools!$AD$3:$BC$27,MOD(ROW()-2,Max_WL_count)+2,FALSE),"")</f>
        <v/>
      </c>
      <c r="E572" s="431" t="str">
        <f>IFERROR(IF(ISNUMBER(D572),HLOOKUP(Tools!$BE$2,Tools!$BE$2:$BE$27,MOD(ROW()-2,Max_WL_count)+2,FALSE)*WLS,""),"")</f>
        <v/>
      </c>
      <c r="I572" s="427" t="str">
        <f t="shared" si="53"/>
        <v/>
      </c>
      <c r="J572" s="430" t="str">
        <f t="shared" si="49"/>
        <v/>
      </c>
      <c r="K572" s="433" t="str">
        <f>IFERROR(-LBP/2+HLOOKUP(Stn_WL,Tools!$AD$2:$AD$27,N572+2,FALSE)*STN_GAP,"")</f>
        <v/>
      </c>
      <c r="L572" s="433" t="str">
        <f>IFERROR(IF(AND(ISNUMBER(K572),O572=0),0,VLOOKUP(HLOOKUP(Stn_WL,Tools!$AD$2:$AD$27,N572+2,FALSE),Tools!$AD$3:$BC$27,O572+1,FALSE)),"")</f>
        <v/>
      </c>
      <c r="M572" s="433" t="str">
        <f>IFERROR(IF(ISNUMBER(L572),IF(O572=0,IFERROR(HLOOKUP(Tools!$BD$127,Tools!$BD$127:$BD$152,N572+2,FALSE)*1,0),HLOOKUP(Tools!$BE$2,Tools!$BE$2:$BE$27,O572+1,FALSE)*WLS),""),"")</f>
        <v/>
      </c>
      <c r="N572">
        <f t="shared" si="50"/>
        <v>43</v>
      </c>
      <c r="O572">
        <f t="shared" si="51"/>
        <v>11</v>
      </c>
    </row>
    <row r="573" spans="1:15" x14ac:dyDescent="0.25">
      <c r="A573" s="427" t="str">
        <f t="shared" si="52"/>
        <v/>
      </c>
      <c r="B573" s="430" t="str">
        <f t="shared" si="48"/>
        <v/>
      </c>
      <c r="C573" s="433" t="str">
        <f>IFERROR(-LBP/2+HLOOKUP(Stn_WL,Tools!$AD$2:$AD$27,QUOTIENT(ROW()-2,Max_WL_count)+2,FALSE)*STN_GAP,"")</f>
        <v/>
      </c>
      <c r="D573" s="433" t="str">
        <f>IFERROR(VLOOKUP(HLOOKUP(Stn_WL,Tools!$AD$2:$AD$27,QUOTIENT(ROW()-2,Max_WL_count)+2,FALSE),Tools!$AD$3:$BC$27,MOD(ROW()-2,Max_WL_count)+2,FALSE),"")</f>
        <v/>
      </c>
      <c r="E573" s="431" t="str">
        <f>IFERROR(IF(ISNUMBER(D573),HLOOKUP(Tools!$BE$2,Tools!$BE$2:$BE$27,MOD(ROW()-2,Max_WL_count)+2,FALSE)*WLS,""),"")</f>
        <v/>
      </c>
      <c r="I573" s="427" t="str">
        <f t="shared" si="53"/>
        <v/>
      </c>
      <c r="J573" s="430" t="str">
        <f t="shared" si="49"/>
        <v/>
      </c>
      <c r="K573" s="433" t="str">
        <f>IFERROR(-LBP/2+HLOOKUP(Stn_WL,Tools!$AD$2:$AD$27,N573+2,FALSE)*STN_GAP,"")</f>
        <v/>
      </c>
      <c r="L573" s="433" t="str">
        <f>IFERROR(IF(AND(ISNUMBER(K573),O573=0),0,VLOOKUP(HLOOKUP(Stn_WL,Tools!$AD$2:$AD$27,N573+2,FALSE),Tools!$AD$3:$BC$27,O573+1,FALSE)),"")</f>
        <v/>
      </c>
      <c r="M573" s="433" t="str">
        <f>IFERROR(IF(ISNUMBER(L573),IF(O573=0,IFERROR(HLOOKUP(Tools!$BD$127,Tools!$BD$127:$BD$152,N573+2,FALSE)*1,0),HLOOKUP(Tools!$BE$2,Tools!$BE$2:$BE$27,O573+1,FALSE)*WLS),""),"")</f>
        <v/>
      </c>
      <c r="N573">
        <f t="shared" si="50"/>
        <v>43</v>
      </c>
      <c r="O573">
        <f t="shared" si="51"/>
        <v>12</v>
      </c>
    </row>
    <row r="574" spans="1:15" x14ac:dyDescent="0.25">
      <c r="A574" s="427" t="str">
        <f t="shared" si="52"/>
        <v/>
      </c>
      <c r="B574" s="430" t="str">
        <f t="shared" si="48"/>
        <v/>
      </c>
      <c r="C574" s="433" t="str">
        <f>IFERROR(-LBP/2+HLOOKUP(Stn_WL,Tools!$AD$2:$AD$27,QUOTIENT(ROW()-2,Max_WL_count)+2,FALSE)*STN_GAP,"")</f>
        <v/>
      </c>
      <c r="D574" s="433" t="str">
        <f>IFERROR(VLOOKUP(HLOOKUP(Stn_WL,Tools!$AD$2:$AD$27,QUOTIENT(ROW()-2,Max_WL_count)+2,FALSE),Tools!$AD$3:$BC$27,MOD(ROW()-2,Max_WL_count)+2,FALSE),"")</f>
        <v/>
      </c>
      <c r="E574" s="431" t="str">
        <f>IFERROR(IF(ISNUMBER(D574),HLOOKUP(Tools!$BE$2,Tools!$BE$2:$BE$27,MOD(ROW()-2,Max_WL_count)+2,FALSE)*WLS,""),"")</f>
        <v/>
      </c>
      <c r="I574" s="427" t="str">
        <f t="shared" si="53"/>
        <v/>
      </c>
      <c r="J574" s="430" t="str">
        <f t="shared" si="49"/>
        <v/>
      </c>
      <c r="K574" s="433" t="str">
        <f>IFERROR(-LBP/2+HLOOKUP(Stn_WL,Tools!$AD$2:$AD$27,N574+2,FALSE)*STN_GAP,"")</f>
        <v/>
      </c>
      <c r="L574" s="433" t="str">
        <f>IFERROR(IF(AND(ISNUMBER(K574),O574=0),0,VLOOKUP(HLOOKUP(Stn_WL,Tools!$AD$2:$AD$27,N574+2,FALSE),Tools!$AD$3:$BC$27,O574+1,FALSE)),"")</f>
        <v/>
      </c>
      <c r="M574" s="433" t="str">
        <f>IFERROR(IF(ISNUMBER(L574),IF(O574=0,IFERROR(HLOOKUP(Tools!$BD$127,Tools!$BD$127:$BD$152,N574+2,FALSE)*1,0),HLOOKUP(Tools!$BE$2,Tools!$BE$2:$BE$27,O574+1,FALSE)*WLS),""),"")</f>
        <v/>
      </c>
      <c r="N574">
        <f t="shared" si="50"/>
        <v>44</v>
      </c>
      <c r="O574">
        <f t="shared" si="51"/>
        <v>0</v>
      </c>
    </row>
    <row r="575" spans="1:15" x14ac:dyDescent="0.25">
      <c r="A575" s="427" t="str">
        <f t="shared" si="52"/>
        <v/>
      </c>
      <c r="B575" s="430" t="str">
        <f t="shared" si="48"/>
        <v/>
      </c>
      <c r="C575" s="433" t="str">
        <f>IFERROR(-LBP/2+HLOOKUP(Stn_WL,Tools!$AD$2:$AD$27,QUOTIENT(ROW()-2,Max_WL_count)+2,FALSE)*STN_GAP,"")</f>
        <v/>
      </c>
      <c r="D575" s="433" t="str">
        <f>IFERROR(VLOOKUP(HLOOKUP(Stn_WL,Tools!$AD$2:$AD$27,QUOTIENT(ROW()-2,Max_WL_count)+2,FALSE),Tools!$AD$3:$BC$27,MOD(ROW()-2,Max_WL_count)+2,FALSE),"")</f>
        <v/>
      </c>
      <c r="E575" s="431" t="str">
        <f>IFERROR(IF(ISNUMBER(D575),HLOOKUP(Tools!$BE$2,Tools!$BE$2:$BE$27,MOD(ROW()-2,Max_WL_count)+2,FALSE)*WLS,""),"")</f>
        <v/>
      </c>
      <c r="I575" s="427" t="str">
        <f t="shared" si="53"/>
        <v/>
      </c>
      <c r="J575" s="430" t="str">
        <f t="shared" si="49"/>
        <v/>
      </c>
      <c r="K575" s="433" t="str">
        <f>IFERROR(-LBP/2+HLOOKUP(Stn_WL,Tools!$AD$2:$AD$27,N575+2,FALSE)*STN_GAP,"")</f>
        <v/>
      </c>
      <c r="L575" s="433" t="str">
        <f>IFERROR(IF(AND(ISNUMBER(K575),O575=0),0,VLOOKUP(HLOOKUP(Stn_WL,Tools!$AD$2:$AD$27,N575+2,FALSE),Tools!$AD$3:$BC$27,O575+1,FALSE)),"")</f>
        <v/>
      </c>
      <c r="M575" s="433" t="str">
        <f>IFERROR(IF(ISNUMBER(L575),IF(O575=0,IFERROR(HLOOKUP(Tools!$BD$127,Tools!$BD$127:$BD$152,N575+2,FALSE)*1,0),HLOOKUP(Tools!$BE$2,Tools!$BE$2:$BE$27,O575+1,FALSE)*WLS),""),"")</f>
        <v/>
      </c>
      <c r="N575">
        <f t="shared" si="50"/>
        <v>44</v>
      </c>
      <c r="O575">
        <f t="shared" si="51"/>
        <v>1</v>
      </c>
    </row>
    <row r="576" spans="1:15" x14ac:dyDescent="0.25">
      <c r="A576" s="427" t="str">
        <f t="shared" si="52"/>
        <v/>
      </c>
      <c r="B576" s="430" t="str">
        <f t="shared" si="48"/>
        <v/>
      </c>
      <c r="C576" s="433" t="str">
        <f>IFERROR(-LBP/2+HLOOKUP(Stn_WL,Tools!$AD$2:$AD$27,QUOTIENT(ROW()-2,Max_WL_count)+2,FALSE)*STN_GAP,"")</f>
        <v/>
      </c>
      <c r="D576" s="433" t="str">
        <f>IFERROR(VLOOKUP(HLOOKUP(Stn_WL,Tools!$AD$2:$AD$27,QUOTIENT(ROW()-2,Max_WL_count)+2,FALSE),Tools!$AD$3:$BC$27,MOD(ROW()-2,Max_WL_count)+2,FALSE),"")</f>
        <v/>
      </c>
      <c r="E576" s="431" t="str">
        <f>IFERROR(IF(ISNUMBER(D576),HLOOKUP(Tools!$BE$2,Tools!$BE$2:$BE$27,MOD(ROW()-2,Max_WL_count)+2,FALSE)*WLS,""),"")</f>
        <v/>
      </c>
      <c r="I576" s="427" t="str">
        <f t="shared" si="53"/>
        <v/>
      </c>
      <c r="J576" s="430" t="str">
        <f t="shared" si="49"/>
        <v/>
      </c>
      <c r="K576" s="433" t="str">
        <f>IFERROR(-LBP/2+HLOOKUP(Stn_WL,Tools!$AD$2:$AD$27,N576+2,FALSE)*STN_GAP,"")</f>
        <v/>
      </c>
      <c r="L576" s="433" t="str">
        <f>IFERROR(IF(AND(ISNUMBER(K576),O576=0),0,VLOOKUP(HLOOKUP(Stn_WL,Tools!$AD$2:$AD$27,N576+2,FALSE),Tools!$AD$3:$BC$27,O576+1,FALSE)),"")</f>
        <v/>
      </c>
      <c r="M576" s="433" t="str">
        <f>IFERROR(IF(ISNUMBER(L576),IF(O576=0,IFERROR(HLOOKUP(Tools!$BD$127,Tools!$BD$127:$BD$152,N576+2,FALSE)*1,0),HLOOKUP(Tools!$BE$2,Tools!$BE$2:$BE$27,O576+1,FALSE)*WLS),""),"")</f>
        <v/>
      </c>
      <c r="N576">
        <f t="shared" si="50"/>
        <v>44</v>
      </c>
      <c r="O576">
        <f t="shared" si="51"/>
        <v>2</v>
      </c>
    </row>
    <row r="577" spans="1:15" x14ac:dyDescent="0.25">
      <c r="A577" s="427" t="str">
        <f t="shared" si="52"/>
        <v/>
      </c>
      <c r="B577" s="430" t="str">
        <f t="shared" si="48"/>
        <v/>
      </c>
      <c r="C577" s="433" t="str">
        <f>IFERROR(-LBP/2+HLOOKUP(Stn_WL,Tools!$AD$2:$AD$27,QUOTIENT(ROW()-2,Max_WL_count)+2,FALSE)*STN_GAP,"")</f>
        <v/>
      </c>
      <c r="D577" s="433" t="str">
        <f>IFERROR(VLOOKUP(HLOOKUP(Stn_WL,Tools!$AD$2:$AD$27,QUOTIENT(ROW()-2,Max_WL_count)+2,FALSE),Tools!$AD$3:$BC$27,MOD(ROW()-2,Max_WL_count)+2,FALSE),"")</f>
        <v/>
      </c>
      <c r="E577" s="431" t="str">
        <f>IFERROR(IF(ISNUMBER(D577),HLOOKUP(Tools!$BE$2,Tools!$BE$2:$BE$27,MOD(ROW()-2,Max_WL_count)+2,FALSE)*WLS,""),"")</f>
        <v/>
      </c>
      <c r="I577" s="427" t="str">
        <f t="shared" si="53"/>
        <v/>
      </c>
      <c r="J577" s="430" t="str">
        <f t="shared" si="49"/>
        <v/>
      </c>
      <c r="K577" s="433" t="str">
        <f>IFERROR(-LBP/2+HLOOKUP(Stn_WL,Tools!$AD$2:$AD$27,N577+2,FALSE)*STN_GAP,"")</f>
        <v/>
      </c>
      <c r="L577" s="433" t="str">
        <f>IFERROR(IF(AND(ISNUMBER(K577),O577=0),0,VLOOKUP(HLOOKUP(Stn_WL,Tools!$AD$2:$AD$27,N577+2,FALSE),Tools!$AD$3:$BC$27,O577+1,FALSE)),"")</f>
        <v/>
      </c>
      <c r="M577" s="433" t="str">
        <f>IFERROR(IF(ISNUMBER(L577),IF(O577=0,IFERROR(HLOOKUP(Tools!$BD$127,Tools!$BD$127:$BD$152,N577+2,FALSE)*1,0),HLOOKUP(Tools!$BE$2,Tools!$BE$2:$BE$27,O577+1,FALSE)*WLS),""),"")</f>
        <v/>
      </c>
      <c r="N577">
        <f t="shared" si="50"/>
        <v>44</v>
      </c>
      <c r="O577">
        <f t="shared" si="51"/>
        <v>3</v>
      </c>
    </row>
    <row r="578" spans="1:15" x14ac:dyDescent="0.25">
      <c r="A578" s="427" t="str">
        <f t="shared" si="52"/>
        <v/>
      </c>
      <c r="B578" s="430" t="str">
        <f t="shared" ref="B578:B626" si="54">IFERROR(IF(ISNUMBER(D578),QUOTIENT(ROW()-2,Max_WL_count)+1,""),"")</f>
        <v/>
      </c>
      <c r="C578" s="433" t="str">
        <f>IFERROR(-LBP/2+HLOOKUP(Stn_WL,Tools!$AD$2:$AD$27,QUOTIENT(ROW()-2,Max_WL_count)+2,FALSE)*STN_GAP,"")</f>
        <v/>
      </c>
      <c r="D578" s="433" t="str">
        <f>IFERROR(VLOOKUP(HLOOKUP(Stn_WL,Tools!$AD$2:$AD$27,QUOTIENT(ROW()-2,Max_WL_count)+2,FALSE),Tools!$AD$3:$BC$27,MOD(ROW()-2,Max_WL_count)+2,FALSE),"")</f>
        <v/>
      </c>
      <c r="E578" s="431" t="str">
        <f>IFERROR(IF(ISNUMBER(D578),HLOOKUP(Tools!$BE$2,Tools!$BE$2:$BE$27,MOD(ROW()-2,Max_WL_count)+2,FALSE)*WLS,""),"")</f>
        <v/>
      </c>
      <c r="I578" s="427" t="str">
        <f t="shared" si="53"/>
        <v/>
      </c>
      <c r="J578" s="430" t="str">
        <f t="shared" ref="J578:J626" si="55">IFERROR(IF(ISNUMBER(L578),QUOTIENT(ROW()-2,Max_WL_count+1)+1,""),"")</f>
        <v/>
      </c>
      <c r="K578" s="433" t="str">
        <f>IFERROR(-LBP/2+HLOOKUP(Stn_WL,Tools!$AD$2:$AD$27,N578+2,FALSE)*STN_GAP,"")</f>
        <v/>
      </c>
      <c r="L578" s="433" t="str">
        <f>IFERROR(IF(AND(ISNUMBER(K578),O578=0),0,VLOOKUP(HLOOKUP(Stn_WL,Tools!$AD$2:$AD$27,N578+2,FALSE),Tools!$AD$3:$BC$27,O578+1,FALSE)),"")</f>
        <v/>
      </c>
      <c r="M578" s="433" t="str">
        <f>IFERROR(IF(ISNUMBER(L578),IF(O578=0,IFERROR(HLOOKUP(Tools!$BD$127,Tools!$BD$127:$BD$152,N578+2,FALSE)*1,0),HLOOKUP(Tools!$BE$2,Tools!$BE$2:$BE$27,O578+1,FALSE)*WLS),""),"")</f>
        <v/>
      </c>
      <c r="N578">
        <f t="shared" ref="N578:N626" si="56">QUOTIENT(ROW()-2,Max_WL_count+1)</f>
        <v>44</v>
      </c>
      <c r="O578">
        <f t="shared" ref="O578:O626" si="57">MOD(ROW()-2,Max_WL_count+1)</f>
        <v>4</v>
      </c>
    </row>
    <row r="579" spans="1:15" x14ac:dyDescent="0.25">
      <c r="A579" s="427" t="str">
        <f t="shared" ref="A579:A626" si="58">IF(ISNUMBER(D579),ROW()-1,"")</f>
        <v/>
      </c>
      <c r="B579" s="430" t="str">
        <f t="shared" si="54"/>
        <v/>
      </c>
      <c r="C579" s="433" t="str">
        <f>IFERROR(-LBP/2+HLOOKUP(Stn_WL,Tools!$AD$2:$AD$27,QUOTIENT(ROW()-2,Max_WL_count)+2,FALSE)*STN_GAP,"")</f>
        <v/>
      </c>
      <c r="D579" s="433" t="str">
        <f>IFERROR(VLOOKUP(HLOOKUP(Stn_WL,Tools!$AD$2:$AD$27,QUOTIENT(ROW()-2,Max_WL_count)+2,FALSE),Tools!$AD$3:$BC$27,MOD(ROW()-2,Max_WL_count)+2,FALSE),"")</f>
        <v/>
      </c>
      <c r="E579" s="431" t="str">
        <f>IFERROR(IF(ISNUMBER(D579),HLOOKUP(Tools!$BE$2,Tools!$BE$2:$BE$27,MOD(ROW()-2,Max_WL_count)+2,FALSE)*WLS,""),"")</f>
        <v/>
      </c>
      <c r="I579" s="427" t="str">
        <f t="shared" ref="I579:I626" si="59">IF(ISNUMBER(L579),ROW()-1,"")</f>
        <v/>
      </c>
      <c r="J579" s="430" t="str">
        <f t="shared" si="55"/>
        <v/>
      </c>
      <c r="K579" s="433" t="str">
        <f>IFERROR(-LBP/2+HLOOKUP(Stn_WL,Tools!$AD$2:$AD$27,N579+2,FALSE)*STN_GAP,"")</f>
        <v/>
      </c>
      <c r="L579" s="433" t="str">
        <f>IFERROR(IF(AND(ISNUMBER(K579),O579=0),0,VLOOKUP(HLOOKUP(Stn_WL,Tools!$AD$2:$AD$27,N579+2,FALSE),Tools!$AD$3:$BC$27,O579+1,FALSE)),"")</f>
        <v/>
      </c>
      <c r="M579" s="433" t="str">
        <f>IFERROR(IF(ISNUMBER(L579),IF(O579=0,IFERROR(HLOOKUP(Tools!$BD$127,Tools!$BD$127:$BD$152,N579+2,FALSE)*1,0),HLOOKUP(Tools!$BE$2,Tools!$BE$2:$BE$27,O579+1,FALSE)*WLS),""),"")</f>
        <v/>
      </c>
      <c r="N579">
        <f t="shared" si="56"/>
        <v>44</v>
      </c>
      <c r="O579">
        <f t="shared" si="57"/>
        <v>5</v>
      </c>
    </row>
    <row r="580" spans="1:15" x14ac:dyDescent="0.25">
      <c r="A580" s="427" t="str">
        <f t="shared" si="58"/>
        <v/>
      </c>
      <c r="B580" s="430" t="str">
        <f t="shared" si="54"/>
        <v/>
      </c>
      <c r="C580" s="433" t="str">
        <f>IFERROR(-LBP/2+HLOOKUP(Stn_WL,Tools!$AD$2:$AD$27,QUOTIENT(ROW()-2,Max_WL_count)+2,FALSE)*STN_GAP,"")</f>
        <v/>
      </c>
      <c r="D580" s="433" t="str">
        <f>IFERROR(VLOOKUP(HLOOKUP(Stn_WL,Tools!$AD$2:$AD$27,QUOTIENT(ROW()-2,Max_WL_count)+2,FALSE),Tools!$AD$3:$BC$27,MOD(ROW()-2,Max_WL_count)+2,FALSE),"")</f>
        <v/>
      </c>
      <c r="E580" s="431" t="str">
        <f>IFERROR(IF(ISNUMBER(D580),HLOOKUP(Tools!$BE$2,Tools!$BE$2:$BE$27,MOD(ROW()-2,Max_WL_count)+2,FALSE)*WLS,""),"")</f>
        <v/>
      </c>
      <c r="I580" s="427" t="str">
        <f t="shared" si="59"/>
        <v/>
      </c>
      <c r="J580" s="430" t="str">
        <f t="shared" si="55"/>
        <v/>
      </c>
      <c r="K580" s="433" t="str">
        <f>IFERROR(-LBP/2+HLOOKUP(Stn_WL,Tools!$AD$2:$AD$27,N580+2,FALSE)*STN_GAP,"")</f>
        <v/>
      </c>
      <c r="L580" s="433" t="str">
        <f>IFERROR(IF(AND(ISNUMBER(K580),O580=0),0,VLOOKUP(HLOOKUP(Stn_WL,Tools!$AD$2:$AD$27,N580+2,FALSE),Tools!$AD$3:$BC$27,O580+1,FALSE)),"")</f>
        <v/>
      </c>
      <c r="M580" s="433" t="str">
        <f>IFERROR(IF(ISNUMBER(L580),IF(O580=0,IFERROR(HLOOKUP(Tools!$BD$127,Tools!$BD$127:$BD$152,N580+2,FALSE)*1,0),HLOOKUP(Tools!$BE$2,Tools!$BE$2:$BE$27,O580+1,FALSE)*WLS),""),"")</f>
        <v/>
      </c>
      <c r="N580">
        <f t="shared" si="56"/>
        <v>44</v>
      </c>
      <c r="O580">
        <f t="shared" si="57"/>
        <v>6</v>
      </c>
    </row>
    <row r="581" spans="1:15" x14ac:dyDescent="0.25">
      <c r="A581" s="427" t="str">
        <f t="shared" si="58"/>
        <v/>
      </c>
      <c r="B581" s="430" t="str">
        <f t="shared" si="54"/>
        <v/>
      </c>
      <c r="C581" s="433" t="str">
        <f>IFERROR(-LBP/2+HLOOKUP(Stn_WL,Tools!$AD$2:$AD$27,QUOTIENT(ROW()-2,Max_WL_count)+2,FALSE)*STN_GAP,"")</f>
        <v/>
      </c>
      <c r="D581" s="433" t="str">
        <f>IFERROR(VLOOKUP(HLOOKUP(Stn_WL,Tools!$AD$2:$AD$27,QUOTIENT(ROW()-2,Max_WL_count)+2,FALSE),Tools!$AD$3:$BC$27,MOD(ROW()-2,Max_WL_count)+2,FALSE),"")</f>
        <v/>
      </c>
      <c r="E581" s="431" t="str">
        <f>IFERROR(IF(ISNUMBER(D581),HLOOKUP(Tools!$BE$2,Tools!$BE$2:$BE$27,MOD(ROW()-2,Max_WL_count)+2,FALSE)*WLS,""),"")</f>
        <v/>
      </c>
      <c r="I581" s="427" t="str">
        <f t="shared" si="59"/>
        <v/>
      </c>
      <c r="J581" s="430" t="str">
        <f t="shared" si="55"/>
        <v/>
      </c>
      <c r="K581" s="433" t="str">
        <f>IFERROR(-LBP/2+HLOOKUP(Stn_WL,Tools!$AD$2:$AD$27,N581+2,FALSE)*STN_GAP,"")</f>
        <v/>
      </c>
      <c r="L581" s="433" t="str">
        <f>IFERROR(IF(AND(ISNUMBER(K581),O581=0),0,VLOOKUP(HLOOKUP(Stn_WL,Tools!$AD$2:$AD$27,N581+2,FALSE),Tools!$AD$3:$BC$27,O581+1,FALSE)),"")</f>
        <v/>
      </c>
      <c r="M581" s="433" t="str">
        <f>IFERROR(IF(ISNUMBER(L581),IF(O581=0,IFERROR(HLOOKUP(Tools!$BD$127,Tools!$BD$127:$BD$152,N581+2,FALSE)*1,0),HLOOKUP(Tools!$BE$2,Tools!$BE$2:$BE$27,O581+1,FALSE)*WLS),""),"")</f>
        <v/>
      </c>
      <c r="N581">
        <f t="shared" si="56"/>
        <v>44</v>
      </c>
      <c r="O581">
        <f t="shared" si="57"/>
        <v>7</v>
      </c>
    </row>
    <row r="582" spans="1:15" x14ac:dyDescent="0.25">
      <c r="A582" s="427" t="str">
        <f t="shared" si="58"/>
        <v/>
      </c>
      <c r="B582" s="430" t="str">
        <f t="shared" si="54"/>
        <v/>
      </c>
      <c r="C582" s="433" t="str">
        <f>IFERROR(-LBP/2+HLOOKUP(Stn_WL,Tools!$AD$2:$AD$27,QUOTIENT(ROW()-2,Max_WL_count)+2,FALSE)*STN_GAP,"")</f>
        <v/>
      </c>
      <c r="D582" s="433" t="str">
        <f>IFERROR(VLOOKUP(HLOOKUP(Stn_WL,Tools!$AD$2:$AD$27,QUOTIENT(ROW()-2,Max_WL_count)+2,FALSE),Tools!$AD$3:$BC$27,MOD(ROW()-2,Max_WL_count)+2,FALSE),"")</f>
        <v/>
      </c>
      <c r="E582" s="431" t="str">
        <f>IFERROR(IF(ISNUMBER(D582),HLOOKUP(Tools!$BE$2,Tools!$BE$2:$BE$27,MOD(ROW()-2,Max_WL_count)+2,FALSE)*WLS,""),"")</f>
        <v/>
      </c>
      <c r="I582" s="427" t="str">
        <f t="shared" si="59"/>
        <v/>
      </c>
      <c r="J582" s="430" t="str">
        <f t="shared" si="55"/>
        <v/>
      </c>
      <c r="K582" s="433" t="str">
        <f>IFERROR(-LBP/2+HLOOKUP(Stn_WL,Tools!$AD$2:$AD$27,N582+2,FALSE)*STN_GAP,"")</f>
        <v/>
      </c>
      <c r="L582" s="433" t="str">
        <f>IFERROR(IF(AND(ISNUMBER(K582),O582=0),0,VLOOKUP(HLOOKUP(Stn_WL,Tools!$AD$2:$AD$27,N582+2,FALSE),Tools!$AD$3:$BC$27,O582+1,FALSE)),"")</f>
        <v/>
      </c>
      <c r="M582" s="433" t="str">
        <f>IFERROR(IF(ISNUMBER(L582),IF(O582=0,IFERROR(HLOOKUP(Tools!$BD$127,Tools!$BD$127:$BD$152,N582+2,FALSE)*1,0),HLOOKUP(Tools!$BE$2,Tools!$BE$2:$BE$27,O582+1,FALSE)*WLS),""),"")</f>
        <v/>
      </c>
      <c r="N582">
        <f t="shared" si="56"/>
        <v>44</v>
      </c>
      <c r="O582">
        <f t="shared" si="57"/>
        <v>8</v>
      </c>
    </row>
    <row r="583" spans="1:15" x14ac:dyDescent="0.25">
      <c r="A583" s="427" t="str">
        <f t="shared" si="58"/>
        <v/>
      </c>
      <c r="B583" s="430" t="str">
        <f t="shared" si="54"/>
        <v/>
      </c>
      <c r="C583" s="433" t="str">
        <f>IFERROR(-LBP/2+HLOOKUP(Stn_WL,Tools!$AD$2:$AD$27,QUOTIENT(ROW()-2,Max_WL_count)+2,FALSE)*STN_GAP,"")</f>
        <v/>
      </c>
      <c r="D583" s="433" t="str">
        <f>IFERROR(VLOOKUP(HLOOKUP(Stn_WL,Tools!$AD$2:$AD$27,QUOTIENT(ROW()-2,Max_WL_count)+2,FALSE),Tools!$AD$3:$BC$27,MOD(ROW()-2,Max_WL_count)+2,FALSE),"")</f>
        <v/>
      </c>
      <c r="E583" s="431" t="str">
        <f>IFERROR(IF(ISNUMBER(D583),HLOOKUP(Tools!$BE$2,Tools!$BE$2:$BE$27,MOD(ROW()-2,Max_WL_count)+2,FALSE)*WLS,""),"")</f>
        <v/>
      </c>
      <c r="I583" s="427" t="str">
        <f t="shared" si="59"/>
        <v/>
      </c>
      <c r="J583" s="430" t="str">
        <f t="shared" si="55"/>
        <v/>
      </c>
      <c r="K583" s="433" t="str">
        <f>IFERROR(-LBP/2+HLOOKUP(Stn_WL,Tools!$AD$2:$AD$27,N583+2,FALSE)*STN_GAP,"")</f>
        <v/>
      </c>
      <c r="L583" s="433" t="str">
        <f>IFERROR(IF(AND(ISNUMBER(K583),O583=0),0,VLOOKUP(HLOOKUP(Stn_WL,Tools!$AD$2:$AD$27,N583+2,FALSE),Tools!$AD$3:$BC$27,O583+1,FALSE)),"")</f>
        <v/>
      </c>
      <c r="M583" s="433" t="str">
        <f>IFERROR(IF(ISNUMBER(L583),IF(O583=0,IFERROR(HLOOKUP(Tools!$BD$127,Tools!$BD$127:$BD$152,N583+2,FALSE)*1,0),HLOOKUP(Tools!$BE$2,Tools!$BE$2:$BE$27,O583+1,FALSE)*WLS),""),"")</f>
        <v/>
      </c>
      <c r="N583">
        <f t="shared" si="56"/>
        <v>44</v>
      </c>
      <c r="O583">
        <f t="shared" si="57"/>
        <v>9</v>
      </c>
    </row>
    <row r="584" spans="1:15" x14ac:dyDescent="0.25">
      <c r="A584" s="427" t="str">
        <f t="shared" si="58"/>
        <v/>
      </c>
      <c r="B584" s="430" t="str">
        <f t="shared" si="54"/>
        <v/>
      </c>
      <c r="C584" s="433" t="str">
        <f>IFERROR(-LBP/2+HLOOKUP(Stn_WL,Tools!$AD$2:$AD$27,QUOTIENT(ROW()-2,Max_WL_count)+2,FALSE)*STN_GAP,"")</f>
        <v/>
      </c>
      <c r="D584" s="433" t="str">
        <f>IFERROR(VLOOKUP(HLOOKUP(Stn_WL,Tools!$AD$2:$AD$27,QUOTIENT(ROW()-2,Max_WL_count)+2,FALSE),Tools!$AD$3:$BC$27,MOD(ROW()-2,Max_WL_count)+2,FALSE),"")</f>
        <v/>
      </c>
      <c r="E584" s="431" t="str">
        <f>IFERROR(IF(ISNUMBER(D584),HLOOKUP(Tools!$BE$2,Tools!$BE$2:$BE$27,MOD(ROW()-2,Max_WL_count)+2,FALSE)*WLS,""),"")</f>
        <v/>
      </c>
      <c r="I584" s="427" t="str">
        <f t="shared" si="59"/>
        <v/>
      </c>
      <c r="J584" s="430" t="str">
        <f t="shared" si="55"/>
        <v/>
      </c>
      <c r="K584" s="433" t="str">
        <f>IFERROR(-LBP/2+HLOOKUP(Stn_WL,Tools!$AD$2:$AD$27,N584+2,FALSE)*STN_GAP,"")</f>
        <v/>
      </c>
      <c r="L584" s="433" t="str">
        <f>IFERROR(IF(AND(ISNUMBER(K584),O584=0),0,VLOOKUP(HLOOKUP(Stn_WL,Tools!$AD$2:$AD$27,N584+2,FALSE),Tools!$AD$3:$BC$27,O584+1,FALSE)),"")</f>
        <v/>
      </c>
      <c r="M584" s="433" t="str">
        <f>IFERROR(IF(ISNUMBER(L584),IF(O584=0,IFERROR(HLOOKUP(Tools!$BD$127,Tools!$BD$127:$BD$152,N584+2,FALSE)*1,0),HLOOKUP(Tools!$BE$2,Tools!$BE$2:$BE$27,O584+1,FALSE)*WLS),""),"")</f>
        <v/>
      </c>
      <c r="N584">
        <f t="shared" si="56"/>
        <v>44</v>
      </c>
      <c r="O584">
        <f t="shared" si="57"/>
        <v>10</v>
      </c>
    </row>
    <row r="585" spans="1:15" x14ac:dyDescent="0.25">
      <c r="A585" s="427" t="str">
        <f t="shared" si="58"/>
        <v/>
      </c>
      <c r="B585" s="430" t="str">
        <f t="shared" si="54"/>
        <v/>
      </c>
      <c r="C585" s="433" t="str">
        <f>IFERROR(-LBP/2+HLOOKUP(Stn_WL,Tools!$AD$2:$AD$27,QUOTIENT(ROW()-2,Max_WL_count)+2,FALSE)*STN_GAP,"")</f>
        <v/>
      </c>
      <c r="D585" s="433" t="str">
        <f>IFERROR(VLOOKUP(HLOOKUP(Stn_WL,Tools!$AD$2:$AD$27,QUOTIENT(ROW()-2,Max_WL_count)+2,FALSE),Tools!$AD$3:$BC$27,MOD(ROW()-2,Max_WL_count)+2,FALSE),"")</f>
        <v/>
      </c>
      <c r="E585" s="431" t="str">
        <f>IFERROR(IF(ISNUMBER(D585),HLOOKUP(Tools!$BE$2,Tools!$BE$2:$BE$27,MOD(ROW()-2,Max_WL_count)+2,FALSE)*WLS,""),"")</f>
        <v/>
      </c>
      <c r="I585" s="427" t="str">
        <f t="shared" si="59"/>
        <v/>
      </c>
      <c r="J585" s="430" t="str">
        <f t="shared" si="55"/>
        <v/>
      </c>
      <c r="K585" s="433" t="str">
        <f>IFERROR(-LBP/2+HLOOKUP(Stn_WL,Tools!$AD$2:$AD$27,N585+2,FALSE)*STN_GAP,"")</f>
        <v/>
      </c>
      <c r="L585" s="433" t="str">
        <f>IFERROR(IF(AND(ISNUMBER(K585),O585=0),0,VLOOKUP(HLOOKUP(Stn_WL,Tools!$AD$2:$AD$27,N585+2,FALSE),Tools!$AD$3:$BC$27,O585+1,FALSE)),"")</f>
        <v/>
      </c>
      <c r="M585" s="433" t="str">
        <f>IFERROR(IF(ISNUMBER(L585),IF(O585=0,IFERROR(HLOOKUP(Tools!$BD$127,Tools!$BD$127:$BD$152,N585+2,FALSE)*1,0),HLOOKUP(Tools!$BE$2,Tools!$BE$2:$BE$27,O585+1,FALSE)*WLS),""),"")</f>
        <v/>
      </c>
      <c r="N585">
        <f t="shared" si="56"/>
        <v>44</v>
      </c>
      <c r="O585">
        <f t="shared" si="57"/>
        <v>11</v>
      </c>
    </row>
    <row r="586" spans="1:15" x14ac:dyDescent="0.25">
      <c r="A586" s="427" t="str">
        <f t="shared" si="58"/>
        <v/>
      </c>
      <c r="B586" s="430" t="str">
        <f t="shared" si="54"/>
        <v/>
      </c>
      <c r="C586" s="433" t="str">
        <f>IFERROR(-LBP/2+HLOOKUP(Stn_WL,Tools!$AD$2:$AD$27,QUOTIENT(ROW()-2,Max_WL_count)+2,FALSE)*STN_GAP,"")</f>
        <v/>
      </c>
      <c r="D586" s="433" t="str">
        <f>IFERROR(VLOOKUP(HLOOKUP(Stn_WL,Tools!$AD$2:$AD$27,QUOTIENT(ROW()-2,Max_WL_count)+2,FALSE),Tools!$AD$3:$BC$27,MOD(ROW()-2,Max_WL_count)+2,FALSE),"")</f>
        <v/>
      </c>
      <c r="E586" s="431" t="str">
        <f>IFERROR(IF(ISNUMBER(D586),HLOOKUP(Tools!$BE$2,Tools!$BE$2:$BE$27,MOD(ROW()-2,Max_WL_count)+2,FALSE)*WLS,""),"")</f>
        <v/>
      </c>
      <c r="I586" s="427" t="str">
        <f t="shared" si="59"/>
        <v/>
      </c>
      <c r="J586" s="430" t="str">
        <f t="shared" si="55"/>
        <v/>
      </c>
      <c r="K586" s="433" t="str">
        <f>IFERROR(-LBP/2+HLOOKUP(Stn_WL,Tools!$AD$2:$AD$27,N586+2,FALSE)*STN_GAP,"")</f>
        <v/>
      </c>
      <c r="L586" s="433" t="str">
        <f>IFERROR(IF(AND(ISNUMBER(K586),O586=0),0,VLOOKUP(HLOOKUP(Stn_WL,Tools!$AD$2:$AD$27,N586+2,FALSE),Tools!$AD$3:$BC$27,O586+1,FALSE)),"")</f>
        <v/>
      </c>
      <c r="M586" s="433" t="str">
        <f>IFERROR(IF(ISNUMBER(L586),IF(O586=0,IFERROR(HLOOKUP(Tools!$BD$127,Tools!$BD$127:$BD$152,N586+2,FALSE)*1,0),HLOOKUP(Tools!$BE$2,Tools!$BE$2:$BE$27,O586+1,FALSE)*WLS),""),"")</f>
        <v/>
      </c>
      <c r="N586">
        <f t="shared" si="56"/>
        <v>44</v>
      </c>
      <c r="O586">
        <f t="shared" si="57"/>
        <v>12</v>
      </c>
    </row>
    <row r="587" spans="1:15" x14ac:dyDescent="0.25">
      <c r="A587" s="427" t="str">
        <f t="shared" si="58"/>
        <v/>
      </c>
      <c r="B587" s="430" t="str">
        <f t="shared" si="54"/>
        <v/>
      </c>
      <c r="C587" s="433" t="str">
        <f>IFERROR(-LBP/2+HLOOKUP(Stn_WL,Tools!$AD$2:$AD$27,QUOTIENT(ROW()-2,Max_WL_count)+2,FALSE)*STN_GAP,"")</f>
        <v/>
      </c>
      <c r="D587" s="433" t="str">
        <f>IFERROR(VLOOKUP(HLOOKUP(Stn_WL,Tools!$AD$2:$AD$27,QUOTIENT(ROW()-2,Max_WL_count)+2,FALSE),Tools!$AD$3:$BC$27,MOD(ROW()-2,Max_WL_count)+2,FALSE),"")</f>
        <v/>
      </c>
      <c r="E587" s="431" t="str">
        <f>IFERROR(IF(ISNUMBER(D587),HLOOKUP(Tools!$BE$2,Tools!$BE$2:$BE$27,MOD(ROW()-2,Max_WL_count)+2,FALSE)*WLS,""),"")</f>
        <v/>
      </c>
      <c r="I587" s="427" t="str">
        <f t="shared" si="59"/>
        <v/>
      </c>
      <c r="J587" s="430" t="str">
        <f t="shared" si="55"/>
        <v/>
      </c>
      <c r="K587" s="433" t="str">
        <f>IFERROR(-LBP/2+HLOOKUP(Stn_WL,Tools!$AD$2:$AD$27,N587+2,FALSE)*STN_GAP,"")</f>
        <v/>
      </c>
      <c r="L587" s="433" t="str">
        <f>IFERROR(IF(AND(ISNUMBER(K587),O587=0),0,VLOOKUP(HLOOKUP(Stn_WL,Tools!$AD$2:$AD$27,N587+2,FALSE),Tools!$AD$3:$BC$27,O587+1,FALSE)),"")</f>
        <v/>
      </c>
      <c r="M587" s="433" t="str">
        <f>IFERROR(IF(ISNUMBER(L587),IF(O587=0,IFERROR(HLOOKUP(Tools!$BD$127,Tools!$BD$127:$BD$152,N587+2,FALSE)*1,0),HLOOKUP(Tools!$BE$2,Tools!$BE$2:$BE$27,O587+1,FALSE)*WLS),""),"")</f>
        <v/>
      </c>
      <c r="N587">
        <f t="shared" si="56"/>
        <v>45</v>
      </c>
      <c r="O587">
        <f t="shared" si="57"/>
        <v>0</v>
      </c>
    </row>
    <row r="588" spans="1:15" x14ac:dyDescent="0.25">
      <c r="A588" s="427" t="str">
        <f t="shared" si="58"/>
        <v/>
      </c>
      <c r="B588" s="430" t="str">
        <f t="shared" si="54"/>
        <v/>
      </c>
      <c r="C588" s="433" t="str">
        <f>IFERROR(-LBP/2+HLOOKUP(Stn_WL,Tools!$AD$2:$AD$27,QUOTIENT(ROW()-2,Max_WL_count)+2,FALSE)*STN_GAP,"")</f>
        <v/>
      </c>
      <c r="D588" s="433" t="str">
        <f>IFERROR(VLOOKUP(HLOOKUP(Stn_WL,Tools!$AD$2:$AD$27,QUOTIENT(ROW()-2,Max_WL_count)+2,FALSE),Tools!$AD$3:$BC$27,MOD(ROW()-2,Max_WL_count)+2,FALSE),"")</f>
        <v/>
      </c>
      <c r="E588" s="431" t="str">
        <f>IFERROR(IF(ISNUMBER(D588),HLOOKUP(Tools!$BE$2,Tools!$BE$2:$BE$27,MOD(ROW()-2,Max_WL_count)+2,FALSE)*WLS,""),"")</f>
        <v/>
      </c>
      <c r="I588" s="427" t="str">
        <f t="shared" si="59"/>
        <v/>
      </c>
      <c r="J588" s="430" t="str">
        <f t="shared" si="55"/>
        <v/>
      </c>
      <c r="K588" s="433" t="str">
        <f>IFERROR(-LBP/2+HLOOKUP(Stn_WL,Tools!$AD$2:$AD$27,N588+2,FALSE)*STN_GAP,"")</f>
        <v/>
      </c>
      <c r="L588" s="433" t="str">
        <f>IFERROR(IF(AND(ISNUMBER(K588),O588=0),0,VLOOKUP(HLOOKUP(Stn_WL,Tools!$AD$2:$AD$27,N588+2,FALSE),Tools!$AD$3:$BC$27,O588+1,FALSE)),"")</f>
        <v/>
      </c>
      <c r="M588" s="433" t="str">
        <f>IFERROR(IF(ISNUMBER(L588),IF(O588=0,IFERROR(HLOOKUP(Tools!$BD$127,Tools!$BD$127:$BD$152,N588+2,FALSE)*1,0),HLOOKUP(Tools!$BE$2,Tools!$BE$2:$BE$27,O588+1,FALSE)*WLS),""),"")</f>
        <v/>
      </c>
      <c r="N588">
        <f t="shared" si="56"/>
        <v>45</v>
      </c>
      <c r="O588">
        <f t="shared" si="57"/>
        <v>1</v>
      </c>
    </row>
    <row r="589" spans="1:15" x14ac:dyDescent="0.25">
      <c r="A589" s="427" t="str">
        <f t="shared" si="58"/>
        <v/>
      </c>
      <c r="B589" s="430" t="str">
        <f t="shared" si="54"/>
        <v/>
      </c>
      <c r="C589" s="433" t="str">
        <f>IFERROR(-LBP/2+HLOOKUP(Stn_WL,Tools!$AD$2:$AD$27,QUOTIENT(ROW()-2,Max_WL_count)+2,FALSE)*STN_GAP,"")</f>
        <v/>
      </c>
      <c r="D589" s="433" t="str">
        <f>IFERROR(VLOOKUP(HLOOKUP(Stn_WL,Tools!$AD$2:$AD$27,QUOTIENT(ROW()-2,Max_WL_count)+2,FALSE),Tools!$AD$3:$BC$27,MOD(ROW()-2,Max_WL_count)+2,FALSE),"")</f>
        <v/>
      </c>
      <c r="E589" s="431" t="str">
        <f>IFERROR(IF(ISNUMBER(D589),HLOOKUP(Tools!$BE$2,Tools!$BE$2:$BE$27,MOD(ROW()-2,Max_WL_count)+2,FALSE)*WLS,""),"")</f>
        <v/>
      </c>
      <c r="I589" s="427" t="str">
        <f t="shared" si="59"/>
        <v/>
      </c>
      <c r="J589" s="430" t="str">
        <f t="shared" si="55"/>
        <v/>
      </c>
      <c r="K589" s="433" t="str">
        <f>IFERROR(-LBP/2+HLOOKUP(Stn_WL,Tools!$AD$2:$AD$27,N589+2,FALSE)*STN_GAP,"")</f>
        <v/>
      </c>
      <c r="L589" s="433" t="str">
        <f>IFERROR(IF(AND(ISNUMBER(K589),O589=0),0,VLOOKUP(HLOOKUP(Stn_WL,Tools!$AD$2:$AD$27,N589+2,FALSE),Tools!$AD$3:$BC$27,O589+1,FALSE)),"")</f>
        <v/>
      </c>
      <c r="M589" s="433" t="str">
        <f>IFERROR(IF(ISNUMBER(L589),IF(O589=0,IFERROR(HLOOKUP(Tools!$BD$127,Tools!$BD$127:$BD$152,N589+2,FALSE)*1,0),HLOOKUP(Tools!$BE$2,Tools!$BE$2:$BE$27,O589+1,FALSE)*WLS),""),"")</f>
        <v/>
      </c>
      <c r="N589">
        <f t="shared" si="56"/>
        <v>45</v>
      </c>
      <c r="O589">
        <f t="shared" si="57"/>
        <v>2</v>
      </c>
    </row>
    <row r="590" spans="1:15" x14ac:dyDescent="0.25">
      <c r="A590" s="427" t="str">
        <f t="shared" si="58"/>
        <v/>
      </c>
      <c r="B590" s="430" t="str">
        <f t="shared" si="54"/>
        <v/>
      </c>
      <c r="C590" s="433" t="str">
        <f>IFERROR(-LBP/2+HLOOKUP(Stn_WL,Tools!$AD$2:$AD$27,QUOTIENT(ROW()-2,Max_WL_count)+2,FALSE)*STN_GAP,"")</f>
        <v/>
      </c>
      <c r="D590" s="433" t="str">
        <f>IFERROR(VLOOKUP(HLOOKUP(Stn_WL,Tools!$AD$2:$AD$27,QUOTIENT(ROW()-2,Max_WL_count)+2,FALSE),Tools!$AD$3:$BC$27,MOD(ROW()-2,Max_WL_count)+2,FALSE),"")</f>
        <v/>
      </c>
      <c r="E590" s="431" t="str">
        <f>IFERROR(IF(ISNUMBER(D590),HLOOKUP(Tools!$BE$2,Tools!$BE$2:$BE$27,MOD(ROW()-2,Max_WL_count)+2,FALSE)*WLS,""),"")</f>
        <v/>
      </c>
      <c r="I590" s="427" t="str">
        <f t="shared" si="59"/>
        <v/>
      </c>
      <c r="J590" s="430" t="str">
        <f t="shared" si="55"/>
        <v/>
      </c>
      <c r="K590" s="433" t="str">
        <f>IFERROR(-LBP/2+HLOOKUP(Stn_WL,Tools!$AD$2:$AD$27,N590+2,FALSE)*STN_GAP,"")</f>
        <v/>
      </c>
      <c r="L590" s="433" t="str">
        <f>IFERROR(IF(AND(ISNUMBER(K590),O590=0),0,VLOOKUP(HLOOKUP(Stn_WL,Tools!$AD$2:$AD$27,N590+2,FALSE),Tools!$AD$3:$BC$27,O590+1,FALSE)),"")</f>
        <v/>
      </c>
      <c r="M590" s="433" t="str">
        <f>IFERROR(IF(ISNUMBER(L590),IF(O590=0,IFERROR(HLOOKUP(Tools!$BD$127,Tools!$BD$127:$BD$152,N590+2,FALSE)*1,0),HLOOKUP(Tools!$BE$2,Tools!$BE$2:$BE$27,O590+1,FALSE)*WLS),""),"")</f>
        <v/>
      </c>
      <c r="N590">
        <f t="shared" si="56"/>
        <v>45</v>
      </c>
      <c r="O590">
        <f t="shared" si="57"/>
        <v>3</v>
      </c>
    </row>
    <row r="591" spans="1:15" x14ac:dyDescent="0.25">
      <c r="A591" s="427" t="str">
        <f t="shared" si="58"/>
        <v/>
      </c>
      <c r="B591" s="430" t="str">
        <f t="shared" si="54"/>
        <v/>
      </c>
      <c r="C591" s="433" t="str">
        <f>IFERROR(-LBP/2+HLOOKUP(Stn_WL,Tools!$AD$2:$AD$27,QUOTIENT(ROW()-2,Max_WL_count)+2,FALSE)*STN_GAP,"")</f>
        <v/>
      </c>
      <c r="D591" s="433" t="str">
        <f>IFERROR(VLOOKUP(HLOOKUP(Stn_WL,Tools!$AD$2:$AD$27,QUOTIENT(ROW()-2,Max_WL_count)+2,FALSE),Tools!$AD$3:$BC$27,MOD(ROW()-2,Max_WL_count)+2,FALSE),"")</f>
        <v/>
      </c>
      <c r="E591" s="431" t="str">
        <f>IFERROR(IF(ISNUMBER(D591),HLOOKUP(Tools!$BE$2,Tools!$BE$2:$BE$27,MOD(ROW()-2,Max_WL_count)+2,FALSE)*WLS,""),"")</f>
        <v/>
      </c>
      <c r="I591" s="427" t="str">
        <f t="shared" si="59"/>
        <v/>
      </c>
      <c r="J591" s="430" t="str">
        <f t="shared" si="55"/>
        <v/>
      </c>
      <c r="K591" s="433" t="str">
        <f>IFERROR(-LBP/2+HLOOKUP(Stn_WL,Tools!$AD$2:$AD$27,N591+2,FALSE)*STN_GAP,"")</f>
        <v/>
      </c>
      <c r="L591" s="433" t="str">
        <f>IFERROR(IF(AND(ISNUMBER(K591),O591=0),0,VLOOKUP(HLOOKUP(Stn_WL,Tools!$AD$2:$AD$27,N591+2,FALSE),Tools!$AD$3:$BC$27,O591+1,FALSE)),"")</f>
        <v/>
      </c>
      <c r="M591" s="433" t="str">
        <f>IFERROR(IF(ISNUMBER(L591),IF(O591=0,IFERROR(HLOOKUP(Tools!$BD$127,Tools!$BD$127:$BD$152,N591+2,FALSE)*1,0),HLOOKUP(Tools!$BE$2,Tools!$BE$2:$BE$27,O591+1,FALSE)*WLS),""),"")</f>
        <v/>
      </c>
      <c r="N591">
        <f t="shared" si="56"/>
        <v>45</v>
      </c>
      <c r="O591">
        <f t="shared" si="57"/>
        <v>4</v>
      </c>
    </row>
    <row r="592" spans="1:15" x14ac:dyDescent="0.25">
      <c r="A592" s="427" t="str">
        <f t="shared" si="58"/>
        <v/>
      </c>
      <c r="B592" s="430" t="str">
        <f t="shared" si="54"/>
        <v/>
      </c>
      <c r="C592" s="433" t="str">
        <f>IFERROR(-LBP/2+HLOOKUP(Stn_WL,Tools!$AD$2:$AD$27,QUOTIENT(ROW()-2,Max_WL_count)+2,FALSE)*STN_GAP,"")</f>
        <v/>
      </c>
      <c r="D592" s="433" t="str">
        <f>IFERROR(VLOOKUP(HLOOKUP(Stn_WL,Tools!$AD$2:$AD$27,QUOTIENT(ROW()-2,Max_WL_count)+2,FALSE),Tools!$AD$3:$BC$27,MOD(ROW()-2,Max_WL_count)+2,FALSE),"")</f>
        <v/>
      </c>
      <c r="E592" s="431" t="str">
        <f>IFERROR(IF(ISNUMBER(D592),HLOOKUP(Tools!$BE$2,Tools!$BE$2:$BE$27,MOD(ROW()-2,Max_WL_count)+2,FALSE)*WLS,""),"")</f>
        <v/>
      </c>
      <c r="I592" s="427" t="str">
        <f t="shared" si="59"/>
        <v/>
      </c>
      <c r="J592" s="430" t="str">
        <f t="shared" si="55"/>
        <v/>
      </c>
      <c r="K592" s="433" t="str">
        <f>IFERROR(-LBP/2+HLOOKUP(Stn_WL,Tools!$AD$2:$AD$27,N592+2,FALSE)*STN_GAP,"")</f>
        <v/>
      </c>
      <c r="L592" s="433" t="str">
        <f>IFERROR(IF(AND(ISNUMBER(K592),O592=0),0,VLOOKUP(HLOOKUP(Stn_WL,Tools!$AD$2:$AD$27,N592+2,FALSE),Tools!$AD$3:$BC$27,O592+1,FALSE)),"")</f>
        <v/>
      </c>
      <c r="M592" s="433" t="str">
        <f>IFERROR(IF(ISNUMBER(L592),IF(O592=0,IFERROR(HLOOKUP(Tools!$BD$127,Tools!$BD$127:$BD$152,N592+2,FALSE)*1,0),HLOOKUP(Tools!$BE$2,Tools!$BE$2:$BE$27,O592+1,FALSE)*WLS),""),"")</f>
        <v/>
      </c>
      <c r="N592">
        <f t="shared" si="56"/>
        <v>45</v>
      </c>
      <c r="O592">
        <f t="shared" si="57"/>
        <v>5</v>
      </c>
    </row>
    <row r="593" spans="1:15" x14ac:dyDescent="0.25">
      <c r="A593" s="427" t="str">
        <f t="shared" si="58"/>
        <v/>
      </c>
      <c r="B593" s="430" t="str">
        <f t="shared" si="54"/>
        <v/>
      </c>
      <c r="C593" s="433" t="str">
        <f>IFERROR(-LBP/2+HLOOKUP(Stn_WL,Tools!$AD$2:$AD$27,QUOTIENT(ROW()-2,Max_WL_count)+2,FALSE)*STN_GAP,"")</f>
        <v/>
      </c>
      <c r="D593" s="433" t="str">
        <f>IFERROR(VLOOKUP(HLOOKUP(Stn_WL,Tools!$AD$2:$AD$27,QUOTIENT(ROW()-2,Max_WL_count)+2,FALSE),Tools!$AD$3:$BC$27,MOD(ROW()-2,Max_WL_count)+2,FALSE),"")</f>
        <v/>
      </c>
      <c r="E593" s="431" t="str">
        <f>IFERROR(IF(ISNUMBER(D593),HLOOKUP(Tools!$BE$2,Tools!$BE$2:$BE$27,MOD(ROW()-2,Max_WL_count)+2,FALSE)*WLS,""),"")</f>
        <v/>
      </c>
      <c r="I593" s="427" t="str">
        <f t="shared" si="59"/>
        <v/>
      </c>
      <c r="J593" s="430" t="str">
        <f t="shared" si="55"/>
        <v/>
      </c>
      <c r="K593" s="433" t="str">
        <f>IFERROR(-LBP/2+HLOOKUP(Stn_WL,Tools!$AD$2:$AD$27,N593+2,FALSE)*STN_GAP,"")</f>
        <v/>
      </c>
      <c r="L593" s="433" t="str">
        <f>IFERROR(IF(AND(ISNUMBER(K593),O593=0),0,VLOOKUP(HLOOKUP(Stn_WL,Tools!$AD$2:$AD$27,N593+2,FALSE),Tools!$AD$3:$BC$27,O593+1,FALSE)),"")</f>
        <v/>
      </c>
      <c r="M593" s="433" t="str">
        <f>IFERROR(IF(ISNUMBER(L593),IF(O593=0,IFERROR(HLOOKUP(Tools!$BD$127,Tools!$BD$127:$BD$152,N593+2,FALSE)*1,0),HLOOKUP(Tools!$BE$2,Tools!$BE$2:$BE$27,O593+1,FALSE)*WLS),""),"")</f>
        <v/>
      </c>
      <c r="N593">
        <f t="shared" si="56"/>
        <v>45</v>
      </c>
      <c r="O593">
        <f t="shared" si="57"/>
        <v>6</v>
      </c>
    </row>
    <row r="594" spans="1:15" x14ac:dyDescent="0.25">
      <c r="A594" s="427" t="str">
        <f t="shared" si="58"/>
        <v/>
      </c>
      <c r="B594" s="430" t="str">
        <f t="shared" si="54"/>
        <v/>
      </c>
      <c r="C594" s="433" t="str">
        <f>IFERROR(-LBP/2+HLOOKUP(Stn_WL,Tools!$AD$2:$AD$27,QUOTIENT(ROW()-2,Max_WL_count)+2,FALSE)*STN_GAP,"")</f>
        <v/>
      </c>
      <c r="D594" s="433" t="str">
        <f>IFERROR(VLOOKUP(HLOOKUP(Stn_WL,Tools!$AD$2:$AD$27,QUOTIENT(ROW()-2,Max_WL_count)+2,FALSE),Tools!$AD$3:$BC$27,MOD(ROW()-2,Max_WL_count)+2,FALSE),"")</f>
        <v/>
      </c>
      <c r="E594" s="431" t="str">
        <f>IFERROR(IF(ISNUMBER(D594),HLOOKUP(Tools!$BE$2,Tools!$BE$2:$BE$27,MOD(ROW()-2,Max_WL_count)+2,FALSE)*WLS,""),"")</f>
        <v/>
      </c>
      <c r="I594" s="427" t="str">
        <f t="shared" si="59"/>
        <v/>
      </c>
      <c r="J594" s="430" t="str">
        <f t="shared" si="55"/>
        <v/>
      </c>
      <c r="K594" s="433" t="str">
        <f>IFERROR(-LBP/2+HLOOKUP(Stn_WL,Tools!$AD$2:$AD$27,N594+2,FALSE)*STN_GAP,"")</f>
        <v/>
      </c>
      <c r="L594" s="433" t="str">
        <f>IFERROR(IF(AND(ISNUMBER(K594),O594=0),0,VLOOKUP(HLOOKUP(Stn_WL,Tools!$AD$2:$AD$27,N594+2,FALSE),Tools!$AD$3:$BC$27,O594+1,FALSE)),"")</f>
        <v/>
      </c>
      <c r="M594" s="433" t="str">
        <f>IFERROR(IF(ISNUMBER(L594),IF(O594=0,IFERROR(HLOOKUP(Tools!$BD$127,Tools!$BD$127:$BD$152,N594+2,FALSE)*1,0),HLOOKUP(Tools!$BE$2,Tools!$BE$2:$BE$27,O594+1,FALSE)*WLS),""),"")</f>
        <v/>
      </c>
      <c r="N594">
        <f t="shared" si="56"/>
        <v>45</v>
      </c>
      <c r="O594">
        <f t="shared" si="57"/>
        <v>7</v>
      </c>
    </row>
    <row r="595" spans="1:15" x14ac:dyDescent="0.25">
      <c r="A595" s="427" t="str">
        <f t="shared" si="58"/>
        <v/>
      </c>
      <c r="B595" s="430" t="str">
        <f t="shared" si="54"/>
        <v/>
      </c>
      <c r="C595" s="433" t="str">
        <f>IFERROR(-LBP/2+HLOOKUP(Stn_WL,Tools!$AD$2:$AD$27,QUOTIENT(ROW()-2,Max_WL_count)+2,FALSE)*STN_GAP,"")</f>
        <v/>
      </c>
      <c r="D595" s="433" t="str">
        <f>IFERROR(VLOOKUP(HLOOKUP(Stn_WL,Tools!$AD$2:$AD$27,QUOTIENT(ROW()-2,Max_WL_count)+2,FALSE),Tools!$AD$3:$BC$27,MOD(ROW()-2,Max_WL_count)+2,FALSE),"")</f>
        <v/>
      </c>
      <c r="E595" s="431" t="str">
        <f>IFERROR(IF(ISNUMBER(D595),HLOOKUP(Tools!$BE$2,Tools!$BE$2:$BE$27,MOD(ROW()-2,Max_WL_count)+2,FALSE)*WLS,""),"")</f>
        <v/>
      </c>
      <c r="I595" s="427" t="str">
        <f t="shared" si="59"/>
        <v/>
      </c>
      <c r="J595" s="430" t="str">
        <f t="shared" si="55"/>
        <v/>
      </c>
      <c r="K595" s="433" t="str">
        <f>IFERROR(-LBP/2+HLOOKUP(Stn_WL,Tools!$AD$2:$AD$27,N595+2,FALSE)*STN_GAP,"")</f>
        <v/>
      </c>
      <c r="L595" s="433" t="str">
        <f>IFERROR(IF(AND(ISNUMBER(K595),O595=0),0,VLOOKUP(HLOOKUP(Stn_WL,Tools!$AD$2:$AD$27,N595+2,FALSE),Tools!$AD$3:$BC$27,O595+1,FALSE)),"")</f>
        <v/>
      </c>
      <c r="M595" s="433" t="str">
        <f>IFERROR(IF(ISNUMBER(L595),IF(O595=0,IFERROR(HLOOKUP(Tools!$BD$127,Tools!$BD$127:$BD$152,N595+2,FALSE)*1,0),HLOOKUP(Tools!$BE$2,Tools!$BE$2:$BE$27,O595+1,FALSE)*WLS),""),"")</f>
        <v/>
      </c>
      <c r="N595">
        <f t="shared" si="56"/>
        <v>45</v>
      </c>
      <c r="O595">
        <f t="shared" si="57"/>
        <v>8</v>
      </c>
    </row>
    <row r="596" spans="1:15" x14ac:dyDescent="0.25">
      <c r="A596" s="427" t="str">
        <f t="shared" si="58"/>
        <v/>
      </c>
      <c r="B596" s="430" t="str">
        <f t="shared" si="54"/>
        <v/>
      </c>
      <c r="C596" s="433" t="str">
        <f>IFERROR(-LBP/2+HLOOKUP(Stn_WL,Tools!$AD$2:$AD$27,QUOTIENT(ROW()-2,Max_WL_count)+2,FALSE)*STN_GAP,"")</f>
        <v/>
      </c>
      <c r="D596" s="433" t="str">
        <f>IFERROR(VLOOKUP(HLOOKUP(Stn_WL,Tools!$AD$2:$AD$27,QUOTIENT(ROW()-2,Max_WL_count)+2,FALSE),Tools!$AD$3:$BC$27,MOD(ROW()-2,Max_WL_count)+2,FALSE),"")</f>
        <v/>
      </c>
      <c r="E596" s="431" t="str">
        <f>IFERROR(IF(ISNUMBER(D596),HLOOKUP(Tools!$BE$2,Tools!$BE$2:$BE$27,MOD(ROW()-2,Max_WL_count)+2,FALSE)*WLS,""),"")</f>
        <v/>
      </c>
      <c r="I596" s="427" t="str">
        <f t="shared" si="59"/>
        <v/>
      </c>
      <c r="J596" s="430" t="str">
        <f t="shared" si="55"/>
        <v/>
      </c>
      <c r="K596" s="433" t="str">
        <f>IFERROR(-LBP/2+HLOOKUP(Stn_WL,Tools!$AD$2:$AD$27,N596+2,FALSE)*STN_GAP,"")</f>
        <v/>
      </c>
      <c r="L596" s="433" t="str">
        <f>IFERROR(IF(AND(ISNUMBER(K596),O596=0),0,VLOOKUP(HLOOKUP(Stn_WL,Tools!$AD$2:$AD$27,N596+2,FALSE),Tools!$AD$3:$BC$27,O596+1,FALSE)),"")</f>
        <v/>
      </c>
      <c r="M596" s="433" t="str">
        <f>IFERROR(IF(ISNUMBER(L596),IF(O596=0,IFERROR(HLOOKUP(Tools!$BD$127,Tools!$BD$127:$BD$152,N596+2,FALSE)*1,0),HLOOKUP(Tools!$BE$2,Tools!$BE$2:$BE$27,O596+1,FALSE)*WLS),""),"")</f>
        <v/>
      </c>
      <c r="N596">
        <f t="shared" si="56"/>
        <v>45</v>
      </c>
      <c r="O596">
        <f t="shared" si="57"/>
        <v>9</v>
      </c>
    </row>
    <row r="597" spans="1:15" x14ac:dyDescent="0.25">
      <c r="A597" s="427" t="str">
        <f t="shared" si="58"/>
        <v/>
      </c>
      <c r="B597" s="430" t="str">
        <f t="shared" si="54"/>
        <v/>
      </c>
      <c r="C597" s="433" t="str">
        <f>IFERROR(-LBP/2+HLOOKUP(Stn_WL,Tools!$AD$2:$AD$27,QUOTIENT(ROW()-2,Max_WL_count)+2,FALSE)*STN_GAP,"")</f>
        <v/>
      </c>
      <c r="D597" s="433" t="str">
        <f>IFERROR(VLOOKUP(HLOOKUP(Stn_WL,Tools!$AD$2:$AD$27,QUOTIENT(ROW()-2,Max_WL_count)+2,FALSE),Tools!$AD$3:$BC$27,MOD(ROW()-2,Max_WL_count)+2,FALSE),"")</f>
        <v/>
      </c>
      <c r="E597" s="431" t="str">
        <f>IFERROR(IF(ISNUMBER(D597),HLOOKUP(Tools!$BE$2,Tools!$BE$2:$BE$27,MOD(ROW()-2,Max_WL_count)+2,FALSE)*WLS,""),"")</f>
        <v/>
      </c>
      <c r="I597" s="427" t="str">
        <f t="shared" si="59"/>
        <v/>
      </c>
      <c r="J597" s="430" t="str">
        <f t="shared" si="55"/>
        <v/>
      </c>
      <c r="K597" s="433" t="str">
        <f>IFERROR(-LBP/2+HLOOKUP(Stn_WL,Tools!$AD$2:$AD$27,N597+2,FALSE)*STN_GAP,"")</f>
        <v/>
      </c>
      <c r="L597" s="433" t="str">
        <f>IFERROR(IF(AND(ISNUMBER(K597),O597=0),0,VLOOKUP(HLOOKUP(Stn_WL,Tools!$AD$2:$AD$27,N597+2,FALSE),Tools!$AD$3:$BC$27,O597+1,FALSE)),"")</f>
        <v/>
      </c>
      <c r="M597" s="433" t="str">
        <f>IFERROR(IF(ISNUMBER(L597),IF(O597=0,IFERROR(HLOOKUP(Tools!$BD$127,Tools!$BD$127:$BD$152,N597+2,FALSE)*1,0),HLOOKUP(Tools!$BE$2,Tools!$BE$2:$BE$27,O597+1,FALSE)*WLS),""),"")</f>
        <v/>
      </c>
      <c r="N597">
        <f t="shared" si="56"/>
        <v>45</v>
      </c>
      <c r="O597">
        <f t="shared" si="57"/>
        <v>10</v>
      </c>
    </row>
    <row r="598" spans="1:15" x14ac:dyDescent="0.25">
      <c r="A598" s="427" t="str">
        <f t="shared" si="58"/>
        <v/>
      </c>
      <c r="B598" s="430" t="str">
        <f t="shared" si="54"/>
        <v/>
      </c>
      <c r="C598" s="433" t="str">
        <f>IFERROR(-LBP/2+HLOOKUP(Stn_WL,Tools!$AD$2:$AD$27,QUOTIENT(ROW()-2,Max_WL_count)+2,FALSE)*STN_GAP,"")</f>
        <v/>
      </c>
      <c r="D598" s="433" t="str">
        <f>IFERROR(VLOOKUP(HLOOKUP(Stn_WL,Tools!$AD$2:$AD$27,QUOTIENT(ROW()-2,Max_WL_count)+2,FALSE),Tools!$AD$3:$BC$27,MOD(ROW()-2,Max_WL_count)+2,FALSE),"")</f>
        <v/>
      </c>
      <c r="E598" s="431" t="str">
        <f>IFERROR(IF(ISNUMBER(D598),HLOOKUP(Tools!$BE$2,Tools!$BE$2:$BE$27,MOD(ROW()-2,Max_WL_count)+2,FALSE)*WLS,""),"")</f>
        <v/>
      </c>
      <c r="I598" s="427" t="str">
        <f t="shared" si="59"/>
        <v/>
      </c>
      <c r="J598" s="430" t="str">
        <f t="shared" si="55"/>
        <v/>
      </c>
      <c r="K598" s="433" t="str">
        <f>IFERROR(-LBP/2+HLOOKUP(Stn_WL,Tools!$AD$2:$AD$27,N598+2,FALSE)*STN_GAP,"")</f>
        <v/>
      </c>
      <c r="L598" s="433" t="str">
        <f>IFERROR(IF(AND(ISNUMBER(K598),O598=0),0,VLOOKUP(HLOOKUP(Stn_WL,Tools!$AD$2:$AD$27,N598+2,FALSE),Tools!$AD$3:$BC$27,O598+1,FALSE)),"")</f>
        <v/>
      </c>
      <c r="M598" s="433" t="str">
        <f>IFERROR(IF(ISNUMBER(L598),IF(O598=0,IFERROR(HLOOKUP(Tools!$BD$127,Tools!$BD$127:$BD$152,N598+2,FALSE)*1,0),HLOOKUP(Tools!$BE$2,Tools!$BE$2:$BE$27,O598+1,FALSE)*WLS),""),"")</f>
        <v/>
      </c>
      <c r="N598">
        <f t="shared" si="56"/>
        <v>45</v>
      </c>
      <c r="O598">
        <f t="shared" si="57"/>
        <v>11</v>
      </c>
    </row>
    <row r="599" spans="1:15" x14ac:dyDescent="0.25">
      <c r="A599" s="427" t="str">
        <f t="shared" si="58"/>
        <v/>
      </c>
      <c r="B599" s="430" t="str">
        <f t="shared" si="54"/>
        <v/>
      </c>
      <c r="C599" s="433" t="str">
        <f>IFERROR(-LBP/2+HLOOKUP(Stn_WL,Tools!$AD$2:$AD$27,QUOTIENT(ROW()-2,Max_WL_count)+2,FALSE)*STN_GAP,"")</f>
        <v/>
      </c>
      <c r="D599" s="433" t="str">
        <f>IFERROR(VLOOKUP(HLOOKUP(Stn_WL,Tools!$AD$2:$AD$27,QUOTIENT(ROW()-2,Max_WL_count)+2,FALSE),Tools!$AD$3:$BC$27,MOD(ROW()-2,Max_WL_count)+2,FALSE),"")</f>
        <v/>
      </c>
      <c r="E599" s="431" t="str">
        <f>IFERROR(IF(ISNUMBER(D599),HLOOKUP(Tools!$BE$2,Tools!$BE$2:$BE$27,MOD(ROW()-2,Max_WL_count)+2,FALSE)*WLS,""),"")</f>
        <v/>
      </c>
      <c r="I599" s="427" t="str">
        <f t="shared" si="59"/>
        <v/>
      </c>
      <c r="J599" s="430" t="str">
        <f t="shared" si="55"/>
        <v/>
      </c>
      <c r="K599" s="433" t="str">
        <f>IFERROR(-LBP/2+HLOOKUP(Stn_WL,Tools!$AD$2:$AD$27,N599+2,FALSE)*STN_GAP,"")</f>
        <v/>
      </c>
      <c r="L599" s="433" t="str">
        <f>IFERROR(IF(AND(ISNUMBER(K599),O599=0),0,VLOOKUP(HLOOKUP(Stn_WL,Tools!$AD$2:$AD$27,N599+2,FALSE),Tools!$AD$3:$BC$27,O599+1,FALSE)),"")</f>
        <v/>
      </c>
      <c r="M599" s="433" t="str">
        <f>IFERROR(IF(ISNUMBER(L599),IF(O599=0,IFERROR(HLOOKUP(Tools!$BD$127,Tools!$BD$127:$BD$152,N599+2,FALSE)*1,0),HLOOKUP(Tools!$BE$2,Tools!$BE$2:$BE$27,O599+1,FALSE)*WLS),""),"")</f>
        <v/>
      </c>
      <c r="N599">
        <f t="shared" si="56"/>
        <v>45</v>
      </c>
      <c r="O599">
        <f t="shared" si="57"/>
        <v>12</v>
      </c>
    </row>
    <row r="600" spans="1:15" x14ac:dyDescent="0.25">
      <c r="A600" s="427" t="str">
        <f t="shared" si="58"/>
        <v/>
      </c>
      <c r="B600" s="430" t="str">
        <f t="shared" si="54"/>
        <v/>
      </c>
      <c r="C600" s="433" t="str">
        <f>IFERROR(-LBP/2+HLOOKUP(Stn_WL,Tools!$AD$2:$AD$27,QUOTIENT(ROW()-2,Max_WL_count)+2,FALSE)*STN_GAP,"")</f>
        <v/>
      </c>
      <c r="D600" s="433" t="str">
        <f>IFERROR(VLOOKUP(HLOOKUP(Stn_WL,Tools!$AD$2:$AD$27,QUOTIENT(ROW()-2,Max_WL_count)+2,FALSE),Tools!$AD$3:$BC$27,MOD(ROW()-2,Max_WL_count)+2,FALSE),"")</f>
        <v/>
      </c>
      <c r="E600" s="431" t="str">
        <f>IFERROR(IF(ISNUMBER(D600),HLOOKUP(Tools!$BE$2,Tools!$BE$2:$BE$27,MOD(ROW()-2,Max_WL_count)+2,FALSE)*WLS,""),"")</f>
        <v/>
      </c>
      <c r="I600" s="427" t="str">
        <f t="shared" si="59"/>
        <v/>
      </c>
      <c r="J600" s="430" t="str">
        <f t="shared" si="55"/>
        <v/>
      </c>
      <c r="K600" s="433" t="str">
        <f>IFERROR(-LBP/2+HLOOKUP(Stn_WL,Tools!$AD$2:$AD$27,N600+2,FALSE)*STN_GAP,"")</f>
        <v/>
      </c>
      <c r="L600" s="433" t="str">
        <f>IFERROR(IF(AND(ISNUMBER(K600),O600=0),0,VLOOKUP(HLOOKUP(Stn_WL,Tools!$AD$2:$AD$27,N600+2,FALSE),Tools!$AD$3:$BC$27,O600+1,FALSE)),"")</f>
        <v/>
      </c>
      <c r="M600" s="433" t="str">
        <f>IFERROR(IF(ISNUMBER(L600),IF(O600=0,IFERROR(HLOOKUP(Tools!$BD$127,Tools!$BD$127:$BD$152,N600+2,FALSE)*1,0),HLOOKUP(Tools!$BE$2,Tools!$BE$2:$BE$27,O600+1,FALSE)*WLS),""),"")</f>
        <v/>
      </c>
      <c r="N600">
        <f t="shared" si="56"/>
        <v>46</v>
      </c>
      <c r="O600">
        <f t="shared" si="57"/>
        <v>0</v>
      </c>
    </row>
    <row r="601" spans="1:15" x14ac:dyDescent="0.25">
      <c r="A601" s="427" t="str">
        <f t="shared" si="58"/>
        <v/>
      </c>
      <c r="B601" s="430" t="str">
        <f t="shared" si="54"/>
        <v/>
      </c>
      <c r="C601" s="433" t="str">
        <f>IFERROR(-LBP/2+HLOOKUP(Stn_WL,Tools!$AD$2:$AD$27,QUOTIENT(ROW()-2,Max_WL_count)+2,FALSE)*STN_GAP,"")</f>
        <v/>
      </c>
      <c r="D601" s="433" t="str">
        <f>IFERROR(VLOOKUP(HLOOKUP(Stn_WL,Tools!$AD$2:$AD$27,QUOTIENT(ROW()-2,Max_WL_count)+2,FALSE),Tools!$AD$3:$BC$27,MOD(ROW()-2,Max_WL_count)+2,FALSE),"")</f>
        <v/>
      </c>
      <c r="E601" s="431" t="str">
        <f>IFERROR(IF(ISNUMBER(D601),HLOOKUP(Tools!$BE$2,Tools!$BE$2:$BE$27,MOD(ROW()-2,Max_WL_count)+2,FALSE)*WLS,""),"")</f>
        <v/>
      </c>
      <c r="I601" s="427" t="str">
        <f t="shared" si="59"/>
        <v/>
      </c>
      <c r="J601" s="430" t="str">
        <f t="shared" si="55"/>
        <v/>
      </c>
      <c r="K601" s="433" t="str">
        <f>IFERROR(-LBP/2+HLOOKUP(Stn_WL,Tools!$AD$2:$AD$27,N601+2,FALSE)*STN_GAP,"")</f>
        <v/>
      </c>
      <c r="L601" s="433" t="str">
        <f>IFERROR(IF(AND(ISNUMBER(K601),O601=0),0,VLOOKUP(HLOOKUP(Stn_WL,Tools!$AD$2:$AD$27,N601+2,FALSE),Tools!$AD$3:$BC$27,O601+1,FALSE)),"")</f>
        <v/>
      </c>
      <c r="M601" s="433" t="str">
        <f>IFERROR(IF(ISNUMBER(L601),IF(O601=0,IFERROR(HLOOKUP(Tools!$BD$127,Tools!$BD$127:$BD$152,N601+2,FALSE)*1,0),HLOOKUP(Tools!$BE$2,Tools!$BE$2:$BE$27,O601+1,FALSE)*WLS),""),"")</f>
        <v/>
      </c>
      <c r="N601">
        <f t="shared" si="56"/>
        <v>46</v>
      </c>
      <c r="O601">
        <f t="shared" si="57"/>
        <v>1</v>
      </c>
    </row>
    <row r="602" spans="1:15" x14ac:dyDescent="0.25">
      <c r="A602" s="427" t="str">
        <f t="shared" si="58"/>
        <v/>
      </c>
      <c r="B602" s="430" t="str">
        <f t="shared" si="54"/>
        <v/>
      </c>
      <c r="C602" s="433" t="str">
        <f>IFERROR(-LBP/2+HLOOKUP(Stn_WL,Tools!$AD$2:$AD$27,QUOTIENT(ROW()-2,Max_WL_count)+2,FALSE)*STN_GAP,"")</f>
        <v/>
      </c>
      <c r="D602" s="433" t="str">
        <f>IFERROR(VLOOKUP(HLOOKUP(Stn_WL,Tools!$AD$2:$AD$27,QUOTIENT(ROW()-2,Max_WL_count)+2,FALSE),Tools!$AD$3:$BC$27,MOD(ROW()-2,Max_WL_count)+2,FALSE),"")</f>
        <v/>
      </c>
      <c r="E602" s="431" t="str">
        <f>IFERROR(IF(ISNUMBER(D602),HLOOKUP(Tools!$BE$2,Tools!$BE$2:$BE$27,MOD(ROW()-2,Max_WL_count)+2,FALSE)*WLS,""),"")</f>
        <v/>
      </c>
      <c r="I602" s="427" t="str">
        <f t="shared" si="59"/>
        <v/>
      </c>
      <c r="J602" s="430" t="str">
        <f t="shared" si="55"/>
        <v/>
      </c>
      <c r="K602" s="433" t="str">
        <f>IFERROR(-LBP/2+HLOOKUP(Stn_WL,Tools!$AD$2:$AD$27,N602+2,FALSE)*STN_GAP,"")</f>
        <v/>
      </c>
      <c r="L602" s="433" t="str">
        <f>IFERROR(IF(AND(ISNUMBER(K602),O602=0),0,VLOOKUP(HLOOKUP(Stn_WL,Tools!$AD$2:$AD$27,N602+2,FALSE),Tools!$AD$3:$BC$27,O602+1,FALSE)),"")</f>
        <v/>
      </c>
      <c r="M602" s="433" t="str">
        <f>IFERROR(IF(ISNUMBER(L602),IF(O602=0,IFERROR(HLOOKUP(Tools!$BD$127,Tools!$BD$127:$BD$152,N602+2,FALSE)*1,0),HLOOKUP(Tools!$BE$2,Tools!$BE$2:$BE$27,O602+1,FALSE)*WLS),""),"")</f>
        <v/>
      </c>
      <c r="N602">
        <f t="shared" si="56"/>
        <v>46</v>
      </c>
      <c r="O602">
        <f t="shared" si="57"/>
        <v>2</v>
      </c>
    </row>
    <row r="603" spans="1:15" x14ac:dyDescent="0.25">
      <c r="A603" s="427" t="str">
        <f t="shared" si="58"/>
        <v/>
      </c>
      <c r="B603" s="430" t="str">
        <f t="shared" si="54"/>
        <v/>
      </c>
      <c r="C603" s="433" t="str">
        <f>IFERROR(-LBP/2+HLOOKUP(Stn_WL,Tools!$AD$2:$AD$27,QUOTIENT(ROW()-2,Max_WL_count)+2,FALSE)*STN_GAP,"")</f>
        <v/>
      </c>
      <c r="D603" s="433" t="str">
        <f>IFERROR(VLOOKUP(HLOOKUP(Stn_WL,Tools!$AD$2:$AD$27,QUOTIENT(ROW()-2,Max_WL_count)+2,FALSE),Tools!$AD$3:$BC$27,MOD(ROW()-2,Max_WL_count)+2,FALSE),"")</f>
        <v/>
      </c>
      <c r="E603" s="431" t="str">
        <f>IFERROR(IF(ISNUMBER(D603),HLOOKUP(Tools!$BE$2,Tools!$BE$2:$BE$27,MOD(ROW()-2,Max_WL_count)+2,FALSE)*WLS,""),"")</f>
        <v/>
      </c>
      <c r="I603" s="427" t="str">
        <f t="shared" si="59"/>
        <v/>
      </c>
      <c r="J603" s="430" t="str">
        <f t="shared" si="55"/>
        <v/>
      </c>
      <c r="K603" s="433" t="str">
        <f>IFERROR(-LBP/2+HLOOKUP(Stn_WL,Tools!$AD$2:$AD$27,N603+2,FALSE)*STN_GAP,"")</f>
        <v/>
      </c>
      <c r="L603" s="433" t="str">
        <f>IFERROR(IF(AND(ISNUMBER(K603),O603=0),0,VLOOKUP(HLOOKUP(Stn_WL,Tools!$AD$2:$AD$27,N603+2,FALSE),Tools!$AD$3:$BC$27,O603+1,FALSE)),"")</f>
        <v/>
      </c>
      <c r="M603" s="433" t="str">
        <f>IFERROR(IF(ISNUMBER(L603),IF(O603=0,IFERROR(HLOOKUP(Tools!$BD$127,Tools!$BD$127:$BD$152,N603+2,FALSE)*1,0),HLOOKUP(Tools!$BE$2,Tools!$BE$2:$BE$27,O603+1,FALSE)*WLS),""),"")</f>
        <v/>
      </c>
      <c r="N603">
        <f t="shared" si="56"/>
        <v>46</v>
      </c>
      <c r="O603">
        <f t="shared" si="57"/>
        <v>3</v>
      </c>
    </row>
    <row r="604" spans="1:15" x14ac:dyDescent="0.25">
      <c r="A604" s="427" t="str">
        <f t="shared" si="58"/>
        <v/>
      </c>
      <c r="B604" s="430" t="str">
        <f t="shared" si="54"/>
        <v/>
      </c>
      <c r="C604" s="433" t="str">
        <f>IFERROR(-LBP/2+HLOOKUP(Stn_WL,Tools!$AD$2:$AD$27,QUOTIENT(ROW()-2,Max_WL_count)+2,FALSE)*STN_GAP,"")</f>
        <v/>
      </c>
      <c r="D604" s="433" t="str">
        <f>IFERROR(VLOOKUP(HLOOKUP(Stn_WL,Tools!$AD$2:$AD$27,QUOTIENT(ROW()-2,Max_WL_count)+2,FALSE),Tools!$AD$3:$BC$27,MOD(ROW()-2,Max_WL_count)+2,FALSE),"")</f>
        <v/>
      </c>
      <c r="E604" s="431" t="str">
        <f>IFERROR(IF(ISNUMBER(D604),HLOOKUP(Tools!$BE$2,Tools!$BE$2:$BE$27,MOD(ROW()-2,Max_WL_count)+2,FALSE)*WLS,""),"")</f>
        <v/>
      </c>
      <c r="I604" s="427" t="str">
        <f t="shared" si="59"/>
        <v/>
      </c>
      <c r="J604" s="430" t="str">
        <f t="shared" si="55"/>
        <v/>
      </c>
      <c r="K604" s="433" t="str">
        <f>IFERROR(-LBP/2+HLOOKUP(Stn_WL,Tools!$AD$2:$AD$27,N604+2,FALSE)*STN_GAP,"")</f>
        <v/>
      </c>
      <c r="L604" s="433" t="str">
        <f>IFERROR(IF(AND(ISNUMBER(K604),O604=0),0,VLOOKUP(HLOOKUP(Stn_WL,Tools!$AD$2:$AD$27,N604+2,FALSE),Tools!$AD$3:$BC$27,O604+1,FALSE)),"")</f>
        <v/>
      </c>
      <c r="M604" s="433" t="str">
        <f>IFERROR(IF(ISNUMBER(L604),IF(O604=0,IFERROR(HLOOKUP(Tools!$BD$127,Tools!$BD$127:$BD$152,N604+2,FALSE)*1,0),HLOOKUP(Tools!$BE$2,Tools!$BE$2:$BE$27,O604+1,FALSE)*WLS),""),"")</f>
        <v/>
      </c>
      <c r="N604">
        <f t="shared" si="56"/>
        <v>46</v>
      </c>
      <c r="O604">
        <f t="shared" si="57"/>
        <v>4</v>
      </c>
    </row>
    <row r="605" spans="1:15" x14ac:dyDescent="0.25">
      <c r="A605" s="427" t="str">
        <f t="shared" si="58"/>
        <v/>
      </c>
      <c r="B605" s="430" t="str">
        <f t="shared" si="54"/>
        <v/>
      </c>
      <c r="C605" s="433" t="str">
        <f>IFERROR(-LBP/2+HLOOKUP(Stn_WL,Tools!$AD$2:$AD$27,QUOTIENT(ROW()-2,Max_WL_count)+2,FALSE)*STN_GAP,"")</f>
        <v/>
      </c>
      <c r="D605" s="433" t="str">
        <f>IFERROR(VLOOKUP(HLOOKUP(Stn_WL,Tools!$AD$2:$AD$27,QUOTIENT(ROW()-2,Max_WL_count)+2,FALSE),Tools!$AD$3:$BC$27,MOD(ROW()-2,Max_WL_count)+2,FALSE),"")</f>
        <v/>
      </c>
      <c r="E605" s="431" t="str">
        <f>IFERROR(IF(ISNUMBER(D605),HLOOKUP(Tools!$BE$2,Tools!$BE$2:$BE$27,MOD(ROW()-2,Max_WL_count)+2,FALSE)*WLS,""),"")</f>
        <v/>
      </c>
      <c r="I605" s="427" t="str">
        <f t="shared" si="59"/>
        <v/>
      </c>
      <c r="J605" s="430" t="str">
        <f t="shared" si="55"/>
        <v/>
      </c>
      <c r="K605" s="433" t="str">
        <f>IFERROR(-LBP/2+HLOOKUP(Stn_WL,Tools!$AD$2:$AD$27,N605+2,FALSE)*STN_GAP,"")</f>
        <v/>
      </c>
      <c r="L605" s="433" t="str">
        <f>IFERROR(IF(AND(ISNUMBER(K605),O605=0),0,VLOOKUP(HLOOKUP(Stn_WL,Tools!$AD$2:$AD$27,N605+2,FALSE),Tools!$AD$3:$BC$27,O605+1,FALSE)),"")</f>
        <v/>
      </c>
      <c r="M605" s="433" t="str">
        <f>IFERROR(IF(ISNUMBER(L605),IF(O605=0,IFERROR(HLOOKUP(Tools!$BD$127,Tools!$BD$127:$BD$152,N605+2,FALSE)*1,0),HLOOKUP(Tools!$BE$2,Tools!$BE$2:$BE$27,O605+1,FALSE)*WLS),""),"")</f>
        <v/>
      </c>
      <c r="N605">
        <f t="shared" si="56"/>
        <v>46</v>
      </c>
      <c r="O605">
        <f t="shared" si="57"/>
        <v>5</v>
      </c>
    </row>
    <row r="606" spans="1:15" x14ac:dyDescent="0.25">
      <c r="A606" s="427" t="str">
        <f t="shared" si="58"/>
        <v/>
      </c>
      <c r="B606" s="430" t="str">
        <f t="shared" si="54"/>
        <v/>
      </c>
      <c r="C606" s="433" t="str">
        <f>IFERROR(-LBP/2+HLOOKUP(Stn_WL,Tools!$AD$2:$AD$27,QUOTIENT(ROW()-2,Max_WL_count)+2,FALSE)*STN_GAP,"")</f>
        <v/>
      </c>
      <c r="D606" s="433" t="str">
        <f>IFERROR(VLOOKUP(HLOOKUP(Stn_WL,Tools!$AD$2:$AD$27,QUOTIENT(ROW()-2,Max_WL_count)+2,FALSE),Tools!$AD$3:$BC$27,MOD(ROW()-2,Max_WL_count)+2,FALSE),"")</f>
        <v/>
      </c>
      <c r="E606" s="431" t="str">
        <f>IFERROR(IF(ISNUMBER(D606),HLOOKUP(Tools!$BE$2,Tools!$BE$2:$BE$27,MOD(ROW()-2,Max_WL_count)+2,FALSE)*WLS,""),"")</f>
        <v/>
      </c>
      <c r="I606" s="427" t="str">
        <f t="shared" si="59"/>
        <v/>
      </c>
      <c r="J606" s="430" t="str">
        <f t="shared" si="55"/>
        <v/>
      </c>
      <c r="K606" s="433" t="str">
        <f>IFERROR(-LBP/2+HLOOKUP(Stn_WL,Tools!$AD$2:$AD$27,N606+2,FALSE)*STN_GAP,"")</f>
        <v/>
      </c>
      <c r="L606" s="433" t="str">
        <f>IFERROR(IF(AND(ISNUMBER(K606),O606=0),0,VLOOKUP(HLOOKUP(Stn_WL,Tools!$AD$2:$AD$27,N606+2,FALSE),Tools!$AD$3:$BC$27,O606+1,FALSE)),"")</f>
        <v/>
      </c>
      <c r="M606" s="433" t="str">
        <f>IFERROR(IF(ISNUMBER(L606),IF(O606=0,IFERROR(HLOOKUP(Tools!$BD$127,Tools!$BD$127:$BD$152,N606+2,FALSE)*1,0),HLOOKUP(Tools!$BE$2,Tools!$BE$2:$BE$27,O606+1,FALSE)*WLS),""),"")</f>
        <v/>
      </c>
      <c r="N606">
        <f t="shared" si="56"/>
        <v>46</v>
      </c>
      <c r="O606">
        <f t="shared" si="57"/>
        <v>6</v>
      </c>
    </row>
    <row r="607" spans="1:15" x14ac:dyDescent="0.25">
      <c r="A607" s="427" t="str">
        <f t="shared" si="58"/>
        <v/>
      </c>
      <c r="B607" s="430" t="str">
        <f t="shared" si="54"/>
        <v/>
      </c>
      <c r="C607" s="433" t="str">
        <f>IFERROR(-LBP/2+HLOOKUP(Stn_WL,Tools!$AD$2:$AD$27,QUOTIENT(ROW()-2,Max_WL_count)+2,FALSE)*STN_GAP,"")</f>
        <v/>
      </c>
      <c r="D607" s="433" t="str">
        <f>IFERROR(VLOOKUP(HLOOKUP(Stn_WL,Tools!$AD$2:$AD$27,QUOTIENT(ROW()-2,Max_WL_count)+2,FALSE),Tools!$AD$3:$BC$27,MOD(ROW()-2,Max_WL_count)+2,FALSE),"")</f>
        <v/>
      </c>
      <c r="E607" s="431" t="str">
        <f>IFERROR(IF(ISNUMBER(D607),HLOOKUP(Tools!$BE$2,Tools!$BE$2:$BE$27,MOD(ROW()-2,Max_WL_count)+2,FALSE)*WLS,""),"")</f>
        <v/>
      </c>
      <c r="I607" s="427" t="str">
        <f t="shared" si="59"/>
        <v/>
      </c>
      <c r="J607" s="430" t="str">
        <f t="shared" si="55"/>
        <v/>
      </c>
      <c r="K607" s="433" t="str">
        <f>IFERROR(-LBP/2+HLOOKUP(Stn_WL,Tools!$AD$2:$AD$27,N607+2,FALSE)*STN_GAP,"")</f>
        <v/>
      </c>
      <c r="L607" s="433" t="str">
        <f>IFERROR(IF(AND(ISNUMBER(K607),O607=0),0,VLOOKUP(HLOOKUP(Stn_WL,Tools!$AD$2:$AD$27,N607+2,FALSE),Tools!$AD$3:$BC$27,O607+1,FALSE)),"")</f>
        <v/>
      </c>
      <c r="M607" s="433" t="str">
        <f>IFERROR(IF(ISNUMBER(L607),IF(O607=0,IFERROR(HLOOKUP(Tools!$BD$127,Tools!$BD$127:$BD$152,N607+2,FALSE)*1,0),HLOOKUP(Tools!$BE$2,Tools!$BE$2:$BE$27,O607+1,FALSE)*WLS),""),"")</f>
        <v/>
      </c>
      <c r="N607">
        <f t="shared" si="56"/>
        <v>46</v>
      </c>
      <c r="O607">
        <f t="shared" si="57"/>
        <v>7</v>
      </c>
    </row>
    <row r="608" spans="1:15" x14ac:dyDescent="0.25">
      <c r="A608" s="427" t="str">
        <f t="shared" si="58"/>
        <v/>
      </c>
      <c r="B608" s="430" t="str">
        <f t="shared" si="54"/>
        <v/>
      </c>
      <c r="C608" s="433" t="str">
        <f>IFERROR(-LBP/2+HLOOKUP(Stn_WL,Tools!$AD$2:$AD$27,QUOTIENT(ROW()-2,Max_WL_count)+2,FALSE)*STN_GAP,"")</f>
        <v/>
      </c>
      <c r="D608" s="433" t="str">
        <f>IFERROR(VLOOKUP(HLOOKUP(Stn_WL,Tools!$AD$2:$AD$27,QUOTIENT(ROW()-2,Max_WL_count)+2,FALSE),Tools!$AD$3:$BC$27,MOD(ROW()-2,Max_WL_count)+2,FALSE),"")</f>
        <v/>
      </c>
      <c r="E608" s="431" t="str">
        <f>IFERROR(IF(ISNUMBER(D608),HLOOKUP(Tools!$BE$2,Tools!$BE$2:$BE$27,MOD(ROW()-2,Max_WL_count)+2,FALSE)*WLS,""),"")</f>
        <v/>
      </c>
      <c r="I608" s="427" t="str">
        <f t="shared" si="59"/>
        <v/>
      </c>
      <c r="J608" s="430" t="str">
        <f t="shared" si="55"/>
        <v/>
      </c>
      <c r="K608" s="433" t="str">
        <f>IFERROR(-LBP/2+HLOOKUP(Stn_WL,Tools!$AD$2:$AD$27,N608+2,FALSE)*STN_GAP,"")</f>
        <v/>
      </c>
      <c r="L608" s="433" t="str">
        <f>IFERROR(IF(AND(ISNUMBER(K608),O608=0),0,VLOOKUP(HLOOKUP(Stn_WL,Tools!$AD$2:$AD$27,N608+2,FALSE),Tools!$AD$3:$BC$27,O608+1,FALSE)),"")</f>
        <v/>
      </c>
      <c r="M608" s="433" t="str">
        <f>IFERROR(IF(ISNUMBER(L608),IF(O608=0,IFERROR(HLOOKUP(Tools!$BD$127,Tools!$BD$127:$BD$152,N608+2,FALSE)*1,0),HLOOKUP(Tools!$BE$2,Tools!$BE$2:$BE$27,O608+1,FALSE)*WLS),""),"")</f>
        <v/>
      </c>
      <c r="N608">
        <f t="shared" si="56"/>
        <v>46</v>
      </c>
      <c r="O608">
        <f t="shared" si="57"/>
        <v>8</v>
      </c>
    </row>
    <row r="609" spans="1:15" x14ac:dyDescent="0.25">
      <c r="A609" s="427" t="str">
        <f t="shared" si="58"/>
        <v/>
      </c>
      <c r="B609" s="430" t="str">
        <f t="shared" si="54"/>
        <v/>
      </c>
      <c r="C609" s="433" t="str">
        <f>IFERROR(-LBP/2+HLOOKUP(Stn_WL,Tools!$AD$2:$AD$27,QUOTIENT(ROW()-2,Max_WL_count)+2,FALSE)*STN_GAP,"")</f>
        <v/>
      </c>
      <c r="D609" s="433" t="str">
        <f>IFERROR(VLOOKUP(HLOOKUP(Stn_WL,Tools!$AD$2:$AD$27,QUOTIENT(ROW()-2,Max_WL_count)+2,FALSE),Tools!$AD$3:$BC$27,MOD(ROW()-2,Max_WL_count)+2,FALSE),"")</f>
        <v/>
      </c>
      <c r="E609" s="431" t="str">
        <f>IFERROR(IF(ISNUMBER(D609),HLOOKUP(Tools!$BE$2,Tools!$BE$2:$BE$27,MOD(ROW()-2,Max_WL_count)+2,FALSE)*WLS,""),"")</f>
        <v/>
      </c>
      <c r="I609" s="427" t="str">
        <f t="shared" si="59"/>
        <v/>
      </c>
      <c r="J609" s="430" t="str">
        <f t="shared" si="55"/>
        <v/>
      </c>
      <c r="K609" s="433" t="str">
        <f>IFERROR(-LBP/2+HLOOKUP(Stn_WL,Tools!$AD$2:$AD$27,N609+2,FALSE)*STN_GAP,"")</f>
        <v/>
      </c>
      <c r="L609" s="433" t="str">
        <f>IFERROR(IF(AND(ISNUMBER(K609),O609=0),0,VLOOKUP(HLOOKUP(Stn_WL,Tools!$AD$2:$AD$27,N609+2,FALSE),Tools!$AD$3:$BC$27,O609+1,FALSE)),"")</f>
        <v/>
      </c>
      <c r="M609" s="433" t="str">
        <f>IFERROR(IF(ISNUMBER(L609),IF(O609=0,IFERROR(HLOOKUP(Tools!$BD$127,Tools!$BD$127:$BD$152,N609+2,FALSE)*1,0),HLOOKUP(Tools!$BE$2,Tools!$BE$2:$BE$27,O609+1,FALSE)*WLS),""),"")</f>
        <v/>
      </c>
      <c r="N609">
        <f t="shared" si="56"/>
        <v>46</v>
      </c>
      <c r="O609">
        <f t="shared" si="57"/>
        <v>9</v>
      </c>
    </row>
    <row r="610" spans="1:15" x14ac:dyDescent="0.25">
      <c r="A610" s="427" t="str">
        <f t="shared" si="58"/>
        <v/>
      </c>
      <c r="B610" s="430" t="str">
        <f t="shared" si="54"/>
        <v/>
      </c>
      <c r="C610" s="433" t="str">
        <f>IFERROR(-LBP/2+HLOOKUP(Stn_WL,Tools!$AD$2:$AD$27,QUOTIENT(ROW()-2,Max_WL_count)+2,FALSE)*STN_GAP,"")</f>
        <v/>
      </c>
      <c r="D610" s="433" t="str">
        <f>IFERROR(VLOOKUP(HLOOKUP(Stn_WL,Tools!$AD$2:$AD$27,QUOTIENT(ROW()-2,Max_WL_count)+2,FALSE),Tools!$AD$3:$BC$27,MOD(ROW()-2,Max_WL_count)+2,FALSE),"")</f>
        <v/>
      </c>
      <c r="E610" s="431" t="str">
        <f>IFERROR(IF(ISNUMBER(D610),HLOOKUP(Tools!$BE$2,Tools!$BE$2:$BE$27,MOD(ROW()-2,Max_WL_count)+2,FALSE)*WLS,""),"")</f>
        <v/>
      </c>
      <c r="I610" s="427" t="str">
        <f t="shared" si="59"/>
        <v/>
      </c>
      <c r="J610" s="430" t="str">
        <f t="shared" si="55"/>
        <v/>
      </c>
      <c r="K610" s="433" t="str">
        <f>IFERROR(-LBP/2+HLOOKUP(Stn_WL,Tools!$AD$2:$AD$27,N610+2,FALSE)*STN_GAP,"")</f>
        <v/>
      </c>
      <c r="L610" s="433" t="str">
        <f>IFERROR(IF(AND(ISNUMBER(K610),O610=0),0,VLOOKUP(HLOOKUP(Stn_WL,Tools!$AD$2:$AD$27,N610+2,FALSE),Tools!$AD$3:$BC$27,O610+1,FALSE)),"")</f>
        <v/>
      </c>
      <c r="M610" s="433" t="str">
        <f>IFERROR(IF(ISNUMBER(L610),IF(O610=0,IFERROR(HLOOKUP(Tools!$BD$127,Tools!$BD$127:$BD$152,N610+2,FALSE)*1,0),HLOOKUP(Tools!$BE$2,Tools!$BE$2:$BE$27,O610+1,FALSE)*WLS),""),"")</f>
        <v/>
      </c>
      <c r="N610">
        <f t="shared" si="56"/>
        <v>46</v>
      </c>
      <c r="O610">
        <f t="shared" si="57"/>
        <v>10</v>
      </c>
    </row>
    <row r="611" spans="1:15" x14ac:dyDescent="0.25">
      <c r="A611" s="427" t="str">
        <f t="shared" si="58"/>
        <v/>
      </c>
      <c r="B611" s="430" t="str">
        <f t="shared" si="54"/>
        <v/>
      </c>
      <c r="C611" s="433" t="str">
        <f>IFERROR(-LBP/2+HLOOKUP(Stn_WL,Tools!$AD$2:$AD$27,QUOTIENT(ROW()-2,Max_WL_count)+2,FALSE)*STN_GAP,"")</f>
        <v/>
      </c>
      <c r="D611" s="433" t="str">
        <f>IFERROR(VLOOKUP(HLOOKUP(Stn_WL,Tools!$AD$2:$AD$27,QUOTIENT(ROW()-2,Max_WL_count)+2,FALSE),Tools!$AD$3:$BC$27,MOD(ROW()-2,Max_WL_count)+2,FALSE),"")</f>
        <v/>
      </c>
      <c r="E611" s="431" t="str">
        <f>IFERROR(IF(ISNUMBER(D611),HLOOKUP(Tools!$BE$2,Tools!$BE$2:$BE$27,MOD(ROW()-2,Max_WL_count)+2,FALSE)*WLS,""),"")</f>
        <v/>
      </c>
      <c r="I611" s="427" t="str">
        <f t="shared" si="59"/>
        <v/>
      </c>
      <c r="J611" s="430" t="str">
        <f t="shared" si="55"/>
        <v/>
      </c>
      <c r="K611" s="433" t="str">
        <f>IFERROR(-LBP/2+HLOOKUP(Stn_WL,Tools!$AD$2:$AD$27,N611+2,FALSE)*STN_GAP,"")</f>
        <v/>
      </c>
      <c r="L611" s="433" t="str">
        <f>IFERROR(IF(AND(ISNUMBER(K611),O611=0),0,VLOOKUP(HLOOKUP(Stn_WL,Tools!$AD$2:$AD$27,N611+2,FALSE),Tools!$AD$3:$BC$27,O611+1,FALSE)),"")</f>
        <v/>
      </c>
      <c r="M611" s="433" t="str">
        <f>IFERROR(IF(ISNUMBER(L611),IF(O611=0,IFERROR(HLOOKUP(Tools!$BD$127,Tools!$BD$127:$BD$152,N611+2,FALSE)*1,0),HLOOKUP(Tools!$BE$2,Tools!$BE$2:$BE$27,O611+1,FALSE)*WLS),""),"")</f>
        <v/>
      </c>
      <c r="N611">
        <f t="shared" si="56"/>
        <v>46</v>
      </c>
      <c r="O611">
        <f t="shared" si="57"/>
        <v>11</v>
      </c>
    </row>
    <row r="612" spans="1:15" x14ac:dyDescent="0.25">
      <c r="A612" s="427" t="str">
        <f t="shared" si="58"/>
        <v/>
      </c>
      <c r="B612" s="430" t="str">
        <f t="shared" si="54"/>
        <v/>
      </c>
      <c r="C612" s="433" t="str">
        <f>IFERROR(-LBP/2+HLOOKUP(Stn_WL,Tools!$AD$2:$AD$27,QUOTIENT(ROW()-2,Max_WL_count)+2,FALSE)*STN_GAP,"")</f>
        <v/>
      </c>
      <c r="D612" s="433" t="str">
        <f>IFERROR(VLOOKUP(HLOOKUP(Stn_WL,Tools!$AD$2:$AD$27,QUOTIENT(ROW()-2,Max_WL_count)+2,FALSE),Tools!$AD$3:$BC$27,MOD(ROW()-2,Max_WL_count)+2,FALSE),"")</f>
        <v/>
      </c>
      <c r="E612" s="431" t="str">
        <f>IFERROR(IF(ISNUMBER(D612),HLOOKUP(Tools!$BE$2,Tools!$BE$2:$BE$27,MOD(ROW()-2,Max_WL_count)+2,FALSE)*WLS,""),"")</f>
        <v/>
      </c>
      <c r="I612" s="427" t="str">
        <f t="shared" si="59"/>
        <v/>
      </c>
      <c r="J612" s="430" t="str">
        <f t="shared" si="55"/>
        <v/>
      </c>
      <c r="K612" s="433" t="str">
        <f>IFERROR(-LBP/2+HLOOKUP(Stn_WL,Tools!$AD$2:$AD$27,N612+2,FALSE)*STN_GAP,"")</f>
        <v/>
      </c>
      <c r="L612" s="433" t="str">
        <f>IFERROR(IF(AND(ISNUMBER(K612),O612=0),0,VLOOKUP(HLOOKUP(Stn_WL,Tools!$AD$2:$AD$27,N612+2,FALSE),Tools!$AD$3:$BC$27,O612+1,FALSE)),"")</f>
        <v/>
      </c>
      <c r="M612" s="433" t="str">
        <f>IFERROR(IF(ISNUMBER(L612),IF(O612=0,IFERROR(HLOOKUP(Tools!$BD$127,Tools!$BD$127:$BD$152,N612+2,FALSE)*1,0),HLOOKUP(Tools!$BE$2,Tools!$BE$2:$BE$27,O612+1,FALSE)*WLS),""),"")</f>
        <v/>
      </c>
      <c r="N612">
        <f t="shared" si="56"/>
        <v>46</v>
      </c>
      <c r="O612">
        <f t="shared" si="57"/>
        <v>12</v>
      </c>
    </row>
    <row r="613" spans="1:15" x14ac:dyDescent="0.25">
      <c r="A613" s="427" t="str">
        <f t="shared" si="58"/>
        <v/>
      </c>
      <c r="B613" s="430" t="str">
        <f t="shared" si="54"/>
        <v/>
      </c>
      <c r="C613" s="433" t="str">
        <f>IFERROR(-LBP/2+HLOOKUP(Stn_WL,Tools!$AD$2:$AD$27,QUOTIENT(ROW()-2,Max_WL_count)+2,FALSE)*STN_GAP,"")</f>
        <v/>
      </c>
      <c r="D613" s="433" t="str">
        <f>IFERROR(VLOOKUP(HLOOKUP(Stn_WL,Tools!$AD$2:$AD$27,QUOTIENT(ROW()-2,Max_WL_count)+2,FALSE),Tools!$AD$3:$BC$27,MOD(ROW()-2,Max_WL_count)+2,FALSE),"")</f>
        <v/>
      </c>
      <c r="E613" s="431" t="str">
        <f>IFERROR(IF(ISNUMBER(D613),HLOOKUP(Tools!$BE$2,Tools!$BE$2:$BE$27,MOD(ROW()-2,Max_WL_count)+2,FALSE)*WLS,""),"")</f>
        <v/>
      </c>
      <c r="I613" s="427" t="str">
        <f t="shared" si="59"/>
        <v/>
      </c>
      <c r="J613" s="430" t="str">
        <f t="shared" si="55"/>
        <v/>
      </c>
      <c r="K613" s="433" t="str">
        <f>IFERROR(-LBP/2+HLOOKUP(Stn_WL,Tools!$AD$2:$AD$27,N613+2,FALSE)*STN_GAP,"")</f>
        <v/>
      </c>
      <c r="L613" s="433" t="str">
        <f>IFERROR(IF(AND(ISNUMBER(K613),O613=0),0,VLOOKUP(HLOOKUP(Stn_WL,Tools!$AD$2:$AD$27,N613+2,FALSE),Tools!$AD$3:$BC$27,O613+1,FALSE)),"")</f>
        <v/>
      </c>
      <c r="M613" s="433" t="str">
        <f>IFERROR(IF(ISNUMBER(L613),IF(O613=0,IFERROR(HLOOKUP(Tools!$BD$127,Tools!$BD$127:$BD$152,N613+2,FALSE)*1,0),HLOOKUP(Tools!$BE$2,Tools!$BE$2:$BE$27,O613+1,FALSE)*WLS),""),"")</f>
        <v/>
      </c>
      <c r="N613">
        <f t="shared" si="56"/>
        <v>47</v>
      </c>
      <c r="O613">
        <f t="shared" si="57"/>
        <v>0</v>
      </c>
    </row>
    <row r="614" spans="1:15" x14ac:dyDescent="0.25">
      <c r="A614" s="427" t="str">
        <f t="shared" si="58"/>
        <v/>
      </c>
      <c r="B614" s="430" t="str">
        <f t="shared" si="54"/>
        <v/>
      </c>
      <c r="C614" s="433" t="str">
        <f>IFERROR(-LBP/2+HLOOKUP(Stn_WL,Tools!$AD$2:$AD$27,QUOTIENT(ROW()-2,Max_WL_count)+2,FALSE)*STN_GAP,"")</f>
        <v/>
      </c>
      <c r="D614" s="433" t="str">
        <f>IFERROR(VLOOKUP(HLOOKUP(Stn_WL,Tools!$AD$2:$AD$27,QUOTIENT(ROW()-2,Max_WL_count)+2,FALSE),Tools!$AD$3:$BC$27,MOD(ROW()-2,Max_WL_count)+2,FALSE),"")</f>
        <v/>
      </c>
      <c r="E614" s="431" t="str">
        <f>IFERROR(IF(ISNUMBER(D614),HLOOKUP(Tools!$BE$2,Tools!$BE$2:$BE$27,MOD(ROW()-2,Max_WL_count)+2,FALSE)*WLS,""),"")</f>
        <v/>
      </c>
      <c r="I614" s="427" t="str">
        <f t="shared" si="59"/>
        <v/>
      </c>
      <c r="J614" s="430" t="str">
        <f t="shared" si="55"/>
        <v/>
      </c>
      <c r="K614" s="433" t="str">
        <f>IFERROR(-LBP/2+HLOOKUP(Stn_WL,Tools!$AD$2:$AD$27,N614+2,FALSE)*STN_GAP,"")</f>
        <v/>
      </c>
      <c r="L614" s="433" t="str">
        <f>IFERROR(IF(AND(ISNUMBER(K614),O614=0),0,VLOOKUP(HLOOKUP(Stn_WL,Tools!$AD$2:$AD$27,N614+2,FALSE),Tools!$AD$3:$BC$27,O614+1,FALSE)),"")</f>
        <v/>
      </c>
      <c r="M614" s="433" t="str">
        <f>IFERROR(IF(ISNUMBER(L614),IF(O614=0,IFERROR(HLOOKUP(Tools!$BD$127,Tools!$BD$127:$BD$152,N614+2,FALSE)*1,0),HLOOKUP(Tools!$BE$2,Tools!$BE$2:$BE$27,O614+1,FALSE)*WLS),""),"")</f>
        <v/>
      </c>
      <c r="N614">
        <f t="shared" si="56"/>
        <v>47</v>
      </c>
      <c r="O614">
        <f t="shared" si="57"/>
        <v>1</v>
      </c>
    </row>
    <row r="615" spans="1:15" x14ac:dyDescent="0.25">
      <c r="A615" s="427" t="str">
        <f t="shared" si="58"/>
        <v/>
      </c>
      <c r="B615" s="430" t="str">
        <f t="shared" si="54"/>
        <v/>
      </c>
      <c r="C615" s="433" t="str">
        <f>IFERROR(-LBP/2+HLOOKUP(Stn_WL,Tools!$AD$2:$AD$27,QUOTIENT(ROW()-2,Max_WL_count)+2,FALSE)*STN_GAP,"")</f>
        <v/>
      </c>
      <c r="D615" s="433" t="str">
        <f>IFERROR(VLOOKUP(HLOOKUP(Stn_WL,Tools!$AD$2:$AD$27,QUOTIENT(ROW()-2,Max_WL_count)+2,FALSE),Tools!$AD$3:$BC$27,MOD(ROW()-2,Max_WL_count)+2,FALSE),"")</f>
        <v/>
      </c>
      <c r="E615" s="431" t="str">
        <f>IFERROR(IF(ISNUMBER(D615),HLOOKUP(Tools!$BE$2,Tools!$BE$2:$BE$27,MOD(ROW()-2,Max_WL_count)+2,FALSE)*WLS,""),"")</f>
        <v/>
      </c>
      <c r="I615" s="427" t="str">
        <f t="shared" si="59"/>
        <v/>
      </c>
      <c r="J615" s="430" t="str">
        <f t="shared" si="55"/>
        <v/>
      </c>
      <c r="K615" s="433" t="str">
        <f>IFERROR(-LBP/2+HLOOKUP(Stn_WL,Tools!$AD$2:$AD$27,N615+2,FALSE)*STN_GAP,"")</f>
        <v/>
      </c>
      <c r="L615" s="433" t="str">
        <f>IFERROR(IF(AND(ISNUMBER(K615),O615=0),0,VLOOKUP(HLOOKUP(Stn_WL,Tools!$AD$2:$AD$27,N615+2,FALSE),Tools!$AD$3:$BC$27,O615+1,FALSE)),"")</f>
        <v/>
      </c>
      <c r="M615" s="433" t="str">
        <f>IFERROR(IF(ISNUMBER(L615),IF(O615=0,IFERROR(HLOOKUP(Tools!$BD$127,Tools!$BD$127:$BD$152,N615+2,FALSE)*1,0),HLOOKUP(Tools!$BE$2,Tools!$BE$2:$BE$27,O615+1,FALSE)*WLS),""),"")</f>
        <v/>
      </c>
      <c r="N615">
        <f t="shared" si="56"/>
        <v>47</v>
      </c>
      <c r="O615">
        <f t="shared" si="57"/>
        <v>2</v>
      </c>
    </row>
    <row r="616" spans="1:15" x14ac:dyDescent="0.25">
      <c r="A616" s="427" t="str">
        <f t="shared" si="58"/>
        <v/>
      </c>
      <c r="B616" s="430" t="str">
        <f t="shared" si="54"/>
        <v/>
      </c>
      <c r="C616" s="433" t="str">
        <f>IFERROR(-LBP/2+HLOOKUP(Stn_WL,Tools!$AD$2:$AD$27,QUOTIENT(ROW()-2,Max_WL_count)+2,FALSE)*STN_GAP,"")</f>
        <v/>
      </c>
      <c r="D616" s="433" t="str">
        <f>IFERROR(VLOOKUP(HLOOKUP(Stn_WL,Tools!$AD$2:$AD$27,QUOTIENT(ROW()-2,Max_WL_count)+2,FALSE),Tools!$AD$3:$BC$27,MOD(ROW()-2,Max_WL_count)+2,FALSE),"")</f>
        <v/>
      </c>
      <c r="E616" s="431" t="str">
        <f>IFERROR(IF(ISNUMBER(D616),HLOOKUP(Tools!$BE$2,Tools!$BE$2:$BE$27,MOD(ROW()-2,Max_WL_count)+2,FALSE)*WLS,""),"")</f>
        <v/>
      </c>
      <c r="I616" s="427" t="str">
        <f t="shared" si="59"/>
        <v/>
      </c>
      <c r="J616" s="430" t="str">
        <f t="shared" si="55"/>
        <v/>
      </c>
      <c r="K616" s="433" t="str">
        <f>IFERROR(-LBP/2+HLOOKUP(Stn_WL,Tools!$AD$2:$AD$27,N616+2,FALSE)*STN_GAP,"")</f>
        <v/>
      </c>
      <c r="L616" s="433" t="str">
        <f>IFERROR(IF(AND(ISNUMBER(K616),O616=0),0,VLOOKUP(HLOOKUP(Stn_WL,Tools!$AD$2:$AD$27,N616+2,FALSE),Tools!$AD$3:$BC$27,O616+1,FALSE)),"")</f>
        <v/>
      </c>
      <c r="M616" s="433" t="str">
        <f>IFERROR(IF(ISNUMBER(L616),IF(O616=0,IFERROR(HLOOKUP(Tools!$BD$127,Tools!$BD$127:$BD$152,N616+2,FALSE)*1,0),HLOOKUP(Tools!$BE$2,Tools!$BE$2:$BE$27,O616+1,FALSE)*WLS),""),"")</f>
        <v/>
      </c>
      <c r="N616">
        <f t="shared" si="56"/>
        <v>47</v>
      </c>
      <c r="O616">
        <f t="shared" si="57"/>
        <v>3</v>
      </c>
    </row>
    <row r="617" spans="1:15" x14ac:dyDescent="0.25">
      <c r="A617" s="427" t="str">
        <f t="shared" si="58"/>
        <v/>
      </c>
      <c r="B617" s="430" t="str">
        <f t="shared" si="54"/>
        <v/>
      </c>
      <c r="C617" s="433" t="str">
        <f>IFERROR(-LBP/2+HLOOKUP(Stn_WL,Tools!$AD$2:$AD$27,QUOTIENT(ROW()-2,Max_WL_count)+2,FALSE)*STN_GAP,"")</f>
        <v/>
      </c>
      <c r="D617" s="433" t="str">
        <f>IFERROR(VLOOKUP(HLOOKUP(Stn_WL,Tools!$AD$2:$AD$27,QUOTIENT(ROW()-2,Max_WL_count)+2,FALSE),Tools!$AD$3:$BC$27,MOD(ROW()-2,Max_WL_count)+2,FALSE),"")</f>
        <v/>
      </c>
      <c r="E617" s="431" t="str">
        <f>IFERROR(IF(ISNUMBER(D617),HLOOKUP(Tools!$BE$2,Tools!$BE$2:$BE$27,MOD(ROW()-2,Max_WL_count)+2,FALSE)*WLS,""),"")</f>
        <v/>
      </c>
      <c r="I617" s="427" t="str">
        <f t="shared" si="59"/>
        <v/>
      </c>
      <c r="J617" s="430" t="str">
        <f t="shared" si="55"/>
        <v/>
      </c>
      <c r="K617" s="433" t="str">
        <f>IFERROR(-LBP/2+HLOOKUP(Stn_WL,Tools!$AD$2:$AD$27,N617+2,FALSE)*STN_GAP,"")</f>
        <v/>
      </c>
      <c r="L617" s="433" t="str">
        <f>IFERROR(IF(AND(ISNUMBER(K617),O617=0),0,VLOOKUP(HLOOKUP(Stn_WL,Tools!$AD$2:$AD$27,N617+2,FALSE),Tools!$AD$3:$BC$27,O617+1,FALSE)),"")</f>
        <v/>
      </c>
      <c r="M617" s="433" t="str">
        <f>IFERROR(IF(ISNUMBER(L617),IF(O617=0,IFERROR(HLOOKUP(Tools!$BD$127,Tools!$BD$127:$BD$152,N617+2,FALSE)*1,0),HLOOKUP(Tools!$BE$2,Tools!$BE$2:$BE$27,O617+1,FALSE)*WLS),""),"")</f>
        <v/>
      </c>
      <c r="N617">
        <f t="shared" si="56"/>
        <v>47</v>
      </c>
      <c r="O617">
        <f t="shared" si="57"/>
        <v>4</v>
      </c>
    </row>
    <row r="618" spans="1:15" x14ac:dyDescent="0.25">
      <c r="A618" s="427" t="str">
        <f t="shared" si="58"/>
        <v/>
      </c>
      <c r="B618" s="430" t="str">
        <f t="shared" si="54"/>
        <v/>
      </c>
      <c r="C618" s="433" t="str">
        <f>IFERROR(-LBP/2+HLOOKUP(Stn_WL,Tools!$AD$2:$AD$27,QUOTIENT(ROW()-2,Max_WL_count)+2,FALSE)*STN_GAP,"")</f>
        <v/>
      </c>
      <c r="D618" s="433" t="str">
        <f>IFERROR(VLOOKUP(HLOOKUP(Stn_WL,Tools!$AD$2:$AD$27,QUOTIENT(ROW()-2,Max_WL_count)+2,FALSE),Tools!$AD$3:$BC$27,MOD(ROW()-2,Max_WL_count)+2,FALSE),"")</f>
        <v/>
      </c>
      <c r="E618" s="431" t="str">
        <f>IFERROR(IF(ISNUMBER(D618),HLOOKUP(Tools!$BE$2,Tools!$BE$2:$BE$27,MOD(ROW()-2,Max_WL_count)+2,FALSE)*WLS,""),"")</f>
        <v/>
      </c>
      <c r="I618" s="427" t="str">
        <f t="shared" si="59"/>
        <v/>
      </c>
      <c r="J618" s="430" t="str">
        <f t="shared" si="55"/>
        <v/>
      </c>
      <c r="K618" s="433" t="str">
        <f>IFERROR(-LBP/2+HLOOKUP(Stn_WL,Tools!$AD$2:$AD$27,N618+2,FALSE)*STN_GAP,"")</f>
        <v/>
      </c>
      <c r="L618" s="433" t="str">
        <f>IFERROR(IF(AND(ISNUMBER(K618),O618=0),0,VLOOKUP(HLOOKUP(Stn_WL,Tools!$AD$2:$AD$27,N618+2,FALSE),Tools!$AD$3:$BC$27,O618+1,FALSE)),"")</f>
        <v/>
      </c>
      <c r="M618" s="433" t="str">
        <f>IFERROR(IF(ISNUMBER(L618),IF(O618=0,IFERROR(HLOOKUP(Tools!$BD$127,Tools!$BD$127:$BD$152,N618+2,FALSE)*1,0),HLOOKUP(Tools!$BE$2,Tools!$BE$2:$BE$27,O618+1,FALSE)*WLS),""),"")</f>
        <v/>
      </c>
      <c r="N618">
        <f t="shared" si="56"/>
        <v>47</v>
      </c>
      <c r="O618">
        <f t="shared" si="57"/>
        <v>5</v>
      </c>
    </row>
    <row r="619" spans="1:15" x14ac:dyDescent="0.25">
      <c r="A619" s="427" t="str">
        <f t="shared" si="58"/>
        <v/>
      </c>
      <c r="B619" s="430" t="str">
        <f t="shared" si="54"/>
        <v/>
      </c>
      <c r="C619" s="433" t="str">
        <f>IFERROR(-LBP/2+HLOOKUP(Stn_WL,Tools!$AD$2:$AD$27,QUOTIENT(ROW()-2,Max_WL_count)+2,FALSE)*STN_GAP,"")</f>
        <v/>
      </c>
      <c r="D619" s="433" t="str">
        <f>IFERROR(VLOOKUP(HLOOKUP(Stn_WL,Tools!$AD$2:$AD$27,QUOTIENT(ROW()-2,Max_WL_count)+2,FALSE),Tools!$AD$3:$BC$27,MOD(ROW()-2,Max_WL_count)+2,FALSE),"")</f>
        <v/>
      </c>
      <c r="E619" s="431" t="str">
        <f>IFERROR(IF(ISNUMBER(D619),HLOOKUP(Tools!$BE$2,Tools!$BE$2:$BE$27,MOD(ROW()-2,Max_WL_count)+2,FALSE)*WLS,""),"")</f>
        <v/>
      </c>
      <c r="I619" s="427" t="str">
        <f t="shared" si="59"/>
        <v/>
      </c>
      <c r="J619" s="430" t="str">
        <f t="shared" si="55"/>
        <v/>
      </c>
      <c r="K619" s="433" t="str">
        <f>IFERROR(-LBP/2+HLOOKUP(Stn_WL,Tools!$AD$2:$AD$27,N619+2,FALSE)*STN_GAP,"")</f>
        <v/>
      </c>
      <c r="L619" s="433" t="str">
        <f>IFERROR(IF(AND(ISNUMBER(K619),O619=0),0,VLOOKUP(HLOOKUP(Stn_WL,Tools!$AD$2:$AD$27,N619+2,FALSE),Tools!$AD$3:$BC$27,O619+1,FALSE)),"")</f>
        <v/>
      </c>
      <c r="M619" s="433" t="str">
        <f>IFERROR(IF(ISNUMBER(L619),IF(O619=0,IFERROR(HLOOKUP(Tools!$BD$127,Tools!$BD$127:$BD$152,N619+2,FALSE)*1,0),HLOOKUP(Tools!$BE$2,Tools!$BE$2:$BE$27,O619+1,FALSE)*WLS),""),"")</f>
        <v/>
      </c>
      <c r="N619">
        <f t="shared" si="56"/>
        <v>47</v>
      </c>
      <c r="O619">
        <f t="shared" si="57"/>
        <v>6</v>
      </c>
    </row>
    <row r="620" spans="1:15" x14ac:dyDescent="0.25">
      <c r="A620" s="427" t="str">
        <f t="shared" si="58"/>
        <v/>
      </c>
      <c r="B620" s="430" t="str">
        <f t="shared" si="54"/>
        <v/>
      </c>
      <c r="C620" s="433" t="str">
        <f>IFERROR(-LBP/2+HLOOKUP(Stn_WL,Tools!$AD$2:$AD$27,QUOTIENT(ROW()-2,Max_WL_count)+2,FALSE)*STN_GAP,"")</f>
        <v/>
      </c>
      <c r="D620" s="433" t="str">
        <f>IFERROR(VLOOKUP(HLOOKUP(Stn_WL,Tools!$AD$2:$AD$27,QUOTIENT(ROW()-2,Max_WL_count)+2,FALSE),Tools!$AD$3:$BC$27,MOD(ROW()-2,Max_WL_count)+2,FALSE),"")</f>
        <v/>
      </c>
      <c r="E620" s="431" t="str">
        <f>IFERROR(IF(ISNUMBER(D620),HLOOKUP(Tools!$BE$2,Tools!$BE$2:$BE$27,MOD(ROW()-2,Max_WL_count)+2,FALSE)*WLS,""),"")</f>
        <v/>
      </c>
      <c r="I620" s="427" t="str">
        <f t="shared" si="59"/>
        <v/>
      </c>
      <c r="J620" s="430" t="str">
        <f t="shared" si="55"/>
        <v/>
      </c>
      <c r="K620" s="433" t="str">
        <f>IFERROR(-LBP/2+HLOOKUP(Stn_WL,Tools!$AD$2:$AD$27,N620+2,FALSE)*STN_GAP,"")</f>
        <v/>
      </c>
      <c r="L620" s="433" t="str">
        <f>IFERROR(IF(AND(ISNUMBER(K620),O620=0),0,VLOOKUP(HLOOKUP(Stn_WL,Tools!$AD$2:$AD$27,N620+2,FALSE),Tools!$AD$3:$BC$27,O620+1,FALSE)),"")</f>
        <v/>
      </c>
      <c r="M620" s="433" t="str">
        <f>IFERROR(IF(ISNUMBER(L620),IF(O620=0,IFERROR(HLOOKUP(Tools!$BD$127,Tools!$BD$127:$BD$152,N620+2,FALSE)*1,0),HLOOKUP(Tools!$BE$2,Tools!$BE$2:$BE$27,O620+1,FALSE)*WLS),""),"")</f>
        <v/>
      </c>
      <c r="N620">
        <f t="shared" si="56"/>
        <v>47</v>
      </c>
      <c r="O620">
        <f t="shared" si="57"/>
        <v>7</v>
      </c>
    </row>
    <row r="621" spans="1:15" x14ac:dyDescent="0.25">
      <c r="A621" s="427" t="str">
        <f t="shared" si="58"/>
        <v/>
      </c>
      <c r="B621" s="430" t="str">
        <f t="shared" si="54"/>
        <v/>
      </c>
      <c r="C621" s="433" t="str">
        <f>IFERROR(-LBP/2+HLOOKUP(Stn_WL,Tools!$AD$2:$AD$27,QUOTIENT(ROW()-2,Max_WL_count)+2,FALSE)*STN_GAP,"")</f>
        <v/>
      </c>
      <c r="D621" s="433" t="str">
        <f>IFERROR(VLOOKUP(HLOOKUP(Stn_WL,Tools!$AD$2:$AD$27,QUOTIENT(ROW()-2,Max_WL_count)+2,FALSE),Tools!$AD$3:$BC$27,MOD(ROW()-2,Max_WL_count)+2,FALSE),"")</f>
        <v/>
      </c>
      <c r="E621" s="431" t="str">
        <f>IFERROR(IF(ISNUMBER(D621),HLOOKUP(Tools!$BE$2,Tools!$BE$2:$BE$27,MOD(ROW()-2,Max_WL_count)+2,FALSE)*WLS,""),"")</f>
        <v/>
      </c>
      <c r="I621" s="427" t="str">
        <f t="shared" si="59"/>
        <v/>
      </c>
      <c r="J621" s="430" t="str">
        <f t="shared" si="55"/>
        <v/>
      </c>
      <c r="K621" s="433" t="str">
        <f>IFERROR(-LBP/2+HLOOKUP(Stn_WL,Tools!$AD$2:$AD$27,N621+2,FALSE)*STN_GAP,"")</f>
        <v/>
      </c>
      <c r="L621" s="433" t="str">
        <f>IFERROR(IF(AND(ISNUMBER(K621),O621=0),0,VLOOKUP(HLOOKUP(Stn_WL,Tools!$AD$2:$AD$27,N621+2,FALSE),Tools!$AD$3:$BC$27,O621+1,FALSE)),"")</f>
        <v/>
      </c>
      <c r="M621" s="433" t="str">
        <f>IFERROR(IF(ISNUMBER(L621),IF(O621=0,IFERROR(HLOOKUP(Tools!$BD$127,Tools!$BD$127:$BD$152,N621+2,FALSE)*1,0),HLOOKUP(Tools!$BE$2,Tools!$BE$2:$BE$27,O621+1,FALSE)*WLS),""),"")</f>
        <v/>
      </c>
      <c r="N621">
        <f t="shared" si="56"/>
        <v>47</v>
      </c>
      <c r="O621">
        <f t="shared" si="57"/>
        <v>8</v>
      </c>
    </row>
    <row r="622" spans="1:15" x14ac:dyDescent="0.25">
      <c r="A622" s="427" t="str">
        <f t="shared" si="58"/>
        <v/>
      </c>
      <c r="B622" s="430" t="str">
        <f t="shared" si="54"/>
        <v/>
      </c>
      <c r="C622" s="433" t="str">
        <f>IFERROR(-LBP/2+HLOOKUP(Stn_WL,Tools!$AD$2:$AD$27,QUOTIENT(ROW()-2,Max_WL_count)+2,FALSE)*STN_GAP,"")</f>
        <v/>
      </c>
      <c r="D622" s="433" t="str">
        <f>IFERROR(VLOOKUP(HLOOKUP(Stn_WL,Tools!$AD$2:$AD$27,QUOTIENT(ROW()-2,Max_WL_count)+2,FALSE),Tools!$AD$3:$BC$27,MOD(ROW()-2,Max_WL_count)+2,FALSE),"")</f>
        <v/>
      </c>
      <c r="E622" s="431" t="str">
        <f>IFERROR(IF(ISNUMBER(D622),HLOOKUP(Tools!$BE$2,Tools!$BE$2:$BE$27,MOD(ROW()-2,Max_WL_count)+2,FALSE)*WLS,""),"")</f>
        <v/>
      </c>
      <c r="I622" s="427" t="str">
        <f t="shared" si="59"/>
        <v/>
      </c>
      <c r="J622" s="430" t="str">
        <f t="shared" si="55"/>
        <v/>
      </c>
      <c r="K622" s="433" t="str">
        <f>IFERROR(-LBP/2+HLOOKUP(Stn_WL,Tools!$AD$2:$AD$27,N622+2,FALSE)*STN_GAP,"")</f>
        <v/>
      </c>
      <c r="L622" s="433" t="str">
        <f>IFERROR(IF(AND(ISNUMBER(K622),O622=0),0,VLOOKUP(HLOOKUP(Stn_WL,Tools!$AD$2:$AD$27,N622+2,FALSE),Tools!$AD$3:$BC$27,O622+1,FALSE)),"")</f>
        <v/>
      </c>
      <c r="M622" s="433" t="str">
        <f>IFERROR(IF(ISNUMBER(L622),IF(O622=0,IFERROR(HLOOKUP(Tools!$BD$127,Tools!$BD$127:$BD$152,N622+2,FALSE)*1,0),HLOOKUP(Tools!$BE$2,Tools!$BE$2:$BE$27,O622+1,FALSE)*WLS),""),"")</f>
        <v/>
      </c>
      <c r="N622">
        <f t="shared" si="56"/>
        <v>47</v>
      </c>
      <c r="O622">
        <f t="shared" si="57"/>
        <v>9</v>
      </c>
    </row>
    <row r="623" spans="1:15" x14ac:dyDescent="0.25">
      <c r="A623" s="427" t="str">
        <f t="shared" si="58"/>
        <v/>
      </c>
      <c r="B623" s="430" t="str">
        <f t="shared" si="54"/>
        <v/>
      </c>
      <c r="C623" s="433" t="str">
        <f>IFERROR(-LBP/2+HLOOKUP(Stn_WL,Tools!$AD$2:$AD$27,QUOTIENT(ROW()-2,Max_WL_count)+2,FALSE)*STN_GAP,"")</f>
        <v/>
      </c>
      <c r="D623" s="433" t="str">
        <f>IFERROR(VLOOKUP(HLOOKUP(Stn_WL,Tools!$AD$2:$AD$27,QUOTIENT(ROW()-2,Max_WL_count)+2,FALSE),Tools!$AD$3:$BC$27,MOD(ROW()-2,Max_WL_count)+2,FALSE),"")</f>
        <v/>
      </c>
      <c r="E623" s="431" t="str">
        <f>IFERROR(IF(ISNUMBER(D623),HLOOKUP(Tools!$BE$2,Tools!$BE$2:$BE$27,MOD(ROW()-2,Max_WL_count)+2,FALSE)*WLS,""),"")</f>
        <v/>
      </c>
      <c r="I623" s="427" t="str">
        <f t="shared" si="59"/>
        <v/>
      </c>
      <c r="J623" s="430" t="str">
        <f t="shared" si="55"/>
        <v/>
      </c>
      <c r="K623" s="433" t="str">
        <f>IFERROR(-LBP/2+HLOOKUP(Stn_WL,Tools!$AD$2:$AD$27,N623+2,FALSE)*STN_GAP,"")</f>
        <v/>
      </c>
      <c r="L623" s="433" t="str">
        <f>IFERROR(IF(AND(ISNUMBER(K623),O623=0),0,VLOOKUP(HLOOKUP(Stn_WL,Tools!$AD$2:$AD$27,N623+2,FALSE),Tools!$AD$3:$BC$27,O623+1,FALSE)),"")</f>
        <v/>
      </c>
      <c r="M623" s="433" t="str">
        <f>IFERROR(IF(ISNUMBER(L623),IF(O623=0,IFERROR(HLOOKUP(Tools!$BD$127,Tools!$BD$127:$BD$152,N623+2,FALSE)*1,0),HLOOKUP(Tools!$BE$2,Tools!$BE$2:$BE$27,O623+1,FALSE)*WLS),""),"")</f>
        <v/>
      </c>
      <c r="N623">
        <f t="shared" si="56"/>
        <v>47</v>
      </c>
      <c r="O623">
        <f t="shared" si="57"/>
        <v>10</v>
      </c>
    </row>
    <row r="624" spans="1:15" x14ac:dyDescent="0.25">
      <c r="A624" s="427" t="str">
        <f t="shared" si="58"/>
        <v/>
      </c>
      <c r="B624" s="430" t="str">
        <f t="shared" si="54"/>
        <v/>
      </c>
      <c r="C624" s="433" t="str">
        <f>IFERROR(-LBP/2+HLOOKUP(Stn_WL,Tools!$AD$2:$AD$27,QUOTIENT(ROW()-2,Max_WL_count)+2,FALSE)*STN_GAP,"")</f>
        <v/>
      </c>
      <c r="D624" s="433" t="str">
        <f>IFERROR(VLOOKUP(HLOOKUP(Stn_WL,Tools!$AD$2:$AD$27,QUOTIENT(ROW()-2,Max_WL_count)+2,FALSE),Tools!$AD$3:$BC$27,MOD(ROW()-2,Max_WL_count)+2,FALSE),"")</f>
        <v/>
      </c>
      <c r="E624" s="431" t="str">
        <f>IFERROR(IF(ISNUMBER(D624),HLOOKUP(Tools!$BE$2,Tools!$BE$2:$BE$27,MOD(ROW()-2,Max_WL_count)+2,FALSE)*WLS,""),"")</f>
        <v/>
      </c>
      <c r="I624" s="427" t="str">
        <f t="shared" si="59"/>
        <v/>
      </c>
      <c r="J624" s="430" t="str">
        <f t="shared" si="55"/>
        <v/>
      </c>
      <c r="K624" s="433" t="str">
        <f>IFERROR(-LBP/2+HLOOKUP(Stn_WL,Tools!$AD$2:$AD$27,N624+2,FALSE)*STN_GAP,"")</f>
        <v/>
      </c>
      <c r="L624" s="433" t="str">
        <f>IFERROR(IF(AND(ISNUMBER(K624),O624=0),0,VLOOKUP(HLOOKUP(Stn_WL,Tools!$AD$2:$AD$27,N624+2,FALSE),Tools!$AD$3:$BC$27,O624+1,FALSE)),"")</f>
        <v/>
      </c>
      <c r="M624" s="433" t="str">
        <f>IFERROR(IF(ISNUMBER(L624),IF(O624=0,IFERROR(HLOOKUP(Tools!$BD$127,Tools!$BD$127:$BD$152,N624+2,FALSE)*1,0),HLOOKUP(Tools!$BE$2,Tools!$BE$2:$BE$27,O624+1,FALSE)*WLS),""),"")</f>
        <v/>
      </c>
      <c r="N624">
        <f t="shared" si="56"/>
        <v>47</v>
      </c>
      <c r="O624">
        <f t="shared" si="57"/>
        <v>11</v>
      </c>
    </row>
    <row r="625" spans="1:15" x14ac:dyDescent="0.25">
      <c r="A625" s="427" t="str">
        <f t="shared" si="58"/>
        <v/>
      </c>
      <c r="B625" s="430" t="str">
        <f t="shared" si="54"/>
        <v/>
      </c>
      <c r="C625" s="433" t="str">
        <f>IFERROR(-LBP/2+HLOOKUP(Stn_WL,Tools!$AD$2:$AD$27,QUOTIENT(ROW()-2,Max_WL_count)+2,FALSE)*STN_GAP,"")</f>
        <v/>
      </c>
      <c r="D625" s="433" t="str">
        <f>IFERROR(VLOOKUP(HLOOKUP(Stn_WL,Tools!$AD$2:$AD$27,QUOTIENT(ROW()-2,Max_WL_count)+2,FALSE),Tools!$AD$3:$BC$27,MOD(ROW()-2,Max_WL_count)+2,FALSE),"")</f>
        <v/>
      </c>
      <c r="E625" s="431" t="str">
        <f>IFERROR(IF(ISNUMBER(D625),HLOOKUP(Tools!$BE$2,Tools!$BE$2:$BE$27,MOD(ROW()-2,Max_WL_count)+2,FALSE)*WLS,""),"")</f>
        <v/>
      </c>
      <c r="I625" s="427" t="str">
        <f t="shared" si="59"/>
        <v/>
      </c>
      <c r="J625" s="430" t="str">
        <f t="shared" si="55"/>
        <v/>
      </c>
      <c r="K625" s="433" t="str">
        <f>IFERROR(-LBP/2+HLOOKUP(Stn_WL,Tools!$AD$2:$AD$27,N625+2,FALSE)*STN_GAP,"")</f>
        <v/>
      </c>
      <c r="L625" s="433" t="str">
        <f>IFERROR(IF(AND(ISNUMBER(K625),O625=0),0,VLOOKUP(HLOOKUP(Stn_WL,Tools!$AD$2:$AD$27,N625+2,FALSE),Tools!$AD$3:$BC$27,O625+1,FALSE)),"")</f>
        <v/>
      </c>
      <c r="M625" s="433" t="str">
        <f>IFERROR(IF(ISNUMBER(L625),IF(O625=0,IFERROR(HLOOKUP(Tools!$BD$127,Tools!$BD$127:$BD$152,N625+2,FALSE)*1,0),HLOOKUP(Tools!$BE$2,Tools!$BE$2:$BE$27,O625+1,FALSE)*WLS),""),"")</f>
        <v/>
      </c>
      <c r="N625">
        <f t="shared" si="56"/>
        <v>47</v>
      </c>
      <c r="O625">
        <f t="shared" si="57"/>
        <v>12</v>
      </c>
    </row>
    <row r="626" spans="1:15" x14ac:dyDescent="0.25">
      <c r="A626" s="427" t="str">
        <f t="shared" si="58"/>
        <v/>
      </c>
      <c r="B626" s="430" t="str">
        <f t="shared" si="54"/>
        <v/>
      </c>
      <c r="C626" s="433" t="str">
        <f>IFERROR(-LBP/2+HLOOKUP(Stn_WL,Tools!$AD$2:$AD$27,QUOTIENT(ROW()-2,Max_WL_count)+2,FALSE)*STN_GAP,"")</f>
        <v/>
      </c>
      <c r="D626" s="433" t="str">
        <f>IFERROR(VLOOKUP(HLOOKUP(Stn_WL,Tools!$AD$2:$AD$27,QUOTIENT(ROW()-2,Max_WL_count)+2,FALSE),Tools!$AD$3:$BC$27,MOD(ROW()-2,Max_WL_count)+2,FALSE),"")</f>
        <v/>
      </c>
      <c r="E626" s="431" t="str">
        <f>IFERROR(IF(ISNUMBER(D626),HLOOKUP(Tools!$BE$2,Tools!$BE$2:$BE$27,MOD(ROW()-2,Max_WL_count)+2,FALSE)*WLS,""),"")</f>
        <v/>
      </c>
      <c r="I626" s="427" t="str">
        <f t="shared" si="59"/>
        <v/>
      </c>
      <c r="J626" s="430" t="str">
        <f t="shared" si="55"/>
        <v/>
      </c>
      <c r="K626" s="433" t="str">
        <f>IFERROR(-LBP/2+HLOOKUP(Stn_WL,Tools!$AD$2:$AD$27,N626+2,FALSE)*STN_GAP,"")</f>
        <v/>
      </c>
      <c r="L626" s="433" t="str">
        <f>IFERROR(IF(AND(ISNUMBER(K626),O626=0),0,VLOOKUP(HLOOKUP(Stn_WL,Tools!$AD$2:$AD$27,N626+2,FALSE),Tools!$AD$3:$BC$27,O626+1,FALSE)),"")</f>
        <v/>
      </c>
      <c r="M626" s="433" t="str">
        <f>IFERROR(IF(ISNUMBER(L626),IF(O626=0,IFERROR(HLOOKUP(Tools!$BD$127,Tools!$BD$127:$BD$152,N626+2,FALSE)*1,0),HLOOKUP(Tools!$BE$2,Tools!$BE$2:$BE$27,O626+1,FALSE)*WLS),""),"")</f>
        <v/>
      </c>
      <c r="N626">
        <f t="shared" si="56"/>
        <v>48</v>
      </c>
      <c r="O626">
        <f t="shared" si="57"/>
        <v>0</v>
      </c>
    </row>
  </sheetData>
  <sheetProtection password="CC2F" sheet="1" objects="1" scenarios="1"/>
  <pageMargins left="0.7" right="0.7" top="0.75" bottom="0.75" header="0.3" footer="0.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J626"/>
  <sheetViews>
    <sheetView showGridLines="0" showRowColHeaders="0" workbookViewId="0">
      <selection activeCell="B2" sqref="B2:E326"/>
    </sheetView>
  </sheetViews>
  <sheetFormatPr defaultRowHeight="15" x14ac:dyDescent="0.25"/>
  <cols>
    <col min="1" max="5" width="9.140625" style="127"/>
    <col min="6" max="16384" width="9.140625" style="446"/>
  </cols>
  <sheetData>
    <row r="1" spans="1:10" ht="31.5" customHeight="1" x14ac:dyDescent="0.25">
      <c r="A1" s="444"/>
      <c r="B1" s="445" t="s">
        <v>331</v>
      </c>
      <c r="C1" s="445" t="s">
        <v>327</v>
      </c>
      <c r="D1" s="445" t="s">
        <v>328</v>
      </c>
      <c r="E1" s="445" t="s">
        <v>329</v>
      </c>
    </row>
    <row r="2" spans="1:10" x14ac:dyDescent="0.25">
      <c r="A2" s="447">
        <f>IF(ISNUMBER(D2),ROW()-1,"")</f>
        <v>1</v>
      </c>
      <c r="B2" s="448">
        <f>'Maxs Tool'!J2</f>
        <v>1</v>
      </c>
      <c r="C2" s="448">
        <f>'Maxs Tool'!K2</f>
        <v>-65.849999999999994</v>
      </c>
      <c r="D2" s="448">
        <f>'Maxs Tool'!L2</f>
        <v>0</v>
      </c>
      <c r="E2" s="448">
        <f>'Maxs Tool'!M2</f>
        <v>9.9</v>
      </c>
    </row>
    <row r="3" spans="1:10" x14ac:dyDescent="0.25">
      <c r="A3" s="449">
        <f t="shared" ref="A3:A66" si="0">IF(ISNUMBER(D3),ROW()-1,"")</f>
        <v>2</v>
      </c>
      <c r="B3" s="448">
        <f>'Maxs Tool'!J3</f>
        <v>1</v>
      </c>
      <c r="C3" s="448">
        <f>'Maxs Tool'!K3</f>
        <v>-65.849999999999994</v>
      </c>
      <c r="D3" s="448">
        <f>'Maxs Tool'!L3</f>
        <v>0</v>
      </c>
      <c r="E3" s="448">
        <f>'Maxs Tool'!M3</f>
        <v>0</v>
      </c>
    </row>
    <row r="4" spans="1:10" x14ac:dyDescent="0.25">
      <c r="A4" s="449">
        <f t="shared" si="0"/>
        <v>3</v>
      </c>
      <c r="B4" s="448">
        <f>'Maxs Tool'!J4</f>
        <v>1</v>
      </c>
      <c r="C4" s="448">
        <f>'Maxs Tool'!K4</f>
        <v>-65.849999999999994</v>
      </c>
      <c r="D4" s="448">
        <f>'Maxs Tool'!L4</f>
        <v>0</v>
      </c>
      <c r="E4" s="448">
        <f>'Maxs Tool'!M4</f>
        <v>0.9</v>
      </c>
      <c r="I4" s="450" t="s">
        <v>330</v>
      </c>
      <c r="J4" s="451">
        <f>Max_STN_count*(Max_WL_count+1)</f>
        <v>325</v>
      </c>
    </row>
    <row r="5" spans="1:10" x14ac:dyDescent="0.25">
      <c r="A5" s="449">
        <f t="shared" si="0"/>
        <v>4</v>
      </c>
      <c r="B5" s="448">
        <f>'Maxs Tool'!J5</f>
        <v>1</v>
      </c>
      <c r="C5" s="448">
        <f>'Maxs Tool'!K5</f>
        <v>-65.849999999999994</v>
      </c>
      <c r="D5" s="448">
        <f>'Maxs Tool'!L5</f>
        <v>0</v>
      </c>
      <c r="E5" s="448">
        <f>'Maxs Tool'!M5</f>
        <v>1.8</v>
      </c>
    </row>
    <row r="6" spans="1:10" x14ac:dyDescent="0.25">
      <c r="A6" s="449">
        <f t="shared" si="0"/>
        <v>5</v>
      </c>
      <c r="B6" s="448">
        <f>'Maxs Tool'!J6</f>
        <v>1</v>
      </c>
      <c r="C6" s="448">
        <f>'Maxs Tool'!K6</f>
        <v>-65.849999999999994</v>
      </c>
      <c r="D6" s="448">
        <f>'Maxs Tool'!L6</f>
        <v>0</v>
      </c>
      <c r="E6" s="448">
        <f>'Maxs Tool'!M6</f>
        <v>2.7</v>
      </c>
    </row>
    <row r="7" spans="1:10" x14ac:dyDescent="0.25">
      <c r="A7" s="449">
        <f t="shared" si="0"/>
        <v>6</v>
      </c>
      <c r="B7" s="448">
        <f>'Maxs Tool'!J7</f>
        <v>1</v>
      </c>
      <c r="C7" s="448">
        <f>'Maxs Tool'!K7</f>
        <v>-65.849999999999994</v>
      </c>
      <c r="D7" s="448">
        <f>'Maxs Tool'!L7</f>
        <v>0</v>
      </c>
      <c r="E7" s="448">
        <f>'Maxs Tool'!M7</f>
        <v>3.6</v>
      </c>
    </row>
    <row r="8" spans="1:10" x14ac:dyDescent="0.25">
      <c r="A8" s="449">
        <f t="shared" si="0"/>
        <v>7</v>
      </c>
      <c r="B8" s="448">
        <f>'Maxs Tool'!J8</f>
        <v>1</v>
      </c>
      <c r="C8" s="448">
        <f>'Maxs Tool'!K8</f>
        <v>-65.849999999999994</v>
      </c>
      <c r="D8" s="448">
        <f>'Maxs Tool'!L8</f>
        <v>0</v>
      </c>
      <c r="E8" s="448">
        <f>'Maxs Tool'!M8</f>
        <v>5.4</v>
      </c>
    </row>
    <row r="9" spans="1:10" x14ac:dyDescent="0.25">
      <c r="A9" s="449">
        <f t="shared" si="0"/>
        <v>8</v>
      </c>
      <c r="B9" s="448">
        <f>'Maxs Tool'!J9</f>
        <v>1</v>
      </c>
      <c r="C9" s="448">
        <f>'Maxs Tool'!K9</f>
        <v>-65.849999999999994</v>
      </c>
      <c r="D9" s="448">
        <f>'Maxs Tool'!L9</f>
        <v>0</v>
      </c>
      <c r="E9" s="448">
        <f>'Maxs Tool'!M9</f>
        <v>7.2</v>
      </c>
    </row>
    <row r="10" spans="1:10" x14ac:dyDescent="0.25">
      <c r="A10" s="449">
        <f t="shared" si="0"/>
        <v>9</v>
      </c>
      <c r="B10" s="448">
        <f>'Maxs Tool'!J10</f>
        <v>1</v>
      </c>
      <c r="C10" s="448">
        <f>'Maxs Tool'!K10</f>
        <v>-65.849999999999994</v>
      </c>
      <c r="D10" s="448">
        <f>'Maxs Tool'!L10</f>
        <v>0</v>
      </c>
      <c r="E10" s="448">
        <f>'Maxs Tool'!M10</f>
        <v>9</v>
      </c>
    </row>
    <row r="11" spans="1:10" x14ac:dyDescent="0.25">
      <c r="A11" s="449">
        <f t="shared" si="0"/>
        <v>10</v>
      </c>
      <c r="B11" s="448">
        <f>'Maxs Tool'!J11</f>
        <v>1</v>
      </c>
      <c r="C11" s="448">
        <f>'Maxs Tool'!K11</f>
        <v>-65.849999999999994</v>
      </c>
      <c r="D11" s="448">
        <f>'Maxs Tool'!L11</f>
        <v>2.8919999999999999</v>
      </c>
      <c r="E11" s="448">
        <f>'Maxs Tool'!M11</f>
        <v>10.1</v>
      </c>
    </row>
    <row r="12" spans="1:10" x14ac:dyDescent="0.25">
      <c r="A12" s="449">
        <f t="shared" si="0"/>
        <v>11</v>
      </c>
      <c r="B12" s="448">
        <f>'Maxs Tool'!J12</f>
        <v>1</v>
      </c>
      <c r="C12" s="448">
        <f>'Maxs Tool'!K12</f>
        <v>-65.849999999999994</v>
      </c>
      <c r="D12" s="448">
        <f>'Maxs Tool'!L12</f>
        <v>6.2</v>
      </c>
      <c r="E12" s="448">
        <f>'Maxs Tool'!M12</f>
        <v>10.8</v>
      </c>
    </row>
    <row r="13" spans="1:10" x14ac:dyDescent="0.25">
      <c r="A13" s="449">
        <f t="shared" si="0"/>
        <v>12</v>
      </c>
      <c r="B13" s="448">
        <f>'Maxs Tool'!J13</f>
        <v>1</v>
      </c>
      <c r="C13" s="448">
        <f>'Maxs Tool'!K13</f>
        <v>-65.849999999999994</v>
      </c>
      <c r="D13" s="448">
        <f>'Maxs Tool'!L13</f>
        <v>9.6</v>
      </c>
      <c r="E13" s="448">
        <f>'Maxs Tool'!M13</f>
        <v>12.6</v>
      </c>
    </row>
    <row r="14" spans="1:10" x14ac:dyDescent="0.25">
      <c r="A14" s="449">
        <f t="shared" si="0"/>
        <v>13</v>
      </c>
      <c r="B14" s="448">
        <f>'Maxs Tool'!J14</f>
        <v>1</v>
      </c>
      <c r="C14" s="448">
        <f>'Maxs Tool'!K14</f>
        <v>-65.849999999999994</v>
      </c>
      <c r="D14" s="448">
        <f>'Maxs Tool'!L14</f>
        <v>10.89</v>
      </c>
      <c r="E14" s="448">
        <f>'Maxs Tool'!M14</f>
        <v>14.19</v>
      </c>
    </row>
    <row r="15" spans="1:10" x14ac:dyDescent="0.25">
      <c r="A15" s="449">
        <f t="shared" si="0"/>
        <v>14</v>
      </c>
      <c r="B15" s="448">
        <f>'Maxs Tool'!J15</f>
        <v>2</v>
      </c>
      <c r="C15" s="448">
        <f>'Maxs Tool'!K15</f>
        <v>-62.557499999999997</v>
      </c>
      <c r="D15" s="448">
        <f>'Maxs Tool'!L15</f>
        <v>0</v>
      </c>
      <c r="E15" s="448">
        <f>'Maxs Tool'!M15</f>
        <v>8.9</v>
      </c>
    </row>
    <row r="16" spans="1:10" x14ac:dyDescent="0.25">
      <c r="A16" s="449">
        <f t="shared" si="0"/>
        <v>15</v>
      </c>
      <c r="B16" s="448">
        <f>'Maxs Tool'!J16</f>
        <v>2</v>
      </c>
      <c r="C16" s="448">
        <f>'Maxs Tool'!K16</f>
        <v>-62.557499999999997</v>
      </c>
      <c r="D16" s="448">
        <f>'Maxs Tool'!L16</f>
        <v>0</v>
      </c>
      <c r="E16" s="448">
        <f>'Maxs Tool'!M16</f>
        <v>0</v>
      </c>
    </row>
    <row r="17" spans="1:5" x14ac:dyDescent="0.25">
      <c r="A17" s="449">
        <f t="shared" si="0"/>
        <v>16</v>
      </c>
      <c r="B17" s="448">
        <f>'Maxs Tool'!J17</f>
        <v>2</v>
      </c>
      <c r="C17" s="448">
        <f>'Maxs Tool'!K17</f>
        <v>-62.557499999999997</v>
      </c>
      <c r="D17" s="448">
        <f>'Maxs Tool'!L17</f>
        <v>0</v>
      </c>
      <c r="E17" s="448">
        <f>'Maxs Tool'!M17</f>
        <v>0.9</v>
      </c>
    </row>
    <row r="18" spans="1:5" x14ac:dyDescent="0.25">
      <c r="A18" s="449">
        <f t="shared" si="0"/>
        <v>17</v>
      </c>
      <c r="B18" s="448">
        <f>'Maxs Tool'!J18</f>
        <v>2</v>
      </c>
      <c r="C18" s="448">
        <f>'Maxs Tool'!K18</f>
        <v>-62.557499999999997</v>
      </c>
      <c r="D18" s="448">
        <f>'Maxs Tool'!L18</f>
        <v>0</v>
      </c>
      <c r="E18" s="448">
        <f>'Maxs Tool'!M18</f>
        <v>1.8</v>
      </c>
    </row>
    <row r="19" spans="1:5" x14ac:dyDescent="0.25">
      <c r="A19" s="449">
        <f t="shared" si="0"/>
        <v>18</v>
      </c>
      <c r="B19" s="448">
        <f>'Maxs Tool'!J19</f>
        <v>2</v>
      </c>
      <c r="C19" s="448">
        <f>'Maxs Tool'!K19</f>
        <v>-62.557499999999997</v>
      </c>
      <c r="D19" s="448">
        <f>'Maxs Tool'!L19</f>
        <v>0</v>
      </c>
      <c r="E19" s="448">
        <f>'Maxs Tool'!M19</f>
        <v>2.7</v>
      </c>
    </row>
    <row r="20" spans="1:5" x14ac:dyDescent="0.25">
      <c r="A20" s="449">
        <f t="shared" si="0"/>
        <v>19</v>
      </c>
      <c r="B20" s="448">
        <f>'Maxs Tool'!J20</f>
        <v>2</v>
      </c>
      <c r="C20" s="448">
        <f>'Maxs Tool'!K20</f>
        <v>-62.557499999999997</v>
      </c>
      <c r="D20" s="448">
        <f>'Maxs Tool'!L20</f>
        <v>0</v>
      </c>
      <c r="E20" s="448">
        <f>'Maxs Tool'!M20</f>
        <v>3.6</v>
      </c>
    </row>
    <row r="21" spans="1:5" x14ac:dyDescent="0.25">
      <c r="A21" s="449">
        <f t="shared" si="0"/>
        <v>20</v>
      </c>
      <c r="B21" s="448">
        <f>'Maxs Tool'!J21</f>
        <v>2</v>
      </c>
      <c r="C21" s="448">
        <f>'Maxs Tool'!K21</f>
        <v>-62.557499999999997</v>
      </c>
      <c r="D21" s="448">
        <f>'Maxs Tool'!L21</f>
        <v>0</v>
      </c>
      <c r="E21" s="448">
        <f>'Maxs Tool'!M21</f>
        <v>5.4</v>
      </c>
    </row>
    <row r="22" spans="1:5" x14ac:dyDescent="0.25">
      <c r="A22" s="449">
        <f t="shared" si="0"/>
        <v>21</v>
      </c>
      <c r="B22" s="448">
        <f>'Maxs Tool'!J22</f>
        <v>2</v>
      </c>
      <c r="C22" s="448">
        <f>'Maxs Tool'!K22</f>
        <v>-62.557499999999997</v>
      </c>
      <c r="D22" s="448">
        <f>'Maxs Tool'!L22</f>
        <v>0</v>
      </c>
      <c r="E22" s="448">
        <f>'Maxs Tool'!M22</f>
        <v>7.2</v>
      </c>
    </row>
    <row r="23" spans="1:5" x14ac:dyDescent="0.25">
      <c r="A23" s="449">
        <f t="shared" si="0"/>
        <v>22</v>
      </c>
      <c r="B23" s="448">
        <f>'Maxs Tool'!J23</f>
        <v>2</v>
      </c>
      <c r="C23" s="448">
        <f>'Maxs Tool'!K23</f>
        <v>-62.557499999999997</v>
      </c>
      <c r="D23" s="448">
        <f>'Maxs Tool'!L23</f>
        <v>1.2</v>
      </c>
      <c r="E23" s="448">
        <f>'Maxs Tool'!M23</f>
        <v>9</v>
      </c>
    </row>
    <row r="24" spans="1:5" x14ac:dyDescent="0.25">
      <c r="A24" s="449">
        <f t="shared" si="0"/>
        <v>23</v>
      </c>
      <c r="B24" s="448">
        <f>'Maxs Tool'!J24</f>
        <v>2</v>
      </c>
      <c r="C24" s="448">
        <f>'Maxs Tool'!K24</f>
        <v>-62.557499999999997</v>
      </c>
      <c r="D24" s="448">
        <f>'Maxs Tool'!L24</f>
        <v>6.8</v>
      </c>
      <c r="E24" s="448">
        <f>'Maxs Tool'!M24</f>
        <v>10.1</v>
      </c>
    </row>
    <row r="25" spans="1:5" x14ac:dyDescent="0.25">
      <c r="A25" s="449">
        <f t="shared" si="0"/>
        <v>24</v>
      </c>
      <c r="B25" s="448">
        <f>'Maxs Tool'!J25</f>
        <v>2</v>
      </c>
      <c r="C25" s="448">
        <f>'Maxs Tool'!K25</f>
        <v>-62.557499999999997</v>
      </c>
      <c r="D25" s="448">
        <f>'Maxs Tool'!L25</f>
        <v>8.4600000000000009</v>
      </c>
      <c r="E25" s="448">
        <f>'Maxs Tool'!M25</f>
        <v>10.8</v>
      </c>
    </row>
    <row r="26" spans="1:5" x14ac:dyDescent="0.25">
      <c r="A26" s="449">
        <f t="shared" si="0"/>
        <v>25</v>
      </c>
      <c r="B26" s="448">
        <f>'Maxs Tool'!J26</f>
        <v>2</v>
      </c>
      <c r="C26" s="448">
        <f>'Maxs Tool'!K26</f>
        <v>-62.557499999999997</v>
      </c>
      <c r="D26" s="448">
        <f>'Maxs Tool'!L26</f>
        <v>10.63</v>
      </c>
      <c r="E26" s="448">
        <f>'Maxs Tool'!M26</f>
        <v>12.6</v>
      </c>
    </row>
    <row r="27" spans="1:5" x14ac:dyDescent="0.25">
      <c r="A27" s="449">
        <f t="shared" si="0"/>
        <v>26</v>
      </c>
      <c r="B27" s="448">
        <f>'Maxs Tool'!J27</f>
        <v>2</v>
      </c>
      <c r="C27" s="448">
        <f>'Maxs Tool'!K27</f>
        <v>-62.557499999999997</v>
      </c>
      <c r="D27" s="448">
        <f>'Maxs Tool'!L27</f>
        <v>11.52</v>
      </c>
      <c r="E27" s="448">
        <f>'Maxs Tool'!M27</f>
        <v>14.19</v>
      </c>
    </row>
    <row r="28" spans="1:5" x14ac:dyDescent="0.25">
      <c r="A28" s="449">
        <f t="shared" si="0"/>
        <v>27</v>
      </c>
      <c r="B28" s="448">
        <f>'Maxs Tool'!J28</f>
        <v>3</v>
      </c>
      <c r="C28" s="448">
        <f>'Maxs Tool'!K28</f>
        <v>-59.264999999999993</v>
      </c>
      <c r="D28" s="448">
        <f>'Maxs Tool'!L28</f>
        <v>0</v>
      </c>
      <c r="E28" s="448">
        <f>'Maxs Tool'!M28</f>
        <v>7.8</v>
      </c>
    </row>
    <row r="29" spans="1:5" x14ac:dyDescent="0.25">
      <c r="A29" s="449">
        <f t="shared" si="0"/>
        <v>28</v>
      </c>
      <c r="B29" s="448">
        <f>'Maxs Tool'!J29</f>
        <v>3</v>
      </c>
      <c r="C29" s="448">
        <f>'Maxs Tool'!K29</f>
        <v>-59.264999999999993</v>
      </c>
      <c r="D29" s="448">
        <f>'Maxs Tool'!L29</f>
        <v>0</v>
      </c>
      <c r="E29" s="448">
        <f>'Maxs Tool'!M29</f>
        <v>0</v>
      </c>
    </row>
    <row r="30" spans="1:5" x14ac:dyDescent="0.25">
      <c r="A30" s="449">
        <f t="shared" si="0"/>
        <v>29</v>
      </c>
      <c r="B30" s="448">
        <f>'Maxs Tool'!J30</f>
        <v>3</v>
      </c>
      <c r="C30" s="448">
        <f>'Maxs Tool'!K30</f>
        <v>-59.264999999999993</v>
      </c>
      <c r="D30" s="448">
        <f>'Maxs Tool'!L30</f>
        <v>0</v>
      </c>
      <c r="E30" s="448">
        <f>'Maxs Tool'!M30</f>
        <v>0.9</v>
      </c>
    </row>
    <row r="31" spans="1:5" x14ac:dyDescent="0.25">
      <c r="A31" s="449">
        <f t="shared" si="0"/>
        <v>30</v>
      </c>
      <c r="B31" s="448">
        <f>'Maxs Tool'!J31</f>
        <v>3</v>
      </c>
      <c r="C31" s="448">
        <f>'Maxs Tool'!K31</f>
        <v>-59.264999999999993</v>
      </c>
      <c r="D31" s="448">
        <f>'Maxs Tool'!L31</f>
        <v>0</v>
      </c>
      <c r="E31" s="448">
        <f>'Maxs Tool'!M31</f>
        <v>1.8</v>
      </c>
    </row>
    <row r="32" spans="1:5" x14ac:dyDescent="0.25">
      <c r="A32" s="449">
        <f t="shared" si="0"/>
        <v>31</v>
      </c>
      <c r="B32" s="448">
        <f>'Maxs Tool'!J32</f>
        <v>3</v>
      </c>
      <c r="C32" s="448">
        <f>'Maxs Tool'!K32</f>
        <v>-59.264999999999993</v>
      </c>
      <c r="D32" s="448">
        <f>'Maxs Tool'!L32</f>
        <v>0</v>
      </c>
      <c r="E32" s="448">
        <f>'Maxs Tool'!M32</f>
        <v>2.7</v>
      </c>
    </row>
    <row r="33" spans="1:5" x14ac:dyDescent="0.25">
      <c r="A33" s="449">
        <f t="shared" si="0"/>
        <v>32</v>
      </c>
      <c r="B33" s="448">
        <f>'Maxs Tool'!J33</f>
        <v>3</v>
      </c>
      <c r="C33" s="448">
        <f>'Maxs Tool'!K33</f>
        <v>-59.264999999999993</v>
      </c>
      <c r="D33" s="448">
        <f>'Maxs Tool'!L33</f>
        <v>0</v>
      </c>
      <c r="E33" s="448">
        <f>'Maxs Tool'!M33</f>
        <v>3.6</v>
      </c>
    </row>
    <row r="34" spans="1:5" x14ac:dyDescent="0.25">
      <c r="A34" s="449">
        <f t="shared" si="0"/>
        <v>33</v>
      </c>
      <c r="B34" s="448">
        <f>'Maxs Tool'!J34</f>
        <v>3</v>
      </c>
      <c r="C34" s="448">
        <f>'Maxs Tool'!K34</f>
        <v>-59.264999999999993</v>
      </c>
      <c r="D34" s="448">
        <f>'Maxs Tool'!L34</f>
        <v>0</v>
      </c>
      <c r="E34" s="448">
        <f>'Maxs Tool'!M34</f>
        <v>5.4</v>
      </c>
    </row>
    <row r="35" spans="1:5" x14ac:dyDescent="0.25">
      <c r="A35" s="449">
        <f t="shared" si="0"/>
        <v>34</v>
      </c>
      <c r="B35" s="448">
        <f>'Maxs Tool'!J35</f>
        <v>3</v>
      </c>
      <c r="C35" s="448">
        <f>'Maxs Tool'!K35</f>
        <v>-59.264999999999993</v>
      </c>
      <c r="D35" s="448">
        <f>'Maxs Tool'!L35</f>
        <v>0</v>
      </c>
      <c r="E35" s="448">
        <f>'Maxs Tool'!M35</f>
        <v>7.2</v>
      </c>
    </row>
    <row r="36" spans="1:5" x14ac:dyDescent="0.25">
      <c r="A36" s="449">
        <f t="shared" si="0"/>
        <v>35</v>
      </c>
      <c r="B36" s="448">
        <f>'Maxs Tool'!J36</f>
        <v>3</v>
      </c>
      <c r="C36" s="448">
        <f>'Maxs Tool'!K36</f>
        <v>-59.264999999999993</v>
      </c>
      <c r="D36" s="448">
        <f>'Maxs Tool'!L36</f>
        <v>6.12</v>
      </c>
      <c r="E36" s="448">
        <f>'Maxs Tool'!M36</f>
        <v>9</v>
      </c>
    </row>
    <row r="37" spans="1:5" x14ac:dyDescent="0.25">
      <c r="A37" s="449">
        <f t="shared" si="0"/>
        <v>36</v>
      </c>
      <c r="B37" s="448">
        <f>'Maxs Tool'!J37</f>
        <v>3</v>
      </c>
      <c r="C37" s="448">
        <f>'Maxs Tool'!K37</f>
        <v>-59.264999999999993</v>
      </c>
      <c r="D37" s="448">
        <f>'Maxs Tool'!L37</f>
        <v>8.8000000000000007</v>
      </c>
      <c r="E37" s="448">
        <f>'Maxs Tool'!M37</f>
        <v>10.1</v>
      </c>
    </row>
    <row r="38" spans="1:5" x14ac:dyDescent="0.25">
      <c r="A38" s="449">
        <f t="shared" si="0"/>
        <v>37</v>
      </c>
      <c r="B38" s="448">
        <f>'Maxs Tool'!J38</f>
        <v>3</v>
      </c>
      <c r="C38" s="448">
        <f>'Maxs Tool'!K38</f>
        <v>-59.264999999999993</v>
      </c>
      <c r="D38" s="448">
        <f>'Maxs Tool'!L38</f>
        <v>9.84</v>
      </c>
      <c r="E38" s="448">
        <f>'Maxs Tool'!M38</f>
        <v>10.8</v>
      </c>
    </row>
    <row r="39" spans="1:5" x14ac:dyDescent="0.25">
      <c r="A39" s="449">
        <f t="shared" si="0"/>
        <v>38</v>
      </c>
      <c r="B39" s="448">
        <f>'Maxs Tool'!J39</f>
        <v>3</v>
      </c>
      <c r="C39" s="448">
        <f>'Maxs Tool'!K39</f>
        <v>-59.264999999999993</v>
      </c>
      <c r="D39" s="448">
        <f>'Maxs Tool'!L39</f>
        <v>11.33</v>
      </c>
      <c r="E39" s="448">
        <f>'Maxs Tool'!M39</f>
        <v>12.6</v>
      </c>
    </row>
    <row r="40" spans="1:5" x14ac:dyDescent="0.25">
      <c r="A40" s="449">
        <f t="shared" si="0"/>
        <v>39</v>
      </c>
      <c r="B40" s="448">
        <f>'Maxs Tool'!J40</f>
        <v>3</v>
      </c>
      <c r="C40" s="448">
        <f>'Maxs Tool'!K40</f>
        <v>-59.264999999999993</v>
      </c>
      <c r="D40" s="448">
        <f>'Maxs Tool'!L40</f>
        <v>11.9</v>
      </c>
      <c r="E40" s="448">
        <f>'Maxs Tool'!M40</f>
        <v>14.19</v>
      </c>
    </row>
    <row r="41" spans="1:5" x14ac:dyDescent="0.25">
      <c r="A41" s="449">
        <f t="shared" si="0"/>
        <v>40</v>
      </c>
      <c r="B41" s="448">
        <f>'Maxs Tool'!J41</f>
        <v>4</v>
      </c>
      <c r="C41" s="448">
        <f>'Maxs Tool'!K41</f>
        <v>-55.972499999999997</v>
      </c>
      <c r="D41" s="448">
        <f>'Maxs Tool'!L41</f>
        <v>0</v>
      </c>
      <c r="E41" s="448">
        <f>'Maxs Tool'!M41</f>
        <v>1.95</v>
      </c>
    </row>
    <row r="42" spans="1:5" x14ac:dyDescent="0.25">
      <c r="A42" s="449">
        <f t="shared" si="0"/>
        <v>41</v>
      </c>
      <c r="B42" s="448">
        <f>'Maxs Tool'!J42</f>
        <v>4</v>
      </c>
      <c r="C42" s="448">
        <f>'Maxs Tool'!K42</f>
        <v>-55.972499999999997</v>
      </c>
      <c r="D42" s="448">
        <f>'Maxs Tool'!L42</f>
        <v>0</v>
      </c>
      <c r="E42" s="448">
        <f>'Maxs Tool'!M42</f>
        <v>0</v>
      </c>
    </row>
    <row r="43" spans="1:5" x14ac:dyDescent="0.25">
      <c r="A43" s="449">
        <f t="shared" si="0"/>
        <v>42</v>
      </c>
      <c r="B43" s="448">
        <f>'Maxs Tool'!J43</f>
        <v>4</v>
      </c>
      <c r="C43" s="448">
        <f>'Maxs Tool'!K43</f>
        <v>-55.972499999999997</v>
      </c>
      <c r="D43" s="448">
        <f>'Maxs Tool'!L43</f>
        <v>0</v>
      </c>
      <c r="E43" s="448">
        <f>'Maxs Tool'!M43</f>
        <v>0.9</v>
      </c>
    </row>
    <row r="44" spans="1:5" x14ac:dyDescent="0.25">
      <c r="A44" s="449">
        <f t="shared" si="0"/>
        <v>43</v>
      </c>
      <c r="B44" s="448">
        <f>'Maxs Tool'!J44</f>
        <v>4</v>
      </c>
      <c r="C44" s="448">
        <f>'Maxs Tool'!K44</f>
        <v>-55.972499999999997</v>
      </c>
      <c r="D44" s="448">
        <f>'Maxs Tool'!L44</f>
        <v>0</v>
      </c>
      <c r="E44" s="448">
        <f>'Maxs Tool'!M44</f>
        <v>1.8</v>
      </c>
    </row>
    <row r="45" spans="1:5" x14ac:dyDescent="0.25">
      <c r="A45" s="449">
        <f t="shared" si="0"/>
        <v>44</v>
      </c>
      <c r="B45" s="448">
        <f>'Maxs Tool'!J45</f>
        <v>4</v>
      </c>
      <c r="C45" s="448">
        <f>'Maxs Tool'!K45</f>
        <v>-55.972499999999997</v>
      </c>
      <c r="D45" s="448">
        <f>'Maxs Tool'!L45</f>
        <v>0.4</v>
      </c>
      <c r="E45" s="448">
        <f>'Maxs Tool'!M45</f>
        <v>2.7</v>
      </c>
    </row>
    <row r="46" spans="1:5" x14ac:dyDescent="0.25">
      <c r="A46" s="449">
        <f t="shared" si="0"/>
        <v>45</v>
      </c>
      <c r="B46" s="448">
        <f>'Maxs Tool'!J46</f>
        <v>4</v>
      </c>
      <c r="C46" s="448">
        <f>'Maxs Tool'!K46</f>
        <v>-55.972499999999997</v>
      </c>
      <c r="D46" s="448">
        <f>'Maxs Tool'!L46</f>
        <v>0.7</v>
      </c>
      <c r="E46" s="448">
        <f>'Maxs Tool'!M46</f>
        <v>3.6</v>
      </c>
    </row>
    <row r="47" spans="1:5" x14ac:dyDescent="0.25">
      <c r="A47" s="449">
        <f t="shared" si="0"/>
        <v>46</v>
      </c>
      <c r="B47" s="448">
        <f>'Maxs Tool'!J47</f>
        <v>4</v>
      </c>
      <c r="C47" s="448">
        <f>'Maxs Tool'!K47</f>
        <v>-55.972499999999997</v>
      </c>
      <c r="D47" s="448">
        <f>'Maxs Tool'!L47</f>
        <v>1.2</v>
      </c>
      <c r="E47" s="448">
        <f>'Maxs Tool'!M47</f>
        <v>5.4</v>
      </c>
    </row>
    <row r="48" spans="1:5" x14ac:dyDescent="0.25">
      <c r="A48" s="449">
        <f t="shared" si="0"/>
        <v>47</v>
      </c>
      <c r="B48" s="448">
        <f>'Maxs Tool'!J48</f>
        <v>4</v>
      </c>
      <c r="C48" s="448">
        <f>'Maxs Tool'!K48</f>
        <v>-55.972499999999997</v>
      </c>
      <c r="D48" s="448">
        <f>'Maxs Tool'!L48</f>
        <v>2.4</v>
      </c>
      <c r="E48" s="448">
        <f>'Maxs Tool'!M48</f>
        <v>7.2</v>
      </c>
    </row>
    <row r="49" spans="1:5" x14ac:dyDescent="0.25">
      <c r="A49" s="449">
        <f t="shared" si="0"/>
        <v>48</v>
      </c>
      <c r="B49" s="448">
        <f>'Maxs Tool'!J49</f>
        <v>4</v>
      </c>
      <c r="C49" s="448">
        <f>'Maxs Tool'!K49</f>
        <v>-55.972499999999997</v>
      </c>
      <c r="D49" s="448">
        <f>'Maxs Tool'!L49</f>
        <v>8.5500000000000007</v>
      </c>
      <c r="E49" s="448">
        <f>'Maxs Tool'!M49</f>
        <v>9</v>
      </c>
    </row>
    <row r="50" spans="1:5" x14ac:dyDescent="0.25">
      <c r="A50" s="449">
        <f t="shared" si="0"/>
        <v>49</v>
      </c>
      <c r="B50" s="448">
        <f>'Maxs Tool'!J50</f>
        <v>4</v>
      </c>
      <c r="C50" s="448">
        <f>'Maxs Tool'!K50</f>
        <v>-55.972499999999997</v>
      </c>
      <c r="D50" s="448">
        <f>'Maxs Tool'!L50</f>
        <v>10.14</v>
      </c>
      <c r="E50" s="448">
        <f>'Maxs Tool'!M50</f>
        <v>10.1</v>
      </c>
    </row>
    <row r="51" spans="1:5" x14ac:dyDescent="0.25">
      <c r="A51" s="449">
        <f t="shared" si="0"/>
        <v>50</v>
      </c>
      <c r="B51" s="448">
        <f>'Maxs Tool'!J51</f>
        <v>4</v>
      </c>
      <c r="C51" s="448">
        <f>'Maxs Tool'!K51</f>
        <v>-55.972499999999997</v>
      </c>
      <c r="D51" s="448">
        <f>'Maxs Tool'!L51</f>
        <v>10.78</v>
      </c>
      <c r="E51" s="448">
        <f>'Maxs Tool'!M51</f>
        <v>10.8</v>
      </c>
    </row>
    <row r="52" spans="1:5" x14ac:dyDescent="0.25">
      <c r="A52" s="449">
        <f t="shared" si="0"/>
        <v>51</v>
      </c>
      <c r="B52" s="448">
        <f>'Maxs Tool'!J52</f>
        <v>4</v>
      </c>
      <c r="C52" s="448">
        <f>'Maxs Tool'!K52</f>
        <v>-55.972499999999997</v>
      </c>
      <c r="D52" s="448">
        <f>'Maxs Tool'!L52</f>
        <v>11.77</v>
      </c>
      <c r="E52" s="448">
        <f>'Maxs Tool'!M52</f>
        <v>12.6</v>
      </c>
    </row>
    <row r="53" spans="1:5" x14ac:dyDescent="0.25">
      <c r="A53" s="449">
        <f t="shared" si="0"/>
        <v>52</v>
      </c>
      <c r="B53" s="448">
        <f>'Maxs Tool'!J53</f>
        <v>4</v>
      </c>
      <c r="C53" s="448">
        <f>'Maxs Tool'!K53</f>
        <v>-55.972499999999997</v>
      </c>
      <c r="D53" s="448">
        <f>'Maxs Tool'!L53</f>
        <v>12.1</v>
      </c>
      <c r="E53" s="448">
        <f>'Maxs Tool'!M53</f>
        <v>14.19</v>
      </c>
    </row>
    <row r="54" spans="1:5" x14ac:dyDescent="0.25">
      <c r="A54" s="449">
        <f t="shared" si="0"/>
        <v>53</v>
      </c>
      <c r="B54" s="448">
        <f>'Maxs Tool'!J54</f>
        <v>5</v>
      </c>
      <c r="C54" s="448">
        <f>'Maxs Tool'!K54</f>
        <v>-52.679999999999993</v>
      </c>
      <c r="D54" s="448">
        <f>'Maxs Tool'!L54</f>
        <v>0</v>
      </c>
      <c r="E54" s="448">
        <f>'Maxs Tool'!M54</f>
        <v>0.56999999999999995</v>
      </c>
    </row>
    <row r="55" spans="1:5" x14ac:dyDescent="0.25">
      <c r="A55" s="449">
        <f t="shared" si="0"/>
        <v>54</v>
      </c>
      <c r="B55" s="448">
        <f>'Maxs Tool'!J55</f>
        <v>5</v>
      </c>
      <c r="C55" s="448">
        <f>'Maxs Tool'!K55</f>
        <v>-52.679999999999993</v>
      </c>
      <c r="D55" s="448">
        <f>'Maxs Tool'!L55</f>
        <v>0</v>
      </c>
      <c r="E55" s="448">
        <f>'Maxs Tool'!M55</f>
        <v>0</v>
      </c>
    </row>
    <row r="56" spans="1:5" x14ac:dyDescent="0.25">
      <c r="A56" s="449">
        <f t="shared" si="0"/>
        <v>55</v>
      </c>
      <c r="B56" s="448">
        <f>'Maxs Tool'!J56</f>
        <v>5</v>
      </c>
      <c r="C56" s="448">
        <f>'Maxs Tool'!K56</f>
        <v>-52.679999999999993</v>
      </c>
      <c r="D56" s="448">
        <f>'Maxs Tool'!L56</f>
        <v>0.4</v>
      </c>
      <c r="E56" s="448">
        <f>'Maxs Tool'!M56</f>
        <v>0.9</v>
      </c>
    </row>
    <row r="57" spans="1:5" x14ac:dyDescent="0.25">
      <c r="A57" s="449">
        <f t="shared" si="0"/>
        <v>56</v>
      </c>
      <c r="B57" s="448">
        <f>'Maxs Tool'!J57</f>
        <v>5</v>
      </c>
      <c r="C57" s="448">
        <f>'Maxs Tool'!K57</f>
        <v>-52.679999999999993</v>
      </c>
      <c r="D57" s="448">
        <f>'Maxs Tool'!L57</f>
        <v>1.04</v>
      </c>
      <c r="E57" s="448">
        <f>'Maxs Tool'!M57</f>
        <v>1.8</v>
      </c>
    </row>
    <row r="58" spans="1:5" x14ac:dyDescent="0.25">
      <c r="A58" s="449">
        <f t="shared" si="0"/>
        <v>57</v>
      </c>
      <c r="B58" s="448">
        <f>'Maxs Tool'!J58</f>
        <v>5</v>
      </c>
      <c r="C58" s="448">
        <f>'Maxs Tool'!K58</f>
        <v>-52.679999999999993</v>
      </c>
      <c r="D58" s="448">
        <f>'Maxs Tool'!L58</f>
        <v>1.5</v>
      </c>
      <c r="E58" s="448">
        <f>'Maxs Tool'!M58</f>
        <v>2.7</v>
      </c>
    </row>
    <row r="59" spans="1:5" x14ac:dyDescent="0.25">
      <c r="A59" s="449">
        <f t="shared" si="0"/>
        <v>58</v>
      </c>
      <c r="B59" s="448">
        <f>'Maxs Tool'!J59</f>
        <v>5</v>
      </c>
      <c r="C59" s="448">
        <f>'Maxs Tool'!K59</f>
        <v>-52.679999999999993</v>
      </c>
      <c r="D59" s="448">
        <f>'Maxs Tool'!L59</f>
        <v>1.7</v>
      </c>
      <c r="E59" s="448">
        <f>'Maxs Tool'!M59</f>
        <v>3.6</v>
      </c>
    </row>
    <row r="60" spans="1:5" x14ac:dyDescent="0.25">
      <c r="A60" s="449">
        <f t="shared" si="0"/>
        <v>59</v>
      </c>
      <c r="B60" s="448">
        <f>'Maxs Tool'!J60</f>
        <v>5</v>
      </c>
      <c r="C60" s="448">
        <f>'Maxs Tool'!K60</f>
        <v>-52.679999999999993</v>
      </c>
      <c r="D60" s="448">
        <f>'Maxs Tool'!L60</f>
        <v>2.7</v>
      </c>
      <c r="E60" s="448">
        <f>'Maxs Tool'!M60</f>
        <v>5.4</v>
      </c>
    </row>
    <row r="61" spans="1:5" x14ac:dyDescent="0.25">
      <c r="A61" s="449">
        <f t="shared" si="0"/>
        <v>60</v>
      </c>
      <c r="B61" s="448">
        <f>'Maxs Tool'!J61</f>
        <v>5</v>
      </c>
      <c r="C61" s="448">
        <f>'Maxs Tool'!K61</f>
        <v>-52.679999999999993</v>
      </c>
      <c r="D61" s="448">
        <f>'Maxs Tool'!L61</f>
        <v>5.5</v>
      </c>
      <c r="E61" s="448">
        <f>'Maxs Tool'!M61</f>
        <v>7.2</v>
      </c>
    </row>
    <row r="62" spans="1:5" x14ac:dyDescent="0.25">
      <c r="A62" s="449">
        <f t="shared" si="0"/>
        <v>61</v>
      </c>
      <c r="B62" s="448">
        <f>'Maxs Tool'!J62</f>
        <v>5</v>
      </c>
      <c r="C62" s="448">
        <f>'Maxs Tool'!K62</f>
        <v>-52.679999999999993</v>
      </c>
      <c r="D62" s="448">
        <f>'Maxs Tool'!L62</f>
        <v>9.9</v>
      </c>
      <c r="E62" s="448">
        <f>'Maxs Tool'!M62</f>
        <v>9</v>
      </c>
    </row>
    <row r="63" spans="1:5" x14ac:dyDescent="0.25">
      <c r="A63" s="449">
        <f t="shared" si="0"/>
        <v>62</v>
      </c>
      <c r="B63" s="448">
        <f>'Maxs Tool'!J63</f>
        <v>5</v>
      </c>
      <c r="C63" s="448">
        <f>'Maxs Tool'!K63</f>
        <v>-52.679999999999993</v>
      </c>
      <c r="D63" s="448">
        <f>'Maxs Tool'!L63</f>
        <v>10.9</v>
      </c>
      <c r="E63" s="448">
        <f>'Maxs Tool'!M63</f>
        <v>10.1</v>
      </c>
    </row>
    <row r="64" spans="1:5" x14ac:dyDescent="0.25">
      <c r="A64" s="449">
        <f t="shared" si="0"/>
        <v>63</v>
      </c>
      <c r="B64" s="448">
        <f>'Maxs Tool'!J64</f>
        <v>5</v>
      </c>
      <c r="C64" s="448">
        <f>'Maxs Tool'!K64</f>
        <v>-52.679999999999993</v>
      </c>
      <c r="D64" s="448">
        <f>'Maxs Tool'!L64</f>
        <v>11.34</v>
      </c>
      <c r="E64" s="448">
        <f>'Maxs Tool'!M64</f>
        <v>10.8</v>
      </c>
    </row>
    <row r="65" spans="1:5" x14ac:dyDescent="0.25">
      <c r="A65" s="449">
        <f t="shared" si="0"/>
        <v>64</v>
      </c>
      <c r="B65" s="448">
        <f>'Maxs Tool'!J65</f>
        <v>5</v>
      </c>
      <c r="C65" s="448">
        <f>'Maxs Tool'!K65</f>
        <v>-52.679999999999993</v>
      </c>
      <c r="D65" s="448">
        <f>'Maxs Tool'!L65</f>
        <v>12</v>
      </c>
      <c r="E65" s="448">
        <f>'Maxs Tool'!M65</f>
        <v>12.6</v>
      </c>
    </row>
    <row r="66" spans="1:5" x14ac:dyDescent="0.25">
      <c r="A66" s="449">
        <f t="shared" si="0"/>
        <v>65</v>
      </c>
      <c r="B66" s="448">
        <f>'Maxs Tool'!J66</f>
        <v>5</v>
      </c>
      <c r="C66" s="448">
        <f>'Maxs Tool'!K66</f>
        <v>-52.679999999999993</v>
      </c>
      <c r="D66" s="448">
        <f>'Maxs Tool'!L66</f>
        <v>12.2</v>
      </c>
      <c r="E66" s="448">
        <f>'Maxs Tool'!M66</f>
        <v>14.19</v>
      </c>
    </row>
    <row r="67" spans="1:5" x14ac:dyDescent="0.25">
      <c r="A67" s="449">
        <f t="shared" ref="A67:A130" si="1">IF(ISNUMBER(D67),ROW()-1,"")</f>
        <v>66</v>
      </c>
      <c r="B67" s="448">
        <f>'Maxs Tool'!J67</f>
        <v>6</v>
      </c>
      <c r="C67" s="448">
        <f>'Maxs Tool'!K67</f>
        <v>-46.094999999999999</v>
      </c>
      <c r="D67" s="448">
        <f>'Maxs Tool'!L67</f>
        <v>0</v>
      </c>
      <c r="E67" s="448">
        <f>'Maxs Tool'!M67</f>
        <v>0</v>
      </c>
    </row>
    <row r="68" spans="1:5" x14ac:dyDescent="0.25">
      <c r="A68" s="449">
        <f t="shared" si="1"/>
        <v>67</v>
      </c>
      <c r="B68" s="448">
        <f>'Maxs Tool'!J68</f>
        <v>6</v>
      </c>
      <c r="C68" s="448">
        <f>'Maxs Tool'!K68</f>
        <v>-46.094999999999999</v>
      </c>
      <c r="D68" s="448">
        <f>'Maxs Tool'!L68</f>
        <v>0.3</v>
      </c>
      <c r="E68" s="448">
        <f>'Maxs Tool'!M68</f>
        <v>0</v>
      </c>
    </row>
    <row r="69" spans="1:5" x14ac:dyDescent="0.25">
      <c r="A69" s="449">
        <f t="shared" si="1"/>
        <v>68</v>
      </c>
      <c r="B69" s="448">
        <f>'Maxs Tool'!J69</f>
        <v>6</v>
      </c>
      <c r="C69" s="448">
        <f>'Maxs Tool'!K69</f>
        <v>-46.094999999999999</v>
      </c>
      <c r="D69" s="448">
        <f>'Maxs Tool'!L69</f>
        <v>1.67</v>
      </c>
      <c r="E69" s="448">
        <f>'Maxs Tool'!M69</f>
        <v>0.9</v>
      </c>
    </row>
    <row r="70" spans="1:5" x14ac:dyDescent="0.25">
      <c r="A70" s="449">
        <f t="shared" si="1"/>
        <v>69</v>
      </c>
      <c r="B70" s="448">
        <f>'Maxs Tool'!J70</f>
        <v>6</v>
      </c>
      <c r="C70" s="448">
        <f>'Maxs Tool'!K70</f>
        <v>-46.094999999999999</v>
      </c>
      <c r="D70" s="448">
        <f>'Maxs Tool'!L70</f>
        <v>2.2999999999999998</v>
      </c>
      <c r="E70" s="448">
        <f>'Maxs Tool'!M70</f>
        <v>1.8</v>
      </c>
    </row>
    <row r="71" spans="1:5" x14ac:dyDescent="0.25">
      <c r="A71" s="449">
        <f t="shared" si="1"/>
        <v>70</v>
      </c>
      <c r="B71" s="448">
        <f>'Maxs Tool'!J71</f>
        <v>6</v>
      </c>
      <c r="C71" s="448">
        <f>'Maxs Tool'!K71</f>
        <v>-46.094999999999999</v>
      </c>
      <c r="D71" s="448">
        <f>'Maxs Tool'!L71</f>
        <v>2.7</v>
      </c>
      <c r="E71" s="448">
        <f>'Maxs Tool'!M71</f>
        <v>2.7</v>
      </c>
    </row>
    <row r="72" spans="1:5" x14ac:dyDescent="0.25">
      <c r="A72" s="449">
        <f t="shared" si="1"/>
        <v>71</v>
      </c>
      <c r="B72" s="448">
        <f>'Maxs Tool'!J72</f>
        <v>6</v>
      </c>
      <c r="C72" s="448">
        <f>'Maxs Tool'!K72</f>
        <v>-46.094999999999999</v>
      </c>
      <c r="D72" s="448">
        <f>'Maxs Tool'!L72</f>
        <v>3.1</v>
      </c>
      <c r="E72" s="448">
        <f>'Maxs Tool'!M72</f>
        <v>3.6</v>
      </c>
    </row>
    <row r="73" spans="1:5" x14ac:dyDescent="0.25">
      <c r="A73" s="449">
        <f t="shared" si="1"/>
        <v>72</v>
      </c>
      <c r="B73" s="448">
        <f>'Maxs Tool'!J73</f>
        <v>6</v>
      </c>
      <c r="C73" s="448">
        <f>'Maxs Tool'!K73</f>
        <v>-46.094999999999999</v>
      </c>
      <c r="D73" s="448">
        <f>'Maxs Tool'!L73</f>
        <v>5.7</v>
      </c>
      <c r="E73" s="448">
        <f>'Maxs Tool'!M73</f>
        <v>5.4</v>
      </c>
    </row>
    <row r="74" spans="1:5" x14ac:dyDescent="0.25">
      <c r="A74" s="449">
        <f t="shared" si="1"/>
        <v>73</v>
      </c>
      <c r="B74" s="448">
        <f>'Maxs Tool'!J74</f>
        <v>6</v>
      </c>
      <c r="C74" s="448">
        <f>'Maxs Tool'!K74</f>
        <v>-46.094999999999999</v>
      </c>
      <c r="D74" s="448">
        <f>'Maxs Tool'!L74</f>
        <v>9.6999999999999993</v>
      </c>
      <c r="E74" s="448">
        <f>'Maxs Tool'!M74</f>
        <v>7.2</v>
      </c>
    </row>
    <row r="75" spans="1:5" x14ac:dyDescent="0.25">
      <c r="A75" s="449">
        <f t="shared" si="1"/>
        <v>74</v>
      </c>
      <c r="B75" s="448">
        <f>'Maxs Tool'!J75</f>
        <v>6</v>
      </c>
      <c r="C75" s="448">
        <f>'Maxs Tool'!K75</f>
        <v>-46.094999999999999</v>
      </c>
      <c r="D75" s="448">
        <f>'Maxs Tool'!L75</f>
        <v>11.23</v>
      </c>
      <c r="E75" s="448">
        <f>'Maxs Tool'!M75</f>
        <v>9</v>
      </c>
    </row>
    <row r="76" spans="1:5" x14ac:dyDescent="0.25">
      <c r="A76" s="449">
        <f t="shared" si="1"/>
        <v>75</v>
      </c>
      <c r="B76" s="448">
        <f>'Maxs Tool'!J76</f>
        <v>6</v>
      </c>
      <c r="C76" s="448">
        <f>'Maxs Tool'!K76</f>
        <v>-46.094999999999999</v>
      </c>
      <c r="D76" s="448">
        <f>'Maxs Tool'!L76</f>
        <v>11.7</v>
      </c>
      <c r="E76" s="448">
        <f>'Maxs Tool'!M76</f>
        <v>10.1</v>
      </c>
    </row>
    <row r="77" spans="1:5" x14ac:dyDescent="0.25">
      <c r="A77" s="449">
        <f t="shared" si="1"/>
        <v>76</v>
      </c>
      <c r="B77" s="448">
        <f>'Maxs Tool'!J77</f>
        <v>6</v>
      </c>
      <c r="C77" s="448">
        <f>'Maxs Tool'!K77</f>
        <v>-46.094999999999999</v>
      </c>
      <c r="D77" s="448">
        <f>'Maxs Tool'!L77</f>
        <v>11.93</v>
      </c>
      <c r="E77" s="448">
        <f>'Maxs Tool'!M77</f>
        <v>10.8</v>
      </c>
    </row>
    <row r="78" spans="1:5" x14ac:dyDescent="0.25">
      <c r="A78" s="449">
        <f t="shared" si="1"/>
        <v>77</v>
      </c>
      <c r="B78" s="448">
        <f>'Maxs Tool'!J78</f>
        <v>6</v>
      </c>
      <c r="C78" s="448">
        <f>'Maxs Tool'!K78</f>
        <v>-46.094999999999999</v>
      </c>
      <c r="D78" s="448">
        <f>'Maxs Tool'!L78</f>
        <v>12.21</v>
      </c>
      <c r="E78" s="448">
        <f>'Maxs Tool'!M78</f>
        <v>12.6</v>
      </c>
    </row>
    <row r="79" spans="1:5" x14ac:dyDescent="0.25">
      <c r="A79" s="449">
        <f t="shared" si="1"/>
        <v>78</v>
      </c>
      <c r="B79" s="448">
        <f>'Maxs Tool'!J79</f>
        <v>6</v>
      </c>
      <c r="C79" s="448">
        <f>'Maxs Tool'!K79</f>
        <v>-46.094999999999999</v>
      </c>
      <c r="D79" s="448">
        <f>'Maxs Tool'!L79</f>
        <v>12.23</v>
      </c>
      <c r="E79" s="448">
        <f>'Maxs Tool'!M79</f>
        <v>14.19</v>
      </c>
    </row>
    <row r="80" spans="1:5" x14ac:dyDescent="0.25">
      <c r="A80" s="449">
        <f t="shared" si="1"/>
        <v>79</v>
      </c>
      <c r="B80" s="448">
        <f>'Maxs Tool'!J80</f>
        <v>7</v>
      </c>
      <c r="C80" s="448">
        <f>'Maxs Tool'!K80</f>
        <v>-39.51</v>
      </c>
      <c r="D80" s="448">
        <f>'Maxs Tool'!L80</f>
        <v>0</v>
      </c>
      <c r="E80" s="448">
        <f>'Maxs Tool'!M80</f>
        <v>0</v>
      </c>
    </row>
    <row r="81" spans="1:5" x14ac:dyDescent="0.25">
      <c r="A81" s="449">
        <f t="shared" si="1"/>
        <v>80</v>
      </c>
      <c r="B81" s="448">
        <f>'Maxs Tool'!J81</f>
        <v>7</v>
      </c>
      <c r="C81" s="448">
        <f>'Maxs Tool'!K81</f>
        <v>-39.51</v>
      </c>
      <c r="D81" s="448">
        <f>'Maxs Tool'!L81</f>
        <v>1</v>
      </c>
      <c r="E81" s="448">
        <f>'Maxs Tool'!M81</f>
        <v>0</v>
      </c>
    </row>
    <row r="82" spans="1:5" x14ac:dyDescent="0.25">
      <c r="A82" s="449">
        <f t="shared" si="1"/>
        <v>81</v>
      </c>
      <c r="B82" s="448">
        <f>'Maxs Tool'!J82</f>
        <v>7</v>
      </c>
      <c r="C82" s="448">
        <f>'Maxs Tool'!K82</f>
        <v>-39.51</v>
      </c>
      <c r="D82" s="448">
        <f>'Maxs Tool'!L82</f>
        <v>3.17</v>
      </c>
      <c r="E82" s="448">
        <f>'Maxs Tool'!M82</f>
        <v>0.9</v>
      </c>
    </row>
    <row r="83" spans="1:5" x14ac:dyDescent="0.25">
      <c r="A83" s="449">
        <f t="shared" si="1"/>
        <v>82</v>
      </c>
      <c r="B83" s="448">
        <f>'Maxs Tool'!J83</f>
        <v>7</v>
      </c>
      <c r="C83" s="448">
        <f>'Maxs Tool'!K83</f>
        <v>-39.51</v>
      </c>
      <c r="D83" s="448">
        <f>'Maxs Tool'!L83</f>
        <v>4.08</v>
      </c>
      <c r="E83" s="448">
        <f>'Maxs Tool'!M83</f>
        <v>1.8</v>
      </c>
    </row>
    <row r="84" spans="1:5" x14ac:dyDescent="0.25">
      <c r="A84" s="449">
        <f t="shared" si="1"/>
        <v>83</v>
      </c>
      <c r="B84" s="448">
        <f>'Maxs Tool'!J84</f>
        <v>7</v>
      </c>
      <c r="C84" s="448">
        <f>'Maxs Tool'!K84</f>
        <v>-39.51</v>
      </c>
      <c r="D84" s="448">
        <f>'Maxs Tool'!L84</f>
        <v>4.8</v>
      </c>
      <c r="E84" s="448">
        <f>'Maxs Tool'!M84</f>
        <v>2.7</v>
      </c>
    </row>
    <row r="85" spans="1:5" x14ac:dyDescent="0.25">
      <c r="A85" s="449">
        <f t="shared" si="1"/>
        <v>84</v>
      </c>
      <c r="B85" s="448">
        <f>'Maxs Tool'!J85</f>
        <v>7</v>
      </c>
      <c r="C85" s="448">
        <f>'Maxs Tool'!K85</f>
        <v>-39.51</v>
      </c>
      <c r="D85" s="448">
        <f>'Maxs Tool'!L85</f>
        <v>5.8</v>
      </c>
      <c r="E85" s="448">
        <f>'Maxs Tool'!M85</f>
        <v>3.6</v>
      </c>
    </row>
    <row r="86" spans="1:5" x14ac:dyDescent="0.25">
      <c r="A86" s="449">
        <f t="shared" si="1"/>
        <v>85</v>
      </c>
      <c r="B86" s="448">
        <f>'Maxs Tool'!J86</f>
        <v>7</v>
      </c>
      <c r="C86" s="448">
        <f>'Maxs Tool'!K86</f>
        <v>-39.51</v>
      </c>
      <c r="D86" s="448">
        <f>'Maxs Tool'!L86</f>
        <v>9.1999999999999993</v>
      </c>
      <c r="E86" s="448">
        <f>'Maxs Tool'!M86</f>
        <v>5.4</v>
      </c>
    </row>
    <row r="87" spans="1:5" x14ac:dyDescent="0.25">
      <c r="A87" s="449">
        <f t="shared" si="1"/>
        <v>86</v>
      </c>
      <c r="B87" s="448">
        <f>'Maxs Tool'!J87</f>
        <v>7</v>
      </c>
      <c r="C87" s="448">
        <f>'Maxs Tool'!K87</f>
        <v>-39.51</v>
      </c>
      <c r="D87" s="448">
        <f>'Maxs Tool'!L87</f>
        <v>11.17</v>
      </c>
      <c r="E87" s="448">
        <f>'Maxs Tool'!M87</f>
        <v>7.2</v>
      </c>
    </row>
    <row r="88" spans="1:5" x14ac:dyDescent="0.25">
      <c r="A88" s="449">
        <f t="shared" si="1"/>
        <v>87</v>
      </c>
      <c r="B88" s="448">
        <f>'Maxs Tool'!J88</f>
        <v>7</v>
      </c>
      <c r="C88" s="448">
        <f>'Maxs Tool'!K88</f>
        <v>-39.51</v>
      </c>
      <c r="D88" s="448">
        <f>'Maxs Tool'!L88</f>
        <v>11.91</v>
      </c>
      <c r="E88" s="448">
        <f>'Maxs Tool'!M88</f>
        <v>9</v>
      </c>
    </row>
    <row r="89" spans="1:5" x14ac:dyDescent="0.25">
      <c r="A89" s="449">
        <f t="shared" si="1"/>
        <v>88</v>
      </c>
      <c r="B89" s="448">
        <f>'Maxs Tool'!J89</f>
        <v>7</v>
      </c>
      <c r="C89" s="448">
        <f>'Maxs Tool'!K89</f>
        <v>-39.51</v>
      </c>
      <c r="D89" s="448">
        <f>'Maxs Tool'!L89</f>
        <v>12.14</v>
      </c>
      <c r="E89" s="448">
        <f>'Maxs Tool'!M89</f>
        <v>10.1</v>
      </c>
    </row>
    <row r="90" spans="1:5" x14ac:dyDescent="0.25">
      <c r="A90" s="449">
        <f t="shared" si="1"/>
        <v>89</v>
      </c>
      <c r="B90" s="448">
        <f>'Maxs Tool'!J90</f>
        <v>7</v>
      </c>
      <c r="C90" s="448">
        <f>'Maxs Tool'!K90</f>
        <v>-39.51</v>
      </c>
      <c r="D90" s="448">
        <f>'Maxs Tool'!L90</f>
        <v>12.2</v>
      </c>
      <c r="E90" s="448">
        <f>'Maxs Tool'!M90</f>
        <v>10.8</v>
      </c>
    </row>
    <row r="91" spans="1:5" x14ac:dyDescent="0.25">
      <c r="A91" s="449">
        <f t="shared" si="1"/>
        <v>90</v>
      </c>
      <c r="B91" s="448">
        <f>'Maxs Tool'!J91</f>
        <v>7</v>
      </c>
      <c r="C91" s="448">
        <f>'Maxs Tool'!K91</f>
        <v>-39.51</v>
      </c>
      <c r="D91" s="448">
        <f>'Maxs Tool'!L91</f>
        <v>12.25</v>
      </c>
      <c r="E91" s="448">
        <f>'Maxs Tool'!M91</f>
        <v>12.6</v>
      </c>
    </row>
    <row r="92" spans="1:5" x14ac:dyDescent="0.25">
      <c r="A92" s="449">
        <f t="shared" si="1"/>
        <v>91</v>
      </c>
      <c r="B92" s="448">
        <f>'Maxs Tool'!J92</f>
        <v>7</v>
      </c>
      <c r="C92" s="448">
        <f>'Maxs Tool'!K92</f>
        <v>-39.51</v>
      </c>
      <c r="D92" s="448">
        <f>'Maxs Tool'!L92</f>
        <v>12.25</v>
      </c>
      <c r="E92" s="448">
        <f>'Maxs Tool'!M92</f>
        <v>14.19</v>
      </c>
    </row>
    <row r="93" spans="1:5" x14ac:dyDescent="0.25">
      <c r="A93" s="449">
        <f t="shared" si="1"/>
        <v>92</v>
      </c>
      <c r="B93" s="448">
        <f>'Maxs Tool'!J93</f>
        <v>8</v>
      </c>
      <c r="C93" s="448">
        <f>'Maxs Tool'!K93</f>
        <v>-32.924999999999997</v>
      </c>
      <c r="D93" s="448">
        <f>'Maxs Tool'!L93</f>
        <v>0</v>
      </c>
      <c r="E93" s="448">
        <f>'Maxs Tool'!M93</f>
        <v>0</v>
      </c>
    </row>
    <row r="94" spans="1:5" x14ac:dyDescent="0.25">
      <c r="A94" s="449">
        <f t="shared" si="1"/>
        <v>93</v>
      </c>
      <c r="B94" s="448">
        <f>'Maxs Tool'!J94</f>
        <v>8</v>
      </c>
      <c r="C94" s="448">
        <f>'Maxs Tool'!K94</f>
        <v>-32.924999999999997</v>
      </c>
      <c r="D94" s="448">
        <f>'Maxs Tool'!L94</f>
        <v>1.62</v>
      </c>
      <c r="E94" s="448">
        <f>'Maxs Tool'!M94</f>
        <v>0</v>
      </c>
    </row>
    <row r="95" spans="1:5" x14ac:dyDescent="0.25">
      <c r="A95" s="449">
        <f t="shared" si="1"/>
        <v>94</v>
      </c>
      <c r="B95" s="448">
        <f>'Maxs Tool'!J95</f>
        <v>8</v>
      </c>
      <c r="C95" s="448">
        <f>'Maxs Tool'!K95</f>
        <v>-32.924999999999997</v>
      </c>
      <c r="D95" s="448">
        <f>'Maxs Tool'!L95</f>
        <v>4.8099999999999996</v>
      </c>
      <c r="E95" s="448">
        <f>'Maxs Tool'!M95</f>
        <v>0.9</v>
      </c>
    </row>
    <row r="96" spans="1:5" x14ac:dyDescent="0.25">
      <c r="A96" s="449">
        <f t="shared" si="1"/>
        <v>95</v>
      </c>
      <c r="B96" s="448">
        <f>'Maxs Tool'!J96</f>
        <v>8</v>
      </c>
      <c r="C96" s="448">
        <f>'Maxs Tool'!K96</f>
        <v>-32.924999999999997</v>
      </c>
      <c r="D96" s="448">
        <f>'Maxs Tool'!L96</f>
        <v>6.09</v>
      </c>
      <c r="E96" s="448">
        <f>'Maxs Tool'!M96</f>
        <v>1.8</v>
      </c>
    </row>
    <row r="97" spans="1:5" x14ac:dyDescent="0.25">
      <c r="A97" s="449">
        <f t="shared" si="1"/>
        <v>96</v>
      </c>
      <c r="B97" s="448">
        <f>'Maxs Tool'!J97</f>
        <v>8</v>
      </c>
      <c r="C97" s="448">
        <f>'Maxs Tool'!K97</f>
        <v>-32.924999999999997</v>
      </c>
      <c r="D97" s="448">
        <f>'Maxs Tool'!L97</f>
        <v>7.37</v>
      </c>
      <c r="E97" s="448">
        <f>'Maxs Tool'!M97</f>
        <v>2.7</v>
      </c>
    </row>
    <row r="98" spans="1:5" x14ac:dyDescent="0.25">
      <c r="A98" s="449">
        <f t="shared" si="1"/>
        <v>97</v>
      </c>
      <c r="B98" s="448">
        <f>'Maxs Tool'!J98</f>
        <v>8</v>
      </c>
      <c r="C98" s="448">
        <f>'Maxs Tool'!K98</f>
        <v>-32.924999999999997</v>
      </c>
      <c r="D98" s="448">
        <f>'Maxs Tool'!L98</f>
        <v>9.0299999999999994</v>
      </c>
      <c r="E98" s="448">
        <f>'Maxs Tool'!M98</f>
        <v>3.6</v>
      </c>
    </row>
    <row r="99" spans="1:5" x14ac:dyDescent="0.25">
      <c r="A99" s="449">
        <f t="shared" si="1"/>
        <v>98</v>
      </c>
      <c r="B99" s="448">
        <f>'Maxs Tool'!J99</f>
        <v>8</v>
      </c>
      <c r="C99" s="448">
        <f>'Maxs Tool'!K99</f>
        <v>-32.924999999999997</v>
      </c>
      <c r="D99" s="448">
        <f>'Maxs Tool'!L99</f>
        <v>11.15</v>
      </c>
      <c r="E99" s="448">
        <f>'Maxs Tool'!M99</f>
        <v>5.4</v>
      </c>
    </row>
    <row r="100" spans="1:5" x14ac:dyDescent="0.25">
      <c r="A100" s="449">
        <f t="shared" si="1"/>
        <v>99</v>
      </c>
      <c r="B100" s="448">
        <f>'Maxs Tool'!J100</f>
        <v>8</v>
      </c>
      <c r="C100" s="448">
        <f>'Maxs Tool'!K100</f>
        <v>-32.924999999999997</v>
      </c>
      <c r="D100" s="448">
        <f>'Maxs Tool'!L100</f>
        <v>11.95</v>
      </c>
      <c r="E100" s="448">
        <f>'Maxs Tool'!M100</f>
        <v>7.2</v>
      </c>
    </row>
    <row r="101" spans="1:5" x14ac:dyDescent="0.25">
      <c r="A101" s="449">
        <f t="shared" si="1"/>
        <v>100</v>
      </c>
      <c r="B101" s="448">
        <f>'Maxs Tool'!J101</f>
        <v>8</v>
      </c>
      <c r="C101" s="448">
        <f>'Maxs Tool'!K101</f>
        <v>-32.924999999999997</v>
      </c>
      <c r="D101" s="448">
        <f>'Maxs Tool'!L101</f>
        <v>12.22</v>
      </c>
      <c r="E101" s="448">
        <f>'Maxs Tool'!M101</f>
        <v>9</v>
      </c>
    </row>
    <row r="102" spans="1:5" x14ac:dyDescent="0.25">
      <c r="A102" s="449">
        <f t="shared" si="1"/>
        <v>101</v>
      </c>
      <c r="B102" s="448">
        <f>'Maxs Tool'!J102</f>
        <v>8</v>
      </c>
      <c r="C102" s="448">
        <f>'Maxs Tool'!K102</f>
        <v>-32.924999999999997</v>
      </c>
      <c r="D102" s="448">
        <f>'Maxs Tool'!L102</f>
        <v>12.25</v>
      </c>
      <c r="E102" s="448">
        <f>'Maxs Tool'!M102</f>
        <v>10.1</v>
      </c>
    </row>
    <row r="103" spans="1:5" x14ac:dyDescent="0.25">
      <c r="A103" s="449">
        <f t="shared" si="1"/>
        <v>102</v>
      </c>
      <c r="B103" s="448">
        <f>'Maxs Tool'!J103</f>
        <v>8</v>
      </c>
      <c r="C103" s="448">
        <f>'Maxs Tool'!K103</f>
        <v>-32.924999999999997</v>
      </c>
      <c r="D103" s="448">
        <f>'Maxs Tool'!L103</f>
        <v>12.25</v>
      </c>
      <c r="E103" s="448">
        <f>'Maxs Tool'!M103</f>
        <v>10.8</v>
      </c>
    </row>
    <row r="104" spans="1:5" x14ac:dyDescent="0.25">
      <c r="A104" s="449">
        <f t="shared" si="1"/>
        <v>103</v>
      </c>
      <c r="B104" s="448">
        <f>'Maxs Tool'!J104</f>
        <v>8</v>
      </c>
      <c r="C104" s="448">
        <f>'Maxs Tool'!K104</f>
        <v>-32.924999999999997</v>
      </c>
      <c r="D104" s="448">
        <f>'Maxs Tool'!L104</f>
        <v>12.25</v>
      </c>
      <c r="E104" s="448">
        <f>'Maxs Tool'!M104</f>
        <v>12.6</v>
      </c>
    </row>
    <row r="105" spans="1:5" x14ac:dyDescent="0.25">
      <c r="A105" s="449">
        <f t="shared" si="1"/>
        <v>104</v>
      </c>
      <c r="B105" s="448">
        <f>'Maxs Tool'!J105</f>
        <v>8</v>
      </c>
      <c r="C105" s="448">
        <f>'Maxs Tool'!K105</f>
        <v>-32.924999999999997</v>
      </c>
      <c r="D105" s="448">
        <f>'Maxs Tool'!L105</f>
        <v>12.25</v>
      </c>
      <c r="E105" s="448">
        <f>'Maxs Tool'!M105</f>
        <v>14.19</v>
      </c>
    </row>
    <row r="106" spans="1:5" x14ac:dyDescent="0.25">
      <c r="A106" s="449">
        <f t="shared" si="1"/>
        <v>105</v>
      </c>
      <c r="B106" s="448">
        <f>'Maxs Tool'!J106</f>
        <v>9</v>
      </c>
      <c r="C106" s="448">
        <f>'Maxs Tool'!K106</f>
        <v>-26.340000000000003</v>
      </c>
      <c r="D106" s="448">
        <f>'Maxs Tool'!L106</f>
        <v>0</v>
      </c>
      <c r="E106" s="448">
        <f>'Maxs Tool'!M106</f>
        <v>0</v>
      </c>
    </row>
    <row r="107" spans="1:5" x14ac:dyDescent="0.25">
      <c r="A107" s="449">
        <f t="shared" si="1"/>
        <v>106</v>
      </c>
      <c r="B107" s="448">
        <f>'Maxs Tool'!J107</f>
        <v>9</v>
      </c>
      <c r="C107" s="448">
        <f>'Maxs Tool'!K107</f>
        <v>-26.340000000000003</v>
      </c>
      <c r="D107" s="448">
        <f>'Maxs Tool'!L107</f>
        <v>2.2000000000000002</v>
      </c>
      <c r="E107" s="448">
        <f>'Maxs Tool'!M107</f>
        <v>0</v>
      </c>
    </row>
    <row r="108" spans="1:5" x14ac:dyDescent="0.25">
      <c r="A108" s="449">
        <f t="shared" si="1"/>
        <v>107</v>
      </c>
      <c r="B108" s="448">
        <f>'Maxs Tool'!J108</f>
        <v>9</v>
      </c>
      <c r="C108" s="448">
        <f>'Maxs Tool'!K108</f>
        <v>-26.340000000000003</v>
      </c>
      <c r="D108" s="448">
        <f>'Maxs Tool'!L108</f>
        <v>6.59</v>
      </c>
      <c r="E108" s="448">
        <f>'Maxs Tool'!M108</f>
        <v>0.9</v>
      </c>
    </row>
    <row r="109" spans="1:5" x14ac:dyDescent="0.25">
      <c r="A109" s="449">
        <f t="shared" si="1"/>
        <v>108</v>
      </c>
      <c r="B109" s="448">
        <f>'Maxs Tool'!J109</f>
        <v>9</v>
      </c>
      <c r="C109" s="448">
        <f>'Maxs Tool'!K109</f>
        <v>-26.340000000000003</v>
      </c>
      <c r="D109" s="448">
        <f>'Maxs Tool'!L109</f>
        <v>8.34</v>
      </c>
      <c r="E109" s="448">
        <f>'Maxs Tool'!M109</f>
        <v>1.8</v>
      </c>
    </row>
    <row r="110" spans="1:5" x14ac:dyDescent="0.25">
      <c r="A110" s="449">
        <f t="shared" si="1"/>
        <v>109</v>
      </c>
      <c r="B110" s="448">
        <f>'Maxs Tool'!J110</f>
        <v>9</v>
      </c>
      <c r="C110" s="448">
        <f>'Maxs Tool'!K110</f>
        <v>-26.340000000000003</v>
      </c>
      <c r="D110" s="448">
        <f>'Maxs Tool'!L110</f>
        <v>9.82</v>
      </c>
      <c r="E110" s="448">
        <f>'Maxs Tool'!M110</f>
        <v>2.7</v>
      </c>
    </row>
    <row r="111" spans="1:5" x14ac:dyDescent="0.25">
      <c r="A111" s="449">
        <f t="shared" si="1"/>
        <v>110</v>
      </c>
      <c r="B111" s="448">
        <f>'Maxs Tool'!J111</f>
        <v>9</v>
      </c>
      <c r="C111" s="448">
        <f>'Maxs Tool'!K111</f>
        <v>-26.340000000000003</v>
      </c>
      <c r="D111" s="448">
        <f>'Maxs Tool'!L111</f>
        <v>10.92</v>
      </c>
      <c r="E111" s="448">
        <f>'Maxs Tool'!M111</f>
        <v>3.6</v>
      </c>
    </row>
    <row r="112" spans="1:5" x14ac:dyDescent="0.25">
      <c r="A112" s="449">
        <f t="shared" si="1"/>
        <v>111</v>
      </c>
      <c r="B112" s="448">
        <f>'Maxs Tool'!J112</f>
        <v>9</v>
      </c>
      <c r="C112" s="448">
        <f>'Maxs Tool'!K112</f>
        <v>-26.340000000000003</v>
      </c>
      <c r="D112" s="448">
        <f>'Maxs Tool'!L112</f>
        <v>11.97</v>
      </c>
      <c r="E112" s="448">
        <f>'Maxs Tool'!M112</f>
        <v>5.4</v>
      </c>
    </row>
    <row r="113" spans="1:5" x14ac:dyDescent="0.25">
      <c r="A113" s="449">
        <f t="shared" si="1"/>
        <v>112</v>
      </c>
      <c r="B113" s="448">
        <f>'Maxs Tool'!J113</f>
        <v>9</v>
      </c>
      <c r="C113" s="448">
        <f>'Maxs Tool'!K113</f>
        <v>-26.340000000000003</v>
      </c>
      <c r="D113" s="448">
        <f>'Maxs Tool'!L113</f>
        <v>12.25</v>
      </c>
      <c r="E113" s="448">
        <f>'Maxs Tool'!M113</f>
        <v>7.2</v>
      </c>
    </row>
    <row r="114" spans="1:5" x14ac:dyDescent="0.25">
      <c r="A114" s="449">
        <f t="shared" si="1"/>
        <v>113</v>
      </c>
      <c r="B114" s="448">
        <f>'Maxs Tool'!J114</f>
        <v>9</v>
      </c>
      <c r="C114" s="448">
        <f>'Maxs Tool'!K114</f>
        <v>-26.340000000000003</v>
      </c>
      <c r="D114" s="448">
        <f>'Maxs Tool'!L114</f>
        <v>12.25</v>
      </c>
      <c r="E114" s="448">
        <f>'Maxs Tool'!M114</f>
        <v>9</v>
      </c>
    </row>
    <row r="115" spans="1:5" x14ac:dyDescent="0.25">
      <c r="A115" s="449">
        <f t="shared" si="1"/>
        <v>114</v>
      </c>
      <c r="B115" s="448">
        <f>'Maxs Tool'!J115</f>
        <v>9</v>
      </c>
      <c r="C115" s="448">
        <f>'Maxs Tool'!K115</f>
        <v>-26.340000000000003</v>
      </c>
      <c r="D115" s="448">
        <f>'Maxs Tool'!L115</f>
        <v>12.25</v>
      </c>
      <c r="E115" s="448">
        <f>'Maxs Tool'!M115</f>
        <v>10.1</v>
      </c>
    </row>
    <row r="116" spans="1:5" x14ac:dyDescent="0.25">
      <c r="A116" s="449">
        <f t="shared" si="1"/>
        <v>115</v>
      </c>
      <c r="B116" s="448">
        <f>'Maxs Tool'!J116</f>
        <v>9</v>
      </c>
      <c r="C116" s="448">
        <f>'Maxs Tool'!K116</f>
        <v>-26.340000000000003</v>
      </c>
      <c r="D116" s="448">
        <f>'Maxs Tool'!L116</f>
        <v>12.25</v>
      </c>
      <c r="E116" s="448">
        <f>'Maxs Tool'!M116</f>
        <v>10.8</v>
      </c>
    </row>
    <row r="117" spans="1:5" x14ac:dyDescent="0.25">
      <c r="A117" s="449">
        <f t="shared" si="1"/>
        <v>116</v>
      </c>
      <c r="B117" s="448">
        <f>'Maxs Tool'!J117</f>
        <v>9</v>
      </c>
      <c r="C117" s="448">
        <f>'Maxs Tool'!K117</f>
        <v>-26.340000000000003</v>
      </c>
      <c r="D117" s="448">
        <f>'Maxs Tool'!L117</f>
        <v>12.25</v>
      </c>
      <c r="E117" s="448">
        <f>'Maxs Tool'!M117</f>
        <v>12.6</v>
      </c>
    </row>
    <row r="118" spans="1:5" x14ac:dyDescent="0.25">
      <c r="A118" s="449">
        <f t="shared" si="1"/>
        <v>117</v>
      </c>
      <c r="B118" s="448">
        <f>'Maxs Tool'!J118</f>
        <v>9</v>
      </c>
      <c r="C118" s="448">
        <f>'Maxs Tool'!K118</f>
        <v>-26.340000000000003</v>
      </c>
      <c r="D118" s="448">
        <f>'Maxs Tool'!L118</f>
        <v>12.25</v>
      </c>
      <c r="E118" s="448">
        <f>'Maxs Tool'!M118</f>
        <v>14.19</v>
      </c>
    </row>
    <row r="119" spans="1:5" x14ac:dyDescent="0.25">
      <c r="A119" s="449">
        <f t="shared" si="1"/>
        <v>118</v>
      </c>
      <c r="B119" s="448">
        <f>'Maxs Tool'!J119</f>
        <v>10</v>
      </c>
      <c r="C119" s="448">
        <f>'Maxs Tool'!K119</f>
        <v>-19.755000000000003</v>
      </c>
      <c r="D119" s="448">
        <f>'Maxs Tool'!L119</f>
        <v>0</v>
      </c>
      <c r="E119" s="448">
        <f>'Maxs Tool'!M119</f>
        <v>0</v>
      </c>
    </row>
    <row r="120" spans="1:5" x14ac:dyDescent="0.25">
      <c r="A120" s="449">
        <f t="shared" si="1"/>
        <v>119</v>
      </c>
      <c r="B120" s="448">
        <f>'Maxs Tool'!J120</f>
        <v>10</v>
      </c>
      <c r="C120" s="448">
        <f>'Maxs Tool'!K120</f>
        <v>-19.755000000000003</v>
      </c>
      <c r="D120" s="448">
        <f>'Maxs Tool'!L120</f>
        <v>3.71</v>
      </c>
      <c r="E120" s="448">
        <f>'Maxs Tool'!M120</f>
        <v>0</v>
      </c>
    </row>
    <row r="121" spans="1:5" x14ac:dyDescent="0.25">
      <c r="A121" s="449">
        <f t="shared" si="1"/>
        <v>120</v>
      </c>
      <c r="B121" s="448">
        <f>'Maxs Tool'!J121</f>
        <v>10</v>
      </c>
      <c r="C121" s="448">
        <f>'Maxs Tool'!K121</f>
        <v>-19.755000000000003</v>
      </c>
      <c r="D121" s="448">
        <f>'Maxs Tool'!L121</f>
        <v>8.58</v>
      </c>
      <c r="E121" s="448">
        <f>'Maxs Tool'!M121</f>
        <v>0.9</v>
      </c>
    </row>
    <row r="122" spans="1:5" x14ac:dyDescent="0.25">
      <c r="A122" s="449">
        <f t="shared" si="1"/>
        <v>121</v>
      </c>
      <c r="B122" s="448">
        <f>'Maxs Tool'!J122</f>
        <v>10</v>
      </c>
      <c r="C122" s="448">
        <f>'Maxs Tool'!K122</f>
        <v>-19.755000000000003</v>
      </c>
      <c r="D122" s="448">
        <f>'Maxs Tool'!L122</f>
        <v>10.26</v>
      </c>
      <c r="E122" s="448">
        <f>'Maxs Tool'!M122</f>
        <v>1.8</v>
      </c>
    </row>
    <row r="123" spans="1:5" x14ac:dyDescent="0.25">
      <c r="A123" s="449">
        <f t="shared" si="1"/>
        <v>122</v>
      </c>
      <c r="B123" s="448">
        <f>'Maxs Tool'!J123</f>
        <v>10</v>
      </c>
      <c r="C123" s="448">
        <f>'Maxs Tool'!K123</f>
        <v>-19.755000000000003</v>
      </c>
      <c r="D123" s="448">
        <f>'Maxs Tool'!L123</f>
        <v>11.25</v>
      </c>
      <c r="E123" s="448">
        <f>'Maxs Tool'!M123</f>
        <v>2.7</v>
      </c>
    </row>
    <row r="124" spans="1:5" x14ac:dyDescent="0.25">
      <c r="A124" s="449">
        <f t="shared" si="1"/>
        <v>123</v>
      </c>
      <c r="B124" s="448">
        <f>'Maxs Tool'!J124</f>
        <v>10</v>
      </c>
      <c r="C124" s="448">
        <f>'Maxs Tool'!K124</f>
        <v>-19.755000000000003</v>
      </c>
      <c r="D124" s="448">
        <f>'Maxs Tool'!L124</f>
        <v>11.86</v>
      </c>
      <c r="E124" s="448">
        <f>'Maxs Tool'!M124</f>
        <v>3.6</v>
      </c>
    </row>
    <row r="125" spans="1:5" x14ac:dyDescent="0.25">
      <c r="A125" s="449">
        <f t="shared" si="1"/>
        <v>124</v>
      </c>
      <c r="B125" s="448">
        <f>'Maxs Tool'!J125</f>
        <v>10</v>
      </c>
      <c r="C125" s="448">
        <f>'Maxs Tool'!K125</f>
        <v>-19.755000000000003</v>
      </c>
      <c r="D125" s="448">
        <f>'Maxs Tool'!L125</f>
        <v>12.25</v>
      </c>
      <c r="E125" s="448">
        <f>'Maxs Tool'!M125</f>
        <v>5.4</v>
      </c>
    </row>
    <row r="126" spans="1:5" x14ac:dyDescent="0.25">
      <c r="A126" s="449">
        <f t="shared" si="1"/>
        <v>125</v>
      </c>
      <c r="B126" s="448">
        <f>'Maxs Tool'!J126</f>
        <v>10</v>
      </c>
      <c r="C126" s="448">
        <f>'Maxs Tool'!K126</f>
        <v>-19.755000000000003</v>
      </c>
      <c r="D126" s="448">
        <f>'Maxs Tool'!L126</f>
        <v>12.25</v>
      </c>
      <c r="E126" s="448">
        <f>'Maxs Tool'!M126</f>
        <v>7.2</v>
      </c>
    </row>
    <row r="127" spans="1:5" x14ac:dyDescent="0.25">
      <c r="A127" s="449">
        <f t="shared" si="1"/>
        <v>126</v>
      </c>
      <c r="B127" s="448">
        <f>'Maxs Tool'!J127</f>
        <v>10</v>
      </c>
      <c r="C127" s="448">
        <f>'Maxs Tool'!K127</f>
        <v>-19.755000000000003</v>
      </c>
      <c r="D127" s="448">
        <f>'Maxs Tool'!L127</f>
        <v>12.25</v>
      </c>
      <c r="E127" s="448">
        <f>'Maxs Tool'!M127</f>
        <v>9</v>
      </c>
    </row>
    <row r="128" spans="1:5" x14ac:dyDescent="0.25">
      <c r="A128" s="449">
        <f t="shared" si="1"/>
        <v>127</v>
      </c>
      <c r="B128" s="448">
        <f>'Maxs Tool'!J128</f>
        <v>10</v>
      </c>
      <c r="C128" s="448">
        <f>'Maxs Tool'!K128</f>
        <v>-19.755000000000003</v>
      </c>
      <c r="D128" s="448">
        <f>'Maxs Tool'!L128</f>
        <v>12.25</v>
      </c>
      <c r="E128" s="448">
        <f>'Maxs Tool'!M128</f>
        <v>10.1</v>
      </c>
    </row>
    <row r="129" spans="1:5" x14ac:dyDescent="0.25">
      <c r="A129" s="449">
        <f t="shared" si="1"/>
        <v>128</v>
      </c>
      <c r="B129" s="448">
        <f>'Maxs Tool'!J129</f>
        <v>10</v>
      </c>
      <c r="C129" s="448">
        <f>'Maxs Tool'!K129</f>
        <v>-19.755000000000003</v>
      </c>
      <c r="D129" s="448">
        <f>'Maxs Tool'!L129</f>
        <v>12.25</v>
      </c>
      <c r="E129" s="448">
        <f>'Maxs Tool'!M129</f>
        <v>10.8</v>
      </c>
    </row>
    <row r="130" spans="1:5" x14ac:dyDescent="0.25">
      <c r="A130" s="449">
        <f t="shared" si="1"/>
        <v>129</v>
      </c>
      <c r="B130" s="448">
        <f>'Maxs Tool'!J130</f>
        <v>10</v>
      </c>
      <c r="C130" s="448">
        <f>'Maxs Tool'!K130</f>
        <v>-19.755000000000003</v>
      </c>
      <c r="D130" s="448">
        <f>'Maxs Tool'!L130</f>
        <v>12.25</v>
      </c>
      <c r="E130" s="448">
        <f>'Maxs Tool'!M130</f>
        <v>12.6</v>
      </c>
    </row>
    <row r="131" spans="1:5" x14ac:dyDescent="0.25">
      <c r="A131" s="449">
        <f t="shared" ref="A131:A194" si="2">IF(ISNUMBER(D131),ROW()-1,"")</f>
        <v>130</v>
      </c>
      <c r="B131" s="448">
        <f>'Maxs Tool'!J131</f>
        <v>10</v>
      </c>
      <c r="C131" s="448">
        <f>'Maxs Tool'!K131</f>
        <v>-19.755000000000003</v>
      </c>
      <c r="D131" s="448">
        <f>'Maxs Tool'!L131</f>
        <v>12.25</v>
      </c>
      <c r="E131" s="448">
        <f>'Maxs Tool'!M131</f>
        <v>14.19</v>
      </c>
    </row>
    <row r="132" spans="1:5" x14ac:dyDescent="0.25">
      <c r="A132" s="449">
        <f t="shared" si="2"/>
        <v>131</v>
      </c>
      <c r="B132" s="448">
        <f>'Maxs Tool'!J132</f>
        <v>11</v>
      </c>
      <c r="C132" s="448">
        <f>'Maxs Tool'!K132</f>
        <v>-13.170000000000002</v>
      </c>
      <c r="D132" s="448">
        <f>'Maxs Tool'!L132</f>
        <v>0</v>
      </c>
      <c r="E132" s="448">
        <f>'Maxs Tool'!M132</f>
        <v>0</v>
      </c>
    </row>
    <row r="133" spans="1:5" x14ac:dyDescent="0.25">
      <c r="A133" s="449">
        <f t="shared" si="2"/>
        <v>132</v>
      </c>
      <c r="B133" s="448">
        <f>'Maxs Tool'!J133</f>
        <v>11</v>
      </c>
      <c r="C133" s="448">
        <f>'Maxs Tool'!K133</f>
        <v>-13.170000000000002</v>
      </c>
      <c r="D133" s="448">
        <f>'Maxs Tool'!L133</f>
        <v>5.9</v>
      </c>
      <c r="E133" s="448">
        <f>'Maxs Tool'!M133</f>
        <v>0</v>
      </c>
    </row>
    <row r="134" spans="1:5" x14ac:dyDescent="0.25">
      <c r="A134" s="449">
        <f t="shared" si="2"/>
        <v>133</v>
      </c>
      <c r="B134" s="448">
        <f>'Maxs Tool'!J134</f>
        <v>11</v>
      </c>
      <c r="C134" s="448">
        <f>'Maxs Tool'!K134</f>
        <v>-13.170000000000002</v>
      </c>
      <c r="D134" s="448">
        <f>'Maxs Tool'!L134</f>
        <v>10.16</v>
      </c>
      <c r="E134" s="448">
        <f>'Maxs Tool'!M134</f>
        <v>0.9</v>
      </c>
    </row>
    <row r="135" spans="1:5" x14ac:dyDescent="0.25">
      <c r="A135" s="449">
        <f t="shared" si="2"/>
        <v>134</v>
      </c>
      <c r="B135" s="448">
        <f>'Maxs Tool'!J135</f>
        <v>11</v>
      </c>
      <c r="C135" s="448">
        <f>'Maxs Tool'!K135</f>
        <v>-13.170000000000002</v>
      </c>
      <c r="D135" s="448">
        <f>'Maxs Tool'!L135</f>
        <v>11.35</v>
      </c>
      <c r="E135" s="448">
        <f>'Maxs Tool'!M135</f>
        <v>1.8</v>
      </c>
    </row>
    <row r="136" spans="1:5" x14ac:dyDescent="0.25">
      <c r="A136" s="449">
        <f t="shared" si="2"/>
        <v>135</v>
      </c>
      <c r="B136" s="448">
        <f>'Maxs Tool'!J136</f>
        <v>11</v>
      </c>
      <c r="C136" s="448">
        <f>'Maxs Tool'!K136</f>
        <v>-13.170000000000002</v>
      </c>
      <c r="D136" s="448">
        <f>'Maxs Tool'!L136</f>
        <v>11.9</v>
      </c>
      <c r="E136" s="448">
        <f>'Maxs Tool'!M136</f>
        <v>2.7</v>
      </c>
    </row>
    <row r="137" spans="1:5" x14ac:dyDescent="0.25">
      <c r="A137" s="449">
        <f t="shared" si="2"/>
        <v>136</v>
      </c>
      <c r="B137" s="448">
        <f>'Maxs Tool'!J137</f>
        <v>11</v>
      </c>
      <c r="C137" s="448">
        <f>'Maxs Tool'!K137</f>
        <v>-13.170000000000002</v>
      </c>
      <c r="D137" s="448">
        <f>'Maxs Tool'!L137</f>
        <v>12.18</v>
      </c>
      <c r="E137" s="448">
        <f>'Maxs Tool'!M137</f>
        <v>3.6</v>
      </c>
    </row>
    <row r="138" spans="1:5" x14ac:dyDescent="0.25">
      <c r="A138" s="449">
        <f t="shared" si="2"/>
        <v>137</v>
      </c>
      <c r="B138" s="448">
        <f>'Maxs Tool'!J138</f>
        <v>11</v>
      </c>
      <c r="C138" s="448">
        <f>'Maxs Tool'!K138</f>
        <v>-13.170000000000002</v>
      </c>
      <c r="D138" s="448">
        <f>'Maxs Tool'!L138</f>
        <v>12.25</v>
      </c>
      <c r="E138" s="448">
        <f>'Maxs Tool'!M138</f>
        <v>5.4</v>
      </c>
    </row>
    <row r="139" spans="1:5" x14ac:dyDescent="0.25">
      <c r="A139" s="449">
        <f t="shared" si="2"/>
        <v>138</v>
      </c>
      <c r="B139" s="448">
        <f>'Maxs Tool'!J139</f>
        <v>11</v>
      </c>
      <c r="C139" s="448">
        <f>'Maxs Tool'!K139</f>
        <v>-13.170000000000002</v>
      </c>
      <c r="D139" s="448">
        <f>'Maxs Tool'!L139</f>
        <v>12.25</v>
      </c>
      <c r="E139" s="448">
        <f>'Maxs Tool'!M139</f>
        <v>7.2</v>
      </c>
    </row>
    <row r="140" spans="1:5" x14ac:dyDescent="0.25">
      <c r="A140" s="449">
        <f t="shared" si="2"/>
        <v>139</v>
      </c>
      <c r="B140" s="448">
        <f>'Maxs Tool'!J140</f>
        <v>11</v>
      </c>
      <c r="C140" s="448">
        <f>'Maxs Tool'!K140</f>
        <v>-13.170000000000002</v>
      </c>
      <c r="D140" s="448">
        <f>'Maxs Tool'!L140</f>
        <v>12.25</v>
      </c>
      <c r="E140" s="448">
        <f>'Maxs Tool'!M140</f>
        <v>9</v>
      </c>
    </row>
    <row r="141" spans="1:5" x14ac:dyDescent="0.25">
      <c r="A141" s="449">
        <f t="shared" si="2"/>
        <v>140</v>
      </c>
      <c r="B141" s="448">
        <f>'Maxs Tool'!J141</f>
        <v>11</v>
      </c>
      <c r="C141" s="448">
        <f>'Maxs Tool'!K141</f>
        <v>-13.170000000000002</v>
      </c>
      <c r="D141" s="448">
        <f>'Maxs Tool'!L141</f>
        <v>12.25</v>
      </c>
      <c r="E141" s="448">
        <f>'Maxs Tool'!M141</f>
        <v>10.1</v>
      </c>
    </row>
    <row r="142" spans="1:5" x14ac:dyDescent="0.25">
      <c r="A142" s="449">
        <f t="shared" si="2"/>
        <v>141</v>
      </c>
      <c r="B142" s="448">
        <f>'Maxs Tool'!J142</f>
        <v>11</v>
      </c>
      <c r="C142" s="448">
        <f>'Maxs Tool'!K142</f>
        <v>-13.170000000000002</v>
      </c>
      <c r="D142" s="448">
        <f>'Maxs Tool'!L142</f>
        <v>12.25</v>
      </c>
      <c r="E142" s="448">
        <f>'Maxs Tool'!M142</f>
        <v>10.8</v>
      </c>
    </row>
    <row r="143" spans="1:5" x14ac:dyDescent="0.25">
      <c r="A143" s="449">
        <f t="shared" si="2"/>
        <v>142</v>
      </c>
      <c r="B143" s="448">
        <f>'Maxs Tool'!J143</f>
        <v>11</v>
      </c>
      <c r="C143" s="448">
        <f>'Maxs Tool'!K143</f>
        <v>-13.170000000000002</v>
      </c>
      <c r="D143" s="448">
        <f>'Maxs Tool'!L143</f>
        <v>12.25</v>
      </c>
      <c r="E143" s="448">
        <f>'Maxs Tool'!M143</f>
        <v>12.6</v>
      </c>
    </row>
    <row r="144" spans="1:5" x14ac:dyDescent="0.25">
      <c r="A144" s="449">
        <f t="shared" si="2"/>
        <v>143</v>
      </c>
      <c r="B144" s="448">
        <f>'Maxs Tool'!J144</f>
        <v>11</v>
      </c>
      <c r="C144" s="448">
        <f>'Maxs Tool'!K144</f>
        <v>-13.170000000000002</v>
      </c>
      <c r="D144" s="448">
        <f>'Maxs Tool'!L144</f>
        <v>12.25</v>
      </c>
      <c r="E144" s="448">
        <f>'Maxs Tool'!M144</f>
        <v>14.19</v>
      </c>
    </row>
    <row r="145" spans="1:5" x14ac:dyDescent="0.25">
      <c r="A145" s="449">
        <f t="shared" si="2"/>
        <v>144</v>
      </c>
      <c r="B145" s="448">
        <f>'Maxs Tool'!J145</f>
        <v>12</v>
      </c>
      <c r="C145" s="448">
        <f>'Maxs Tool'!K145</f>
        <v>-6.5850000000000009</v>
      </c>
      <c r="D145" s="448">
        <f>'Maxs Tool'!L145</f>
        <v>0</v>
      </c>
      <c r="E145" s="448">
        <f>'Maxs Tool'!M145</f>
        <v>0</v>
      </c>
    </row>
    <row r="146" spans="1:5" x14ac:dyDescent="0.25">
      <c r="A146" s="449">
        <f t="shared" si="2"/>
        <v>145</v>
      </c>
      <c r="B146" s="448">
        <f>'Maxs Tool'!J146</f>
        <v>12</v>
      </c>
      <c r="C146" s="448">
        <f>'Maxs Tool'!K146</f>
        <v>-6.5850000000000009</v>
      </c>
      <c r="D146" s="448">
        <f>'Maxs Tool'!L146</f>
        <v>7.2</v>
      </c>
      <c r="E146" s="448">
        <f>'Maxs Tool'!M146</f>
        <v>0</v>
      </c>
    </row>
    <row r="147" spans="1:5" x14ac:dyDescent="0.25">
      <c r="A147" s="449">
        <f t="shared" si="2"/>
        <v>146</v>
      </c>
      <c r="B147" s="448">
        <f>'Maxs Tool'!J147</f>
        <v>12</v>
      </c>
      <c r="C147" s="448">
        <f>'Maxs Tool'!K147</f>
        <v>-6.5850000000000009</v>
      </c>
      <c r="D147" s="448">
        <f>'Maxs Tool'!L147</f>
        <v>10.78</v>
      </c>
      <c r="E147" s="448">
        <f>'Maxs Tool'!M147</f>
        <v>0.9</v>
      </c>
    </row>
    <row r="148" spans="1:5" x14ac:dyDescent="0.25">
      <c r="A148" s="449">
        <f t="shared" si="2"/>
        <v>147</v>
      </c>
      <c r="B148" s="448">
        <f>'Maxs Tool'!J148</f>
        <v>12</v>
      </c>
      <c r="C148" s="448">
        <f>'Maxs Tool'!K148</f>
        <v>-6.5850000000000009</v>
      </c>
      <c r="D148" s="448">
        <f>'Maxs Tool'!L148</f>
        <v>11.72</v>
      </c>
      <c r="E148" s="448">
        <f>'Maxs Tool'!M148</f>
        <v>1.8</v>
      </c>
    </row>
    <row r="149" spans="1:5" x14ac:dyDescent="0.25">
      <c r="A149" s="449">
        <f t="shared" si="2"/>
        <v>148</v>
      </c>
      <c r="B149" s="448">
        <f>'Maxs Tool'!J149</f>
        <v>12</v>
      </c>
      <c r="C149" s="448">
        <f>'Maxs Tool'!K149</f>
        <v>-6.5850000000000009</v>
      </c>
      <c r="D149" s="448">
        <f>'Maxs Tool'!L149</f>
        <v>12.12</v>
      </c>
      <c r="E149" s="448">
        <f>'Maxs Tool'!M149</f>
        <v>2.7</v>
      </c>
    </row>
    <row r="150" spans="1:5" x14ac:dyDescent="0.25">
      <c r="A150" s="449">
        <f t="shared" si="2"/>
        <v>149</v>
      </c>
      <c r="B150" s="448">
        <f>'Maxs Tool'!J150</f>
        <v>12</v>
      </c>
      <c r="C150" s="448">
        <f>'Maxs Tool'!K150</f>
        <v>-6.5850000000000009</v>
      </c>
      <c r="D150" s="448">
        <f>'Maxs Tool'!L150</f>
        <v>12.25</v>
      </c>
      <c r="E150" s="448">
        <f>'Maxs Tool'!M150</f>
        <v>3.6</v>
      </c>
    </row>
    <row r="151" spans="1:5" x14ac:dyDescent="0.25">
      <c r="A151" s="449">
        <f t="shared" si="2"/>
        <v>150</v>
      </c>
      <c r="B151" s="448">
        <f>'Maxs Tool'!J151</f>
        <v>12</v>
      </c>
      <c r="C151" s="448">
        <f>'Maxs Tool'!K151</f>
        <v>-6.5850000000000009</v>
      </c>
      <c r="D151" s="448">
        <f>'Maxs Tool'!L151</f>
        <v>12.25</v>
      </c>
      <c r="E151" s="448">
        <f>'Maxs Tool'!M151</f>
        <v>5.4</v>
      </c>
    </row>
    <row r="152" spans="1:5" x14ac:dyDescent="0.25">
      <c r="A152" s="449">
        <f t="shared" si="2"/>
        <v>151</v>
      </c>
      <c r="B152" s="448">
        <f>'Maxs Tool'!J152</f>
        <v>12</v>
      </c>
      <c r="C152" s="448">
        <f>'Maxs Tool'!K152</f>
        <v>-6.5850000000000009</v>
      </c>
      <c r="D152" s="448">
        <f>'Maxs Tool'!L152</f>
        <v>12.25</v>
      </c>
      <c r="E152" s="448">
        <f>'Maxs Tool'!M152</f>
        <v>7.2</v>
      </c>
    </row>
    <row r="153" spans="1:5" x14ac:dyDescent="0.25">
      <c r="A153" s="449">
        <f t="shared" si="2"/>
        <v>152</v>
      </c>
      <c r="B153" s="448">
        <f>'Maxs Tool'!J153</f>
        <v>12</v>
      </c>
      <c r="C153" s="448">
        <f>'Maxs Tool'!K153</f>
        <v>-6.5850000000000009</v>
      </c>
      <c r="D153" s="448">
        <f>'Maxs Tool'!L153</f>
        <v>12.25</v>
      </c>
      <c r="E153" s="448">
        <f>'Maxs Tool'!M153</f>
        <v>9</v>
      </c>
    </row>
    <row r="154" spans="1:5" x14ac:dyDescent="0.25">
      <c r="A154" s="449">
        <f t="shared" si="2"/>
        <v>153</v>
      </c>
      <c r="B154" s="448">
        <f>'Maxs Tool'!J154</f>
        <v>12</v>
      </c>
      <c r="C154" s="448">
        <f>'Maxs Tool'!K154</f>
        <v>-6.5850000000000009</v>
      </c>
      <c r="D154" s="448">
        <f>'Maxs Tool'!L154</f>
        <v>12.25</v>
      </c>
      <c r="E154" s="448">
        <f>'Maxs Tool'!M154</f>
        <v>10.1</v>
      </c>
    </row>
    <row r="155" spans="1:5" x14ac:dyDescent="0.25">
      <c r="A155" s="449">
        <f t="shared" si="2"/>
        <v>154</v>
      </c>
      <c r="B155" s="448">
        <f>'Maxs Tool'!J155</f>
        <v>12</v>
      </c>
      <c r="C155" s="448">
        <f>'Maxs Tool'!K155</f>
        <v>-6.5850000000000009</v>
      </c>
      <c r="D155" s="448">
        <f>'Maxs Tool'!L155</f>
        <v>12.25</v>
      </c>
      <c r="E155" s="448">
        <f>'Maxs Tool'!M155</f>
        <v>10.8</v>
      </c>
    </row>
    <row r="156" spans="1:5" x14ac:dyDescent="0.25">
      <c r="A156" s="449">
        <f t="shared" si="2"/>
        <v>155</v>
      </c>
      <c r="B156" s="448">
        <f>'Maxs Tool'!J156</f>
        <v>12</v>
      </c>
      <c r="C156" s="448">
        <f>'Maxs Tool'!K156</f>
        <v>-6.5850000000000009</v>
      </c>
      <c r="D156" s="448">
        <f>'Maxs Tool'!L156</f>
        <v>12.25</v>
      </c>
      <c r="E156" s="448">
        <f>'Maxs Tool'!M156</f>
        <v>12.6</v>
      </c>
    </row>
    <row r="157" spans="1:5" x14ac:dyDescent="0.25">
      <c r="A157" s="449">
        <f t="shared" si="2"/>
        <v>156</v>
      </c>
      <c r="B157" s="448">
        <f>'Maxs Tool'!J157</f>
        <v>12</v>
      </c>
      <c r="C157" s="448">
        <f>'Maxs Tool'!K157</f>
        <v>-6.5850000000000009</v>
      </c>
      <c r="D157" s="448">
        <f>'Maxs Tool'!L157</f>
        <v>12.25</v>
      </c>
      <c r="E157" s="448">
        <f>'Maxs Tool'!M157</f>
        <v>14.19</v>
      </c>
    </row>
    <row r="158" spans="1:5" x14ac:dyDescent="0.25">
      <c r="A158" s="449">
        <f t="shared" si="2"/>
        <v>157</v>
      </c>
      <c r="B158" s="448">
        <f>'Maxs Tool'!J158</f>
        <v>13</v>
      </c>
      <c r="C158" s="448">
        <f>'Maxs Tool'!K158</f>
        <v>0</v>
      </c>
      <c r="D158" s="448">
        <f>'Maxs Tool'!L158</f>
        <v>0</v>
      </c>
      <c r="E158" s="448">
        <f>'Maxs Tool'!M158</f>
        <v>0</v>
      </c>
    </row>
    <row r="159" spans="1:5" x14ac:dyDescent="0.25">
      <c r="A159" s="449">
        <f t="shared" si="2"/>
        <v>158</v>
      </c>
      <c r="B159" s="448">
        <f>'Maxs Tool'!J159</f>
        <v>13</v>
      </c>
      <c r="C159" s="448">
        <f>'Maxs Tool'!K159</f>
        <v>0</v>
      </c>
      <c r="D159" s="448">
        <f>'Maxs Tool'!L159</f>
        <v>8.25</v>
      </c>
      <c r="E159" s="448">
        <f>'Maxs Tool'!M159</f>
        <v>0</v>
      </c>
    </row>
    <row r="160" spans="1:5" x14ac:dyDescent="0.25">
      <c r="A160" s="449">
        <f t="shared" si="2"/>
        <v>159</v>
      </c>
      <c r="B160" s="448">
        <f>'Maxs Tool'!J160</f>
        <v>13</v>
      </c>
      <c r="C160" s="448">
        <f>'Maxs Tool'!K160</f>
        <v>0</v>
      </c>
      <c r="D160" s="448">
        <f>'Maxs Tool'!L160</f>
        <v>10.84</v>
      </c>
      <c r="E160" s="448">
        <f>'Maxs Tool'!M160</f>
        <v>0.9</v>
      </c>
    </row>
    <row r="161" spans="1:5" x14ac:dyDescent="0.25">
      <c r="A161" s="449">
        <f t="shared" si="2"/>
        <v>160</v>
      </c>
      <c r="B161" s="448">
        <f>'Maxs Tool'!J161</f>
        <v>13</v>
      </c>
      <c r="C161" s="448">
        <f>'Maxs Tool'!K161</f>
        <v>0</v>
      </c>
      <c r="D161" s="448">
        <f>'Maxs Tool'!L161</f>
        <v>11.76</v>
      </c>
      <c r="E161" s="448">
        <f>'Maxs Tool'!M161</f>
        <v>1.8</v>
      </c>
    </row>
    <row r="162" spans="1:5" x14ac:dyDescent="0.25">
      <c r="A162" s="449">
        <f t="shared" si="2"/>
        <v>161</v>
      </c>
      <c r="B162" s="448">
        <f>'Maxs Tool'!J162</f>
        <v>13</v>
      </c>
      <c r="C162" s="448">
        <f>'Maxs Tool'!K162</f>
        <v>0</v>
      </c>
      <c r="D162" s="448">
        <f>'Maxs Tool'!L162</f>
        <v>12.14</v>
      </c>
      <c r="E162" s="448">
        <f>'Maxs Tool'!M162</f>
        <v>2.7</v>
      </c>
    </row>
    <row r="163" spans="1:5" x14ac:dyDescent="0.25">
      <c r="A163" s="449">
        <f t="shared" si="2"/>
        <v>162</v>
      </c>
      <c r="B163" s="448">
        <f>'Maxs Tool'!J163</f>
        <v>13</v>
      </c>
      <c r="C163" s="448">
        <f>'Maxs Tool'!K163</f>
        <v>0</v>
      </c>
      <c r="D163" s="448">
        <f>'Maxs Tool'!L163</f>
        <v>12.25</v>
      </c>
      <c r="E163" s="448">
        <f>'Maxs Tool'!M163</f>
        <v>3.6</v>
      </c>
    </row>
    <row r="164" spans="1:5" x14ac:dyDescent="0.25">
      <c r="A164" s="449">
        <f t="shared" si="2"/>
        <v>163</v>
      </c>
      <c r="B164" s="448">
        <f>'Maxs Tool'!J164</f>
        <v>13</v>
      </c>
      <c r="C164" s="448">
        <f>'Maxs Tool'!K164</f>
        <v>0</v>
      </c>
      <c r="D164" s="448">
        <f>'Maxs Tool'!L164</f>
        <v>12.25</v>
      </c>
      <c r="E164" s="448">
        <f>'Maxs Tool'!M164</f>
        <v>5.4</v>
      </c>
    </row>
    <row r="165" spans="1:5" x14ac:dyDescent="0.25">
      <c r="A165" s="449">
        <f t="shared" si="2"/>
        <v>164</v>
      </c>
      <c r="B165" s="448">
        <f>'Maxs Tool'!J165</f>
        <v>13</v>
      </c>
      <c r="C165" s="448">
        <f>'Maxs Tool'!K165</f>
        <v>0</v>
      </c>
      <c r="D165" s="448">
        <f>'Maxs Tool'!L165</f>
        <v>12.25</v>
      </c>
      <c r="E165" s="448">
        <f>'Maxs Tool'!M165</f>
        <v>7.2</v>
      </c>
    </row>
    <row r="166" spans="1:5" x14ac:dyDescent="0.25">
      <c r="A166" s="449">
        <f t="shared" si="2"/>
        <v>165</v>
      </c>
      <c r="B166" s="448">
        <f>'Maxs Tool'!J166</f>
        <v>13</v>
      </c>
      <c r="C166" s="448">
        <f>'Maxs Tool'!K166</f>
        <v>0</v>
      </c>
      <c r="D166" s="448">
        <f>'Maxs Tool'!L166</f>
        <v>12.25</v>
      </c>
      <c r="E166" s="448">
        <f>'Maxs Tool'!M166</f>
        <v>9</v>
      </c>
    </row>
    <row r="167" spans="1:5" x14ac:dyDescent="0.25">
      <c r="A167" s="449">
        <f t="shared" si="2"/>
        <v>166</v>
      </c>
      <c r="B167" s="448">
        <f>'Maxs Tool'!J167</f>
        <v>13</v>
      </c>
      <c r="C167" s="448">
        <f>'Maxs Tool'!K167</f>
        <v>0</v>
      </c>
      <c r="D167" s="448">
        <f>'Maxs Tool'!L167</f>
        <v>12.25</v>
      </c>
      <c r="E167" s="448">
        <f>'Maxs Tool'!M167</f>
        <v>10.1</v>
      </c>
    </row>
    <row r="168" spans="1:5" x14ac:dyDescent="0.25">
      <c r="A168" s="449">
        <f t="shared" si="2"/>
        <v>167</v>
      </c>
      <c r="B168" s="448">
        <f>'Maxs Tool'!J168</f>
        <v>13</v>
      </c>
      <c r="C168" s="448">
        <f>'Maxs Tool'!K168</f>
        <v>0</v>
      </c>
      <c r="D168" s="448">
        <f>'Maxs Tool'!L168</f>
        <v>12.25</v>
      </c>
      <c r="E168" s="448">
        <f>'Maxs Tool'!M168</f>
        <v>10.8</v>
      </c>
    </row>
    <row r="169" spans="1:5" x14ac:dyDescent="0.25">
      <c r="A169" s="449">
        <f t="shared" si="2"/>
        <v>168</v>
      </c>
      <c r="B169" s="448">
        <f>'Maxs Tool'!J169</f>
        <v>13</v>
      </c>
      <c r="C169" s="448">
        <f>'Maxs Tool'!K169</f>
        <v>0</v>
      </c>
      <c r="D169" s="448">
        <f>'Maxs Tool'!L169</f>
        <v>12.25</v>
      </c>
      <c r="E169" s="448">
        <f>'Maxs Tool'!M169</f>
        <v>12.6</v>
      </c>
    </row>
    <row r="170" spans="1:5" x14ac:dyDescent="0.25">
      <c r="A170" s="449">
        <f t="shared" si="2"/>
        <v>169</v>
      </c>
      <c r="B170" s="448">
        <f>'Maxs Tool'!J170</f>
        <v>13</v>
      </c>
      <c r="C170" s="448">
        <f>'Maxs Tool'!K170</f>
        <v>0</v>
      </c>
      <c r="D170" s="448">
        <f>'Maxs Tool'!L170</f>
        <v>12.25</v>
      </c>
      <c r="E170" s="448">
        <f>'Maxs Tool'!M170</f>
        <v>14.19</v>
      </c>
    </row>
    <row r="171" spans="1:5" x14ac:dyDescent="0.25">
      <c r="A171" s="449">
        <f t="shared" si="2"/>
        <v>170</v>
      </c>
      <c r="B171" s="448">
        <f>'Maxs Tool'!J171</f>
        <v>14</v>
      </c>
      <c r="C171" s="448">
        <f>'Maxs Tool'!K171</f>
        <v>6.5849999999999937</v>
      </c>
      <c r="D171" s="448">
        <f>'Maxs Tool'!L171</f>
        <v>0</v>
      </c>
      <c r="E171" s="448">
        <f>'Maxs Tool'!M171</f>
        <v>0</v>
      </c>
    </row>
    <row r="172" spans="1:5" x14ac:dyDescent="0.25">
      <c r="A172" s="449">
        <f t="shared" si="2"/>
        <v>171</v>
      </c>
      <c r="B172" s="448">
        <f>'Maxs Tool'!J172</f>
        <v>14</v>
      </c>
      <c r="C172" s="448">
        <f>'Maxs Tool'!K172</f>
        <v>6.5849999999999937</v>
      </c>
      <c r="D172" s="448">
        <f>'Maxs Tool'!L172</f>
        <v>8.6</v>
      </c>
      <c r="E172" s="448">
        <f>'Maxs Tool'!M172</f>
        <v>0</v>
      </c>
    </row>
    <row r="173" spans="1:5" x14ac:dyDescent="0.25">
      <c r="A173" s="449">
        <f t="shared" si="2"/>
        <v>172</v>
      </c>
      <c r="B173" s="448">
        <f>'Maxs Tool'!J173</f>
        <v>14</v>
      </c>
      <c r="C173" s="448">
        <f>'Maxs Tool'!K173</f>
        <v>6.5849999999999937</v>
      </c>
      <c r="D173" s="448">
        <f>'Maxs Tool'!L173</f>
        <v>10.65</v>
      </c>
      <c r="E173" s="448">
        <f>'Maxs Tool'!M173</f>
        <v>0.9</v>
      </c>
    </row>
    <row r="174" spans="1:5" x14ac:dyDescent="0.25">
      <c r="A174" s="449">
        <f t="shared" si="2"/>
        <v>173</v>
      </c>
      <c r="B174" s="448">
        <f>'Maxs Tool'!J174</f>
        <v>14</v>
      </c>
      <c r="C174" s="448">
        <f>'Maxs Tool'!K174</f>
        <v>6.5849999999999937</v>
      </c>
      <c r="D174" s="448">
        <f>'Maxs Tool'!L174</f>
        <v>11.62</v>
      </c>
      <c r="E174" s="448">
        <f>'Maxs Tool'!M174</f>
        <v>1.8</v>
      </c>
    </row>
    <row r="175" spans="1:5" x14ac:dyDescent="0.25">
      <c r="A175" s="449">
        <f t="shared" si="2"/>
        <v>174</v>
      </c>
      <c r="B175" s="448">
        <f>'Maxs Tool'!J175</f>
        <v>14</v>
      </c>
      <c r="C175" s="448">
        <f>'Maxs Tool'!K175</f>
        <v>6.5849999999999937</v>
      </c>
      <c r="D175" s="448">
        <f>'Maxs Tool'!L175</f>
        <v>12.04</v>
      </c>
      <c r="E175" s="448">
        <f>'Maxs Tool'!M175</f>
        <v>2.7</v>
      </c>
    </row>
    <row r="176" spans="1:5" x14ac:dyDescent="0.25">
      <c r="A176" s="449">
        <f t="shared" si="2"/>
        <v>175</v>
      </c>
      <c r="B176" s="448">
        <f>'Maxs Tool'!J176</f>
        <v>14</v>
      </c>
      <c r="C176" s="448">
        <f>'Maxs Tool'!K176</f>
        <v>6.5849999999999937</v>
      </c>
      <c r="D176" s="448">
        <f>'Maxs Tool'!L176</f>
        <v>12.21</v>
      </c>
      <c r="E176" s="448">
        <f>'Maxs Tool'!M176</f>
        <v>3.6</v>
      </c>
    </row>
    <row r="177" spans="1:5" x14ac:dyDescent="0.25">
      <c r="A177" s="449">
        <f t="shared" si="2"/>
        <v>176</v>
      </c>
      <c r="B177" s="448">
        <f>'Maxs Tool'!J177</f>
        <v>14</v>
      </c>
      <c r="C177" s="448">
        <f>'Maxs Tool'!K177</f>
        <v>6.5849999999999937</v>
      </c>
      <c r="D177" s="448">
        <f>'Maxs Tool'!L177</f>
        <v>12.25</v>
      </c>
      <c r="E177" s="448">
        <f>'Maxs Tool'!M177</f>
        <v>5.4</v>
      </c>
    </row>
    <row r="178" spans="1:5" x14ac:dyDescent="0.25">
      <c r="A178" s="449">
        <f t="shared" si="2"/>
        <v>177</v>
      </c>
      <c r="B178" s="448">
        <f>'Maxs Tool'!J178</f>
        <v>14</v>
      </c>
      <c r="C178" s="448">
        <f>'Maxs Tool'!K178</f>
        <v>6.5849999999999937</v>
      </c>
      <c r="D178" s="448">
        <f>'Maxs Tool'!L178</f>
        <v>12.25</v>
      </c>
      <c r="E178" s="448">
        <f>'Maxs Tool'!M178</f>
        <v>7.2</v>
      </c>
    </row>
    <row r="179" spans="1:5" x14ac:dyDescent="0.25">
      <c r="A179" s="449">
        <f t="shared" si="2"/>
        <v>178</v>
      </c>
      <c r="B179" s="448">
        <f>'Maxs Tool'!J179</f>
        <v>14</v>
      </c>
      <c r="C179" s="448">
        <f>'Maxs Tool'!K179</f>
        <v>6.5849999999999937</v>
      </c>
      <c r="D179" s="448">
        <f>'Maxs Tool'!L179</f>
        <v>12.25</v>
      </c>
      <c r="E179" s="448">
        <f>'Maxs Tool'!M179</f>
        <v>9</v>
      </c>
    </row>
    <row r="180" spans="1:5" x14ac:dyDescent="0.25">
      <c r="A180" s="449">
        <f t="shared" si="2"/>
        <v>179</v>
      </c>
      <c r="B180" s="448">
        <f>'Maxs Tool'!J180</f>
        <v>14</v>
      </c>
      <c r="C180" s="448">
        <f>'Maxs Tool'!K180</f>
        <v>6.5849999999999937</v>
      </c>
      <c r="D180" s="448">
        <f>'Maxs Tool'!L180</f>
        <v>12.25</v>
      </c>
      <c r="E180" s="448">
        <f>'Maxs Tool'!M180</f>
        <v>10.1</v>
      </c>
    </row>
    <row r="181" spans="1:5" x14ac:dyDescent="0.25">
      <c r="A181" s="449">
        <f t="shared" si="2"/>
        <v>180</v>
      </c>
      <c r="B181" s="448">
        <f>'Maxs Tool'!J181</f>
        <v>14</v>
      </c>
      <c r="C181" s="448">
        <f>'Maxs Tool'!K181</f>
        <v>6.5849999999999937</v>
      </c>
      <c r="D181" s="448">
        <f>'Maxs Tool'!L181</f>
        <v>12.25</v>
      </c>
      <c r="E181" s="448">
        <f>'Maxs Tool'!M181</f>
        <v>10.8</v>
      </c>
    </row>
    <row r="182" spans="1:5" x14ac:dyDescent="0.25">
      <c r="A182" s="449">
        <f t="shared" si="2"/>
        <v>181</v>
      </c>
      <c r="B182" s="448">
        <f>'Maxs Tool'!J182</f>
        <v>14</v>
      </c>
      <c r="C182" s="448">
        <f>'Maxs Tool'!K182</f>
        <v>6.5849999999999937</v>
      </c>
      <c r="D182" s="448">
        <f>'Maxs Tool'!L182</f>
        <v>12.25</v>
      </c>
      <c r="E182" s="448">
        <f>'Maxs Tool'!M182</f>
        <v>12.6</v>
      </c>
    </row>
    <row r="183" spans="1:5" x14ac:dyDescent="0.25">
      <c r="A183" s="449">
        <f t="shared" si="2"/>
        <v>182</v>
      </c>
      <c r="B183" s="448">
        <f>'Maxs Tool'!J183</f>
        <v>14</v>
      </c>
      <c r="C183" s="448">
        <f>'Maxs Tool'!K183</f>
        <v>6.5849999999999937</v>
      </c>
      <c r="D183" s="448">
        <f>'Maxs Tool'!L183</f>
        <v>12.25</v>
      </c>
      <c r="E183" s="448">
        <f>'Maxs Tool'!M183</f>
        <v>14.19</v>
      </c>
    </row>
    <row r="184" spans="1:5" x14ac:dyDescent="0.25">
      <c r="A184" s="449">
        <f t="shared" si="2"/>
        <v>183</v>
      </c>
      <c r="B184" s="448">
        <f>'Maxs Tool'!J184</f>
        <v>15</v>
      </c>
      <c r="C184" s="448">
        <f>'Maxs Tool'!K184</f>
        <v>13.169999999999987</v>
      </c>
      <c r="D184" s="448">
        <f>'Maxs Tool'!L184</f>
        <v>0</v>
      </c>
      <c r="E184" s="448">
        <f>'Maxs Tool'!M184</f>
        <v>0</v>
      </c>
    </row>
    <row r="185" spans="1:5" x14ac:dyDescent="0.25">
      <c r="A185" s="449">
        <f t="shared" si="2"/>
        <v>184</v>
      </c>
      <c r="B185" s="448">
        <f>'Maxs Tool'!J185</f>
        <v>15</v>
      </c>
      <c r="C185" s="448">
        <f>'Maxs Tool'!K185</f>
        <v>13.169999999999987</v>
      </c>
      <c r="D185" s="448">
        <f>'Maxs Tool'!L185</f>
        <v>7.85</v>
      </c>
      <c r="E185" s="448">
        <f>'Maxs Tool'!M185</f>
        <v>0</v>
      </c>
    </row>
    <row r="186" spans="1:5" x14ac:dyDescent="0.25">
      <c r="A186" s="449">
        <f t="shared" si="2"/>
        <v>185</v>
      </c>
      <c r="B186" s="448">
        <f>'Maxs Tool'!J186</f>
        <v>15</v>
      </c>
      <c r="C186" s="448">
        <f>'Maxs Tool'!K186</f>
        <v>13.169999999999987</v>
      </c>
      <c r="D186" s="448">
        <f>'Maxs Tool'!L186</f>
        <v>10.02</v>
      </c>
      <c r="E186" s="448">
        <f>'Maxs Tool'!M186</f>
        <v>0.9</v>
      </c>
    </row>
    <row r="187" spans="1:5" x14ac:dyDescent="0.25">
      <c r="A187" s="449">
        <f t="shared" si="2"/>
        <v>186</v>
      </c>
      <c r="B187" s="448">
        <f>'Maxs Tool'!J187</f>
        <v>15</v>
      </c>
      <c r="C187" s="448">
        <f>'Maxs Tool'!K187</f>
        <v>13.169999999999987</v>
      </c>
      <c r="D187" s="448">
        <f>'Maxs Tool'!L187</f>
        <v>11.1</v>
      </c>
      <c r="E187" s="448">
        <f>'Maxs Tool'!M187</f>
        <v>1.8</v>
      </c>
    </row>
    <row r="188" spans="1:5" x14ac:dyDescent="0.25">
      <c r="A188" s="449">
        <f t="shared" si="2"/>
        <v>187</v>
      </c>
      <c r="B188" s="448">
        <f>'Maxs Tool'!J188</f>
        <v>15</v>
      </c>
      <c r="C188" s="448">
        <f>'Maxs Tool'!K188</f>
        <v>13.169999999999987</v>
      </c>
      <c r="D188" s="448">
        <f>'Maxs Tool'!L188</f>
        <v>11.63</v>
      </c>
      <c r="E188" s="448">
        <f>'Maxs Tool'!M188</f>
        <v>2.7</v>
      </c>
    </row>
    <row r="189" spans="1:5" x14ac:dyDescent="0.25">
      <c r="A189" s="449">
        <f t="shared" si="2"/>
        <v>188</v>
      </c>
      <c r="B189" s="448">
        <f>'Maxs Tool'!J189</f>
        <v>15</v>
      </c>
      <c r="C189" s="448">
        <f>'Maxs Tool'!K189</f>
        <v>13.169999999999987</v>
      </c>
      <c r="D189" s="448">
        <f>'Maxs Tool'!L189</f>
        <v>11.92</v>
      </c>
      <c r="E189" s="448">
        <f>'Maxs Tool'!M189</f>
        <v>3.6</v>
      </c>
    </row>
    <row r="190" spans="1:5" x14ac:dyDescent="0.25">
      <c r="A190" s="449">
        <f t="shared" si="2"/>
        <v>189</v>
      </c>
      <c r="B190" s="448">
        <f>'Maxs Tool'!J190</f>
        <v>15</v>
      </c>
      <c r="C190" s="448">
        <f>'Maxs Tool'!K190</f>
        <v>13.169999999999987</v>
      </c>
      <c r="D190" s="448">
        <f>'Maxs Tool'!L190</f>
        <v>12.2</v>
      </c>
      <c r="E190" s="448">
        <f>'Maxs Tool'!M190</f>
        <v>5.4</v>
      </c>
    </row>
    <row r="191" spans="1:5" x14ac:dyDescent="0.25">
      <c r="A191" s="449">
        <f t="shared" si="2"/>
        <v>190</v>
      </c>
      <c r="B191" s="448">
        <f>'Maxs Tool'!J191</f>
        <v>15</v>
      </c>
      <c r="C191" s="448">
        <f>'Maxs Tool'!K191</f>
        <v>13.169999999999987</v>
      </c>
      <c r="D191" s="448">
        <f>'Maxs Tool'!L191</f>
        <v>12.25</v>
      </c>
      <c r="E191" s="448">
        <f>'Maxs Tool'!M191</f>
        <v>7.2</v>
      </c>
    </row>
    <row r="192" spans="1:5" x14ac:dyDescent="0.25">
      <c r="A192" s="449">
        <f t="shared" si="2"/>
        <v>191</v>
      </c>
      <c r="B192" s="448">
        <f>'Maxs Tool'!J192</f>
        <v>15</v>
      </c>
      <c r="C192" s="448">
        <f>'Maxs Tool'!K192</f>
        <v>13.169999999999987</v>
      </c>
      <c r="D192" s="448">
        <f>'Maxs Tool'!L192</f>
        <v>12.25</v>
      </c>
      <c r="E192" s="448">
        <f>'Maxs Tool'!M192</f>
        <v>9</v>
      </c>
    </row>
    <row r="193" spans="1:5" x14ac:dyDescent="0.25">
      <c r="A193" s="449">
        <f t="shared" si="2"/>
        <v>192</v>
      </c>
      <c r="B193" s="448">
        <f>'Maxs Tool'!J193</f>
        <v>15</v>
      </c>
      <c r="C193" s="448">
        <f>'Maxs Tool'!K193</f>
        <v>13.169999999999987</v>
      </c>
      <c r="D193" s="448">
        <f>'Maxs Tool'!L193</f>
        <v>12.25</v>
      </c>
      <c r="E193" s="448">
        <f>'Maxs Tool'!M193</f>
        <v>10.1</v>
      </c>
    </row>
    <row r="194" spans="1:5" x14ac:dyDescent="0.25">
      <c r="A194" s="449">
        <f t="shared" si="2"/>
        <v>193</v>
      </c>
      <c r="B194" s="448">
        <f>'Maxs Tool'!J194</f>
        <v>15</v>
      </c>
      <c r="C194" s="448">
        <f>'Maxs Tool'!K194</f>
        <v>13.169999999999987</v>
      </c>
      <c r="D194" s="448">
        <f>'Maxs Tool'!L194</f>
        <v>12.25</v>
      </c>
      <c r="E194" s="448">
        <f>'Maxs Tool'!M194</f>
        <v>10.8</v>
      </c>
    </row>
    <row r="195" spans="1:5" x14ac:dyDescent="0.25">
      <c r="A195" s="449">
        <f t="shared" ref="A195:A258" si="3">IF(ISNUMBER(D195),ROW()-1,"")</f>
        <v>194</v>
      </c>
      <c r="B195" s="448">
        <f>'Maxs Tool'!J195</f>
        <v>15</v>
      </c>
      <c r="C195" s="448">
        <f>'Maxs Tool'!K195</f>
        <v>13.169999999999987</v>
      </c>
      <c r="D195" s="448">
        <f>'Maxs Tool'!L195</f>
        <v>12.25</v>
      </c>
      <c r="E195" s="448">
        <f>'Maxs Tool'!M195</f>
        <v>12.6</v>
      </c>
    </row>
    <row r="196" spans="1:5" x14ac:dyDescent="0.25">
      <c r="A196" s="449">
        <f t="shared" si="3"/>
        <v>195</v>
      </c>
      <c r="B196" s="448">
        <f>'Maxs Tool'!J196</f>
        <v>15</v>
      </c>
      <c r="C196" s="448">
        <f>'Maxs Tool'!K196</f>
        <v>13.169999999999987</v>
      </c>
      <c r="D196" s="448">
        <f>'Maxs Tool'!L196</f>
        <v>12.25</v>
      </c>
      <c r="E196" s="448">
        <f>'Maxs Tool'!M196</f>
        <v>14.19</v>
      </c>
    </row>
    <row r="197" spans="1:5" x14ac:dyDescent="0.25">
      <c r="A197" s="449">
        <f t="shared" si="3"/>
        <v>196</v>
      </c>
      <c r="B197" s="448">
        <f>'Maxs Tool'!J197</f>
        <v>16</v>
      </c>
      <c r="C197" s="448">
        <f>'Maxs Tool'!K197</f>
        <v>19.754999999999995</v>
      </c>
      <c r="D197" s="448">
        <f>'Maxs Tool'!L197</f>
        <v>0</v>
      </c>
      <c r="E197" s="448">
        <f>'Maxs Tool'!M197</f>
        <v>0</v>
      </c>
    </row>
    <row r="198" spans="1:5" x14ac:dyDescent="0.25">
      <c r="A198" s="449">
        <f t="shared" si="3"/>
        <v>197</v>
      </c>
      <c r="B198" s="448">
        <f>'Maxs Tool'!J198</f>
        <v>16</v>
      </c>
      <c r="C198" s="448">
        <f>'Maxs Tool'!K198</f>
        <v>19.754999999999995</v>
      </c>
      <c r="D198" s="448">
        <f>'Maxs Tool'!L198</f>
        <v>6.7</v>
      </c>
      <c r="E198" s="448">
        <f>'Maxs Tool'!M198</f>
        <v>0</v>
      </c>
    </row>
    <row r="199" spans="1:5" x14ac:dyDescent="0.25">
      <c r="A199" s="449">
        <f t="shared" si="3"/>
        <v>198</v>
      </c>
      <c r="B199" s="448">
        <f>'Maxs Tool'!J199</f>
        <v>16</v>
      </c>
      <c r="C199" s="448">
        <f>'Maxs Tool'!K199</f>
        <v>19.754999999999995</v>
      </c>
      <c r="D199" s="448">
        <f>'Maxs Tool'!L199</f>
        <v>8.84</v>
      </c>
      <c r="E199" s="448">
        <f>'Maxs Tool'!M199</f>
        <v>0.9</v>
      </c>
    </row>
    <row r="200" spans="1:5" x14ac:dyDescent="0.25">
      <c r="A200" s="449">
        <f t="shared" si="3"/>
        <v>199</v>
      </c>
      <c r="B200" s="448">
        <f>'Maxs Tool'!J200</f>
        <v>16</v>
      </c>
      <c r="C200" s="448">
        <f>'Maxs Tool'!K200</f>
        <v>19.754999999999995</v>
      </c>
      <c r="D200" s="448">
        <f>'Maxs Tool'!L200</f>
        <v>10.029999999999999</v>
      </c>
      <c r="E200" s="448">
        <f>'Maxs Tool'!M200</f>
        <v>1.8</v>
      </c>
    </row>
    <row r="201" spans="1:5" x14ac:dyDescent="0.25">
      <c r="A201" s="449">
        <f t="shared" si="3"/>
        <v>200</v>
      </c>
      <c r="B201" s="448">
        <f>'Maxs Tool'!J201</f>
        <v>16</v>
      </c>
      <c r="C201" s="448">
        <f>'Maxs Tool'!K201</f>
        <v>19.754999999999995</v>
      </c>
      <c r="D201" s="448">
        <f>'Maxs Tool'!L201</f>
        <v>10.68</v>
      </c>
      <c r="E201" s="448">
        <f>'Maxs Tool'!M201</f>
        <v>2.7</v>
      </c>
    </row>
    <row r="202" spans="1:5" x14ac:dyDescent="0.25">
      <c r="A202" s="449">
        <f t="shared" si="3"/>
        <v>201</v>
      </c>
      <c r="B202" s="448">
        <f>'Maxs Tool'!J202</f>
        <v>16</v>
      </c>
      <c r="C202" s="448">
        <f>'Maxs Tool'!K202</f>
        <v>19.754999999999995</v>
      </c>
      <c r="D202" s="448">
        <f>'Maxs Tool'!L202</f>
        <v>11.1</v>
      </c>
      <c r="E202" s="448">
        <f>'Maxs Tool'!M202</f>
        <v>3.6</v>
      </c>
    </row>
    <row r="203" spans="1:5" x14ac:dyDescent="0.25">
      <c r="A203" s="449">
        <f t="shared" si="3"/>
        <v>202</v>
      </c>
      <c r="B203" s="448">
        <f>'Maxs Tool'!J203</f>
        <v>16</v>
      </c>
      <c r="C203" s="448">
        <f>'Maxs Tool'!K203</f>
        <v>19.754999999999995</v>
      </c>
      <c r="D203" s="448">
        <f>'Maxs Tool'!L203</f>
        <v>11.64</v>
      </c>
      <c r="E203" s="448">
        <f>'Maxs Tool'!M203</f>
        <v>5.4</v>
      </c>
    </row>
    <row r="204" spans="1:5" x14ac:dyDescent="0.25">
      <c r="A204" s="449">
        <f t="shared" si="3"/>
        <v>203</v>
      </c>
      <c r="B204" s="448">
        <f>'Maxs Tool'!J204</f>
        <v>16</v>
      </c>
      <c r="C204" s="448">
        <f>'Maxs Tool'!K204</f>
        <v>19.754999999999995</v>
      </c>
      <c r="D204" s="448">
        <f>'Maxs Tool'!L204</f>
        <v>11.97</v>
      </c>
      <c r="E204" s="448">
        <f>'Maxs Tool'!M204</f>
        <v>7.2</v>
      </c>
    </row>
    <row r="205" spans="1:5" x14ac:dyDescent="0.25">
      <c r="A205" s="449">
        <f t="shared" si="3"/>
        <v>204</v>
      </c>
      <c r="B205" s="448">
        <f>'Maxs Tool'!J205</f>
        <v>16</v>
      </c>
      <c r="C205" s="448">
        <f>'Maxs Tool'!K205</f>
        <v>19.754999999999995</v>
      </c>
      <c r="D205" s="448">
        <f>'Maxs Tool'!L205</f>
        <v>12.18</v>
      </c>
      <c r="E205" s="448">
        <f>'Maxs Tool'!M205</f>
        <v>9</v>
      </c>
    </row>
    <row r="206" spans="1:5" x14ac:dyDescent="0.25">
      <c r="A206" s="449">
        <f t="shared" si="3"/>
        <v>205</v>
      </c>
      <c r="B206" s="448">
        <f>'Maxs Tool'!J206</f>
        <v>16</v>
      </c>
      <c r="C206" s="448">
        <f>'Maxs Tool'!K206</f>
        <v>19.754999999999995</v>
      </c>
      <c r="D206" s="448">
        <f>'Maxs Tool'!L206</f>
        <v>12.22</v>
      </c>
      <c r="E206" s="448">
        <f>'Maxs Tool'!M206</f>
        <v>10.1</v>
      </c>
    </row>
    <row r="207" spans="1:5" x14ac:dyDescent="0.25">
      <c r="A207" s="449">
        <f t="shared" si="3"/>
        <v>206</v>
      </c>
      <c r="B207" s="448">
        <f>'Maxs Tool'!J207</f>
        <v>16</v>
      </c>
      <c r="C207" s="448">
        <f>'Maxs Tool'!K207</f>
        <v>19.754999999999995</v>
      </c>
      <c r="D207" s="448">
        <f>'Maxs Tool'!L207</f>
        <v>12.23</v>
      </c>
      <c r="E207" s="448">
        <f>'Maxs Tool'!M207</f>
        <v>10.8</v>
      </c>
    </row>
    <row r="208" spans="1:5" x14ac:dyDescent="0.25">
      <c r="A208" s="449">
        <f t="shared" si="3"/>
        <v>207</v>
      </c>
      <c r="B208" s="448">
        <f>'Maxs Tool'!J208</f>
        <v>16</v>
      </c>
      <c r="C208" s="448">
        <f>'Maxs Tool'!K208</f>
        <v>19.754999999999995</v>
      </c>
      <c r="D208" s="448">
        <f>'Maxs Tool'!L208</f>
        <v>12.23</v>
      </c>
      <c r="E208" s="448">
        <f>'Maxs Tool'!M208</f>
        <v>12.6</v>
      </c>
    </row>
    <row r="209" spans="1:5" x14ac:dyDescent="0.25">
      <c r="A209" s="449">
        <f t="shared" si="3"/>
        <v>208</v>
      </c>
      <c r="B209" s="448">
        <f>'Maxs Tool'!J209</f>
        <v>16</v>
      </c>
      <c r="C209" s="448">
        <f>'Maxs Tool'!K209</f>
        <v>19.754999999999995</v>
      </c>
      <c r="D209" s="448">
        <f>'Maxs Tool'!L209</f>
        <v>12.25</v>
      </c>
      <c r="E209" s="448">
        <f>'Maxs Tool'!M209</f>
        <v>14.19</v>
      </c>
    </row>
    <row r="210" spans="1:5" x14ac:dyDescent="0.25">
      <c r="A210" s="449">
        <f t="shared" si="3"/>
        <v>209</v>
      </c>
      <c r="B210" s="448">
        <f>'Maxs Tool'!J210</f>
        <v>17</v>
      </c>
      <c r="C210" s="448">
        <f>'Maxs Tool'!K210</f>
        <v>26.339999999999989</v>
      </c>
      <c r="D210" s="448">
        <f>'Maxs Tool'!L210</f>
        <v>0</v>
      </c>
      <c r="E210" s="448">
        <f>'Maxs Tool'!M210</f>
        <v>0</v>
      </c>
    </row>
    <row r="211" spans="1:5" x14ac:dyDescent="0.25">
      <c r="A211" s="449">
        <f t="shared" si="3"/>
        <v>210</v>
      </c>
      <c r="B211" s="448">
        <f>'Maxs Tool'!J211</f>
        <v>17</v>
      </c>
      <c r="C211" s="448">
        <f>'Maxs Tool'!K211</f>
        <v>26.339999999999989</v>
      </c>
      <c r="D211" s="448">
        <f>'Maxs Tool'!L211</f>
        <v>5.35</v>
      </c>
      <c r="E211" s="448">
        <f>'Maxs Tool'!M211</f>
        <v>0</v>
      </c>
    </row>
    <row r="212" spans="1:5" x14ac:dyDescent="0.25">
      <c r="A212" s="449">
        <f t="shared" si="3"/>
        <v>211</v>
      </c>
      <c r="B212" s="448">
        <f>'Maxs Tool'!J212</f>
        <v>17</v>
      </c>
      <c r="C212" s="448">
        <f>'Maxs Tool'!K212</f>
        <v>26.339999999999989</v>
      </c>
      <c r="D212" s="448">
        <f>'Maxs Tool'!L212</f>
        <v>7.29</v>
      </c>
      <c r="E212" s="448">
        <f>'Maxs Tool'!M212</f>
        <v>0.9</v>
      </c>
    </row>
    <row r="213" spans="1:5" x14ac:dyDescent="0.25">
      <c r="A213" s="449">
        <f t="shared" si="3"/>
        <v>212</v>
      </c>
      <c r="B213" s="448">
        <f>'Maxs Tool'!J213</f>
        <v>17</v>
      </c>
      <c r="C213" s="448">
        <f>'Maxs Tool'!K213</f>
        <v>26.339999999999989</v>
      </c>
      <c r="D213" s="448">
        <f>'Maxs Tool'!L213</f>
        <v>8.15</v>
      </c>
      <c r="E213" s="448">
        <f>'Maxs Tool'!M213</f>
        <v>1.8</v>
      </c>
    </row>
    <row r="214" spans="1:5" x14ac:dyDescent="0.25">
      <c r="A214" s="449">
        <f t="shared" si="3"/>
        <v>213</v>
      </c>
      <c r="B214" s="448">
        <f>'Maxs Tool'!J214</f>
        <v>17</v>
      </c>
      <c r="C214" s="448">
        <f>'Maxs Tool'!K214</f>
        <v>26.339999999999989</v>
      </c>
      <c r="D214" s="448">
        <f>'Maxs Tool'!L214</f>
        <v>9.25</v>
      </c>
      <c r="E214" s="448">
        <f>'Maxs Tool'!M214</f>
        <v>2.7</v>
      </c>
    </row>
    <row r="215" spans="1:5" x14ac:dyDescent="0.25">
      <c r="A215" s="449">
        <f t="shared" si="3"/>
        <v>214</v>
      </c>
      <c r="B215" s="448">
        <f>'Maxs Tool'!J215</f>
        <v>17</v>
      </c>
      <c r="C215" s="448">
        <f>'Maxs Tool'!K215</f>
        <v>26.339999999999989</v>
      </c>
      <c r="D215" s="448">
        <f>'Maxs Tool'!L215</f>
        <v>9.75</v>
      </c>
      <c r="E215" s="448">
        <f>'Maxs Tool'!M215</f>
        <v>3.6</v>
      </c>
    </row>
    <row r="216" spans="1:5" x14ac:dyDescent="0.25">
      <c r="A216" s="449">
        <f t="shared" si="3"/>
        <v>215</v>
      </c>
      <c r="B216" s="448">
        <f>'Maxs Tool'!J216</f>
        <v>17</v>
      </c>
      <c r="C216" s="448">
        <f>'Maxs Tool'!K216</f>
        <v>26.339999999999989</v>
      </c>
      <c r="D216" s="448">
        <f>'Maxs Tool'!L216</f>
        <v>10.5</v>
      </c>
      <c r="E216" s="448">
        <f>'Maxs Tool'!M216</f>
        <v>5.4</v>
      </c>
    </row>
    <row r="217" spans="1:5" x14ac:dyDescent="0.25">
      <c r="A217" s="449">
        <f t="shared" si="3"/>
        <v>216</v>
      </c>
      <c r="B217" s="448">
        <f>'Maxs Tool'!J217</f>
        <v>17</v>
      </c>
      <c r="C217" s="448">
        <f>'Maxs Tool'!K217</f>
        <v>26.339999999999989</v>
      </c>
      <c r="D217" s="448">
        <f>'Maxs Tool'!L217</f>
        <v>11.06</v>
      </c>
      <c r="E217" s="448">
        <f>'Maxs Tool'!M217</f>
        <v>7.2</v>
      </c>
    </row>
    <row r="218" spans="1:5" x14ac:dyDescent="0.25">
      <c r="A218" s="449">
        <f t="shared" si="3"/>
        <v>217</v>
      </c>
      <c r="B218" s="448">
        <f>'Maxs Tool'!J218</f>
        <v>17</v>
      </c>
      <c r="C218" s="448">
        <f>'Maxs Tool'!K218</f>
        <v>26.339999999999989</v>
      </c>
      <c r="D218" s="448">
        <f>'Maxs Tool'!L218</f>
        <v>11.46</v>
      </c>
      <c r="E218" s="448">
        <f>'Maxs Tool'!M218</f>
        <v>9</v>
      </c>
    </row>
    <row r="219" spans="1:5" x14ac:dyDescent="0.25">
      <c r="A219" s="449">
        <f t="shared" si="3"/>
        <v>218</v>
      </c>
      <c r="B219" s="448">
        <f>'Maxs Tool'!J219</f>
        <v>17</v>
      </c>
      <c r="C219" s="448">
        <f>'Maxs Tool'!K219</f>
        <v>26.339999999999989</v>
      </c>
      <c r="D219" s="448">
        <f>'Maxs Tool'!L219</f>
        <v>11.67</v>
      </c>
      <c r="E219" s="448">
        <f>'Maxs Tool'!M219</f>
        <v>10.1</v>
      </c>
    </row>
    <row r="220" spans="1:5" x14ac:dyDescent="0.25">
      <c r="A220" s="449">
        <f t="shared" si="3"/>
        <v>219</v>
      </c>
      <c r="B220" s="448">
        <f>'Maxs Tool'!J220</f>
        <v>17</v>
      </c>
      <c r="C220" s="448">
        <f>'Maxs Tool'!K220</f>
        <v>26.339999999999989</v>
      </c>
      <c r="D220" s="448">
        <f>'Maxs Tool'!L220</f>
        <v>11.79</v>
      </c>
      <c r="E220" s="448">
        <f>'Maxs Tool'!M220</f>
        <v>10.8</v>
      </c>
    </row>
    <row r="221" spans="1:5" x14ac:dyDescent="0.25">
      <c r="A221" s="449">
        <f t="shared" si="3"/>
        <v>220</v>
      </c>
      <c r="B221" s="448">
        <f>'Maxs Tool'!J221</f>
        <v>17</v>
      </c>
      <c r="C221" s="448">
        <f>'Maxs Tool'!K221</f>
        <v>26.339999999999989</v>
      </c>
      <c r="D221" s="448">
        <f>'Maxs Tool'!L221</f>
        <v>12.07</v>
      </c>
      <c r="E221" s="448">
        <f>'Maxs Tool'!M221</f>
        <v>12.6</v>
      </c>
    </row>
    <row r="222" spans="1:5" x14ac:dyDescent="0.25">
      <c r="A222" s="449">
        <f t="shared" si="3"/>
        <v>221</v>
      </c>
      <c r="B222" s="448">
        <f>'Maxs Tool'!J222</f>
        <v>17</v>
      </c>
      <c r="C222" s="448">
        <f>'Maxs Tool'!K222</f>
        <v>26.339999999999989</v>
      </c>
      <c r="D222" s="448">
        <f>'Maxs Tool'!L222</f>
        <v>12.23</v>
      </c>
      <c r="E222" s="448">
        <f>'Maxs Tool'!M222</f>
        <v>14.19</v>
      </c>
    </row>
    <row r="223" spans="1:5" x14ac:dyDescent="0.25">
      <c r="A223" s="449">
        <f t="shared" si="3"/>
        <v>222</v>
      </c>
      <c r="B223" s="448">
        <f>'Maxs Tool'!J223</f>
        <v>18</v>
      </c>
      <c r="C223" s="448">
        <f>'Maxs Tool'!K223</f>
        <v>32.924999999999997</v>
      </c>
      <c r="D223" s="448">
        <f>'Maxs Tool'!L223</f>
        <v>0</v>
      </c>
      <c r="E223" s="448">
        <f>'Maxs Tool'!M223</f>
        <v>0</v>
      </c>
    </row>
    <row r="224" spans="1:5" x14ac:dyDescent="0.25">
      <c r="A224" s="449">
        <f t="shared" si="3"/>
        <v>223</v>
      </c>
      <c r="B224" s="448">
        <f>'Maxs Tool'!J224</f>
        <v>18</v>
      </c>
      <c r="C224" s="448">
        <f>'Maxs Tool'!K224</f>
        <v>32.924999999999997</v>
      </c>
      <c r="D224" s="448">
        <f>'Maxs Tool'!L224</f>
        <v>3.8</v>
      </c>
      <c r="E224" s="448">
        <f>'Maxs Tool'!M224</f>
        <v>0</v>
      </c>
    </row>
    <row r="225" spans="1:5" x14ac:dyDescent="0.25">
      <c r="A225" s="449">
        <f t="shared" si="3"/>
        <v>224</v>
      </c>
      <c r="B225" s="448">
        <f>'Maxs Tool'!J225</f>
        <v>18</v>
      </c>
      <c r="C225" s="448">
        <f>'Maxs Tool'!K225</f>
        <v>32.924999999999997</v>
      </c>
      <c r="D225" s="448">
        <f>'Maxs Tool'!L225</f>
        <v>5.65</v>
      </c>
      <c r="E225" s="448">
        <f>'Maxs Tool'!M225</f>
        <v>0.9</v>
      </c>
    </row>
    <row r="226" spans="1:5" x14ac:dyDescent="0.25">
      <c r="A226" s="449">
        <f t="shared" si="3"/>
        <v>225</v>
      </c>
      <c r="B226" s="448">
        <f>'Maxs Tool'!J226</f>
        <v>18</v>
      </c>
      <c r="C226" s="448">
        <f>'Maxs Tool'!K226</f>
        <v>32.924999999999997</v>
      </c>
      <c r="D226" s="448">
        <f>'Maxs Tool'!L226</f>
        <v>6.8</v>
      </c>
      <c r="E226" s="448">
        <f>'Maxs Tool'!M226</f>
        <v>1.8</v>
      </c>
    </row>
    <row r="227" spans="1:5" x14ac:dyDescent="0.25">
      <c r="A227" s="449">
        <f t="shared" si="3"/>
        <v>226</v>
      </c>
      <c r="B227" s="448">
        <f>'Maxs Tool'!J227</f>
        <v>18</v>
      </c>
      <c r="C227" s="448">
        <f>'Maxs Tool'!K227</f>
        <v>32.924999999999997</v>
      </c>
      <c r="D227" s="448">
        <f>'Maxs Tool'!L227</f>
        <v>7.54</v>
      </c>
      <c r="E227" s="448">
        <f>'Maxs Tool'!M227</f>
        <v>2.7</v>
      </c>
    </row>
    <row r="228" spans="1:5" x14ac:dyDescent="0.25">
      <c r="A228" s="449">
        <f t="shared" si="3"/>
        <v>227</v>
      </c>
      <c r="B228" s="448">
        <f>'Maxs Tool'!J228</f>
        <v>18</v>
      </c>
      <c r="C228" s="448">
        <f>'Maxs Tool'!K228</f>
        <v>32.924999999999997</v>
      </c>
      <c r="D228" s="448">
        <f>'Maxs Tool'!L228</f>
        <v>8.08</v>
      </c>
      <c r="E228" s="448">
        <f>'Maxs Tool'!M228</f>
        <v>3.6</v>
      </c>
    </row>
    <row r="229" spans="1:5" x14ac:dyDescent="0.25">
      <c r="A229" s="449">
        <f t="shared" si="3"/>
        <v>228</v>
      </c>
      <c r="B229" s="448">
        <f>'Maxs Tool'!J229</f>
        <v>18</v>
      </c>
      <c r="C229" s="448">
        <f>'Maxs Tool'!K229</f>
        <v>32.924999999999997</v>
      </c>
      <c r="D229" s="448">
        <f>'Maxs Tool'!L229</f>
        <v>8.91</v>
      </c>
      <c r="E229" s="448">
        <f>'Maxs Tool'!M229</f>
        <v>5.4</v>
      </c>
    </row>
    <row r="230" spans="1:5" x14ac:dyDescent="0.25">
      <c r="A230" s="449">
        <f t="shared" si="3"/>
        <v>229</v>
      </c>
      <c r="B230" s="448">
        <f>'Maxs Tool'!J230</f>
        <v>18</v>
      </c>
      <c r="C230" s="448">
        <f>'Maxs Tool'!K230</f>
        <v>32.924999999999997</v>
      </c>
      <c r="D230" s="448">
        <f>'Maxs Tool'!L230</f>
        <v>9.64</v>
      </c>
      <c r="E230" s="448">
        <f>'Maxs Tool'!M230</f>
        <v>7.2</v>
      </c>
    </row>
    <row r="231" spans="1:5" x14ac:dyDescent="0.25">
      <c r="A231" s="449">
        <f t="shared" si="3"/>
        <v>230</v>
      </c>
      <c r="B231" s="448">
        <f>'Maxs Tool'!J231</f>
        <v>18</v>
      </c>
      <c r="C231" s="448">
        <f>'Maxs Tool'!K231</f>
        <v>32.924999999999997</v>
      </c>
      <c r="D231" s="448">
        <f>'Maxs Tool'!L231</f>
        <v>10.26</v>
      </c>
      <c r="E231" s="448">
        <f>'Maxs Tool'!M231</f>
        <v>9</v>
      </c>
    </row>
    <row r="232" spans="1:5" x14ac:dyDescent="0.25">
      <c r="A232" s="449">
        <f t="shared" si="3"/>
        <v>231</v>
      </c>
      <c r="B232" s="448">
        <f>'Maxs Tool'!J232</f>
        <v>18</v>
      </c>
      <c r="C232" s="448">
        <f>'Maxs Tool'!K232</f>
        <v>32.924999999999997</v>
      </c>
      <c r="D232" s="448">
        <f>'Maxs Tool'!L232</f>
        <v>10.6</v>
      </c>
      <c r="E232" s="448">
        <f>'Maxs Tool'!M232</f>
        <v>10.1</v>
      </c>
    </row>
    <row r="233" spans="1:5" x14ac:dyDescent="0.25">
      <c r="A233" s="449">
        <f t="shared" si="3"/>
        <v>232</v>
      </c>
      <c r="B233" s="448">
        <f>'Maxs Tool'!J233</f>
        <v>18</v>
      </c>
      <c r="C233" s="448">
        <f>'Maxs Tool'!K233</f>
        <v>32.924999999999997</v>
      </c>
      <c r="D233" s="448">
        <f>'Maxs Tool'!L233</f>
        <v>10.8</v>
      </c>
      <c r="E233" s="448">
        <f>'Maxs Tool'!M233</f>
        <v>10.8</v>
      </c>
    </row>
    <row r="234" spans="1:5" x14ac:dyDescent="0.25">
      <c r="A234" s="449">
        <f t="shared" si="3"/>
        <v>233</v>
      </c>
      <c r="B234" s="448">
        <f>'Maxs Tool'!J234</f>
        <v>18</v>
      </c>
      <c r="C234" s="448">
        <f>'Maxs Tool'!K234</f>
        <v>32.924999999999997</v>
      </c>
      <c r="D234" s="448">
        <f>'Maxs Tool'!L234</f>
        <v>11.29</v>
      </c>
      <c r="E234" s="448">
        <f>'Maxs Tool'!M234</f>
        <v>12.6</v>
      </c>
    </row>
    <row r="235" spans="1:5" x14ac:dyDescent="0.25">
      <c r="A235" s="449">
        <f t="shared" si="3"/>
        <v>234</v>
      </c>
      <c r="B235" s="448">
        <f>'Maxs Tool'!J235</f>
        <v>18</v>
      </c>
      <c r="C235" s="448">
        <f>'Maxs Tool'!K235</f>
        <v>32.924999999999997</v>
      </c>
      <c r="D235" s="448">
        <f>'Maxs Tool'!L235</f>
        <v>12.15</v>
      </c>
      <c r="E235" s="448">
        <f>'Maxs Tool'!M235</f>
        <v>14.19</v>
      </c>
    </row>
    <row r="236" spans="1:5" x14ac:dyDescent="0.25">
      <c r="A236" s="449">
        <f t="shared" si="3"/>
        <v>235</v>
      </c>
      <c r="B236" s="448">
        <f>'Maxs Tool'!J236</f>
        <v>19</v>
      </c>
      <c r="C236" s="448">
        <f>'Maxs Tool'!K236</f>
        <v>39.509999999999991</v>
      </c>
      <c r="D236" s="448">
        <f>'Maxs Tool'!L236</f>
        <v>0</v>
      </c>
      <c r="E236" s="448">
        <f>'Maxs Tool'!M236</f>
        <v>0</v>
      </c>
    </row>
    <row r="237" spans="1:5" x14ac:dyDescent="0.25">
      <c r="A237" s="449">
        <f t="shared" si="3"/>
        <v>236</v>
      </c>
      <c r="B237" s="448">
        <f>'Maxs Tool'!J237</f>
        <v>19</v>
      </c>
      <c r="C237" s="448">
        <f>'Maxs Tool'!K237</f>
        <v>39.509999999999991</v>
      </c>
      <c r="D237" s="448">
        <f>'Maxs Tool'!L237</f>
        <v>2.2200000000000002</v>
      </c>
      <c r="E237" s="448">
        <f>'Maxs Tool'!M237</f>
        <v>0</v>
      </c>
    </row>
    <row r="238" spans="1:5" x14ac:dyDescent="0.25">
      <c r="A238" s="449">
        <f t="shared" si="3"/>
        <v>237</v>
      </c>
      <c r="B238" s="448">
        <f>'Maxs Tool'!J238</f>
        <v>19</v>
      </c>
      <c r="C238" s="448">
        <f>'Maxs Tool'!K238</f>
        <v>39.509999999999991</v>
      </c>
      <c r="D238" s="448">
        <f>'Maxs Tool'!L238</f>
        <v>4.05</v>
      </c>
      <c r="E238" s="448">
        <f>'Maxs Tool'!M238</f>
        <v>0.9</v>
      </c>
    </row>
    <row r="239" spans="1:5" x14ac:dyDescent="0.25">
      <c r="A239" s="449">
        <f t="shared" si="3"/>
        <v>238</v>
      </c>
      <c r="B239" s="448">
        <f>'Maxs Tool'!J239</f>
        <v>19</v>
      </c>
      <c r="C239" s="448">
        <f>'Maxs Tool'!K239</f>
        <v>39.509999999999991</v>
      </c>
      <c r="D239" s="448">
        <f>'Maxs Tool'!L239</f>
        <v>5.0999999999999996</v>
      </c>
      <c r="E239" s="448">
        <f>'Maxs Tool'!M239</f>
        <v>1.8</v>
      </c>
    </row>
    <row r="240" spans="1:5" x14ac:dyDescent="0.25">
      <c r="A240" s="449">
        <f t="shared" si="3"/>
        <v>239</v>
      </c>
      <c r="B240" s="448">
        <f>'Maxs Tool'!J240</f>
        <v>19</v>
      </c>
      <c r="C240" s="448">
        <f>'Maxs Tool'!K240</f>
        <v>39.509999999999991</v>
      </c>
      <c r="D240" s="448">
        <f>'Maxs Tool'!L240</f>
        <v>5.74</v>
      </c>
      <c r="E240" s="448">
        <f>'Maxs Tool'!M240</f>
        <v>2.7</v>
      </c>
    </row>
    <row r="241" spans="1:5" x14ac:dyDescent="0.25">
      <c r="A241" s="449">
        <f t="shared" si="3"/>
        <v>240</v>
      </c>
      <c r="B241" s="448">
        <f>'Maxs Tool'!J241</f>
        <v>19</v>
      </c>
      <c r="C241" s="448">
        <f>'Maxs Tool'!K241</f>
        <v>39.509999999999991</v>
      </c>
      <c r="D241" s="448">
        <f>'Maxs Tool'!L241</f>
        <v>6.23</v>
      </c>
      <c r="E241" s="448">
        <f>'Maxs Tool'!M241</f>
        <v>3.6</v>
      </c>
    </row>
    <row r="242" spans="1:5" x14ac:dyDescent="0.25">
      <c r="A242" s="449">
        <f t="shared" si="3"/>
        <v>241</v>
      </c>
      <c r="B242" s="448">
        <f>'Maxs Tool'!J242</f>
        <v>19</v>
      </c>
      <c r="C242" s="448">
        <f>'Maxs Tool'!K242</f>
        <v>39.509999999999991</v>
      </c>
      <c r="D242" s="448">
        <f>'Maxs Tool'!L242</f>
        <v>7.02</v>
      </c>
      <c r="E242" s="448">
        <f>'Maxs Tool'!M242</f>
        <v>5.4</v>
      </c>
    </row>
    <row r="243" spans="1:5" x14ac:dyDescent="0.25">
      <c r="A243" s="449">
        <f t="shared" si="3"/>
        <v>242</v>
      </c>
      <c r="B243" s="448">
        <f>'Maxs Tool'!J243</f>
        <v>19</v>
      </c>
      <c r="C243" s="448">
        <f>'Maxs Tool'!K243</f>
        <v>39.509999999999991</v>
      </c>
      <c r="D243" s="448">
        <f>'Maxs Tool'!L243</f>
        <v>7.81</v>
      </c>
      <c r="E243" s="448">
        <f>'Maxs Tool'!M243</f>
        <v>7.2</v>
      </c>
    </row>
    <row r="244" spans="1:5" x14ac:dyDescent="0.25">
      <c r="A244" s="449">
        <f t="shared" si="3"/>
        <v>243</v>
      </c>
      <c r="B244" s="448">
        <f>'Maxs Tool'!J244</f>
        <v>19</v>
      </c>
      <c r="C244" s="448">
        <f>'Maxs Tool'!K244</f>
        <v>39.509999999999991</v>
      </c>
      <c r="D244" s="448">
        <f>'Maxs Tool'!L244</f>
        <v>8.6300000000000008</v>
      </c>
      <c r="E244" s="448">
        <f>'Maxs Tool'!M244</f>
        <v>9</v>
      </c>
    </row>
    <row r="245" spans="1:5" x14ac:dyDescent="0.25">
      <c r="A245" s="449">
        <f t="shared" si="3"/>
        <v>244</v>
      </c>
      <c r="B245" s="448">
        <f>'Maxs Tool'!J245</f>
        <v>19</v>
      </c>
      <c r="C245" s="448">
        <f>'Maxs Tool'!K245</f>
        <v>39.509999999999991</v>
      </c>
      <c r="D245" s="448">
        <f>'Maxs Tool'!L245</f>
        <v>9.1199999999999992</v>
      </c>
      <c r="E245" s="448">
        <f>'Maxs Tool'!M245</f>
        <v>10.1</v>
      </c>
    </row>
    <row r="246" spans="1:5" x14ac:dyDescent="0.25">
      <c r="A246" s="449">
        <f t="shared" si="3"/>
        <v>245</v>
      </c>
      <c r="B246" s="448">
        <f>'Maxs Tool'!J246</f>
        <v>19</v>
      </c>
      <c r="C246" s="448">
        <f>'Maxs Tool'!K246</f>
        <v>39.509999999999991</v>
      </c>
      <c r="D246" s="448">
        <f>'Maxs Tool'!L246</f>
        <v>9.43</v>
      </c>
      <c r="E246" s="448">
        <f>'Maxs Tool'!M246</f>
        <v>10.8</v>
      </c>
    </row>
    <row r="247" spans="1:5" x14ac:dyDescent="0.25">
      <c r="A247" s="449">
        <f t="shared" si="3"/>
        <v>246</v>
      </c>
      <c r="B247" s="448">
        <f>'Maxs Tool'!J247</f>
        <v>19</v>
      </c>
      <c r="C247" s="448">
        <f>'Maxs Tool'!K247</f>
        <v>39.509999999999991</v>
      </c>
      <c r="D247" s="448">
        <f>'Maxs Tool'!L247</f>
        <v>10.199999999999999</v>
      </c>
      <c r="E247" s="448">
        <f>'Maxs Tool'!M247</f>
        <v>12.6</v>
      </c>
    </row>
    <row r="248" spans="1:5" x14ac:dyDescent="0.25">
      <c r="A248" s="449">
        <f t="shared" si="3"/>
        <v>247</v>
      </c>
      <c r="B248" s="448">
        <f>'Maxs Tool'!J248</f>
        <v>19</v>
      </c>
      <c r="C248" s="448">
        <f>'Maxs Tool'!K248</f>
        <v>39.509999999999991</v>
      </c>
      <c r="D248" s="448">
        <f>'Maxs Tool'!L248</f>
        <v>11.75</v>
      </c>
      <c r="E248" s="448">
        <f>'Maxs Tool'!M248</f>
        <v>14.19</v>
      </c>
    </row>
    <row r="249" spans="1:5" x14ac:dyDescent="0.25">
      <c r="A249" s="449">
        <f t="shared" si="3"/>
        <v>248</v>
      </c>
      <c r="B249" s="448">
        <f>'Maxs Tool'!J249</f>
        <v>20</v>
      </c>
      <c r="C249" s="448">
        <f>'Maxs Tool'!K249</f>
        <v>46.094999999999985</v>
      </c>
      <c r="D249" s="448">
        <f>'Maxs Tool'!L249</f>
        <v>0</v>
      </c>
      <c r="E249" s="448">
        <f>'Maxs Tool'!M249</f>
        <v>0</v>
      </c>
    </row>
    <row r="250" spans="1:5" x14ac:dyDescent="0.25">
      <c r="A250" s="449">
        <f t="shared" si="3"/>
        <v>249</v>
      </c>
      <c r="B250" s="448">
        <f>'Maxs Tool'!J250</f>
        <v>20</v>
      </c>
      <c r="C250" s="448">
        <f>'Maxs Tool'!K250</f>
        <v>46.094999999999985</v>
      </c>
      <c r="D250" s="448">
        <f>'Maxs Tool'!L250</f>
        <v>0.65</v>
      </c>
      <c r="E250" s="448">
        <f>'Maxs Tool'!M250</f>
        <v>0</v>
      </c>
    </row>
    <row r="251" spans="1:5" x14ac:dyDescent="0.25">
      <c r="A251" s="449">
        <f t="shared" si="3"/>
        <v>250</v>
      </c>
      <c r="B251" s="448">
        <f>'Maxs Tool'!J251</f>
        <v>20</v>
      </c>
      <c r="C251" s="448">
        <f>'Maxs Tool'!K251</f>
        <v>46.094999999999985</v>
      </c>
      <c r="D251" s="448">
        <f>'Maxs Tool'!L251</f>
        <v>2.63</v>
      </c>
      <c r="E251" s="448">
        <f>'Maxs Tool'!M251</f>
        <v>0.9</v>
      </c>
    </row>
    <row r="252" spans="1:5" x14ac:dyDescent="0.25">
      <c r="A252" s="449">
        <f t="shared" si="3"/>
        <v>251</v>
      </c>
      <c r="B252" s="448">
        <f>'Maxs Tool'!J252</f>
        <v>20</v>
      </c>
      <c r="C252" s="448">
        <f>'Maxs Tool'!K252</f>
        <v>46.094999999999985</v>
      </c>
      <c r="D252" s="448">
        <f>'Maxs Tool'!L252</f>
        <v>3.52</v>
      </c>
      <c r="E252" s="448">
        <f>'Maxs Tool'!M252</f>
        <v>1.8</v>
      </c>
    </row>
    <row r="253" spans="1:5" x14ac:dyDescent="0.25">
      <c r="A253" s="449">
        <f t="shared" si="3"/>
        <v>252</v>
      </c>
      <c r="B253" s="448">
        <f>'Maxs Tool'!J253</f>
        <v>20</v>
      </c>
      <c r="C253" s="448">
        <f>'Maxs Tool'!K253</f>
        <v>46.094999999999985</v>
      </c>
      <c r="D253" s="448">
        <f>'Maxs Tool'!L253</f>
        <v>4.0599999999999996</v>
      </c>
      <c r="E253" s="448">
        <f>'Maxs Tool'!M253</f>
        <v>2.7</v>
      </c>
    </row>
    <row r="254" spans="1:5" x14ac:dyDescent="0.25">
      <c r="A254" s="449">
        <f t="shared" si="3"/>
        <v>253</v>
      </c>
      <c r="B254" s="448">
        <f>'Maxs Tool'!J254</f>
        <v>20</v>
      </c>
      <c r="C254" s="448">
        <f>'Maxs Tool'!K254</f>
        <v>46.094999999999985</v>
      </c>
      <c r="D254" s="448">
        <f>'Maxs Tool'!L254</f>
        <v>4.43</v>
      </c>
      <c r="E254" s="448">
        <f>'Maxs Tool'!M254</f>
        <v>3.6</v>
      </c>
    </row>
    <row r="255" spans="1:5" x14ac:dyDescent="0.25">
      <c r="A255" s="449">
        <f t="shared" si="3"/>
        <v>254</v>
      </c>
      <c r="B255" s="448">
        <f>'Maxs Tool'!J255</f>
        <v>20</v>
      </c>
      <c r="C255" s="448">
        <f>'Maxs Tool'!K255</f>
        <v>46.094999999999985</v>
      </c>
      <c r="D255" s="448">
        <f>'Maxs Tool'!L255</f>
        <v>5.03</v>
      </c>
      <c r="E255" s="448">
        <f>'Maxs Tool'!M255</f>
        <v>5.4</v>
      </c>
    </row>
    <row r="256" spans="1:5" x14ac:dyDescent="0.25">
      <c r="A256" s="449">
        <f t="shared" si="3"/>
        <v>255</v>
      </c>
      <c r="B256" s="448">
        <f>'Maxs Tool'!J256</f>
        <v>20</v>
      </c>
      <c r="C256" s="448">
        <f>'Maxs Tool'!K256</f>
        <v>46.094999999999985</v>
      </c>
      <c r="D256" s="448">
        <f>'Maxs Tool'!L256</f>
        <v>5.69</v>
      </c>
      <c r="E256" s="448">
        <f>'Maxs Tool'!M256</f>
        <v>7.2</v>
      </c>
    </row>
    <row r="257" spans="1:5" x14ac:dyDescent="0.25">
      <c r="A257" s="449">
        <f t="shared" si="3"/>
        <v>256</v>
      </c>
      <c r="B257" s="448">
        <f>'Maxs Tool'!J257</f>
        <v>20</v>
      </c>
      <c r="C257" s="448">
        <f>'Maxs Tool'!K257</f>
        <v>46.094999999999985</v>
      </c>
      <c r="D257" s="448">
        <f>'Maxs Tool'!L257</f>
        <v>6.59</v>
      </c>
      <c r="E257" s="448">
        <f>'Maxs Tool'!M257</f>
        <v>9</v>
      </c>
    </row>
    <row r="258" spans="1:5" x14ac:dyDescent="0.25">
      <c r="A258" s="449">
        <f t="shared" si="3"/>
        <v>257</v>
      </c>
      <c r="B258" s="448">
        <f>'Maxs Tool'!J258</f>
        <v>20</v>
      </c>
      <c r="C258" s="448">
        <f>'Maxs Tool'!K258</f>
        <v>46.094999999999985</v>
      </c>
      <c r="D258" s="448">
        <f>'Maxs Tool'!L258</f>
        <v>7.22</v>
      </c>
      <c r="E258" s="448">
        <f>'Maxs Tool'!M258</f>
        <v>10.1</v>
      </c>
    </row>
    <row r="259" spans="1:5" x14ac:dyDescent="0.25">
      <c r="A259" s="449">
        <f t="shared" ref="A259:A322" si="4">IF(ISNUMBER(D259),ROW()-1,"")</f>
        <v>258</v>
      </c>
      <c r="B259" s="448">
        <f>'Maxs Tool'!J259</f>
        <v>20</v>
      </c>
      <c r="C259" s="448">
        <f>'Maxs Tool'!K259</f>
        <v>46.094999999999985</v>
      </c>
      <c r="D259" s="448">
        <f>'Maxs Tool'!L259</f>
        <v>7.64</v>
      </c>
      <c r="E259" s="448">
        <f>'Maxs Tool'!M259</f>
        <v>10.8</v>
      </c>
    </row>
    <row r="260" spans="1:5" x14ac:dyDescent="0.25">
      <c r="A260" s="449">
        <f t="shared" si="4"/>
        <v>259</v>
      </c>
      <c r="B260" s="448">
        <f>'Maxs Tool'!J260</f>
        <v>20</v>
      </c>
      <c r="C260" s="448">
        <f>'Maxs Tool'!K260</f>
        <v>46.094999999999985</v>
      </c>
      <c r="D260" s="448">
        <f>'Maxs Tool'!L260</f>
        <v>8.73</v>
      </c>
      <c r="E260" s="448">
        <f>'Maxs Tool'!M260</f>
        <v>12.6</v>
      </c>
    </row>
    <row r="261" spans="1:5" x14ac:dyDescent="0.25">
      <c r="A261" s="449">
        <f t="shared" si="4"/>
        <v>260</v>
      </c>
      <c r="B261" s="448">
        <f>'Maxs Tool'!J261</f>
        <v>20</v>
      </c>
      <c r="C261" s="448">
        <f>'Maxs Tool'!K261</f>
        <v>46.094999999999985</v>
      </c>
      <c r="D261" s="448">
        <f>'Maxs Tool'!L261</f>
        <v>10.94</v>
      </c>
      <c r="E261" s="448">
        <f>'Maxs Tool'!M261</f>
        <v>14.19</v>
      </c>
    </row>
    <row r="262" spans="1:5" x14ac:dyDescent="0.25">
      <c r="A262" s="449">
        <f t="shared" si="4"/>
        <v>261</v>
      </c>
      <c r="B262" s="448">
        <f>'Maxs Tool'!J262</f>
        <v>21</v>
      </c>
      <c r="C262" s="448">
        <f>'Maxs Tool'!K262</f>
        <v>52.679999999999993</v>
      </c>
      <c r="D262" s="448">
        <f>'Maxs Tool'!L262</f>
        <v>0</v>
      </c>
      <c r="E262" s="448">
        <f>'Maxs Tool'!M262</f>
        <v>0</v>
      </c>
    </row>
    <row r="263" spans="1:5" x14ac:dyDescent="0.25">
      <c r="A263" s="449">
        <f t="shared" si="4"/>
        <v>262</v>
      </c>
      <c r="B263" s="448">
        <f>'Maxs Tool'!J263</f>
        <v>21</v>
      </c>
      <c r="C263" s="448">
        <f>'Maxs Tool'!K263</f>
        <v>52.679999999999993</v>
      </c>
      <c r="D263" s="448">
        <f>'Maxs Tool'!L263</f>
        <v>0</v>
      </c>
      <c r="E263" s="448">
        <f>'Maxs Tool'!M263</f>
        <v>0</v>
      </c>
    </row>
    <row r="264" spans="1:5" x14ac:dyDescent="0.25">
      <c r="A264" s="449">
        <f t="shared" si="4"/>
        <v>263</v>
      </c>
      <c r="B264" s="448">
        <f>'Maxs Tool'!J264</f>
        <v>21</v>
      </c>
      <c r="C264" s="448">
        <f>'Maxs Tool'!K264</f>
        <v>52.679999999999993</v>
      </c>
      <c r="D264" s="448">
        <f>'Maxs Tool'!L264</f>
        <v>1.49</v>
      </c>
      <c r="E264" s="448">
        <f>'Maxs Tool'!M264</f>
        <v>0.9</v>
      </c>
    </row>
    <row r="265" spans="1:5" x14ac:dyDescent="0.25">
      <c r="A265" s="449">
        <f t="shared" si="4"/>
        <v>264</v>
      </c>
      <c r="B265" s="448">
        <f>'Maxs Tool'!J265</f>
        <v>21</v>
      </c>
      <c r="C265" s="448">
        <f>'Maxs Tool'!K265</f>
        <v>52.679999999999993</v>
      </c>
      <c r="D265" s="448">
        <f>'Maxs Tool'!L265</f>
        <v>2.23</v>
      </c>
      <c r="E265" s="448">
        <f>'Maxs Tool'!M265</f>
        <v>1.8</v>
      </c>
    </row>
    <row r="266" spans="1:5" x14ac:dyDescent="0.25">
      <c r="A266" s="449">
        <f t="shared" si="4"/>
        <v>265</v>
      </c>
      <c r="B266" s="448">
        <f>'Maxs Tool'!J266</f>
        <v>21</v>
      </c>
      <c r="C266" s="448">
        <f>'Maxs Tool'!K266</f>
        <v>52.679999999999993</v>
      </c>
      <c r="D266" s="448">
        <f>'Maxs Tool'!L266</f>
        <v>2.69</v>
      </c>
      <c r="E266" s="448">
        <f>'Maxs Tool'!M266</f>
        <v>2.7</v>
      </c>
    </row>
    <row r="267" spans="1:5" x14ac:dyDescent="0.25">
      <c r="A267" s="449">
        <f t="shared" si="4"/>
        <v>266</v>
      </c>
      <c r="B267" s="448">
        <f>'Maxs Tool'!J267</f>
        <v>21</v>
      </c>
      <c r="C267" s="448">
        <f>'Maxs Tool'!K267</f>
        <v>52.679999999999993</v>
      </c>
      <c r="D267" s="448">
        <f>'Maxs Tool'!L267</f>
        <v>2.97</v>
      </c>
      <c r="E267" s="448">
        <f>'Maxs Tool'!M267</f>
        <v>3.6</v>
      </c>
    </row>
    <row r="268" spans="1:5" x14ac:dyDescent="0.25">
      <c r="A268" s="449">
        <f t="shared" si="4"/>
        <v>267</v>
      </c>
      <c r="B268" s="448">
        <f>'Maxs Tool'!J268</f>
        <v>21</v>
      </c>
      <c r="C268" s="448">
        <f>'Maxs Tool'!K268</f>
        <v>52.679999999999993</v>
      </c>
      <c r="D268" s="448">
        <f>'Maxs Tool'!L268</f>
        <v>3.25</v>
      </c>
      <c r="E268" s="448">
        <f>'Maxs Tool'!M268</f>
        <v>5.4</v>
      </c>
    </row>
    <row r="269" spans="1:5" x14ac:dyDescent="0.25">
      <c r="A269" s="449">
        <f t="shared" si="4"/>
        <v>268</v>
      </c>
      <c r="B269" s="448">
        <f>'Maxs Tool'!J269</f>
        <v>21</v>
      </c>
      <c r="C269" s="448">
        <f>'Maxs Tool'!K269</f>
        <v>52.679999999999993</v>
      </c>
      <c r="D269" s="448">
        <f>'Maxs Tool'!L269</f>
        <v>3.51</v>
      </c>
      <c r="E269" s="448">
        <f>'Maxs Tool'!M269</f>
        <v>7.2</v>
      </c>
    </row>
    <row r="270" spans="1:5" x14ac:dyDescent="0.25">
      <c r="A270" s="449">
        <f t="shared" si="4"/>
        <v>269</v>
      </c>
      <c r="B270" s="448">
        <f>'Maxs Tool'!J270</f>
        <v>21</v>
      </c>
      <c r="C270" s="448">
        <f>'Maxs Tool'!K270</f>
        <v>52.679999999999993</v>
      </c>
      <c r="D270" s="448">
        <f>'Maxs Tool'!L270</f>
        <v>4.28</v>
      </c>
      <c r="E270" s="448">
        <f>'Maxs Tool'!M270</f>
        <v>9</v>
      </c>
    </row>
    <row r="271" spans="1:5" x14ac:dyDescent="0.25">
      <c r="A271" s="449">
        <f t="shared" si="4"/>
        <v>270</v>
      </c>
      <c r="B271" s="448">
        <f>'Maxs Tool'!J271</f>
        <v>21</v>
      </c>
      <c r="C271" s="448">
        <f>'Maxs Tool'!K271</f>
        <v>52.679999999999993</v>
      </c>
      <c r="D271" s="448">
        <f>'Maxs Tool'!L271</f>
        <v>4.97</v>
      </c>
      <c r="E271" s="448">
        <f>'Maxs Tool'!M271</f>
        <v>10.1</v>
      </c>
    </row>
    <row r="272" spans="1:5" x14ac:dyDescent="0.25">
      <c r="A272" s="449">
        <f t="shared" si="4"/>
        <v>271</v>
      </c>
      <c r="B272" s="448">
        <f>'Maxs Tool'!J272</f>
        <v>21</v>
      </c>
      <c r="C272" s="448">
        <f>'Maxs Tool'!K272</f>
        <v>52.679999999999993</v>
      </c>
      <c r="D272" s="448">
        <f>'Maxs Tool'!L272</f>
        <v>5.47</v>
      </c>
      <c r="E272" s="448">
        <f>'Maxs Tool'!M272</f>
        <v>10.8</v>
      </c>
    </row>
    <row r="273" spans="1:5" x14ac:dyDescent="0.25">
      <c r="A273" s="449">
        <f t="shared" si="4"/>
        <v>272</v>
      </c>
      <c r="B273" s="448">
        <f>'Maxs Tool'!J273</f>
        <v>21</v>
      </c>
      <c r="C273" s="448">
        <f>'Maxs Tool'!K273</f>
        <v>52.679999999999993</v>
      </c>
      <c r="D273" s="448">
        <f>'Maxs Tool'!L273</f>
        <v>6.84</v>
      </c>
      <c r="E273" s="448">
        <f>'Maxs Tool'!M273</f>
        <v>12.6</v>
      </c>
    </row>
    <row r="274" spans="1:5" x14ac:dyDescent="0.25">
      <c r="A274" s="449">
        <f t="shared" si="4"/>
        <v>273</v>
      </c>
      <c r="B274" s="448">
        <f>'Maxs Tool'!J274</f>
        <v>21</v>
      </c>
      <c r="C274" s="448">
        <f>'Maxs Tool'!K274</f>
        <v>52.679999999999993</v>
      </c>
      <c r="D274" s="448">
        <f>'Maxs Tool'!L274</f>
        <v>9.77</v>
      </c>
      <c r="E274" s="448">
        <f>'Maxs Tool'!M274</f>
        <v>14.19</v>
      </c>
    </row>
    <row r="275" spans="1:5" x14ac:dyDescent="0.25">
      <c r="A275" s="449">
        <f t="shared" si="4"/>
        <v>274</v>
      </c>
      <c r="B275" s="448">
        <f>'Maxs Tool'!J275</f>
        <v>22</v>
      </c>
      <c r="C275" s="448">
        <f>'Maxs Tool'!K275</f>
        <v>55.972499999999982</v>
      </c>
      <c r="D275" s="448">
        <f>'Maxs Tool'!L275</f>
        <v>0</v>
      </c>
      <c r="E275" s="448">
        <f>'Maxs Tool'!M275</f>
        <v>0.32</v>
      </c>
    </row>
    <row r="276" spans="1:5" x14ac:dyDescent="0.25">
      <c r="A276" s="449">
        <f t="shared" si="4"/>
        <v>275</v>
      </c>
      <c r="B276" s="448">
        <f>'Maxs Tool'!J276</f>
        <v>22</v>
      </c>
      <c r="C276" s="448">
        <f>'Maxs Tool'!K276</f>
        <v>55.972499999999982</v>
      </c>
      <c r="D276" s="448">
        <f>'Maxs Tool'!L276</f>
        <v>0</v>
      </c>
      <c r="E276" s="448">
        <f>'Maxs Tool'!M276</f>
        <v>0</v>
      </c>
    </row>
    <row r="277" spans="1:5" x14ac:dyDescent="0.25">
      <c r="A277" s="449">
        <f t="shared" si="4"/>
        <v>276</v>
      </c>
      <c r="B277" s="448">
        <f>'Maxs Tool'!J277</f>
        <v>22</v>
      </c>
      <c r="C277" s="448">
        <f>'Maxs Tool'!K277</f>
        <v>55.972499999999982</v>
      </c>
      <c r="D277" s="448">
        <f>'Maxs Tool'!L277</f>
        <v>1.04</v>
      </c>
      <c r="E277" s="448">
        <f>'Maxs Tool'!M277</f>
        <v>0.9</v>
      </c>
    </row>
    <row r="278" spans="1:5" x14ac:dyDescent="0.25">
      <c r="A278" s="449">
        <f t="shared" si="4"/>
        <v>277</v>
      </c>
      <c r="B278" s="448">
        <f>'Maxs Tool'!J278</f>
        <v>22</v>
      </c>
      <c r="C278" s="448">
        <f>'Maxs Tool'!K278</f>
        <v>55.972499999999982</v>
      </c>
      <c r="D278" s="448">
        <f>'Maxs Tool'!L278</f>
        <v>1.7</v>
      </c>
      <c r="E278" s="448">
        <f>'Maxs Tool'!M278</f>
        <v>1.8</v>
      </c>
    </row>
    <row r="279" spans="1:5" x14ac:dyDescent="0.25">
      <c r="A279" s="449">
        <f t="shared" si="4"/>
        <v>278</v>
      </c>
      <c r="B279" s="448">
        <f>'Maxs Tool'!J279</f>
        <v>22</v>
      </c>
      <c r="C279" s="448">
        <f>'Maxs Tool'!K279</f>
        <v>55.972499999999982</v>
      </c>
      <c r="D279" s="448">
        <f>'Maxs Tool'!L279</f>
        <v>2.14</v>
      </c>
      <c r="E279" s="448">
        <f>'Maxs Tool'!M279</f>
        <v>2.7</v>
      </c>
    </row>
    <row r="280" spans="1:5" x14ac:dyDescent="0.25">
      <c r="A280" s="449">
        <f t="shared" si="4"/>
        <v>279</v>
      </c>
      <c r="B280" s="448">
        <f>'Maxs Tool'!J280</f>
        <v>22</v>
      </c>
      <c r="C280" s="448">
        <f>'Maxs Tool'!K280</f>
        <v>55.972499999999982</v>
      </c>
      <c r="D280" s="448">
        <f>'Maxs Tool'!L280</f>
        <v>2.4</v>
      </c>
      <c r="E280" s="448">
        <f>'Maxs Tool'!M280</f>
        <v>3.6</v>
      </c>
    </row>
    <row r="281" spans="1:5" x14ac:dyDescent="0.25">
      <c r="A281" s="449">
        <f t="shared" si="4"/>
        <v>280</v>
      </c>
      <c r="B281" s="448">
        <f>'Maxs Tool'!J281</f>
        <v>22</v>
      </c>
      <c r="C281" s="448">
        <f>'Maxs Tool'!K281</f>
        <v>55.972499999999982</v>
      </c>
      <c r="D281" s="448">
        <f>'Maxs Tool'!L281</f>
        <v>2.57</v>
      </c>
      <c r="E281" s="448">
        <f>'Maxs Tool'!M281</f>
        <v>5.4</v>
      </c>
    </row>
    <row r="282" spans="1:5" x14ac:dyDescent="0.25">
      <c r="A282" s="449">
        <f t="shared" si="4"/>
        <v>281</v>
      </c>
      <c r="B282" s="448">
        <f>'Maxs Tool'!J282</f>
        <v>22</v>
      </c>
      <c r="C282" s="448">
        <f>'Maxs Tool'!K282</f>
        <v>55.972499999999982</v>
      </c>
      <c r="D282" s="448">
        <f>'Maxs Tool'!L282</f>
        <v>2.5499999999999998</v>
      </c>
      <c r="E282" s="448">
        <f>'Maxs Tool'!M282</f>
        <v>7.2</v>
      </c>
    </row>
    <row r="283" spans="1:5" x14ac:dyDescent="0.25">
      <c r="A283" s="449">
        <f t="shared" si="4"/>
        <v>282</v>
      </c>
      <c r="B283" s="448">
        <f>'Maxs Tool'!J283</f>
        <v>22</v>
      </c>
      <c r="C283" s="448">
        <f>'Maxs Tool'!K283</f>
        <v>55.972499999999982</v>
      </c>
      <c r="D283" s="448">
        <f>'Maxs Tool'!L283</f>
        <v>3.12</v>
      </c>
      <c r="E283" s="448">
        <f>'Maxs Tool'!M283</f>
        <v>9</v>
      </c>
    </row>
    <row r="284" spans="1:5" x14ac:dyDescent="0.25">
      <c r="A284" s="449">
        <f t="shared" si="4"/>
        <v>283</v>
      </c>
      <c r="B284" s="448">
        <f>'Maxs Tool'!J284</f>
        <v>22</v>
      </c>
      <c r="C284" s="448">
        <f>'Maxs Tool'!K284</f>
        <v>55.972499999999982</v>
      </c>
      <c r="D284" s="448">
        <f>'Maxs Tool'!L284</f>
        <v>3.79</v>
      </c>
      <c r="E284" s="448">
        <f>'Maxs Tool'!M284</f>
        <v>10.1</v>
      </c>
    </row>
    <row r="285" spans="1:5" x14ac:dyDescent="0.25">
      <c r="A285" s="449">
        <f t="shared" si="4"/>
        <v>284</v>
      </c>
      <c r="B285" s="448">
        <f>'Maxs Tool'!J285</f>
        <v>22</v>
      </c>
      <c r="C285" s="448">
        <f>'Maxs Tool'!K285</f>
        <v>55.972499999999982</v>
      </c>
      <c r="D285" s="448">
        <f>'Maxs Tool'!L285</f>
        <v>4.3</v>
      </c>
      <c r="E285" s="448">
        <f>'Maxs Tool'!M285</f>
        <v>10.8</v>
      </c>
    </row>
    <row r="286" spans="1:5" x14ac:dyDescent="0.25">
      <c r="A286" s="449">
        <f t="shared" si="4"/>
        <v>285</v>
      </c>
      <c r="B286" s="448">
        <f>'Maxs Tool'!J286</f>
        <v>22</v>
      </c>
      <c r="C286" s="448">
        <f>'Maxs Tool'!K286</f>
        <v>55.972499999999982</v>
      </c>
      <c r="D286" s="448">
        <f>'Maxs Tool'!L286</f>
        <v>5.71</v>
      </c>
      <c r="E286" s="448">
        <f>'Maxs Tool'!M286</f>
        <v>12.6</v>
      </c>
    </row>
    <row r="287" spans="1:5" x14ac:dyDescent="0.25">
      <c r="A287" s="449">
        <f t="shared" si="4"/>
        <v>286</v>
      </c>
      <c r="B287" s="448">
        <f>'Maxs Tool'!J287</f>
        <v>22</v>
      </c>
      <c r="C287" s="448">
        <f>'Maxs Tool'!K287</f>
        <v>55.972499999999982</v>
      </c>
      <c r="D287" s="448">
        <f>'Maxs Tool'!L287</f>
        <v>8.1</v>
      </c>
      <c r="E287" s="448">
        <f>'Maxs Tool'!M287</f>
        <v>14.19</v>
      </c>
    </row>
    <row r="288" spans="1:5" x14ac:dyDescent="0.25">
      <c r="A288" s="449">
        <f t="shared" si="4"/>
        <v>287</v>
      </c>
      <c r="B288" s="448">
        <f>'Maxs Tool'!J288</f>
        <v>23</v>
      </c>
      <c r="C288" s="448">
        <f>'Maxs Tool'!K288</f>
        <v>59.264999999999986</v>
      </c>
      <c r="D288" s="448">
        <f>'Maxs Tool'!L288</f>
        <v>0</v>
      </c>
      <c r="E288" s="448">
        <f>'Maxs Tool'!M288</f>
        <v>0.66</v>
      </c>
    </row>
    <row r="289" spans="1:5" x14ac:dyDescent="0.25">
      <c r="A289" s="449">
        <f t="shared" si="4"/>
        <v>288</v>
      </c>
      <c r="B289" s="448">
        <f>'Maxs Tool'!J289</f>
        <v>23</v>
      </c>
      <c r="C289" s="448">
        <f>'Maxs Tool'!K289</f>
        <v>59.264999999999986</v>
      </c>
      <c r="D289" s="448">
        <f>'Maxs Tool'!L289</f>
        <v>0</v>
      </c>
      <c r="E289" s="448">
        <f>'Maxs Tool'!M289</f>
        <v>0</v>
      </c>
    </row>
    <row r="290" spans="1:5" x14ac:dyDescent="0.25">
      <c r="A290" s="449">
        <f t="shared" si="4"/>
        <v>289</v>
      </c>
      <c r="B290" s="448">
        <f>'Maxs Tool'!J290</f>
        <v>23</v>
      </c>
      <c r="C290" s="448">
        <f>'Maxs Tool'!K290</f>
        <v>59.264999999999986</v>
      </c>
      <c r="D290" s="448">
        <f>'Maxs Tool'!L290</f>
        <v>0.64</v>
      </c>
      <c r="E290" s="448">
        <f>'Maxs Tool'!M290</f>
        <v>0.9</v>
      </c>
    </row>
    <row r="291" spans="1:5" x14ac:dyDescent="0.25">
      <c r="A291" s="449">
        <f t="shared" si="4"/>
        <v>290</v>
      </c>
      <c r="B291" s="448">
        <f>'Maxs Tool'!J291</f>
        <v>23</v>
      </c>
      <c r="C291" s="448">
        <f>'Maxs Tool'!K291</f>
        <v>59.264999999999986</v>
      </c>
      <c r="D291" s="448">
        <f>'Maxs Tool'!L291</f>
        <v>1.27</v>
      </c>
      <c r="E291" s="448">
        <f>'Maxs Tool'!M291</f>
        <v>1.8</v>
      </c>
    </row>
    <row r="292" spans="1:5" x14ac:dyDescent="0.25">
      <c r="A292" s="449">
        <f t="shared" si="4"/>
        <v>291</v>
      </c>
      <c r="B292" s="448">
        <f>'Maxs Tool'!J292</f>
        <v>23</v>
      </c>
      <c r="C292" s="448">
        <f>'Maxs Tool'!K292</f>
        <v>59.264999999999986</v>
      </c>
      <c r="D292" s="448">
        <f>'Maxs Tool'!L292</f>
        <v>1.68</v>
      </c>
      <c r="E292" s="448">
        <f>'Maxs Tool'!M292</f>
        <v>2.7</v>
      </c>
    </row>
    <row r="293" spans="1:5" x14ac:dyDescent="0.25">
      <c r="A293" s="449">
        <f t="shared" si="4"/>
        <v>292</v>
      </c>
      <c r="B293" s="448">
        <f>'Maxs Tool'!J293</f>
        <v>23</v>
      </c>
      <c r="C293" s="448">
        <f>'Maxs Tool'!K293</f>
        <v>59.264999999999986</v>
      </c>
      <c r="D293" s="448">
        <f>'Maxs Tool'!L293</f>
        <v>1.96</v>
      </c>
      <c r="E293" s="448">
        <f>'Maxs Tool'!M293</f>
        <v>3.6</v>
      </c>
    </row>
    <row r="294" spans="1:5" x14ac:dyDescent="0.25">
      <c r="A294" s="449">
        <f t="shared" si="4"/>
        <v>293</v>
      </c>
      <c r="B294" s="448">
        <f>'Maxs Tool'!J294</f>
        <v>23</v>
      </c>
      <c r="C294" s="448">
        <f>'Maxs Tool'!K294</f>
        <v>59.264999999999986</v>
      </c>
      <c r="D294" s="448">
        <f>'Maxs Tool'!L294</f>
        <v>2.1</v>
      </c>
      <c r="E294" s="448">
        <f>'Maxs Tool'!M294</f>
        <v>5.4</v>
      </c>
    </row>
    <row r="295" spans="1:5" x14ac:dyDescent="0.25">
      <c r="A295" s="449">
        <f t="shared" si="4"/>
        <v>294</v>
      </c>
      <c r="B295" s="448">
        <f>'Maxs Tool'!J295</f>
        <v>23</v>
      </c>
      <c r="C295" s="448">
        <f>'Maxs Tool'!K295</f>
        <v>59.264999999999986</v>
      </c>
      <c r="D295" s="448">
        <f>'Maxs Tool'!L295</f>
        <v>1.8</v>
      </c>
      <c r="E295" s="448">
        <f>'Maxs Tool'!M295</f>
        <v>7.2</v>
      </c>
    </row>
    <row r="296" spans="1:5" x14ac:dyDescent="0.25">
      <c r="A296" s="449">
        <f t="shared" si="4"/>
        <v>295</v>
      </c>
      <c r="B296" s="448">
        <f>'Maxs Tool'!J296</f>
        <v>23</v>
      </c>
      <c r="C296" s="448">
        <f>'Maxs Tool'!K296</f>
        <v>59.264999999999986</v>
      </c>
      <c r="D296" s="448">
        <f>'Maxs Tool'!L296</f>
        <v>2</v>
      </c>
      <c r="E296" s="448">
        <f>'Maxs Tool'!M296</f>
        <v>9</v>
      </c>
    </row>
    <row r="297" spans="1:5" x14ac:dyDescent="0.25">
      <c r="A297" s="449">
        <f t="shared" si="4"/>
        <v>296</v>
      </c>
      <c r="B297" s="448">
        <f>'Maxs Tool'!J297</f>
        <v>23</v>
      </c>
      <c r="C297" s="448">
        <f>'Maxs Tool'!K297</f>
        <v>59.264999999999986</v>
      </c>
      <c r="D297" s="448">
        <f>'Maxs Tool'!L297</f>
        <v>2.61</v>
      </c>
      <c r="E297" s="448">
        <f>'Maxs Tool'!M297</f>
        <v>10.1</v>
      </c>
    </row>
    <row r="298" spans="1:5" x14ac:dyDescent="0.25">
      <c r="A298" s="449">
        <f t="shared" si="4"/>
        <v>297</v>
      </c>
      <c r="B298" s="448">
        <f>'Maxs Tool'!J298</f>
        <v>23</v>
      </c>
      <c r="C298" s="448">
        <f>'Maxs Tool'!K298</f>
        <v>59.264999999999986</v>
      </c>
      <c r="D298" s="448">
        <f>'Maxs Tool'!L298</f>
        <v>3.1</v>
      </c>
      <c r="E298" s="448">
        <f>'Maxs Tool'!M298</f>
        <v>10.8</v>
      </c>
    </row>
    <row r="299" spans="1:5" x14ac:dyDescent="0.25">
      <c r="A299" s="449">
        <f t="shared" si="4"/>
        <v>298</v>
      </c>
      <c r="B299" s="448">
        <f>'Maxs Tool'!J299</f>
        <v>23</v>
      </c>
      <c r="C299" s="448">
        <f>'Maxs Tool'!K299</f>
        <v>59.264999999999986</v>
      </c>
      <c r="D299" s="448">
        <f>'Maxs Tool'!L299</f>
        <v>4.42</v>
      </c>
      <c r="E299" s="448">
        <f>'Maxs Tool'!M299</f>
        <v>12.6</v>
      </c>
    </row>
    <row r="300" spans="1:5" x14ac:dyDescent="0.25">
      <c r="A300" s="449">
        <f t="shared" si="4"/>
        <v>299</v>
      </c>
      <c r="B300" s="448">
        <f>'Maxs Tool'!J300</f>
        <v>23</v>
      </c>
      <c r="C300" s="448">
        <f>'Maxs Tool'!K300</f>
        <v>59.264999999999986</v>
      </c>
      <c r="D300" s="448">
        <f>'Maxs Tool'!L300</f>
        <v>5.76</v>
      </c>
      <c r="E300" s="448">
        <f>'Maxs Tool'!M300</f>
        <v>14.19</v>
      </c>
    </row>
    <row r="301" spans="1:5" x14ac:dyDescent="0.25">
      <c r="A301" s="449">
        <f t="shared" si="4"/>
        <v>300</v>
      </c>
      <c r="B301" s="448">
        <f>'Maxs Tool'!J301</f>
        <v>24</v>
      </c>
      <c r="C301" s="448">
        <f>'Maxs Tool'!K301</f>
        <v>62.557499999999976</v>
      </c>
      <c r="D301" s="448">
        <f>'Maxs Tool'!L301</f>
        <v>0</v>
      </c>
      <c r="E301" s="448">
        <f>'Maxs Tool'!M301</f>
        <v>1</v>
      </c>
    </row>
    <row r="302" spans="1:5" x14ac:dyDescent="0.25">
      <c r="A302" s="449">
        <f t="shared" si="4"/>
        <v>301</v>
      </c>
      <c r="B302" s="448">
        <f>'Maxs Tool'!J302</f>
        <v>24</v>
      </c>
      <c r="C302" s="448">
        <f>'Maxs Tool'!K302</f>
        <v>62.557499999999976</v>
      </c>
      <c r="D302" s="448">
        <f>'Maxs Tool'!L302</f>
        <v>0</v>
      </c>
      <c r="E302" s="448">
        <f>'Maxs Tool'!M302</f>
        <v>0</v>
      </c>
    </row>
    <row r="303" spans="1:5" x14ac:dyDescent="0.25">
      <c r="A303" s="449">
        <f t="shared" si="4"/>
        <v>302</v>
      </c>
      <c r="B303" s="448">
        <f>'Maxs Tool'!J303</f>
        <v>24</v>
      </c>
      <c r="C303" s="448">
        <f>'Maxs Tool'!K303</f>
        <v>62.557499999999976</v>
      </c>
      <c r="D303" s="448">
        <f>'Maxs Tool'!L303</f>
        <v>0</v>
      </c>
      <c r="E303" s="448">
        <f>'Maxs Tool'!M303</f>
        <v>0.9</v>
      </c>
    </row>
    <row r="304" spans="1:5" x14ac:dyDescent="0.25">
      <c r="A304" s="449">
        <f t="shared" si="4"/>
        <v>303</v>
      </c>
      <c r="B304" s="448">
        <f>'Maxs Tool'!J304</f>
        <v>24</v>
      </c>
      <c r="C304" s="448">
        <f>'Maxs Tool'!K304</f>
        <v>62.557499999999976</v>
      </c>
      <c r="D304" s="448">
        <f>'Maxs Tool'!L304</f>
        <v>0.86</v>
      </c>
      <c r="E304" s="448">
        <f>'Maxs Tool'!M304</f>
        <v>1.8</v>
      </c>
    </row>
    <row r="305" spans="1:5" x14ac:dyDescent="0.25">
      <c r="A305" s="449">
        <f t="shared" si="4"/>
        <v>304</v>
      </c>
      <c r="B305" s="448">
        <f>'Maxs Tool'!J305</f>
        <v>24</v>
      </c>
      <c r="C305" s="448">
        <f>'Maxs Tool'!K305</f>
        <v>62.557499999999976</v>
      </c>
      <c r="D305" s="448">
        <f>'Maxs Tool'!L305</f>
        <v>1.29</v>
      </c>
      <c r="E305" s="448">
        <f>'Maxs Tool'!M305</f>
        <v>2.7</v>
      </c>
    </row>
    <row r="306" spans="1:5" x14ac:dyDescent="0.25">
      <c r="A306" s="449">
        <f t="shared" si="4"/>
        <v>305</v>
      </c>
      <c r="B306" s="448">
        <f>'Maxs Tool'!J306</f>
        <v>24</v>
      </c>
      <c r="C306" s="448">
        <f>'Maxs Tool'!K306</f>
        <v>62.557499999999976</v>
      </c>
      <c r="D306" s="448">
        <f>'Maxs Tool'!L306</f>
        <v>1.6</v>
      </c>
      <c r="E306" s="448">
        <f>'Maxs Tool'!M306</f>
        <v>3.6</v>
      </c>
    </row>
    <row r="307" spans="1:5" x14ac:dyDescent="0.25">
      <c r="A307" s="449">
        <f t="shared" si="4"/>
        <v>306</v>
      </c>
      <c r="B307" s="448">
        <f>'Maxs Tool'!J307</f>
        <v>24</v>
      </c>
      <c r="C307" s="448">
        <f>'Maxs Tool'!K307</f>
        <v>62.557499999999976</v>
      </c>
      <c r="D307" s="448">
        <f>'Maxs Tool'!L307</f>
        <v>1.77</v>
      </c>
      <c r="E307" s="448">
        <f>'Maxs Tool'!M307</f>
        <v>5.4</v>
      </c>
    </row>
    <row r="308" spans="1:5" x14ac:dyDescent="0.25">
      <c r="A308" s="449">
        <f t="shared" si="4"/>
        <v>307</v>
      </c>
      <c r="B308" s="448">
        <f>'Maxs Tool'!J308</f>
        <v>24</v>
      </c>
      <c r="C308" s="448">
        <f>'Maxs Tool'!K308</f>
        <v>62.557499999999976</v>
      </c>
      <c r="D308" s="448">
        <f>'Maxs Tool'!L308</f>
        <v>1.31</v>
      </c>
      <c r="E308" s="448">
        <f>'Maxs Tool'!M308</f>
        <v>7.2</v>
      </c>
    </row>
    <row r="309" spans="1:5" x14ac:dyDescent="0.25">
      <c r="A309" s="449">
        <f t="shared" si="4"/>
        <v>308</v>
      </c>
      <c r="B309" s="448">
        <f>'Maxs Tool'!J309</f>
        <v>24</v>
      </c>
      <c r="C309" s="448">
        <f>'Maxs Tool'!K309</f>
        <v>62.557499999999976</v>
      </c>
      <c r="D309" s="448">
        <f>'Maxs Tool'!L309</f>
        <v>1</v>
      </c>
      <c r="E309" s="448">
        <f>'Maxs Tool'!M309</f>
        <v>9</v>
      </c>
    </row>
    <row r="310" spans="1:5" x14ac:dyDescent="0.25">
      <c r="A310" s="449">
        <f t="shared" si="4"/>
        <v>309</v>
      </c>
      <c r="B310" s="448">
        <f>'Maxs Tool'!J310</f>
        <v>24</v>
      </c>
      <c r="C310" s="448">
        <f>'Maxs Tool'!K310</f>
        <v>62.557499999999976</v>
      </c>
      <c r="D310" s="448">
        <f>'Maxs Tool'!L310</f>
        <v>1.44</v>
      </c>
      <c r="E310" s="448">
        <f>'Maxs Tool'!M310</f>
        <v>10.1</v>
      </c>
    </row>
    <row r="311" spans="1:5" x14ac:dyDescent="0.25">
      <c r="A311" s="449">
        <f t="shared" si="4"/>
        <v>310</v>
      </c>
      <c r="B311" s="448">
        <f>'Maxs Tool'!J311</f>
        <v>24</v>
      </c>
      <c r="C311" s="448">
        <f>'Maxs Tool'!K311</f>
        <v>62.557499999999976</v>
      </c>
      <c r="D311" s="448">
        <f>'Maxs Tool'!L311</f>
        <v>1.74</v>
      </c>
      <c r="E311" s="448">
        <f>'Maxs Tool'!M311</f>
        <v>10.8</v>
      </c>
    </row>
    <row r="312" spans="1:5" x14ac:dyDescent="0.25">
      <c r="A312" s="449">
        <f t="shared" si="4"/>
        <v>311</v>
      </c>
      <c r="B312" s="448">
        <f>'Maxs Tool'!J312</f>
        <v>24</v>
      </c>
      <c r="C312" s="448">
        <f>'Maxs Tool'!K312</f>
        <v>62.557499999999976</v>
      </c>
      <c r="D312" s="448">
        <f>'Maxs Tool'!L312</f>
        <v>2.79</v>
      </c>
      <c r="E312" s="448">
        <f>'Maxs Tool'!M312</f>
        <v>12.6</v>
      </c>
    </row>
    <row r="313" spans="1:5" x14ac:dyDescent="0.25">
      <c r="A313" s="449">
        <f t="shared" si="4"/>
        <v>312</v>
      </c>
      <c r="B313" s="448">
        <f>'Maxs Tool'!J313</f>
        <v>24</v>
      </c>
      <c r="C313" s="448">
        <f>'Maxs Tool'!K313</f>
        <v>62.557499999999976</v>
      </c>
      <c r="D313" s="448">
        <f>'Maxs Tool'!L313</f>
        <v>4.0999999999999996</v>
      </c>
      <c r="E313" s="448">
        <f>'Maxs Tool'!M313</f>
        <v>14.19</v>
      </c>
    </row>
    <row r="314" spans="1:5" x14ac:dyDescent="0.25">
      <c r="A314" s="449">
        <f t="shared" si="4"/>
        <v>313</v>
      </c>
      <c r="B314" s="448">
        <f>'Maxs Tool'!J314</f>
        <v>25</v>
      </c>
      <c r="C314" s="448">
        <f>'Maxs Tool'!K314</f>
        <v>65.849999999999994</v>
      </c>
      <c r="D314" s="448">
        <f>'Maxs Tool'!L314</f>
        <v>0</v>
      </c>
      <c r="E314" s="448">
        <f>'Maxs Tool'!M314</f>
        <v>2</v>
      </c>
    </row>
    <row r="315" spans="1:5" x14ac:dyDescent="0.25">
      <c r="A315" s="449">
        <f t="shared" si="4"/>
        <v>314</v>
      </c>
      <c r="B315" s="448">
        <f>'Maxs Tool'!J315</f>
        <v>25</v>
      </c>
      <c r="C315" s="448">
        <f>'Maxs Tool'!K315</f>
        <v>65.849999999999994</v>
      </c>
      <c r="D315" s="448">
        <f>'Maxs Tool'!L315</f>
        <v>0</v>
      </c>
      <c r="E315" s="448">
        <f>'Maxs Tool'!M315</f>
        <v>0</v>
      </c>
    </row>
    <row r="316" spans="1:5" x14ac:dyDescent="0.25">
      <c r="A316" s="449">
        <f t="shared" si="4"/>
        <v>315</v>
      </c>
      <c r="B316" s="448">
        <f>'Maxs Tool'!J316</f>
        <v>25</v>
      </c>
      <c r="C316" s="448">
        <f>'Maxs Tool'!K316</f>
        <v>65.849999999999994</v>
      </c>
      <c r="D316" s="448">
        <f>'Maxs Tool'!L316</f>
        <v>0</v>
      </c>
      <c r="E316" s="448">
        <f>'Maxs Tool'!M316</f>
        <v>0.9</v>
      </c>
    </row>
    <row r="317" spans="1:5" x14ac:dyDescent="0.25">
      <c r="A317" s="449">
        <f t="shared" si="4"/>
        <v>316</v>
      </c>
      <c r="B317" s="448">
        <f>'Maxs Tool'!J317</f>
        <v>25</v>
      </c>
      <c r="C317" s="448">
        <f>'Maxs Tool'!K317</f>
        <v>65.849999999999994</v>
      </c>
      <c r="D317" s="448">
        <f>'Maxs Tool'!L317</f>
        <v>0</v>
      </c>
      <c r="E317" s="448">
        <f>'Maxs Tool'!M317</f>
        <v>1.8</v>
      </c>
    </row>
    <row r="318" spans="1:5" x14ac:dyDescent="0.25">
      <c r="A318" s="449">
        <f t="shared" si="4"/>
        <v>317</v>
      </c>
      <c r="B318" s="448">
        <f>'Maxs Tool'!J318</f>
        <v>25</v>
      </c>
      <c r="C318" s="448">
        <f>'Maxs Tool'!K318</f>
        <v>65.849999999999994</v>
      </c>
      <c r="D318" s="448">
        <f>'Maxs Tool'!L318</f>
        <v>0.76</v>
      </c>
      <c r="E318" s="448">
        <f>'Maxs Tool'!M318</f>
        <v>2.7</v>
      </c>
    </row>
    <row r="319" spans="1:5" x14ac:dyDescent="0.25">
      <c r="A319" s="449">
        <f t="shared" si="4"/>
        <v>318</v>
      </c>
      <c r="B319" s="448">
        <f>'Maxs Tool'!J319</f>
        <v>25</v>
      </c>
      <c r="C319" s="448">
        <f>'Maxs Tool'!K319</f>
        <v>65.849999999999994</v>
      </c>
      <c r="D319" s="448">
        <f>'Maxs Tool'!L319</f>
        <v>1.1499999999999999</v>
      </c>
      <c r="E319" s="448">
        <f>'Maxs Tool'!M319</f>
        <v>3.6</v>
      </c>
    </row>
    <row r="320" spans="1:5" x14ac:dyDescent="0.25">
      <c r="A320" s="449">
        <f t="shared" si="4"/>
        <v>319</v>
      </c>
      <c r="B320" s="448">
        <f>'Maxs Tool'!J320</f>
        <v>25</v>
      </c>
      <c r="C320" s="448">
        <f>'Maxs Tool'!K320</f>
        <v>65.849999999999994</v>
      </c>
      <c r="D320" s="448">
        <f>'Maxs Tool'!L320</f>
        <v>1.45</v>
      </c>
      <c r="E320" s="448">
        <f>'Maxs Tool'!M320</f>
        <v>5.4</v>
      </c>
    </row>
    <row r="321" spans="1:5" x14ac:dyDescent="0.25">
      <c r="A321" s="449">
        <f t="shared" si="4"/>
        <v>320</v>
      </c>
      <c r="B321" s="448">
        <f>'Maxs Tool'!J321</f>
        <v>25</v>
      </c>
      <c r="C321" s="448">
        <f>'Maxs Tool'!K321</f>
        <v>65.849999999999994</v>
      </c>
      <c r="D321" s="448">
        <f>'Maxs Tool'!L321</f>
        <v>1.04</v>
      </c>
      <c r="E321" s="448">
        <f>'Maxs Tool'!M321</f>
        <v>7.2</v>
      </c>
    </row>
    <row r="322" spans="1:5" x14ac:dyDescent="0.25">
      <c r="A322" s="449">
        <f t="shared" si="4"/>
        <v>321</v>
      </c>
      <c r="B322" s="448">
        <f>'Maxs Tool'!J322</f>
        <v>25</v>
      </c>
      <c r="C322" s="448">
        <f>'Maxs Tool'!K322</f>
        <v>65.849999999999994</v>
      </c>
      <c r="D322" s="448">
        <f>'Maxs Tool'!L322</f>
        <v>0</v>
      </c>
      <c r="E322" s="448">
        <f>'Maxs Tool'!M322</f>
        <v>9</v>
      </c>
    </row>
    <row r="323" spans="1:5" x14ac:dyDescent="0.25">
      <c r="A323" s="449">
        <f t="shared" ref="A323:A386" si="5">IF(ISNUMBER(D323),ROW()-1,"")</f>
        <v>322</v>
      </c>
      <c r="B323" s="448">
        <f>'Maxs Tool'!J323</f>
        <v>25</v>
      </c>
      <c r="C323" s="448">
        <f>'Maxs Tool'!K323</f>
        <v>65.849999999999994</v>
      </c>
      <c r="D323" s="448">
        <f>'Maxs Tool'!L323</f>
        <v>0</v>
      </c>
      <c r="E323" s="448">
        <f>'Maxs Tool'!M323</f>
        <v>10.1</v>
      </c>
    </row>
    <row r="324" spans="1:5" x14ac:dyDescent="0.25">
      <c r="A324" s="449">
        <f t="shared" si="5"/>
        <v>323</v>
      </c>
      <c r="B324" s="448">
        <f>'Maxs Tool'!J324</f>
        <v>25</v>
      </c>
      <c r="C324" s="448">
        <f>'Maxs Tool'!K324</f>
        <v>65.849999999999994</v>
      </c>
      <c r="D324" s="448">
        <f>'Maxs Tool'!L324</f>
        <v>0.25</v>
      </c>
      <c r="E324" s="448">
        <f>'Maxs Tool'!M324</f>
        <v>10.8</v>
      </c>
    </row>
    <row r="325" spans="1:5" x14ac:dyDescent="0.25">
      <c r="A325" s="449">
        <f t="shared" si="5"/>
        <v>324</v>
      </c>
      <c r="B325" s="448">
        <f>'Maxs Tool'!J325</f>
        <v>25</v>
      </c>
      <c r="C325" s="448">
        <f>'Maxs Tool'!K325</f>
        <v>65.849999999999994</v>
      </c>
      <c r="D325" s="448">
        <f>'Maxs Tool'!L325</f>
        <v>0.85</v>
      </c>
      <c r="E325" s="448">
        <f>'Maxs Tool'!M325</f>
        <v>12.6</v>
      </c>
    </row>
    <row r="326" spans="1:5" x14ac:dyDescent="0.25">
      <c r="A326" s="449">
        <f t="shared" si="5"/>
        <v>325</v>
      </c>
      <c r="B326" s="448">
        <f>'Maxs Tool'!J326</f>
        <v>25</v>
      </c>
      <c r="C326" s="448">
        <f>'Maxs Tool'!K326</f>
        <v>65.849999999999994</v>
      </c>
      <c r="D326" s="448">
        <f>'Maxs Tool'!L326</f>
        <v>1.78</v>
      </c>
      <c r="E326" s="448">
        <f>'Maxs Tool'!M326</f>
        <v>14.19</v>
      </c>
    </row>
    <row r="327" spans="1:5" x14ac:dyDescent="0.25">
      <c r="A327" s="449" t="str">
        <f t="shared" si="5"/>
        <v/>
      </c>
      <c r="B327" s="448" t="str">
        <f>'Maxs Tool'!J327</f>
        <v/>
      </c>
      <c r="C327" s="448" t="str">
        <f>'Maxs Tool'!K327</f>
        <v/>
      </c>
      <c r="D327" s="448" t="str">
        <f>'Maxs Tool'!L327</f>
        <v/>
      </c>
      <c r="E327" s="448" t="str">
        <f>'Maxs Tool'!M327</f>
        <v/>
      </c>
    </row>
    <row r="328" spans="1:5" x14ac:dyDescent="0.25">
      <c r="A328" s="449" t="str">
        <f t="shared" si="5"/>
        <v/>
      </c>
      <c r="B328" s="448" t="str">
        <f>'Maxs Tool'!J328</f>
        <v/>
      </c>
      <c r="C328" s="448" t="str">
        <f>'Maxs Tool'!K328</f>
        <v/>
      </c>
      <c r="D328" s="448" t="str">
        <f>'Maxs Tool'!L328</f>
        <v/>
      </c>
      <c r="E328" s="448" t="str">
        <f>'Maxs Tool'!M328</f>
        <v/>
      </c>
    </row>
    <row r="329" spans="1:5" x14ac:dyDescent="0.25">
      <c r="A329" s="449" t="str">
        <f t="shared" si="5"/>
        <v/>
      </c>
      <c r="B329" s="448" t="str">
        <f>'Maxs Tool'!J329</f>
        <v/>
      </c>
      <c r="C329" s="448" t="str">
        <f>'Maxs Tool'!K329</f>
        <v/>
      </c>
      <c r="D329" s="448" t="str">
        <f>'Maxs Tool'!L329</f>
        <v/>
      </c>
      <c r="E329" s="448" t="str">
        <f>'Maxs Tool'!M329</f>
        <v/>
      </c>
    </row>
    <row r="330" spans="1:5" x14ac:dyDescent="0.25">
      <c r="A330" s="449" t="str">
        <f t="shared" si="5"/>
        <v/>
      </c>
      <c r="B330" s="448" t="str">
        <f>'Maxs Tool'!J330</f>
        <v/>
      </c>
      <c r="C330" s="448" t="str">
        <f>'Maxs Tool'!K330</f>
        <v/>
      </c>
      <c r="D330" s="448" t="str">
        <f>'Maxs Tool'!L330</f>
        <v/>
      </c>
      <c r="E330" s="448" t="str">
        <f>'Maxs Tool'!M330</f>
        <v/>
      </c>
    </row>
    <row r="331" spans="1:5" x14ac:dyDescent="0.25">
      <c r="A331" s="449" t="str">
        <f t="shared" si="5"/>
        <v/>
      </c>
      <c r="B331" s="448" t="str">
        <f>'Maxs Tool'!J331</f>
        <v/>
      </c>
      <c r="C331" s="448" t="str">
        <f>'Maxs Tool'!K331</f>
        <v/>
      </c>
      <c r="D331" s="448" t="str">
        <f>'Maxs Tool'!L331</f>
        <v/>
      </c>
      <c r="E331" s="448" t="str">
        <f>'Maxs Tool'!M331</f>
        <v/>
      </c>
    </row>
    <row r="332" spans="1:5" x14ac:dyDescent="0.25">
      <c r="A332" s="449" t="str">
        <f t="shared" si="5"/>
        <v/>
      </c>
      <c r="B332" s="448" t="str">
        <f>'Maxs Tool'!J332</f>
        <v/>
      </c>
      <c r="C332" s="448" t="str">
        <f>'Maxs Tool'!K332</f>
        <v/>
      </c>
      <c r="D332" s="448" t="str">
        <f>'Maxs Tool'!L332</f>
        <v/>
      </c>
      <c r="E332" s="448" t="str">
        <f>'Maxs Tool'!M332</f>
        <v/>
      </c>
    </row>
    <row r="333" spans="1:5" x14ac:dyDescent="0.25">
      <c r="A333" s="449" t="str">
        <f t="shared" si="5"/>
        <v/>
      </c>
      <c r="B333" s="448" t="str">
        <f>'Maxs Tool'!J333</f>
        <v/>
      </c>
      <c r="C333" s="448" t="str">
        <f>'Maxs Tool'!K333</f>
        <v/>
      </c>
      <c r="D333" s="448" t="str">
        <f>'Maxs Tool'!L333</f>
        <v/>
      </c>
      <c r="E333" s="448" t="str">
        <f>'Maxs Tool'!M333</f>
        <v/>
      </c>
    </row>
    <row r="334" spans="1:5" x14ac:dyDescent="0.25">
      <c r="A334" s="449" t="str">
        <f t="shared" si="5"/>
        <v/>
      </c>
      <c r="B334" s="448" t="str">
        <f>'Maxs Tool'!J334</f>
        <v/>
      </c>
      <c r="C334" s="448" t="str">
        <f>'Maxs Tool'!K334</f>
        <v/>
      </c>
      <c r="D334" s="448" t="str">
        <f>'Maxs Tool'!L334</f>
        <v/>
      </c>
      <c r="E334" s="448" t="str">
        <f>'Maxs Tool'!M334</f>
        <v/>
      </c>
    </row>
    <row r="335" spans="1:5" x14ac:dyDescent="0.25">
      <c r="A335" s="449" t="str">
        <f t="shared" si="5"/>
        <v/>
      </c>
      <c r="B335" s="448" t="str">
        <f>'Maxs Tool'!J335</f>
        <v/>
      </c>
      <c r="C335" s="448" t="str">
        <f>'Maxs Tool'!K335</f>
        <v/>
      </c>
      <c r="D335" s="448" t="str">
        <f>'Maxs Tool'!L335</f>
        <v/>
      </c>
      <c r="E335" s="448" t="str">
        <f>'Maxs Tool'!M335</f>
        <v/>
      </c>
    </row>
    <row r="336" spans="1:5" x14ac:dyDescent="0.25">
      <c r="A336" s="449" t="str">
        <f t="shared" si="5"/>
        <v/>
      </c>
      <c r="B336" s="448" t="str">
        <f>'Maxs Tool'!J336</f>
        <v/>
      </c>
      <c r="C336" s="448" t="str">
        <f>'Maxs Tool'!K336</f>
        <v/>
      </c>
      <c r="D336" s="448" t="str">
        <f>'Maxs Tool'!L336</f>
        <v/>
      </c>
      <c r="E336" s="448" t="str">
        <f>'Maxs Tool'!M336</f>
        <v/>
      </c>
    </row>
    <row r="337" spans="1:5" x14ac:dyDescent="0.25">
      <c r="A337" s="449" t="str">
        <f t="shared" si="5"/>
        <v/>
      </c>
      <c r="B337" s="448" t="str">
        <f>'Maxs Tool'!J337</f>
        <v/>
      </c>
      <c r="C337" s="448" t="str">
        <f>'Maxs Tool'!K337</f>
        <v/>
      </c>
      <c r="D337" s="448" t="str">
        <f>'Maxs Tool'!L337</f>
        <v/>
      </c>
      <c r="E337" s="448" t="str">
        <f>'Maxs Tool'!M337</f>
        <v/>
      </c>
    </row>
    <row r="338" spans="1:5" x14ac:dyDescent="0.25">
      <c r="A338" s="449" t="str">
        <f t="shared" si="5"/>
        <v/>
      </c>
      <c r="B338" s="448" t="str">
        <f>'Maxs Tool'!J338</f>
        <v/>
      </c>
      <c r="C338" s="448" t="str">
        <f>'Maxs Tool'!K338</f>
        <v/>
      </c>
      <c r="D338" s="448" t="str">
        <f>'Maxs Tool'!L338</f>
        <v/>
      </c>
      <c r="E338" s="448" t="str">
        <f>'Maxs Tool'!M338</f>
        <v/>
      </c>
    </row>
    <row r="339" spans="1:5" x14ac:dyDescent="0.25">
      <c r="A339" s="449" t="str">
        <f t="shared" si="5"/>
        <v/>
      </c>
      <c r="B339" s="448" t="str">
        <f>'Maxs Tool'!J339</f>
        <v/>
      </c>
      <c r="C339" s="448" t="str">
        <f>'Maxs Tool'!K339</f>
        <v/>
      </c>
      <c r="D339" s="448" t="str">
        <f>'Maxs Tool'!L339</f>
        <v/>
      </c>
      <c r="E339" s="448" t="str">
        <f>'Maxs Tool'!M339</f>
        <v/>
      </c>
    </row>
    <row r="340" spans="1:5" x14ac:dyDescent="0.25">
      <c r="A340" s="449" t="str">
        <f t="shared" si="5"/>
        <v/>
      </c>
      <c r="B340" s="448" t="str">
        <f>'Maxs Tool'!J340</f>
        <v/>
      </c>
      <c r="C340" s="448" t="str">
        <f>'Maxs Tool'!K340</f>
        <v/>
      </c>
      <c r="D340" s="448" t="str">
        <f>'Maxs Tool'!L340</f>
        <v/>
      </c>
      <c r="E340" s="448" t="str">
        <f>'Maxs Tool'!M340</f>
        <v/>
      </c>
    </row>
    <row r="341" spans="1:5" x14ac:dyDescent="0.25">
      <c r="A341" s="449" t="str">
        <f t="shared" si="5"/>
        <v/>
      </c>
      <c r="B341" s="448" t="str">
        <f>'Maxs Tool'!J341</f>
        <v/>
      </c>
      <c r="C341" s="448" t="str">
        <f>'Maxs Tool'!K341</f>
        <v/>
      </c>
      <c r="D341" s="448" t="str">
        <f>'Maxs Tool'!L341</f>
        <v/>
      </c>
      <c r="E341" s="448" t="str">
        <f>'Maxs Tool'!M341</f>
        <v/>
      </c>
    </row>
    <row r="342" spans="1:5" x14ac:dyDescent="0.25">
      <c r="A342" s="449" t="str">
        <f t="shared" si="5"/>
        <v/>
      </c>
      <c r="B342" s="448" t="str">
        <f>'Maxs Tool'!J342</f>
        <v/>
      </c>
      <c r="C342" s="448" t="str">
        <f>'Maxs Tool'!K342</f>
        <v/>
      </c>
      <c r="D342" s="448" t="str">
        <f>'Maxs Tool'!L342</f>
        <v/>
      </c>
      <c r="E342" s="448" t="str">
        <f>'Maxs Tool'!M342</f>
        <v/>
      </c>
    </row>
    <row r="343" spans="1:5" x14ac:dyDescent="0.25">
      <c r="A343" s="449" t="str">
        <f t="shared" si="5"/>
        <v/>
      </c>
      <c r="B343" s="448" t="str">
        <f>'Maxs Tool'!J343</f>
        <v/>
      </c>
      <c r="C343" s="448" t="str">
        <f>'Maxs Tool'!K343</f>
        <v/>
      </c>
      <c r="D343" s="448" t="str">
        <f>'Maxs Tool'!L343</f>
        <v/>
      </c>
      <c r="E343" s="448" t="str">
        <f>'Maxs Tool'!M343</f>
        <v/>
      </c>
    </row>
    <row r="344" spans="1:5" x14ac:dyDescent="0.25">
      <c r="A344" s="449" t="str">
        <f t="shared" si="5"/>
        <v/>
      </c>
      <c r="B344" s="448" t="str">
        <f>'Maxs Tool'!J344</f>
        <v/>
      </c>
      <c r="C344" s="448" t="str">
        <f>'Maxs Tool'!K344</f>
        <v/>
      </c>
      <c r="D344" s="448" t="str">
        <f>'Maxs Tool'!L344</f>
        <v/>
      </c>
      <c r="E344" s="448" t="str">
        <f>'Maxs Tool'!M344</f>
        <v/>
      </c>
    </row>
    <row r="345" spans="1:5" x14ac:dyDescent="0.25">
      <c r="A345" s="449" t="str">
        <f t="shared" si="5"/>
        <v/>
      </c>
      <c r="B345" s="448" t="str">
        <f>'Maxs Tool'!J345</f>
        <v/>
      </c>
      <c r="C345" s="448" t="str">
        <f>'Maxs Tool'!K345</f>
        <v/>
      </c>
      <c r="D345" s="448" t="str">
        <f>'Maxs Tool'!L345</f>
        <v/>
      </c>
      <c r="E345" s="448" t="str">
        <f>'Maxs Tool'!M345</f>
        <v/>
      </c>
    </row>
    <row r="346" spans="1:5" x14ac:dyDescent="0.25">
      <c r="A346" s="449" t="str">
        <f t="shared" si="5"/>
        <v/>
      </c>
      <c r="B346" s="448" t="str">
        <f>'Maxs Tool'!J346</f>
        <v/>
      </c>
      <c r="C346" s="448" t="str">
        <f>'Maxs Tool'!K346</f>
        <v/>
      </c>
      <c r="D346" s="448" t="str">
        <f>'Maxs Tool'!L346</f>
        <v/>
      </c>
      <c r="E346" s="448" t="str">
        <f>'Maxs Tool'!M346</f>
        <v/>
      </c>
    </row>
    <row r="347" spans="1:5" x14ac:dyDescent="0.25">
      <c r="A347" s="449" t="str">
        <f t="shared" si="5"/>
        <v/>
      </c>
      <c r="B347" s="448" t="str">
        <f>'Maxs Tool'!J347</f>
        <v/>
      </c>
      <c r="C347" s="448" t="str">
        <f>'Maxs Tool'!K347</f>
        <v/>
      </c>
      <c r="D347" s="448" t="str">
        <f>'Maxs Tool'!L347</f>
        <v/>
      </c>
      <c r="E347" s="448" t="str">
        <f>'Maxs Tool'!M347</f>
        <v/>
      </c>
    </row>
    <row r="348" spans="1:5" x14ac:dyDescent="0.25">
      <c r="A348" s="449" t="str">
        <f t="shared" si="5"/>
        <v/>
      </c>
      <c r="B348" s="448" t="str">
        <f>'Maxs Tool'!J348</f>
        <v/>
      </c>
      <c r="C348" s="448" t="str">
        <f>'Maxs Tool'!K348</f>
        <v/>
      </c>
      <c r="D348" s="448" t="str">
        <f>'Maxs Tool'!L348</f>
        <v/>
      </c>
      <c r="E348" s="448" t="str">
        <f>'Maxs Tool'!M348</f>
        <v/>
      </c>
    </row>
    <row r="349" spans="1:5" x14ac:dyDescent="0.25">
      <c r="A349" s="449" t="str">
        <f t="shared" si="5"/>
        <v/>
      </c>
      <c r="B349" s="448" t="str">
        <f>'Maxs Tool'!J349</f>
        <v/>
      </c>
      <c r="C349" s="448" t="str">
        <f>'Maxs Tool'!K349</f>
        <v/>
      </c>
      <c r="D349" s="448" t="str">
        <f>'Maxs Tool'!L349</f>
        <v/>
      </c>
      <c r="E349" s="448" t="str">
        <f>'Maxs Tool'!M349</f>
        <v/>
      </c>
    </row>
    <row r="350" spans="1:5" x14ac:dyDescent="0.25">
      <c r="A350" s="449" t="str">
        <f t="shared" si="5"/>
        <v/>
      </c>
      <c r="B350" s="448" t="str">
        <f>'Maxs Tool'!J350</f>
        <v/>
      </c>
      <c r="C350" s="448" t="str">
        <f>'Maxs Tool'!K350</f>
        <v/>
      </c>
      <c r="D350" s="448" t="str">
        <f>'Maxs Tool'!L350</f>
        <v/>
      </c>
      <c r="E350" s="448" t="str">
        <f>'Maxs Tool'!M350</f>
        <v/>
      </c>
    </row>
    <row r="351" spans="1:5" x14ac:dyDescent="0.25">
      <c r="A351" s="449" t="str">
        <f t="shared" si="5"/>
        <v/>
      </c>
      <c r="B351" s="448" t="str">
        <f>'Maxs Tool'!J351</f>
        <v/>
      </c>
      <c r="C351" s="448" t="str">
        <f>'Maxs Tool'!K351</f>
        <v/>
      </c>
      <c r="D351" s="448" t="str">
        <f>'Maxs Tool'!L351</f>
        <v/>
      </c>
      <c r="E351" s="448" t="str">
        <f>'Maxs Tool'!M351</f>
        <v/>
      </c>
    </row>
    <row r="352" spans="1:5" x14ac:dyDescent="0.25">
      <c r="A352" s="449" t="str">
        <f t="shared" si="5"/>
        <v/>
      </c>
      <c r="B352" s="448" t="str">
        <f>'Maxs Tool'!J352</f>
        <v/>
      </c>
      <c r="C352" s="448" t="str">
        <f>'Maxs Tool'!K352</f>
        <v/>
      </c>
      <c r="D352" s="448" t="str">
        <f>'Maxs Tool'!L352</f>
        <v/>
      </c>
      <c r="E352" s="448" t="str">
        <f>'Maxs Tool'!M352</f>
        <v/>
      </c>
    </row>
    <row r="353" spans="1:5" x14ac:dyDescent="0.25">
      <c r="A353" s="449" t="str">
        <f t="shared" si="5"/>
        <v/>
      </c>
      <c r="B353" s="448" t="str">
        <f>'Maxs Tool'!J353</f>
        <v/>
      </c>
      <c r="C353" s="448" t="str">
        <f>'Maxs Tool'!K353</f>
        <v/>
      </c>
      <c r="D353" s="448" t="str">
        <f>'Maxs Tool'!L353</f>
        <v/>
      </c>
      <c r="E353" s="448" t="str">
        <f>'Maxs Tool'!M353</f>
        <v/>
      </c>
    </row>
    <row r="354" spans="1:5" x14ac:dyDescent="0.25">
      <c r="A354" s="449" t="str">
        <f t="shared" si="5"/>
        <v/>
      </c>
      <c r="B354" s="448" t="str">
        <f>'Maxs Tool'!J354</f>
        <v/>
      </c>
      <c r="C354" s="448" t="str">
        <f>'Maxs Tool'!K354</f>
        <v/>
      </c>
      <c r="D354" s="448" t="str">
        <f>'Maxs Tool'!L354</f>
        <v/>
      </c>
      <c r="E354" s="448" t="str">
        <f>'Maxs Tool'!M354</f>
        <v/>
      </c>
    </row>
    <row r="355" spans="1:5" x14ac:dyDescent="0.25">
      <c r="A355" s="449" t="str">
        <f t="shared" si="5"/>
        <v/>
      </c>
      <c r="B355" s="448" t="str">
        <f>'Maxs Tool'!J355</f>
        <v/>
      </c>
      <c r="C355" s="448" t="str">
        <f>'Maxs Tool'!K355</f>
        <v/>
      </c>
      <c r="D355" s="448" t="str">
        <f>'Maxs Tool'!L355</f>
        <v/>
      </c>
      <c r="E355" s="448" t="str">
        <f>'Maxs Tool'!M355</f>
        <v/>
      </c>
    </row>
    <row r="356" spans="1:5" x14ac:dyDescent="0.25">
      <c r="A356" s="449" t="str">
        <f t="shared" si="5"/>
        <v/>
      </c>
      <c r="B356" s="448" t="str">
        <f>'Maxs Tool'!J356</f>
        <v/>
      </c>
      <c r="C356" s="448" t="str">
        <f>'Maxs Tool'!K356</f>
        <v/>
      </c>
      <c r="D356" s="448" t="str">
        <f>'Maxs Tool'!L356</f>
        <v/>
      </c>
      <c r="E356" s="448" t="str">
        <f>'Maxs Tool'!M356</f>
        <v/>
      </c>
    </row>
    <row r="357" spans="1:5" x14ac:dyDescent="0.25">
      <c r="A357" s="449" t="str">
        <f t="shared" si="5"/>
        <v/>
      </c>
      <c r="B357" s="448" t="str">
        <f>'Maxs Tool'!J357</f>
        <v/>
      </c>
      <c r="C357" s="448" t="str">
        <f>'Maxs Tool'!K357</f>
        <v/>
      </c>
      <c r="D357" s="448" t="str">
        <f>'Maxs Tool'!L357</f>
        <v/>
      </c>
      <c r="E357" s="448" t="str">
        <f>'Maxs Tool'!M357</f>
        <v/>
      </c>
    </row>
    <row r="358" spans="1:5" x14ac:dyDescent="0.25">
      <c r="A358" s="449" t="str">
        <f t="shared" si="5"/>
        <v/>
      </c>
      <c r="B358" s="448" t="str">
        <f>'Maxs Tool'!J358</f>
        <v/>
      </c>
      <c r="C358" s="448" t="str">
        <f>'Maxs Tool'!K358</f>
        <v/>
      </c>
      <c r="D358" s="448" t="str">
        <f>'Maxs Tool'!L358</f>
        <v/>
      </c>
      <c r="E358" s="448" t="str">
        <f>'Maxs Tool'!M358</f>
        <v/>
      </c>
    </row>
    <row r="359" spans="1:5" x14ac:dyDescent="0.25">
      <c r="A359" s="449" t="str">
        <f t="shared" si="5"/>
        <v/>
      </c>
      <c r="B359" s="448" t="str">
        <f>'Maxs Tool'!J359</f>
        <v/>
      </c>
      <c r="C359" s="448" t="str">
        <f>'Maxs Tool'!K359</f>
        <v/>
      </c>
      <c r="D359" s="448" t="str">
        <f>'Maxs Tool'!L359</f>
        <v/>
      </c>
      <c r="E359" s="448" t="str">
        <f>'Maxs Tool'!M359</f>
        <v/>
      </c>
    </row>
    <row r="360" spans="1:5" x14ac:dyDescent="0.25">
      <c r="A360" s="449" t="str">
        <f t="shared" si="5"/>
        <v/>
      </c>
      <c r="B360" s="448" t="str">
        <f>'Maxs Tool'!J360</f>
        <v/>
      </c>
      <c r="C360" s="448" t="str">
        <f>'Maxs Tool'!K360</f>
        <v/>
      </c>
      <c r="D360" s="448" t="str">
        <f>'Maxs Tool'!L360</f>
        <v/>
      </c>
      <c r="E360" s="448" t="str">
        <f>'Maxs Tool'!M360</f>
        <v/>
      </c>
    </row>
    <row r="361" spans="1:5" x14ac:dyDescent="0.25">
      <c r="A361" s="449" t="str">
        <f t="shared" si="5"/>
        <v/>
      </c>
      <c r="B361" s="448" t="str">
        <f>'Maxs Tool'!J361</f>
        <v/>
      </c>
      <c r="C361" s="448" t="str">
        <f>'Maxs Tool'!K361</f>
        <v/>
      </c>
      <c r="D361" s="448" t="str">
        <f>'Maxs Tool'!L361</f>
        <v/>
      </c>
      <c r="E361" s="448" t="str">
        <f>'Maxs Tool'!M361</f>
        <v/>
      </c>
    </row>
    <row r="362" spans="1:5" x14ac:dyDescent="0.25">
      <c r="A362" s="449" t="str">
        <f t="shared" si="5"/>
        <v/>
      </c>
      <c r="B362" s="448" t="str">
        <f>'Maxs Tool'!J362</f>
        <v/>
      </c>
      <c r="C362" s="448" t="str">
        <f>'Maxs Tool'!K362</f>
        <v/>
      </c>
      <c r="D362" s="448" t="str">
        <f>'Maxs Tool'!L362</f>
        <v/>
      </c>
      <c r="E362" s="448" t="str">
        <f>'Maxs Tool'!M362</f>
        <v/>
      </c>
    </row>
    <row r="363" spans="1:5" x14ac:dyDescent="0.25">
      <c r="A363" s="449" t="str">
        <f t="shared" si="5"/>
        <v/>
      </c>
      <c r="B363" s="448" t="str">
        <f>'Maxs Tool'!J363</f>
        <v/>
      </c>
      <c r="C363" s="448" t="str">
        <f>'Maxs Tool'!K363</f>
        <v/>
      </c>
      <c r="D363" s="448" t="str">
        <f>'Maxs Tool'!L363</f>
        <v/>
      </c>
      <c r="E363" s="448" t="str">
        <f>'Maxs Tool'!M363</f>
        <v/>
      </c>
    </row>
    <row r="364" spans="1:5" x14ac:dyDescent="0.25">
      <c r="A364" s="449" t="str">
        <f t="shared" si="5"/>
        <v/>
      </c>
      <c r="B364" s="448" t="str">
        <f>'Maxs Tool'!J364</f>
        <v/>
      </c>
      <c r="C364" s="448" t="str">
        <f>'Maxs Tool'!K364</f>
        <v/>
      </c>
      <c r="D364" s="448" t="str">
        <f>'Maxs Tool'!L364</f>
        <v/>
      </c>
      <c r="E364" s="448" t="str">
        <f>'Maxs Tool'!M364</f>
        <v/>
      </c>
    </row>
    <row r="365" spans="1:5" x14ac:dyDescent="0.25">
      <c r="A365" s="449" t="str">
        <f t="shared" si="5"/>
        <v/>
      </c>
      <c r="B365" s="448" t="str">
        <f>'Maxs Tool'!J365</f>
        <v/>
      </c>
      <c r="C365" s="448" t="str">
        <f>'Maxs Tool'!K365</f>
        <v/>
      </c>
      <c r="D365" s="448" t="str">
        <f>'Maxs Tool'!L365</f>
        <v/>
      </c>
      <c r="E365" s="448" t="str">
        <f>'Maxs Tool'!M365</f>
        <v/>
      </c>
    </row>
    <row r="366" spans="1:5" x14ac:dyDescent="0.25">
      <c r="A366" s="449" t="str">
        <f t="shared" si="5"/>
        <v/>
      </c>
      <c r="B366" s="448" t="str">
        <f>'Maxs Tool'!J366</f>
        <v/>
      </c>
      <c r="C366" s="448" t="str">
        <f>'Maxs Tool'!K366</f>
        <v/>
      </c>
      <c r="D366" s="448" t="str">
        <f>'Maxs Tool'!L366</f>
        <v/>
      </c>
      <c r="E366" s="448" t="str">
        <f>'Maxs Tool'!M366</f>
        <v/>
      </c>
    </row>
    <row r="367" spans="1:5" x14ac:dyDescent="0.25">
      <c r="A367" s="449" t="str">
        <f t="shared" si="5"/>
        <v/>
      </c>
      <c r="B367" s="448" t="str">
        <f>'Maxs Tool'!J367</f>
        <v/>
      </c>
      <c r="C367" s="448" t="str">
        <f>'Maxs Tool'!K367</f>
        <v/>
      </c>
      <c r="D367" s="448" t="str">
        <f>'Maxs Tool'!L367</f>
        <v/>
      </c>
      <c r="E367" s="448" t="str">
        <f>'Maxs Tool'!M367</f>
        <v/>
      </c>
    </row>
    <row r="368" spans="1:5" x14ac:dyDescent="0.25">
      <c r="A368" s="449" t="str">
        <f t="shared" si="5"/>
        <v/>
      </c>
      <c r="B368" s="448" t="str">
        <f>'Maxs Tool'!J368</f>
        <v/>
      </c>
      <c r="C368" s="448" t="str">
        <f>'Maxs Tool'!K368</f>
        <v/>
      </c>
      <c r="D368" s="448" t="str">
        <f>'Maxs Tool'!L368</f>
        <v/>
      </c>
      <c r="E368" s="448" t="str">
        <f>'Maxs Tool'!M368</f>
        <v/>
      </c>
    </row>
    <row r="369" spans="1:5" x14ac:dyDescent="0.25">
      <c r="A369" s="449" t="str">
        <f t="shared" si="5"/>
        <v/>
      </c>
      <c r="B369" s="448" t="str">
        <f>'Maxs Tool'!J369</f>
        <v/>
      </c>
      <c r="C369" s="448" t="str">
        <f>'Maxs Tool'!K369</f>
        <v/>
      </c>
      <c r="D369" s="448" t="str">
        <f>'Maxs Tool'!L369</f>
        <v/>
      </c>
      <c r="E369" s="448" t="str">
        <f>'Maxs Tool'!M369</f>
        <v/>
      </c>
    </row>
    <row r="370" spans="1:5" x14ac:dyDescent="0.25">
      <c r="A370" s="449" t="str">
        <f t="shared" si="5"/>
        <v/>
      </c>
      <c r="B370" s="448" t="str">
        <f>'Maxs Tool'!J370</f>
        <v/>
      </c>
      <c r="C370" s="448" t="str">
        <f>'Maxs Tool'!K370</f>
        <v/>
      </c>
      <c r="D370" s="448" t="str">
        <f>'Maxs Tool'!L370</f>
        <v/>
      </c>
      <c r="E370" s="448" t="str">
        <f>'Maxs Tool'!M370</f>
        <v/>
      </c>
    </row>
    <row r="371" spans="1:5" x14ac:dyDescent="0.25">
      <c r="A371" s="449" t="str">
        <f t="shared" si="5"/>
        <v/>
      </c>
      <c r="B371" s="448" t="str">
        <f>'Maxs Tool'!J371</f>
        <v/>
      </c>
      <c r="C371" s="448" t="str">
        <f>'Maxs Tool'!K371</f>
        <v/>
      </c>
      <c r="D371" s="448" t="str">
        <f>'Maxs Tool'!L371</f>
        <v/>
      </c>
      <c r="E371" s="448" t="str">
        <f>'Maxs Tool'!M371</f>
        <v/>
      </c>
    </row>
    <row r="372" spans="1:5" x14ac:dyDescent="0.25">
      <c r="A372" s="449" t="str">
        <f t="shared" si="5"/>
        <v/>
      </c>
      <c r="B372" s="448" t="str">
        <f>'Maxs Tool'!J372</f>
        <v/>
      </c>
      <c r="C372" s="448" t="str">
        <f>'Maxs Tool'!K372</f>
        <v/>
      </c>
      <c r="D372" s="448" t="str">
        <f>'Maxs Tool'!L372</f>
        <v/>
      </c>
      <c r="E372" s="448" t="str">
        <f>'Maxs Tool'!M372</f>
        <v/>
      </c>
    </row>
    <row r="373" spans="1:5" x14ac:dyDescent="0.25">
      <c r="A373" s="449" t="str">
        <f t="shared" si="5"/>
        <v/>
      </c>
      <c r="B373" s="448" t="str">
        <f>'Maxs Tool'!J373</f>
        <v/>
      </c>
      <c r="C373" s="448" t="str">
        <f>'Maxs Tool'!K373</f>
        <v/>
      </c>
      <c r="D373" s="448" t="str">
        <f>'Maxs Tool'!L373</f>
        <v/>
      </c>
      <c r="E373" s="448" t="str">
        <f>'Maxs Tool'!M373</f>
        <v/>
      </c>
    </row>
    <row r="374" spans="1:5" x14ac:dyDescent="0.25">
      <c r="A374" s="449" t="str">
        <f t="shared" si="5"/>
        <v/>
      </c>
      <c r="B374" s="448" t="str">
        <f>'Maxs Tool'!J374</f>
        <v/>
      </c>
      <c r="C374" s="448" t="str">
        <f>'Maxs Tool'!K374</f>
        <v/>
      </c>
      <c r="D374" s="448" t="str">
        <f>'Maxs Tool'!L374</f>
        <v/>
      </c>
      <c r="E374" s="448" t="str">
        <f>'Maxs Tool'!M374</f>
        <v/>
      </c>
    </row>
    <row r="375" spans="1:5" x14ac:dyDescent="0.25">
      <c r="A375" s="449" t="str">
        <f t="shared" si="5"/>
        <v/>
      </c>
      <c r="B375" s="448" t="str">
        <f>'Maxs Tool'!J375</f>
        <v/>
      </c>
      <c r="C375" s="448" t="str">
        <f>'Maxs Tool'!K375</f>
        <v/>
      </c>
      <c r="D375" s="448" t="str">
        <f>'Maxs Tool'!L375</f>
        <v/>
      </c>
      <c r="E375" s="448" t="str">
        <f>'Maxs Tool'!M375</f>
        <v/>
      </c>
    </row>
    <row r="376" spans="1:5" x14ac:dyDescent="0.25">
      <c r="A376" s="449" t="str">
        <f t="shared" si="5"/>
        <v/>
      </c>
      <c r="B376" s="448" t="str">
        <f>'Maxs Tool'!J376</f>
        <v/>
      </c>
      <c r="C376" s="448" t="str">
        <f>'Maxs Tool'!K376</f>
        <v/>
      </c>
      <c r="D376" s="448" t="str">
        <f>'Maxs Tool'!L376</f>
        <v/>
      </c>
      <c r="E376" s="448" t="str">
        <f>'Maxs Tool'!M376</f>
        <v/>
      </c>
    </row>
    <row r="377" spans="1:5" x14ac:dyDescent="0.25">
      <c r="A377" s="449" t="str">
        <f t="shared" si="5"/>
        <v/>
      </c>
      <c r="B377" s="448" t="str">
        <f>'Maxs Tool'!J377</f>
        <v/>
      </c>
      <c r="C377" s="448" t="str">
        <f>'Maxs Tool'!K377</f>
        <v/>
      </c>
      <c r="D377" s="448" t="str">
        <f>'Maxs Tool'!L377</f>
        <v/>
      </c>
      <c r="E377" s="448" t="str">
        <f>'Maxs Tool'!M377</f>
        <v/>
      </c>
    </row>
    <row r="378" spans="1:5" x14ac:dyDescent="0.25">
      <c r="A378" s="449" t="str">
        <f t="shared" si="5"/>
        <v/>
      </c>
      <c r="B378" s="448" t="str">
        <f>'Maxs Tool'!J378</f>
        <v/>
      </c>
      <c r="C378" s="448" t="str">
        <f>'Maxs Tool'!K378</f>
        <v/>
      </c>
      <c r="D378" s="448" t="str">
        <f>'Maxs Tool'!L378</f>
        <v/>
      </c>
      <c r="E378" s="448" t="str">
        <f>'Maxs Tool'!M378</f>
        <v/>
      </c>
    </row>
    <row r="379" spans="1:5" x14ac:dyDescent="0.25">
      <c r="A379" s="449" t="str">
        <f t="shared" si="5"/>
        <v/>
      </c>
      <c r="B379" s="448" t="str">
        <f>'Maxs Tool'!J379</f>
        <v/>
      </c>
      <c r="C379" s="448" t="str">
        <f>'Maxs Tool'!K379</f>
        <v/>
      </c>
      <c r="D379" s="448" t="str">
        <f>'Maxs Tool'!L379</f>
        <v/>
      </c>
      <c r="E379" s="448" t="str">
        <f>'Maxs Tool'!M379</f>
        <v/>
      </c>
    </row>
    <row r="380" spans="1:5" x14ac:dyDescent="0.25">
      <c r="A380" s="449" t="str">
        <f t="shared" si="5"/>
        <v/>
      </c>
      <c r="B380" s="448" t="str">
        <f>'Maxs Tool'!J380</f>
        <v/>
      </c>
      <c r="C380" s="448" t="str">
        <f>'Maxs Tool'!K380</f>
        <v/>
      </c>
      <c r="D380" s="448" t="str">
        <f>'Maxs Tool'!L380</f>
        <v/>
      </c>
      <c r="E380" s="448" t="str">
        <f>'Maxs Tool'!M380</f>
        <v/>
      </c>
    </row>
    <row r="381" spans="1:5" x14ac:dyDescent="0.25">
      <c r="A381" s="449" t="str">
        <f t="shared" si="5"/>
        <v/>
      </c>
      <c r="B381" s="448" t="str">
        <f>'Maxs Tool'!J381</f>
        <v/>
      </c>
      <c r="C381" s="448" t="str">
        <f>'Maxs Tool'!K381</f>
        <v/>
      </c>
      <c r="D381" s="448" t="str">
        <f>'Maxs Tool'!L381</f>
        <v/>
      </c>
      <c r="E381" s="448" t="str">
        <f>'Maxs Tool'!M381</f>
        <v/>
      </c>
    </row>
    <row r="382" spans="1:5" x14ac:dyDescent="0.25">
      <c r="A382" s="449" t="str">
        <f t="shared" si="5"/>
        <v/>
      </c>
      <c r="B382" s="448" t="str">
        <f>'Maxs Tool'!J382</f>
        <v/>
      </c>
      <c r="C382" s="448" t="str">
        <f>'Maxs Tool'!K382</f>
        <v/>
      </c>
      <c r="D382" s="448" t="str">
        <f>'Maxs Tool'!L382</f>
        <v/>
      </c>
      <c r="E382" s="448" t="str">
        <f>'Maxs Tool'!M382</f>
        <v/>
      </c>
    </row>
    <row r="383" spans="1:5" x14ac:dyDescent="0.25">
      <c r="A383" s="449" t="str">
        <f t="shared" si="5"/>
        <v/>
      </c>
      <c r="B383" s="448" t="str">
        <f>'Maxs Tool'!J383</f>
        <v/>
      </c>
      <c r="C383" s="448" t="str">
        <f>'Maxs Tool'!K383</f>
        <v/>
      </c>
      <c r="D383" s="448" t="str">
        <f>'Maxs Tool'!L383</f>
        <v/>
      </c>
      <c r="E383" s="448" t="str">
        <f>'Maxs Tool'!M383</f>
        <v/>
      </c>
    </row>
    <row r="384" spans="1:5" x14ac:dyDescent="0.25">
      <c r="A384" s="449" t="str">
        <f t="shared" si="5"/>
        <v/>
      </c>
      <c r="B384" s="448" t="str">
        <f>'Maxs Tool'!J384</f>
        <v/>
      </c>
      <c r="C384" s="448" t="str">
        <f>'Maxs Tool'!K384</f>
        <v/>
      </c>
      <c r="D384" s="448" t="str">
        <f>'Maxs Tool'!L384</f>
        <v/>
      </c>
      <c r="E384" s="448" t="str">
        <f>'Maxs Tool'!M384</f>
        <v/>
      </c>
    </row>
    <row r="385" spans="1:5" x14ac:dyDescent="0.25">
      <c r="A385" s="449" t="str">
        <f t="shared" si="5"/>
        <v/>
      </c>
      <c r="B385" s="448" t="str">
        <f>'Maxs Tool'!J385</f>
        <v/>
      </c>
      <c r="C385" s="448" t="str">
        <f>'Maxs Tool'!K385</f>
        <v/>
      </c>
      <c r="D385" s="448" t="str">
        <f>'Maxs Tool'!L385</f>
        <v/>
      </c>
      <c r="E385" s="448" t="str">
        <f>'Maxs Tool'!M385</f>
        <v/>
      </c>
    </row>
    <row r="386" spans="1:5" x14ac:dyDescent="0.25">
      <c r="A386" s="449" t="str">
        <f t="shared" si="5"/>
        <v/>
      </c>
      <c r="B386" s="448" t="str">
        <f>'Maxs Tool'!J386</f>
        <v/>
      </c>
      <c r="C386" s="448" t="str">
        <f>'Maxs Tool'!K386</f>
        <v/>
      </c>
      <c r="D386" s="448" t="str">
        <f>'Maxs Tool'!L386</f>
        <v/>
      </c>
      <c r="E386" s="448" t="str">
        <f>'Maxs Tool'!M386</f>
        <v/>
      </c>
    </row>
    <row r="387" spans="1:5" x14ac:dyDescent="0.25">
      <c r="A387" s="449" t="str">
        <f t="shared" ref="A387:A450" si="6">IF(ISNUMBER(D387),ROW()-1,"")</f>
        <v/>
      </c>
      <c r="B387" s="448" t="str">
        <f>'Maxs Tool'!J387</f>
        <v/>
      </c>
      <c r="C387" s="448" t="str">
        <f>'Maxs Tool'!K387</f>
        <v/>
      </c>
      <c r="D387" s="448" t="str">
        <f>'Maxs Tool'!L387</f>
        <v/>
      </c>
      <c r="E387" s="448" t="str">
        <f>'Maxs Tool'!M387</f>
        <v/>
      </c>
    </row>
    <row r="388" spans="1:5" x14ac:dyDescent="0.25">
      <c r="A388" s="449" t="str">
        <f t="shared" si="6"/>
        <v/>
      </c>
      <c r="B388" s="448" t="str">
        <f>'Maxs Tool'!J388</f>
        <v/>
      </c>
      <c r="C388" s="448" t="str">
        <f>'Maxs Tool'!K388</f>
        <v/>
      </c>
      <c r="D388" s="448" t="str">
        <f>'Maxs Tool'!L388</f>
        <v/>
      </c>
      <c r="E388" s="448" t="str">
        <f>'Maxs Tool'!M388</f>
        <v/>
      </c>
    </row>
    <row r="389" spans="1:5" x14ac:dyDescent="0.25">
      <c r="A389" s="449" t="str">
        <f t="shared" si="6"/>
        <v/>
      </c>
      <c r="B389" s="448" t="str">
        <f>'Maxs Tool'!J389</f>
        <v/>
      </c>
      <c r="C389" s="448" t="str">
        <f>'Maxs Tool'!K389</f>
        <v/>
      </c>
      <c r="D389" s="448" t="str">
        <f>'Maxs Tool'!L389</f>
        <v/>
      </c>
      <c r="E389" s="448" t="str">
        <f>'Maxs Tool'!M389</f>
        <v/>
      </c>
    </row>
    <row r="390" spans="1:5" x14ac:dyDescent="0.25">
      <c r="A390" s="449" t="str">
        <f t="shared" si="6"/>
        <v/>
      </c>
      <c r="B390" s="448" t="str">
        <f>'Maxs Tool'!J390</f>
        <v/>
      </c>
      <c r="C390" s="448" t="str">
        <f>'Maxs Tool'!K390</f>
        <v/>
      </c>
      <c r="D390" s="448" t="str">
        <f>'Maxs Tool'!L390</f>
        <v/>
      </c>
      <c r="E390" s="448" t="str">
        <f>'Maxs Tool'!M390</f>
        <v/>
      </c>
    </row>
    <row r="391" spans="1:5" x14ac:dyDescent="0.25">
      <c r="A391" s="449" t="str">
        <f t="shared" si="6"/>
        <v/>
      </c>
      <c r="B391" s="448" t="str">
        <f>'Maxs Tool'!J391</f>
        <v/>
      </c>
      <c r="C391" s="448" t="str">
        <f>'Maxs Tool'!K391</f>
        <v/>
      </c>
      <c r="D391" s="448" t="str">
        <f>'Maxs Tool'!L391</f>
        <v/>
      </c>
      <c r="E391" s="448" t="str">
        <f>'Maxs Tool'!M391</f>
        <v/>
      </c>
    </row>
    <row r="392" spans="1:5" x14ac:dyDescent="0.25">
      <c r="A392" s="449" t="str">
        <f t="shared" si="6"/>
        <v/>
      </c>
      <c r="B392" s="448" t="str">
        <f>'Maxs Tool'!J392</f>
        <v/>
      </c>
      <c r="C392" s="448" t="str">
        <f>'Maxs Tool'!K392</f>
        <v/>
      </c>
      <c r="D392" s="448" t="str">
        <f>'Maxs Tool'!L392</f>
        <v/>
      </c>
      <c r="E392" s="448" t="str">
        <f>'Maxs Tool'!M392</f>
        <v/>
      </c>
    </row>
    <row r="393" spans="1:5" x14ac:dyDescent="0.25">
      <c r="A393" s="449" t="str">
        <f t="shared" si="6"/>
        <v/>
      </c>
      <c r="B393" s="448" t="str">
        <f>'Maxs Tool'!J393</f>
        <v/>
      </c>
      <c r="C393" s="448" t="str">
        <f>'Maxs Tool'!K393</f>
        <v/>
      </c>
      <c r="D393" s="448" t="str">
        <f>'Maxs Tool'!L393</f>
        <v/>
      </c>
      <c r="E393" s="448" t="str">
        <f>'Maxs Tool'!M393</f>
        <v/>
      </c>
    </row>
    <row r="394" spans="1:5" x14ac:dyDescent="0.25">
      <c r="A394" s="449" t="str">
        <f t="shared" si="6"/>
        <v/>
      </c>
      <c r="B394" s="448" t="str">
        <f>'Maxs Tool'!J394</f>
        <v/>
      </c>
      <c r="C394" s="448" t="str">
        <f>'Maxs Tool'!K394</f>
        <v/>
      </c>
      <c r="D394" s="448" t="str">
        <f>'Maxs Tool'!L394</f>
        <v/>
      </c>
      <c r="E394" s="448" t="str">
        <f>'Maxs Tool'!M394</f>
        <v/>
      </c>
    </row>
    <row r="395" spans="1:5" x14ac:dyDescent="0.25">
      <c r="A395" s="449" t="str">
        <f t="shared" si="6"/>
        <v/>
      </c>
      <c r="B395" s="448" t="str">
        <f>'Maxs Tool'!J395</f>
        <v/>
      </c>
      <c r="C395" s="448" t="str">
        <f>'Maxs Tool'!K395</f>
        <v/>
      </c>
      <c r="D395" s="448" t="str">
        <f>'Maxs Tool'!L395</f>
        <v/>
      </c>
      <c r="E395" s="448" t="str">
        <f>'Maxs Tool'!M395</f>
        <v/>
      </c>
    </row>
    <row r="396" spans="1:5" x14ac:dyDescent="0.25">
      <c r="A396" s="449" t="str">
        <f t="shared" si="6"/>
        <v/>
      </c>
      <c r="B396" s="448" t="str">
        <f>'Maxs Tool'!J396</f>
        <v/>
      </c>
      <c r="C396" s="448" t="str">
        <f>'Maxs Tool'!K396</f>
        <v/>
      </c>
      <c r="D396" s="448" t="str">
        <f>'Maxs Tool'!L396</f>
        <v/>
      </c>
      <c r="E396" s="448" t="str">
        <f>'Maxs Tool'!M396</f>
        <v/>
      </c>
    </row>
    <row r="397" spans="1:5" x14ac:dyDescent="0.25">
      <c r="A397" s="449" t="str">
        <f t="shared" si="6"/>
        <v/>
      </c>
      <c r="B397" s="448" t="str">
        <f>'Maxs Tool'!J397</f>
        <v/>
      </c>
      <c r="C397" s="448" t="str">
        <f>'Maxs Tool'!K397</f>
        <v/>
      </c>
      <c r="D397" s="448" t="str">
        <f>'Maxs Tool'!L397</f>
        <v/>
      </c>
      <c r="E397" s="448" t="str">
        <f>'Maxs Tool'!M397</f>
        <v/>
      </c>
    </row>
    <row r="398" spans="1:5" x14ac:dyDescent="0.25">
      <c r="A398" s="449" t="str">
        <f t="shared" si="6"/>
        <v/>
      </c>
      <c r="B398" s="448" t="str">
        <f>'Maxs Tool'!J398</f>
        <v/>
      </c>
      <c r="C398" s="448" t="str">
        <f>'Maxs Tool'!K398</f>
        <v/>
      </c>
      <c r="D398" s="448" t="str">
        <f>'Maxs Tool'!L398</f>
        <v/>
      </c>
      <c r="E398" s="448" t="str">
        <f>'Maxs Tool'!M398</f>
        <v/>
      </c>
    </row>
    <row r="399" spans="1:5" x14ac:dyDescent="0.25">
      <c r="A399" s="449" t="str">
        <f t="shared" si="6"/>
        <v/>
      </c>
      <c r="B399" s="448" t="str">
        <f>'Maxs Tool'!J399</f>
        <v/>
      </c>
      <c r="C399" s="448" t="str">
        <f>'Maxs Tool'!K399</f>
        <v/>
      </c>
      <c r="D399" s="448" t="str">
        <f>'Maxs Tool'!L399</f>
        <v/>
      </c>
      <c r="E399" s="448" t="str">
        <f>'Maxs Tool'!M399</f>
        <v/>
      </c>
    </row>
    <row r="400" spans="1:5" x14ac:dyDescent="0.25">
      <c r="A400" s="449" t="str">
        <f t="shared" si="6"/>
        <v/>
      </c>
      <c r="B400" s="448" t="str">
        <f>'Maxs Tool'!J400</f>
        <v/>
      </c>
      <c r="C400" s="448" t="str">
        <f>'Maxs Tool'!K400</f>
        <v/>
      </c>
      <c r="D400" s="448" t="str">
        <f>'Maxs Tool'!L400</f>
        <v/>
      </c>
      <c r="E400" s="448" t="str">
        <f>'Maxs Tool'!M400</f>
        <v/>
      </c>
    </row>
    <row r="401" spans="1:5" x14ac:dyDescent="0.25">
      <c r="A401" s="449" t="str">
        <f t="shared" si="6"/>
        <v/>
      </c>
      <c r="B401" s="448" t="str">
        <f>'Maxs Tool'!J401</f>
        <v/>
      </c>
      <c r="C401" s="448" t="str">
        <f>'Maxs Tool'!K401</f>
        <v/>
      </c>
      <c r="D401" s="448" t="str">
        <f>'Maxs Tool'!L401</f>
        <v/>
      </c>
      <c r="E401" s="448" t="str">
        <f>'Maxs Tool'!M401</f>
        <v/>
      </c>
    </row>
    <row r="402" spans="1:5" x14ac:dyDescent="0.25">
      <c r="A402" s="449" t="str">
        <f t="shared" si="6"/>
        <v/>
      </c>
      <c r="B402" s="448" t="str">
        <f>'Maxs Tool'!J402</f>
        <v/>
      </c>
      <c r="C402" s="448" t="str">
        <f>'Maxs Tool'!K402</f>
        <v/>
      </c>
      <c r="D402" s="448" t="str">
        <f>'Maxs Tool'!L402</f>
        <v/>
      </c>
      <c r="E402" s="448" t="str">
        <f>'Maxs Tool'!M402</f>
        <v/>
      </c>
    </row>
    <row r="403" spans="1:5" x14ac:dyDescent="0.25">
      <c r="A403" s="449" t="str">
        <f t="shared" si="6"/>
        <v/>
      </c>
      <c r="B403" s="448" t="str">
        <f>'Maxs Tool'!J403</f>
        <v/>
      </c>
      <c r="C403" s="448" t="str">
        <f>'Maxs Tool'!K403</f>
        <v/>
      </c>
      <c r="D403" s="448" t="str">
        <f>'Maxs Tool'!L403</f>
        <v/>
      </c>
      <c r="E403" s="448" t="str">
        <f>'Maxs Tool'!M403</f>
        <v/>
      </c>
    </row>
    <row r="404" spans="1:5" x14ac:dyDescent="0.25">
      <c r="A404" s="449" t="str">
        <f t="shared" si="6"/>
        <v/>
      </c>
      <c r="B404" s="448" t="str">
        <f>'Maxs Tool'!J404</f>
        <v/>
      </c>
      <c r="C404" s="448" t="str">
        <f>'Maxs Tool'!K404</f>
        <v/>
      </c>
      <c r="D404" s="448" t="str">
        <f>'Maxs Tool'!L404</f>
        <v/>
      </c>
      <c r="E404" s="448" t="str">
        <f>'Maxs Tool'!M404</f>
        <v/>
      </c>
    </row>
    <row r="405" spans="1:5" x14ac:dyDescent="0.25">
      <c r="A405" s="449" t="str">
        <f t="shared" si="6"/>
        <v/>
      </c>
      <c r="B405" s="448" t="str">
        <f>'Maxs Tool'!J405</f>
        <v/>
      </c>
      <c r="C405" s="448" t="str">
        <f>'Maxs Tool'!K405</f>
        <v/>
      </c>
      <c r="D405" s="448" t="str">
        <f>'Maxs Tool'!L405</f>
        <v/>
      </c>
      <c r="E405" s="448" t="str">
        <f>'Maxs Tool'!M405</f>
        <v/>
      </c>
    </row>
    <row r="406" spans="1:5" x14ac:dyDescent="0.25">
      <c r="A406" s="449" t="str">
        <f t="shared" si="6"/>
        <v/>
      </c>
      <c r="B406" s="448" t="str">
        <f>'Maxs Tool'!J406</f>
        <v/>
      </c>
      <c r="C406" s="448" t="str">
        <f>'Maxs Tool'!K406</f>
        <v/>
      </c>
      <c r="D406" s="448" t="str">
        <f>'Maxs Tool'!L406</f>
        <v/>
      </c>
      <c r="E406" s="448" t="str">
        <f>'Maxs Tool'!M406</f>
        <v/>
      </c>
    </row>
    <row r="407" spans="1:5" x14ac:dyDescent="0.25">
      <c r="A407" s="449" t="str">
        <f t="shared" si="6"/>
        <v/>
      </c>
      <c r="B407" s="448" t="str">
        <f>'Maxs Tool'!J407</f>
        <v/>
      </c>
      <c r="C407" s="448" t="str">
        <f>'Maxs Tool'!K407</f>
        <v/>
      </c>
      <c r="D407" s="448" t="str">
        <f>'Maxs Tool'!L407</f>
        <v/>
      </c>
      <c r="E407" s="448" t="str">
        <f>'Maxs Tool'!M407</f>
        <v/>
      </c>
    </row>
    <row r="408" spans="1:5" x14ac:dyDescent="0.25">
      <c r="A408" s="449" t="str">
        <f t="shared" si="6"/>
        <v/>
      </c>
      <c r="B408" s="448" t="str">
        <f>'Maxs Tool'!J408</f>
        <v/>
      </c>
      <c r="C408" s="448" t="str">
        <f>'Maxs Tool'!K408</f>
        <v/>
      </c>
      <c r="D408" s="448" t="str">
        <f>'Maxs Tool'!L408</f>
        <v/>
      </c>
      <c r="E408" s="448" t="str">
        <f>'Maxs Tool'!M408</f>
        <v/>
      </c>
    </row>
    <row r="409" spans="1:5" x14ac:dyDescent="0.25">
      <c r="A409" s="449" t="str">
        <f t="shared" si="6"/>
        <v/>
      </c>
      <c r="B409" s="448" t="str">
        <f>'Maxs Tool'!J409</f>
        <v/>
      </c>
      <c r="C409" s="448" t="str">
        <f>'Maxs Tool'!K409</f>
        <v/>
      </c>
      <c r="D409" s="448" t="str">
        <f>'Maxs Tool'!L409</f>
        <v/>
      </c>
      <c r="E409" s="448" t="str">
        <f>'Maxs Tool'!M409</f>
        <v/>
      </c>
    </row>
    <row r="410" spans="1:5" x14ac:dyDescent="0.25">
      <c r="A410" s="449" t="str">
        <f t="shared" si="6"/>
        <v/>
      </c>
      <c r="B410" s="448" t="str">
        <f>'Maxs Tool'!J410</f>
        <v/>
      </c>
      <c r="C410" s="448" t="str">
        <f>'Maxs Tool'!K410</f>
        <v/>
      </c>
      <c r="D410" s="448" t="str">
        <f>'Maxs Tool'!L410</f>
        <v/>
      </c>
      <c r="E410" s="448" t="str">
        <f>'Maxs Tool'!M410</f>
        <v/>
      </c>
    </row>
    <row r="411" spans="1:5" x14ac:dyDescent="0.25">
      <c r="A411" s="449" t="str">
        <f t="shared" si="6"/>
        <v/>
      </c>
      <c r="B411" s="448" t="str">
        <f>'Maxs Tool'!J411</f>
        <v/>
      </c>
      <c r="C411" s="448" t="str">
        <f>'Maxs Tool'!K411</f>
        <v/>
      </c>
      <c r="D411" s="448" t="str">
        <f>'Maxs Tool'!L411</f>
        <v/>
      </c>
      <c r="E411" s="448" t="str">
        <f>'Maxs Tool'!M411</f>
        <v/>
      </c>
    </row>
    <row r="412" spans="1:5" x14ac:dyDescent="0.25">
      <c r="A412" s="449" t="str">
        <f t="shared" si="6"/>
        <v/>
      </c>
      <c r="B412" s="448" t="str">
        <f>'Maxs Tool'!J412</f>
        <v/>
      </c>
      <c r="C412" s="448" t="str">
        <f>'Maxs Tool'!K412</f>
        <v/>
      </c>
      <c r="D412" s="448" t="str">
        <f>'Maxs Tool'!L412</f>
        <v/>
      </c>
      <c r="E412" s="448" t="str">
        <f>'Maxs Tool'!M412</f>
        <v/>
      </c>
    </row>
    <row r="413" spans="1:5" x14ac:dyDescent="0.25">
      <c r="A413" s="449" t="str">
        <f t="shared" si="6"/>
        <v/>
      </c>
      <c r="B413" s="448" t="str">
        <f>'Maxs Tool'!J413</f>
        <v/>
      </c>
      <c r="C413" s="448" t="str">
        <f>'Maxs Tool'!K413</f>
        <v/>
      </c>
      <c r="D413" s="448" t="str">
        <f>'Maxs Tool'!L413</f>
        <v/>
      </c>
      <c r="E413" s="448" t="str">
        <f>'Maxs Tool'!M413</f>
        <v/>
      </c>
    </row>
    <row r="414" spans="1:5" x14ac:dyDescent="0.25">
      <c r="A414" s="449" t="str">
        <f t="shared" si="6"/>
        <v/>
      </c>
      <c r="B414" s="448" t="str">
        <f>'Maxs Tool'!J414</f>
        <v/>
      </c>
      <c r="C414" s="448" t="str">
        <f>'Maxs Tool'!K414</f>
        <v/>
      </c>
      <c r="D414" s="448" t="str">
        <f>'Maxs Tool'!L414</f>
        <v/>
      </c>
      <c r="E414" s="448" t="str">
        <f>'Maxs Tool'!M414</f>
        <v/>
      </c>
    </row>
    <row r="415" spans="1:5" x14ac:dyDescent="0.25">
      <c r="A415" s="449" t="str">
        <f t="shared" si="6"/>
        <v/>
      </c>
      <c r="B415" s="448" t="str">
        <f>'Maxs Tool'!J415</f>
        <v/>
      </c>
      <c r="C415" s="448" t="str">
        <f>'Maxs Tool'!K415</f>
        <v/>
      </c>
      <c r="D415" s="448" t="str">
        <f>'Maxs Tool'!L415</f>
        <v/>
      </c>
      <c r="E415" s="448" t="str">
        <f>'Maxs Tool'!M415</f>
        <v/>
      </c>
    </row>
    <row r="416" spans="1:5" x14ac:dyDescent="0.25">
      <c r="A416" s="449" t="str">
        <f t="shared" si="6"/>
        <v/>
      </c>
      <c r="B416" s="448" t="str">
        <f>'Maxs Tool'!J416</f>
        <v/>
      </c>
      <c r="C416" s="448" t="str">
        <f>'Maxs Tool'!K416</f>
        <v/>
      </c>
      <c r="D416" s="448" t="str">
        <f>'Maxs Tool'!L416</f>
        <v/>
      </c>
      <c r="E416" s="448" t="str">
        <f>'Maxs Tool'!M416</f>
        <v/>
      </c>
    </row>
    <row r="417" spans="1:5" x14ac:dyDescent="0.25">
      <c r="A417" s="449" t="str">
        <f t="shared" si="6"/>
        <v/>
      </c>
      <c r="B417" s="448" t="str">
        <f>'Maxs Tool'!J417</f>
        <v/>
      </c>
      <c r="C417" s="448" t="str">
        <f>'Maxs Tool'!K417</f>
        <v/>
      </c>
      <c r="D417" s="448" t="str">
        <f>'Maxs Tool'!L417</f>
        <v/>
      </c>
      <c r="E417" s="448" t="str">
        <f>'Maxs Tool'!M417</f>
        <v/>
      </c>
    </row>
    <row r="418" spans="1:5" x14ac:dyDescent="0.25">
      <c r="A418" s="449" t="str">
        <f t="shared" si="6"/>
        <v/>
      </c>
      <c r="B418" s="448" t="str">
        <f>'Maxs Tool'!J418</f>
        <v/>
      </c>
      <c r="C418" s="448" t="str">
        <f>'Maxs Tool'!K418</f>
        <v/>
      </c>
      <c r="D418" s="448" t="str">
        <f>'Maxs Tool'!L418</f>
        <v/>
      </c>
      <c r="E418" s="448" t="str">
        <f>'Maxs Tool'!M418</f>
        <v/>
      </c>
    </row>
    <row r="419" spans="1:5" x14ac:dyDescent="0.25">
      <c r="A419" s="449" t="str">
        <f t="shared" si="6"/>
        <v/>
      </c>
      <c r="B419" s="448" t="str">
        <f>'Maxs Tool'!J419</f>
        <v/>
      </c>
      <c r="C419" s="448" t="str">
        <f>'Maxs Tool'!K419</f>
        <v/>
      </c>
      <c r="D419" s="448" t="str">
        <f>'Maxs Tool'!L419</f>
        <v/>
      </c>
      <c r="E419" s="448" t="str">
        <f>'Maxs Tool'!M419</f>
        <v/>
      </c>
    </row>
    <row r="420" spans="1:5" x14ac:dyDescent="0.25">
      <c r="A420" s="449" t="str">
        <f t="shared" si="6"/>
        <v/>
      </c>
      <c r="B420" s="448" t="str">
        <f>'Maxs Tool'!J420</f>
        <v/>
      </c>
      <c r="C420" s="448" t="str">
        <f>'Maxs Tool'!K420</f>
        <v/>
      </c>
      <c r="D420" s="448" t="str">
        <f>'Maxs Tool'!L420</f>
        <v/>
      </c>
      <c r="E420" s="448" t="str">
        <f>'Maxs Tool'!M420</f>
        <v/>
      </c>
    </row>
    <row r="421" spans="1:5" x14ac:dyDescent="0.25">
      <c r="A421" s="449" t="str">
        <f t="shared" si="6"/>
        <v/>
      </c>
      <c r="B421" s="448" t="str">
        <f>'Maxs Tool'!J421</f>
        <v/>
      </c>
      <c r="C421" s="448" t="str">
        <f>'Maxs Tool'!K421</f>
        <v/>
      </c>
      <c r="D421" s="448" t="str">
        <f>'Maxs Tool'!L421</f>
        <v/>
      </c>
      <c r="E421" s="448" t="str">
        <f>'Maxs Tool'!M421</f>
        <v/>
      </c>
    </row>
    <row r="422" spans="1:5" x14ac:dyDescent="0.25">
      <c r="A422" s="449" t="str">
        <f t="shared" si="6"/>
        <v/>
      </c>
      <c r="B422" s="448" t="str">
        <f>'Maxs Tool'!J422</f>
        <v/>
      </c>
      <c r="C422" s="448" t="str">
        <f>'Maxs Tool'!K422</f>
        <v/>
      </c>
      <c r="D422" s="448" t="str">
        <f>'Maxs Tool'!L422</f>
        <v/>
      </c>
      <c r="E422" s="448" t="str">
        <f>'Maxs Tool'!M422</f>
        <v/>
      </c>
    </row>
    <row r="423" spans="1:5" x14ac:dyDescent="0.25">
      <c r="A423" s="449" t="str">
        <f t="shared" si="6"/>
        <v/>
      </c>
      <c r="B423" s="448" t="str">
        <f>'Maxs Tool'!J423</f>
        <v/>
      </c>
      <c r="C423" s="448" t="str">
        <f>'Maxs Tool'!K423</f>
        <v/>
      </c>
      <c r="D423" s="448" t="str">
        <f>'Maxs Tool'!L423</f>
        <v/>
      </c>
      <c r="E423" s="448" t="str">
        <f>'Maxs Tool'!M423</f>
        <v/>
      </c>
    </row>
    <row r="424" spans="1:5" x14ac:dyDescent="0.25">
      <c r="A424" s="449" t="str">
        <f t="shared" si="6"/>
        <v/>
      </c>
      <c r="B424" s="448" t="str">
        <f>'Maxs Tool'!J424</f>
        <v/>
      </c>
      <c r="C424" s="448" t="str">
        <f>'Maxs Tool'!K424</f>
        <v/>
      </c>
      <c r="D424" s="448" t="str">
        <f>'Maxs Tool'!L424</f>
        <v/>
      </c>
      <c r="E424" s="448" t="str">
        <f>'Maxs Tool'!M424</f>
        <v/>
      </c>
    </row>
    <row r="425" spans="1:5" x14ac:dyDescent="0.25">
      <c r="A425" s="449" t="str">
        <f t="shared" si="6"/>
        <v/>
      </c>
      <c r="B425" s="448" t="str">
        <f>'Maxs Tool'!J425</f>
        <v/>
      </c>
      <c r="C425" s="448" t="str">
        <f>'Maxs Tool'!K425</f>
        <v/>
      </c>
      <c r="D425" s="448" t="str">
        <f>'Maxs Tool'!L425</f>
        <v/>
      </c>
      <c r="E425" s="448" t="str">
        <f>'Maxs Tool'!M425</f>
        <v/>
      </c>
    </row>
    <row r="426" spans="1:5" x14ac:dyDescent="0.25">
      <c r="A426" s="449" t="str">
        <f t="shared" si="6"/>
        <v/>
      </c>
      <c r="B426" s="448" t="str">
        <f>'Maxs Tool'!J426</f>
        <v/>
      </c>
      <c r="C426" s="448" t="str">
        <f>'Maxs Tool'!K426</f>
        <v/>
      </c>
      <c r="D426" s="448" t="str">
        <f>'Maxs Tool'!L426</f>
        <v/>
      </c>
      <c r="E426" s="448" t="str">
        <f>'Maxs Tool'!M426</f>
        <v/>
      </c>
    </row>
    <row r="427" spans="1:5" x14ac:dyDescent="0.25">
      <c r="A427" s="449" t="str">
        <f t="shared" si="6"/>
        <v/>
      </c>
      <c r="B427" s="448" t="str">
        <f>'Maxs Tool'!J427</f>
        <v/>
      </c>
      <c r="C427" s="448" t="str">
        <f>'Maxs Tool'!K427</f>
        <v/>
      </c>
      <c r="D427" s="448" t="str">
        <f>'Maxs Tool'!L427</f>
        <v/>
      </c>
      <c r="E427" s="448" t="str">
        <f>'Maxs Tool'!M427</f>
        <v/>
      </c>
    </row>
    <row r="428" spans="1:5" x14ac:dyDescent="0.25">
      <c r="A428" s="449" t="str">
        <f t="shared" si="6"/>
        <v/>
      </c>
      <c r="B428" s="448" t="str">
        <f>'Maxs Tool'!J428</f>
        <v/>
      </c>
      <c r="C428" s="448" t="str">
        <f>'Maxs Tool'!K428</f>
        <v/>
      </c>
      <c r="D428" s="448" t="str">
        <f>'Maxs Tool'!L428</f>
        <v/>
      </c>
      <c r="E428" s="448" t="str">
        <f>'Maxs Tool'!M428</f>
        <v/>
      </c>
    </row>
    <row r="429" spans="1:5" x14ac:dyDescent="0.25">
      <c r="A429" s="449" t="str">
        <f t="shared" si="6"/>
        <v/>
      </c>
      <c r="B429" s="448" t="str">
        <f>'Maxs Tool'!J429</f>
        <v/>
      </c>
      <c r="C429" s="448" t="str">
        <f>'Maxs Tool'!K429</f>
        <v/>
      </c>
      <c r="D429" s="448" t="str">
        <f>'Maxs Tool'!L429</f>
        <v/>
      </c>
      <c r="E429" s="448" t="str">
        <f>'Maxs Tool'!M429</f>
        <v/>
      </c>
    </row>
    <row r="430" spans="1:5" x14ac:dyDescent="0.25">
      <c r="A430" s="449" t="str">
        <f t="shared" si="6"/>
        <v/>
      </c>
      <c r="B430" s="448" t="str">
        <f>'Maxs Tool'!J430</f>
        <v/>
      </c>
      <c r="C430" s="448" t="str">
        <f>'Maxs Tool'!K430</f>
        <v/>
      </c>
      <c r="D430" s="448" t="str">
        <f>'Maxs Tool'!L430</f>
        <v/>
      </c>
      <c r="E430" s="448" t="str">
        <f>'Maxs Tool'!M430</f>
        <v/>
      </c>
    </row>
    <row r="431" spans="1:5" x14ac:dyDescent="0.25">
      <c r="A431" s="449" t="str">
        <f t="shared" si="6"/>
        <v/>
      </c>
      <c r="B431" s="448" t="str">
        <f>'Maxs Tool'!J431</f>
        <v/>
      </c>
      <c r="C431" s="448" t="str">
        <f>'Maxs Tool'!K431</f>
        <v/>
      </c>
      <c r="D431" s="448" t="str">
        <f>'Maxs Tool'!L431</f>
        <v/>
      </c>
      <c r="E431" s="448" t="str">
        <f>'Maxs Tool'!M431</f>
        <v/>
      </c>
    </row>
    <row r="432" spans="1:5" x14ac:dyDescent="0.25">
      <c r="A432" s="449" t="str">
        <f t="shared" si="6"/>
        <v/>
      </c>
      <c r="B432" s="448" t="str">
        <f>'Maxs Tool'!J432</f>
        <v/>
      </c>
      <c r="C432" s="448" t="str">
        <f>'Maxs Tool'!K432</f>
        <v/>
      </c>
      <c r="D432" s="448" t="str">
        <f>'Maxs Tool'!L432</f>
        <v/>
      </c>
      <c r="E432" s="448" t="str">
        <f>'Maxs Tool'!M432</f>
        <v/>
      </c>
    </row>
    <row r="433" spans="1:5" x14ac:dyDescent="0.25">
      <c r="A433" s="449" t="str">
        <f t="shared" si="6"/>
        <v/>
      </c>
      <c r="B433" s="448" t="str">
        <f>'Maxs Tool'!J433</f>
        <v/>
      </c>
      <c r="C433" s="448" t="str">
        <f>'Maxs Tool'!K433</f>
        <v/>
      </c>
      <c r="D433" s="448" t="str">
        <f>'Maxs Tool'!L433</f>
        <v/>
      </c>
      <c r="E433" s="448" t="str">
        <f>'Maxs Tool'!M433</f>
        <v/>
      </c>
    </row>
    <row r="434" spans="1:5" x14ac:dyDescent="0.25">
      <c r="A434" s="449" t="str">
        <f t="shared" si="6"/>
        <v/>
      </c>
      <c r="B434" s="448" t="str">
        <f>'Maxs Tool'!J434</f>
        <v/>
      </c>
      <c r="C434" s="448" t="str">
        <f>'Maxs Tool'!K434</f>
        <v/>
      </c>
      <c r="D434" s="448" t="str">
        <f>'Maxs Tool'!L434</f>
        <v/>
      </c>
      <c r="E434" s="448" t="str">
        <f>'Maxs Tool'!M434</f>
        <v/>
      </c>
    </row>
    <row r="435" spans="1:5" x14ac:dyDescent="0.25">
      <c r="A435" s="449" t="str">
        <f t="shared" si="6"/>
        <v/>
      </c>
      <c r="B435" s="448" t="str">
        <f>'Maxs Tool'!J435</f>
        <v/>
      </c>
      <c r="C435" s="448" t="str">
        <f>'Maxs Tool'!K435</f>
        <v/>
      </c>
      <c r="D435" s="448" t="str">
        <f>'Maxs Tool'!L435</f>
        <v/>
      </c>
      <c r="E435" s="448" t="str">
        <f>'Maxs Tool'!M435</f>
        <v/>
      </c>
    </row>
    <row r="436" spans="1:5" x14ac:dyDescent="0.25">
      <c r="A436" s="449" t="str">
        <f t="shared" si="6"/>
        <v/>
      </c>
      <c r="B436" s="448" t="str">
        <f>'Maxs Tool'!J436</f>
        <v/>
      </c>
      <c r="C436" s="448" t="str">
        <f>'Maxs Tool'!K436</f>
        <v/>
      </c>
      <c r="D436" s="448" t="str">
        <f>'Maxs Tool'!L436</f>
        <v/>
      </c>
      <c r="E436" s="448" t="str">
        <f>'Maxs Tool'!M436</f>
        <v/>
      </c>
    </row>
    <row r="437" spans="1:5" x14ac:dyDescent="0.25">
      <c r="A437" s="449" t="str">
        <f t="shared" si="6"/>
        <v/>
      </c>
      <c r="B437" s="448" t="str">
        <f>'Maxs Tool'!J437</f>
        <v/>
      </c>
      <c r="C437" s="448" t="str">
        <f>'Maxs Tool'!K437</f>
        <v/>
      </c>
      <c r="D437" s="448" t="str">
        <f>'Maxs Tool'!L437</f>
        <v/>
      </c>
      <c r="E437" s="448" t="str">
        <f>'Maxs Tool'!M437</f>
        <v/>
      </c>
    </row>
    <row r="438" spans="1:5" x14ac:dyDescent="0.25">
      <c r="A438" s="449" t="str">
        <f t="shared" si="6"/>
        <v/>
      </c>
      <c r="B438" s="448" t="str">
        <f>'Maxs Tool'!J438</f>
        <v/>
      </c>
      <c r="C438" s="448" t="str">
        <f>'Maxs Tool'!K438</f>
        <v/>
      </c>
      <c r="D438" s="448" t="str">
        <f>'Maxs Tool'!L438</f>
        <v/>
      </c>
      <c r="E438" s="448" t="str">
        <f>'Maxs Tool'!M438</f>
        <v/>
      </c>
    </row>
    <row r="439" spans="1:5" x14ac:dyDescent="0.25">
      <c r="A439" s="449" t="str">
        <f t="shared" si="6"/>
        <v/>
      </c>
      <c r="B439" s="448" t="str">
        <f>'Maxs Tool'!J439</f>
        <v/>
      </c>
      <c r="C439" s="448" t="str">
        <f>'Maxs Tool'!K439</f>
        <v/>
      </c>
      <c r="D439" s="448" t="str">
        <f>'Maxs Tool'!L439</f>
        <v/>
      </c>
      <c r="E439" s="448" t="str">
        <f>'Maxs Tool'!M439</f>
        <v/>
      </c>
    </row>
    <row r="440" spans="1:5" x14ac:dyDescent="0.25">
      <c r="A440" s="449" t="str">
        <f t="shared" si="6"/>
        <v/>
      </c>
      <c r="B440" s="448" t="str">
        <f>'Maxs Tool'!J440</f>
        <v/>
      </c>
      <c r="C440" s="448" t="str">
        <f>'Maxs Tool'!K440</f>
        <v/>
      </c>
      <c r="D440" s="448" t="str">
        <f>'Maxs Tool'!L440</f>
        <v/>
      </c>
      <c r="E440" s="448" t="str">
        <f>'Maxs Tool'!M440</f>
        <v/>
      </c>
    </row>
    <row r="441" spans="1:5" x14ac:dyDescent="0.25">
      <c r="A441" s="449" t="str">
        <f t="shared" si="6"/>
        <v/>
      </c>
      <c r="B441" s="448" t="str">
        <f>'Maxs Tool'!J441</f>
        <v/>
      </c>
      <c r="C441" s="448" t="str">
        <f>'Maxs Tool'!K441</f>
        <v/>
      </c>
      <c r="D441" s="448" t="str">
        <f>'Maxs Tool'!L441</f>
        <v/>
      </c>
      <c r="E441" s="448" t="str">
        <f>'Maxs Tool'!M441</f>
        <v/>
      </c>
    </row>
    <row r="442" spans="1:5" x14ac:dyDescent="0.25">
      <c r="A442" s="449" t="str">
        <f t="shared" si="6"/>
        <v/>
      </c>
      <c r="B442" s="448" t="str">
        <f>'Maxs Tool'!J442</f>
        <v/>
      </c>
      <c r="C442" s="448" t="str">
        <f>'Maxs Tool'!K442</f>
        <v/>
      </c>
      <c r="D442" s="448" t="str">
        <f>'Maxs Tool'!L442</f>
        <v/>
      </c>
      <c r="E442" s="448" t="str">
        <f>'Maxs Tool'!M442</f>
        <v/>
      </c>
    </row>
    <row r="443" spans="1:5" x14ac:dyDescent="0.25">
      <c r="A443" s="449" t="str">
        <f t="shared" si="6"/>
        <v/>
      </c>
      <c r="B443" s="448" t="str">
        <f>'Maxs Tool'!J443</f>
        <v/>
      </c>
      <c r="C443" s="448" t="str">
        <f>'Maxs Tool'!K443</f>
        <v/>
      </c>
      <c r="D443" s="448" t="str">
        <f>'Maxs Tool'!L443</f>
        <v/>
      </c>
      <c r="E443" s="448" t="str">
        <f>'Maxs Tool'!M443</f>
        <v/>
      </c>
    </row>
    <row r="444" spans="1:5" x14ac:dyDescent="0.25">
      <c r="A444" s="449" t="str">
        <f t="shared" si="6"/>
        <v/>
      </c>
      <c r="B444" s="448" t="str">
        <f>'Maxs Tool'!J444</f>
        <v/>
      </c>
      <c r="C444" s="448" t="str">
        <f>'Maxs Tool'!K444</f>
        <v/>
      </c>
      <c r="D444" s="448" t="str">
        <f>'Maxs Tool'!L444</f>
        <v/>
      </c>
      <c r="E444" s="448" t="str">
        <f>'Maxs Tool'!M444</f>
        <v/>
      </c>
    </row>
    <row r="445" spans="1:5" x14ac:dyDescent="0.25">
      <c r="A445" s="449" t="str">
        <f t="shared" si="6"/>
        <v/>
      </c>
      <c r="B445" s="448" t="str">
        <f>'Maxs Tool'!J445</f>
        <v/>
      </c>
      <c r="C445" s="448" t="str">
        <f>'Maxs Tool'!K445</f>
        <v/>
      </c>
      <c r="D445" s="448" t="str">
        <f>'Maxs Tool'!L445</f>
        <v/>
      </c>
      <c r="E445" s="448" t="str">
        <f>'Maxs Tool'!M445</f>
        <v/>
      </c>
    </row>
    <row r="446" spans="1:5" x14ac:dyDescent="0.25">
      <c r="A446" s="449" t="str">
        <f t="shared" si="6"/>
        <v/>
      </c>
      <c r="B446" s="448" t="str">
        <f>'Maxs Tool'!J446</f>
        <v/>
      </c>
      <c r="C446" s="448" t="str">
        <f>'Maxs Tool'!K446</f>
        <v/>
      </c>
      <c r="D446" s="448" t="str">
        <f>'Maxs Tool'!L446</f>
        <v/>
      </c>
      <c r="E446" s="448" t="str">
        <f>'Maxs Tool'!M446</f>
        <v/>
      </c>
    </row>
    <row r="447" spans="1:5" x14ac:dyDescent="0.25">
      <c r="A447" s="449" t="str">
        <f t="shared" si="6"/>
        <v/>
      </c>
      <c r="B447" s="448" t="str">
        <f>'Maxs Tool'!J447</f>
        <v/>
      </c>
      <c r="C447" s="448" t="str">
        <f>'Maxs Tool'!K447</f>
        <v/>
      </c>
      <c r="D447" s="448" t="str">
        <f>'Maxs Tool'!L447</f>
        <v/>
      </c>
      <c r="E447" s="448" t="str">
        <f>'Maxs Tool'!M447</f>
        <v/>
      </c>
    </row>
    <row r="448" spans="1:5" x14ac:dyDescent="0.25">
      <c r="A448" s="449" t="str">
        <f t="shared" si="6"/>
        <v/>
      </c>
      <c r="B448" s="448" t="str">
        <f>'Maxs Tool'!J448</f>
        <v/>
      </c>
      <c r="C448" s="448" t="str">
        <f>'Maxs Tool'!K448</f>
        <v/>
      </c>
      <c r="D448" s="448" t="str">
        <f>'Maxs Tool'!L448</f>
        <v/>
      </c>
      <c r="E448" s="448" t="str">
        <f>'Maxs Tool'!M448</f>
        <v/>
      </c>
    </row>
    <row r="449" spans="1:5" x14ac:dyDescent="0.25">
      <c r="A449" s="449" t="str">
        <f t="shared" si="6"/>
        <v/>
      </c>
      <c r="B449" s="448" t="str">
        <f>'Maxs Tool'!J449</f>
        <v/>
      </c>
      <c r="C449" s="448" t="str">
        <f>'Maxs Tool'!K449</f>
        <v/>
      </c>
      <c r="D449" s="448" t="str">
        <f>'Maxs Tool'!L449</f>
        <v/>
      </c>
      <c r="E449" s="448" t="str">
        <f>'Maxs Tool'!M449</f>
        <v/>
      </c>
    </row>
    <row r="450" spans="1:5" x14ac:dyDescent="0.25">
      <c r="A450" s="449" t="str">
        <f t="shared" si="6"/>
        <v/>
      </c>
      <c r="B450" s="448" t="str">
        <f>'Maxs Tool'!J450</f>
        <v/>
      </c>
      <c r="C450" s="448" t="str">
        <f>'Maxs Tool'!K450</f>
        <v/>
      </c>
      <c r="D450" s="448" t="str">
        <f>'Maxs Tool'!L450</f>
        <v/>
      </c>
      <c r="E450" s="448" t="str">
        <f>'Maxs Tool'!M450</f>
        <v/>
      </c>
    </row>
    <row r="451" spans="1:5" x14ac:dyDescent="0.25">
      <c r="A451" s="449" t="str">
        <f t="shared" ref="A451:A514" si="7">IF(ISNUMBER(D451),ROW()-1,"")</f>
        <v/>
      </c>
      <c r="B451" s="448" t="str">
        <f>'Maxs Tool'!J451</f>
        <v/>
      </c>
      <c r="C451" s="448" t="str">
        <f>'Maxs Tool'!K451</f>
        <v/>
      </c>
      <c r="D451" s="448" t="str">
        <f>'Maxs Tool'!L451</f>
        <v/>
      </c>
      <c r="E451" s="448" t="str">
        <f>'Maxs Tool'!M451</f>
        <v/>
      </c>
    </row>
    <row r="452" spans="1:5" x14ac:dyDescent="0.25">
      <c r="A452" s="449" t="str">
        <f t="shared" si="7"/>
        <v/>
      </c>
      <c r="B452" s="448" t="str">
        <f>'Maxs Tool'!J452</f>
        <v/>
      </c>
      <c r="C452" s="448" t="str">
        <f>'Maxs Tool'!K452</f>
        <v/>
      </c>
      <c r="D452" s="448" t="str">
        <f>'Maxs Tool'!L452</f>
        <v/>
      </c>
      <c r="E452" s="448" t="str">
        <f>'Maxs Tool'!M452</f>
        <v/>
      </c>
    </row>
    <row r="453" spans="1:5" x14ac:dyDescent="0.25">
      <c r="A453" s="449" t="str">
        <f t="shared" si="7"/>
        <v/>
      </c>
      <c r="B453" s="448" t="str">
        <f>'Maxs Tool'!J453</f>
        <v/>
      </c>
      <c r="C453" s="448" t="str">
        <f>'Maxs Tool'!K453</f>
        <v/>
      </c>
      <c r="D453" s="448" t="str">
        <f>'Maxs Tool'!L453</f>
        <v/>
      </c>
      <c r="E453" s="448" t="str">
        <f>'Maxs Tool'!M453</f>
        <v/>
      </c>
    </row>
    <row r="454" spans="1:5" x14ac:dyDescent="0.25">
      <c r="A454" s="449" t="str">
        <f t="shared" si="7"/>
        <v/>
      </c>
      <c r="B454" s="448" t="str">
        <f>'Maxs Tool'!J454</f>
        <v/>
      </c>
      <c r="C454" s="448" t="str">
        <f>'Maxs Tool'!K454</f>
        <v/>
      </c>
      <c r="D454" s="448" t="str">
        <f>'Maxs Tool'!L454</f>
        <v/>
      </c>
      <c r="E454" s="448" t="str">
        <f>'Maxs Tool'!M454</f>
        <v/>
      </c>
    </row>
    <row r="455" spans="1:5" x14ac:dyDescent="0.25">
      <c r="A455" s="449" t="str">
        <f t="shared" si="7"/>
        <v/>
      </c>
      <c r="B455" s="448" t="str">
        <f>'Maxs Tool'!J455</f>
        <v/>
      </c>
      <c r="C455" s="448" t="str">
        <f>'Maxs Tool'!K455</f>
        <v/>
      </c>
      <c r="D455" s="448" t="str">
        <f>'Maxs Tool'!L455</f>
        <v/>
      </c>
      <c r="E455" s="448" t="str">
        <f>'Maxs Tool'!M455</f>
        <v/>
      </c>
    </row>
    <row r="456" spans="1:5" x14ac:dyDescent="0.25">
      <c r="A456" s="449" t="str">
        <f t="shared" si="7"/>
        <v/>
      </c>
      <c r="B456" s="448" t="str">
        <f>'Maxs Tool'!J456</f>
        <v/>
      </c>
      <c r="C456" s="448" t="str">
        <f>'Maxs Tool'!K456</f>
        <v/>
      </c>
      <c r="D456" s="448" t="str">
        <f>'Maxs Tool'!L456</f>
        <v/>
      </c>
      <c r="E456" s="448" t="str">
        <f>'Maxs Tool'!M456</f>
        <v/>
      </c>
    </row>
    <row r="457" spans="1:5" x14ac:dyDescent="0.25">
      <c r="A457" s="449" t="str">
        <f t="shared" si="7"/>
        <v/>
      </c>
      <c r="B457" s="448" t="str">
        <f>'Maxs Tool'!J457</f>
        <v/>
      </c>
      <c r="C457" s="448" t="str">
        <f>'Maxs Tool'!K457</f>
        <v/>
      </c>
      <c r="D457" s="448" t="str">
        <f>'Maxs Tool'!L457</f>
        <v/>
      </c>
      <c r="E457" s="448" t="str">
        <f>'Maxs Tool'!M457</f>
        <v/>
      </c>
    </row>
    <row r="458" spans="1:5" x14ac:dyDescent="0.25">
      <c r="A458" s="449" t="str">
        <f t="shared" si="7"/>
        <v/>
      </c>
      <c r="B458" s="448" t="str">
        <f>'Maxs Tool'!J458</f>
        <v/>
      </c>
      <c r="C458" s="448" t="str">
        <f>'Maxs Tool'!K458</f>
        <v/>
      </c>
      <c r="D458" s="448" t="str">
        <f>'Maxs Tool'!L458</f>
        <v/>
      </c>
      <c r="E458" s="448" t="str">
        <f>'Maxs Tool'!M458</f>
        <v/>
      </c>
    </row>
    <row r="459" spans="1:5" x14ac:dyDescent="0.25">
      <c r="A459" s="449" t="str">
        <f t="shared" si="7"/>
        <v/>
      </c>
      <c r="B459" s="448" t="str">
        <f>'Maxs Tool'!J459</f>
        <v/>
      </c>
      <c r="C459" s="448" t="str">
        <f>'Maxs Tool'!K459</f>
        <v/>
      </c>
      <c r="D459" s="448" t="str">
        <f>'Maxs Tool'!L459</f>
        <v/>
      </c>
      <c r="E459" s="448" t="str">
        <f>'Maxs Tool'!M459</f>
        <v/>
      </c>
    </row>
    <row r="460" spans="1:5" x14ac:dyDescent="0.25">
      <c r="A460" s="449" t="str">
        <f t="shared" si="7"/>
        <v/>
      </c>
      <c r="B460" s="448" t="str">
        <f>'Maxs Tool'!J460</f>
        <v/>
      </c>
      <c r="C460" s="448" t="str">
        <f>'Maxs Tool'!K460</f>
        <v/>
      </c>
      <c r="D460" s="448" t="str">
        <f>'Maxs Tool'!L460</f>
        <v/>
      </c>
      <c r="E460" s="448" t="str">
        <f>'Maxs Tool'!M460</f>
        <v/>
      </c>
    </row>
    <row r="461" spans="1:5" x14ac:dyDescent="0.25">
      <c r="A461" s="449" t="str">
        <f t="shared" si="7"/>
        <v/>
      </c>
      <c r="B461" s="448" t="str">
        <f>'Maxs Tool'!J461</f>
        <v/>
      </c>
      <c r="C461" s="448" t="str">
        <f>'Maxs Tool'!K461</f>
        <v/>
      </c>
      <c r="D461" s="448" t="str">
        <f>'Maxs Tool'!L461</f>
        <v/>
      </c>
      <c r="E461" s="448" t="str">
        <f>'Maxs Tool'!M461</f>
        <v/>
      </c>
    </row>
    <row r="462" spans="1:5" x14ac:dyDescent="0.25">
      <c r="A462" s="449" t="str">
        <f t="shared" si="7"/>
        <v/>
      </c>
      <c r="B462" s="448" t="str">
        <f>'Maxs Tool'!J462</f>
        <v/>
      </c>
      <c r="C462" s="448" t="str">
        <f>'Maxs Tool'!K462</f>
        <v/>
      </c>
      <c r="D462" s="448" t="str">
        <f>'Maxs Tool'!L462</f>
        <v/>
      </c>
      <c r="E462" s="448" t="str">
        <f>'Maxs Tool'!M462</f>
        <v/>
      </c>
    </row>
    <row r="463" spans="1:5" x14ac:dyDescent="0.25">
      <c r="A463" s="449" t="str">
        <f t="shared" si="7"/>
        <v/>
      </c>
      <c r="B463" s="448" t="str">
        <f>'Maxs Tool'!J463</f>
        <v/>
      </c>
      <c r="C463" s="448" t="str">
        <f>'Maxs Tool'!K463</f>
        <v/>
      </c>
      <c r="D463" s="448" t="str">
        <f>'Maxs Tool'!L463</f>
        <v/>
      </c>
      <c r="E463" s="448" t="str">
        <f>'Maxs Tool'!M463</f>
        <v/>
      </c>
    </row>
    <row r="464" spans="1:5" x14ac:dyDescent="0.25">
      <c r="A464" s="449" t="str">
        <f t="shared" si="7"/>
        <v/>
      </c>
      <c r="B464" s="448" t="str">
        <f>'Maxs Tool'!J464</f>
        <v/>
      </c>
      <c r="C464" s="448" t="str">
        <f>'Maxs Tool'!K464</f>
        <v/>
      </c>
      <c r="D464" s="448" t="str">
        <f>'Maxs Tool'!L464</f>
        <v/>
      </c>
      <c r="E464" s="448" t="str">
        <f>'Maxs Tool'!M464</f>
        <v/>
      </c>
    </row>
    <row r="465" spans="1:5" x14ac:dyDescent="0.25">
      <c r="A465" s="449" t="str">
        <f t="shared" si="7"/>
        <v/>
      </c>
      <c r="B465" s="448" t="str">
        <f>'Maxs Tool'!J465</f>
        <v/>
      </c>
      <c r="C465" s="448" t="str">
        <f>'Maxs Tool'!K465</f>
        <v/>
      </c>
      <c r="D465" s="448" t="str">
        <f>'Maxs Tool'!L465</f>
        <v/>
      </c>
      <c r="E465" s="448" t="str">
        <f>'Maxs Tool'!M465</f>
        <v/>
      </c>
    </row>
    <row r="466" spans="1:5" x14ac:dyDescent="0.25">
      <c r="A466" s="449" t="str">
        <f t="shared" si="7"/>
        <v/>
      </c>
      <c r="B466" s="448" t="str">
        <f>'Maxs Tool'!J466</f>
        <v/>
      </c>
      <c r="C466" s="448" t="str">
        <f>'Maxs Tool'!K466</f>
        <v/>
      </c>
      <c r="D466" s="448" t="str">
        <f>'Maxs Tool'!L466</f>
        <v/>
      </c>
      <c r="E466" s="448" t="str">
        <f>'Maxs Tool'!M466</f>
        <v/>
      </c>
    </row>
    <row r="467" spans="1:5" x14ac:dyDescent="0.25">
      <c r="A467" s="449" t="str">
        <f t="shared" si="7"/>
        <v/>
      </c>
      <c r="B467" s="448" t="str">
        <f>'Maxs Tool'!J467</f>
        <v/>
      </c>
      <c r="C467" s="448" t="str">
        <f>'Maxs Tool'!K467</f>
        <v/>
      </c>
      <c r="D467" s="448" t="str">
        <f>'Maxs Tool'!L467</f>
        <v/>
      </c>
      <c r="E467" s="448" t="str">
        <f>'Maxs Tool'!M467</f>
        <v/>
      </c>
    </row>
    <row r="468" spans="1:5" x14ac:dyDescent="0.25">
      <c r="A468" s="449" t="str">
        <f t="shared" si="7"/>
        <v/>
      </c>
      <c r="B468" s="448" t="str">
        <f>'Maxs Tool'!J468</f>
        <v/>
      </c>
      <c r="C468" s="448" t="str">
        <f>'Maxs Tool'!K468</f>
        <v/>
      </c>
      <c r="D468" s="448" t="str">
        <f>'Maxs Tool'!L468</f>
        <v/>
      </c>
      <c r="E468" s="448" t="str">
        <f>'Maxs Tool'!M468</f>
        <v/>
      </c>
    </row>
    <row r="469" spans="1:5" x14ac:dyDescent="0.25">
      <c r="A469" s="449" t="str">
        <f t="shared" si="7"/>
        <v/>
      </c>
      <c r="B469" s="448" t="str">
        <f>'Maxs Tool'!J469</f>
        <v/>
      </c>
      <c r="C469" s="448" t="str">
        <f>'Maxs Tool'!K469</f>
        <v/>
      </c>
      <c r="D469" s="448" t="str">
        <f>'Maxs Tool'!L469</f>
        <v/>
      </c>
      <c r="E469" s="448" t="str">
        <f>'Maxs Tool'!M469</f>
        <v/>
      </c>
    </row>
    <row r="470" spans="1:5" x14ac:dyDescent="0.25">
      <c r="A470" s="449" t="str">
        <f t="shared" si="7"/>
        <v/>
      </c>
      <c r="B470" s="448" t="str">
        <f>'Maxs Tool'!J470</f>
        <v/>
      </c>
      <c r="C470" s="448" t="str">
        <f>'Maxs Tool'!K470</f>
        <v/>
      </c>
      <c r="D470" s="448" t="str">
        <f>'Maxs Tool'!L470</f>
        <v/>
      </c>
      <c r="E470" s="448" t="str">
        <f>'Maxs Tool'!M470</f>
        <v/>
      </c>
    </row>
    <row r="471" spans="1:5" x14ac:dyDescent="0.25">
      <c r="A471" s="449" t="str">
        <f t="shared" si="7"/>
        <v/>
      </c>
      <c r="B471" s="448" t="str">
        <f>'Maxs Tool'!J471</f>
        <v/>
      </c>
      <c r="C471" s="448" t="str">
        <f>'Maxs Tool'!K471</f>
        <v/>
      </c>
      <c r="D471" s="448" t="str">
        <f>'Maxs Tool'!L471</f>
        <v/>
      </c>
      <c r="E471" s="448" t="str">
        <f>'Maxs Tool'!M471</f>
        <v/>
      </c>
    </row>
    <row r="472" spans="1:5" x14ac:dyDescent="0.25">
      <c r="A472" s="449" t="str">
        <f t="shared" si="7"/>
        <v/>
      </c>
      <c r="B472" s="448" t="str">
        <f>'Maxs Tool'!J472</f>
        <v/>
      </c>
      <c r="C472" s="448" t="str">
        <f>'Maxs Tool'!K472</f>
        <v/>
      </c>
      <c r="D472" s="448" t="str">
        <f>'Maxs Tool'!L472</f>
        <v/>
      </c>
      <c r="E472" s="448" t="str">
        <f>'Maxs Tool'!M472</f>
        <v/>
      </c>
    </row>
    <row r="473" spans="1:5" x14ac:dyDescent="0.25">
      <c r="A473" s="449" t="str">
        <f t="shared" si="7"/>
        <v/>
      </c>
      <c r="B473" s="448" t="str">
        <f>'Maxs Tool'!J473</f>
        <v/>
      </c>
      <c r="C473" s="448" t="str">
        <f>'Maxs Tool'!K473</f>
        <v/>
      </c>
      <c r="D473" s="448" t="str">
        <f>'Maxs Tool'!L473</f>
        <v/>
      </c>
      <c r="E473" s="448" t="str">
        <f>'Maxs Tool'!M473</f>
        <v/>
      </c>
    </row>
    <row r="474" spans="1:5" x14ac:dyDescent="0.25">
      <c r="A474" s="449" t="str">
        <f t="shared" si="7"/>
        <v/>
      </c>
      <c r="B474" s="448" t="str">
        <f>'Maxs Tool'!J474</f>
        <v/>
      </c>
      <c r="C474" s="448" t="str">
        <f>'Maxs Tool'!K474</f>
        <v/>
      </c>
      <c r="D474" s="448" t="str">
        <f>'Maxs Tool'!L474</f>
        <v/>
      </c>
      <c r="E474" s="448" t="str">
        <f>'Maxs Tool'!M474</f>
        <v/>
      </c>
    </row>
    <row r="475" spans="1:5" x14ac:dyDescent="0.25">
      <c r="A475" s="449" t="str">
        <f t="shared" si="7"/>
        <v/>
      </c>
      <c r="B475" s="448" t="str">
        <f>'Maxs Tool'!J475</f>
        <v/>
      </c>
      <c r="C475" s="448" t="str">
        <f>'Maxs Tool'!K475</f>
        <v/>
      </c>
      <c r="D475" s="448" t="str">
        <f>'Maxs Tool'!L475</f>
        <v/>
      </c>
      <c r="E475" s="448" t="str">
        <f>'Maxs Tool'!M475</f>
        <v/>
      </c>
    </row>
    <row r="476" spans="1:5" x14ac:dyDescent="0.25">
      <c r="A476" s="449" t="str">
        <f t="shared" si="7"/>
        <v/>
      </c>
      <c r="B476" s="448" t="str">
        <f>'Maxs Tool'!J476</f>
        <v/>
      </c>
      <c r="C476" s="448" t="str">
        <f>'Maxs Tool'!K476</f>
        <v/>
      </c>
      <c r="D476" s="448" t="str">
        <f>'Maxs Tool'!L476</f>
        <v/>
      </c>
      <c r="E476" s="448" t="str">
        <f>'Maxs Tool'!M476</f>
        <v/>
      </c>
    </row>
    <row r="477" spans="1:5" x14ac:dyDescent="0.25">
      <c r="A477" s="449" t="str">
        <f t="shared" si="7"/>
        <v/>
      </c>
      <c r="B477" s="448" t="str">
        <f>'Maxs Tool'!J477</f>
        <v/>
      </c>
      <c r="C477" s="448" t="str">
        <f>'Maxs Tool'!K477</f>
        <v/>
      </c>
      <c r="D477" s="448" t="str">
        <f>'Maxs Tool'!L477</f>
        <v/>
      </c>
      <c r="E477" s="448" t="str">
        <f>'Maxs Tool'!M477</f>
        <v/>
      </c>
    </row>
    <row r="478" spans="1:5" x14ac:dyDescent="0.25">
      <c r="A478" s="449" t="str">
        <f t="shared" si="7"/>
        <v/>
      </c>
      <c r="B478" s="448" t="str">
        <f>'Maxs Tool'!J478</f>
        <v/>
      </c>
      <c r="C478" s="448" t="str">
        <f>'Maxs Tool'!K478</f>
        <v/>
      </c>
      <c r="D478" s="448" t="str">
        <f>'Maxs Tool'!L478</f>
        <v/>
      </c>
      <c r="E478" s="448" t="str">
        <f>'Maxs Tool'!M478</f>
        <v/>
      </c>
    </row>
    <row r="479" spans="1:5" x14ac:dyDescent="0.25">
      <c r="A479" s="449" t="str">
        <f t="shared" si="7"/>
        <v/>
      </c>
      <c r="B479" s="448" t="str">
        <f>'Maxs Tool'!J479</f>
        <v/>
      </c>
      <c r="C479" s="448" t="str">
        <f>'Maxs Tool'!K479</f>
        <v/>
      </c>
      <c r="D479" s="448" t="str">
        <f>'Maxs Tool'!L479</f>
        <v/>
      </c>
      <c r="E479" s="448" t="str">
        <f>'Maxs Tool'!M479</f>
        <v/>
      </c>
    </row>
    <row r="480" spans="1:5" x14ac:dyDescent="0.25">
      <c r="A480" s="449" t="str">
        <f t="shared" si="7"/>
        <v/>
      </c>
      <c r="B480" s="448" t="str">
        <f>'Maxs Tool'!J480</f>
        <v/>
      </c>
      <c r="C480" s="448" t="str">
        <f>'Maxs Tool'!K480</f>
        <v/>
      </c>
      <c r="D480" s="448" t="str">
        <f>'Maxs Tool'!L480</f>
        <v/>
      </c>
      <c r="E480" s="448" t="str">
        <f>'Maxs Tool'!M480</f>
        <v/>
      </c>
    </row>
    <row r="481" spans="1:5" x14ac:dyDescent="0.25">
      <c r="A481" s="449" t="str">
        <f t="shared" si="7"/>
        <v/>
      </c>
      <c r="B481" s="448" t="str">
        <f>'Maxs Tool'!J481</f>
        <v/>
      </c>
      <c r="C481" s="448" t="str">
        <f>'Maxs Tool'!K481</f>
        <v/>
      </c>
      <c r="D481" s="448" t="str">
        <f>'Maxs Tool'!L481</f>
        <v/>
      </c>
      <c r="E481" s="448" t="str">
        <f>'Maxs Tool'!M481</f>
        <v/>
      </c>
    </row>
    <row r="482" spans="1:5" x14ac:dyDescent="0.25">
      <c r="A482" s="449" t="str">
        <f t="shared" si="7"/>
        <v/>
      </c>
      <c r="B482" s="448" t="str">
        <f>'Maxs Tool'!J482</f>
        <v/>
      </c>
      <c r="C482" s="448" t="str">
        <f>'Maxs Tool'!K482</f>
        <v/>
      </c>
      <c r="D482" s="448" t="str">
        <f>'Maxs Tool'!L482</f>
        <v/>
      </c>
      <c r="E482" s="448" t="str">
        <f>'Maxs Tool'!M482</f>
        <v/>
      </c>
    </row>
    <row r="483" spans="1:5" x14ac:dyDescent="0.25">
      <c r="A483" s="449" t="str">
        <f t="shared" si="7"/>
        <v/>
      </c>
      <c r="B483" s="448" t="str">
        <f>'Maxs Tool'!J483</f>
        <v/>
      </c>
      <c r="C483" s="448" t="str">
        <f>'Maxs Tool'!K483</f>
        <v/>
      </c>
      <c r="D483" s="448" t="str">
        <f>'Maxs Tool'!L483</f>
        <v/>
      </c>
      <c r="E483" s="448" t="str">
        <f>'Maxs Tool'!M483</f>
        <v/>
      </c>
    </row>
    <row r="484" spans="1:5" x14ac:dyDescent="0.25">
      <c r="A484" s="449" t="str">
        <f t="shared" si="7"/>
        <v/>
      </c>
      <c r="B484" s="448" t="str">
        <f>'Maxs Tool'!J484</f>
        <v/>
      </c>
      <c r="C484" s="448" t="str">
        <f>'Maxs Tool'!K484</f>
        <v/>
      </c>
      <c r="D484" s="448" t="str">
        <f>'Maxs Tool'!L484</f>
        <v/>
      </c>
      <c r="E484" s="448" t="str">
        <f>'Maxs Tool'!M484</f>
        <v/>
      </c>
    </row>
    <row r="485" spans="1:5" x14ac:dyDescent="0.25">
      <c r="A485" s="449" t="str">
        <f t="shared" si="7"/>
        <v/>
      </c>
      <c r="B485" s="448" t="str">
        <f>'Maxs Tool'!J485</f>
        <v/>
      </c>
      <c r="C485" s="448" t="str">
        <f>'Maxs Tool'!K485</f>
        <v/>
      </c>
      <c r="D485" s="448" t="str">
        <f>'Maxs Tool'!L485</f>
        <v/>
      </c>
      <c r="E485" s="448" t="str">
        <f>'Maxs Tool'!M485</f>
        <v/>
      </c>
    </row>
    <row r="486" spans="1:5" x14ac:dyDescent="0.25">
      <c r="A486" s="449" t="str">
        <f t="shared" si="7"/>
        <v/>
      </c>
      <c r="B486" s="448" t="str">
        <f>'Maxs Tool'!J486</f>
        <v/>
      </c>
      <c r="C486" s="448" t="str">
        <f>'Maxs Tool'!K486</f>
        <v/>
      </c>
      <c r="D486" s="448" t="str">
        <f>'Maxs Tool'!L486</f>
        <v/>
      </c>
      <c r="E486" s="448" t="str">
        <f>'Maxs Tool'!M486</f>
        <v/>
      </c>
    </row>
    <row r="487" spans="1:5" x14ac:dyDescent="0.25">
      <c r="A487" s="449" t="str">
        <f t="shared" si="7"/>
        <v/>
      </c>
      <c r="B487" s="448" t="str">
        <f>'Maxs Tool'!J487</f>
        <v/>
      </c>
      <c r="C487" s="448" t="str">
        <f>'Maxs Tool'!K487</f>
        <v/>
      </c>
      <c r="D487" s="448" t="str">
        <f>'Maxs Tool'!L487</f>
        <v/>
      </c>
      <c r="E487" s="448" t="str">
        <f>'Maxs Tool'!M487</f>
        <v/>
      </c>
    </row>
    <row r="488" spans="1:5" x14ac:dyDescent="0.25">
      <c r="A488" s="449" t="str">
        <f t="shared" si="7"/>
        <v/>
      </c>
      <c r="B488" s="448" t="str">
        <f>'Maxs Tool'!J488</f>
        <v/>
      </c>
      <c r="C488" s="448" t="str">
        <f>'Maxs Tool'!K488</f>
        <v/>
      </c>
      <c r="D488" s="448" t="str">
        <f>'Maxs Tool'!L488</f>
        <v/>
      </c>
      <c r="E488" s="448" t="str">
        <f>'Maxs Tool'!M488</f>
        <v/>
      </c>
    </row>
    <row r="489" spans="1:5" x14ac:dyDescent="0.25">
      <c r="A489" s="449" t="str">
        <f t="shared" si="7"/>
        <v/>
      </c>
      <c r="B489" s="448" t="str">
        <f>'Maxs Tool'!J489</f>
        <v/>
      </c>
      <c r="C489" s="448" t="str">
        <f>'Maxs Tool'!K489</f>
        <v/>
      </c>
      <c r="D489" s="448" t="str">
        <f>'Maxs Tool'!L489</f>
        <v/>
      </c>
      <c r="E489" s="448" t="str">
        <f>'Maxs Tool'!M489</f>
        <v/>
      </c>
    </row>
    <row r="490" spans="1:5" x14ac:dyDescent="0.25">
      <c r="A490" s="449" t="str">
        <f t="shared" si="7"/>
        <v/>
      </c>
      <c r="B490" s="448" t="str">
        <f>'Maxs Tool'!J490</f>
        <v/>
      </c>
      <c r="C490" s="448" t="str">
        <f>'Maxs Tool'!K490</f>
        <v/>
      </c>
      <c r="D490" s="448" t="str">
        <f>'Maxs Tool'!L490</f>
        <v/>
      </c>
      <c r="E490" s="448" t="str">
        <f>'Maxs Tool'!M490</f>
        <v/>
      </c>
    </row>
    <row r="491" spans="1:5" x14ac:dyDescent="0.25">
      <c r="A491" s="449" t="str">
        <f t="shared" si="7"/>
        <v/>
      </c>
      <c r="B491" s="448" t="str">
        <f>'Maxs Tool'!J491</f>
        <v/>
      </c>
      <c r="C491" s="448" t="str">
        <f>'Maxs Tool'!K491</f>
        <v/>
      </c>
      <c r="D491" s="448" t="str">
        <f>'Maxs Tool'!L491</f>
        <v/>
      </c>
      <c r="E491" s="448" t="str">
        <f>'Maxs Tool'!M491</f>
        <v/>
      </c>
    </row>
    <row r="492" spans="1:5" x14ac:dyDescent="0.25">
      <c r="A492" s="449" t="str">
        <f t="shared" si="7"/>
        <v/>
      </c>
      <c r="B492" s="448" t="str">
        <f>'Maxs Tool'!J492</f>
        <v/>
      </c>
      <c r="C492" s="448" t="str">
        <f>'Maxs Tool'!K492</f>
        <v/>
      </c>
      <c r="D492" s="448" t="str">
        <f>'Maxs Tool'!L492</f>
        <v/>
      </c>
      <c r="E492" s="448" t="str">
        <f>'Maxs Tool'!M492</f>
        <v/>
      </c>
    </row>
    <row r="493" spans="1:5" x14ac:dyDescent="0.25">
      <c r="A493" s="449" t="str">
        <f t="shared" si="7"/>
        <v/>
      </c>
      <c r="B493" s="448" t="str">
        <f>'Maxs Tool'!J493</f>
        <v/>
      </c>
      <c r="C493" s="448" t="str">
        <f>'Maxs Tool'!K493</f>
        <v/>
      </c>
      <c r="D493" s="448" t="str">
        <f>'Maxs Tool'!L493</f>
        <v/>
      </c>
      <c r="E493" s="448" t="str">
        <f>'Maxs Tool'!M493</f>
        <v/>
      </c>
    </row>
    <row r="494" spans="1:5" x14ac:dyDescent="0.25">
      <c r="A494" s="449" t="str">
        <f t="shared" si="7"/>
        <v/>
      </c>
      <c r="B494" s="448" t="str">
        <f>'Maxs Tool'!J494</f>
        <v/>
      </c>
      <c r="C494" s="448" t="str">
        <f>'Maxs Tool'!K494</f>
        <v/>
      </c>
      <c r="D494" s="448" t="str">
        <f>'Maxs Tool'!L494</f>
        <v/>
      </c>
      <c r="E494" s="448" t="str">
        <f>'Maxs Tool'!M494</f>
        <v/>
      </c>
    </row>
    <row r="495" spans="1:5" x14ac:dyDescent="0.25">
      <c r="A495" s="449" t="str">
        <f t="shared" si="7"/>
        <v/>
      </c>
      <c r="B495" s="448" t="str">
        <f>'Maxs Tool'!J495</f>
        <v/>
      </c>
      <c r="C495" s="448" t="str">
        <f>'Maxs Tool'!K495</f>
        <v/>
      </c>
      <c r="D495" s="448" t="str">
        <f>'Maxs Tool'!L495</f>
        <v/>
      </c>
      <c r="E495" s="448" t="str">
        <f>'Maxs Tool'!M495</f>
        <v/>
      </c>
    </row>
    <row r="496" spans="1:5" x14ac:dyDescent="0.25">
      <c r="A496" s="449" t="str">
        <f t="shared" si="7"/>
        <v/>
      </c>
      <c r="B496" s="448" t="str">
        <f>'Maxs Tool'!J496</f>
        <v/>
      </c>
      <c r="C496" s="448" t="str">
        <f>'Maxs Tool'!K496</f>
        <v/>
      </c>
      <c r="D496" s="448" t="str">
        <f>'Maxs Tool'!L496</f>
        <v/>
      </c>
      <c r="E496" s="448" t="str">
        <f>'Maxs Tool'!M496</f>
        <v/>
      </c>
    </row>
    <row r="497" spans="1:5" x14ac:dyDescent="0.25">
      <c r="A497" s="449" t="str">
        <f t="shared" si="7"/>
        <v/>
      </c>
      <c r="B497" s="448" t="str">
        <f>'Maxs Tool'!J497</f>
        <v/>
      </c>
      <c r="C497" s="448" t="str">
        <f>'Maxs Tool'!K497</f>
        <v/>
      </c>
      <c r="D497" s="448" t="str">
        <f>'Maxs Tool'!L497</f>
        <v/>
      </c>
      <c r="E497" s="448" t="str">
        <f>'Maxs Tool'!M497</f>
        <v/>
      </c>
    </row>
    <row r="498" spans="1:5" x14ac:dyDescent="0.25">
      <c r="A498" s="449" t="str">
        <f t="shared" si="7"/>
        <v/>
      </c>
      <c r="B498" s="448" t="str">
        <f>'Maxs Tool'!J498</f>
        <v/>
      </c>
      <c r="C498" s="448" t="str">
        <f>'Maxs Tool'!K498</f>
        <v/>
      </c>
      <c r="D498" s="448" t="str">
        <f>'Maxs Tool'!L498</f>
        <v/>
      </c>
      <c r="E498" s="448" t="str">
        <f>'Maxs Tool'!M498</f>
        <v/>
      </c>
    </row>
    <row r="499" spans="1:5" x14ac:dyDescent="0.25">
      <c r="A499" s="449" t="str">
        <f t="shared" si="7"/>
        <v/>
      </c>
      <c r="B499" s="448" t="str">
        <f>'Maxs Tool'!J499</f>
        <v/>
      </c>
      <c r="C499" s="448" t="str">
        <f>'Maxs Tool'!K499</f>
        <v/>
      </c>
      <c r="D499" s="448" t="str">
        <f>'Maxs Tool'!L499</f>
        <v/>
      </c>
      <c r="E499" s="448" t="str">
        <f>'Maxs Tool'!M499</f>
        <v/>
      </c>
    </row>
    <row r="500" spans="1:5" x14ac:dyDescent="0.25">
      <c r="A500" s="449" t="str">
        <f t="shared" si="7"/>
        <v/>
      </c>
      <c r="B500" s="448" t="str">
        <f>'Maxs Tool'!J500</f>
        <v/>
      </c>
      <c r="C500" s="448" t="str">
        <f>'Maxs Tool'!K500</f>
        <v/>
      </c>
      <c r="D500" s="448" t="str">
        <f>'Maxs Tool'!L500</f>
        <v/>
      </c>
      <c r="E500" s="448" t="str">
        <f>'Maxs Tool'!M500</f>
        <v/>
      </c>
    </row>
    <row r="501" spans="1:5" x14ac:dyDescent="0.25">
      <c r="A501" s="449" t="str">
        <f t="shared" si="7"/>
        <v/>
      </c>
      <c r="B501" s="448" t="str">
        <f>'Maxs Tool'!J501</f>
        <v/>
      </c>
      <c r="C501" s="448" t="str">
        <f>'Maxs Tool'!K501</f>
        <v/>
      </c>
      <c r="D501" s="448" t="str">
        <f>'Maxs Tool'!L501</f>
        <v/>
      </c>
      <c r="E501" s="448" t="str">
        <f>'Maxs Tool'!M501</f>
        <v/>
      </c>
    </row>
    <row r="502" spans="1:5" x14ac:dyDescent="0.25">
      <c r="A502" s="449" t="str">
        <f t="shared" si="7"/>
        <v/>
      </c>
      <c r="B502" s="448" t="str">
        <f>'Maxs Tool'!J502</f>
        <v/>
      </c>
      <c r="C502" s="448" t="str">
        <f>'Maxs Tool'!K502</f>
        <v/>
      </c>
      <c r="D502" s="448" t="str">
        <f>'Maxs Tool'!L502</f>
        <v/>
      </c>
      <c r="E502" s="448" t="str">
        <f>'Maxs Tool'!M502</f>
        <v/>
      </c>
    </row>
    <row r="503" spans="1:5" x14ac:dyDescent="0.25">
      <c r="A503" s="449" t="str">
        <f t="shared" si="7"/>
        <v/>
      </c>
      <c r="B503" s="448" t="str">
        <f>'Maxs Tool'!J503</f>
        <v/>
      </c>
      <c r="C503" s="448" t="str">
        <f>'Maxs Tool'!K503</f>
        <v/>
      </c>
      <c r="D503" s="448" t="str">
        <f>'Maxs Tool'!L503</f>
        <v/>
      </c>
      <c r="E503" s="448" t="str">
        <f>'Maxs Tool'!M503</f>
        <v/>
      </c>
    </row>
    <row r="504" spans="1:5" x14ac:dyDescent="0.25">
      <c r="A504" s="449" t="str">
        <f t="shared" si="7"/>
        <v/>
      </c>
      <c r="B504" s="448" t="str">
        <f>'Maxs Tool'!J504</f>
        <v/>
      </c>
      <c r="C504" s="448" t="str">
        <f>'Maxs Tool'!K504</f>
        <v/>
      </c>
      <c r="D504" s="448" t="str">
        <f>'Maxs Tool'!L504</f>
        <v/>
      </c>
      <c r="E504" s="448" t="str">
        <f>'Maxs Tool'!M504</f>
        <v/>
      </c>
    </row>
    <row r="505" spans="1:5" x14ac:dyDescent="0.25">
      <c r="A505" s="449" t="str">
        <f t="shared" si="7"/>
        <v/>
      </c>
      <c r="B505" s="448" t="str">
        <f>'Maxs Tool'!J505</f>
        <v/>
      </c>
      <c r="C505" s="448" t="str">
        <f>'Maxs Tool'!K505</f>
        <v/>
      </c>
      <c r="D505" s="448" t="str">
        <f>'Maxs Tool'!L505</f>
        <v/>
      </c>
      <c r="E505" s="448" t="str">
        <f>'Maxs Tool'!M505</f>
        <v/>
      </c>
    </row>
    <row r="506" spans="1:5" x14ac:dyDescent="0.25">
      <c r="A506" s="449" t="str">
        <f t="shared" si="7"/>
        <v/>
      </c>
      <c r="B506" s="448" t="str">
        <f>'Maxs Tool'!J506</f>
        <v/>
      </c>
      <c r="C506" s="448" t="str">
        <f>'Maxs Tool'!K506</f>
        <v/>
      </c>
      <c r="D506" s="448" t="str">
        <f>'Maxs Tool'!L506</f>
        <v/>
      </c>
      <c r="E506" s="448" t="str">
        <f>'Maxs Tool'!M506</f>
        <v/>
      </c>
    </row>
    <row r="507" spans="1:5" x14ac:dyDescent="0.25">
      <c r="A507" s="449" t="str">
        <f t="shared" si="7"/>
        <v/>
      </c>
      <c r="B507" s="448" t="str">
        <f>'Maxs Tool'!J507</f>
        <v/>
      </c>
      <c r="C507" s="448" t="str">
        <f>'Maxs Tool'!K507</f>
        <v/>
      </c>
      <c r="D507" s="448" t="str">
        <f>'Maxs Tool'!L507</f>
        <v/>
      </c>
      <c r="E507" s="448" t="str">
        <f>'Maxs Tool'!M507</f>
        <v/>
      </c>
    </row>
    <row r="508" spans="1:5" x14ac:dyDescent="0.25">
      <c r="A508" s="449" t="str">
        <f t="shared" si="7"/>
        <v/>
      </c>
      <c r="B508" s="448" t="str">
        <f>'Maxs Tool'!J508</f>
        <v/>
      </c>
      <c r="C508" s="448" t="str">
        <f>'Maxs Tool'!K508</f>
        <v/>
      </c>
      <c r="D508" s="448" t="str">
        <f>'Maxs Tool'!L508</f>
        <v/>
      </c>
      <c r="E508" s="448" t="str">
        <f>'Maxs Tool'!M508</f>
        <v/>
      </c>
    </row>
    <row r="509" spans="1:5" x14ac:dyDescent="0.25">
      <c r="A509" s="449" t="str">
        <f t="shared" si="7"/>
        <v/>
      </c>
      <c r="B509" s="448" t="str">
        <f>'Maxs Tool'!J509</f>
        <v/>
      </c>
      <c r="C509" s="448" t="str">
        <f>'Maxs Tool'!K509</f>
        <v/>
      </c>
      <c r="D509" s="448" t="str">
        <f>'Maxs Tool'!L509</f>
        <v/>
      </c>
      <c r="E509" s="448" t="str">
        <f>'Maxs Tool'!M509</f>
        <v/>
      </c>
    </row>
    <row r="510" spans="1:5" x14ac:dyDescent="0.25">
      <c r="A510" s="449" t="str">
        <f t="shared" si="7"/>
        <v/>
      </c>
      <c r="B510" s="448" t="str">
        <f>'Maxs Tool'!J510</f>
        <v/>
      </c>
      <c r="C510" s="448" t="str">
        <f>'Maxs Tool'!K510</f>
        <v/>
      </c>
      <c r="D510" s="448" t="str">
        <f>'Maxs Tool'!L510</f>
        <v/>
      </c>
      <c r="E510" s="448" t="str">
        <f>'Maxs Tool'!M510</f>
        <v/>
      </c>
    </row>
    <row r="511" spans="1:5" x14ac:dyDescent="0.25">
      <c r="A511" s="449" t="str">
        <f t="shared" si="7"/>
        <v/>
      </c>
      <c r="B511" s="448" t="str">
        <f>'Maxs Tool'!J511</f>
        <v/>
      </c>
      <c r="C511" s="448" t="str">
        <f>'Maxs Tool'!K511</f>
        <v/>
      </c>
      <c r="D511" s="448" t="str">
        <f>'Maxs Tool'!L511</f>
        <v/>
      </c>
      <c r="E511" s="448" t="str">
        <f>'Maxs Tool'!M511</f>
        <v/>
      </c>
    </row>
    <row r="512" spans="1:5" x14ac:dyDescent="0.25">
      <c r="A512" s="449" t="str">
        <f t="shared" si="7"/>
        <v/>
      </c>
      <c r="B512" s="448" t="str">
        <f>'Maxs Tool'!J512</f>
        <v/>
      </c>
      <c r="C512" s="448" t="str">
        <f>'Maxs Tool'!K512</f>
        <v/>
      </c>
      <c r="D512" s="448" t="str">
        <f>'Maxs Tool'!L512</f>
        <v/>
      </c>
      <c r="E512" s="448" t="str">
        <f>'Maxs Tool'!M512</f>
        <v/>
      </c>
    </row>
    <row r="513" spans="1:5" x14ac:dyDescent="0.25">
      <c r="A513" s="449" t="str">
        <f t="shared" si="7"/>
        <v/>
      </c>
      <c r="B513" s="448" t="str">
        <f>'Maxs Tool'!J513</f>
        <v/>
      </c>
      <c r="C513" s="448" t="str">
        <f>'Maxs Tool'!K513</f>
        <v/>
      </c>
      <c r="D513" s="448" t="str">
        <f>'Maxs Tool'!L513</f>
        <v/>
      </c>
      <c r="E513" s="448" t="str">
        <f>'Maxs Tool'!M513</f>
        <v/>
      </c>
    </row>
    <row r="514" spans="1:5" x14ac:dyDescent="0.25">
      <c r="A514" s="449" t="str">
        <f t="shared" si="7"/>
        <v/>
      </c>
      <c r="B514" s="448" t="str">
        <f>'Maxs Tool'!J514</f>
        <v/>
      </c>
      <c r="C514" s="448" t="str">
        <f>'Maxs Tool'!K514</f>
        <v/>
      </c>
      <c r="D514" s="448" t="str">
        <f>'Maxs Tool'!L514</f>
        <v/>
      </c>
      <c r="E514" s="448" t="str">
        <f>'Maxs Tool'!M514</f>
        <v/>
      </c>
    </row>
    <row r="515" spans="1:5" x14ac:dyDescent="0.25">
      <c r="A515" s="449" t="str">
        <f t="shared" ref="A515:A578" si="8">IF(ISNUMBER(D515),ROW()-1,"")</f>
        <v/>
      </c>
      <c r="B515" s="448" t="str">
        <f>'Maxs Tool'!J515</f>
        <v/>
      </c>
      <c r="C515" s="448" t="str">
        <f>'Maxs Tool'!K515</f>
        <v/>
      </c>
      <c r="D515" s="448" t="str">
        <f>'Maxs Tool'!L515</f>
        <v/>
      </c>
      <c r="E515" s="448" t="str">
        <f>'Maxs Tool'!M515</f>
        <v/>
      </c>
    </row>
    <row r="516" spans="1:5" x14ac:dyDescent="0.25">
      <c r="A516" s="449" t="str">
        <f t="shared" si="8"/>
        <v/>
      </c>
      <c r="B516" s="448" t="str">
        <f>'Maxs Tool'!J516</f>
        <v/>
      </c>
      <c r="C516" s="448" t="str">
        <f>'Maxs Tool'!K516</f>
        <v/>
      </c>
      <c r="D516" s="448" t="str">
        <f>'Maxs Tool'!L516</f>
        <v/>
      </c>
      <c r="E516" s="448" t="str">
        <f>'Maxs Tool'!M516</f>
        <v/>
      </c>
    </row>
    <row r="517" spans="1:5" x14ac:dyDescent="0.25">
      <c r="A517" s="449" t="str">
        <f t="shared" si="8"/>
        <v/>
      </c>
      <c r="B517" s="448" t="str">
        <f>'Maxs Tool'!J517</f>
        <v/>
      </c>
      <c r="C517" s="448" t="str">
        <f>'Maxs Tool'!K517</f>
        <v/>
      </c>
      <c r="D517" s="448" t="str">
        <f>'Maxs Tool'!L517</f>
        <v/>
      </c>
      <c r="E517" s="448" t="str">
        <f>'Maxs Tool'!M517</f>
        <v/>
      </c>
    </row>
    <row r="518" spans="1:5" x14ac:dyDescent="0.25">
      <c r="A518" s="449" t="str">
        <f t="shared" si="8"/>
        <v/>
      </c>
      <c r="B518" s="448" t="str">
        <f>'Maxs Tool'!J518</f>
        <v/>
      </c>
      <c r="C518" s="448" t="str">
        <f>'Maxs Tool'!K518</f>
        <v/>
      </c>
      <c r="D518" s="448" t="str">
        <f>'Maxs Tool'!L518</f>
        <v/>
      </c>
      <c r="E518" s="448" t="str">
        <f>'Maxs Tool'!M518</f>
        <v/>
      </c>
    </row>
    <row r="519" spans="1:5" x14ac:dyDescent="0.25">
      <c r="A519" s="449" t="str">
        <f t="shared" si="8"/>
        <v/>
      </c>
      <c r="B519" s="448" t="str">
        <f>'Maxs Tool'!J519</f>
        <v/>
      </c>
      <c r="C519" s="448" t="str">
        <f>'Maxs Tool'!K519</f>
        <v/>
      </c>
      <c r="D519" s="448" t="str">
        <f>'Maxs Tool'!L519</f>
        <v/>
      </c>
      <c r="E519" s="448" t="str">
        <f>'Maxs Tool'!M519</f>
        <v/>
      </c>
    </row>
    <row r="520" spans="1:5" x14ac:dyDescent="0.25">
      <c r="A520" s="449" t="str">
        <f t="shared" si="8"/>
        <v/>
      </c>
      <c r="B520" s="448" t="str">
        <f>'Maxs Tool'!J520</f>
        <v/>
      </c>
      <c r="C520" s="448" t="str">
        <f>'Maxs Tool'!K520</f>
        <v/>
      </c>
      <c r="D520" s="448" t="str">
        <f>'Maxs Tool'!L520</f>
        <v/>
      </c>
      <c r="E520" s="448" t="str">
        <f>'Maxs Tool'!M520</f>
        <v/>
      </c>
    </row>
    <row r="521" spans="1:5" x14ac:dyDescent="0.25">
      <c r="A521" s="449" t="str">
        <f t="shared" si="8"/>
        <v/>
      </c>
      <c r="B521" s="448" t="str">
        <f>'Maxs Tool'!J521</f>
        <v/>
      </c>
      <c r="C521" s="448" t="str">
        <f>'Maxs Tool'!K521</f>
        <v/>
      </c>
      <c r="D521" s="448" t="str">
        <f>'Maxs Tool'!L521</f>
        <v/>
      </c>
      <c r="E521" s="448" t="str">
        <f>'Maxs Tool'!M521</f>
        <v/>
      </c>
    </row>
    <row r="522" spans="1:5" x14ac:dyDescent="0.25">
      <c r="A522" s="449" t="str">
        <f t="shared" si="8"/>
        <v/>
      </c>
      <c r="B522" s="448" t="str">
        <f>'Maxs Tool'!J522</f>
        <v/>
      </c>
      <c r="C522" s="448" t="str">
        <f>'Maxs Tool'!K522</f>
        <v/>
      </c>
      <c r="D522" s="448" t="str">
        <f>'Maxs Tool'!L522</f>
        <v/>
      </c>
      <c r="E522" s="448" t="str">
        <f>'Maxs Tool'!M522</f>
        <v/>
      </c>
    </row>
    <row r="523" spans="1:5" x14ac:dyDescent="0.25">
      <c r="A523" s="449" t="str">
        <f t="shared" si="8"/>
        <v/>
      </c>
      <c r="B523" s="448" t="str">
        <f>'Maxs Tool'!J523</f>
        <v/>
      </c>
      <c r="C523" s="448" t="str">
        <f>'Maxs Tool'!K523</f>
        <v/>
      </c>
      <c r="D523" s="448" t="str">
        <f>'Maxs Tool'!L523</f>
        <v/>
      </c>
      <c r="E523" s="448" t="str">
        <f>'Maxs Tool'!M523</f>
        <v/>
      </c>
    </row>
    <row r="524" spans="1:5" x14ac:dyDescent="0.25">
      <c r="A524" s="449" t="str">
        <f t="shared" si="8"/>
        <v/>
      </c>
      <c r="B524" s="448" t="str">
        <f>'Maxs Tool'!J524</f>
        <v/>
      </c>
      <c r="C524" s="448" t="str">
        <f>'Maxs Tool'!K524</f>
        <v/>
      </c>
      <c r="D524" s="448" t="str">
        <f>'Maxs Tool'!L524</f>
        <v/>
      </c>
      <c r="E524" s="448" t="str">
        <f>'Maxs Tool'!M524</f>
        <v/>
      </c>
    </row>
    <row r="525" spans="1:5" x14ac:dyDescent="0.25">
      <c r="A525" s="449" t="str">
        <f t="shared" si="8"/>
        <v/>
      </c>
      <c r="B525" s="448" t="str">
        <f>'Maxs Tool'!J525</f>
        <v/>
      </c>
      <c r="C525" s="448" t="str">
        <f>'Maxs Tool'!K525</f>
        <v/>
      </c>
      <c r="D525" s="448" t="str">
        <f>'Maxs Tool'!L525</f>
        <v/>
      </c>
      <c r="E525" s="448" t="str">
        <f>'Maxs Tool'!M525</f>
        <v/>
      </c>
    </row>
    <row r="526" spans="1:5" x14ac:dyDescent="0.25">
      <c r="A526" s="449" t="str">
        <f t="shared" si="8"/>
        <v/>
      </c>
      <c r="B526" s="448" t="str">
        <f>'Maxs Tool'!J526</f>
        <v/>
      </c>
      <c r="C526" s="448" t="str">
        <f>'Maxs Tool'!K526</f>
        <v/>
      </c>
      <c r="D526" s="448" t="str">
        <f>'Maxs Tool'!L526</f>
        <v/>
      </c>
      <c r="E526" s="448" t="str">
        <f>'Maxs Tool'!M526</f>
        <v/>
      </c>
    </row>
    <row r="527" spans="1:5" x14ac:dyDescent="0.25">
      <c r="A527" s="449" t="str">
        <f t="shared" si="8"/>
        <v/>
      </c>
      <c r="B527" s="448" t="str">
        <f>'Maxs Tool'!J527</f>
        <v/>
      </c>
      <c r="C527" s="448" t="str">
        <f>'Maxs Tool'!K527</f>
        <v/>
      </c>
      <c r="D527" s="448" t="str">
        <f>'Maxs Tool'!L527</f>
        <v/>
      </c>
      <c r="E527" s="448" t="str">
        <f>'Maxs Tool'!M527</f>
        <v/>
      </c>
    </row>
    <row r="528" spans="1:5" x14ac:dyDescent="0.25">
      <c r="A528" s="449" t="str">
        <f t="shared" si="8"/>
        <v/>
      </c>
      <c r="B528" s="448" t="str">
        <f>'Maxs Tool'!J528</f>
        <v/>
      </c>
      <c r="C528" s="448" t="str">
        <f>'Maxs Tool'!K528</f>
        <v/>
      </c>
      <c r="D528" s="448" t="str">
        <f>'Maxs Tool'!L528</f>
        <v/>
      </c>
      <c r="E528" s="448" t="str">
        <f>'Maxs Tool'!M528</f>
        <v/>
      </c>
    </row>
    <row r="529" spans="1:5" x14ac:dyDescent="0.25">
      <c r="A529" s="449" t="str">
        <f t="shared" si="8"/>
        <v/>
      </c>
      <c r="B529" s="448" t="str">
        <f>'Maxs Tool'!J529</f>
        <v/>
      </c>
      <c r="C529" s="448" t="str">
        <f>'Maxs Tool'!K529</f>
        <v/>
      </c>
      <c r="D529" s="448" t="str">
        <f>'Maxs Tool'!L529</f>
        <v/>
      </c>
      <c r="E529" s="448" t="str">
        <f>'Maxs Tool'!M529</f>
        <v/>
      </c>
    </row>
    <row r="530" spans="1:5" x14ac:dyDescent="0.25">
      <c r="A530" s="449" t="str">
        <f t="shared" si="8"/>
        <v/>
      </c>
      <c r="B530" s="448" t="str">
        <f>'Maxs Tool'!J530</f>
        <v/>
      </c>
      <c r="C530" s="448" t="str">
        <f>'Maxs Tool'!K530</f>
        <v/>
      </c>
      <c r="D530" s="448" t="str">
        <f>'Maxs Tool'!L530</f>
        <v/>
      </c>
      <c r="E530" s="448" t="str">
        <f>'Maxs Tool'!M530</f>
        <v/>
      </c>
    </row>
    <row r="531" spans="1:5" x14ac:dyDescent="0.25">
      <c r="A531" s="449" t="str">
        <f t="shared" si="8"/>
        <v/>
      </c>
      <c r="B531" s="448" t="str">
        <f>'Maxs Tool'!J531</f>
        <v/>
      </c>
      <c r="C531" s="448" t="str">
        <f>'Maxs Tool'!K531</f>
        <v/>
      </c>
      <c r="D531" s="448" t="str">
        <f>'Maxs Tool'!L531</f>
        <v/>
      </c>
      <c r="E531" s="448" t="str">
        <f>'Maxs Tool'!M531</f>
        <v/>
      </c>
    </row>
    <row r="532" spans="1:5" x14ac:dyDescent="0.25">
      <c r="A532" s="449" t="str">
        <f t="shared" si="8"/>
        <v/>
      </c>
      <c r="B532" s="448" t="str">
        <f>'Maxs Tool'!J532</f>
        <v/>
      </c>
      <c r="C532" s="448" t="str">
        <f>'Maxs Tool'!K532</f>
        <v/>
      </c>
      <c r="D532" s="448" t="str">
        <f>'Maxs Tool'!L532</f>
        <v/>
      </c>
      <c r="E532" s="448" t="str">
        <f>'Maxs Tool'!M532</f>
        <v/>
      </c>
    </row>
    <row r="533" spans="1:5" x14ac:dyDescent="0.25">
      <c r="A533" s="449" t="str">
        <f t="shared" si="8"/>
        <v/>
      </c>
      <c r="B533" s="448" t="str">
        <f>'Maxs Tool'!J533</f>
        <v/>
      </c>
      <c r="C533" s="448" t="str">
        <f>'Maxs Tool'!K533</f>
        <v/>
      </c>
      <c r="D533" s="448" t="str">
        <f>'Maxs Tool'!L533</f>
        <v/>
      </c>
      <c r="E533" s="448" t="str">
        <f>'Maxs Tool'!M533</f>
        <v/>
      </c>
    </row>
    <row r="534" spans="1:5" x14ac:dyDescent="0.25">
      <c r="A534" s="449" t="str">
        <f t="shared" si="8"/>
        <v/>
      </c>
      <c r="B534" s="448" t="str">
        <f>'Maxs Tool'!J534</f>
        <v/>
      </c>
      <c r="C534" s="448" t="str">
        <f>'Maxs Tool'!K534</f>
        <v/>
      </c>
      <c r="D534" s="448" t="str">
        <f>'Maxs Tool'!L534</f>
        <v/>
      </c>
      <c r="E534" s="448" t="str">
        <f>'Maxs Tool'!M534</f>
        <v/>
      </c>
    </row>
    <row r="535" spans="1:5" x14ac:dyDescent="0.25">
      <c r="A535" s="449" t="str">
        <f t="shared" si="8"/>
        <v/>
      </c>
      <c r="B535" s="448" t="str">
        <f>'Maxs Tool'!J535</f>
        <v/>
      </c>
      <c r="C535" s="448" t="str">
        <f>'Maxs Tool'!K535</f>
        <v/>
      </c>
      <c r="D535" s="448" t="str">
        <f>'Maxs Tool'!L535</f>
        <v/>
      </c>
      <c r="E535" s="448" t="str">
        <f>'Maxs Tool'!M535</f>
        <v/>
      </c>
    </row>
    <row r="536" spans="1:5" x14ac:dyDescent="0.25">
      <c r="A536" s="449" t="str">
        <f t="shared" si="8"/>
        <v/>
      </c>
      <c r="B536" s="448" t="str">
        <f>'Maxs Tool'!J536</f>
        <v/>
      </c>
      <c r="C536" s="448" t="str">
        <f>'Maxs Tool'!K536</f>
        <v/>
      </c>
      <c r="D536" s="448" t="str">
        <f>'Maxs Tool'!L536</f>
        <v/>
      </c>
      <c r="E536" s="448" t="str">
        <f>'Maxs Tool'!M536</f>
        <v/>
      </c>
    </row>
    <row r="537" spans="1:5" x14ac:dyDescent="0.25">
      <c r="A537" s="449" t="str">
        <f t="shared" si="8"/>
        <v/>
      </c>
      <c r="B537" s="448" t="str">
        <f>'Maxs Tool'!J537</f>
        <v/>
      </c>
      <c r="C537" s="448" t="str">
        <f>'Maxs Tool'!K537</f>
        <v/>
      </c>
      <c r="D537" s="448" t="str">
        <f>'Maxs Tool'!L537</f>
        <v/>
      </c>
      <c r="E537" s="448" t="str">
        <f>'Maxs Tool'!M537</f>
        <v/>
      </c>
    </row>
    <row r="538" spans="1:5" x14ac:dyDescent="0.25">
      <c r="A538" s="449" t="str">
        <f t="shared" si="8"/>
        <v/>
      </c>
      <c r="B538" s="448" t="str">
        <f>'Maxs Tool'!J538</f>
        <v/>
      </c>
      <c r="C538" s="448" t="str">
        <f>'Maxs Tool'!K538</f>
        <v/>
      </c>
      <c r="D538" s="448" t="str">
        <f>'Maxs Tool'!L538</f>
        <v/>
      </c>
      <c r="E538" s="448" t="str">
        <f>'Maxs Tool'!M538</f>
        <v/>
      </c>
    </row>
    <row r="539" spans="1:5" x14ac:dyDescent="0.25">
      <c r="A539" s="449" t="str">
        <f t="shared" si="8"/>
        <v/>
      </c>
      <c r="B539" s="448" t="str">
        <f>'Maxs Tool'!J539</f>
        <v/>
      </c>
      <c r="C539" s="448" t="str">
        <f>'Maxs Tool'!K539</f>
        <v/>
      </c>
      <c r="D539" s="448" t="str">
        <f>'Maxs Tool'!L539</f>
        <v/>
      </c>
      <c r="E539" s="448" t="str">
        <f>'Maxs Tool'!M539</f>
        <v/>
      </c>
    </row>
    <row r="540" spans="1:5" x14ac:dyDescent="0.25">
      <c r="A540" s="449" t="str">
        <f t="shared" si="8"/>
        <v/>
      </c>
      <c r="B540" s="448" t="str">
        <f>'Maxs Tool'!J540</f>
        <v/>
      </c>
      <c r="C540" s="448" t="str">
        <f>'Maxs Tool'!K540</f>
        <v/>
      </c>
      <c r="D540" s="448" t="str">
        <f>'Maxs Tool'!L540</f>
        <v/>
      </c>
      <c r="E540" s="448" t="str">
        <f>'Maxs Tool'!M540</f>
        <v/>
      </c>
    </row>
    <row r="541" spans="1:5" x14ac:dyDescent="0.25">
      <c r="A541" s="449" t="str">
        <f t="shared" si="8"/>
        <v/>
      </c>
      <c r="B541" s="448" t="str">
        <f>'Maxs Tool'!J541</f>
        <v/>
      </c>
      <c r="C541" s="448" t="str">
        <f>'Maxs Tool'!K541</f>
        <v/>
      </c>
      <c r="D541" s="448" t="str">
        <f>'Maxs Tool'!L541</f>
        <v/>
      </c>
      <c r="E541" s="448" t="str">
        <f>'Maxs Tool'!M541</f>
        <v/>
      </c>
    </row>
    <row r="542" spans="1:5" x14ac:dyDescent="0.25">
      <c r="A542" s="449" t="str">
        <f t="shared" si="8"/>
        <v/>
      </c>
      <c r="B542" s="448" t="str">
        <f>'Maxs Tool'!J542</f>
        <v/>
      </c>
      <c r="C542" s="448" t="str">
        <f>'Maxs Tool'!K542</f>
        <v/>
      </c>
      <c r="D542" s="448" t="str">
        <f>'Maxs Tool'!L542</f>
        <v/>
      </c>
      <c r="E542" s="448" t="str">
        <f>'Maxs Tool'!M542</f>
        <v/>
      </c>
    </row>
    <row r="543" spans="1:5" x14ac:dyDescent="0.25">
      <c r="A543" s="449" t="str">
        <f t="shared" si="8"/>
        <v/>
      </c>
      <c r="B543" s="448" t="str">
        <f>'Maxs Tool'!J543</f>
        <v/>
      </c>
      <c r="C543" s="448" t="str">
        <f>'Maxs Tool'!K543</f>
        <v/>
      </c>
      <c r="D543" s="448" t="str">
        <f>'Maxs Tool'!L543</f>
        <v/>
      </c>
      <c r="E543" s="448" t="str">
        <f>'Maxs Tool'!M543</f>
        <v/>
      </c>
    </row>
    <row r="544" spans="1:5" x14ac:dyDescent="0.25">
      <c r="A544" s="449" t="str">
        <f t="shared" si="8"/>
        <v/>
      </c>
      <c r="B544" s="448" t="str">
        <f>'Maxs Tool'!J544</f>
        <v/>
      </c>
      <c r="C544" s="448" t="str">
        <f>'Maxs Tool'!K544</f>
        <v/>
      </c>
      <c r="D544" s="448" t="str">
        <f>'Maxs Tool'!L544</f>
        <v/>
      </c>
      <c r="E544" s="448" t="str">
        <f>'Maxs Tool'!M544</f>
        <v/>
      </c>
    </row>
    <row r="545" spans="1:5" x14ac:dyDescent="0.25">
      <c r="A545" s="449" t="str">
        <f t="shared" si="8"/>
        <v/>
      </c>
      <c r="B545" s="448" t="str">
        <f>'Maxs Tool'!J545</f>
        <v/>
      </c>
      <c r="C545" s="448" t="str">
        <f>'Maxs Tool'!K545</f>
        <v/>
      </c>
      <c r="D545" s="448" t="str">
        <f>'Maxs Tool'!L545</f>
        <v/>
      </c>
      <c r="E545" s="448" t="str">
        <f>'Maxs Tool'!M545</f>
        <v/>
      </c>
    </row>
    <row r="546" spans="1:5" x14ac:dyDescent="0.25">
      <c r="A546" s="449" t="str">
        <f t="shared" si="8"/>
        <v/>
      </c>
      <c r="B546" s="448" t="str">
        <f>'Maxs Tool'!J546</f>
        <v/>
      </c>
      <c r="C546" s="448" t="str">
        <f>'Maxs Tool'!K546</f>
        <v/>
      </c>
      <c r="D546" s="448" t="str">
        <f>'Maxs Tool'!L546</f>
        <v/>
      </c>
      <c r="E546" s="448" t="str">
        <f>'Maxs Tool'!M546</f>
        <v/>
      </c>
    </row>
    <row r="547" spans="1:5" x14ac:dyDescent="0.25">
      <c r="A547" s="449" t="str">
        <f t="shared" si="8"/>
        <v/>
      </c>
      <c r="B547" s="448" t="str">
        <f>'Maxs Tool'!J547</f>
        <v/>
      </c>
      <c r="C547" s="448" t="str">
        <f>'Maxs Tool'!K547</f>
        <v/>
      </c>
      <c r="D547" s="448" t="str">
        <f>'Maxs Tool'!L547</f>
        <v/>
      </c>
      <c r="E547" s="448" t="str">
        <f>'Maxs Tool'!M547</f>
        <v/>
      </c>
    </row>
    <row r="548" spans="1:5" x14ac:dyDescent="0.25">
      <c r="A548" s="449" t="str">
        <f t="shared" si="8"/>
        <v/>
      </c>
      <c r="B548" s="448" t="str">
        <f>'Maxs Tool'!J548</f>
        <v/>
      </c>
      <c r="C548" s="448" t="str">
        <f>'Maxs Tool'!K548</f>
        <v/>
      </c>
      <c r="D548" s="448" t="str">
        <f>'Maxs Tool'!L548</f>
        <v/>
      </c>
      <c r="E548" s="448" t="str">
        <f>'Maxs Tool'!M548</f>
        <v/>
      </c>
    </row>
    <row r="549" spans="1:5" x14ac:dyDescent="0.25">
      <c r="A549" s="449" t="str">
        <f t="shared" si="8"/>
        <v/>
      </c>
      <c r="B549" s="448" t="str">
        <f>'Maxs Tool'!J549</f>
        <v/>
      </c>
      <c r="C549" s="448" t="str">
        <f>'Maxs Tool'!K549</f>
        <v/>
      </c>
      <c r="D549" s="448" t="str">
        <f>'Maxs Tool'!L549</f>
        <v/>
      </c>
      <c r="E549" s="448" t="str">
        <f>'Maxs Tool'!M549</f>
        <v/>
      </c>
    </row>
    <row r="550" spans="1:5" x14ac:dyDescent="0.25">
      <c r="A550" s="449" t="str">
        <f t="shared" si="8"/>
        <v/>
      </c>
      <c r="B550" s="448" t="str">
        <f>'Maxs Tool'!J550</f>
        <v/>
      </c>
      <c r="C550" s="448" t="str">
        <f>'Maxs Tool'!K550</f>
        <v/>
      </c>
      <c r="D550" s="448" t="str">
        <f>'Maxs Tool'!L550</f>
        <v/>
      </c>
      <c r="E550" s="448" t="str">
        <f>'Maxs Tool'!M550</f>
        <v/>
      </c>
    </row>
    <row r="551" spans="1:5" x14ac:dyDescent="0.25">
      <c r="A551" s="449" t="str">
        <f t="shared" si="8"/>
        <v/>
      </c>
      <c r="B551" s="448" t="str">
        <f>'Maxs Tool'!J551</f>
        <v/>
      </c>
      <c r="C551" s="448" t="str">
        <f>'Maxs Tool'!K551</f>
        <v/>
      </c>
      <c r="D551" s="448" t="str">
        <f>'Maxs Tool'!L551</f>
        <v/>
      </c>
      <c r="E551" s="448" t="str">
        <f>'Maxs Tool'!M551</f>
        <v/>
      </c>
    </row>
    <row r="552" spans="1:5" x14ac:dyDescent="0.25">
      <c r="A552" s="449" t="str">
        <f t="shared" si="8"/>
        <v/>
      </c>
      <c r="B552" s="448" t="str">
        <f>'Maxs Tool'!J552</f>
        <v/>
      </c>
      <c r="C552" s="448" t="str">
        <f>'Maxs Tool'!K552</f>
        <v/>
      </c>
      <c r="D552" s="448" t="str">
        <f>'Maxs Tool'!L552</f>
        <v/>
      </c>
      <c r="E552" s="448" t="str">
        <f>'Maxs Tool'!M552</f>
        <v/>
      </c>
    </row>
    <row r="553" spans="1:5" x14ac:dyDescent="0.25">
      <c r="A553" s="449" t="str">
        <f t="shared" si="8"/>
        <v/>
      </c>
      <c r="B553" s="448" t="str">
        <f>'Maxs Tool'!J553</f>
        <v/>
      </c>
      <c r="C553" s="448" t="str">
        <f>'Maxs Tool'!K553</f>
        <v/>
      </c>
      <c r="D553" s="448" t="str">
        <f>'Maxs Tool'!L553</f>
        <v/>
      </c>
      <c r="E553" s="448" t="str">
        <f>'Maxs Tool'!M553</f>
        <v/>
      </c>
    </row>
    <row r="554" spans="1:5" x14ac:dyDescent="0.25">
      <c r="A554" s="449" t="str">
        <f t="shared" si="8"/>
        <v/>
      </c>
      <c r="B554" s="448" t="str">
        <f>'Maxs Tool'!J554</f>
        <v/>
      </c>
      <c r="C554" s="448" t="str">
        <f>'Maxs Tool'!K554</f>
        <v/>
      </c>
      <c r="D554" s="448" t="str">
        <f>'Maxs Tool'!L554</f>
        <v/>
      </c>
      <c r="E554" s="448" t="str">
        <f>'Maxs Tool'!M554</f>
        <v/>
      </c>
    </row>
    <row r="555" spans="1:5" x14ac:dyDescent="0.25">
      <c r="A555" s="449" t="str">
        <f t="shared" si="8"/>
        <v/>
      </c>
      <c r="B555" s="448" t="str">
        <f>'Maxs Tool'!J555</f>
        <v/>
      </c>
      <c r="C555" s="448" t="str">
        <f>'Maxs Tool'!K555</f>
        <v/>
      </c>
      <c r="D555" s="448" t="str">
        <f>'Maxs Tool'!L555</f>
        <v/>
      </c>
      <c r="E555" s="448" t="str">
        <f>'Maxs Tool'!M555</f>
        <v/>
      </c>
    </row>
    <row r="556" spans="1:5" x14ac:dyDescent="0.25">
      <c r="A556" s="449" t="str">
        <f t="shared" si="8"/>
        <v/>
      </c>
      <c r="B556" s="448" t="str">
        <f>'Maxs Tool'!J556</f>
        <v/>
      </c>
      <c r="C556" s="448" t="str">
        <f>'Maxs Tool'!K556</f>
        <v/>
      </c>
      <c r="D556" s="448" t="str">
        <f>'Maxs Tool'!L556</f>
        <v/>
      </c>
      <c r="E556" s="448" t="str">
        <f>'Maxs Tool'!M556</f>
        <v/>
      </c>
    </row>
    <row r="557" spans="1:5" x14ac:dyDescent="0.25">
      <c r="A557" s="449" t="str">
        <f t="shared" si="8"/>
        <v/>
      </c>
      <c r="B557" s="448" t="str">
        <f>'Maxs Tool'!J557</f>
        <v/>
      </c>
      <c r="C557" s="448" t="str">
        <f>'Maxs Tool'!K557</f>
        <v/>
      </c>
      <c r="D557" s="448" t="str">
        <f>'Maxs Tool'!L557</f>
        <v/>
      </c>
      <c r="E557" s="448" t="str">
        <f>'Maxs Tool'!M557</f>
        <v/>
      </c>
    </row>
    <row r="558" spans="1:5" x14ac:dyDescent="0.25">
      <c r="A558" s="449" t="str">
        <f t="shared" si="8"/>
        <v/>
      </c>
      <c r="B558" s="448" t="str">
        <f>'Maxs Tool'!J558</f>
        <v/>
      </c>
      <c r="C558" s="448" t="str">
        <f>'Maxs Tool'!K558</f>
        <v/>
      </c>
      <c r="D558" s="448" t="str">
        <f>'Maxs Tool'!L558</f>
        <v/>
      </c>
      <c r="E558" s="448" t="str">
        <f>'Maxs Tool'!M558</f>
        <v/>
      </c>
    </row>
    <row r="559" spans="1:5" x14ac:dyDescent="0.25">
      <c r="A559" s="449" t="str">
        <f t="shared" si="8"/>
        <v/>
      </c>
      <c r="B559" s="448" t="str">
        <f>'Maxs Tool'!J559</f>
        <v/>
      </c>
      <c r="C559" s="448" t="str">
        <f>'Maxs Tool'!K559</f>
        <v/>
      </c>
      <c r="D559" s="448" t="str">
        <f>'Maxs Tool'!L559</f>
        <v/>
      </c>
      <c r="E559" s="448" t="str">
        <f>'Maxs Tool'!M559</f>
        <v/>
      </c>
    </row>
    <row r="560" spans="1:5" x14ac:dyDescent="0.25">
      <c r="A560" s="449" t="str">
        <f t="shared" si="8"/>
        <v/>
      </c>
      <c r="B560" s="448" t="str">
        <f>'Maxs Tool'!J560</f>
        <v/>
      </c>
      <c r="C560" s="448" t="str">
        <f>'Maxs Tool'!K560</f>
        <v/>
      </c>
      <c r="D560" s="448" t="str">
        <f>'Maxs Tool'!L560</f>
        <v/>
      </c>
      <c r="E560" s="448" t="str">
        <f>'Maxs Tool'!M560</f>
        <v/>
      </c>
    </row>
    <row r="561" spans="1:5" x14ac:dyDescent="0.25">
      <c r="A561" s="449" t="str">
        <f t="shared" si="8"/>
        <v/>
      </c>
      <c r="B561" s="448" t="str">
        <f>'Maxs Tool'!J561</f>
        <v/>
      </c>
      <c r="C561" s="448" t="str">
        <f>'Maxs Tool'!K561</f>
        <v/>
      </c>
      <c r="D561" s="448" t="str">
        <f>'Maxs Tool'!L561</f>
        <v/>
      </c>
      <c r="E561" s="448" t="str">
        <f>'Maxs Tool'!M561</f>
        <v/>
      </c>
    </row>
    <row r="562" spans="1:5" x14ac:dyDescent="0.25">
      <c r="A562" s="449" t="str">
        <f t="shared" si="8"/>
        <v/>
      </c>
      <c r="B562" s="448" t="str">
        <f>'Maxs Tool'!J562</f>
        <v/>
      </c>
      <c r="C562" s="448" t="str">
        <f>'Maxs Tool'!K562</f>
        <v/>
      </c>
      <c r="D562" s="448" t="str">
        <f>'Maxs Tool'!L562</f>
        <v/>
      </c>
      <c r="E562" s="448" t="str">
        <f>'Maxs Tool'!M562</f>
        <v/>
      </c>
    </row>
    <row r="563" spans="1:5" x14ac:dyDescent="0.25">
      <c r="A563" s="449" t="str">
        <f t="shared" si="8"/>
        <v/>
      </c>
      <c r="B563" s="448" t="str">
        <f>'Maxs Tool'!J563</f>
        <v/>
      </c>
      <c r="C563" s="448" t="str">
        <f>'Maxs Tool'!K563</f>
        <v/>
      </c>
      <c r="D563" s="448" t="str">
        <f>'Maxs Tool'!L563</f>
        <v/>
      </c>
      <c r="E563" s="448" t="str">
        <f>'Maxs Tool'!M563</f>
        <v/>
      </c>
    </row>
    <row r="564" spans="1:5" x14ac:dyDescent="0.25">
      <c r="A564" s="449" t="str">
        <f t="shared" si="8"/>
        <v/>
      </c>
      <c r="B564" s="448" t="str">
        <f>'Maxs Tool'!J564</f>
        <v/>
      </c>
      <c r="C564" s="448" t="str">
        <f>'Maxs Tool'!K564</f>
        <v/>
      </c>
      <c r="D564" s="448" t="str">
        <f>'Maxs Tool'!L564</f>
        <v/>
      </c>
      <c r="E564" s="448" t="str">
        <f>'Maxs Tool'!M564</f>
        <v/>
      </c>
    </row>
    <row r="565" spans="1:5" x14ac:dyDescent="0.25">
      <c r="A565" s="449" t="str">
        <f t="shared" si="8"/>
        <v/>
      </c>
      <c r="B565" s="448" t="str">
        <f>'Maxs Tool'!J565</f>
        <v/>
      </c>
      <c r="C565" s="448" t="str">
        <f>'Maxs Tool'!K565</f>
        <v/>
      </c>
      <c r="D565" s="448" t="str">
        <f>'Maxs Tool'!L565</f>
        <v/>
      </c>
      <c r="E565" s="448" t="str">
        <f>'Maxs Tool'!M565</f>
        <v/>
      </c>
    </row>
    <row r="566" spans="1:5" x14ac:dyDescent="0.25">
      <c r="A566" s="449" t="str">
        <f t="shared" si="8"/>
        <v/>
      </c>
      <c r="B566" s="448" t="str">
        <f>'Maxs Tool'!J566</f>
        <v/>
      </c>
      <c r="C566" s="448" t="str">
        <f>'Maxs Tool'!K566</f>
        <v/>
      </c>
      <c r="D566" s="448" t="str">
        <f>'Maxs Tool'!L566</f>
        <v/>
      </c>
      <c r="E566" s="448" t="str">
        <f>'Maxs Tool'!M566</f>
        <v/>
      </c>
    </row>
    <row r="567" spans="1:5" x14ac:dyDescent="0.25">
      <c r="A567" s="449" t="str">
        <f t="shared" si="8"/>
        <v/>
      </c>
      <c r="B567" s="448" t="str">
        <f>'Maxs Tool'!J567</f>
        <v/>
      </c>
      <c r="C567" s="448" t="str">
        <f>'Maxs Tool'!K567</f>
        <v/>
      </c>
      <c r="D567" s="448" t="str">
        <f>'Maxs Tool'!L567</f>
        <v/>
      </c>
      <c r="E567" s="448" t="str">
        <f>'Maxs Tool'!M567</f>
        <v/>
      </c>
    </row>
    <row r="568" spans="1:5" x14ac:dyDescent="0.25">
      <c r="A568" s="449" t="str">
        <f t="shared" si="8"/>
        <v/>
      </c>
      <c r="B568" s="448" t="str">
        <f>'Maxs Tool'!J568</f>
        <v/>
      </c>
      <c r="C568" s="448" t="str">
        <f>'Maxs Tool'!K568</f>
        <v/>
      </c>
      <c r="D568" s="448" t="str">
        <f>'Maxs Tool'!L568</f>
        <v/>
      </c>
      <c r="E568" s="448" t="str">
        <f>'Maxs Tool'!M568</f>
        <v/>
      </c>
    </row>
    <row r="569" spans="1:5" x14ac:dyDescent="0.25">
      <c r="A569" s="449" t="str">
        <f t="shared" si="8"/>
        <v/>
      </c>
      <c r="B569" s="448" t="str">
        <f>'Maxs Tool'!J569</f>
        <v/>
      </c>
      <c r="C569" s="448" t="str">
        <f>'Maxs Tool'!K569</f>
        <v/>
      </c>
      <c r="D569" s="448" t="str">
        <f>'Maxs Tool'!L569</f>
        <v/>
      </c>
      <c r="E569" s="448" t="str">
        <f>'Maxs Tool'!M569</f>
        <v/>
      </c>
    </row>
    <row r="570" spans="1:5" x14ac:dyDescent="0.25">
      <c r="A570" s="449" t="str">
        <f t="shared" si="8"/>
        <v/>
      </c>
      <c r="B570" s="448" t="str">
        <f>'Maxs Tool'!J570</f>
        <v/>
      </c>
      <c r="C570" s="448" t="str">
        <f>'Maxs Tool'!K570</f>
        <v/>
      </c>
      <c r="D570" s="448" t="str">
        <f>'Maxs Tool'!L570</f>
        <v/>
      </c>
      <c r="E570" s="448" t="str">
        <f>'Maxs Tool'!M570</f>
        <v/>
      </c>
    </row>
    <row r="571" spans="1:5" x14ac:dyDescent="0.25">
      <c r="A571" s="449" t="str">
        <f t="shared" si="8"/>
        <v/>
      </c>
      <c r="B571" s="448" t="str">
        <f>'Maxs Tool'!J571</f>
        <v/>
      </c>
      <c r="C571" s="448" t="str">
        <f>'Maxs Tool'!K571</f>
        <v/>
      </c>
      <c r="D571" s="448" t="str">
        <f>'Maxs Tool'!L571</f>
        <v/>
      </c>
      <c r="E571" s="448" t="str">
        <f>'Maxs Tool'!M571</f>
        <v/>
      </c>
    </row>
    <row r="572" spans="1:5" x14ac:dyDescent="0.25">
      <c r="A572" s="449" t="str">
        <f t="shared" si="8"/>
        <v/>
      </c>
      <c r="B572" s="448" t="str">
        <f>'Maxs Tool'!J572</f>
        <v/>
      </c>
      <c r="C572" s="448" t="str">
        <f>'Maxs Tool'!K572</f>
        <v/>
      </c>
      <c r="D572" s="448" t="str">
        <f>'Maxs Tool'!L572</f>
        <v/>
      </c>
      <c r="E572" s="448" t="str">
        <f>'Maxs Tool'!M572</f>
        <v/>
      </c>
    </row>
    <row r="573" spans="1:5" x14ac:dyDescent="0.25">
      <c r="A573" s="449" t="str">
        <f t="shared" si="8"/>
        <v/>
      </c>
      <c r="B573" s="448" t="str">
        <f>'Maxs Tool'!J573</f>
        <v/>
      </c>
      <c r="C573" s="448" t="str">
        <f>'Maxs Tool'!K573</f>
        <v/>
      </c>
      <c r="D573" s="448" t="str">
        <f>'Maxs Tool'!L573</f>
        <v/>
      </c>
      <c r="E573" s="448" t="str">
        <f>'Maxs Tool'!M573</f>
        <v/>
      </c>
    </row>
    <row r="574" spans="1:5" x14ac:dyDescent="0.25">
      <c r="A574" s="449" t="str">
        <f t="shared" si="8"/>
        <v/>
      </c>
      <c r="B574" s="448" t="str">
        <f>'Maxs Tool'!J574</f>
        <v/>
      </c>
      <c r="C574" s="448" t="str">
        <f>'Maxs Tool'!K574</f>
        <v/>
      </c>
      <c r="D574" s="448" t="str">
        <f>'Maxs Tool'!L574</f>
        <v/>
      </c>
      <c r="E574" s="448" t="str">
        <f>'Maxs Tool'!M574</f>
        <v/>
      </c>
    </row>
    <row r="575" spans="1:5" x14ac:dyDescent="0.25">
      <c r="A575" s="449" t="str">
        <f t="shared" si="8"/>
        <v/>
      </c>
      <c r="B575" s="448" t="str">
        <f>'Maxs Tool'!J575</f>
        <v/>
      </c>
      <c r="C575" s="448" t="str">
        <f>'Maxs Tool'!K575</f>
        <v/>
      </c>
      <c r="D575" s="448" t="str">
        <f>'Maxs Tool'!L575</f>
        <v/>
      </c>
      <c r="E575" s="448" t="str">
        <f>'Maxs Tool'!M575</f>
        <v/>
      </c>
    </row>
    <row r="576" spans="1:5" x14ac:dyDescent="0.25">
      <c r="A576" s="449" t="str">
        <f t="shared" si="8"/>
        <v/>
      </c>
      <c r="B576" s="448" t="str">
        <f>'Maxs Tool'!J576</f>
        <v/>
      </c>
      <c r="C576" s="448" t="str">
        <f>'Maxs Tool'!K576</f>
        <v/>
      </c>
      <c r="D576" s="448" t="str">
        <f>'Maxs Tool'!L576</f>
        <v/>
      </c>
      <c r="E576" s="448" t="str">
        <f>'Maxs Tool'!M576</f>
        <v/>
      </c>
    </row>
    <row r="577" spans="1:5" x14ac:dyDescent="0.25">
      <c r="A577" s="449" t="str">
        <f t="shared" si="8"/>
        <v/>
      </c>
      <c r="B577" s="448" t="str">
        <f>'Maxs Tool'!J577</f>
        <v/>
      </c>
      <c r="C577" s="448" t="str">
        <f>'Maxs Tool'!K577</f>
        <v/>
      </c>
      <c r="D577" s="448" t="str">
        <f>'Maxs Tool'!L577</f>
        <v/>
      </c>
      <c r="E577" s="448" t="str">
        <f>'Maxs Tool'!M577</f>
        <v/>
      </c>
    </row>
    <row r="578" spans="1:5" x14ac:dyDescent="0.25">
      <c r="A578" s="449" t="str">
        <f t="shared" si="8"/>
        <v/>
      </c>
      <c r="B578" s="448" t="str">
        <f>'Maxs Tool'!J578</f>
        <v/>
      </c>
      <c r="C578" s="448" t="str">
        <f>'Maxs Tool'!K578</f>
        <v/>
      </c>
      <c r="D578" s="448" t="str">
        <f>'Maxs Tool'!L578</f>
        <v/>
      </c>
      <c r="E578" s="448" t="str">
        <f>'Maxs Tool'!M578</f>
        <v/>
      </c>
    </row>
    <row r="579" spans="1:5" x14ac:dyDescent="0.25">
      <c r="A579" s="449" t="str">
        <f t="shared" ref="A579:A626" si="9">IF(ISNUMBER(D579),ROW()-1,"")</f>
        <v/>
      </c>
      <c r="B579" s="448" t="str">
        <f>'Maxs Tool'!J579</f>
        <v/>
      </c>
      <c r="C579" s="448" t="str">
        <f>'Maxs Tool'!K579</f>
        <v/>
      </c>
      <c r="D579" s="448" t="str">
        <f>'Maxs Tool'!L579</f>
        <v/>
      </c>
      <c r="E579" s="448" t="str">
        <f>'Maxs Tool'!M579</f>
        <v/>
      </c>
    </row>
    <row r="580" spans="1:5" x14ac:dyDescent="0.25">
      <c r="A580" s="449" t="str">
        <f t="shared" si="9"/>
        <v/>
      </c>
      <c r="B580" s="448" t="str">
        <f>'Maxs Tool'!J580</f>
        <v/>
      </c>
      <c r="C580" s="448" t="str">
        <f>'Maxs Tool'!K580</f>
        <v/>
      </c>
      <c r="D580" s="448" t="str">
        <f>'Maxs Tool'!L580</f>
        <v/>
      </c>
      <c r="E580" s="448" t="str">
        <f>'Maxs Tool'!M580</f>
        <v/>
      </c>
    </row>
    <row r="581" spans="1:5" x14ac:dyDescent="0.25">
      <c r="A581" s="449" t="str">
        <f t="shared" si="9"/>
        <v/>
      </c>
      <c r="B581" s="448" t="str">
        <f>'Maxs Tool'!J581</f>
        <v/>
      </c>
      <c r="C581" s="448" t="str">
        <f>'Maxs Tool'!K581</f>
        <v/>
      </c>
      <c r="D581" s="448" t="str">
        <f>'Maxs Tool'!L581</f>
        <v/>
      </c>
      <c r="E581" s="448" t="str">
        <f>'Maxs Tool'!M581</f>
        <v/>
      </c>
    </row>
    <row r="582" spans="1:5" x14ac:dyDescent="0.25">
      <c r="A582" s="449" t="str">
        <f t="shared" si="9"/>
        <v/>
      </c>
      <c r="B582" s="448" t="str">
        <f>'Maxs Tool'!J582</f>
        <v/>
      </c>
      <c r="C582" s="448" t="str">
        <f>'Maxs Tool'!K582</f>
        <v/>
      </c>
      <c r="D582" s="448" t="str">
        <f>'Maxs Tool'!L582</f>
        <v/>
      </c>
      <c r="E582" s="448" t="str">
        <f>'Maxs Tool'!M582</f>
        <v/>
      </c>
    </row>
    <row r="583" spans="1:5" x14ac:dyDescent="0.25">
      <c r="A583" s="449" t="str">
        <f t="shared" si="9"/>
        <v/>
      </c>
      <c r="B583" s="448" t="str">
        <f>'Maxs Tool'!J583</f>
        <v/>
      </c>
      <c r="C583" s="448" t="str">
        <f>'Maxs Tool'!K583</f>
        <v/>
      </c>
      <c r="D583" s="448" t="str">
        <f>'Maxs Tool'!L583</f>
        <v/>
      </c>
      <c r="E583" s="448" t="str">
        <f>'Maxs Tool'!M583</f>
        <v/>
      </c>
    </row>
    <row r="584" spans="1:5" x14ac:dyDescent="0.25">
      <c r="A584" s="449" t="str">
        <f t="shared" si="9"/>
        <v/>
      </c>
      <c r="B584" s="448" t="str">
        <f>'Maxs Tool'!J584</f>
        <v/>
      </c>
      <c r="C584" s="448" t="str">
        <f>'Maxs Tool'!K584</f>
        <v/>
      </c>
      <c r="D584" s="448" t="str">
        <f>'Maxs Tool'!L584</f>
        <v/>
      </c>
      <c r="E584" s="448" t="str">
        <f>'Maxs Tool'!M584</f>
        <v/>
      </c>
    </row>
    <row r="585" spans="1:5" x14ac:dyDescent="0.25">
      <c r="A585" s="449" t="str">
        <f t="shared" si="9"/>
        <v/>
      </c>
      <c r="B585" s="448" t="str">
        <f>'Maxs Tool'!J585</f>
        <v/>
      </c>
      <c r="C585" s="448" t="str">
        <f>'Maxs Tool'!K585</f>
        <v/>
      </c>
      <c r="D585" s="448" t="str">
        <f>'Maxs Tool'!L585</f>
        <v/>
      </c>
      <c r="E585" s="448" t="str">
        <f>'Maxs Tool'!M585</f>
        <v/>
      </c>
    </row>
    <row r="586" spans="1:5" x14ac:dyDescent="0.25">
      <c r="A586" s="449" t="str">
        <f t="shared" si="9"/>
        <v/>
      </c>
      <c r="B586" s="448" t="str">
        <f>'Maxs Tool'!J586</f>
        <v/>
      </c>
      <c r="C586" s="448" t="str">
        <f>'Maxs Tool'!K586</f>
        <v/>
      </c>
      <c r="D586" s="448" t="str">
        <f>'Maxs Tool'!L586</f>
        <v/>
      </c>
      <c r="E586" s="448" t="str">
        <f>'Maxs Tool'!M586</f>
        <v/>
      </c>
    </row>
    <row r="587" spans="1:5" x14ac:dyDescent="0.25">
      <c r="A587" s="449" t="str">
        <f t="shared" si="9"/>
        <v/>
      </c>
      <c r="B587" s="448" t="str">
        <f>'Maxs Tool'!J587</f>
        <v/>
      </c>
      <c r="C587" s="448" t="str">
        <f>'Maxs Tool'!K587</f>
        <v/>
      </c>
      <c r="D587" s="448" t="str">
        <f>'Maxs Tool'!L587</f>
        <v/>
      </c>
      <c r="E587" s="448" t="str">
        <f>'Maxs Tool'!M587</f>
        <v/>
      </c>
    </row>
    <row r="588" spans="1:5" x14ac:dyDescent="0.25">
      <c r="A588" s="449" t="str">
        <f t="shared" si="9"/>
        <v/>
      </c>
      <c r="B588" s="448" t="str">
        <f>'Maxs Tool'!J588</f>
        <v/>
      </c>
      <c r="C588" s="448" t="str">
        <f>'Maxs Tool'!K588</f>
        <v/>
      </c>
      <c r="D588" s="448" t="str">
        <f>'Maxs Tool'!L588</f>
        <v/>
      </c>
      <c r="E588" s="448" t="str">
        <f>'Maxs Tool'!M588</f>
        <v/>
      </c>
    </row>
    <row r="589" spans="1:5" x14ac:dyDescent="0.25">
      <c r="A589" s="449" t="str">
        <f t="shared" si="9"/>
        <v/>
      </c>
      <c r="B589" s="448" t="str">
        <f>'Maxs Tool'!J589</f>
        <v/>
      </c>
      <c r="C589" s="448" t="str">
        <f>'Maxs Tool'!K589</f>
        <v/>
      </c>
      <c r="D589" s="448" t="str">
        <f>'Maxs Tool'!L589</f>
        <v/>
      </c>
      <c r="E589" s="448" t="str">
        <f>'Maxs Tool'!M589</f>
        <v/>
      </c>
    </row>
    <row r="590" spans="1:5" x14ac:dyDescent="0.25">
      <c r="A590" s="449" t="str">
        <f t="shared" si="9"/>
        <v/>
      </c>
      <c r="B590" s="448" t="str">
        <f>'Maxs Tool'!J590</f>
        <v/>
      </c>
      <c r="C590" s="448" t="str">
        <f>'Maxs Tool'!K590</f>
        <v/>
      </c>
      <c r="D590" s="448" t="str">
        <f>'Maxs Tool'!L590</f>
        <v/>
      </c>
      <c r="E590" s="448" t="str">
        <f>'Maxs Tool'!M590</f>
        <v/>
      </c>
    </row>
    <row r="591" spans="1:5" x14ac:dyDescent="0.25">
      <c r="A591" s="449" t="str">
        <f t="shared" si="9"/>
        <v/>
      </c>
      <c r="B591" s="448" t="str">
        <f>'Maxs Tool'!J591</f>
        <v/>
      </c>
      <c r="C591" s="448" t="str">
        <f>'Maxs Tool'!K591</f>
        <v/>
      </c>
      <c r="D591" s="448" t="str">
        <f>'Maxs Tool'!L591</f>
        <v/>
      </c>
      <c r="E591" s="448" t="str">
        <f>'Maxs Tool'!M591</f>
        <v/>
      </c>
    </row>
    <row r="592" spans="1:5" x14ac:dyDescent="0.25">
      <c r="A592" s="449" t="str">
        <f t="shared" si="9"/>
        <v/>
      </c>
      <c r="B592" s="448" t="str">
        <f>'Maxs Tool'!J592</f>
        <v/>
      </c>
      <c r="C592" s="448" t="str">
        <f>'Maxs Tool'!K592</f>
        <v/>
      </c>
      <c r="D592" s="448" t="str">
        <f>'Maxs Tool'!L592</f>
        <v/>
      </c>
      <c r="E592" s="448" t="str">
        <f>'Maxs Tool'!M592</f>
        <v/>
      </c>
    </row>
    <row r="593" spans="1:5" x14ac:dyDescent="0.25">
      <c r="A593" s="449" t="str">
        <f t="shared" si="9"/>
        <v/>
      </c>
      <c r="B593" s="448" t="str">
        <f>'Maxs Tool'!J593</f>
        <v/>
      </c>
      <c r="C593" s="448" t="str">
        <f>'Maxs Tool'!K593</f>
        <v/>
      </c>
      <c r="D593" s="448" t="str">
        <f>'Maxs Tool'!L593</f>
        <v/>
      </c>
      <c r="E593" s="448" t="str">
        <f>'Maxs Tool'!M593</f>
        <v/>
      </c>
    </row>
    <row r="594" spans="1:5" x14ac:dyDescent="0.25">
      <c r="A594" s="449" t="str">
        <f t="shared" si="9"/>
        <v/>
      </c>
      <c r="B594" s="448" t="str">
        <f>'Maxs Tool'!J594</f>
        <v/>
      </c>
      <c r="C594" s="448" t="str">
        <f>'Maxs Tool'!K594</f>
        <v/>
      </c>
      <c r="D594" s="448" t="str">
        <f>'Maxs Tool'!L594</f>
        <v/>
      </c>
      <c r="E594" s="448" t="str">
        <f>'Maxs Tool'!M594</f>
        <v/>
      </c>
    </row>
    <row r="595" spans="1:5" x14ac:dyDescent="0.25">
      <c r="A595" s="449" t="str">
        <f t="shared" si="9"/>
        <v/>
      </c>
      <c r="B595" s="448" t="str">
        <f>'Maxs Tool'!J595</f>
        <v/>
      </c>
      <c r="C595" s="448" t="str">
        <f>'Maxs Tool'!K595</f>
        <v/>
      </c>
      <c r="D595" s="448" t="str">
        <f>'Maxs Tool'!L595</f>
        <v/>
      </c>
      <c r="E595" s="448" t="str">
        <f>'Maxs Tool'!M595</f>
        <v/>
      </c>
    </row>
    <row r="596" spans="1:5" x14ac:dyDescent="0.25">
      <c r="A596" s="449" t="str">
        <f t="shared" si="9"/>
        <v/>
      </c>
      <c r="B596" s="448" t="str">
        <f>'Maxs Tool'!J596</f>
        <v/>
      </c>
      <c r="C596" s="448" t="str">
        <f>'Maxs Tool'!K596</f>
        <v/>
      </c>
      <c r="D596" s="448" t="str">
        <f>'Maxs Tool'!L596</f>
        <v/>
      </c>
      <c r="E596" s="448" t="str">
        <f>'Maxs Tool'!M596</f>
        <v/>
      </c>
    </row>
    <row r="597" spans="1:5" x14ac:dyDescent="0.25">
      <c r="A597" s="449" t="str">
        <f t="shared" si="9"/>
        <v/>
      </c>
      <c r="B597" s="448" t="str">
        <f>'Maxs Tool'!J597</f>
        <v/>
      </c>
      <c r="C597" s="448" t="str">
        <f>'Maxs Tool'!K597</f>
        <v/>
      </c>
      <c r="D597" s="448" t="str">
        <f>'Maxs Tool'!L597</f>
        <v/>
      </c>
      <c r="E597" s="448" t="str">
        <f>'Maxs Tool'!M597</f>
        <v/>
      </c>
    </row>
    <row r="598" spans="1:5" x14ac:dyDescent="0.25">
      <c r="A598" s="449" t="str">
        <f t="shared" si="9"/>
        <v/>
      </c>
      <c r="B598" s="448" t="str">
        <f>'Maxs Tool'!J598</f>
        <v/>
      </c>
      <c r="C598" s="448" t="str">
        <f>'Maxs Tool'!K598</f>
        <v/>
      </c>
      <c r="D598" s="448" t="str">
        <f>'Maxs Tool'!L598</f>
        <v/>
      </c>
      <c r="E598" s="448" t="str">
        <f>'Maxs Tool'!M598</f>
        <v/>
      </c>
    </row>
    <row r="599" spans="1:5" x14ac:dyDescent="0.25">
      <c r="A599" s="449" t="str">
        <f t="shared" si="9"/>
        <v/>
      </c>
      <c r="B599" s="448" t="str">
        <f>'Maxs Tool'!J599</f>
        <v/>
      </c>
      <c r="C599" s="448" t="str">
        <f>'Maxs Tool'!K599</f>
        <v/>
      </c>
      <c r="D599" s="448" t="str">
        <f>'Maxs Tool'!L599</f>
        <v/>
      </c>
      <c r="E599" s="448" t="str">
        <f>'Maxs Tool'!M599</f>
        <v/>
      </c>
    </row>
    <row r="600" spans="1:5" x14ac:dyDescent="0.25">
      <c r="A600" s="449" t="str">
        <f t="shared" si="9"/>
        <v/>
      </c>
      <c r="B600" s="448" t="str">
        <f>'Maxs Tool'!J600</f>
        <v/>
      </c>
      <c r="C600" s="448" t="str">
        <f>'Maxs Tool'!K600</f>
        <v/>
      </c>
      <c r="D600" s="448" t="str">
        <f>'Maxs Tool'!L600</f>
        <v/>
      </c>
      <c r="E600" s="448" t="str">
        <f>'Maxs Tool'!M600</f>
        <v/>
      </c>
    </row>
    <row r="601" spans="1:5" x14ac:dyDescent="0.25">
      <c r="A601" s="449" t="str">
        <f t="shared" si="9"/>
        <v/>
      </c>
      <c r="B601" s="448" t="str">
        <f>'Maxs Tool'!J601</f>
        <v/>
      </c>
      <c r="C601" s="448" t="str">
        <f>'Maxs Tool'!K601</f>
        <v/>
      </c>
      <c r="D601" s="448" t="str">
        <f>'Maxs Tool'!L601</f>
        <v/>
      </c>
      <c r="E601" s="448" t="str">
        <f>'Maxs Tool'!M601</f>
        <v/>
      </c>
    </row>
    <row r="602" spans="1:5" x14ac:dyDescent="0.25">
      <c r="A602" s="449" t="str">
        <f t="shared" si="9"/>
        <v/>
      </c>
      <c r="B602" s="448" t="str">
        <f>'Maxs Tool'!J602</f>
        <v/>
      </c>
      <c r="C602" s="448" t="str">
        <f>'Maxs Tool'!K602</f>
        <v/>
      </c>
      <c r="D602" s="448" t="str">
        <f>'Maxs Tool'!L602</f>
        <v/>
      </c>
      <c r="E602" s="448" t="str">
        <f>'Maxs Tool'!M602</f>
        <v/>
      </c>
    </row>
    <row r="603" spans="1:5" x14ac:dyDescent="0.25">
      <c r="A603" s="449" t="str">
        <f t="shared" si="9"/>
        <v/>
      </c>
      <c r="B603" s="448" t="str">
        <f>'Maxs Tool'!J603</f>
        <v/>
      </c>
      <c r="C603" s="448" t="str">
        <f>'Maxs Tool'!K603</f>
        <v/>
      </c>
      <c r="D603" s="448" t="str">
        <f>'Maxs Tool'!L603</f>
        <v/>
      </c>
      <c r="E603" s="448" t="str">
        <f>'Maxs Tool'!M603</f>
        <v/>
      </c>
    </row>
    <row r="604" spans="1:5" x14ac:dyDescent="0.25">
      <c r="A604" s="449" t="str">
        <f t="shared" si="9"/>
        <v/>
      </c>
      <c r="B604" s="448" t="str">
        <f>'Maxs Tool'!J604</f>
        <v/>
      </c>
      <c r="C604" s="448" t="str">
        <f>'Maxs Tool'!K604</f>
        <v/>
      </c>
      <c r="D604" s="448" t="str">
        <f>'Maxs Tool'!L604</f>
        <v/>
      </c>
      <c r="E604" s="448" t="str">
        <f>'Maxs Tool'!M604</f>
        <v/>
      </c>
    </row>
    <row r="605" spans="1:5" x14ac:dyDescent="0.25">
      <c r="A605" s="449" t="str">
        <f t="shared" si="9"/>
        <v/>
      </c>
      <c r="B605" s="448" t="str">
        <f>'Maxs Tool'!J605</f>
        <v/>
      </c>
      <c r="C605" s="448" t="str">
        <f>'Maxs Tool'!K605</f>
        <v/>
      </c>
      <c r="D605" s="448" t="str">
        <f>'Maxs Tool'!L605</f>
        <v/>
      </c>
      <c r="E605" s="448" t="str">
        <f>'Maxs Tool'!M605</f>
        <v/>
      </c>
    </row>
    <row r="606" spans="1:5" x14ac:dyDescent="0.25">
      <c r="A606" s="449" t="str">
        <f t="shared" si="9"/>
        <v/>
      </c>
      <c r="B606" s="448" t="str">
        <f>'Maxs Tool'!J606</f>
        <v/>
      </c>
      <c r="C606" s="448" t="str">
        <f>'Maxs Tool'!K606</f>
        <v/>
      </c>
      <c r="D606" s="448" t="str">
        <f>'Maxs Tool'!L606</f>
        <v/>
      </c>
      <c r="E606" s="448" t="str">
        <f>'Maxs Tool'!M606</f>
        <v/>
      </c>
    </row>
    <row r="607" spans="1:5" x14ac:dyDescent="0.25">
      <c r="A607" s="449" t="str">
        <f t="shared" si="9"/>
        <v/>
      </c>
      <c r="B607" s="448" t="str">
        <f>'Maxs Tool'!J607</f>
        <v/>
      </c>
      <c r="C607" s="448" t="str">
        <f>'Maxs Tool'!K607</f>
        <v/>
      </c>
      <c r="D607" s="448" t="str">
        <f>'Maxs Tool'!L607</f>
        <v/>
      </c>
      <c r="E607" s="448" t="str">
        <f>'Maxs Tool'!M607</f>
        <v/>
      </c>
    </row>
    <row r="608" spans="1:5" x14ac:dyDescent="0.25">
      <c r="A608" s="449" t="str">
        <f t="shared" si="9"/>
        <v/>
      </c>
      <c r="B608" s="448" t="str">
        <f>'Maxs Tool'!J608</f>
        <v/>
      </c>
      <c r="C608" s="448" t="str">
        <f>'Maxs Tool'!K608</f>
        <v/>
      </c>
      <c r="D608" s="448" t="str">
        <f>'Maxs Tool'!L608</f>
        <v/>
      </c>
      <c r="E608" s="448" t="str">
        <f>'Maxs Tool'!M608</f>
        <v/>
      </c>
    </row>
    <row r="609" spans="1:5" x14ac:dyDescent="0.25">
      <c r="A609" s="449" t="str">
        <f t="shared" si="9"/>
        <v/>
      </c>
      <c r="B609" s="448" t="str">
        <f>'Maxs Tool'!J609</f>
        <v/>
      </c>
      <c r="C609" s="448" t="str">
        <f>'Maxs Tool'!K609</f>
        <v/>
      </c>
      <c r="D609" s="448" t="str">
        <f>'Maxs Tool'!L609</f>
        <v/>
      </c>
      <c r="E609" s="448" t="str">
        <f>'Maxs Tool'!M609</f>
        <v/>
      </c>
    </row>
    <row r="610" spans="1:5" x14ac:dyDescent="0.25">
      <c r="A610" s="449" t="str">
        <f t="shared" si="9"/>
        <v/>
      </c>
      <c r="B610" s="448" t="str">
        <f>'Maxs Tool'!J610</f>
        <v/>
      </c>
      <c r="C610" s="448" t="str">
        <f>'Maxs Tool'!K610</f>
        <v/>
      </c>
      <c r="D610" s="448" t="str">
        <f>'Maxs Tool'!L610</f>
        <v/>
      </c>
      <c r="E610" s="448" t="str">
        <f>'Maxs Tool'!M610</f>
        <v/>
      </c>
    </row>
    <row r="611" spans="1:5" x14ac:dyDescent="0.25">
      <c r="A611" s="449" t="str">
        <f t="shared" si="9"/>
        <v/>
      </c>
      <c r="B611" s="448" t="str">
        <f>'Maxs Tool'!J611</f>
        <v/>
      </c>
      <c r="C611" s="448" t="str">
        <f>'Maxs Tool'!K611</f>
        <v/>
      </c>
      <c r="D611" s="448" t="str">
        <f>'Maxs Tool'!L611</f>
        <v/>
      </c>
      <c r="E611" s="448" t="str">
        <f>'Maxs Tool'!M611</f>
        <v/>
      </c>
    </row>
    <row r="612" spans="1:5" x14ac:dyDescent="0.25">
      <c r="A612" s="449" t="str">
        <f t="shared" si="9"/>
        <v/>
      </c>
      <c r="B612" s="448" t="str">
        <f>'Maxs Tool'!J612</f>
        <v/>
      </c>
      <c r="C612" s="448" t="str">
        <f>'Maxs Tool'!K612</f>
        <v/>
      </c>
      <c r="D612" s="448" t="str">
        <f>'Maxs Tool'!L612</f>
        <v/>
      </c>
      <c r="E612" s="448" t="str">
        <f>'Maxs Tool'!M612</f>
        <v/>
      </c>
    </row>
    <row r="613" spans="1:5" x14ac:dyDescent="0.25">
      <c r="A613" s="449" t="str">
        <f t="shared" si="9"/>
        <v/>
      </c>
      <c r="B613" s="448" t="str">
        <f>'Maxs Tool'!J613</f>
        <v/>
      </c>
      <c r="C613" s="448" t="str">
        <f>'Maxs Tool'!K613</f>
        <v/>
      </c>
      <c r="D613" s="448" t="str">
        <f>'Maxs Tool'!L613</f>
        <v/>
      </c>
      <c r="E613" s="448" t="str">
        <f>'Maxs Tool'!M613</f>
        <v/>
      </c>
    </row>
    <row r="614" spans="1:5" x14ac:dyDescent="0.25">
      <c r="A614" s="449" t="str">
        <f t="shared" si="9"/>
        <v/>
      </c>
      <c r="B614" s="448" t="str">
        <f>'Maxs Tool'!J614</f>
        <v/>
      </c>
      <c r="C614" s="448" t="str">
        <f>'Maxs Tool'!K614</f>
        <v/>
      </c>
      <c r="D614" s="448" t="str">
        <f>'Maxs Tool'!L614</f>
        <v/>
      </c>
      <c r="E614" s="448" t="str">
        <f>'Maxs Tool'!M614</f>
        <v/>
      </c>
    </row>
    <row r="615" spans="1:5" x14ac:dyDescent="0.25">
      <c r="A615" s="449" t="str">
        <f t="shared" si="9"/>
        <v/>
      </c>
      <c r="B615" s="448" t="str">
        <f>'Maxs Tool'!J615</f>
        <v/>
      </c>
      <c r="C615" s="448" t="str">
        <f>'Maxs Tool'!K615</f>
        <v/>
      </c>
      <c r="D615" s="448" t="str">
        <f>'Maxs Tool'!L615</f>
        <v/>
      </c>
      <c r="E615" s="448" t="str">
        <f>'Maxs Tool'!M615</f>
        <v/>
      </c>
    </row>
    <row r="616" spans="1:5" x14ac:dyDescent="0.25">
      <c r="A616" s="449" t="str">
        <f t="shared" si="9"/>
        <v/>
      </c>
      <c r="B616" s="448" t="str">
        <f>'Maxs Tool'!J616</f>
        <v/>
      </c>
      <c r="C616" s="448" t="str">
        <f>'Maxs Tool'!K616</f>
        <v/>
      </c>
      <c r="D616" s="448" t="str">
        <f>'Maxs Tool'!L616</f>
        <v/>
      </c>
      <c r="E616" s="448" t="str">
        <f>'Maxs Tool'!M616</f>
        <v/>
      </c>
    </row>
    <row r="617" spans="1:5" x14ac:dyDescent="0.25">
      <c r="A617" s="449" t="str">
        <f t="shared" si="9"/>
        <v/>
      </c>
      <c r="B617" s="448" t="str">
        <f>'Maxs Tool'!J617</f>
        <v/>
      </c>
      <c r="C617" s="448" t="str">
        <f>'Maxs Tool'!K617</f>
        <v/>
      </c>
      <c r="D617" s="448" t="str">
        <f>'Maxs Tool'!L617</f>
        <v/>
      </c>
      <c r="E617" s="448" t="str">
        <f>'Maxs Tool'!M617</f>
        <v/>
      </c>
    </row>
    <row r="618" spans="1:5" x14ac:dyDescent="0.25">
      <c r="A618" s="449" t="str">
        <f t="shared" si="9"/>
        <v/>
      </c>
      <c r="B618" s="448" t="str">
        <f>'Maxs Tool'!J618</f>
        <v/>
      </c>
      <c r="C618" s="448" t="str">
        <f>'Maxs Tool'!K618</f>
        <v/>
      </c>
      <c r="D618" s="448" t="str">
        <f>'Maxs Tool'!L618</f>
        <v/>
      </c>
      <c r="E618" s="448" t="str">
        <f>'Maxs Tool'!M618</f>
        <v/>
      </c>
    </row>
    <row r="619" spans="1:5" x14ac:dyDescent="0.25">
      <c r="A619" s="449" t="str">
        <f t="shared" si="9"/>
        <v/>
      </c>
      <c r="B619" s="448" t="str">
        <f>'Maxs Tool'!J619</f>
        <v/>
      </c>
      <c r="C619" s="448" t="str">
        <f>'Maxs Tool'!K619</f>
        <v/>
      </c>
      <c r="D619" s="448" t="str">
        <f>'Maxs Tool'!L619</f>
        <v/>
      </c>
      <c r="E619" s="448" t="str">
        <f>'Maxs Tool'!M619</f>
        <v/>
      </c>
    </row>
    <row r="620" spans="1:5" x14ac:dyDescent="0.25">
      <c r="A620" s="449" t="str">
        <f t="shared" si="9"/>
        <v/>
      </c>
      <c r="B620" s="448" t="str">
        <f>'Maxs Tool'!J620</f>
        <v/>
      </c>
      <c r="C620" s="448" t="str">
        <f>'Maxs Tool'!K620</f>
        <v/>
      </c>
      <c r="D620" s="448" t="str">
        <f>'Maxs Tool'!L620</f>
        <v/>
      </c>
      <c r="E620" s="448" t="str">
        <f>'Maxs Tool'!M620</f>
        <v/>
      </c>
    </row>
    <row r="621" spans="1:5" x14ac:dyDescent="0.25">
      <c r="A621" s="449" t="str">
        <f t="shared" si="9"/>
        <v/>
      </c>
      <c r="B621" s="448" t="str">
        <f>'Maxs Tool'!J621</f>
        <v/>
      </c>
      <c r="C621" s="448" t="str">
        <f>'Maxs Tool'!K621</f>
        <v/>
      </c>
      <c r="D621" s="448" t="str">
        <f>'Maxs Tool'!L621</f>
        <v/>
      </c>
      <c r="E621" s="448" t="str">
        <f>'Maxs Tool'!M621</f>
        <v/>
      </c>
    </row>
    <row r="622" spans="1:5" x14ac:dyDescent="0.25">
      <c r="A622" s="449" t="str">
        <f t="shared" si="9"/>
        <v/>
      </c>
      <c r="B622" s="448" t="str">
        <f>'Maxs Tool'!J622</f>
        <v/>
      </c>
      <c r="C622" s="448" t="str">
        <f>'Maxs Tool'!K622</f>
        <v/>
      </c>
      <c r="D622" s="448" t="str">
        <f>'Maxs Tool'!L622</f>
        <v/>
      </c>
      <c r="E622" s="448" t="str">
        <f>'Maxs Tool'!M622</f>
        <v/>
      </c>
    </row>
    <row r="623" spans="1:5" x14ac:dyDescent="0.25">
      <c r="A623" s="449" t="str">
        <f t="shared" si="9"/>
        <v/>
      </c>
      <c r="B623" s="448" t="str">
        <f>'Maxs Tool'!J623</f>
        <v/>
      </c>
      <c r="C623" s="448" t="str">
        <f>'Maxs Tool'!K623</f>
        <v/>
      </c>
      <c r="D623" s="448" t="str">
        <f>'Maxs Tool'!L623</f>
        <v/>
      </c>
      <c r="E623" s="448" t="str">
        <f>'Maxs Tool'!M623</f>
        <v/>
      </c>
    </row>
    <row r="624" spans="1:5" x14ac:dyDescent="0.25">
      <c r="A624" s="449" t="str">
        <f t="shared" si="9"/>
        <v/>
      </c>
      <c r="B624" s="448" t="str">
        <f>'Maxs Tool'!J624</f>
        <v/>
      </c>
      <c r="C624" s="448" t="str">
        <f>'Maxs Tool'!K624</f>
        <v/>
      </c>
      <c r="D624" s="448" t="str">
        <f>'Maxs Tool'!L624</f>
        <v/>
      </c>
      <c r="E624" s="448" t="str">
        <f>'Maxs Tool'!M624</f>
        <v/>
      </c>
    </row>
    <row r="625" spans="1:5" x14ac:dyDescent="0.25">
      <c r="A625" s="449" t="str">
        <f t="shared" si="9"/>
        <v/>
      </c>
      <c r="B625" s="448" t="str">
        <f>'Maxs Tool'!J625</f>
        <v/>
      </c>
      <c r="C625" s="448" t="str">
        <f>'Maxs Tool'!K625</f>
        <v/>
      </c>
      <c r="D625" s="448" t="str">
        <f>'Maxs Tool'!L625</f>
        <v/>
      </c>
      <c r="E625" s="448" t="str">
        <f>'Maxs Tool'!M625</f>
        <v/>
      </c>
    </row>
    <row r="626" spans="1:5" x14ac:dyDescent="0.25">
      <c r="A626" s="449" t="str">
        <f t="shared" si="9"/>
        <v/>
      </c>
      <c r="B626" s="448" t="str">
        <f>'Maxs Tool'!J626</f>
        <v/>
      </c>
      <c r="C626" s="448" t="str">
        <f>'Maxs Tool'!K626</f>
        <v/>
      </c>
      <c r="D626" s="448" t="str">
        <f>'Maxs Tool'!L626</f>
        <v/>
      </c>
      <c r="E626" s="448" t="str">
        <f>'Maxs Tool'!M626</f>
        <v/>
      </c>
    </row>
  </sheetData>
  <sheetProtection password="CC2F"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7" r:id="rId4" name="Button 5">
              <controlPr defaultSize="0" print="0" autoFill="0" autoPict="0" macro="[0]!CopyMarkerTable">
                <anchor moveWithCells="1" sizeWithCells="1">
                  <from>
                    <xdr:col>7</xdr:col>
                    <xdr:colOff>304800</xdr:colOff>
                    <xdr:row>6</xdr:row>
                    <xdr:rowOff>0</xdr:rowOff>
                  </from>
                  <to>
                    <xdr:col>10</xdr:col>
                    <xdr:colOff>0</xdr:colOff>
                    <xdr:row>8</xdr:row>
                    <xdr:rowOff>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L56"/>
  <sheetViews>
    <sheetView showGridLines="0" showRowColHeaders="0" workbookViewId="0"/>
  </sheetViews>
  <sheetFormatPr defaultRowHeight="15" x14ac:dyDescent="0.25"/>
  <cols>
    <col min="1" max="16384" width="9.140625" style="440"/>
  </cols>
  <sheetData>
    <row r="1" spans="1:2" ht="18.75" x14ac:dyDescent="0.3">
      <c r="A1" s="439" t="s">
        <v>386</v>
      </c>
    </row>
    <row r="2" spans="1:2" x14ac:dyDescent="0.25">
      <c r="A2" s="440" t="s">
        <v>307</v>
      </c>
    </row>
    <row r="3" spans="1:2" ht="15" customHeight="1" x14ac:dyDescent="0.25">
      <c r="A3" s="440" t="s">
        <v>308</v>
      </c>
    </row>
    <row r="4" spans="1:2" ht="15" customHeight="1" x14ac:dyDescent="0.25">
      <c r="A4" s="440" t="s">
        <v>387</v>
      </c>
    </row>
    <row r="5" spans="1:2" ht="15" customHeight="1" x14ac:dyDescent="0.25">
      <c r="B5" s="505" t="s">
        <v>395</v>
      </c>
    </row>
    <row r="6" spans="1:2" ht="15" customHeight="1" x14ac:dyDescent="0.25">
      <c r="B6" s="505" t="s">
        <v>394</v>
      </c>
    </row>
    <row r="7" spans="1:2" ht="15" customHeight="1" x14ac:dyDescent="0.25">
      <c r="B7" s="505" t="s">
        <v>388</v>
      </c>
    </row>
    <row r="8" spans="1:2" ht="15" customHeight="1" x14ac:dyDescent="0.25">
      <c r="A8" s="440" t="s">
        <v>389</v>
      </c>
    </row>
    <row r="10" spans="1:2" ht="15.75" x14ac:dyDescent="0.25">
      <c r="A10" s="441" t="s">
        <v>309</v>
      </c>
    </row>
    <row r="11" spans="1:2" ht="15" customHeight="1" x14ac:dyDescent="0.25">
      <c r="A11" s="440" t="s">
        <v>326</v>
      </c>
    </row>
    <row r="12" spans="1:2" x14ac:dyDescent="0.25">
      <c r="A12" s="440" t="s">
        <v>325</v>
      </c>
    </row>
    <row r="14" spans="1:2" ht="15.75" x14ac:dyDescent="0.25">
      <c r="A14" s="441" t="s">
        <v>310</v>
      </c>
    </row>
    <row r="15" spans="1:2" x14ac:dyDescent="0.25">
      <c r="A15" s="440" t="s">
        <v>311</v>
      </c>
    </row>
    <row r="17" spans="1:2" ht="15.75" x14ac:dyDescent="0.25">
      <c r="A17" s="441" t="s">
        <v>312</v>
      </c>
    </row>
    <row r="18" spans="1:2" x14ac:dyDescent="0.25">
      <c r="A18" s="440" t="s">
        <v>314</v>
      </c>
    </row>
    <row r="19" spans="1:2" x14ac:dyDescent="0.25">
      <c r="A19" s="440" t="s">
        <v>315</v>
      </c>
    </row>
    <row r="21" spans="1:2" ht="15.75" x14ac:dyDescent="0.25">
      <c r="A21" s="441" t="s">
        <v>313</v>
      </c>
    </row>
    <row r="22" spans="1:2" x14ac:dyDescent="0.25">
      <c r="A22" s="440" t="s">
        <v>355</v>
      </c>
    </row>
    <row r="23" spans="1:2" x14ac:dyDescent="0.25">
      <c r="A23" s="440" t="s">
        <v>356</v>
      </c>
    </row>
    <row r="24" spans="1:2" x14ac:dyDescent="0.25">
      <c r="B24" s="480" t="s">
        <v>335</v>
      </c>
    </row>
    <row r="25" spans="1:2" x14ac:dyDescent="0.25">
      <c r="B25" s="481" t="s">
        <v>336</v>
      </c>
    </row>
    <row r="26" spans="1:2" x14ac:dyDescent="0.25">
      <c r="A26" s="440" t="s">
        <v>316</v>
      </c>
    </row>
    <row r="27" spans="1:2" x14ac:dyDescent="0.25">
      <c r="A27" s="440" t="s">
        <v>357</v>
      </c>
    </row>
    <row r="28" spans="1:2" x14ac:dyDescent="0.25">
      <c r="A28" s="479" t="s">
        <v>358</v>
      </c>
    </row>
    <row r="29" spans="1:2" x14ac:dyDescent="0.25">
      <c r="A29" s="479"/>
    </row>
    <row r="30" spans="1:2" ht="15.75" x14ac:dyDescent="0.25">
      <c r="A30" s="441" t="s">
        <v>384</v>
      </c>
    </row>
    <row r="31" spans="1:2" x14ac:dyDescent="0.25">
      <c r="A31" s="440" t="s">
        <v>390</v>
      </c>
    </row>
    <row r="32" spans="1:2" x14ac:dyDescent="0.25">
      <c r="A32" s="440" t="s">
        <v>391</v>
      </c>
    </row>
    <row r="33" spans="1:12" x14ac:dyDescent="0.25">
      <c r="A33" s="440" t="s">
        <v>392</v>
      </c>
    </row>
    <row r="35" spans="1:12" ht="15.75" x14ac:dyDescent="0.25">
      <c r="A35" s="441" t="s">
        <v>333</v>
      </c>
    </row>
    <row r="36" spans="1:12" x14ac:dyDescent="0.25">
      <c r="A36" s="440" t="s">
        <v>393</v>
      </c>
    </row>
    <row r="37" spans="1:12" x14ac:dyDescent="0.25">
      <c r="A37" s="440" t="s">
        <v>334</v>
      </c>
    </row>
    <row r="39" spans="1:12" x14ac:dyDescent="0.25">
      <c r="A39" s="442" t="s">
        <v>317</v>
      </c>
    </row>
    <row r="40" spans="1:12" x14ac:dyDescent="0.25">
      <c r="B40" s="453" t="s">
        <v>337</v>
      </c>
    </row>
    <row r="41" spans="1:12" x14ac:dyDescent="0.25">
      <c r="B41" s="443"/>
    </row>
    <row r="43" spans="1:12" x14ac:dyDescent="0.25">
      <c r="A43" s="483" t="s">
        <v>370</v>
      </c>
    </row>
    <row r="44" spans="1:12" x14ac:dyDescent="0.25">
      <c r="A44" s="482" t="s">
        <v>364</v>
      </c>
    </row>
    <row r="45" spans="1:12" x14ac:dyDescent="0.25">
      <c r="A45" s="482"/>
    </row>
    <row r="46" spans="1:12" ht="15.75" x14ac:dyDescent="0.25">
      <c r="A46" s="485" t="s">
        <v>359</v>
      </c>
      <c r="L46" s="494" t="s">
        <v>304</v>
      </c>
    </row>
    <row r="47" spans="1:12" x14ac:dyDescent="0.25">
      <c r="A47" s="490" t="s">
        <v>360</v>
      </c>
      <c r="B47" s="488"/>
      <c r="C47" s="488"/>
      <c r="L47" s="495" t="s">
        <v>385</v>
      </c>
    </row>
    <row r="48" spans="1:12" ht="15.75" x14ac:dyDescent="0.25">
      <c r="A48" s="490" t="s">
        <v>361</v>
      </c>
      <c r="B48" s="487"/>
      <c r="C48" s="487"/>
      <c r="D48" s="484"/>
      <c r="L48" s="493" t="s">
        <v>373</v>
      </c>
    </row>
    <row r="49" spans="1:12" ht="15.75" x14ac:dyDescent="0.25">
      <c r="A49" s="490" t="s">
        <v>362</v>
      </c>
      <c r="B49" s="487"/>
      <c r="C49" s="487"/>
      <c r="D49" s="484"/>
      <c r="L49" s="493" t="s">
        <v>371</v>
      </c>
    </row>
    <row r="50" spans="1:12" ht="15.75" x14ac:dyDescent="0.25">
      <c r="A50" s="490" t="s">
        <v>363</v>
      </c>
      <c r="B50" s="487"/>
      <c r="C50" s="487"/>
      <c r="D50" s="484"/>
      <c r="L50" s="493" t="s">
        <v>372</v>
      </c>
    </row>
    <row r="51" spans="1:12" x14ac:dyDescent="0.25">
      <c r="A51" s="490" t="s">
        <v>367</v>
      </c>
      <c r="B51" s="487"/>
      <c r="C51" s="487"/>
      <c r="D51" s="484"/>
    </row>
    <row r="52" spans="1:12" x14ac:dyDescent="0.25">
      <c r="A52" s="486"/>
      <c r="L52" s="495"/>
    </row>
    <row r="53" spans="1:12" ht="15.75" x14ac:dyDescent="0.25">
      <c r="A53" s="485" t="s">
        <v>365</v>
      </c>
    </row>
    <row r="54" spans="1:12" x14ac:dyDescent="0.25">
      <c r="A54" s="489" t="s">
        <v>366</v>
      </c>
    </row>
    <row r="55" spans="1:12" x14ac:dyDescent="0.25">
      <c r="A55" s="489" t="s">
        <v>374</v>
      </c>
      <c r="L55" s="492"/>
    </row>
    <row r="56" spans="1:12" x14ac:dyDescent="0.25">
      <c r="A56" s="489" t="s">
        <v>368</v>
      </c>
    </row>
  </sheetData>
  <sheetProtection password="CC2F" sheet="1" objects="1" scenarios="1"/>
  <hyperlinks>
    <hyperlink ref="B40" r:id="rId1"/>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4:O31"/>
  <sheetViews>
    <sheetView topLeftCell="A8" workbookViewId="0">
      <selection activeCell="N4" sqref="N4:O29"/>
    </sheetView>
  </sheetViews>
  <sheetFormatPr defaultRowHeight="15" x14ac:dyDescent="0.25"/>
  <sheetData>
    <row r="4" spans="1:15" x14ac:dyDescent="0.25">
      <c r="A4" s="159" t="str">
        <f>IFERROR(CONCATENATE("Zoom Window ",ROUND(-LBP*0.05,3),",",ROUND(Tools!Y_Shift_HB*1.05-SQRT((BREADTH/2)^2+DRAFT^2),3)," ",ROUND(Tools!X_SHIFT_BP*1.05+BREADTH/2,3),",",ROUND(DEPTH*1.05,3)),"")</f>
        <v>Zoom Window -6.585,-35.51 175.457,14.9</v>
      </c>
      <c r="B4" s="160" t="str">
        <f>Tools!L35</f>
        <v xml:space="preserve">Line 0,0 0,14.19  Line 3.2925,0 3.2925,14.19  Line 6.585,0 6.585,14.19  Line 9.8775,0 9.8775,14.19  Line 13.17,0 13.17,14.19  Line 19.755,0 19.755,14.19  Line 26.34,0 26.34,14.19  Line 32.925,0 32.925,14.19  Line 39.51,0 39.51,14.19  Line 46.095,0 46.095,14.19  Line 52.68,0 52.68,14.19  Line 59.265,0 59.265,14.19  Line 65.85,0 65.85,14.19  Line 72.435,0 72.435,14.19  Line 79.02,0 79.02,14.19  Line 85.605,0 85.605,14.19  Line 92.19,0 92.19,14.19  Line 98.775,0 98.775,14.19  Line 105.36,0 105.36,14.19  Line 111.945,0 111.945,14.19  Line 118.53,0 118.53,14.19  Line 121.8225,0 121.8225,14.19  Line 125.115,0 125.115,14.19  Line 128.4075,0 128.4075,14.19  Line 131.7,0 131.7,14.19  </v>
      </c>
      <c r="C4" s="161"/>
      <c r="D4" s="143"/>
      <c r="E4" s="159" t="str">
        <f>IFERROR(CONCATENATE("Zoom Window ",LBP*1.05*CAD!$G$2,",",DEPTH*1.05*CAD!$G$3," ",-LBP*0.05*CAD!$G$2,",",-DEPTH*0.05*CAD!$G$3," ",Tools!BV39,Tools!BZ39),"")</f>
        <v xml:space="preserve">Zoom Window 138.285,29.799 -6.585,-1.419 Line 0,0 0,28.38  Line 0,0 131.7,0  </v>
      </c>
      <c r="F4" s="160" t="str">
        <f>CONCATENATE(Tools!BV40,Tools!BZ40)</f>
        <v xml:space="preserve">Line 3.293,0 3.293,28.38  Line 0,1.8 131.7,1.8  </v>
      </c>
      <c r="H4" t="str">
        <f>Tools!ES125</f>
        <v>Zoom Window -13.17,0,0 144.87,14.7,15.609</v>
      </c>
      <c r="I4" t="s">
        <v>159</v>
      </c>
      <c r="K4" t="str">
        <f>Tools!GD125</f>
        <v>Zoom Window -13.17,0,0</v>
      </c>
      <c r="L4" t="str">
        <f>Tools!GE125</f>
        <v>144.87,14.7,15.609</v>
      </c>
      <c r="N4" t="str">
        <f>Tools!GH125</f>
        <v>Zoom Window -13.17,0,0</v>
      </c>
      <c r="O4" t="str">
        <f>Tools!GI125</f>
        <v>144.87,14.7,15.609</v>
      </c>
    </row>
    <row r="5" spans="1:15" x14ac:dyDescent="0.25">
      <c r="A5" s="162" t="str">
        <f>Tools!M35</f>
        <v xml:space="preserve">Line 0,0 131.7,0  Line 0,0.9 131.7,0.9  Line 0,1.8 131.7,1.8  Line 0,2.7 131.7,2.7  Line 0,3.6 131.7,3.6  Line 0,5.4 131.7,5.4  Line 0,7.2 131.7,7.2  Line 0,9 131.7,9  Line 0,10.1 131.7,10.1  Line 0,10.8 131.7,10.8  Line 0,12.6 131.7,12.6  Line 0,14.19 131.7,14.19  </v>
      </c>
      <c r="B5" s="163" t="str">
        <f>Tools!N35</f>
        <v xml:space="preserve">Line 0,-14.615 131.7,-14.615  Line 0,-10.532 131.7,-10.532  Line 0,-6.448 131.7,-6.448  </v>
      </c>
      <c r="C5" s="161"/>
      <c r="D5" s="143"/>
      <c r="E5" s="162" t="str">
        <f>CONCATENATE(Tools!BV41,Tools!BZ41)</f>
        <v xml:space="preserve">Line 6.585,0 6.585,28.38  Line 0,3.6 131.7,3.6  </v>
      </c>
      <c r="F5" s="163" t="str">
        <f>CONCATENATE(Tools!BV42,Tools!BZ42)</f>
        <v xml:space="preserve">Line 9.878,0 9.878,28.38  Line 0,5.4 131.7,5.4  </v>
      </c>
      <c r="H5" t="str">
        <f>Tools!ES126</f>
        <v>Spline 0,0,9.9 0,2.892,10.1 0,6.2,10.8 0,9.6,12.6 0,10.89,14.19  0,0,9.9</v>
      </c>
      <c r="I5" t="s">
        <v>159</v>
      </c>
      <c r="K5" t="str">
        <f>Tools!GD126</f>
        <v>Spline 0,10.89,14.19 0,9.6,12.6 0,6.2,10.8 0,2.892,10.1 0,0,9.90,0,9.9</v>
      </c>
      <c r="L5" s="6" t="str">
        <f>Tools!GE126</f>
        <v xml:space="preserve">0,-2.892,10.1 0,-6.2,10.8 0,-9.6,12.6 0,-10.89,14.19 </v>
      </c>
      <c r="N5" t="str">
        <f>Tools!GH126</f>
        <v xml:space="preserve">Spline 0,10.89,14.19 0,9.6,12.6 0,6.2,10.8 0,2.892,10.1 0,0,9.9 </v>
      </c>
      <c r="O5" t="str">
        <f>Tools!GI126</f>
        <v/>
      </c>
    </row>
    <row r="6" spans="1:15" x14ac:dyDescent="0.25">
      <c r="A6" s="162" t="str">
        <f>Tools!O35</f>
        <v xml:space="preserve">Line 0,-18.698 0,-6.448  Line 3.2925,-18.698 3.2925,-6.448  Line 6.585,-18.698 6.585,-6.448  Line 9.8775,-18.698 9.8775,-6.448  Line 13.17,-18.698 13.17,-6.448  Line 19.755,-18.698 19.755,-6.448  Line 26.34,-18.698 26.34,-6.448  Line 32.925,-18.698 32.925,-6.448  Line 39.51,-18.698 39.51,-6.448  Line 46.095,-18.698 46.095,-6.448  Line 52.68,-18.698 52.68,-6.448  Line 59.265,-18.698 59.265,-6.448  Line 65.85,-18.698 65.85,-6.448  Line 72.435,-18.698 72.435,-6.448  Line 79.02,-18.698 79.02,-6.448  Line 85.605,-18.698 85.605,-6.448  Line 92.19,-18.698 92.19,-6.448  Line 98.775,-18.698 98.775,-6.448  Line 105.36,-18.698 105.36,-6.448  Line 111.945,-18.698 111.945,-6.448  Line 118.53,-18.698 118.53,-6.448  Line 121.8225,-18.698 121.8225,-6.448  Line 125.115,-18.698 125.115,-6.448  Line 128.4075,-18.698 128.4075,-6.448  Line 131.7,-18.698 131.7,-6.448  </v>
      </c>
      <c r="B6" s="163" t="str">
        <f>Tools!P35</f>
        <v xml:space="preserve">Line 143.185,0 167.685,0  Line 143.185,0.9 167.685,0.9  Line 143.185,1.8 167.685,1.8  Line 143.185,2.7 167.685,2.7  Line 143.185,3.6 167.685,3.6  Line 143.185,5.4 167.685,5.4  Line 143.185,7.2 167.685,7.2  Line 143.185,9 167.685,9  Line 143.185,10.1 167.685,10.1  Line 143.185,10.8 167.685,10.8  Line 143.185,12.6 167.685,12.6  Line 143.185,14.19 167.685,14.19  </v>
      </c>
      <c r="C6" s="161"/>
      <c r="D6" s="143"/>
      <c r="E6" s="162" t="str">
        <f>CONCATENATE(Tools!BV43,Tools!BZ43)</f>
        <v xml:space="preserve">Line 13.17,0 13.17,28.38  Line 0,7.2 131.7,7.2  </v>
      </c>
      <c r="F6" s="163" t="str">
        <f>CONCATENATE(Tools!BV44,Tools!BZ44)</f>
        <v xml:space="preserve">Line 19.755,0 19.755,28.38  Line 0,10.8 131.7,10.8  </v>
      </c>
      <c r="H6" t="str">
        <f>Tools!ES127</f>
        <v xml:space="preserve">Spline 3.2925,0,8.9 3.293,0,8.9 3.293,1.2,9 3.293,6.8,10.1 3.293,8.46,10.8 3.293,10.63,12.6 3.293,11.52,14.19  </v>
      </c>
      <c r="I6" t="s">
        <v>159</v>
      </c>
      <c r="K6" t="str">
        <f>Tools!GD127</f>
        <v>Spline 3.293,11.52,14.19 3.293,10.63,12.6 3.293,8.46,10.8 3.293,6.8,10.1 3.293,1.2,9 3.293,0,8.9 3.2925,0,8.9</v>
      </c>
      <c r="L6" s="6" t="str">
        <f>Tools!GE127</f>
        <v xml:space="preserve">3.293,-1.2,9 3.293,-6.8,10.1 3.293,-8.46,10.8 3.293,-10.63,12.6 3.293,-11.52,14.19 </v>
      </c>
      <c r="N6" t="str">
        <f>Tools!GH127</f>
        <v xml:space="preserve">Spline 3.293,11.52,14.19 3.293,10.63,12.6 3.293,8.46,10.8 3.293,6.8,10.1 3.293,1.2,9 3.293,0,8.9 </v>
      </c>
      <c r="O6" t="str">
        <f>Tools!GI127</f>
        <v/>
      </c>
    </row>
    <row r="7" spans="1:15" x14ac:dyDescent="0.25">
      <c r="A7" s="162" t="str">
        <f>Tools!Q35</f>
        <v xml:space="preserve">Line 151.352,0 151.352,14.19  Line 147.268,0 147.268,14.19  Line 143.185,0 143.185,14.19  </v>
      </c>
      <c r="B7" s="163" t="str">
        <f>Tools!R35</f>
        <v xml:space="preserve">Line 159.518,0 159.518,14.19  Line 163.602,0 163.602,14.19  Line 167.685,0 167.685,14.19  </v>
      </c>
      <c r="C7" s="161"/>
      <c r="D7" s="143"/>
      <c r="E7" s="162" t="str">
        <f>CONCATENATE(Tools!BV45,Tools!BZ45)</f>
        <v xml:space="preserve">Line 26.34,0 26.34,28.38  Line 0,14.4 131.7,14.4  </v>
      </c>
      <c r="F7" s="163" t="str">
        <f>CONCATENATE(Tools!BV46,Tools!BZ46)</f>
        <v xml:space="preserve">Line 32.925,0 32.925,28.38  Line 0,18 131.7,18  </v>
      </c>
      <c r="H7" t="str">
        <f>Tools!ES128</f>
        <v xml:space="preserve">Spline 6.585,0,7.8 6.585,0,7.8 6.585,6.12,9 6.585,8.8,10.1 6.585,9.84,10.8 6.585,11.33,12.6 6.585,11.9,14.19  </v>
      </c>
      <c r="I7" t="s">
        <v>159</v>
      </c>
      <c r="K7" t="str">
        <f>Tools!GD128</f>
        <v>Spline 6.585,11.9,14.19 6.585,11.33,12.6 6.585,9.84,10.8 6.585,8.8,10.1 6.585,6.12,9 6.585,0,7.8 6.585,0,7.8</v>
      </c>
      <c r="L7" s="6" t="str">
        <f>Tools!GE128</f>
        <v xml:space="preserve">6.585,-6.12,9 6.585,-8.8,10.1 6.585,-9.84,10.8 6.585,-11.33,12.6 6.585,-11.9,14.19 </v>
      </c>
      <c r="N7" t="str">
        <f>Tools!GH128</f>
        <v xml:space="preserve">Spline 6.585,11.9,14.19 6.585,11.33,12.6 6.585,9.84,10.8 6.585,8.8,10.1 6.585,6.12,9 6.585,0,7.8 </v>
      </c>
      <c r="O7" t="str">
        <f>Tools!GI128</f>
        <v/>
      </c>
    </row>
    <row r="8" spans="1:15" x14ac:dyDescent="0.25">
      <c r="A8" s="162" t="str">
        <f>Tools!L36</f>
        <v xml:space="preserve">Line 0,-18.698 131.7,-18.698  </v>
      </c>
      <c r="B8" s="163" t="str">
        <f>Tools!M36</f>
        <v xml:space="preserve">Line 0,-34.575 131.7,-34.575  </v>
      </c>
      <c r="C8" s="161"/>
      <c r="D8" s="143"/>
      <c r="E8" s="162" t="str">
        <f>CONCATENATE(Tools!BV47,Tools!BZ47)</f>
        <v xml:space="preserve">Line 39.51,0 39.51,28.38  Line 0,20.2 131.7,20.2  </v>
      </c>
      <c r="F8" s="163" t="str">
        <f>CONCATENATE(Tools!BV48,Tools!BZ48)</f>
        <v xml:space="preserve">Line 46.095,0 46.095,28.38  Line 0,21.6 131.7,21.6  </v>
      </c>
      <c r="H8" t="str">
        <f>Tools!ES129</f>
        <v xml:space="preserve">Spline 9.8775,0,1.95 9.878,0,1.95 9.878,0.4,2.7 9.878,0.7,3.6 9.878,1.2,5.4 9.878,2.4,7.2 9.878,8.55,9 9.878,10.14,10.1 9.878,10.78,10.8 9.878,11.77,12.6 9.878,12.1,14.19  </v>
      </c>
      <c r="I8" t="s">
        <v>159</v>
      </c>
      <c r="K8" t="str">
        <f>Tools!GD129</f>
        <v>Spline 9.878,12.1,14.19 9.878,11.77,12.6 9.878,10.78,10.8 9.878,10.14,10.1 9.878,8.55,9 9.878,2.4,7.2 9.878,1.2,5.4 9.878,0.7,3.6 9.878,0.4,2.7 9.878,0,1.95 9.8775,0,1.95</v>
      </c>
      <c r="L8" s="6" t="str">
        <f>Tools!GE129</f>
        <v xml:space="preserve">9.878,-0.4,2.7 9.878,-0.7,3.6 9.878,-1.2,5.4 9.878,-2.4,7.2 9.878,-8.55,9 9.878,-10.14,10.1 9.878,-10.78,10.8 9.878,-11.77,12.6 9.878,-12.1,14.19 </v>
      </c>
      <c r="N8" t="str">
        <f>Tools!GH129</f>
        <v xml:space="preserve">Spline 9.878,12.1,14.19 9.878,11.77,12.6 9.878,10.78,10.8 9.878,10.14,10.1 9.878,8.55,9 9.878,2.4,7.2 9.878,1.2,5.4 9.878,0.7,3.6 9.878,0.4,2.7 9.878,0,1.95 </v>
      </c>
      <c r="O8" t="str">
        <f>Tools!GI129</f>
        <v/>
      </c>
    </row>
    <row r="9" spans="1:15" x14ac:dyDescent="0.25">
      <c r="A9" s="162" t="str">
        <f>Tools!N36</f>
        <v xml:space="preserve">Line 0,-18.698 0,-34.575  </v>
      </c>
      <c r="B9" s="163" t="str">
        <f>Tools!O36</f>
        <v xml:space="preserve">Line 131.7,-18.698 131.7,-34.575  </v>
      </c>
      <c r="C9" s="161"/>
      <c r="D9" s="143"/>
      <c r="E9" s="162" t="str">
        <f>CONCATENATE(Tools!BV49,Tools!BZ49)</f>
        <v xml:space="preserve">Line 52.68,0 52.68,28.38  Line 0,25.2 131.7,25.2  </v>
      </c>
      <c r="F9" s="163" t="str">
        <f>CONCATENATE(Tools!BV50,Tools!BZ50)</f>
        <v xml:space="preserve">Line 59.265,0 59.265,28.38  Line 0,28.38 131.7,28.38  </v>
      </c>
      <c r="H9" t="str">
        <f>Tools!ES130</f>
        <v xml:space="preserve">Spline 13.17,0,0.57 13.17,0,0.57 13.17,0.4,0.9 13.17,1.04,1.8 13.17,1.5,2.7 13.17,1.7,3.6 13.17,2.7,5.4 13.17,5.5,7.2 13.17,9.9,9 13.17,10.9,10.1 13.17,11.34,10.8 13.17,12,12.6 13.17,12.2,14.19  </v>
      </c>
      <c r="I9" t="s">
        <v>159</v>
      </c>
      <c r="K9" t="str">
        <f>Tools!GD130</f>
        <v>Spline 13.17,12.2,14.19 13.17,12,12.6 13.17,11.34,10.8 13.17,10.9,10.1 13.17,9.9,9 13.17,5.5,7.2 13.17,2.7,5.4 13.17,1.7,3.6 13.17,1.5,2.7 13.17,1.04,1.8 13.17,0.4,0.9 13.17,0,0.57 13.17,0,0.57</v>
      </c>
      <c r="L9" s="6" t="str">
        <f>Tools!GE130</f>
        <v xml:space="preserve">13.17,-0.4,0.9 13.17,-1.04,1.8 13.17,-1.5,2.7 13.17,-1.7,3.6 13.17,-2.7,5.4 13.17,-5.5,7.2 13.17,-9.9,9 13.17,-10.9,10.1 13.17,-11.34,10.8 13.17,-12,12.6 13.17,-12.2,14.19 </v>
      </c>
      <c r="N9" t="str">
        <f>Tools!GH130</f>
        <v xml:space="preserve">Spline 13.17,12.2,14.19 13.17,12,12.6 13.17,11.34,10.8 13.17,10.9,10.1 13.17,9.9,9 13.17,5.5,7.2 13.17,2.7,5.4 13.17,1.7,3.6 13.17,1.5,2.7 13.17,1.04,1.8 13.17,0.4,0.9 13.17,0,0.57 </v>
      </c>
      <c r="O9" t="str">
        <f>Tools!GI130</f>
        <v/>
      </c>
    </row>
    <row r="10" spans="1:15" x14ac:dyDescent="0.25">
      <c r="A10" s="540" t="str">
        <f>Tools!P36</f>
        <v xml:space="preserve">Line 155.435,0 155.435,14.19 </v>
      </c>
      <c r="B10" s="541"/>
      <c r="C10" s="161"/>
      <c r="D10" s="143"/>
      <c r="E10" s="162" t="str">
        <f>CONCATENATE(Tools!BV51,Tools!BZ51)</f>
        <v xml:space="preserve">Line 65.85,0 65.85,28.38  </v>
      </c>
      <c r="F10" s="163" t="str">
        <f>CONCATENATE(Tools!BV52,Tools!BZ52)</f>
        <v xml:space="preserve">Line 72.435,0 72.435,28.38  </v>
      </c>
      <c r="H10" t="str">
        <f ca="1">Tools!ES131</f>
        <v xml:space="preserve">Spline 19.755,0,0 19.755,0.3,0 19.755,1.67,0.9 19.755,2.3,1.8 19.755,2.7,2.7 19.755,3.1,3.6 19.755,5.7,5.4 19.755,9.7,7.2 19.755,11.23,9 19.755,11.7,10.1 19.755,11.93,10.8 19.755,12.21,12.6 19.755,12.23,14.19  </v>
      </c>
      <c r="I10" t="s">
        <v>159</v>
      </c>
      <c r="K10" t="str">
        <f ca="1">Tools!GD131</f>
        <v>Spline 19.755,12.23,14.19 19.755,12.21,12.6 19.755,11.93,10.8 19.755,11.7,10.1 19.755,11.23,9 19.755,9.7,7.2 19.755,5.7,5.4 19.755,3.1,3.6 19.755,2.7,2.7 19.755,2.3,1.8 19.755,1.67,0.9 19.755,0.3,0 19.755,0,0</v>
      </c>
      <c r="L10" s="6" t="str">
        <f>Tools!GE131</f>
        <v xml:space="preserve">19.755,-0.3,0 19.755,-1.67,0.9 19.755,-2.3,1.8 19.755,-2.7,2.7 19.755,-3.1,3.6 19.755,-5.7,5.4 19.755,-9.7,7.2 19.755,-11.23,9 19.755,-11.7,10.1 19.755,-11.93,10.8 19.755,-12.21,12.6 19.755,-12.23,14.19 </v>
      </c>
      <c r="N10" t="str">
        <f>Tools!GH131</f>
        <v xml:space="preserve">Spline 19.755,12.23,14.19 19.755,12.21,12.6 19.755,11.93,10.8 19.755,11.7,10.1 19.755,11.23,9 19.755,9.7,7.2 19.755,5.7,5.4 19.755,3.1,3.6 19.755,2.7,2.7 19.755,2.3,1.8 19.755,1.67,0.9 19.755,0.3,0 T 19.755,0,0 </v>
      </c>
      <c r="O10" t="str">
        <f>Tools!GI131</f>
        <v xml:space="preserve">Spline 19.755,0.3,0 19.755,0,0  Join 19.755,0,0  19.755,12.23,14.19 </v>
      </c>
    </row>
    <row r="11" spans="1:15" x14ac:dyDescent="0.25">
      <c r="A11" s="172" t="str">
        <f>IFERROR(CONCATENATE("Group Name Profile ",ROUND(LBP*1.05,3),",",ROUND(DEPTH*1.05,3)," ",ROUND(-LBP*0.05,3),",",-ROUND(DEPTH*0.05,3)," "),"")</f>
        <v xml:space="preserve">Group Name Profile 138.285,14.9 -6.585,-0.71 </v>
      </c>
      <c r="B11" s="163"/>
      <c r="C11" s="161"/>
      <c r="D11" s="143"/>
      <c r="E11" s="162" t="str">
        <f>CONCATENATE(Tools!BV53,Tools!BZ53)</f>
        <v xml:space="preserve">Line 79.02,0 79.02,28.38  </v>
      </c>
      <c r="F11" s="163" t="str">
        <f>CONCATENATE(Tools!BV54,Tools!BZ54)</f>
        <v xml:space="preserve">Line 85.605,0 85.605,28.38  </v>
      </c>
      <c r="H11" t="str">
        <f ca="1">Tools!ES132</f>
        <v xml:space="preserve">Spline 26.34,0,0 26.34,1,0 26.34,3.17,0.9 26.34,4.08,1.8 26.34,4.8,2.7 26.34,5.8,3.6 26.34,9.2,5.4 26.34,11.17,7.2 26.34,11.91,9 26.34,12.14,10.1 26.34,12.2,10.8 26.34,12.25,12.6 26.34,12.25,14.19  </v>
      </c>
      <c r="I11" t="s">
        <v>159</v>
      </c>
      <c r="K11" t="str">
        <f ca="1">Tools!GD132</f>
        <v>Spline 26.34,12.25,14.19 26.34,12.25,12.6 26.34,12.2,10.8 26.34,12.14,10.1 26.34,11.91,9 26.34,11.17,7.2 26.34,9.2,5.4 26.34,5.8,3.6 26.34,4.8,2.7 26.34,4.08,1.8 26.34,3.17,0.9 26.34,1,0 26.34,0,0</v>
      </c>
      <c r="L11" s="6" t="str">
        <f>Tools!GE132</f>
        <v xml:space="preserve">26.34,-1,0 26.34,-3.17,0.9 26.34,-4.08,1.8 26.34,-4.8,2.7 26.34,-5.8,3.6 26.34,-9.2,5.4 26.34,-11.17,7.2 26.34,-11.91,9 26.34,-12.14,10.1 26.34,-12.2,10.8 26.34,-12.25,12.6 26.34,-12.25,14.19 </v>
      </c>
      <c r="N11" t="str">
        <f>Tools!GH132</f>
        <v xml:space="preserve">Spline 26.34,12.25,14.19 26.34,12.25,12.6 26.34,12.2,10.8 26.34,12.14,10.1 26.34,11.91,9 26.34,11.17,7.2 26.34,9.2,5.4 26.34,5.8,3.6 26.34,4.8,2.7 26.34,4.08,1.8 26.34,3.17,0.9 26.34,1,0 T 26.34,0,0 </v>
      </c>
      <c r="O11" t="str">
        <f>Tools!GI132</f>
        <v xml:space="preserve">Spline 26.34,1,0 26.34,0,0  Join 26.34,0,0  26.34,12.25,14.19 </v>
      </c>
    </row>
    <row r="12" spans="1:15" x14ac:dyDescent="0.25">
      <c r="A12" s="172" t="str">
        <f>IFERROR(CONCATENATE("Group Name Halfbreadth ",ROUND(LBP*1.05,3),",",-ROUND((BREADTH/6+DEPTH/6)*0.95,3)," ",ROUND(-LBP*0.05,3),",",ROUND(-(DEPTH/6+10/6*BREADTH)*1.05,3)," "),"")</f>
        <v xml:space="preserve">Group Name Halfbreadth 138.285,-6.126 -6.585,-45.358 </v>
      </c>
      <c r="B12" s="163"/>
      <c r="C12" s="161"/>
      <c r="D12" s="143"/>
      <c r="E12" s="162" t="str">
        <f>CONCATENATE(Tools!BV55,Tools!BZ55)</f>
        <v xml:space="preserve">Line 92.19,0 92.19,28.38  </v>
      </c>
      <c r="F12" s="163" t="str">
        <f>CONCATENATE(Tools!BV56,Tools!BZ56)</f>
        <v xml:space="preserve">Line 98.775,0 98.775,28.38  </v>
      </c>
      <c r="H12" t="str">
        <f ca="1">Tools!ES133</f>
        <v xml:space="preserve">Spline 32.925,0,0 32.925,1.62,0 32.925,4.81,0.9 32.925,6.09,1.8 32.925,7.37,2.7 32.925,9.03,3.6 32.925,11.15,5.4 32.925,11.95,7.2 32.925,12.22,9 32.925,12.25,10.1 32.925,12.25,10.8 32.925,12.25,12.6 32.925,12.25,14.19  </v>
      </c>
      <c r="I12" t="s">
        <v>159</v>
      </c>
      <c r="K12" t="str">
        <f ca="1">Tools!GD133</f>
        <v>Spline 32.925,12.25,14.19 32.925,12.25,12.6 32.925,12.25,10.8 32.925,12.25,10.1 32.925,12.22,9 32.925,11.95,7.2 32.925,11.15,5.4 32.925,9.03,3.6 32.925,7.37,2.7 32.925,6.09,1.8 32.925,4.81,0.9 32.925,1.62,0 32.925,0,0</v>
      </c>
      <c r="L12" s="6" t="str">
        <f>Tools!GE133</f>
        <v xml:space="preserve">32.925,-1.62,0 32.925,-4.81,0.9 32.925,-6.09,1.8 32.925,-7.37,2.7 32.925,-9.03,3.6 32.925,-11.15,5.4 32.925,-11.95,7.2 32.925,-12.22,9 32.925,-12.25,10.1 32.925,-12.25,10.8 32.925,-12.25,12.6 32.925,-12.25,14.19 </v>
      </c>
      <c r="N12" t="str">
        <f>Tools!GH133</f>
        <v xml:space="preserve">Spline 32.925,12.25,14.19 32.925,12.25,12.6 32.925,12.25,10.8 32.925,12.25,10.1 32.925,12.22,9 32.925,11.95,7.2 32.925,11.15,5.4 32.925,9.03,3.6 32.925,7.37,2.7 32.925,6.09,1.8 32.925,4.81,0.9 32.925,1.62,0 T 32.925,0,0 </v>
      </c>
      <c r="O12" t="str">
        <f>Tools!GI133</f>
        <v xml:space="preserve">Spline 32.925,1.62,0 32.925,0,0  Join 32.925,0,0  32.925,12.25,14.19 </v>
      </c>
    </row>
    <row r="13" spans="1:15" x14ac:dyDescent="0.25">
      <c r="A13" s="173" t="str">
        <f>IFERROR(CONCATENATE("Group Name Bodyplan ",ROUND(Tools!X_SHIFT_BP+BREADTH*1.1/2,3),",",ROUND(DEPTH*1.05,3)," ",ROUND((Tools!X_SHIFT_BP-1.05*BREADTH/2),3),",",-ROUND((DEPTH)*0.05,3)," "),"")</f>
        <v xml:space="preserve">Group Name Bodyplan 168.91,14.9 142.573,-0.71 </v>
      </c>
      <c r="B13" s="174"/>
      <c r="C13" s="161"/>
      <c r="D13" s="143"/>
      <c r="E13" s="162" t="str">
        <f>CONCATENATE(Tools!BV57,Tools!BZ57)</f>
        <v xml:space="preserve">Line 105.36,0 105.36,28.38  </v>
      </c>
      <c r="F13" s="163" t="str">
        <f>CONCATENATE(Tools!BV58,Tools!BZ58)</f>
        <v xml:space="preserve">Line 111.945,0 111.945,28.38  </v>
      </c>
      <c r="H13" t="str">
        <f ca="1">Tools!ES134</f>
        <v xml:space="preserve">Spline 39.51,0,0 39.51,2.2,0 39.51,6.59,0.9 39.51,8.34,1.8 39.51,9.82,2.7 39.51,10.92,3.6 39.51,11.97,5.4 39.51,12.25,7.2 39.51,12.25,9 39.51,12.25,10.1 39.51,12.25,10.8 39.51,12.25,12.6 39.51,12.25,14.19  </v>
      </c>
      <c r="I13" t="s">
        <v>159</v>
      </c>
      <c r="K13" t="str">
        <f ca="1">Tools!GD134</f>
        <v>Spline 39.51,12.25,14.19 39.51,12.25,12.6 39.51,12.25,10.8 39.51,12.25,10.1 39.51,12.25,9 39.51,12.25,7.2 39.51,11.97,5.4 39.51,10.92,3.6 39.51,9.82,2.7 39.51,8.34,1.8 39.51,6.59,0.9 39.51,2.2,0 39.51,0,0</v>
      </c>
      <c r="L13" s="6" t="str">
        <f>Tools!GE134</f>
        <v xml:space="preserve">39.51,-2.2,0 39.51,-6.59,0.9 39.51,-8.34,1.8 39.51,-9.82,2.7 39.51,-10.92,3.6 39.51,-11.97,5.4 39.51,-12.25,7.2 39.51,-12.25,9 39.51,-12.25,10.1 39.51,-12.25,10.8 39.51,-12.25,12.6 39.51,-12.25,14.19 </v>
      </c>
      <c r="N13" t="str">
        <f>Tools!GH134</f>
        <v xml:space="preserve">Spline 39.51,12.25,14.19 39.51,12.25,12.6 39.51,12.25,10.8 39.51,12.25,10.1 39.51,12.25,9 39.51,12.25,7.2 39.51,11.97,5.4 39.51,10.92,3.6 39.51,9.82,2.7 39.51,8.34,1.8 39.51,6.59,0.9 39.51,2.2,0 T 39.51,0,0 </v>
      </c>
      <c r="O13" t="str">
        <f>Tools!GI134</f>
        <v xml:space="preserve">Spline 39.51,2.2,0 39.51,0,0  Join 39.51,0,0  39.51,12.25,14.19 </v>
      </c>
    </row>
    <row r="14" spans="1:15" x14ac:dyDescent="0.25">
      <c r="A14" s="143"/>
      <c r="B14" s="143"/>
      <c r="C14" s="143"/>
      <c r="D14" s="143"/>
      <c r="E14" s="162" t="str">
        <f>CONCATENATE(Tools!BV59,Tools!BZ59)</f>
        <v xml:space="preserve">Line 118.53,0 118.53,28.38  </v>
      </c>
      <c r="F14" s="163" t="str">
        <f>CONCATENATE(Tools!BV60,Tools!BZ60)</f>
        <v xml:space="preserve">Line 121.823,0 121.823,28.38  </v>
      </c>
      <c r="H14" t="str">
        <f ca="1">Tools!ES135</f>
        <v xml:space="preserve">Spline 46.095,0,0 46.095,3.71,0 46.095,8.58,0.9 46.095,10.26,1.8 46.095,11.25,2.7 46.095,11.86,3.6 46.095,12.25,5.4 46.095,12.25,7.2 46.095,12.25,9 46.095,12.25,10.1 46.095,12.25,10.8 46.095,12.25,12.6 46.095,12.25,14.19  </v>
      </c>
      <c r="I14" t="s">
        <v>159</v>
      </c>
      <c r="K14" t="str">
        <f ca="1">Tools!GD135</f>
        <v>Spline 46.095,12.25,14.19 46.095,12.25,12.6 46.095,12.25,10.8 46.095,12.25,10.1 46.095,12.25,9 46.095,12.25,7.2 46.095,12.25,5.4 46.095,11.86,3.6 46.095,11.25,2.7 46.095,10.26,1.8 46.095,8.58,0.9 46.095,3.71,0 46.095,0,0</v>
      </c>
      <c r="L14" s="6" t="str">
        <f>Tools!GE135</f>
        <v xml:space="preserve">46.095,-3.71,0 46.095,-8.58,0.9 46.095,-10.26,1.8 46.095,-11.25,2.7 46.095,-11.86,3.6 46.095,-12.25,5.4 46.095,-12.25,7.2 46.095,-12.25,9 46.095,-12.25,10.1 46.095,-12.25,10.8 46.095,-12.25,12.6 46.095,-12.25,14.19 </v>
      </c>
      <c r="N14" t="str">
        <f>Tools!GH135</f>
        <v xml:space="preserve">Spline 46.095,12.25,14.19 46.095,12.25,12.6 46.095,12.25,10.8 46.095,12.25,10.1 46.095,12.25,9 46.095,12.25,7.2 46.095,12.25,5.4 46.095,11.86,3.6 46.095,11.25,2.7 46.095,10.26,1.8 46.095,8.58,0.9 46.095,3.71,0 T 46.095,0,0 </v>
      </c>
      <c r="O14" t="str">
        <f>Tools!GI135</f>
        <v xml:space="preserve">Spline 46.095,3.71,0 46.095,0,0  Join 46.095,0,0  46.095,12.25,14.19 </v>
      </c>
    </row>
    <row r="15" spans="1:15" x14ac:dyDescent="0.25">
      <c r="A15" s="143"/>
      <c r="B15" s="143"/>
      <c r="C15" s="143"/>
      <c r="D15" s="143"/>
      <c r="E15" s="162" t="str">
        <f>CONCATENATE(Tools!BV61,Tools!BZ61)</f>
        <v xml:space="preserve">Line 125.115,0 125.115,28.38  </v>
      </c>
      <c r="F15" s="163" t="str">
        <f>CONCATENATE(Tools!BV62,Tools!BZ62)</f>
        <v xml:space="preserve">Line 128.408,0 128.408,28.38  </v>
      </c>
      <c r="H15" t="str">
        <f ca="1">Tools!ES136</f>
        <v xml:space="preserve">Spline 52.68,0,0 52.68,5.9,0 52.68,10.16,0.9 52.68,11.35,1.8 52.68,11.9,2.7 52.68,12.18,3.6 52.68,12.25,5.4 52.68,12.25,7.2 52.68,12.25,9 52.68,12.25,10.1 52.68,12.25,10.8 52.68,12.25,12.6 52.68,12.25,14.19  </v>
      </c>
      <c r="I15" t="s">
        <v>159</v>
      </c>
      <c r="K15" t="str">
        <f ca="1">Tools!GD136</f>
        <v>Spline 52.68,12.25,14.19 52.68,12.25,12.6 52.68,12.25,10.8 52.68,12.25,10.1 52.68,12.25,9 52.68,12.25,7.2 52.68,12.25,5.4 52.68,12.18,3.6 52.68,11.9,2.7 52.68,11.35,1.8 52.68,10.16,0.9 52.68,5.9,0 52.68,0,0</v>
      </c>
      <c r="L15" s="6" t="str">
        <f>Tools!GE136</f>
        <v xml:space="preserve">52.68,-5.9,0 52.68,-10.16,0.9 52.68,-11.35,1.8 52.68,-11.9,2.7 52.68,-12.18,3.6 52.68,-12.25,5.4 52.68,-12.25,7.2 52.68,-12.25,9 52.68,-12.25,10.1 52.68,-12.25,10.8 52.68,-12.25,12.6 52.68,-12.25,14.19 </v>
      </c>
      <c r="N15" t="str">
        <f>Tools!GH136</f>
        <v xml:space="preserve">Spline 52.68,12.25,14.19 52.68,12.25,12.6 52.68,12.25,10.8 52.68,12.25,10.1 52.68,12.25,9 52.68,12.25,7.2 52.68,12.25,5.4 52.68,12.18,3.6 52.68,11.9,2.7 52.68,11.35,1.8 52.68,10.16,0.9 52.68,5.9,0 T 52.68,0,0 </v>
      </c>
      <c r="O15" t="str">
        <f>Tools!GI136</f>
        <v xml:space="preserve">Spline 52.68,5.9,0 52.68,0,0  Join 52.68,0,0  52.68,12.25,14.19 </v>
      </c>
    </row>
    <row r="16" spans="1:15" x14ac:dyDescent="0.25">
      <c r="A16" s="143"/>
      <c r="B16" s="143"/>
      <c r="C16" s="143"/>
      <c r="D16" s="143"/>
      <c r="E16" s="175" t="str">
        <f>CONCATENATE(Tools!BV63,Tools!BZ63)</f>
        <v xml:space="preserve">Line 131.7,0 131.7,28.38  </v>
      </c>
      <c r="F16" s="174"/>
      <c r="H16" t="str">
        <f ca="1">Tools!ES137</f>
        <v xml:space="preserve">Spline 59.265,0,0 59.265,7.2,0 59.265,10.78,0.9 59.265,11.72,1.8 59.265,12.12,2.7 59.265,12.25,3.6 59.265,12.25,5.4 59.265,12.25,7.2 59.265,12.25,9 59.265,12.25,10.1 59.265,12.25,10.8 59.265,12.25,12.6 59.265,12.25,14.19  </v>
      </c>
      <c r="I16" t="s">
        <v>159</v>
      </c>
      <c r="K16" t="str">
        <f ca="1">Tools!GD137</f>
        <v>Spline 59.265,12.25,14.19 59.265,12.25,12.6 59.265,12.25,10.8 59.265,12.25,10.1 59.265,12.25,9 59.265,12.25,7.2 59.265,12.25,5.4 59.265,12.25,3.6 59.265,12.12,2.7 59.265,11.72,1.8 59.265,10.78,0.9 59.265,7.2,0 59.265,0,0</v>
      </c>
      <c r="L16" s="6" t="str">
        <f>Tools!GE137</f>
        <v xml:space="preserve">59.265,-7.2,0 59.265,-10.78,0.9 59.265,-11.72,1.8 59.265,-12.12,2.7 59.265,-12.25,3.6 59.265,-12.25,5.4 59.265,-12.25,7.2 59.265,-12.25,9 59.265,-12.25,10.1 59.265,-12.25,10.8 59.265,-12.25,12.6 59.265,-12.25,14.19 </v>
      </c>
      <c r="N16" t="str">
        <f>Tools!GH137</f>
        <v xml:space="preserve">Spline 59.265,12.25,14.19 59.265,12.25,12.6 59.265,12.25,10.8 59.265,12.25,10.1 59.265,12.25,9 59.265,12.25,7.2 59.265,12.25,5.4 59.265,12.25,3.6 59.265,12.12,2.7 59.265,11.72,1.8 59.265,10.78,0.9 59.265,7.2,0 T 59.265,0,0 </v>
      </c>
      <c r="O16" t="str">
        <f>Tools!GI137</f>
        <v xml:space="preserve">Spline 59.265,7.2,0 59.265,0,0  Join 59.265,0,0  59.265,12.25,14.19 </v>
      </c>
    </row>
    <row r="17" spans="8:15" x14ac:dyDescent="0.25">
      <c r="H17" t="str">
        <f ca="1">Tools!ES138</f>
        <v xml:space="preserve">Spline 65.85,0,0 65.85,8.25,0 65.85,10.84,0.9 65.85,11.76,1.8 65.85,12.14,2.7 65.85,12.25,3.6 65.85,12.25,5.4 65.85,12.25,7.2 65.85,12.25,9 65.85,12.25,10.1 65.85,12.25,10.8 65.85,12.25,12.6 65.85,12.25,14.19  </v>
      </c>
      <c r="I17" t="s">
        <v>159</v>
      </c>
      <c r="K17" t="str">
        <f ca="1">Tools!GD138</f>
        <v>Spline 65.85,12.25,14.19 65.85,12.25,12.6 65.85,12.25,10.8 65.85,12.25,10.1 65.85,12.25,9 65.85,12.25,7.2 65.85,12.25,5.4 65.85,12.25,3.6 65.85,12.14,2.7 65.85,11.76,1.8 65.85,10.84,0.9 65.85,8.25,0 65.85,0,0</v>
      </c>
      <c r="L17" s="6" t="str">
        <f>Tools!GE138</f>
        <v xml:space="preserve">65.85,-8.25,0 65.85,-10.84,0.9 65.85,-11.76,1.8 65.85,-12.14,2.7 65.85,-12.25,3.6 65.85,-12.25,5.4 65.85,-12.25,7.2 65.85,-12.25,9 65.85,-12.25,10.1 65.85,-12.25,10.8 65.85,-12.25,12.6 65.85,-12.25,14.19 </v>
      </c>
      <c r="N17" t="str">
        <f>Tools!GH138</f>
        <v xml:space="preserve">Spline 65.85,12.25,14.19 65.85,12.25,12.6 65.85,12.25,10.8 65.85,12.25,10.1 65.85,12.25,9 65.85,12.25,7.2 65.85,12.25,5.4 65.85,12.25,3.6 65.85,12.14,2.7 65.85,11.76,1.8 65.85,10.84,0.9 65.85,8.25,0 T 65.85,0,0 </v>
      </c>
      <c r="O17" t="str">
        <f>Tools!GI138</f>
        <v xml:space="preserve">Spline 65.85,8.25,0 65.85,0,0  Join 65.85,0,0  65.85,12.25,14.19 </v>
      </c>
    </row>
    <row r="18" spans="8:15" x14ac:dyDescent="0.25">
      <c r="H18" t="str">
        <f ca="1">Tools!ES139</f>
        <v xml:space="preserve">Spline 72.435,0,0 72.435,8.6,0 72.435,10.65,0.9 72.435,11.62,1.8 72.435,12.04,2.7 72.435,12.21,3.6 72.435,12.25,5.4 72.435,12.25,7.2 72.435,12.25,9 72.435,12.25,10.1 72.435,12.25,10.8 72.435,12.25,12.6 72.435,12.25,14.19  </v>
      </c>
      <c r="I18" t="s">
        <v>159</v>
      </c>
      <c r="K18" t="str">
        <f ca="1">Tools!GD139</f>
        <v>Spline 72.435,12.25,14.19 72.435,12.25,12.6 72.435,12.25,10.8 72.435,12.25,10.1 72.435,12.25,9 72.435,12.25,7.2 72.435,12.25,5.4 72.435,12.21,3.6 72.435,12.04,2.7 72.435,11.62,1.8 72.435,10.65,0.9 72.435,8.6,0 72.435,0,0</v>
      </c>
      <c r="L18" s="6" t="str">
        <f>Tools!GE139</f>
        <v xml:space="preserve">72.435,-8.6,0 72.435,-10.65,0.9 72.435,-11.62,1.8 72.435,-12.04,2.7 72.435,-12.21,3.6 72.435,-12.25,5.4 72.435,-12.25,7.2 72.435,-12.25,9 72.435,-12.25,10.1 72.435,-12.25,10.8 72.435,-12.25,12.6 72.435,-12.25,14.19 </v>
      </c>
      <c r="N18" t="str">
        <f>Tools!GH139</f>
        <v xml:space="preserve">Spline 72.435,12.25,14.19 72.435,12.25,12.6 72.435,12.25,10.8 72.435,12.25,10.1 72.435,12.25,9 72.435,12.25,7.2 72.435,12.25,5.4 72.435,12.21,3.6 72.435,12.04,2.7 72.435,11.62,1.8 72.435,10.65,0.9 72.435,8.6,0 T 72.435,0,0 </v>
      </c>
      <c r="O18" t="str">
        <f>Tools!GI139</f>
        <v xml:space="preserve">Spline 72.435,8.6,0 72.435,0,0  Join 72.435,0,0  72.435,12.25,14.19 </v>
      </c>
    </row>
    <row r="19" spans="8:15" x14ac:dyDescent="0.25">
      <c r="H19" t="str">
        <f ca="1">Tools!ES140</f>
        <v xml:space="preserve">Spline 79.02,0,0 79.02,7.85,0 79.02,10.02,0.9 79.02,11.1,1.8 79.02,11.63,2.7 79.02,11.92,3.6 79.02,12.2,5.4 79.02,12.25,7.2 79.02,12.25,9 79.02,12.25,10.1 79.02,12.25,10.8 79.02,12.25,12.6 79.02,12.25,14.19  </v>
      </c>
      <c r="I19" t="s">
        <v>159</v>
      </c>
      <c r="K19" t="str">
        <f ca="1">Tools!GD140</f>
        <v>Spline 79.02,12.25,14.19 79.02,12.25,12.6 79.02,12.25,10.8 79.02,12.25,10.1 79.02,12.25,9 79.02,12.25,7.2 79.02,12.2,5.4 79.02,11.92,3.6 79.02,11.63,2.7 79.02,11.1,1.8 79.02,10.02,0.9 79.02,7.85,0 79.02,0,0</v>
      </c>
      <c r="L19" s="6" t="str">
        <f>Tools!GE140</f>
        <v xml:space="preserve">79.02,-7.85,0 79.02,-10.02,0.9 79.02,-11.1,1.8 79.02,-11.63,2.7 79.02,-11.92,3.6 79.02,-12.2,5.4 79.02,-12.25,7.2 79.02,-12.25,9 79.02,-12.25,10.1 79.02,-12.25,10.8 79.02,-12.25,12.6 79.02,-12.25,14.19 </v>
      </c>
      <c r="N19" t="str">
        <f>Tools!GH140</f>
        <v xml:space="preserve">Spline 79.02,12.25,14.19 79.02,12.25,12.6 79.02,12.25,10.8 79.02,12.25,10.1 79.02,12.25,9 79.02,12.25,7.2 79.02,12.2,5.4 79.02,11.92,3.6 79.02,11.63,2.7 79.02,11.1,1.8 79.02,10.02,0.9 79.02,7.85,0 T 79.02,0,0 </v>
      </c>
      <c r="O19" t="str">
        <f>Tools!GI140</f>
        <v xml:space="preserve">Spline 79.02,7.85,0 79.02,0,0  Join 79.02,0,0  79.02,12.25,14.19 </v>
      </c>
    </row>
    <row r="20" spans="8:15" x14ac:dyDescent="0.25">
      <c r="H20" t="str">
        <f ca="1">Tools!ES141</f>
        <v xml:space="preserve">Spline 85.605,0,0 85.605,6.7,0 85.605,8.84,0.9 85.605,10.03,1.8 85.605,10.68,2.7 85.605,11.1,3.6 85.605,11.64,5.4 85.605,11.97,7.2 85.605,12.18,9 85.605,12.22,10.1 85.605,12.23,10.8 85.605,12.23,12.6 85.605,12.25,14.19  </v>
      </c>
      <c r="I20" t="s">
        <v>159</v>
      </c>
      <c r="K20" t="str">
        <f ca="1">Tools!GD141</f>
        <v>Spline 85.605,12.25,14.19 85.605,12.23,12.6 85.605,12.23,10.8 85.605,12.22,10.1 85.605,12.18,9 85.605,11.97,7.2 85.605,11.64,5.4 85.605,11.1,3.6 85.605,10.68,2.7 85.605,10.03,1.8 85.605,8.84,0.9 85.605,6.7,0 85.605,0,0</v>
      </c>
      <c r="L20" s="6" t="str">
        <f>Tools!GE141</f>
        <v xml:space="preserve">85.605,-6.7,0 85.605,-8.84,0.9 85.605,-10.03,1.8 85.605,-10.68,2.7 85.605,-11.1,3.6 85.605,-11.64,5.4 85.605,-11.97,7.2 85.605,-12.18,9 85.605,-12.22,10.1 85.605,-12.23,10.8 85.605,-12.23,12.6 85.605,-12.25,14.19 </v>
      </c>
      <c r="N20" t="str">
        <f>Tools!GH141</f>
        <v xml:space="preserve">Spline 85.605,12.25,14.19 85.605,12.23,12.6 85.605,12.23,10.8 85.605,12.22,10.1 85.605,12.18,9 85.605,11.97,7.2 85.605,11.64,5.4 85.605,11.1,3.6 85.605,10.68,2.7 85.605,10.03,1.8 85.605,8.84,0.9 85.605,6.7,0 T 85.605,0,0 </v>
      </c>
      <c r="O20" t="str">
        <f>Tools!GI141</f>
        <v xml:space="preserve">Spline 85.605,6.7,0 85.605,0,0  Join 85.605,0,0  85.605,12.25,14.19 </v>
      </c>
    </row>
    <row r="21" spans="8:15" x14ac:dyDescent="0.25">
      <c r="H21" t="str">
        <f ca="1">Tools!ES142</f>
        <v xml:space="preserve">Spline 92.19,0,0 92.19,5.35,0 92.19,7.29,0.9 92.19,8.15,1.8 92.19,9.25,2.7 92.19,9.75,3.6 92.19,10.5,5.4 92.19,11.06,7.2 92.19,11.46,9 92.19,11.67,10.1 92.19,11.79,10.8 92.19,12.07,12.6 92.19,12.23,14.19  </v>
      </c>
      <c r="I21" t="s">
        <v>159</v>
      </c>
      <c r="K21" t="str">
        <f ca="1">Tools!GD142</f>
        <v>Spline 92.19,12.23,14.19 92.19,12.07,12.6 92.19,11.79,10.8 92.19,11.67,10.1 92.19,11.46,9 92.19,11.06,7.2 92.19,10.5,5.4 92.19,9.75,3.6 92.19,9.25,2.7 92.19,8.15,1.8 92.19,7.29,0.9 92.19,5.35,0 92.19,0,0</v>
      </c>
      <c r="L21" s="6" t="str">
        <f>Tools!GE142</f>
        <v xml:space="preserve">92.19,-5.35,0 92.19,-7.29,0.9 92.19,-8.15,1.8 92.19,-9.25,2.7 92.19,-9.75,3.6 92.19,-10.5,5.4 92.19,-11.06,7.2 92.19,-11.46,9 92.19,-11.67,10.1 92.19,-11.79,10.8 92.19,-12.07,12.6 92.19,-12.23,14.19 </v>
      </c>
      <c r="N21" t="str">
        <f>Tools!GH142</f>
        <v xml:space="preserve">Spline 92.19,12.23,14.19 92.19,12.07,12.6 92.19,11.79,10.8 92.19,11.67,10.1 92.19,11.46,9 92.19,11.06,7.2 92.19,10.5,5.4 92.19,9.75,3.6 92.19,9.25,2.7 92.19,8.15,1.8 92.19,7.29,0.9 92.19,5.35,0 T 92.19,0,0 </v>
      </c>
      <c r="O21" t="str">
        <f>Tools!GI142</f>
        <v xml:space="preserve">Spline 92.19,5.35,0 92.19,0,0  Join 92.19,0,0  92.19,12.23,14.19 </v>
      </c>
    </row>
    <row r="22" spans="8:15" x14ac:dyDescent="0.25">
      <c r="H22" t="str">
        <f ca="1">Tools!ES143</f>
        <v xml:space="preserve">Spline 98.775,0,0 98.775,3.8,0 98.775,5.65,0.9 98.775,6.8,1.8 98.775,7.54,2.7 98.775,8.08,3.6 98.775,8.91,5.4 98.775,9.64,7.2 98.775,10.26,9 98.775,10.6,10.1 98.775,10.8,10.8 98.775,11.29,12.6 98.775,12.15,14.19  </v>
      </c>
      <c r="I22" t="s">
        <v>159</v>
      </c>
      <c r="K22" t="str">
        <f ca="1">Tools!GD143</f>
        <v>Spline 98.775,12.15,14.19 98.775,11.29,12.6 98.775,10.8,10.8 98.775,10.6,10.1 98.775,10.26,9 98.775,9.64,7.2 98.775,8.91,5.4 98.775,8.08,3.6 98.775,7.54,2.7 98.775,6.8,1.8 98.775,5.65,0.9 98.775,3.8,0 98.775,0,0</v>
      </c>
      <c r="L22" s="6" t="str">
        <f>Tools!GE143</f>
        <v xml:space="preserve">98.775,-3.8,0 98.775,-5.65,0.9 98.775,-6.8,1.8 98.775,-7.54,2.7 98.775,-8.08,3.6 98.775,-8.91,5.4 98.775,-9.64,7.2 98.775,-10.26,9 98.775,-10.6,10.1 98.775,-10.8,10.8 98.775,-11.29,12.6 98.775,-12.15,14.19 </v>
      </c>
      <c r="N22" t="str">
        <f>Tools!GH143</f>
        <v xml:space="preserve">Spline 98.775,12.15,14.19 98.775,11.29,12.6 98.775,10.8,10.8 98.775,10.6,10.1 98.775,10.26,9 98.775,9.64,7.2 98.775,8.91,5.4 98.775,8.08,3.6 98.775,7.54,2.7 98.775,6.8,1.8 98.775,5.65,0.9 98.775,3.8,0 T 98.775,0,0 </v>
      </c>
      <c r="O22" t="str">
        <f>Tools!GI143</f>
        <v xml:space="preserve">Spline 98.775,3.8,0 98.775,0,0  Join 98.775,0,0  98.775,12.15,14.19 </v>
      </c>
    </row>
    <row r="23" spans="8:15" x14ac:dyDescent="0.25">
      <c r="H23" t="str">
        <f ca="1">Tools!ES144</f>
        <v xml:space="preserve">Spline 105.36,0,0 105.36,2.22,0 105.36,4.05,0.9 105.36,5.1,1.8 105.36,5.74,2.7 105.36,6.23,3.6 105.36,7.02,5.4 105.36,7.81,7.2 105.36,8.63,9 105.36,9.12,10.1 105.36,9.43,10.8 105.36,10.2,12.6 105.36,11.75,14.19  </v>
      </c>
      <c r="I23" t="s">
        <v>159</v>
      </c>
      <c r="K23" t="str">
        <f ca="1">Tools!GD144</f>
        <v>Spline 105.36,11.75,14.19 105.36,10.2,12.6 105.36,9.43,10.8 105.36,9.12,10.1 105.36,8.63,9 105.36,7.81,7.2 105.36,7.02,5.4 105.36,6.23,3.6 105.36,5.74,2.7 105.36,5.1,1.8 105.36,4.05,0.9 105.36,2.22,0 105.36,0,0</v>
      </c>
      <c r="L23" s="6" t="str">
        <f>Tools!GE144</f>
        <v xml:space="preserve">105.36,-2.22,0 105.36,-4.05,0.9 105.36,-5.1,1.8 105.36,-5.74,2.7 105.36,-6.23,3.6 105.36,-7.02,5.4 105.36,-7.81,7.2 105.36,-8.63,9 105.36,-9.12,10.1 105.36,-9.43,10.8 105.36,-10.2,12.6 105.36,-11.75,14.19 </v>
      </c>
      <c r="N23" t="str">
        <f>Tools!GH144</f>
        <v xml:space="preserve">Spline 105.36,11.75,14.19 105.36,10.2,12.6 105.36,9.43,10.8 105.36,9.12,10.1 105.36,8.63,9 105.36,7.81,7.2 105.36,7.02,5.4 105.36,6.23,3.6 105.36,5.74,2.7 105.36,5.1,1.8 105.36,4.05,0.9 105.36,2.22,0 T 105.36,0,0 </v>
      </c>
      <c r="O23" t="str">
        <f>Tools!GI144</f>
        <v xml:space="preserve">Spline 105.36,2.22,0 105.36,0,0  Join 105.36,0,0  105.36,11.75,14.19 </v>
      </c>
    </row>
    <row r="24" spans="8:15" x14ac:dyDescent="0.25">
      <c r="H24" t="str">
        <f ca="1">Tools!ES145</f>
        <v xml:space="preserve">Spline 111.945,0,0 111.945,0.65,0 111.945,2.63,0.9 111.945,3.52,1.8 111.945,4.06,2.7 111.945,4.43,3.6 111.945,5.03,5.4 111.945,5.69,7.2 111.945,6.59,9 111.945,7.22,10.1 111.945,7.64,10.8 111.945,8.73,12.6 111.945,10.94,14.19  </v>
      </c>
      <c r="I24" t="s">
        <v>159</v>
      </c>
      <c r="K24" t="str">
        <f ca="1">Tools!GD145</f>
        <v>Spline 111.945,10.94,14.19 111.945,8.73,12.6 111.945,7.64,10.8 111.945,7.22,10.1 111.945,6.59,9 111.945,5.69,7.2 111.945,5.03,5.4 111.945,4.43,3.6 111.945,4.06,2.7 111.945,3.52,1.8 111.945,2.63,0.9 111.945,0.65,0 111.945,0,0</v>
      </c>
      <c r="L24" s="6" t="str">
        <f>Tools!GE145</f>
        <v xml:space="preserve">111.945,-0.65,0 111.945,-2.63,0.9 111.945,-3.52,1.8 111.945,-4.06,2.7 111.945,-4.43,3.6 111.945,-5.03,5.4 111.945,-5.69,7.2 111.945,-6.59,9 111.945,-7.22,10.1 111.945,-7.64,10.8 111.945,-8.73,12.6 111.945,-10.94,14.19 </v>
      </c>
      <c r="N24" t="str">
        <f>Tools!GH145</f>
        <v xml:space="preserve">Spline 111.945,10.94,14.19 111.945,8.73,12.6 111.945,7.64,10.8 111.945,7.22,10.1 111.945,6.59,9 111.945,5.69,7.2 111.945,5.03,5.4 111.945,4.43,3.6 111.945,4.06,2.7 111.945,3.52,1.8 111.945,2.63,0.9 111.945,0.65,0 T 111.945,0,0 </v>
      </c>
      <c r="O24" t="str">
        <f>Tools!GI145</f>
        <v xml:space="preserve">Spline 111.945,0.65,0 111.945,0,0  Join 111.945,0,0  111.945,10.94,14.19 </v>
      </c>
    </row>
    <row r="25" spans="8:15" x14ac:dyDescent="0.25">
      <c r="H25" t="str">
        <f ca="1">Tools!ES146</f>
        <v xml:space="preserve">Spline 118.53,0,0 118.53,0,0 118.53,1.49,0.9 118.53,2.23,1.8 118.53,2.69,2.7 118.53,2.97,3.6 118.53,3.25,5.4 118.53,3.51,7.2 118.53,4.28,9 118.53,4.97,10.1 118.53,5.47,10.8 118.53,6.84,12.6 118.53,9.77,14.19  </v>
      </c>
      <c r="I25" t="s">
        <v>159</v>
      </c>
      <c r="K25" t="str">
        <f ca="1">Tools!GD146</f>
        <v>Spline 118.53,9.77,14.19 118.53,6.84,12.6 118.53,5.47,10.8 118.53,4.97,10.1 118.53,4.28,9 118.53,3.51,7.2 118.53,3.25,5.4 118.53,2.97,3.6 118.53,2.69,2.7 118.53,2.23,1.8 118.53,1.49,0.9 118.53,0,0 118.53,0,0</v>
      </c>
      <c r="L25" s="6" t="str">
        <f>Tools!GE146</f>
        <v xml:space="preserve">118.53,0,0 118.53,-1.49,0.9 118.53,-2.23,1.8 118.53,-2.69,2.7 118.53,-2.97,3.6 118.53,-3.25,5.4 118.53,-3.51,7.2 118.53,-4.28,9 118.53,-4.97,10.1 118.53,-5.47,10.8 118.53,-6.84,12.6 118.53,-9.77,14.19 </v>
      </c>
      <c r="N25" t="str">
        <f>Tools!GH146</f>
        <v xml:space="preserve">Spline 118.53,9.77,14.19 118.53,6.84,12.6 118.53,5.47,10.8 118.53,4.97,10.1 118.53,4.28,9 118.53,3.51,7.2 118.53,3.25,5.4 118.53,2.97,3.6 118.53,2.69,2.7 118.53,2.23,1.8 118.53,1.49,0.9 118.53,0,0  </v>
      </c>
      <c r="O25" t="str">
        <f>Tools!GI146</f>
        <v/>
      </c>
    </row>
    <row r="26" spans="8:15" x14ac:dyDescent="0.25">
      <c r="H26" t="str">
        <f>Tools!ES147</f>
        <v xml:space="preserve">Spline 121.8225,0,0.32 121.823,0,0.32 121.823,1.04,0.9 121.823,1.7,1.8 121.823,2.14,2.7 121.823,2.4,3.6 121.823,2.57,5.4 121.823,2.55,7.2 121.823,3.12,9 121.823,3.79,10.1 121.823,4.3,10.8 121.823,5.71,12.6 121.823,8.1,14.19  </v>
      </c>
      <c r="I26" t="s">
        <v>159</v>
      </c>
      <c r="K26" t="str">
        <f>Tools!GD147</f>
        <v>Spline 121.823,8.1,14.19 121.823,5.71,12.6 121.823,4.3,10.8 121.823,3.79,10.1 121.823,3.12,9 121.823,2.55,7.2 121.823,2.57,5.4 121.823,2.4,3.6 121.823,2.14,2.7 121.823,1.7,1.8 121.823,1.04,0.9 121.823,0,0.32 121.8225,0,0.32</v>
      </c>
      <c r="L26" s="6" t="str">
        <f>Tools!GE147</f>
        <v xml:space="preserve">121.823,-1.04,0.9 121.823,-1.7,1.8 121.823,-2.14,2.7 121.823,-2.4,3.6 121.823,-2.57,5.4 121.823,-2.55,7.2 121.823,-3.12,9 121.823,-3.79,10.1 121.823,-4.3,10.8 121.823,-5.71,12.6 121.823,-8.1,14.19 </v>
      </c>
      <c r="N26" t="str">
        <f>Tools!GH147</f>
        <v xml:space="preserve">Spline 121.823,8.1,14.19 121.823,5.71,12.6 121.823,4.3,10.8 121.823,3.79,10.1 121.823,3.12,9 121.823,2.55,7.2 121.823,2.57,5.4 121.823,2.4,3.6 121.823,2.14,2.7 121.823,1.7,1.8 121.823,1.04,0.9 121.823,0,0.32 </v>
      </c>
      <c r="O26" t="str">
        <f>Tools!GI147</f>
        <v/>
      </c>
    </row>
    <row r="27" spans="8:15" x14ac:dyDescent="0.25">
      <c r="H27" t="str">
        <f>Tools!ES148</f>
        <v xml:space="preserve">Spline 125.115,0,0.66 125.115,0,0.66 125.115,0.64,0.9 125.115,1.27,1.8 125.115,1.68,2.7 125.115,1.96,3.6 125.115,2.1,5.4 125.115,1.8,7.2 125.115,2,9 125.115,2.61,10.1 125.115,3.1,10.8 125.115,4.42,12.6 125.115,5.76,14.19  </v>
      </c>
      <c r="I27" t="s">
        <v>159</v>
      </c>
      <c r="K27" t="str">
        <f>Tools!GD148</f>
        <v>Spline 125.115,5.76,14.19 125.115,4.42,12.6 125.115,3.1,10.8 125.115,2.61,10.1 125.115,2,9 125.115,1.8,7.2 125.115,2.1,5.4 125.115,1.96,3.6 125.115,1.68,2.7 125.115,1.27,1.8 125.115,0.64,0.9 125.115,0,0.66 125.115,0,0.66</v>
      </c>
      <c r="L27" s="6" t="str">
        <f>Tools!GE148</f>
        <v xml:space="preserve">125.115,-0.64,0.9 125.115,-1.27,1.8 125.115,-1.68,2.7 125.115,-1.96,3.6 125.115,-2.1,5.4 125.115,-1.8,7.2 125.115,-2,9 125.115,-2.61,10.1 125.115,-3.1,10.8 125.115,-4.42,12.6 125.115,-5.76,14.19 </v>
      </c>
      <c r="N27" t="str">
        <f>Tools!GH148</f>
        <v xml:space="preserve">Spline 125.115,5.76,14.19 125.115,4.42,12.6 125.115,3.1,10.8 125.115,2.61,10.1 125.115,2,9 125.115,1.8,7.2 125.115,2.1,5.4 125.115,1.96,3.6 125.115,1.68,2.7 125.115,1.27,1.8 125.115,0.64,0.9 125.115,0,0.66 </v>
      </c>
      <c r="O27" t="str">
        <f>Tools!GI148</f>
        <v/>
      </c>
    </row>
    <row r="28" spans="8:15" x14ac:dyDescent="0.25">
      <c r="H28" t="str">
        <f>Tools!ES149</f>
        <v xml:space="preserve">Spline 128.4075,0,1 128.408,0,1 128.408,0.86,1.8 128.408,1.29,2.7 128.408,1.6,3.6 128.408,1.77,5.4 128.408,1.31,7.2 128.408,1,9 128.408,1.44,10.1 128.408,1.74,10.8 128.408,2.79,12.6 128.408,4.1,14.19  </v>
      </c>
      <c r="I28" t="s">
        <v>159</v>
      </c>
      <c r="K28" t="str">
        <f>Tools!GD149</f>
        <v>Spline 128.408,4.1,14.19 128.408,2.79,12.6 128.408,1.74,10.8 128.408,1.44,10.1 128.408,1,9 128.408,1.31,7.2 128.408,1.77,5.4 128.408,1.6,3.6 128.408,1.29,2.7 128.408,0.86,1.8 128.408,0,1 128.4075,0,1</v>
      </c>
      <c r="L28" s="6" t="str">
        <f>Tools!GE149</f>
        <v xml:space="preserve">128.408,-0.86,1.8 128.408,-1.29,2.7 128.408,-1.6,3.6 128.408,-1.77,5.4 128.408,-1.31,7.2 128.408,-1,9 128.408,-1.44,10.1 128.408,-1.74,10.8 128.408,-2.79,12.6 128.408,-4.1,14.19 </v>
      </c>
      <c r="N28" t="str">
        <f>Tools!GH149</f>
        <v xml:space="preserve">Spline 128.408,4.1,14.19 128.408,2.79,12.6 128.408,1.74,10.8 128.408,1.44,10.1 128.408,1,9 128.408,1.31,7.2 128.408,1.77,5.4 128.408,1.6,3.6 128.408,1.29,2.7 128.408,0.86,1.8 128.408,0,1 </v>
      </c>
      <c r="O28" t="str">
        <f>Tools!GI149</f>
        <v/>
      </c>
    </row>
    <row r="29" spans="8:15" x14ac:dyDescent="0.25">
      <c r="H29" t="str">
        <f>Tools!ES150</f>
        <v xml:space="preserve">Spline 131.7,0,2 131.7,0,2 131.7,0.76,2.7 131.7,1.15,3.6 131.7,1.45,5.4 131.7,1.04,7.2 131.7,0,9 131.7,0,10.1 131.7,0.25,10.8 131.7,0.85,12.6 131.7,1.78,14.19  </v>
      </c>
      <c r="I29" t="s">
        <v>159</v>
      </c>
      <c r="K29" t="str">
        <f>Tools!GD150</f>
        <v>Spline 131.7,1.78,14.19 131.7,0.85,12.6 131.7,0.25,10.8 131.7,0,10.1 131.7,0,9 131.7,1.04,7.2 131.7,1.45,5.4 131.7,1.15,3.6 131.7,0.76,2.7 131.7,0,2 131.7,0,2</v>
      </c>
      <c r="L29" s="6" t="str">
        <f>Tools!GE150</f>
        <v xml:space="preserve">131.7,-0.76,2.7 131.7,-1.15,3.6 131.7,-1.45,5.4 131.7,-1.04,7.2 131.7,0,9 131.7,0,10.1 131.7,-0.25,10.8 131.7,-0.85,12.6 131.7,-1.78,14.19 </v>
      </c>
      <c r="N29" t="str">
        <f>Tools!GH150</f>
        <v xml:space="preserve">Spline 131.7,1.78,14.19 131.7,0.85,12.6 131.7,0.25,10.8 131.7,0,10.1 131.7,0,9 131.7,1.04,7.2 131.7,1.45,5.4 131.7,1.15,3.6 131.7,0.76,2.7 131.7,0,2 </v>
      </c>
      <c r="O29" t="str">
        <f>Tools!GI150</f>
        <v/>
      </c>
    </row>
    <row r="30" spans="8:15" x14ac:dyDescent="0.25">
      <c r="H30" t="str">
        <f>Tools!ES151</f>
        <v>1,1,1 0,0,0 t undo 1 Loft 0,10.89,14.19 3.2925,11.52,14.19 6.585,11.9,14.19 9.8775,12.1,14.19 13.17,12.2,14.19 19.755,12.23,14.19 26.34,12.25,14.19 32.925,12.25,14.19 39.51,12.25,14.19 46.095,12.25,14.19 52.68,12.25,14.19 59.265,12.25,14.19 65.85,12.25,14.19 72.435,12.25,14.19 79.02,12.25,14.19 85.605,12.25,14.19 92.19,12.23,14.19 98.775,12.15,14.19 105.36,11.75,14.19 111.945,10.94,14.19 118.53,9.77,14.19 121.8225,8.1,14.19 125.115,5.76,14.19 128.4075,4.1,14.19 131.7,1.78,14.19  C</v>
      </c>
      <c r="K30" t="str">
        <f>Tools!GD151</f>
        <v xml:space="preserve">Loft 0,10.89,14.19 3.2925,11.52,14.19 6.585,11.9,14.19 9.8775,12.1,14.19 13.17,12.2,14.19 19.755,12.23,14.19 26.34,12.25,14.19 32.925,12.25,14.19 39.51,12.25,14.19 46.095,12.25,14.19 52.68,12.25,14.19 59.265,12.25,14.19 65.85,12.25,14.19 72.435,12.25,14.19 79.02,12.25,14.19 85.605,12.25,14.19 92.19,12.23,14.19 98.775,12.15,14.19 105.36,11.75,14.19 111.945,10.94,14.19 118.53,9.77,14.19 121.8225,8.1,14.19 125.115,5.76,14.19 128.4075,4.1,14.19 131.7,1.78,14.19  </v>
      </c>
      <c r="N30" t="str">
        <f>Tools!GH151</f>
        <v>Loft 0,10.89,14.19 3.2925,11.52,14.19 6.585,11.9,14.19 9.8775,12.1,14.19 13.17,12.2,14.19 19.755,12.23,14.19 26.34,12.25,14.19 32.925,12.25,14.19 39.51,12.25,14.19 46.095,12.25,14.19 52.68,12.25,14.19 59.265,12.25,14.19 65.85,12.25,14.19 72.435,12.25,14.19 79.02,12.25,14.19 85.605,12.25,14.19 92.19,12.23,14.19 98.775,12.15,14.19 105.36,11.75,14.19 111.945,10.94,14.19 118.53,9.77,14.19 121.8225,8.1,14.19 125.115,5.76,14.19 128.4075,4.1,14.19 131.7,1.78,14.19  C</v>
      </c>
      <c r="O30" t="str">
        <f>Tools!GI151</f>
        <v xml:space="preserve">Mirror3d 65.85,12.25,14.19  ZX 0,0,0 No  </v>
      </c>
    </row>
    <row r="31" spans="8:15" x14ac:dyDescent="0.25">
      <c r="H31" t="str">
        <f>Tools!ET151</f>
        <v xml:space="preserve">Mirror3d 65.85,12.25,14.19  ZX 0,0,0 No  </v>
      </c>
      <c r="N31" t="str">
        <f>Tools!GH152</f>
        <v xml:space="preserve">Spline -10,0,0 -20,0,0 t  </v>
      </c>
      <c r="O31" t="str">
        <f>Tools!GI152</f>
        <v>Selectsimilar -10,0,0  Delete</v>
      </c>
    </row>
  </sheetData>
  <sheetProtection password="CB1D" sheet="1" objects="1" scenarios="1"/>
  <mergeCells count="1">
    <mergeCell ref="A10:B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threedimensionhull">
                <anchor moveWithCells="1" sizeWithCells="1">
                  <from>
                    <xdr:col>14</xdr:col>
                    <xdr:colOff>9525</xdr:colOff>
                    <xdr:row>3</xdr:row>
                    <xdr:rowOff>85725</xdr:rowOff>
                  </from>
                  <to>
                    <xdr:col>16</xdr:col>
                    <xdr:colOff>228600</xdr:colOff>
                    <xdr:row>4</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67</vt:i4>
      </vt:variant>
      <vt:variant>
        <vt:lpstr>Named Ranges</vt:lpstr>
      </vt:variant>
      <vt:variant>
        <vt:i4>986</vt:i4>
      </vt:variant>
    </vt:vector>
  </HeadingPairs>
  <TitlesOfParts>
    <vt:vector size="1053" baseType="lpstr">
      <vt:lpstr>WL (25)</vt:lpstr>
      <vt:lpstr>WL (24)</vt:lpstr>
      <vt:lpstr>WL (23)</vt:lpstr>
      <vt:lpstr>WL (22)</vt:lpstr>
      <vt:lpstr>WL (21)</vt:lpstr>
      <vt:lpstr>WL (20)</vt:lpstr>
      <vt:lpstr>WL (19)</vt:lpstr>
      <vt:lpstr>WL (18)</vt:lpstr>
      <vt:lpstr>WL (17)</vt:lpstr>
      <vt:lpstr>WL (16)</vt:lpstr>
      <vt:lpstr>WL (15)</vt:lpstr>
      <vt:lpstr>WL (14)</vt:lpstr>
      <vt:lpstr>WL (13)</vt:lpstr>
      <vt:lpstr>WL (12)</vt:lpstr>
      <vt:lpstr>WL (11)</vt:lpstr>
      <vt:lpstr>WL (10)</vt:lpstr>
      <vt:lpstr>WL (9)</vt:lpstr>
      <vt:lpstr>WL (8)</vt:lpstr>
      <vt:lpstr>WL (7)</vt:lpstr>
      <vt:lpstr>WL (6)</vt:lpstr>
      <vt:lpstr>WL (5)</vt:lpstr>
      <vt:lpstr>WL (4)</vt:lpstr>
      <vt:lpstr>WL (3)</vt:lpstr>
      <vt:lpstr>WL (2)</vt:lpstr>
      <vt:lpstr>WL (1)</vt:lpstr>
      <vt:lpstr>Stn(25)</vt:lpstr>
      <vt:lpstr>Stn(24)</vt:lpstr>
      <vt:lpstr>Stn(23)</vt:lpstr>
      <vt:lpstr>Stn(22)</vt:lpstr>
      <vt:lpstr>Stn(21)</vt:lpstr>
      <vt:lpstr>Stn(20)</vt:lpstr>
      <vt:lpstr>Stn(19)</vt:lpstr>
      <vt:lpstr>Stn(18)</vt:lpstr>
      <vt:lpstr>Stn(17)</vt:lpstr>
      <vt:lpstr>Stn(16)</vt:lpstr>
      <vt:lpstr>Stn(15)</vt:lpstr>
      <vt:lpstr>Stn(14)</vt:lpstr>
      <vt:lpstr>Stn(13)</vt:lpstr>
      <vt:lpstr>Stn(12)</vt:lpstr>
      <vt:lpstr>Stn(11)</vt:lpstr>
      <vt:lpstr>Stn(10)</vt:lpstr>
      <vt:lpstr>Stn(9)</vt:lpstr>
      <vt:lpstr>Stn(8)</vt:lpstr>
      <vt:lpstr>Stn(7)</vt:lpstr>
      <vt:lpstr>Stn(6)</vt:lpstr>
      <vt:lpstr>Stn(5)</vt:lpstr>
      <vt:lpstr>Stn(4)</vt:lpstr>
      <vt:lpstr>Stn(3)</vt:lpstr>
      <vt:lpstr>Stn(2)</vt:lpstr>
      <vt:lpstr>Stn(1)</vt:lpstr>
      <vt:lpstr>Offset</vt:lpstr>
      <vt:lpstr>WL (x)</vt:lpstr>
      <vt:lpstr>Main</vt:lpstr>
      <vt:lpstr>Rise, etc.</vt:lpstr>
      <vt:lpstr>Graph tools</vt:lpstr>
      <vt:lpstr>Area</vt:lpstr>
      <vt:lpstr>Moment</vt:lpstr>
      <vt:lpstr>Hydros</vt:lpstr>
      <vt:lpstr>Bonj Calc</vt:lpstr>
      <vt:lpstr>View Bonjean</vt:lpstr>
      <vt:lpstr>Hydros Calc</vt:lpstr>
      <vt:lpstr>Tools</vt:lpstr>
      <vt:lpstr>CAD</vt:lpstr>
      <vt:lpstr>Maxs Tool</vt:lpstr>
      <vt:lpstr>Maxsurf</vt:lpstr>
      <vt:lpstr>Help</vt:lpstr>
      <vt:lpstr>CAD Tools</vt:lpstr>
      <vt:lpstr>ABT</vt:lpstr>
      <vt:lpstr>AMID</vt:lpstr>
      <vt:lpstr>AREA_TABLE</vt:lpstr>
      <vt:lpstr>'WL (1)'!AWP</vt:lpstr>
      <vt:lpstr>'WL (10)'!AWP</vt:lpstr>
      <vt:lpstr>'WL (11)'!AWP</vt:lpstr>
      <vt:lpstr>'WL (12)'!AWP</vt:lpstr>
      <vt:lpstr>'WL (13)'!AWP</vt:lpstr>
      <vt:lpstr>'WL (14)'!AWP</vt:lpstr>
      <vt:lpstr>'WL (15)'!AWP</vt:lpstr>
      <vt:lpstr>'WL (16)'!AWP</vt:lpstr>
      <vt:lpstr>'WL (17)'!AWP</vt:lpstr>
      <vt:lpstr>'WL (18)'!AWP</vt:lpstr>
      <vt:lpstr>'WL (19)'!AWP</vt:lpstr>
      <vt:lpstr>'WL (2)'!AWP</vt:lpstr>
      <vt:lpstr>'WL (20)'!AWP</vt:lpstr>
      <vt:lpstr>'WL (21)'!AWP</vt:lpstr>
      <vt:lpstr>'WL (22)'!AWP</vt:lpstr>
      <vt:lpstr>'WL (23)'!AWP</vt:lpstr>
      <vt:lpstr>'WL (24)'!AWP</vt:lpstr>
      <vt:lpstr>'WL (25)'!AWP</vt:lpstr>
      <vt:lpstr>'WL (3)'!AWP</vt:lpstr>
      <vt:lpstr>'WL (4)'!AWP</vt:lpstr>
      <vt:lpstr>'WL (5)'!AWP</vt:lpstr>
      <vt:lpstr>'WL (6)'!AWP</vt:lpstr>
      <vt:lpstr>'WL (7)'!AWP</vt:lpstr>
      <vt:lpstr>'WL (8)'!AWP</vt:lpstr>
      <vt:lpstr>'WL (9)'!AWP</vt:lpstr>
      <vt:lpstr>'WL (x)'!AWP</vt:lpstr>
      <vt:lpstr>'WL (1)'!B</vt:lpstr>
      <vt:lpstr>'WL (10)'!B</vt:lpstr>
      <vt:lpstr>'WL (11)'!B</vt:lpstr>
      <vt:lpstr>'WL (12)'!B</vt:lpstr>
      <vt:lpstr>'WL (13)'!B</vt:lpstr>
      <vt:lpstr>'WL (14)'!B</vt:lpstr>
      <vt:lpstr>'WL (15)'!B</vt:lpstr>
      <vt:lpstr>'WL (16)'!B</vt:lpstr>
      <vt:lpstr>'WL (17)'!B</vt:lpstr>
      <vt:lpstr>'WL (18)'!B</vt:lpstr>
      <vt:lpstr>'WL (19)'!B</vt:lpstr>
      <vt:lpstr>'WL (2)'!B</vt:lpstr>
      <vt:lpstr>'WL (20)'!B</vt:lpstr>
      <vt:lpstr>'WL (21)'!B</vt:lpstr>
      <vt:lpstr>'WL (22)'!B</vt:lpstr>
      <vt:lpstr>'WL (23)'!B</vt:lpstr>
      <vt:lpstr>'WL (24)'!B</vt:lpstr>
      <vt:lpstr>'WL (25)'!B</vt:lpstr>
      <vt:lpstr>'WL (3)'!B</vt:lpstr>
      <vt:lpstr>'WL (4)'!B</vt:lpstr>
      <vt:lpstr>'WL (5)'!B</vt:lpstr>
      <vt:lpstr>'WL (6)'!B</vt:lpstr>
      <vt:lpstr>'WL (7)'!B</vt:lpstr>
      <vt:lpstr>'WL (8)'!B</vt:lpstr>
      <vt:lpstr>'WL (9)'!B</vt:lpstr>
      <vt:lpstr>'WL (x)'!B</vt:lpstr>
      <vt:lpstr>Tools!B_Area</vt:lpstr>
      <vt:lpstr>Tools!B_Area_Splines</vt:lpstr>
      <vt:lpstr>'WL (1)'!B_current</vt:lpstr>
      <vt:lpstr>'WL (10)'!B_current</vt:lpstr>
      <vt:lpstr>'WL (11)'!B_current</vt:lpstr>
      <vt:lpstr>'WL (12)'!B_current</vt:lpstr>
      <vt:lpstr>'WL (13)'!B_current</vt:lpstr>
      <vt:lpstr>'WL (14)'!B_current</vt:lpstr>
      <vt:lpstr>'WL (15)'!B_current</vt:lpstr>
      <vt:lpstr>'WL (16)'!B_current</vt:lpstr>
      <vt:lpstr>'WL (17)'!B_current</vt:lpstr>
      <vt:lpstr>'WL (18)'!B_current</vt:lpstr>
      <vt:lpstr>'WL (19)'!B_current</vt:lpstr>
      <vt:lpstr>'WL (2)'!B_current</vt:lpstr>
      <vt:lpstr>'WL (20)'!B_current</vt:lpstr>
      <vt:lpstr>'WL (21)'!B_current</vt:lpstr>
      <vt:lpstr>'WL (22)'!B_current</vt:lpstr>
      <vt:lpstr>'WL (23)'!B_current</vt:lpstr>
      <vt:lpstr>'WL (24)'!B_current</vt:lpstr>
      <vt:lpstr>'WL (25)'!B_current</vt:lpstr>
      <vt:lpstr>'WL (3)'!B_current</vt:lpstr>
      <vt:lpstr>'WL (4)'!B_current</vt:lpstr>
      <vt:lpstr>'WL (5)'!B_current</vt:lpstr>
      <vt:lpstr>'WL (6)'!B_current</vt:lpstr>
      <vt:lpstr>'WL (7)'!B_current</vt:lpstr>
      <vt:lpstr>'WL (8)'!B_current</vt:lpstr>
      <vt:lpstr>'WL (9)'!B_current</vt:lpstr>
      <vt:lpstr>'WL (x)'!B_current</vt:lpstr>
      <vt:lpstr>Tools!B_Moment</vt:lpstr>
      <vt:lpstr>Tools!B_Moment_Splines</vt:lpstr>
      <vt:lpstr>Tools!BA_Station_Scale_in_x</vt:lpstr>
      <vt:lpstr>Tools!BA_Y_scale_of_WL</vt:lpstr>
      <vt:lpstr>'WL (1)'!BML</vt:lpstr>
      <vt:lpstr>'WL (10)'!BML</vt:lpstr>
      <vt:lpstr>'WL (11)'!BML</vt:lpstr>
      <vt:lpstr>'WL (12)'!BML</vt:lpstr>
      <vt:lpstr>'WL (13)'!BML</vt:lpstr>
      <vt:lpstr>'WL (14)'!BML</vt:lpstr>
      <vt:lpstr>'WL (15)'!BML</vt:lpstr>
      <vt:lpstr>'WL (16)'!BML</vt:lpstr>
      <vt:lpstr>'WL (17)'!BML</vt:lpstr>
      <vt:lpstr>'WL (18)'!BML</vt:lpstr>
      <vt:lpstr>'WL (19)'!BML</vt:lpstr>
      <vt:lpstr>'WL (2)'!BML</vt:lpstr>
      <vt:lpstr>'WL (20)'!BML</vt:lpstr>
      <vt:lpstr>'WL (21)'!BML</vt:lpstr>
      <vt:lpstr>'WL (22)'!BML</vt:lpstr>
      <vt:lpstr>'WL (23)'!BML</vt:lpstr>
      <vt:lpstr>'WL (24)'!BML</vt:lpstr>
      <vt:lpstr>'WL (25)'!BML</vt:lpstr>
      <vt:lpstr>'WL (3)'!BML</vt:lpstr>
      <vt:lpstr>'WL (4)'!BML</vt:lpstr>
      <vt:lpstr>'WL (5)'!BML</vt:lpstr>
      <vt:lpstr>'WL (6)'!BML</vt:lpstr>
      <vt:lpstr>'WL (7)'!BML</vt:lpstr>
      <vt:lpstr>'WL (8)'!BML</vt:lpstr>
      <vt:lpstr>'WL (9)'!BML</vt:lpstr>
      <vt:lpstr>'WL (x)'!BML</vt:lpstr>
      <vt:lpstr>'WL (1)'!BMT</vt:lpstr>
      <vt:lpstr>'WL (10)'!BMT</vt:lpstr>
      <vt:lpstr>'WL (11)'!BMT</vt:lpstr>
      <vt:lpstr>'WL (12)'!BMT</vt:lpstr>
      <vt:lpstr>'WL (13)'!BMT</vt:lpstr>
      <vt:lpstr>'WL (14)'!BMT</vt:lpstr>
      <vt:lpstr>'WL (15)'!BMT</vt:lpstr>
      <vt:lpstr>'WL (16)'!BMT</vt:lpstr>
      <vt:lpstr>'WL (17)'!BMT</vt:lpstr>
      <vt:lpstr>'WL (18)'!BMT</vt:lpstr>
      <vt:lpstr>'WL (19)'!BMT</vt:lpstr>
      <vt:lpstr>'WL (2)'!BMT</vt:lpstr>
      <vt:lpstr>'WL (20)'!BMT</vt:lpstr>
      <vt:lpstr>'WL (21)'!BMT</vt:lpstr>
      <vt:lpstr>'WL (22)'!BMT</vt:lpstr>
      <vt:lpstr>'WL (23)'!BMT</vt:lpstr>
      <vt:lpstr>'WL (24)'!BMT</vt:lpstr>
      <vt:lpstr>'WL (25)'!BMT</vt:lpstr>
      <vt:lpstr>'WL (3)'!BMT</vt:lpstr>
      <vt:lpstr>'WL (4)'!BMT</vt:lpstr>
      <vt:lpstr>'WL (5)'!BMT</vt:lpstr>
      <vt:lpstr>'WL (6)'!BMT</vt:lpstr>
      <vt:lpstr>'WL (7)'!BMT</vt:lpstr>
      <vt:lpstr>'WL (8)'!BMT</vt:lpstr>
      <vt:lpstr>'WL (9)'!BMT</vt:lpstr>
      <vt:lpstr>'WL (x)'!BMT</vt:lpstr>
      <vt:lpstr>Tools!Bodyplan_Spline</vt:lpstr>
      <vt:lpstr>Tools!Bonjean_Area_Scale</vt:lpstr>
      <vt:lpstr>Tools!Bonjean_Moment_Scale</vt:lpstr>
      <vt:lpstr>Tools!BP_Plan</vt:lpstr>
      <vt:lpstr>BREADTH</vt:lpstr>
      <vt:lpstr>'WL (1)'!CB</vt:lpstr>
      <vt:lpstr>'WL (10)'!CB</vt:lpstr>
      <vt:lpstr>'WL (11)'!CB</vt:lpstr>
      <vt:lpstr>'WL (12)'!CB</vt:lpstr>
      <vt:lpstr>'WL (13)'!CB</vt:lpstr>
      <vt:lpstr>'WL (14)'!CB</vt:lpstr>
      <vt:lpstr>'WL (15)'!CB</vt:lpstr>
      <vt:lpstr>'WL (16)'!CB</vt:lpstr>
      <vt:lpstr>'WL (17)'!CB</vt:lpstr>
      <vt:lpstr>'WL (18)'!CB</vt:lpstr>
      <vt:lpstr>'WL (19)'!CB</vt:lpstr>
      <vt:lpstr>'WL (2)'!CB</vt:lpstr>
      <vt:lpstr>'WL (20)'!CB</vt:lpstr>
      <vt:lpstr>'WL (21)'!CB</vt:lpstr>
      <vt:lpstr>'WL (22)'!CB</vt:lpstr>
      <vt:lpstr>'WL (23)'!CB</vt:lpstr>
      <vt:lpstr>'WL (24)'!CB</vt:lpstr>
      <vt:lpstr>'WL (25)'!CB</vt:lpstr>
      <vt:lpstr>'WL (3)'!CB</vt:lpstr>
      <vt:lpstr>'WL (4)'!CB</vt:lpstr>
      <vt:lpstr>'WL (5)'!CB</vt:lpstr>
      <vt:lpstr>'WL (6)'!CB</vt:lpstr>
      <vt:lpstr>'WL (7)'!CB</vt:lpstr>
      <vt:lpstr>'WL (8)'!CB</vt:lpstr>
      <vt:lpstr>'WL (9)'!CB</vt:lpstr>
      <vt:lpstr>'WL (x)'!CB</vt:lpstr>
      <vt:lpstr>CB</vt:lpstr>
      <vt:lpstr>'WL (1)'!CM</vt:lpstr>
      <vt:lpstr>'WL (10)'!CM</vt:lpstr>
      <vt:lpstr>'WL (11)'!CM</vt:lpstr>
      <vt:lpstr>'WL (12)'!CM</vt:lpstr>
      <vt:lpstr>'WL (13)'!CM</vt:lpstr>
      <vt:lpstr>'WL (14)'!CM</vt:lpstr>
      <vt:lpstr>'WL (15)'!CM</vt:lpstr>
      <vt:lpstr>'WL (16)'!CM</vt:lpstr>
      <vt:lpstr>'WL (17)'!CM</vt:lpstr>
      <vt:lpstr>'WL (18)'!CM</vt:lpstr>
      <vt:lpstr>'WL (19)'!CM</vt:lpstr>
      <vt:lpstr>'WL (2)'!CM</vt:lpstr>
      <vt:lpstr>'WL (20)'!CM</vt:lpstr>
      <vt:lpstr>'WL (21)'!CM</vt:lpstr>
      <vt:lpstr>'WL (22)'!CM</vt:lpstr>
      <vt:lpstr>'WL (23)'!CM</vt:lpstr>
      <vt:lpstr>'WL (24)'!CM</vt:lpstr>
      <vt:lpstr>'WL (25)'!CM</vt:lpstr>
      <vt:lpstr>'WL (3)'!CM</vt:lpstr>
      <vt:lpstr>'WL (4)'!CM</vt:lpstr>
      <vt:lpstr>'WL (5)'!CM</vt:lpstr>
      <vt:lpstr>'WL (6)'!CM</vt:lpstr>
      <vt:lpstr>'WL (7)'!CM</vt:lpstr>
      <vt:lpstr>'WL (8)'!CM</vt:lpstr>
      <vt:lpstr>'WL (9)'!CM</vt:lpstr>
      <vt:lpstr>'WL (x)'!CM</vt:lpstr>
      <vt:lpstr>CM</vt:lpstr>
      <vt:lpstr>'Stn(1)'!Count_STN</vt:lpstr>
      <vt:lpstr>'Stn(10)'!Count_STN</vt:lpstr>
      <vt:lpstr>'Stn(11)'!Count_STN</vt:lpstr>
      <vt:lpstr>'Stn(12)'!Count_STN</vt:lpstr>
      <vt:lpstr>'Stn(13)'!Count_STN</vt:lpstr>
      <vt:lpstr>'Stn(14)'!Count_STN</vt:lpstr>
      <vt:lpstr>'Stn(15)'!Count_STN</vt:lpstr>
      <vt:lpstr>'Stn(16)'!Count_STN</vt:lpstr>
      <vt:lpstr>'Stn(17)'!Count_STN</vt:lpstr>
      <vt:lpstr>'Stn(18)'!Count_STN</vt:lpstr>
      <vt:lpstr>'Stn(19)'!Count_STN</vt:lpstr>
      <vt:lpstr>'Stn(2)'!Count_STN</vt:lpstr>
      <vt:lpstr>'Stn(20)'!Count_STN</vt:lpstr>
      <vt:lpstr>'Stn(21)'!Count_STN</vt:lpstr>
      <vt:lpstr>'Stn(22)'!Count_STN</vt:lpstr>
      <vt:lpstr>'Stn(23)'!Count_STN</vt:lpstr>
      <vt:lpstr>'Stn(24)'!Count_STN</vt:lpstr>
      <vt:lpstr>'Stn(25)'!Count_STN</vt:lpstr>
      <vt:lpstr>'Stn(3)'!Count_STN</vt:lpstr>
      <vt:lpstr>'Stn(4)'!Count_STN</vt:lpstr>
      <vt:lpstr>'Stn(5)'!Count_STN</vt:lpstr>
      <vt:lpstr>'Stn(6)'!Count_STN</vt:lpstr>
      <vt:lpstr>'Stn(7)'!Count_STN</vt:lpstr>
      <vt:lpstr>'Stn(8)'!Count_STN</vt:lpstr>
      <vt:lpstr>'Stn(9)'!Count_STN</vt:lpstr>
      <vt:lpstr>'WL (1)'!Count_WL</vt:lpstr>
      <vt:lpstr>'WL (10)'!Count_WL</vt:lpstr>
      <vt:lpstr>'WL (11)'!Count_WL</vt:lpstr>
      <vt:lpstr>'WL (12)'!Count_WL</vt:lpstr>
      <vt:lpstr>'WL (13)'!Count_WL</vt:lpstr>
      <vt:lpstr>'WL (14)'!Count_WL</vt:lpstr>
      <vt:lpstr>'WL (15)'!Count_WL</vt:lpstr>
      <vt:lpstr>'WL (16)'!Count_WL</vt:lpstr>
      <vt:lpstr>'WL (17)'!Count_WL</vt:lpstr>
      <vt:lpstr>'WL (18)'!Count_WL</vt:lpstr>
      <vt:lpstr>'WL (19)'!Count_WL</vt:lpstr>
      <vt:lpstr>'WL (2)'!Count_WL</vt:lpstr>
      <vt:lpstr>'WL (20)'!Count_WL</vt:lpstr>
      <vt:lpstr>'WL (21)'!Count_WL</vt:lpstr>
      <vt:lpstr>'WL (22)'!Count_WL</vt:lpstr>
      <vt:lpstr>'WL (23)'!Count_WL</vt:lpstr>
      <vt:lpstr>'WL (24)'!Count_WL</vt:lpstr>
      <vt:lpstr>'WL (25)'!Count_WL</vt:lpstr>
      <vt:lpstr>'WL (3)'!Count_WL</vt:lpstr>
      <vt:lpstr>'WL (4)'!Count_WL</vt:lpstr>
      <vt:lpstr>'WL (5)'!Count_WL</vt:lpstr>
      <vt:lpstr>'WL (6)'!Count_WL</vt:lpstr>
      <vt:lpstr>'WL (7)'!Count_WL</vt:lpstr>
      <vt:lpstr>'WL (8)'!Count_WL</vt:lpstr>
      <vt:lpstr>'WL (9)'!Count_WL</vt:lpstr>
      <vt:lpstr>'WL (x)'!Count_WL</vt:lpstr>
      <vt:lpstr>'WL (1)'!CP</vt:lpstr>
      <vt:lpstr>'WL (10)'!CP</vt:lpstr>
      <vt:lpstr>'WL (11)'!CP</vt:lpstr>
      <vt:lpstr>'WL (12)'!CP</vt:lpstr>
      <vt:lpstr>'WL (13)'!CP</vt:lpstr>
      <vt:lpstr>'WL (14)'!CP</vt:lpstr>
      <vt:lpstr>'WL (15)'!CP</vt:lpstr>
      <vt:lpstr>'WL (16)'!CP</vt:lpstr>
      <vt:lpstr>'WL (17)'!CP</vt:lpstr>
      <vt:lpstr>'WL (18)'!CP</vt:lpstr>
      <vt:lpstr>'WL (19)'!CP</vt:lpstr>
      <vt:lpstr>'WL (2)'!CP</vt:lpstr>
      <vt:lpstr>'WL (20)'!CP</vt:lpstr>
      <vt:lpstr>'WL (21)'!CP</vt:lpstr>
      <vt:lpstr>'WL (22)'!CP</vt:lpstr>
      <vt:lpstr>'WL (23)'!CP</vt:lpstr>
      <vt:lpstr>'WL (24)'!CP</vt:lpstr>
      <vt:lpstr>'WL (25)'!CP</vt:lpstr>
      <vt:lpstr>'WL (3)'!CP</vt:lpstr>
      <vt:lpstr>'WL (4)'!CP</vt:lpstr>
      <vt:lpstr>'WL (5)'!CP</vt:lpstr>
      <vt:lpstr>'WL (6)'!CP</vt:lpstr>
      <vt:lpstr>'WL (7)'!CP</vt:lpstr>
      <vt:lpstr>'WL (8)'!CP</vt:lpstr>
      <vt:lpstr>'WL (9)'!CP</vt:lpstr>
      <vt:lpstr>'WL (x)'!CP</vt:lpstr>
      <vt:lpstr>CP</vt:lpstr>
      <vt:lpstr>'WL (1)'!CW</vt:lpstr>
      <vt:lpstr>'WL (10)'!CW</vt:lpstr>
      <vt:lpstr>'WL (11)'!CW</vt:lpstr>
      <vt:lpstr>'WL (12)'!CW</vt:lpstr>
      <vt:lpstr>'WL (13)'!CW</vt:lpstr>
      <vt:lpstr>'WL (14)'!CW</vt:lpstr>
      <vt:lpstr>'WL (15)'!CW</vt:lpstr>
      <vt:lpstr>'WL (16)'!CW</vt:lpstr>
      <vt:lpstr>'WL (17)'!CW</vt:lpstr>
      <vt:lpstr>'WL (18)'!CW</vt:lpstr>
      <vt:lpstr>'WL (19)'!CW</vt:lpstr>
      <vt:lpstr>'WL (2)'!CW</vt:lpstr>
      <vt:lpstr>'WL (20)'!CW</vt:lpstr>
      <vt:lpstr>'WL (21)'!CW</vt:lpstr>
      <vt:lpstr>'WL (22)'!CW</vt:lpstr>
      <vt:lpstr>'WL (23)'!CW</vt:lpstr>
      <vt:lpstr>'WL (24)'!CW</vt:lpstr>
      <vt:lpstr>'WL (25)'!CW</vt:lpstr>
      <vt:lpstr>'WL (3)'!CW</vt:lpstr>
      <vt:lpstr>'WL (4)'!CW</vt:lpstr>
      <vt:lpstr>'WL (5)'!CW</vt:lpstr>
      <vt:lpstr>'WL (6)'!CW</vt:lpstr>
      <vt:lpstr>'WL (7)'!CW</vt:lpstr>
      <vt:lpstr>'WL (8)'!CW</vt:lpstr>
      <vt:lpstr>'WL (9)'!CW</vt:lpstr>
      <vt:lpstr>'WL (x)'!CW</vt:lpstr>
      <vt:lpstr>DEPTH</vt:lpstr>
      <vt:lpstr>DRAFT</vt:lpstr>
      <vt:lpstr>Tools!g</vt:lpstr>
      <vt:lpstr>Tools!Grid_AutoCAD</vt:lpstr>
      <vt:lpstr>Tools!h</vt:lpstr>
      <vt:lpstr>'WL (1)'!h</vt:lpstr>
      <vt:lpstr>'WL (10)'!h</vt:lpstr>
      <vt:lpstr>'WL (11)'!h</vt:lpstr>
      <vt:lpstr>'WL (12)'!h</vt:lpstr>
      <vt:lpstr>'WL (13)'!h</vt:lpstr>
      <vt:lpstr>'WL (14)'!h</vt:lpstr>
      <vt:lpstr>'WL (15)'!h</vt:lpstr>
      <vt:lpstr>'WL (16)'!h</vt:lpstr>
      <vt:lpstr>'WL (17)'!h</vt:lpstr>
      <vt:lpstr>'WL (18)'!h</vt:lpstr>
      <vt:lpstr>'WL (19)'!h</vt:lpstr>
      <vt:lpstr>'WL (2)'!h</vt:lpstr>
      <vt:lpstr>'WL (20)'!h</vt:lpstr>
      <vt:lpstr>'WL (21)'!h</vt:lpstr>
      <vt:lpstr>'WL (22)'!h</vt:lpstr>
      <vt:lpstr>'WL (23)'!h</vt:lpstr>
      <vt:lpstr>'WL (24)'!h</vt:lpstr>
      <vt:lpstr>'WL (25)'!h</vt:lpstr>
      <vt:lpstr>'WL (3)'!h</vt:lpstr>
      <vt:lpstr>'WL (4)'!h</vt:lpstr>
      <vt:lpstr>'WL (5)'!h</vt:lpstr>
      <vt:lpstr>'WL (6)'!h</vt:lpstr>
      <vt:lpstr>'WL (7)'!h</vt:lpstr>
      <vt:lpstr>'WL (8)'!h</vt:lpstr>
      <vt:lpstr>'WL (9)'!h</vt:lpstr>
      <vt:lpstr>'WL (x)'!h</vt:lpstr>
      <vt:lpstr>Tools!Halfbreadth_Splines</vt:lpstr>
      <vt:lpstr>Tools!Hydros</vt:lpstr>
      <vt:lpstr>Hydros_Table</vt:lpstr>
      <vt:lpstr>'WL (1)'!IF</vt:lpstr>
      <vt:lpstr>'WL (10)'!IF</vt:lpstr>
      <vt:lpstr>'WL (11)'!IF</vt:lpstr>
      <vt:lpstr>'WL (12)'!IF</vt:lpstr>
      <vt:lpstr>'WL (13)'!IF</vt:lpstr>
      <vt:lpstr>'WL (14)'!IF</vt:lpstr>
      <vt:lpstr>'WL (15)'!IF</vt:lpstr>
      <vt:lpstr>'WL (16)'!IF</vt:lpstr>
      <vt:lpstr>'WL (17)'!IF</vt:lpstr>
      <vt:lpstr>'WL (18)'!IF</vt:lpstr>
      <vt:lpstr>'WL (19)'!IF</vt:lpstr>
      <vt:lpstr>'WL (2)'!IF</vt:lpstr>
      <vt:lpstr>'WL (20)'!IF</vt:lpstr>
      <vt:lpstr>'WL (21)'!IF</vt:lpstr>
      <vt:lpstr>'WL (22)'!IF</vt:lpstr>
      <vt:lpstr>'WL (23)'!IF</vt:lpstr>
      <vt:lpstr>'WL (24)'!IF</vt:lpstr>
      <vt:lpstr>'WL (25)'!IF</vt:lpstr>
      <vt:lpstr>'WL (3)'!IF</vt:lpstr>
      <vt:lpstr>'WL (4)'!IF</vt:lpstr>
      <vt:lpstr>'WL (5)'!IF</vt:lpstr>
      <vt:lpstr>'WL (6)'!IF</vt:lpstr>
      <vt:lpstr>'WL (7)'!IF</vt:lpstr>
      <vt:lpstr>'WL (8)'!IF</vt:lpstr>
      <vt:lpstr>'WL (9)'!IF</vt:lpstr>
      <vt:lpstr>'WL (x)'!IF</vt:lpstr>
      <vt:lpstr>'WL (1)'!IL</vt:lpstr>
      <vt:lpstr>'WL (10)'!IL</vt:lpstr>
      <vt:lpstr>'WL (11)'!IL</vt:lpstr>
      <vt:lpstr>'WL (12)'!IL</vt:lpstr>
      <vt:lpstr>'WL (13)'!IL</vt:lpstr>
      <vt:lpstr>'WL (14)'!IL</vt:lpstr>
      <vt:lpstr>'WL (15)'!IL</vt:lpstr>
      <vt:lpstr>'WL (16)'!IL</vt:lpstr>
      <vt:lpstr>'WL (17)'!IL</vt:lpstr>
      <vt:lpstr>'WL (18)'!IL</vt:lpstr>
      <vt:lpstr>'WL (19)'!IL</vt:lpstr>
      <vt:lpstr>'WL (2)'!IL</vt:lpstr>
      <vt:lpstr>'WL (20)'!IL</vt:lpstr>
      <vt:lpstr>'WL (21)'!IL</vt:lpstr>
      <vt:lpstr>'WL (22)'!IL</vt:lpstr>
      <vt:lpstr>'WL (23)'!IL</vt:lpstr>
      <vt:lpstr>'WL (24)'!IL</vt:lpstr>
      <vt:lpstr>'WL (25)'!IL</vt:lpstr>
      <vt:lpstr>'WL (3)'!IL</vt:lpstr>
      <vt:lpstr>'WL (4)'!IL</vt:lpstr>
      <vt:lpstr>'WL (5)'!IL</vt:lpstr>
      <vt:lpstr>'WL (6)'!IL</vt:lpstr>
      <vt:lpstr>'WL (7)'!IL</vt:lpstr>
      <vt:lpstr>'WL (8)'!IL</vt:lpstr>
      <vt:lpstr>'WL (9)'!IL</vt:lpstr>
      <vt:lpstr>'WL (x)'!IL</vt:lpstr>
      <vt:lpstr>'WL (1)'!IT</vt:lpstr>
      <vt:lpstr>'WL (10)'!IT</vt:lpstr>
      <vt:lpstr>'WL (11)'!IT</vt:lpstr>
      <vt:lpstr>'WL (12)'!IT</vt:lpstr>
      <vt:lpstr>'WL (13)'!IT</vt:lpstr>
      <vt:lpstr>'WL (14)'!IT</vt:lpstr>
      <vt:lpstr>'WL (15)'!IT</vt:lpstr>
      <vt:lpstr>'WL (16)'!IT</vt:lpstr>
      <vt:lpstr>'WL (17)'!IT</vt:lpstr>
      <vt:lpstr>'WL (18)'!IT</vt:lpstr>
      <vt:lpstr>'WL (19)'!IT</vt:lpstr>
      <vt:lpstr>'WL (2)'!IT</vt:lpstr>
      <vt:lpstr>'WL (20)'!IT</vt:lpstr>
      <vt:lpstr>'WL (21)'!IT</vt:lpstr>
      <vt:lpstr>'WL (22)'!IT</vt:lpstr>
      <vt:lpstr>'WL (23)'!IT</vt:lpstr>
      <vt:lpstr>'WL (24)'!IT</vt:lpstr>
      <vt:lpstr>'WL (25)'!IT</vt:lpstr>
      <vt:lpstr>'WL (3)'!IT</vt:lpstr>
      <vt:lpstr>'WL (4)'!IT</vt:lpstr>
      <vt:lpstr>'WL (5)'!IT</vt:lpstr>
      <vt:lpstr>'WL (6)'!IT</vt:lpstr>
      <vt:lpstr>'WL (7)'!IT</vt:lpstr>
      <vt:lpstr>'WL (8)'!IT</vt:lpstr>
      <vt:lpstr>'WL (9)'!IT</vt:lpstr>
      <vt:lpstr>'WL (x)'!IT</vt:lpstr>
      <vt:lpstr>'WL (1)'!KB</vt:lpstr>
      <vt:lpstr>'WL (10)'!KB</vt:lpstr>
      <vt:lpstr>'WL (11)'!KB</vt:lpstr>
      <vt:lpstr>'WL (12)'!KB</vt:lpstr>
      <vt:lpstr>'WL (13)'!KB</vt:lpstr>
      <vt:lpstr>'WL (14)'!KB</vt:lpstr>
      <vt:lpstr>'WL (15)'!KB</vt:lpstr>
      <vt:lpstr>'WL (16)'!KB</vt:lpstr>
      <vt:lpstr>'WL (17)'!KB</vt:lpstr>
      <vt:lpstr>'WL (18)'!KB</vt:lpstr>
      <vt:lpstr>'WL (19)'!KB</vt:lpstr>
      <vt:lpstr>'WL (2)'!KB</vt:lpstr>
      <vt:lpstr>'WL (20)'!KB</vt:lpstr>
      <vt:lpstr>'WL (21)'!KB</vt:lpstr>
      <vt:lpstr>'WL (22)'!KB</vt:lpstr>
      <vt:lpstr>'WL (23)'!KB</vt:lpstr>
      <vt:lpstr>'WL (24)'!KB</vt:lpstr>
      <vt:lpstr>'WL (25)'!KB</vt:lpstr>
      <vt:lpstr>'WL (3)'!KB</vt:lpstr>
      <vt:lpstr>'WL (4)'!KB</vt:lpstr>
      <vt:lpstr>'WL (5)'!KB</vt:lpstr>
      <vt:lpstr>'WL (6)'!KB</vt:lpstr>
      <vt:lpstr>'WL (7)'!KB</vt:lpstr>
      <vt:lpstr>'WL (8)'!KB</vt:lpstr>
      <vt:lpstr>'WL (9)'!KB</vt:lpstr>
      <vt:lpstr>'WL (x)'!KB</vt:lpstr>
      <vt:lpstr>KB</vt:lpstr>
      <vt:lpstr>'WL (1)'!KML</vt:lpstr>
      <vt:lpstr>'WL (10)'!KML</vt:lpstr>
      <vt:lpstr>'WL (11)'!KML</vt:lpstr>
      <vt:lpstr>'WL (12)'!KML</vt:lpstr>
      <vt:lpstr>'WL (13)'!KML</vt:lpstr>
      <vt:lpstr>'WL (14)'!KML</vt:lpstr>
      <vt:lpstr>'WL (15)'!KML</vt:lpstr>
      <vt:lpstr>'WL (16)'!KML</vt:lpstr>
      <vt:lpstr>'WL (17)'!KML</vt:lpstr>
      <vt:lpstr>'WL (18)'!KML</vt:lpstr>
      <vt:lpstr>'WL (19)'!KML</vt:lpstr>
      <vt:lpstr>'WL (2)'!KML</vt:lpstr>
      <vt:lpstr>'WL (20)'!KML</vt:lpstr>
      <vt:lpstr>'WL (21)'!KML</vt:lpstr>
      <vt:lpstr>'WL (22)'!KML</vt:lpstr>
      <vt:lpstr>'WL (23)'!KML</vt:lpstr>
      <vt:lpstr>'WL (24)'!KML</vt:lpstr>
      <vt:lpstr>'WL (25)'!KML</vt:lpstr>
      <vt:lpstr>'WL (3)'!KML</vt:lpstr>
      <vt:lpstr>'WL (4)'!KML</vt:lpstr>
      <vt:lpstr>'WL (5)'!KML</vt:lpstr>
      <vt:lpstr>'WL (6)'!KML</vt:lpstr>
      <vt:lpstr>'WL (7)'!KML</vt:lpstr>
      <vt:lpstr>'WL (8)'!KML</vt:lpstr>
      <vt:lpstr>'WL (9)'!KML</vt:lpstr>
      <vt:lpstr>'WL (x)'!KML</vt:lpstr>
      <vt:lpstr>'WL (1)'!KMT</vt:lpstr>
      <vt:lpstr>'WL (10)'!KMT</vt:lpstr>
      <vt:lpstr>'WL (11)'!KMT</vt:lpstr>
      <vt:lpstr>'WL (12)'!KMT</vt:lpstr>
      <vt:lpstr>'WL (13)'!KMT</vt:lpstr>
      <vt:lpstr>'WL (14)'!KMT</vt:lpstr>
      <vt:lpstr>'WL (15)'!KMT</vt:lpstr>
      <vt:lpstr>'WL (16)'!KMT</vt:lpstr>
      <vt:lpstr>'WL (17)'!KMT</vt:lpstr>
      <vt:lpstr>'WL (18)'!KMT</vt:lpstr>
      <vt:lpstr>'WL (19)'!KMT</vt:lpstr>
      <vt:lpstr>'WL (2)'!KMT</vt:lpstr>
      <vt:lpstr>'WL (20)'!KMT</vt:lpstr>
      <vt:lpstr>'WL (21)'!KMT</vt:lpstr>
      <vt:lpstr>'WL (22)'!KMT</vt:lpstr>
      <vt:lpstr>'WL (23)'!KMT</vt:lpstr>
      <vt:lpstr>'WL (24)'!KMT</vt:lpstr>
      <vt:lpstr>'WL (25)'!KMT</vt:lpstr>
      <vt:lpstr>'WL (3)'!KMT</vt:lpstr>
      <vt:lpstr>'WL (4)'!KMT</vt:lpstr>
      <vt:lpstr>'WL (5)'!KMT</vt:lpstr>
      <vt:lpstr>'WL (6)'!KMT</vt:lpstr>
      <vt:lpstr>'WL (7)'!KMT</vt:lpstr>
      <vt:lpstr>'WL (8)'!KMT</vt:lpstr>
      <vt:lpstr>'WL (9)'!KMT</vt:lpstr>
      <vt:lpstr>'WL (x)'!KMT</vt:lpstr>
      <vt:lpstr>LBP</vt:lpstr>
      <vt:lpstr>'WL (1)'!LCB</vt:lpstr>
      <vt:lpstr>'WL (10)'!LCB</vt:lpstr>
      <vt:lpstr>'WL (11)'!LCB</vt:lpstr>
      <vt:lpstr>'WL (12)'!LCB</vt:lpstr>
      <vt:lpstr>'WL (13)'!LCB</vt:lpstr>
      <vt:lpstr>'WL (14)'!LCB</vt:lpstr>
      <vt:lpstr>'WL (15)'!LCB</vt:lpstr>
      <vt:lpstr>'WL (16)'!LCB</vt:lpstr>
      <vt:lpstr>'WL (17)'!LCB</vt:lpstr>
      <vt:lpstr>'WL (18)'!LCB</vt:lpstr>
      <vt:lpstr>'WL (19)'!LCB</vt:lpstr>
      <vt:lpstr>'WL (2)'!LCB</vt:lpstr>
      <vt:lpstr>'WL (20)'!LCB</vt:lpstr>
      <vt:lpstr>'WL (21)'!LCB</vt:lpstr>
      <vt:lpstr>'WL (22)'!LCB</vt:lpstr>
      <vt:lpstr>'WL (23)'!LCB</vt:lpstr>
      <vt:lpstr>'WL (24)'!LCB</vt:lpstr>
      <vt:lpstr>'WL (25)'!LCB</vt:lpstr>
      <vt:lpstr>'WL (3)'!LCB</vt:lpstr>
      <vt:lpstr>'WL (4)'!LCB</vt:lpstr>
      <vt:lpstr>'WL (5)'!LCB</vt:lpstr>
      <vt:lpstr>'WL (6)'!LCB</vt:lpstr>
      <vt:lpstr>'WL (7)'!LCB</vt:lpstr>
      <vt:lpstr>'WL (8)'!LCB</vt:lpstr>
      <vt:lpstr>'WL (9)'!LCB</vt:lpstr>
      <vt:lpstr>'WL (x)'!LCB</vt:lpstr>
      <vt:lpstr>LCB</vt:lpstr>
      <vt:lpstr>'WL (1)'!LCF</vt:lpstr>
      <vt:lpstr>'WL (10)'!LCF</vt:lpstr>
      <vt:lpstr>'WL (11)'!LCF</vt:lpstr>
      <vt:lpstr>'WL (12)'!LCF</vt:lpstr>
      <vt:lpstr>'WL (13)'!LCF</vt:lpstr>
      <vt:lpstr>'WL (14)'!LCF</vt:lpstr>
      <vt:lpstr>'WL (15)'!LCF</vt:lpstr>
      <vt:lpstr>'WL (16)'!LCF</vt:lpstr>
      <vt:lpstr>'WL (17)'!LCF</vt:lpstr>
      <vt:lpstr>'WL (18)'!LCF</vt:lpstr>
      <vt:lpstr>'WL (19)'!LCF</vt:lpstr>
      <vt:lpstr>'WL (2)'!LCF</vt:lpstr>
      <vt:lpstr>'WL (20)'!LCF</vt:lpstr>
      <vt:lpstr>'WL (21)'!LCF</vt:lpstr>
      <vt:lpstr>'WL (22)'!LCF</vt:lpstr>
      <vt:lpstr>'WL (23)'!LCF</vt:lpstr>
      <vt:lpstr>'WL (24)'!LCF</vt:lpstr>
      <vt:lpstr>'WL (25)'!LCF</vt:lpstr>
      <vt:lpstr>'WL (3)'!LCF</vt:lpstr>
      <vt:lpstr>'WL (4)'!LCF</vt:lpstr>
      <vt:lpstr>'WL (5)'!LCF</vt:lpstr>
      <vt:lpstr>'WL (6)'!LCF</vt:lpstr>
      <vt:lpstr>'WL (7)'!LCF</vt:lpstr>
      <vt:lpstr>'WL (8)'!LCF</vt:lpstr>
      <vt:lpstr>'WL (9)'!LCF</vt:lpstr>
      <vt:lpstr>'WL (x)'!LCF</vt:lpstr>
      <vt:lpstr>Long_Div</vt:lpstr>
      <vt:lpstr>'WL (1)'!LWL</vt:lpstr>
      <vt:lpstr>'WL (2)'!LWL</vt:lpstr>
      <vt:lpstr>'WL (3)'!LWL</vt:lpstr>
      <vt:lpstr>'WL (x)'!LWL</vt:lpstr>
      <vt:lpstr>'WL (1)'!M_Disp</vt:lpstr>
      <vt:lpstr>'WL (10)'!M_Disp</vt:lpstr>
      <vt:lpstr>'WL (11)'!M_Disp</vt:lpstr>
      <vt:lpstr>'WL (12)'!M_Disp</vt:lpstr>
      <vt:lpstr>'WL (13)'!M_Disp</vt:lpstr>
      <vt:lpstr>'WL (14)'!M_Disp</vt:lpstr>
      <vt:lpstr>'WL (15)'!M_Disp</vt:lpstr>
      <vt:lpstr>'WL (16)'!M_Disp</vt:lpstr>
      <vt:lpstr>'WL (17)'!M_Disp</vt:lpstr>
      <vt:lpstr>'WL (18)'!M_Disp</vt:lpstr>
      <vt:lpstr>'WL (19)'!M_Disp</vt:lpstr>
      <vt:lpstr>'WL (2)'!M_Disp</vt:lpstr>
      <vt:lpstr>'WL (20)'!M_Disp</vt:lpstr>
      <vt:lpstr>'WL (21)'!M_Disp</vt:lpstr>
      <vt:lpstr>'WL (22)'!M_Disp</vt:lpstr>
      <vt:lpstr>'WL (23)'!M_Disp</vt:lpstr>
      <vt:lpstr>'WL (24)'!M_Disp</vt:lpstr>
      <vt:lpstr>'WL (25)'!M_Disp</vt:lpstr>
      <vt:lpstr>'WL (3)'!M_Disp</vt:lpstr>
      <vt:lpstr>'WL (4)'!M_Disp</vt:lpstr>
      <vt:lpstr>'WL (5)'!M_Disp</vt:lpstr>
      <vt:lpstr>'WL (6)'!M_Disp</vt:lpstr>
      <vt:lpstr>'WL (7)'!M_Disp</vt:lpstr>
      <vt:lpstr>'WL (8)'!M_Disp</vt:lpstr>
      <vt:lpstr>'WL (9)'!M_Disp</vt:lpstr>
      <vt:lpstr>'WL (x)'!M_Disp</vt:lpstr>
      <vt:lpstr>Main_Particulars</vt:lpstr>
      <vt:lpstr>Mass_Displacement</vt:lpstr>
      <vt:lpstr>Max_STN_count</vt:lpstr>
      <vt:lpstr>Max_WL_count</vt:lpstr>
      <vt:lpstr>'WL (1)'!MCT</vt:lpstr>
      <vt:lpstr>'WL (10)'!MCT</vt:lpstr>
      <vt:lpstr>'WL (11)'!MCT</vt:lpstr>
      <vt:lpstr>'WL (12)'!MCT</vt:lpstr>
      <vt:lpstr>'WL (13)'!MCT</vt:lpstr>
      <vt:lpstr>'WL (14)'!MCT</vt:lpstr>
      <vt:lpstr>'WL (15)'!MCT</vt:lpstr>
      <vt:lpstr>'WL (16)'!MCT</vt:lpstr>
      <vt:lpstr>'WL (17)'!MCT</vt:lpstr>
      <vt:lpstr>'WL (18)'!MCT</vt:lpstr>
      <vt:lpstr>'WL (19)'!MCT</vt:lpstr>
      <vt:lpstr>'WL (2)'!MCT</vt:lpstr>
      <vt:lpstr>'WL (20)'!MCT</vt:lpstr>
      <vt:lpstr>'WL (21)'!MCT</vt:lpstr>
      <vt:lpstr>'WL (22)'!MCT</vt:lpstr>
      <vt:lpstr>'WL (23)'!MCT</vt:lpstr>
      <vt:lpstr>'WL (24)'!MCT</vt:lpstr>
      <vt:lpstr>'WL (25)'!MCT</vt:lpstr>
      <vt:lpstr>'WL (3)'!MCT</vt:lpstr>
      <vt:lpstr>'WL (4)'!MCT</vt:lpstr>
      <vt:lpstr>'WL (5)'!MCT</vt:lpstr>
      <vt:lpstr>'WL (6)'!MCT</vt:lpstr>
      <vt:lpstr>'WL (7)'!MCT</vt:lpstr>
      <vt:lpstr>'WL (8)'!MCT</vt:lpstr>
      <vt:lpstr>'WL (9)'!MCT</vt:lpstr>
      <vt:lpstr>'WL (x)'!MCT</vt:lpstr>
      <vt:lpstr>MCT1cm</vt:lpstr>
      <vt:lpstr>'WL (1)'!ML</vt:lpstr>
      <vt:lpstr>'WL (10)'!ML</vt:lpstr>
      <vt:lpstr>'WL (11)'!ML</vt:lpstr>
      <vt:lpstr>'WL (12)'!ML</vt:lpstr>
      <vt:lpstr>'WL (13)'!ML</vt:lpstr>
      <vt:lpstr>'WL (14)'!ML</vt:lpstr>
      <vt:lpstr>'WL (15)'!ML</vt:lpstr>
      <vt:lpstr>'WL (16)'!ML</vt:lpstr>
      <vt:lpstr>'WL (17)'!ML</vt:lpstr>
      <vt:lpstr>'WL (18)'!ML</vt:lpstr>
      <vt:lpstr>'WL (19)'!ML</vt:lpstr>
      <vt:lpstr>'WL (2)'!ML</vt:lpstr>
      <vt:lpstr>'WL (20)'!ML</vt:lpstr>
      <vt:lpstr>'WL (21)'!ML</vt:lpstr>
      <vt:lpstr>'WL (22)'!ML</vt:lpstr>
      <vt:lpstr>'WL (23)'!ML</vt:lpstr>
      <vt:lpstr>'WL (24)'!ML</vt:lpstr>
      <vt:lpstr>'WL (25)'!ML</vt:lpstr>
      <vt:lpstr>'WL (3)'!ML</vt:lpstr>
      <vt:lpstr>'WL (4)'!ML</vt:lpstr>
      <vt:lpstr>'WL (5)'!ML</vt:lpstr>
      <vt:lpstr>'WL (6)'!ML</vt:lpstr>
      <vt:lpstr>'WL (7)'!ML</vt:lpstr>
      <vt:lpstr>'WL (8)'!ML</vt:lpstr>
      <vt:lpstr>'WL (9)'!ML</vt:lpstr>
      <vt:lpstr>'WL (x)'!ML</vt:lpstr>
      <vt:lpstr>'WL (1)'!Mmid</vt:lpstr>
      <vt:lpstr>'WL (10)'!Mmid</vt:lpstr>
      <vt:lpstr>'WL (11)'!Mmid</vt:lpstr>
      <vt:lpstr>'WL (12)'!Mmid</vt:lpstr>
      <vt:lpstr>'WL (13)'!Mmid</vt:lpstr>
      <vt:lpstr>'WL (14)'!Mmid</vt:lpstr>
      <vt:lpstr>'WL (15)'!Mmid</vt:lpstr>
      <vt:lpstr>'WL (16)'!Mmid</vt:lpstr>
      <vt:lpstr>'WL (17)'!Mmid</vt:lpstr>
      <vt:lpstr>'WL (18)'!Mmid</vt:lpstr>
      <vt:lpstr>'WL (19)'!Mmid</vt:lpstr>
      <vt:lpstr>'WL (2)'!Mmid</vt:lpstr>
      <vt:lpstr>'WL (20)'!Mmid</vt:lpstr>
      <vt:lpstr>'WL (21)'!Mmid</vt:lpstr>
      <vt:lpstr>'WL (22)'!Mmid</vt:lpstr>
      <vt:lpstr>'WL (23)'!Mmid</vt:lpstr>
      <vt:lpstr>'WL (24)'!Mmid</vt:lpstr>
      <vt:lpstr>'WL (25)'!Mmid</vt:lpstr>
      <vt:lpstr>'WL (3)'!Mmid</vt:lpstr>
      <vt:lpstr>'WL (4)'!Mmid</vt:lpstr>
      <vt:lpstr>'WL (5)'!Mmid</vt:lpstr>
      <vt:lpstr>'WL (6)'!Mmid</vt:lpstr>
      <vt:lpstr>'WL (7)'!Mmid</vt:lpstr>
      <vt:lpstr>'WL (8)'!Mmid</vt:lpstr>
      <vt:lpstr>'WL (9)'!Mmid</vt:lpstr>
      <vt:lpstr>'WL (x)'!Mmid</vt:lpstr>
      <vt:lpstr>MOMENT_TABLE</vt:lpstr>
      <vt:lpstr>'WL (1)'!MT</vt:lpstr>
      <vt:lpstr>'WL (10)'!MT</vt:lpstr>
      <vt:lpstr>'WL (11)'!MT</vt:lpstr>
      <vt:lpstr>'WL (12)'!MT</vt:lpstr>
      <vt:lpstr>'WL (13)'!MT</vt:lpstr>
      <vt:lpstr>'WL (14)'!MT</vt:lpstr>
      <vt:lpstr>'WL (15)'!MT</vt:lpstr>
      <vt:lpstr>'WL (16)'!MT</vt:lpstr>
      <vt:lpstr>'WL (17)'!MT</vt:lpstr>
      <vt:lpstr>'WL (18)'!MT</vt:lpstr>
      <vt:lpstr>'WL (19)'!MT</vt:lpstr>
      <vt:lpstr>'WL (2)'!MT</vt:lpstr>
      <vt:lpstr>'WL (20)'!MT</vt:lpstr>
      <vt:lpstr>'WL (21)'!MT</vt:lpstr>
      <vt:lpstr>'WL (22)'!MT</vt:lpstr>
      <vt:lpstr>'WL (23)'!MT</vt:lpstr>
      <vt:lpstr>'WL (24)'!MT</vt:lpstr>
      <vt:lpstr>'WL (25)'!MT</vt:lpstr>
      <vt:lpstr>'WL (3)'!MT</vt:lpstr>
      <vt:lpstr>'WL (4)'!MT</vt:lpstr>
      <vt:lpstr>'WL (5)'!MT</vt:lpstr>
      <vt:lpstr>'WL (6)'!MT</vt:lpstr>
      <vt:lpstr>'WL (7)'!MT</vt:lpstr>
      <vt:lpstr>'WL (8)'!MT</vt:lpstr>
      <vt:lpstr>'WL (9)'!MT</vt:lpstr>
      <vt:lpstr>'WL (x)'!MT</vt:lpstr>
      <vt:lpstr>Tools!No_of_BTKs</vt:lpstr>
      <vt:lpstr>OFFSET_A</vt:lpstr>
      <vt:lpstr>'Stn(1)'!RESULT_TABLE</vt:lpstr>
      <vt:lpstr>'Stn(10)'!RESULT_TABLE</vt:lpstr>
      <vt:lpstr>'Stn(11)'!RESULT_TABLE</vt:lpstr>
      <vt:lpstr>'Stn(12)'!RESULT_TABLE</vt:lpstr>
      <vt:lpstr>'Stn(13)'!RESULT_TABLE</vt:lpstr>
      <vt:lpstr>'Stn(14)'!RESULT_TABLE</vt:lpstr>
      <vt:lpstr>'Stn(15)'!RESULT_TABLE</vt:lpstr>
      <vt:lpstr>'Stn(16)'!RESULT_TABLE</vt:lpstr>
      <vt:lpstr>'Stn(17)'!RESULT_TABLE</vt:lpstr>
      <vt:lpstr>'Stn(18)'!RESULT_TABLE</vt:lpstr>
      <vt:lpstr>'Stn(19)'!RESULT_TABLE</vt:lpstr>
      <vt:lpstr>'Stn(2)'!RESULT_TABLE</vt:lpstr>
      <vt:lpstr>'Stn(20)'!RESULT_TABLE</vt:lpstr>
      <vt:lpstr>'Stn(21)'!RESULT_TABLE</vt:lpstr>
      <vt:lpstr>'Stn(22)'!RESULT_TABLE</vt:lpstr>
      <vt:lpstr>'Stn(23)'!RESULT_TABLE</vt:lpstr>
      <vt:lpstr>'Stn(24)'!RESULT_TABLE</vt:lpstr>
      <vt:lpstr>'Stn(25)'!RESULT_TABLE</vt:lpstr>
      <vt:lpstr>'Stn(3)'!RESULT_TABLE</vt:lpstr>
      <vt:lpstr>'Stn(4)'!RESULT_TABLE</vt:lpstr>
      <vt:lpstr>'Stn(5)'!RESULT_TABLE</vt:lpstr>
      <vt:lpstr>'Stn(6)'!RESULT_TABLE</vt:lpstr>
      <vt:lpstr>'Stn(7)'!RESULT_TABLE</vt:lpstr>
      <vt:lpstr>'Stn(8)'!RESULT_TABLE</vt:lpstr>
      <vt:lpstr>'Stn(9)'!RESULT_TABLE</vt:lpstr>
      <vt:lpstr>'View Bonjean'!RESULT_TABLE</vt:lpstr>
      <vt:lpstr>'Stn(1)'!Rise</vt:lpstr>
      <vt:lpstr>'Stn(10)'!Rise</vt:lpstr>
      <vt:lpstr>'Stn(11)'!Rise</vt:lpstr>
      <vt:lpstr>'Stn(12)'!Rise</vt:lpstr>
      <vt:lpstr>'Stn(13)'!Rise</vt:lpstr>
      <vt:lpstr>'Stn(14)'!Rise</vt:lpstr>
      <vt:lpstr>'Stn(15)'!Rise</vt:lpstr>
      <vt:lpstr>'Stn(16)'!Rise</vt:lpstr>
      <vt:lpstr>'Stn(17)'!Rise</vt:lpstr>
      <vt:lpstr>'Stn(18)'!Rise</vt:lpstr>
      <vt:lpstr>'Stn(19)'!Rise</vt:lpstr>
      <vt:lpstr>'Stn(2)'!Rise</vt:lpstr>
      <vt:lpstr>'Stn(20)'!Rise</vt:lpstr>
      <vt:lpstr>'Stn(21)'!Rise</vt:lpstr>
      <vt:lpstr>'Stn(22)'!Rise</vt:lpstr>
      <vt:lpstr>'Stn(23)'!Rise</vt:lpstr>
      <vt:lpstr>'Stn(24)'!Rise</vt:lpstr>
      <vt:lpstr>'Stn(25)'!Rise</vt:lpstr>
      <vt:lpstr>'Stn(3)'!Rise</vt:lpstr>
      <vt:lpstr>'Stn(4)'!Rise</vt:lpstr>
      <vt:lpstr>'Stn(5)'!Rise</vt:lpstr>
      <vt:lpstr>'Stn(6)'!Rise</vt:lpstr>
      <vt:lpstr>'Stn(7)'!Rise</vt:lpstr>
      <vt:lpstr>'Stn(8)'!Rise</vt:lpstr>
      <vt:lpstr>'Stn(9)'!Rise</vt:lpstr>
      <vt:lpstr>'View Bonjean'!Rise</vt:lpstr>
      <vt:lpstr>RISE_CALC</vt:lpstr>
      <vt:lpstr>'Stn(1)'!Rise_Results</vt:lpstr>
      <vt:lpstr>'Stn(10)'!Rise_Results</vt:lpstr>
      <vt:lpstr>'Stn(11)'!Rise_Results</vt:lpstr>
      <vt:lpstr>'Stn(12)'!Rise_Results</vt:lpstr>
      <vt:lpstr>'Stn(13)'!Rise_Results</vt:lpstr>
      <vt:lpstr>'Stn(14)'!Rise_Results</vt:lpstr>
      <vt:lpstr>'Stn(15)'!Rise_Results</vt:lpstr>
      <vt:lpstr>'Stn(16)'!Rise_Results</vt:lpstr>
      <vt:lpstr>'Stn(17)'!Rise_Results</vt:lpstr>
      <vt:lpstr>'Stn(18)'!Rise_Results</vt:lpstr>
      <vt:lpstr>'Stn(19)'!Rise_Results</vt:lpstr>
      <vt:lpstr>'Stn(2)'!Rise_Results</vt:lpstr>
      <vt:lpstr>'Stn(20)'!Rise_Results</vt:lpstr>
      <vt:lpstr>'Stn(21)'!Rise_Results</vt:lpstr>
      <vt:lpstr>'Stn(22)'!Rise_Results</vt:lpstr>
      <vt:lpstr>'Stn(23)'!Rise_Results</vt:lpstr>
      <vt:lpstr>'Stn(24)'!Rise_Results</vt:lpstr>
      <vt:lpstr>'Stn(25)'!Rise_Results</vt:lpstr>
      <vt:lpstr>'Stn(3)'!Rise_Results</vt:lpstr>
      <vt:lpstr>'Stn(4)'!Rise_Results</vt:lpstr>
      <vt:lpstr>'Stn(5)'!Rise_Results</vt:lpstr>
      <vt:lpstr>'Stn(6)'!Rise_Results</vt:lpstr>
      <vt:lpstr>'Stn(7)'!Rise_Results</vt:lpstr>
      <vt:lpstr>'Stn(8)'!Rise_Results</vt:lpstr>
      <vt:lpstr>'Stn(9)'!Rise_Results</vt:lpstr>
      <vt:lpstr>'View Bonjean'!Rise_Results</vt:lpstr>
      <vt:lpstr>'Stn(1)'!RisePerWLS</vt:lpstr>
      <vt:lpstr>'Stn(10)'!RisePerWLS</vt:lpstr>
      <vt:lpstr>'Stn(11)'!RisePerWLS</vt:lpstr>
      <vt:lpstr>'Stn(12)'!RisePerWLS</vt:lpstr>
      <vt:lpstr>'Stn(13)'!RisePerWLS</vt:lpstr>
      <vt:lpstr>'Stn(14)'!RisePerWLS</vt:lpstr>
      <vt:lpstr>'Stn(15)'!RisePerWLS</vt:lpstr>
      <vt:lpstr>'Stn(16)'!RisePerWLS</vt:lpstr>
      <vt:lpstr>'Stn(17)'!RisePerWLS</vt:lpstr>
      <vt:lpstr>'Stn(18)'!RisePerWLS</vt:lpstr>
      <vt:lpstr>'Stn(19)'!RisePerWLS</vt:lpstr>
      <vt:lpstr>'Stn(2)'!RisePerWLS</vt:lpstr>
      <vt:lpstr>'Stn(20)'!RisePerWLS</vt:lpstr>
      <vt:lpstr>'Stn(21)'!RisePerWLS</vt:lpstr>
      <vt:lpstr>'Stn(22)'!RisePerWLS</vt:lpstr>
      <vt:lpstr>'Stn(23)'!RisePerWLS</vt:lpstr>
      <vt:lpstr>'Stn(24)'!RisePerWLS</vt:lpstr>
      <vt:lpstr>'Stn(25)'!RisePerWLS</vt:lpstr>
      <vt:lpstr>'Stn(3)'!RisePerWLS</vt:lpstr>
      <vt:lpstr>'Stn(4)'!RisePerWLS</vt:lpstr>
      <vt:lpstr>'Stn(5)'!RisePerWLS</vt:lpstr>
      <vt:lpstr>'Stn(6)'!RisePerWLS</vt:lpstr>
      <vt:lpstr>'Stn(7)'!RisePerWLS</vt:lpstr>
      <vt:lpstr>'Stn(8)'!RisePerWLS</vt:lpstr>
      <vt:lpstr>'Stn(9)'!RisePerWLS</vt:lpstr>
      <vt:lpstr>'View Bonjean'!RisePerWLS</vt:lpstr>
      <vt:lpstr>S</vt:lpstr>
      <vt:lpstr>'Stn(1)'!Station_No</vt:lpstr>
      <vt:lpstr>'Stn(10)'!Station_No</vt:lpstr>
      <vt:lpstr>'Stn(11)'!Station_No</vt:lpstr>
      <vt:lpstr>'Stn(12)'!Station_No</vt:lpstr>
      <vt:lpstr>'Stn(13)'!Station_No</vt:lpstr>
      <vt:lpstr>'Stn(14)'!Station_No</vt:lpstr>
      <vt:lpstr>'Stn(15)'!Station_No</vt:lpstr>
      <vt:lpstr>'Stn(16)'!Station_No</vt:lpstr>
      <vt:lpstr>'Stn(17)'!Station_No</vt:lpstr>
      <vt:lpstr>'Stn(18)'!Station_No</vt:lpstr>
      <vt:lpstr>'Stn(19)'!Station_No</vt:lpstr>
      <vt:lpstr>'Stn(2)'!Station_No</vt:lpstr>
      <vt:lpstr>'Stn(20)'!Station_No</vt:lpstr>
      <vt:lpstr>'Stn(21)'!Station_No</vt:lpstr>
      <vt:lpstr>'Stn(22)'!Station_No</vt:lpstr>
      <vt:lpstr>'Stn(23)'!Station_No</vt:lpstr>
      <vt:lpstr>'Stn(24)'!Station_No</vt:lpstr>
      <vt:lpstr>'Stn(25)'!Station_No</vt:lpstr>
      <vt:lpstr>'Stn(3)'!Station_No</vt:lpstr>
      <vt:lpstr>'Stn(4)'!Station_No</vt:lpstr>
      <vt:lpstr>'Stn(5)'!Station_No</vt:lpstr>
      <vt:lpstr>'Stn(6)'!Station_No</vt:lpstr>
      <vt:lpstr>'Stn(7)'!Station_No</vt:lpstr>
      <vt:lpstr>'Stn(8)'!Station_No</vt:lpstr>
      <vt:lpstr>'Stn(9)'!Station_No</vt:lpstr>
      <vt:lpstr>'View Bonjean'!Station_No</vt:lpstr>
      <vt:lpstr>STN_GAP</vt:lpstr>
      <vt:lpstr>'Stn(1)'!STN_TABLE</vt:lpstr>
      <vt:lpstr>'Stn(10)'!STN_TABLE</vt:lpstr>
      <vt:lpstr>'Stn(11)'!STN_TABLE</vt:lpstr>
      <vt:lpstr>'Stn(12)'!STN_TABLE</vt:lpstr>
      <vt:lpstr>'Stn(13)'!STN_TABLE</vt:lpstr>
      <vt:lpstr>'Stn(14)'!STN_TABLE</vt:lpstr>
      <vt:lpstr>'Stn(15)'!STN_TABLE</vt:lpstr>
      <vt:lpstr>'Stn(16)'!STN_TABLE</vt:lpstr>
      <vt:lpstr>'Stn(17)'!STN_TABLE</vt:lpstr>
      <vt:lpstr>'Stn(18)'!STN_TABLE</vt:lpstr>
      <vt:lpstr>'Stn(19)'!STN_TABLE</vt:lpstr>
      <vt:lpstr>'Stn(2)'!STN_TABLE</vt:lpstr>
      <vt:lpstr>'Stn(20)'!STN_TABLE</vt:lpstr>
      <vt:lpstr>'Stn(21)'!STN_TABLE</vt:lpstr>
      <vt:lpstr>'Stn(22)'!STN_TABLE</vt:lpstr>
      <vt:lpstr>'Stn(23)'!STN_TABLE</vt:lpstr>
      <vt:lpstr>'Stn(24)'!STN_TABLE</vt:lpstr>
      <vt:lpstr>'Stn(25)'!STN_TABLE</vt:lpstr>
      <vt:lpstr>'Stn(3)'!STN_TABLE</vt:lpstr>
      <vt:lpstr>'Stn(4)'!STN_TABLE</vt:lpstr>
      <vt:lpstr>'Stn(5)'!STN_TABLE</vt:lpstr>
      <vt:lpstr>'Stn(6)'!STN_TABLE</vt:lpstr>
      <vt:lpstr>'Stn(7)'!STN_TABLE</vt:lpstr>
      <vt:lpstr>'Stn(8)'!STN_TABLE</vt:lpstr>
      <vt:lpstr>'Stn(9)'!STN_TABLE</vt:lpstr>
      <vt:lpstr>'View Bonjean'!STN_TABLE</vt:lpstr>
      <vt:lpstr>'Stn(1)'!STN_TABLE_2</vt:lpstr>
      <vt:lpstr>'Stn(10)'!STN_TABLE_2</vt:lpstr>
      <vt:lpstr>'Stn(11)'!STN_TABLE_2</vt:lpstr>
      <vt:lpstr>'Stn(12)'!STN_TABLE_2</vt:lpstr>
      <vt:lpstr>'Stn(13)'!STN_TABLE_2</vt:lpstr>
      <vt:lpstr>'Stn(14)'!STN_TABLE_2</vt:lpstr>
      <vt:lpstr>'Stn(15)'!STN_TABLE_2</vt:lpstr>
      <vt:lpstr>'Stn(16)'!STN_TABLE_2</vt:lpstr>
      <vt:lpstr>'Stn(17)'!STN_TABLE_2</vt:lpstr>
      <vt:lpstr>'Stn(18)'!STN_TABLE_2</vt:lpstr>
      <vt:lpstr>'Stn(19)'!STN_TABLE_2</vt:lpstr>
      <vt:lpstr>'Stn(2)'!STN_TABLE_2</vt:lpstr>
      <vt:lpstr>'Stn(20)'!STN_TABLE_2</vt:lpstr>
      <vt:lpstr>'Stn(21)'!STN_TABLE_2</vt:lpstr>
      <vt:lpstr>'Stn(22)'!STN_TABLE_2</vt:lpstr>
      <vt:lpstr>'Stn(23)'!STN_TABLE_2</vt:lpstr>
      <vt:lpstr>'Stn(24)'!STN_TABLE_2</vt:lpstr>
      <vt:lpstr>'Stn(25)'!STN_TABLE_2</vt:lpstr>
      <vt:lpstr>'Stn(3)'!STN_TABLE_2</vt:lpstr>
      <vt:lpstr>'Stn(4)'!STN_TABLE_2</vt:lpstr>
      <vt:lpstr>'Stn(5)'!STN_TABLE_2</vt:lpstr>
      <vt:lpstr>'Stn(6)'!STN_TABLE_2</vt:lpstr>
      <vt:lpstr>'Stn(7)'!STN_TABLE_2</vt:lpstr>
      <vt:lpstr>'Stn(8)'!STN_TABLE_2</vt:lpstr>
      <vt:lpstr>'Stn(9)'!STN_TABLE_2</vt:lpstr>
      <vt:lpstr>'View Bonjean'!STN_TABLE_2</vt:lpstr>
      <vt:lpstr>Stn_WL</vt:lpstr>
      <vt:lpstr>'WL (1)'!T</vt:lpstr>
      <vt:lpstr>'WL (10)'!T</vt:lpstr>
      <vt:lpstr>'WL (11)'!T</vt:lpstr>
      <vt:lpstr>'WL (12)'!T</vt:lpstr>
      <vt:lpstr>'WL (13)'!T</vt:lpstr>
      <vt:lpstr>'WL (14)'!T</vt:lpstr>
      <vt:lpstr>'WL (15)'!T</vt:lpstr>
      <vt:lpstr>'WL (16)'!T</vt:lpstr>
      <vt:lpstr>'WL (17)'!T</vt:lpstr>
      <vt:lpstr>'WL (18)'!T</vt:lpstr>
      <vt:lpstr>'WL (19)'!T</vt:lpstr>
      <vt:lpstr>'WL (2)'!T</vt:lpstr>
      <vt:lpstr>'WL (20)'!T</vt:lpstr>
      <vt:lpstr>'WL (21)'!T</vt:lpstr>
      <vt:lpstr>'WL (22)'!T</vt:lpstr>
      <vt:lpstr>'WL (23)'!T</vt:lpstr>
      <vt:lpstr>'WL (24)'!T</vt:lpstr>
      <vt:lpstr>'WL (25)'!T</vt:lpstr>
      <vt:lpstr>'WL (3)'!T</vt:lpstr>
      <vt:lpstr>'WL (4)'!T</vt:lpstr>
      <vt:lpstr>'WL (5)'!T</vt:lpstr>
      <vt:lpstr>'WL (6)'!T</vt:lpstr>
      <vt:lpstr>'WL (7)'!T</vt:lpstr>
      <vt:lpstr>'WL (8)'!T</vt:lpstr>
      <vt:lpstr>'WL (9)'!T</vt:lpstr>
      <vt:lpstr>'WL (x)'!T</vt:lpstr>
      <vt:lpstr>'WL (1)'!TPC</vt:lpstr>
      <vt:lpstr>'WL (10)'!TPC</vt:lpstr>
      <vt:lpstr>'WL (11)'!TPC</vt:lpstr>
      <vt:lpstr>'WL (12)'!TPC</vt:lpstr>
      <vt:lpstr>'WL (13)'!TPC</vt:lpstr>
      <vt:lpstr>'WL (14)'!TPC</vt:lpstr>
      <vt:lpstr>'WL (15)'!TPC</vt:lpstr>
      <vt:lpstr>'WL (16)'!TPC</vt:lpstr>
      <vt:lpstr>'WL (17)'!TPC</vt:lpstr>
      <vt:lpstr>'WL (18)'!TPC</vt:lpstr>
      <vt:lpstr>'WL (19)'!TPC</vt:lpstr>
      <vt:lpstr>'WL (2)'!TPC</vt:lpstr>
      <vt:lpstr>'WL (20)'!TPC</vt:lpstr>
      <vt:lpstr>'WL (21)'!TPC</vt:lpstr>
      <vt:lpstr>'WL (22)'!TPC</vt:lpstr>
      <vt:lpstr>'WL (23)'!TPC</vt:lpstr>
      <vt:lpstr>'WL (24)'!TPC</vt:lpstr>
      <vt:lpstr>'WL (25)'!TPC</vt:lpstr>
      <vt:lpstr>'WL (3)'!TPC</vt:lpstr>
      <vt:lpstr>'WL (4)'!TPC</vt:lpstr>
      <vt:lpstr>'WL (5)'!TPC</vt:lpstr>
      <vt:lpstr>'WL (6)'!TPC</vt:lpstr>
      <vt:lpstr>'WL (7)'!TPC</vt:lpstr>
      <vt:lpstr>'WL (8)'!TPC</vt:lpstr>
      <vt:lpstr>'WL (9)'!TPC</vt:lpstr>
      <vt:lpstr>'WL (x)'!TPC</vt:lpstr>
      <vt:lpstr>TPC</vt:lpstr>
      <vt:lpstr>Tools!V</vt:lpstr>
      <vt:lpstr>'WL (1)'!V_Disp</vt:lpstr>
      <vt:lpstr>'WL (10)'!V_Disp</vt:lpstr>
      <vt:lpstr>'WL (11)'!V_Disp</vt:lpstr>
      <vt:lpstr>'WL (12)'!V_Disp</vt:lpstr>
      <vt:lpstr>'WL (13)'!V_Disp</vt:lpstr>
      <vt:lpstr>'WL (14)'!V_Disp</vt:lpstr>
      <vt:lpstr>'WL (15)'!V_Disp</vt:lpstr>
      <vt:lpstr>'WL (16)'!V_Disp</vt:lpstr>
      <vt:lpstr>'WL (17)'!V_Disp</vt:lpstr>
      <vt:lpstr>'WL (18)'!V_Disp</vt:lpstr>
      <vt:lpstr>'WL (19)'!V_Disp</vt:lpstr>
      <vt:lpstr>'WL (2)'!V_Disp</vt:lpstr>
      <vt:lpstr>'WL (20)'!V_Disp</vt:lpstr>
      <vt:lpstr>'WL (21)'!V_Disp</vt:lpstr>
      <vt:lpstr>'WL (22)'!V_Disp</vt:lpstr>
      <vt:lpstr>'WL (23)'!V_Disp</vt:lpstr>
      <vt:lpstr>'WL (24)'!V_Disp</vt:lpstr>
      <vt:lpstr>'WL (25)'!V_Disp</vt:lpstr>
      <vt:lpstr>'WL (3)'!V_Disp</vt:lpstr>
      <vt:lpstr>'WL (4)'!V_Disp</vt:lpstr>
      <vt:lpstr>'WL (5)'!V_Disp</vt:lpstr>
      <vt:lpstr>'WL (6)'!V_Disp</vt:lpstr>
      <vt:lpstr>'WL (7)'!V_Disp</vt:lpstr>
      <vt:lpstr>'WL (8)'!V_Disp</vt:lpstr>
      <vt:lpstr>'WL (9)'!V_Disp</vt:lpstr>
      <vt:lpstr>'WL (x)'!V_Disp</vt:lpstr>
      <vt:lpstr>Volume_Displacement</vt:lpstr>
      <vt:lpstr>'WL (1)'!WL_No</vt:lpstr>
      <vt:lpstr>'WL (10)'!WL_No</vt:lpstr>
      <vt:lpstr>'WL (11)'!WL_No</vt:lpstr>
      <vt:lpstr>'WL (12)'!WL_No</vt:lpstr>
      <vt:lpstr>'WL (13)'!WL_No</vt:lpstr>
      <vt:lpstr>'WL (14)'!WL_No</vt:lpstr>
      <vt:lpstr>'WL (15)'!WL_No</vt:lpstr>
      <vt:lpstr>'WL (16)'!WL_No</vt:lpstr>
      <vt:lpstr>'WL (17)'!WL_No</vt:lpstr>
      <vt:lpstr>'WL (18)'!WL_No</vt:lpstr>
      <vt:lpstr>'WL (19)'!WL_No</vt:lpstr>
      <vt:lpstr>'WL (2)'!WL_No</vt:lpstr>
      <vt:lpstr>'WL (20)'!WL_No</vt:lpstr>
      <vt:lpstr>'WL (21)'!WL_No</vt:lpstr>
      <vt:lpstr>'WL (22)'!WL_No</vt:lpstr>
      <vt:lpstr>'WL (23)'!WL_No</vt:lpstr>
      <vt:lpstr>'WL (24)'!WL_No</vt:lpstr>
      <vt:lpstr>'WL (25)'!WL_No</vt:lpstr>
      <vt:lpstr>'WL (3)'!WL_No</vt:lpstr>
      <vt:lpstr>'WL (4)'!WL_No</vt:lpstr>
      <vt:lpstr>'WL (5)'!WL_No</vt:lpstr>
      <vt:lpstr>'WL (6)'!WL_No</vt:lpstr>
      <vt:lpstr>'WL (7)'!WL_No</vt:lpstr>
      <vt:lpstr>'WL (8)'!WL_No</vt:lpstr>
      <vt:lpstr>'WL (9)'!WL_No</vt:lpstr>
      <vt:lpstr>'WL (x)'!WL_No</vt:lpstr>
      <vt:lpstr>WLS</vt:lpstr>
      <vt:lpstr>Tools!X_SHIFT_BP</vt:lpstr>
      <vt:lpstr>Tools!Y_Shift_HB</vt:lpstr>
    </vt:vector>
  </TitlesOfParts>
  <Company>rg-adguard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 Rahim Ovingal</dc:creator>
  <cp:lastModifiedBy>Abdul Rahim Ovingal</cp:lastModifiedBy>
  <dcterms:created xsi:type="dcterms:W3CDTF">2017-10-15T10:00:44Z</dcterms:created>
  <dcterms:modified xsi:type="dcterms:W3CDTF">2018-06-12T06:34:06Z</dcterms:modified>
</cp:coreProperties>
</file>